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ml.chartshapes+xml" PartName="/xl/drawings/drawing5.xml"/>
  <Override ContentType="application/vnd.openxmlformats-officedocument.drawing+xml" PartName="/xl/drawings/drawing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updateLinks="never" codeName="ThisWorkbook"/>
  <bookViews>
    <workbookView xWindow="19185" yWindow="5910" windowWidth="19050" windowHeight="5820" tabRatio="815"/>
  </bookViews>
  <sheets>
    <sheet name="ImportantDisclosures" sheetId="52" r:id="rId1"/>
    <sheet name="Valuation" sheetId="3" r:id="rId2"/>
    <sheet name="MS v Con" sheetId="35" r:id="rId3"/>
    <sheet name="Model" sheetId="1" r:id="rId4"/>
    <sheet name="Revenue drivers" sheetId="2" r:id="rId5"/>
    <sheet name="Expense drivers" sheetId="14" r:id="rId6"/>
    <sheet name="DCF_bear" sheetId="42" r:id="rId7"/>
    <sheet name="DCF" sheetId="4" r:id="rId8"/>
    <sheet name="DCF_bull" sheetId="40" r:id="rId9"/>
    <sheet name="Outlinks" sheetId="34" r:id="rId10"/>
    <sheet name="IndexInformation" sheetId="53" r:id="rId11"/>
    <sheet name="ModPubIndex" sheetId="54" r:id="rId12"/>
    <sheet name="MW-Cache" sheetId="11" state="veryHidden" r:id="rId13"/>
  </sheets>
  <externalReferences>
    <externalReference r:id="rId14"/>
    <externalReference r:id="rId15"/>
    <externalReference r:id="rId16"/>
    <externalReference r:id="rId17"/>
    <externalReference r:id="rId18"/>
    <externalReference r:id="rId19"/>
  </externalReferences>
  <definedNames>
    <definedName name="__FDS_HYPERLINK_TOGGLE_STATE__" hidden="1">"ON"</definedName>
    <definedName name="__FDS_UNIQUE_RANGE_ID_GENERATOR_COUNTER" hidden="1">1</definedName>
    <definedName name="__FDS_USED_FOR_REUSING_RANGE_IDS_RECYCLE">{16,16,16,16,16,16,16,16,16,16,16}</definedName>
    <definedName name="_1__FDSAUDITLINK__" hidden="1">{"fdsup://Directions/FactSet Auditing Viewer?action=AUDIT_VALUE&amp;DB=129&amp;ID1=03783310&amp;VALUEID=02001&amp;SDATE=2009&amp;PERIODTYPE=ANN_STD&amp;window=popup_no_bar&amp;width=385&amp;height=120&amp;START_MAXIMIZED=FALSE&amp;creator=factset&amp;display_string=Audit"}</definedName>
    <definedName name="_10__FDSAUDITLINK__"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0__FDSAUDITLINK__"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0__FDSAUDITLINK__" hidden="1">{"fdsup://Directions/FactSet Auditing Viewer?action=AUDIT_VALUE&amp;DB=129&amp;ID1=98849810&amp;VALUEID=01001&amp;SDATE=201002&amp;PERIODTYPE=QTR_STD&amp;window=popup_no_bar&amp;width=385&amp;height=120&amp;START_MAXIMIZED=FALSE&amp;creator=factset&amp;display_string=Audit"}</definedName>
    <definedName name="_1001__FDSAUDITLINK__" hidden="1">{"fdsup://Directions/FactSet Auditing Viewer?action=AUDIT_VALUE&amp;DB=129&amp;ID1=98433210&amp;VALUEID=01001&amp;SDATE=200902&amp;PERIODTYPE=QTR_STD&amp;window=popup_no_bar&amp;width=385&amp;height=120&amp;START_MAXIMIZED=FALSE&amp;creator=factset&amp;display_string=Audit"}</definedName>
    <definedName name="_1002__FDSAUDITLINK__" hidden="1">{"fdsup://Directions/FactSet Auditing Viewer?action=AUDIT_VALUE&amp;DB=129&amp;ID1=98433210&amp;VALUEID=01001&amp;SDATE=201002&amp;PERIODTYPE=QTR_STD&amp;window=popup_no_bar&amp;width=385&amp;height=120&amp;START_MAXIMIZED=FALSE&amp;creator=factset&amp;display_string=Audit"}</definedName>
    <definedName name="_1003__FDSAUDITLINK__" hidden="1">{"fdsup://Directions/FactSet Auditing Viewer?action=AUDIT_VALUE&amp;DB=129&amp;ID1=98412110&amp;VALUEID=01001&amp;SDATE=200902&amp;PERIODTYPE=QTR_STD&amp;window=popup_no_bar&amp;width=385&amp;height=120&amp;START_MAXIMIZED=FALSE&amp;creator=factset&amp;display_string=Audit"}</definedName>
    <definedName name="_1004__FDSAUDITLINK__" hidden="1">{"fdsup://Directions/FactSet Auditing Viewer?action=AUDIT_VALUE&amp;DB=129&amp;ID1=98412110&amp;VALUEID=01001&amp;SDATE=201002&amp;PERIODTYPE=QTR_STD&amp;window=popup_no_bar&amp;width=385&amp;height=120&amp;START_MAXIMIZED=FALSE&amp;creator=factset&amp;display_string=Audit"}</definedName>
    <definedName name="_1005__FDSAUDITLINK__" hidden="1">{"fdsup://Directions/FactSet Auditing Viewer?action=AUDIT_VALUE&amp;DB=129&amp;ID1=24903010&amp;VALUEID=01001&amp;SDATE=200902&amp;PERIODTYPE=QTR_STD&amp;window=popup_no_bar&amp;width=385&amp;height=120&amp;START_MAXIMIZED=FALSE&amp;creator=factset&amp;display_string=Audit"}</definedName>
    <definedName name="_1006__FDSAUDITLINK__" hidden="1">{"fdsup://Directions/FactSet Auditing Viewer?action=AUDIT_VALUE&amp;DB=129&amp;ID1=24903010&amp;VALUEID=01001&amp;SDATE=201002&amp;PERIODTYPE=QTR_STD&amp;window=popup_no_bar&amp;width=385&amp;height=120&amp;START_MAXIMIZED=FALSE&amp;creator=factset&amp;display_string=Audit"}</definedName>
    <definedName name="_1007__FDSAUDITLINK__" hidden="1">{"fdsup://Directions/FactSet Auditing Viewer?action=AUDIT_VALUE&amp;DB=129&amp;ID1=30231G10&amp;VALUEID=01001&amp;SDATE=200902&amp;PERIODTYPE=QTR_STD&amp;window=popup_no_bar&amp;width=385&amp;height=120&amp;START_MAXIMIZED=FALSE&amp;creator=factset&amp;display_string=Audit"}</definedName>
    <definedName name="_1008__FDSAUDITLINK__" hidden="1">{"fdsup://Directions/FactSet Auditing Viewer?action=AUDIT_VALUE&amp;DB=129&amp;ID1=30231G10&amp;VALUEID=01001&amp;SDATE=201002&amp;PERIODTYPE=QTR_STD&amp;window=popup_no_bar&amp;width=385&amp;height=120&amp;START_MAXIMIZED=FALSE&amp;creator=factset&amp;display_string=Audit"}</definedName>
    <definedName name="_1009__FDSAUDITLINK__" hidden="1">{"fdsup://Directions/FactSet Auditing Viewer?action=AUDIT_VALUE&amp;DB=129&amp;ID1=98391910&amp;VALUEID=01001&amp;SDATE=200901&amp;PERIODTYPE=QTR_STD&amp;window=popup_no_bar&amp;width=385&amp;height=120&amp;START_MAXIMIZED=FALSE&amp;creator=factset&amp;display_string=Audit"}</definedName>
    <definedName name="_101__FDSAUDITLINK__"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0__FDSAUDITLINK__" hidden="1">{"fdsup://Directions/FactSet Auditing Viewer?action=AUDIT_VALUE&amp;DB=129&amp;ID1=98391910&amp;VALUEID=01001&amp;SDATE=201001&amp;PERIODTYPE=QTR_STD&amp;window=popup_no_bar&amp;width=385&amp;height=120&amp;START_MAXIMIZED=FALSE&amp;creator=factset&amp;display_string=Audit"}</definedName>
    <definedName name="_1011__FDSAUDITLINK__" hidden="1">{"fdsup://Directions/FactSet Auditing Viewer?action=AUDIT_VALUE&amp;DB=129&amp;ID1=G9825510&amp;VALUEID=01001&amp;SDATE=200902&amp;PERIODTYPE=QTR_STD&amp;window=popup_no_bar&amp;width=385&amp;height=120&amp;START_MAXIMIZED=FALSE&amp;creator=factset&amp;display_string=Audit"}</definedName>
    <definedName name="_1012__FDSAUDITLINK__" hidden="1">{"fdsup://Directions/FactSet Auditing Viewer?action=AUDIT_VALUE&amp;DB=129&amp;ID1=G9825510&amp;VALUEID=01001&amp;SDATE=201002&amp;PERIODTYPE=QTR_STD&amp;window=popup_no_bar&amp;width=385&amp;height=120&amp;START_MAXIMIZED=FALSE&amp;creator=factset&amp;display_string=Audit"}</definedName>
    <definedName name="_1013__FDSAUDITLINK__" hidden="1">{"fdsup://Directions/FactSet Auditing Viewer?action=AUDIT_VALUE&amp;DB=129&amp;ID1=98389B10&amp;VALUEID=01001&amp;SDATE=200902&amp;PERIODTYPE=QTR_STD&amp;window=popup_no_bar&amp;width=385&amp;height=120&amp;START_MAXIMIZED=FALSE&amp;creator=factset&amp;display_string=Audit"}</definedName>
    <definedName name="_1014__FDSAUDITLINK__" hidden="1">{"fdsup://Directions/FactSet Auditing Viewer?action=AUDIT_VALUE&amp;DB=129&amp;ID1=98389B10&amp;VALUEID=01001&amp;SDATE=201002&amp;PERIODTYPE=QTR_STD&amp;window=popup_no_bar&amp;width=385&amp;height=120&amp;START_MAXIMIZED=FALSE&amp;creator=factset&amp;display_string=Audit"}</definedName>
    <definedName name="_1015__FDSAUDITLINK__" hidden="1">{"fdsup://Directions/FactSet Auditing Viewer?action=AUDIT_VALUE&amp;DB=129&amp;ID1=91290910&amp;VALUEID=01001&amp;SDATE=200902&amp;PERIODTYPE=QTR_STD&amp;window=popup_no_bar&amp;width=385&amp;height=120&amp;START_MAXIMIZED=FALSE&amp;creator=factset&amp;display_string=Audit"}</definedName>
    <definedName name="_1016__FDSAUDITLINK__" hidden="1">{"fdsup://Directions/FactSet Auditing Viewer?action=AUDIT_VALUE&amp;DB=129&amp;ID1=91290910&amp;VALUEID=01001&amp;SDATE=201002&amp;PERIODTYPE=QTR_STD&amp;window=popup_no_bar&amp;width=385&amp;height=120&amp;START_MAXIMIZED=FALSE&amp;creator=factset&amp;display_string=Audit"}</definedName>
    <definedName name="_1017__FDSAUDITLINK__" hidden="1">{"fdsup://Directions/FactSet Auditing Viewer?action=AUDIT_VALUE&amp;DB=129&amp;ID1=98313410&amp;VALUEID=01001&amp;SDATE=200902&amp;PERIODTYPE=QTR_STD&amp;window=popup_no_bar&amp;width=385&amp;height=120&amp;START_MAXIMIZED=FALSE&amp;creator=factset&amp;display_string=Audit"}</definedName>
    <definedName name="_1018__FDSAUDITLINK__" hidden="1">{"fdsup://Directions/FactSet Auditing Viewer?action=AUDIT_VALUE&amp;DB=129&amp;ID1=98313410&amp;VALUEID=01001&amp;SDATE=201002&amp;PERIODTYPE=QTR_STD&amp;window=popup_no_bar&amp;width=385&amp;height=120&amp;START_MAXIMIZED=FALSE&amp;creator=factset&amp;display_string=Audit"}</definedName>
    <definedName name="_1019__FDSAUDITLINK__" hidden="1">{"fdsup://Directions/FactSet Auditing Viewer?action=AUDIT_VALUE&amp;DB=129&amp;ID1=98310W10&amp;VALUEID=01001&amp;SDATE=200902&amp;PERIODTYPE=QTR_STD&amp;window=popup_no_bar&amp;width=385&amp;height=120&amp;START_MAXIMIZED=FALSE&amp;creator=factset&amp;display_string=Audit"}</definedName>
    <definedName name="_102__FDSAUDITLINK__"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0__FDSAUDITLINK__" hidden="1">{"fdsup://Directions/FactSet Auditing Viewer?action=AUDIT_VALUE&amp;DB=129&amp;ID1=98310W10&amp;VALUEID=01001&amp;SDATE=201002&amp;PERIODTYPE=QTR_STD&amp;window=popup_no_bar&amp;width=385&amp;height=120&amp;START_MAXIMIZED=FALSE&amp;creator=factset&amp;display_string=Audit"}</definedName>
    <definedName name="_1021__FDSAUDITLINK__" hidden="1">{"fdsup://Directions/FactSet Auditing Viewer?action=AUDIT_VALUE&amp;DB=129&amp;ID1=96216610&amp;VALUEID=01001&amp;SDATE=200902&amp;PERIODTYPE=QTR_STD&amp;window=popup_no_bar&amp;width=385&amp;height=120&amp;START_MAXIMIZED=FALSE&amp;creator=factset&amp;display_string=Audit"}</definedName>
    <definedName name="_1022__FDSAUDITLINK__" hidden="1">{"fdsup://Directions/FactSet Auditing Viewer?action=AUDIT_VALUE&amp;DB=129&amp;ID1=96216610&amp;VALUEID=01001&amp;SDATE=201002&amp;PERIODTYPE=QTR_STD&amp;window=popup_no_bar&amp;width=385&amp;height=120&amp;START_MAXIMIZED=FALSE&amp;creator=factset&amp;display_string=Audit"}</definedName>
    <definedName name="_1023__FDSAUDITLINK__" hidden="1">{"fdsup://Directions/FactSet Auditing Viewer?action=AUDIT_VALUE&amp;DB=129&amp;ID1=95980210&amp;VALUEID=01001&amp;SDATE=200902&amp;PERIODTYPE=QTR_STD&amp;window=popup_no_bar&amp;width=385&amp;height=120&amp;START_MAXIMIZED=FALSE&amp;creator=factset&amp;display_string=Audit"}</definedName>
    <definedName name="_1024__FDSAUDITLINK__" hidden="1">{"fdsup://Directions/FactSet Auditing Viewer?action=AUDIT_VALUE&amp;DB=129&amp;ID1=95980210&amp;VALUEID=01001&amp;SDATE=201002&amp;PERIODTYPE=QTR_STD&amp;window=popup_no_bar&amp;width=385&amp;height=120&amp;START_MAXIMIZED=FALSE&amp;creator=factset&amp;display_string=Audit"}</definedName>
    <definedName name="_1025__FDSAUDITLINK__" hidden="1">{"fdsup://Directions/FactSet Auditing Viewer?action=AUDIT_VALUE&amp;DB=129&amp;ID1=93964010&amp;VALUEID=01001&amp;SDATE=200902&amp;PERIODTYPE=QTR_STD&amp;window=popup_no_bar&amp;width=385&amp;height=120&amp;START_MAXIMIZED=FALSE&amp;creator=factset&amp;display_string=Audit"}</definedName>
    <definedName name="_1026__FDSAUDITLINK__" hidden="1">{"fdsup://Directions/FactSet Auditing Viewer?action=AUDIT_VALUE&amp;DB=129&amp;ID1=93964010&amp;VALUEID=01001&amp;SDATE=201002&amp;PERIODTYPE=QTR_STD&amp;window=popup_no_bar&amp;width=385&amp;height=120&amp;START_MAXIMIZED=FALSE&amp;creator=factset&amp;display_string=Audit"}</definedName>
    <definedName name="_1027__FDSAUDITLINK__" hidden="1">{"fdsup://Directions/FactSet Auditing Viewer?action=AUDIT_VALUE&amp;DB=129&amp;ID1=94268310&amp;VALUEID=01001&amp;SDATE=200902&amp;PERIODTYPE=QTR_STD&amp;window=popup_no_bar&amp;width=385&amp;height=120&amp;START_MAXIMIZED=FALSE&amp;creator=factset&amp;display_string=Audit"}</definedName>
    <definedName name="_1028__FDSAUDITLINK__" hidden="1">{"fdsup://Directions/FactSet Auditing Viewer?action=AUDIT_VALUE&amp;DB=129&amp;ID1=94268310&amp;VALUEID=01001&amp;SDATE=201002&amp;PERIODTYPE=QTR_STD&amp;window=popup_no_bar&amp;width=385&amp;height=120&amp;START_MAXIMIZED=FALSE&amp;creator=factset&amp;display_string=Audit"}</definedName>
    <definedName name="_1029__FDSAUDITLINK__" hidden="1">{"fdsup://Directions/FactSet Auditing Viewer?action=AUDIT_VALUE&amp;DB=129&amp;ID1=93114210&amp;VALUEID=01001&amp;SDATE=200901&amp;PERIODTYPE=QTR_STD&amp;window=popup_no_bar&amp;width=385&amp;height=120&amp;START_MAXIMIZED=FALSE&amp;creator=factset&amp;display_string=Audit"}</definedName>
    <definedName name="_103__FDSAUDITLINK__"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0__FDSAUDITLINK__" hidden="1">{"fdsup://Directions/FactSet Auditing Viewer?action=AUDIT_VALUE&amp;DB=129&amp;ID1=93114210&amp;VALUEID=01001&amp;SDATE=201001&amp;PERIODTYPE=QTR_STD&amp;window=popup_no_bar&amp;width=385&amp;height=120&amp;START_MAXIMIZED=FALSE&amp;creator=factset&amp;display_string=Audit"}</definedName>
    <definedName name="_1031__FDSAUDITLINK__" hidden="1">{"fdsup://Directions/FactSet Auditing Viewer?action=AUDIT_VALUE&amp;DB=129&amp;ID1=96945710&amp;VALUEID=01001&amp;SDATE=200902&amp;PERIODTYPE=QTR_STD&amp;window=popup_no_bar&amp;width=385&amp;height=120&amp;START_MAXIMIZED=FALSE&amp;creator=factset&amp;display_string=Audit"}</definedName>
    <definedName name="_1032__FDSAUDITLINK__" hidden="1">{"fdsup://Directions/FactSet Auditing Viewer?action=AUDIT_VALUE&amp;DB=129&amp;ID1=96945710&amp;VALUEID=01001&amp;SDATE=201002&amp;PERIODTYPE=QTR_STD&amp;window=popup_no_bar&amp;width=385&amp;height=120&amp;START_MAXIMIZED=FALSE&amp;creator=factset&amp;display_string=Audit"}</definedName>
    <definedName name="_1033__FDSAUDITLINK__" hidden="1">{"fdsup://Directions/FactSet Auditing Viewer?action=AUDIT_VALUE&amp;DB=129&amp;ID1=94106L10&amp;VALUEID=01001&amp;SDATE=200902&amp;PERIODTYPE=QTR_STD&amp;window=popup_no_bar&amp;width=385&amp;height=120&amp;START_MAXIMIZED=FALSE&amp;creator=factset&amp;display_string=Audit"}</definedName>
    <definedName name="_1034__FDSAUDITLINK__" hidden="1">{"fdsup://Directions/FactSet Auditing Viewer?action=AUDIT_VALUE&amp;DB=129&amp;ID1=94106L10&amp;VALUEID=01001&amp;SDATE=201002&amp;PERIODTYPE=QTR_STD&amp;window=popup_no_bar&amp;width=385&amp;height=120&amp;START_MAXIMIZED=FALSE&amp;creator=factset&amp;display_string=Audit"}</definedName>
    <definedName name="_1035__FDSAUDITLINK__" hidden="1">{"fdsup://Directions/FactSet Auditing Viewer?action=AUDIT_VALUE&amp;DB=129&amp;ID1=94973V10&amp;VALUEID=01001&amp;SDATE=200902&amp;PERIODTYPE=QTR_STD&amp;window=popup_no_bar&amp;width=385&amp;height=120&amp;START_MAXIMIZED=FALSE&amp;creator=factset&amp;display_string=Audit"}</definedName>
    <definedName name="_1036__FDSAUDITLINK__" hidden="1">{"fdsup://Directions/FactSet Auditing Viewer?action=AUDIT_VALUE&amp;DB=129&amp;ID1=94973V10&amp;VALUEID=01001&amp;SDATE=201002&amp;PERIODTYPE=QTR_STD&amp;window=popup_no_bar&amp;width=385&amp;height=120&amp;START_MAXIMIZED=FALSE&amp;creator=factset&amp;display_string=Audit"}</definedName>
    <definedName name="_1037__FDSAUDITLINK__" hidden="1">{"fdsup://Directions/FactSet Auditing Viewer?action=AUDIT_VALUE&amp;DB=129&amp;ID1=97381W10&amp;VALUEID=01001&amp;SDATE=200902&amp;PERIODTYPE=QTR_STD&amp;window=popup_no_bar&amp;width=385&amp;height=120&amp;START_MAXIMIZED=FALSE&amp;creator=factset&amp;display_string=Audit"}</definedName>
    <definedName name="_1038__FDSAUDITLINK__" hidden="1">{"fdsup://Directions/FactSet Auditing Viewer?action=AUDIT_VALUE&amp;DB=129&amp;ID1=97381W10&amp;VALUEID=01001&amp;SDATE=201002&amp;PERIODTYPE=QTR_STD&amp;window=popup_no_bar&amp;width=385&amp;height=120&amp;START_MAXIMIZED=FALSE&amp;creator=factset&amp;display_string=Audit"}</definedName>
    <definedName name="_1039__FDSAUDITLINK__" hidden="1">{"fdsup://Directions/FactSet Auditing Viewer?action=AUDIT_VALUE&amp;DB=129&amp;ID1=96332010&amp;VALUEID=01001&amp;SDATE=200902&amp;PERIODTYPE=QTR_STD&amp;window=popup_no_bar&amp;width=385&amp;height=120&amp;START_MAXIMIZED=FALSE&amp;creator=factset&amp;display_string=Audit"}</definedName>
    <definedName name="_104__FDSAUDITLINK__"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0__FDSAUDITLINK__" hidden="1">{"fdsup://Directions/FactSet Auditing Viewer?action=AUDIT_VALUE&amp;DB=129&amp;ID1=96332010&amp;VALUEID=01001&amp;SDATE=201002&amp;PERIODTYPE=QTR_STD&amp;window=popup_no_bar&amp;width=385&amp;height=120&amp;START_MAXIMIZED=FALSE&amp;creator=factset&amp;display_string=Audit"}</definedName>
    <definedName name="_1041__FDSAUDITLINK__" hidden="1">{"fdsup://Directions/FactSet Auditing Viewer?action=AUDIT_VALUE&amp;DB=129&amp;ID1=55271510&amp;VALUEID=01001&amp;SDATE=200902&amp;PERIODTYPE=QTR_STD&amp;window=popup_no_bar&amp;width=385&amp;height=120&amp;START_MAXIMIZED=FALSE&amp;creator=factset&amp;display_string=Audit"}</definedName>
    <definedName name="_1042__FDSAUDITLINK__" hidden="1">{"fdsup://Directions/FactSet Auditing Viewer?action=AUDIT_VALUE&amp;DB=129&amp;ID1=55271510&amp;VALUEID=01001&amp;SDATE=201002&amp;PERIODTYPE=QTR_STD&amp;window=popup_no_bar&amp;width=385&amp;height=120&amp;START_MAXIMIZED=FALSE&amp;creator=factset&amp;display_string=Audit"}</definedName>
    <definedName name="_1043__FDSAUDITLINK__" hidden="1">{"fdsup://Directions/FactSet Auditing Viewer?action=AUDIT_VALUE&amp;DB=129&amp;ID1=96683710&amp;VALUEID=01001&amp;SDATE=200902&amp;PERIODTYPE=QTR_STD&amp;window=popup_no_bar&amp;width=385&amp;height=120&amp;START_MAXIMIZED=FALSE&amp;creator=factset&amp;display_string=Audit"}</definedName>
    <definedName name="_1044__FDSAUDITLINK__" hidden="1">{"fdsup://Directions/FactSet Auditing Viewer?action=AUDIT_VALUE&amp;DB=129&amp;ID1=96683710&amp;VALUEID=01001&amp;SDATE=201002&amp;PERIODTYPE=QTR_STD&amp;window=popup_no_bar&amp;width=385&amp;height=120&amp;START_MAXIMIZED=FALSE&amp;creator=factset&amp;display_string=Audit"}</definedName>
    <definedName name="_1045__FDSAUDITLINK__" hidden="1">{"fdsup://Directions/FactSet Auditing Viewer?action=AUDIT_VALUE&amp;DB=129&amp;ID1=97665710&amp;VALUEID=01001&amp;SDATE=200902&amp;PERIODTYPE=QTR_STD&amp;window=popup_no_bar&amp;width=385&amp;height=120&amp;START_MAXIMIZED=FALSE&amp;creator=factset&amp;display_string=Audit"}</definedName>
    <definedName name="_1046__FDSAUDITLINK__" hidden="1">{"fdsup://Directions/FactSet Auditing Viewer?action=AUDIT_VALUE&amp;DB=129&amp;ID1=97665710&amp;VALUEID=01001&amp;SDATE=201002&amp;PERIODTYPE=QTR_STD&amp;window=popup_no_bar&amp;width=385&amp;height=120&amp;START_MAXIMIZED=FALSE&amp;creator=factset&amp;display_string=Audit"}</definedName>
    <definedName name="_1047__FDSAUDITLINK__" hidden="1">{"fdsup://Directions/FactSet Auditing Viewer?action=AUDIT_VALUE&amp;DB=129&amp;ID1=95810210&amp;VALUEID=01001&amp;SDATE=200904&amp;PERIODTYPE=QTR_STD&amp;window=popup_no_bar&amp;width=385&amp;height=120&amp;START_MAXIMIZED=FALSE&amp;creator=factset&amp;display_string=Audit"}</definedName>
    <definedName name="_1048__FDSAUDITLINK__" hidden="1">{"fdsup://Directions/FactSet Auditing Viewer?action=AUDIT_VALUE&amp;DB=129&amp;ID1=95810210&amp;VALUEID=01001&amp;SDATE=201004&amp;PERIODTYPE=QTR_STD&amp;window=popup_no_bar&amp;width=385&amp;height=120&amp;START_MAXIMIZED=FALSE&amp;creator=factset&amp;display_string=Audit"}</definedName>
    <definedName name="_1049__FDSAUDITLINK__" hidden="1">{"fdsup://Directions/FactSet Auditing Viewer?action=AUDIT_VALUE&amp;DB=129&amp;ID1=94184810&amp;VALUEID=01001&amp;SDATE=200902&amp;PERIODTYPE=QTR_STD&amp;window=popup_no_bar&amp;width=385&amp;height=120&amp;START_MAXIMIZED=FALSE&amp;creator=factset&amp;display_string=Audit"}</definedName>
    <definedName name="_105__FDSAUDITLINK__"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0__FDSAUDITLINK__" hidden="1">{"fdsup://Directions/FactSet Auditing Viewer?action=AUDIT_VALUE&amp;DB=129&amp;ID1=94184810&amp;VALUEID=01001&amp;SDATE=201002&amp;PERIODTYPE=QTR_STD&amp;window=popup_no_bar&amp;width=385&amp;height=120&amp;START_MAXIMIZED=FALSE&amp;creator=factset&amp;display_string=Audit"}</definedName>
    <definedName name="_1051__FDSAUDITLINK__" hidden="1">{"fdsup://Directions/FactSet Auditing Viewer?action=AUDIT_VALUE&amp;DB=129&amp;ID1=93142210&amp;VALUEID=01001&amp;SDATE=200903&amp;PERIODTYPE=QTR_STD&amp;window=popup_no_bar&amp;width=385&amp;height=120&amp;START_MAXIMIZED=FALSE&amp;creator=factset&amp;display_string=Audit"}</definedName>
    <definedName name="_1052__FDSAUDITLINK__" hidden="1">{"fdsup://Directions/FactSet Auditing Viewer?action=AUDIT_VALUE&amp;DB=129&amp;ID1=93142210&amp;VALUEID=01001&amp;SDATE=201003&amp;PERIODTYPE=QTR_STD&amp;window=popup_no_bar&amp;width=385&amp;height=120&amp;START_MAXIMIZED=FALSE&amp;creator=factset&amp;display_string=Audit"}</definedName>
    <definedName name="_1053__FDSAUDITLINK__" hidden="1">{"fdsup://Directions/FactSet Auditing Viewer?action=AUDIT_VALUE&amp;DB=129&amp;ID1=92343V10&amp;VALUEID=01001&amp;SDATE=200902&amp;PERIODTYPE=QTR_STD&amp;window=popup_no_bar&amp;width=385&amp;height=120&amp;START_MAXIMIZED=FALSE&amp;creator=factset&amp;display_string=Audit"}</definedName>
    <definedName name="_1054__FDSAUDITLINK__" hidden="1">{"fdsup://Directions/FactSet Auditing Viewer?action=AUDIT_VALUE&amp;DB=129&amp;ID1=92343V10&amp;VALUEID=01001&amp;SDATE=201002&amp;PERIODTYPE=QTR_STD&amp;window=popup_no_bar&amp;width=385&amp;height=120&amp;START_MAXIMIZED=FALSE&amp;creator=factset&amp;display_string=Audit"}</definedName>
    <definedName name="_1055__FDSAUDITLINK__" hidden="1">{"fdsup://Directions/FactSet Auditing Viewer?action=AUDIT_VALUE&amp;DB=129&amp;ID1=92276F10&amp;VALUEID=01001&amp;SDATE=200902&amp;PERIODTYPE=QTR_STD&amp;window=popup_no_bar&amp;width=385&amp;height=120&amp;START_MAXIMIZED=FALSE&amp;creator=factset&amp;display_string=Audit"}</definedName>
    <definedName name="_1056__FDSAUDITLINK__" hidden="1">{"fdsup://Directions/FactSet Auditing Viewer?action=AUDIT_VALUE&amp;DB=129&amp;ID1=92276F10&amp;VALUEID=01001&amp;SDATE=201002&amp;PERIODTYPE=QTR_STD&amp;window=popup_no_bar&amp;width=385&amp;height=120&amp;START_MAXIMIZED=FALSE&amp;creator=factset&amp;display_string=Audit"}</definedName>
    <definedName name="_1057__FDSAUDITLINK__" hidden="1">{"fdsup://Directions/FactSet Auditing Viewer?action=AUDIT_VALUE&amp;DB=129&amp;ID1=92343E10&amp;VALUEID=01001&amp;SDATE=200902&amp;PERIODTYPE=QTR_STD&amp;window=popup_no_bar&amp;width=385&amp;height=120&amp;START_MAXIMIZED=FALSE&amp;creator=factset&amp;display_string=Audit"}</definedName>
    <definedName name="_1058__FDSAUDITLINK__" hidden="1">{"fdsup://Directions/FactSet Auditing Viewer?action=AUDIT_VALUE&amp;DB=129&amp;ID1=92343E10&amp;VALUEID=01001&amp;SDATE=201002&amp;PERIODTYPE=QTR_STD&amp;window=popup_no_bar&amp;width=385&amp;height=120&amp;START_MAXIMIZED=FALSE&amp;creator=factset&amp;display_string=Audit"}</definedName>
    <definedName name="_1059__FDSAUDITLINK__" hidden="1">{"fdsup://Directions/FactSet Auditing Viewer?action=AUDIT_VALUE&amp;DB=129&amp;ID1=92904210&amp;VALUEID=01001&amp;SDATE=200902&amp;PERIODTYPE=QTR_STD&amp;window=popup_no_bar&amp;width=385&amp;height=120&amp;START_MAXIMIZED=FALSE&amp;creator=factset&amp;display_string=Audit"}</definedName>
    <definedName name="_106__FDSAUDITLINK__"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0__FDSAUDITLINK__" hidden="1">{"fdsup://Directions/FactSet Auditing Viewer?action=AUDIT_VALUE&amp;DB=129&amp;ID1=92904210&amp;VALUEID=01001&amp;SDATE=201002&amp;PERIODTYPE=QTR_STD&amp;window=popup_no_bar&amp;width=385&amp;height=120&amp;START_MAXIMIZED=FALSE&amp;creator=factset&amp;display_string=Audit"}</definedName>
    <definedName name="_1061__FDSAUDITLINK__" hidden="1">{"fdsup://Directions/FactSet Auditing Viewer?action=AUDIT_VALUE&amp;DB=129&amp;ID1=92916010&amp;VALUEID=01001&amp;SDATE=200902&amp;PERIODTYPE=QTR_STD&amp;window=popup_no_bar&amp;width=385&amp;height=120&amp;START_MAXIMIZED=FALSE&amp;creator=factset&amp;display_string=Audit"}</definedName>
    <definedName name="_1062__FDSAUDITLINK__" hidden="1">{"fdsup://Directions/FactSet Auditing Viewer?action=AUDIT_VALUE&amp;DB=129&amp;ID1=92916010&amp;VALUEID=01001&amp;SDATE=201002&amp;PERIODTYPE=QTR_STD&amp;window=popup_no_bar&amp;width=385&amp;height=120&amp;START_MAXIMIZED=FALSE&amp;creator=factset&amp;display_string=Audit"}</definedName>
    <definedName name="_1063__FDSAUDITLINK__" hidden="1">{"fdsup://Directions/FactSet Auditing Viewer?action=AUDIT_VALUE&amp;DB=129&amp;ID1=91913Y10&amp;VALUEID=01001&amp;SDATE=200902&amp;PERIODTYPE=QTR_STD&amp;window=popup_no_bar&amp;width=385&amp;height=120&amp;START_MAXIMIZED=FALSE&amp;creator=factset&amp;display_string=Audit"}</definedName>
    <definedName name="_1064__FDSAUDITLINK__" hidden="1">{"fdsup://Directions/FactSet Auditing Viewer?action=AUDIT_VALUE&amp;DB=129&amp;ID1=91913Y10&amp;VALUEID=01001&amp;SDATE=201002&amp;PERIODTYPE=QTR_STD&amp;window=popup_no_bar&amp;width=385&amp;height=120&amp;START_MAXIMIZED=FALSE&amp;creator=factset&amp;display_string=Audit"}</definedName>
    <definedName name="_1065__FDSAUDITLINK__" hidden="1">{"fdsup://Directions/FactSet Auditing Viewer?action=AUDIT_VALUE&amp;DB=129&amp;ID1=92553P20&amp;VALUEID=01001&amp;SDATE=200902&amp;PERIODTYPE=QTR_STD&amp;window=popup_no_bar&amp;width=385&amp;height=120&amp;START_MAXIMIZED=FALSE&amp;creator=factset&amp;display_string=Audit"}</definedName>
    <definedName name="_1066__FDSAUDITLINK__" hidden="1">{"fdsup://Directions/FactSet Auditing Viewer?action=AUDIT_VALUE&amp;DB=129&amp;ID1=92553P20&amp;VALUEID=01001&amp;SDATE=201002&amp;PERIODTYPE=QTR_STD&amp;window=popup_no_bar&amp;width=385&amp;height=120&amp;START_MAXIMIZED=FALSE&amp;creator=factset&amp;display_string=Audit"}</definedName>
    <definedName name="_1067__FDSAUDITLINK__" hidden="1">{"fdsup://Directions/FactSet Auditing Viewer?action=AUDIT_VALUE&amp;DB=129&amp;ID1=91820410&amp;VALUEID=01001&amp;SDATE=200902&amp;PERIODTYPE=QTR_STD&amp;window=popup_no_bar&amp;width=385&amp;height=120&amp;START_MAXIMIZED=FALSE&amp;creator=factset&amp;display_string=Audit"}</definedName>
    <definedName name="_1068__FDSAUDITLINK__" hidden="1">{"fdsup://Directions/FactSet Auditing Viewer?action=AUDIT_VALUE&amp;DB=129&amp;ID1=91820410&amp;VALUEID=01001&amp;SDATE=201002&amp;PERIODTYPE=QTR_STD&amp;window=popup_no_bar&amp;width=385&amp;height=120&amp;START_MAXIMIZED=FALSE&amp;creator=factset&amp;display_string=Audit"}</definedName>
    <definedName name="_1069__FDSAUDITLINK__" hidden="1">{"fdsup://Directions/FactSet Auditing Viewer?action=AUDIT_VALUE&amp;DB=129&amp;ID1=92220P10&amp;VALUEID=01001&amp;SDATE=200903&amp;PERIODTYPE=QTR_STD&amp;window=popup_no_bar&amp;width=385&amp;height=120&amp;START_MAXIMIZED=FALSE&amp;creator=factset&amp;display_string=Audit"}</definedName>
    <definedName name="_107__FDSAUDITLINK__"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0__FDSAUDITLINK__" hidden="1">{"fdsup://Directions/FactSet Auditing Viewer?action=AUDIT_VALUE&amp;DB=129&amp;ID1=92220P10&amp;VALUEID=01001&amp;SDATE=201003&amp;PERIODTYPE=QTR_STD&amp;window=popup_no_bar&amp;width=385&amp;height=120&amp;START_MAXIMIZED=FALSE&amp;creator=factset&amp;display_string=Audit"}</definedName>
    <definedName name="_1071__FDSAUDITLINK__" hidden="1">{"fdsup://Directions/FactSet Auditing Viewer?action=AUDIT_VALUE&amp;DB=129&amp;ID1=92826C83&amp;VALUEID=01001&amp;SDATE=200903&amp;PERIODTYPE=QTR_STD&amp;window=popup_no_bar&amp;width=385&amp;height=120&amp;START_MAXIMIZED=FALSE&amp;creator=factset&amp;display_string=Audit"}</definedName>
    <definedName name="_1072__FDSAUDITLINK__" hidden="1">{"fdsup://Directions/FactSet Auditing Viewer?action=AUDIT_VALUE&amp;DB=129&amp;ID1=92826C83&amp;VALUEID=01001&amp;SDATE=201003&amp;PERIODTYPE=QTR_STD&amp;window=popup_no_bar&amp;width=385&amp;height=120&amp;START_MAXIMIZED=FALSE&amp;creator=factset&amp;display_string=Audit"}</definedName>
    <definedName name="_1073__FDSAUDITLINK__" hidden="1">{"fdsup://Directions/FactSet Auditing Viewer?action=AUDIT_VALUE&amp;DB=129&amp;ID1=91301710&amp;VALUEID=01001&amp;SDATE=200902&amp;PERIODTYPE=QTR_STD&amp;window=popup_no_bar&amp;width=385&amp;height=120&amp;START_MAXIMIZED=FALSE&amp;creator=factset&amp;display_string=Audit"}</definedName>
    <definedName name="_1074__FDSAUDITLINK__" hidden="1">{"fdsup://Directions/FactSet Auditing Viewer?action=AUDIT_VALUE&amp;DB=129&amp;ID1=91301710&amp;VALUEID=01001&amp;SDATE=201002&amp;PERIODTYPE=QTR_STD&amp;window=popup_no_bar&amp;width=385&amp;height=120&amp;START_MAXIMIZED=FALSE&amp;creator=factset&amp;display_string=Audit"}</definedName>
    <definedName name="_107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076__FDSAUDITLINK__" hidden="1">{"fdsup://Directions/FactSet Auditing Viewer?action=AUDIT_VALUE&amp;DB=129&amp;ID1=91131210&amp;VALUEID=01001&amp;SDATE=200902&amp;PERIODTYPE=QTR_STD&amp;window=popup_no_bar&amp;width=385&amp;height=120&amp;START_MAXIMIZED=FALSE&amp;creator=factset&amp;display_string=Audit"}</definedName>
    <definedName name="_1077__FDSAUDITLINK__" hidden="1">{"fdsup://Directions/FactSet Auditing Viewer?action=AUDIT_VALUE&amp;DB=129&amp;ID1=91131210&amp;VALUEID=01001&amp;SDATE=201002&amp;PERIODTYPE=QTR_STD&amp;window=popup_no_bar&amp;width=385&amp;height=120&amp;START_MAXIMIZED=FALSE&amp;creator=factset&amp;display_string=Audit"}</definedName>
    <definedName name="_1078__FDSAUDITLINK__" hidden="1">{"fdsup://Directions/FactSet Auditing Viewer?action=AUDIT_VALUE&amp;DB=129&amp;ID1=90781810&amp;VALUEID=01001&amp;SDATE=200902&amp;PERIODTYPE=QTR_STD&amp;window=popup_no_bar&amp;width=385&amp;height=120&amp;START_MAXIMIZED=FALSE&amp;creator=factset&amp;display_string=Audit"}</definedName>
    <definedName name="_1079__FDSAUDITLINK__" hidden="1">{"fdsup://Directions/FactSet Auditing Viewer?action=AUDIT_VALUE&amp;DB=129&amp;ID1=90781810&amp;VALUEID=01001&amp;SDATE=201002&amp;PERIODTYPE=QTR_STD&amp;window=popup_no_bar&amp;width=385&amp;height=120&amp;START_MAXIMIZED=FALSE&amp;creator=factset&amp;display_string=Audit"}</definedName>
    <definedName name="_108__FDSAUDITLINK__"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0__FDSAUDITLINK__" hidden="1">{"fdsup://Directions/FactSet Auditing Viewer?action=AUDIT_VALUE&amp;DB=129&amp;ID1=91529Y10&amp;VALUEID=01001&amp;SDATE=201002&amp;PERIODTYPE=QTR_STD&amp;window=popup_no_bar&amp;width=385&amp;height=120&amp;START_MAXIMIZED=FALSE&amp;creator=factset&amp;display_string=Audit"}</definedName>
    <definedName name="_1081__FDSAUDITLINK__" hidden="1">{"fdsup://Directions/FactSet Auditing Viewer?action=AUDIT_VALUE&amp;DB=129&amp;ID1=91324P10&amp;VALUEID=01001&amp;SDATE=200902&amp;PERIODTYPE=QTR_STD&amp;window=popup_no_bar&amp;width=385&amp;height=120&amp;START_MAXIMIZED=FALSE&amp;creator=factset&amp;display_string=Audit"}</definedName>
    <definedName name="_1082__FDSAUDITLINK__" hidden="1">{"fdsup://Directions/FactSet Auditing Viewer?action=AUDIT_VALUE&amp;DB=129&amp;ID1=91324P10&amp;VALUEID=01001&amp;SDATE=201002&amp;PERIODTYPE=QTR_STD&amp;window=popup_no_bar&amp;width=385&amp;height=120&amp;START_MAXIMIZED=FALSE&amp;creator=factset&amp;display_string=Audit"}</definedName>
    <definedName name="_1083__FDSAUDITLINK__" hidden="1">{"fdsup://Directions/FactSet Auditing Viewer?action=AUDIT_VALUE&amp;DB=129&amp;ID1=H8912810&amp;VALUEID=01001&amp;SDATE=200903&amp;PERIODTYPE=QTR_STD&amp;window=popup_no_bar&amp;width=385&amp;height=120&amp;START_MAXIMIZED=FALSE&amp;creator=factset&amp;display_string=Audit"}</definedName>
    <definedName name="_1084__FDSAUDITLINK__" hidden="1">{"fdsup://Directions/FactSet Auditing Viewer?action=AUDIT_VALUE&amp;DB=129&amp;ID1=H8912810&amp;VALUEID=01001&amp;SDATE=201003&amp;PERIODTYPE=QTR_STD&amp;window=popup_no_bar&amp;width=385&amp;height=120&amp;START_MAXIMIZED=FALSE&amp;creator=factset&amp;display_string=Audit"}</definedName>
    <definedName name="_1085__FDSAUDITLINK__" hidden="1">{"fdsup://Directions/FactSet Auditing Viewer?action=AUDIT_VALUE&amp;DB=129&amp;ID1=88320310&amp;VALUEID=01001&amp;SDATE=200902&amp;PERIODTYPE=QTR_STD&amp;window=popup_no_bar&amp;width=385&amp;height=120&amp;START_MAXIMIZED=FALSE&amp;creator=factset&amp;display_string=Audit"}</definedName>
    <definedName name="_1086__FDSAUDITLINK__" hidden="1">{"fdsup://Directions/FactSet Auditing Viewer?action=AUDIT_VALUE&amp;DB=129&amp;ID1=88320310&amp;VALUEID=01001&amp;SDATE=201002&amp;PERIODTYPE=QTR_STD&amp;window=popup_no_bar&amp;width=385&amp;height=120&amp;START_MAXIMIZED=FALSE&amp;creator=factset&amp;display_string=Audit"}</definedName>
    <definedName name="_1087__FDSAUDITLINK__" hidden="1">{"fdsup://Directions/FactSet Auditing Viewer?action=AUDIT_VALUE&amp;DB=129&amp;ID1=88250810&amp;VALUEID=01001&amp;SDATE=200902&amp;PERIODTYPE=QTR_STD&amp;window=popup_no_bar&amp;width=385&amp;height=120&amp;START_MAXIMIZED=FALSE&amp;creator=factset&amp;display_string=Audit"}</definedName>
    <definedName name="_1088__FDSAUDITLINK__" hidden="1">{"fdsup://Directions/FactSet Auditing Viewer?action=AUDIT_VALUE&amp;DB=129&amp;ID1=88250810&amp;VALUEID=01001&amp;SDATE=201002&amp;PERIODTYPE=QTR_STD&amp;window=popup_no_bar&amp;width=385&amp;height=120&amp;START_MAXIMIZED=FALSE&amp;creator=factset&amp;display_string=Audit"}</definedName>
    <definedName name="_1089__FDSAUDITLINK__" hidden="1">{"fdsup://Directions/FactSet Auditing Viewer?action=AUDIT_VALUE&amp;DB=129&amp;ID1=88731730&amp;VALUEID=01001&amp;SDATE=200902&amp;PERIODTYPE=QTR_STD&amp;window=popup_no_bar&amp;width=385&amp;height=120&amp;START_MAXIMIZED=FALSE&amp;creator=factset&amp;display_string=Audit"}</definedName>
    <definedName name="_109__FDSAUDITLINK__"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0__FDSAUDITLINK__" hidden="1">{"fdsup://Directions/FactSet Auditing Viewer?action=AUDIT_VALUE&amp;DB=129&amp;ID1=88731730&amp;VALUEID=01001&amp;SDATE=201002&amp;PERIODTYPE=QTR_STD&amp;window=popup_no_bar&amp;width=385&amp;height=120&amp;START_MAXIMIZED=FALSE&amp;creator=factset&amp;display_string=Audit"}</definedName>
    <definedName name="_1091__FDSAUDITLINK__" hidden="1">{"fdsup://Directions/FactSet Auditing Viewer?action=AUDIT_VALUE&amp;DB=129&amp;ID1=88732J20&amp;VALUEID=01001&amp;SDATE=200902&amp;PERIODTYPE=QTR_STD&amp;window=popup_no_bar&amp;width=385&amp;height=120&amp;START_MAXIMIZED=FALSE&amp;creator=factset&amp;display_string=Audit"}</definedName>
    <definedName name="_1092__FDSAUDITLINK__" hidden="1">{"fdsup://Directions/FactSet Auditing Viewer?action=AUDIT_VALUE&amp;DB=129&amp;ID1=88732J20&amp;VALUEID=01001&amp;SDATE=201002&amp;PERIODTYPE=QTR_STD&amp;window=popup_no_bar&amp;width=385&amp;height=120&amp;START_MAXIMIZED=FALSE&amp;creator=factset&amp;display_string=Audit"}</definedName>
    <definedName name="_1093__FDSAUDITLINK__" hidden="1">{"fdsup://Directions/FactSet Auditing Viewer?action=AUDIT_VALUE&amp;DB=129&amp;ID1=89190610&amp;VALUEID=01001&amp;SDATE=200902&amp;PERIODTYPE=QTR_STD&amp;window=popup_no_bar&amp;width=385&amp;height=120&amp;START_MAXIMIZED=FALSE&amp;creator=factset&amp;display_string=Audit"}</definedName>
    <definedName name="_1094__FDSAUDITLINK__" hidden="1">{"fdsup://Directions/FactSet Auditing Viewer?action=AUDIT_VALUE&amp;DB=129&amp;ID1=89190610&amp;VALUEID=01001&amp;SDATE=201002&amp;PERIODTYPE=QTR_STD&amp;window=popup_no_bar&amp;width=385&amp;height=120&amp;START_MAXIMIZED=FALSE&amp;creator=factset&amp;display_string=Audit"}</definedName>
    <definedName name="_1095__FDSAUDITLINK__" hidden="1">{"fdsup://Directions/FactSet Auditing Viewer?action=AUDIT_VALUE&amp;DB=129&amp;ID1=88160910&amp;VALUEID=01001&amp;SDATE=200902&amp;PERIODTYPE=QTR_STD&amp;window=popup_no_bar&amp;width=385&amp;height=120&amp;START_MAXIMIZED=FALSE&amp;creator=factset&amp;display_string=Audit"}</definedName>
    <definedName name="_1096__FDSAUDITLINK__" hidden="1">{"fdsup://Directions/FactSet Auditing Viewer?action=AUDIT_VALUE&amp;DB=129&amp;ID1=88160910&amp;VALUEID=01001&amp;SDATE=201002&amp;PERIODTYPE=QTR_STD&amp;window=popup_no_bar&amp;width=385&amp;height=120&amp;START_MAXIMIZED=FALSE&amp;creator=factset&amp;display_string=Audit"}</definedName>
    <definedName name="_1097__FDSAUDITLINK__" hidden="1">{"fdsup://Directions/FactSet Auditing Viewer?action=AUDIT_VALUE&amp;DB=129&amp;ID1=90249410&amp;VALUEID=01001&amp;SDATE=200903&amp;PERIODTYPE=QTR_STD&amp;window=popup_no_bar&amp;width=385&amp;height=120&amp;START_MAXIMIZED=FALSE&amp;creator=factset&amp;display_string=Audit"}</definedName>
    <definedName name="_1098__FDSAUDITLINK__" hidden="1">{"fdsup://Directions/FactSet Auditing Viewer?action=AUDIT_VALUE&amp;DB=129&amp;ID1=90249410&amp;VALUEID=01001&amp;SDATE=201003&amp;PERIODTYPE=QTR_STD&amp;window=popup_no_bar&amp;width=385&amp;height=120&amp;START_MAXIMIZED=FALSE&amp;creator=factset&amp;display_string=Audit"}</definedName>
    <definedName name="_1099__FDSAUDITLINK__" hidden="1">{"fdsup://Directions/FactSet Auditing Viewer?action=AUDIT_VALUE&amp;DB=129&amp;ID1=89417E10&amp;VALUEID=01001&amp;SDATE=200902&amp;PERIODTYPE=QTR_STD&amp;window=popup_no_bar&amp;width=385&amp;height=120&amp;START_MAXIMIZED=FALSE&amp;creator=factset&amp;display_string=Audit"}</definedName>
    <definedName name="_11__FDSAUDITLINK__"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0__FDSAUDITLINK__"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0__FDSAUDITLINK__" hidden="1">{"fdsup://Directions/FactSet Auditing Viewer?action=AUDIT_VALUE&amp;DB=129&amp;ID1=89417E10&amp;VALUEID=01001&amp;SDATE=201002&amp;PERIODTYPE=QTR_STD&amp;window=popup_no_bar&amp;width=385&amp;height=120&amp;START_MAXIMIZED=FALSE&amp;creator=factset&amp;display_string=Audit"}</definedName>
    <definedName name="_1101__FDSAUDITLINK__" hidden="1">{"fdsup://Directions/FactSet Auditing Viewer?action=AUDIT_VALUE&amp;DB=129&amp;ID1=74144T10&amp;VALUEID=01001&amp;SDATE=200902&amp;PERIODTYPE=QTR_STD&amp;window=popup_no_bar&amp;width=385&amp;height=120&amp;START_MAXIMIZED=FALSE&amp;creator=factset&amp;display_string=Audit"}</definedName>
    <definedName name="_1102__FDSAUDITLINK__" hidden="1">{"fdsup://Directions/FactSet Auditing Viewer?action=AUDIT_VALUE&amp;DB=129&amp;ID1=74144T10&amp;VALUEID=01001&amp;SDATE=201002&amp;PERIODTYPE=QTR_STD&amp;window=popup_no_bar&amp;width=385&amp;height=120&amp;START_MAXIMIZED=FALSE&amp;creator=factset&amp;display_string=Audit"}</definedName>
    <definedName name="_1103__FDSAUDITLINK__" hidden="1">{"fdsup://Directions/FactSet Auditing Viewer?action=AUDIT_VALUE&amp;DB=129&amp;ID1=88355610&amp;VALUEID=01001&amp;SDATE=200902&amp;PERIODTYPE=QTR_STD&amp;window=popup_no_bar&amp;width=385&amp;height=120&amp;START_MAXIMIZED=FALSE&amp;creator=factset&amp;display_string=Audit"}</definedName>
    <definedName name="_1104__FDSAUDITLINK__" hidden="1">{"fdsup://Directions/FactSet Auditing Viewer?action=AUDIT_VALUE&amp;DB=129&amp;ID1=88355610&amp;VALUEID=01001&amp;SDATE=201002&amp;PERIODTYPE=QTR_STD&amp;window=popup_no_bar&amp;width=385&amp;height=120&amp;START_MAXIMIZED=FALSE&amp;creator=factset&amp;display_string=Audit"}</definedName>
    <definedName name="_1105__FDSAUDITLINK__" hidden="1">{"fdsup://Directions/FactSet Auditing Viewer?action=AUDIT_VALUE&amp;DB=129&amp;ID1=89102710&amp;VALUEID=01001&amp;SDATE=200902&amp;PERIODTYPE=QTR_STD&amp;window=popup_no_bar&amp;width=385&amp;height=120&amp;START_MAXIMIZED=FALSE&amp;creator=factset&amp;display_string=Audit"}</definedName>
    <definedName name="_1106__FDSAUDITLINK__" hidden="1">{"fdsup://Directions/FactSet Auditing Viewer?action=AUDIT_VALUE&amp;DB=129&amp;ID1=89102710&amp;VALUEID=01001&amp;SDATE=201002&amp;PERIODTYPE=QTR_STD&amp;window=popup_no_bar&amp;width=385&amp;height=120&amp;START_MAXIMIZED=FALSE&amp;creator=factset&amp;display_string=Audit"}</definedName>
    <definedName name="_1107__FDSAUDITLINK__" hidden="1">{"fdsup://Directions/FactSet Auditing Viewer?action=AUDIT_VALUE&amp;DB=129&amp;ID1=87966410&amp;VALUEID=01001&amp;SDATE=200902&amp;PERIODTYPE=QTR_STD&amp;window=popup_no_bar&amp;width=385&amp;height=120&amp;START_MAXIMIZED=FALSE&amp;creator=factset&amp;display_string=Audit"}</definedName>
    <definedName name="_1108__FDSAUDITLINK__" hidden="1">{"fdsup://Directions/FactSet Auditing Viewer?action=AUDIT_VALUE&amp;DB=129&amp;ID1=87966410&amp;VALUEID=01001&amp;SDATE=201002&amp;PERIODTYPE=QTR_STD&amp;window=popup_no_bar&amp;width=385&amp;height=120&amp;START_MAXIMIZED=FALSE&amp;creator=factset&amp;display_string=Audit"}</definedName>
    <definedName name="_1109__FDSAUDITLINK__" hidden="1">{"fdsup://Directions/FactSet Auditing Viewer?action=AUDIT_VALUE&amp;DB=129&amp;ID1=87254010&amp;VALUEID=01001&amp;SDATE=200901&amp;PERIODTYPE=QTR_STD&amp;window=popup_no_bar&amp;width=385&amp;height=120&amp;START_MAXIMIZED=FALSE&amp;creator=factset&amp;display_string=Audit"}</definedName>
    <definedName name="_111__FDSAUDITLINK__"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0__FDSAUDITLINK__" hidden="1">{"fdsup://Directions/FactSet Auditing Viewer?action=AUDIT_VALUE&amp;DB=129&amp;ID1=87254010&amp;VALUEID=01001&amp;SDATE=201001&amp;PERIODTYPE=QTR_STD&amp;window=popup_no_bar&amp;width=385&amp;height=120&amp;START_MAXIMIZED=FALSE&amp;creator=factset&amp;display_string=Audit"}</definedName>
    <definedName name="_1111__FDSAUDITLINK__" hidden="1">{"fdsup://Directions/FactSet Auditing Viewer?action=AUDIT_VALUE&amp;DB=129&amp;ID1=88654710&amp;VALUEID=01001&amp;SDATE=200901&amp;PERIODTYPE=QTR_STD&amp;window=popup_no_bar&amp;width=385&amp;height=120&amp;START_MAXIMIZED=FALSE&amp;creator=factset&amp;display_string=Audit"}</definedName>
    <definedName name="_1112__FDSAUDITLINK__" hidden="1">{"fdsup://Directions/FactSet Auditing Viewer?action=AUDIT_VALUE&amp;DB=129&amp;ID1=88654710&amp;VALUEID=01001&amp;SDATE=201001&amp;PERIODTYPE=QTR_STD&amp;window=popup_no_bar&amp;width=385&amp;height=120&amp;START_MAXIMIZED=FALSE&amp;creator=factset&amp;display_string=Audit"}</definedName>
    <definedName name="_1113__FDSAUDITLINK__" hidden="1">{"fdsup://Directions/FactSet Auditing Viewer?action=AUDIT_VALUE&amp;DB=129&amp;ID1=88833920&amp;VALUEID=01001&amp;SDATE=200902&amp;PERIODTYPE=QTR_STD&amp;window=popup_no_bar&amp;width=385&amp;height=120&amp;START_MAXIMIZED=FALSE&amp;creator=factset&amp;display_string=Audit"}</definedName>
    <definedName name="_1114__FDSAUDITLINK__" hidden="1">{"fdsup://Directions/FactSet Auditing Viewer?action=AUDIT_VALUE&amp;DB=129&amp;ID1=88833920&amp;VALUEID=01001&amp;SDATE=201002&amp;PERIODTYPE=QTR_STD&amp;window=popup_no_bar&amp;width=385&amp;height=120&amp;START_MAXIMIZED=FALSE&amp;creator=factset&amp;display_string=Audit"}</definedName>
    <definedName name="_1115__FDSAUDITLINK__" hidden="1">{"fdsup://Directions/FactSet Auditing Viewer?action=AUDIT_VALUE&amp;DB=129&amp;ID1=88033G10&amp;VALUEID=01001&amp;SDATE=200902&amp;PERIODTYPE=QTR_STD&amp;window=popup_no_bar&amp;width=385&amp;height=120&amp;START_MAXIMIZED=FALSE&amp;creator=factset&amp;display_string=Audit"}</definedName>
    <definedName name="_1116__FDSAUDITLINK__" hidden="1">{"fdsup://Directions/FactSet Auditing Viewer?action=AUDIT_VALUE&amp;DB=129&amp;ID1=88033G10&amp;VALUEID=01001&amp;SDATE=201002&amp;PERIODTYPE=QTR_STD&amp;window=popup_no_bar&amp;width=385&amp;height=120&amp;START_MAXIMIZED=FALSE&amp;creator=factset&amp;display_string=Audit"}</definedName>
    <definedName name="_1117__FDSAUDITLINK__" hidden="1">{"fdsup://Directions/FactSet Auditing Viewer?action=AUDIT_VALUE&amp;DB=129&amp;ID1=87612E10&amp;VALUEID=01001&amp;SDATE=201001&amp;PERIODTYPE=QTR_STD&amp;window=popup_no_bar&amp;width=385&amp;height=120&amp;START_MAXIMIZED=FALSE&amp;creator=factset&amp;display_string=Audit"}</definedName>
    <definedName name="_1118__FDSAUDITLINK__" hidden="1">{"fdsup://Directions/FactSet Auditing Viewer?action=AUDIT_VALUE&amp;DB=129&amp;ID1=88077010&amp;VALUEID=01001&amp;SDATE=200902&amp;PERIODTYPE=QTR_STD&amp;window=popup_no_bar&amp;width=385&amp;height=120&amp;START_MAXIMIZED=FALSE&amp;creator=factset&amp;display_string=Audit"}</definedName>
    <definedName name="_1119__FDSAUDITLINK__" hidden="1">{"fdsup://Directions/FactSet Auditing Viewer?action=AUDIT_VALUE&amp;DB=129&amp;ID1=88077010&amp;VALUEID=01001&amp;SDATE=201002&amp;PERIODTYPE=QTR_STD&amp;window=popup_no_bar&amp;width=385&amp;height=120&amp;START_MAXIMIZED=FALSE&amp;creator=factset&amp;display_string=Audit"}</definedName>
    <definedName name="_112__FDSAUDITLINK__"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0__FDSAUDITLINK__" hidden="1">{"fdsup://Directions/FactSet Auditing Viewer?action=AUDIT_VALUE&amp;DB=129&amp;ID1=45822P10&amp;VALUEID=01001&amp;SDATE=200902&amp;PERIODTYPE=QTR_STD&amp;window=popup_no_bar&amp;width=385&amp;height=120&amp;START_MAXIMIZED=FALSE&amp;creator=factset&amp;display_string=Audit"}</definedName>
    <definedName name="_1121__FDSAUDITLINK__" hidden="1">{"fdsup://Directions/FactSet Auditing Viewer?action=AUDIT_VALUE&amp;DB=129&amp;ID1=45822P10&amp;VALUEID=01001&amp;SDATE=201002&amp;PERIODTYPE=QTR_STD&amp;window=popup_no_bar&amp;width=385&amp;height=120&amp;START_MAXIMIZED=FALSE&amp;creator=factset&amp;display_string=Audit"}</definedName>
    <definedName name="_1122__FDSAUDITLINK__" hidden="1">{"fdsup://Directions/FactSet Auditing Viewer?action=AUDIT_VALUE&amp;DB=129&amp;ID1=87237510&amp;VALUEID=01001&amp;SDATE=200902&amp;PERIODTYPE=QTR_STD&amp;window=popup_no_bar&amp;width=385&amp;height=120&amp;START_MAXIMIZED=FALSE&amp;creator=factset&amp;display_string=Audit"}</definedName>
    <definedName name="_1123__FDSAUDITLINK__" hidden="1">{"fdsup://Directions/FactSet Auditing Viewer?action=AUDIT_VALUE&amp;DB=129&amp;ID1=87237510&amp;VALUEID=01001&amp;SDATE=201002&amp;PERIODTYPE=QTR_STD&amp;window=popup_no_bar&amp;width=385&amp;height=120&amp;START_MAXIMIZED=FALSE&amp;creator=factset&amp;display_string=Audit"}</definedName>
    <definedName name="_1124__FDSAUDITLINK__" hidden="1">{"fdsup://Directions/FactSet Auditing Viewer?action=AUDIT_VALUE&amp;DB=129&amp;ID1=88076W10&amp;VALUEID=01001&amp;SDATE=200902&amp;PERIODTYPE=QTR_STD&amp;window=popup_no_bar&amp;width=385&amp;height=120&amp;START_MAXIMIZED=FALSE&amp;creator=factset&amp;display_string=Audit"}</definedName>
    <definedName name="_1125__FDSAUDITLINK__" hidden="1">{"fdsup://Directions/FactSet Auditing Viewer?action=AUDIT_VALUE&amp;DB=129&amp;ID1=88076W10&amp;VALUEID=01001&amp;SDATE=201002&amp;PERIODTYPE=QTR_STD&amp;window=popup_no_bar&amp;width=385&amp;height=120&amp;START_MAXIMIZED=FALSE&amp;creator=factset&amp;display_string=Audit"}</definedName>
    <definedName name="_1126__FDSAUDITLINK__" hidden="1">{"fdsup://Directions/FactSet Auditing Viewer?action=AUDIT_VALUE&amp;DB=129&amp;ID1=60871R20&amp;VALUEID=01001&amp;SDATE=200902&amp;PERIODTYPE=QTR_STD&amp;window=popup_no_bar&amp;width=385&amp;height=120&amp;START_MAXIMIZED=FALSE&amp;creator=factset&amp;display_string=Audit"}</definedName>
    <definedName name="_1127__FDSAUDITLINK__" hidden="1">{"fdsup://Directions/FactSet Auditing Viewer?action=AUDIT_VALUE&amp;DB=129&amp;ID1=60871R20&amp;VALUEID=01001&amp;SDATE=201002&amp;PERIODTYPE=QTR_STD&amp;window=popup_no_bar&amp;width=385&amp;height=120&amp;START_MAXIMIZED=FALSE&amp;creator=factset&amp;display_string=Audit"}</definedName>
    <definedName name="_1128__FDSAUDITLINK__" hidden="1">{"fdsup://Directions/FactSet Auditing Viewer?action=AUDIT_VALUE&amp;DB=129&amp;ID1=00206R10&amp;VALUEID=01001&amp;SDATE=200902&amp;PERIODTYPE=QTR_STD&amp;window=popup_no_bar&amp;width=385&amp;height=120&amp;START_MAXIMIZED=FALSE&amp;creator=factset&amp;display_string=Audit"}</definedName>
    <definedName name="_1129__FDSAUDITLINK__" hidden="1">{"fdsup://Directions/FactSet Auditing Viewer?action=AUDIT_VALUE&amp;DB=129&amp;ID1=00206R10&amp;VALUEID=01001&amp;SDATE=201002&amp;PERIODTYPE=QTR_STD&amp;window=popup_no_bar&amp;width=385&amp;height=120&amp;START_MAXIMIZED=FALSE&amp;creator=factset&amp;display_string=Audit"}</definedName>
    <definedName name="_113__FDSAUDITLINK__"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0__FDSAUDITLINK__" hidden="1">{"fdsup://Directions/FactSet Auditing Viewer?action=AUDIT_VALUE&amp;DB=129&amp;ID1=87182910&amp;VALUEID=01001&amp;SDATE=201004&amp;PERIODTYPE=QTR_STD&amp;window=popup_no_bar&amp;width=385&amp;height=120&amp;START_MAXIMIZED=FALSE&amp;creator=factset&amp;display_string=Audit"}</definedName>
    <definedName name="_1131__FDSAUDITLINK__" hidden="1">{"fdsup://Directions/FactSet Auditing Viewer?action=AUDIT_VALUE&amp;DB=129&amp;ID1=87150310&amp;VALUEID=01001&amp;SDATE=200901&amp;PERIODTYPE=QTR_STD&amp;window=popup_no_bar&amp;width=385&amp;height=120&amp;START_MAXIMIZED=FALSE&amp;creator=factset&amp;display_string=Audit"}</definedName>
    <definedName name="_1132__FDSAUDITLINK__" hidden="1">{"fdsup://Directions/FactSet Auditing Viewer?action=AUDIT_VALUE&amp;DB=129&amp;ID1=87150310&amp;VALUEID=01001&amp;SDATE=201001&amp;PERIODTYPE=QTR_STD&amp;window=popup_no_bar&amp;width=385&amp;height=120&amp;START_MAXIMIZED=FALSE&amp;creator=factset&amp;display_string=Audit"}</definedName>
    <definedName name="_1133__FDSAUDITLINK__" hidden="1">{"fdsup://Directions/FactSet Auditing Viewer?action=AUDIT_VALUE&amp;DB=129&amp;ID1=86366710&amp;VALUEID=01001&amp;SDATE=200902&amp;PERIODTYPE=QTR_STD&amp;window=popup_no_bar&amp;width=385&amp;height=120&amp;START_MAXIMIZED=FALSE&amp;creator=factset&amp;display_string=Audit"}</definedName>
    <definedName name="_1134__FDSAUDITLINK__" hidden="1">{"fdsup://Directions/FactSet Auditing Viewer?action=AUDIT_VALUE&amp;DB=129&amp;ID1=86366710&amp;VALUEID=01001&amp;SDATE=201002&amp;PERIODTYPE=QTR_STD&amp;window=popup_no_bar&amp;width=385&amp;height=120&amp;START_MAXIMIZED=FALSE&amp;creator=factset&amp;display_string=Audit"}</definedName>
    <definedName name="_1135__FDSAUDITLINK__" hidden="1">{"fdsup://Directions/FactSet Auditing Viewer?action=AUDIT_VALUE&amp;DB=129&amp;ID1=78651420&amp;VALUEID=01001&amp;SDATE=200902&amp;PERIODTYPE=QTR_STD&amp;window=popup_no_bar&amp;width=385&amp;height=120&amp;START_MAXIMIZED=FALSE&amp;creator=factset&amp;display_string=Audit"}</definedName>
    <definedName name="_1136__FDSAUDITLINK__" hidden="1">{"fdsup://Directions/FactSet Auditing Viewer?action=AUDIT_VALUE&amp;DB=129&amp;ID1=78651420&amp;VALUEID=01001&amp;SDATE=201002&amp;PERIODTYPE=QTR_STD&amp;window=popup_no_bar&amp;width=385&amp;height=120&amp;START_MAXIMIZED=FALSE&amp;creator=factset&amp;display_string=Audit"}</definedName>
    <definedName name="_1137__FDSAUDITLINK__" hidden="1">{"fdsup://Directions/FactSet Auditing Viewer?action=AUDIT_VALUE&amp;DB=129&amp;ID1=84546710&amp;VALUEID=01001&amp;SDATE=200902&amp;PERIODTYPE=QTR_STD&amp;window=popup_no_bar&amp;width=385&amp;height=120&amp;START_MAXIMIZED=FALSE&amp;creator=factset&amp;display_string=Audit"}</definedName>
    <definedName name="_1138__FDSAUDITLINK__" hidden="1">{"fdsup://Directions/FactSet Auditing Viewer?action=AUDIT_VALUE&amp;DB=129&amp;ID1=84546710&amp;VALUEID=01001&amp;SDATE=201002&amp;PERIODTYPE=QTR_STD&amp;window=popup_no_bar&amp;width=385&amp;height=120&amp;START_MAXIMIZED=FALSE&amp;creator=factset&amp;display_string=Audit"}</definedName>
    <definedName name="_1139__FDSAUDITLINK__" hidden="1">{"fdsup://Directions/FactSet Auditing Viewer?action=AUDIT_VALUE&amp;DB=129&amp;ID1=85450210&amp;VALUEID=01001&amp;SDATE=200902&amp;PERIODTYPE=QTR_STD&amp;window=popup_no_bar&amp;width=385&amp;height=120&amp;START_MAXIMIZED=FALSE&amp;creator=factset&amp;display_string=Audit"}</definedName>
    <definedName name="_114__FDSAUDITLINK__"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0__FDSAUDITLINK__" hidden="1">{"fdsup://Directions/FactSet Auditing Viewer?action=AUDIT_VALUE&amp;DB=129&amp;ID1=85450210&amp;VALUEID=01001&amp;SDATE=201002&amp;PERIODTYPE=QTR_STD&amp;window=popup_no_bar&amp;width=385&amp;height=120&amp;START_MAXIMIZED=FALSE&amp;creator=factset&amp;display_string=Audit"}</definedName>
    <definedName name="_1141__FDSAUDITLINK__" hidden="1">{"fdsup://Directions/FactSet Auditing Viewer?action=AUDIT_VALUE&amp;DB=129&amp;ID1=86853610&amp;VALUEID=01001&amp;SDATE=200901&amp;PERIODTYPE=QTR_STD&amp;window=popup_no_bar&amp;width=385&amp;height=120&amp;START_MAXIMIZED=FALSE&amp;creator=factset&amp;display_string=Audit"}</definedName>
    <definedName name="_1142__FDSAUDITLINK__" hidden="1">{"fdsup://Directions/FactSet Auditing Viewer?action=AUDIT_VALUE&amp;DB=129&amp;ID1=86853610&amp;VALUEID=01001&amp;SDATE=201001&amp;PERIODTYPE=QTR_STD&amp;window=popup_no_bar&amp;width=385&amp;height=120&amp;START_MAXIMIZED=FALSE&amp;creator=factset&amp;display_string=Audit"}</definedName>
    <definedName name="_1143__FDSAUDITLINK__" hidden="1">{"fdsup://Directions/FactSet Auditing Viewer?action=AUDIT_VALUE&amp;DB=129&amp;ID1=86764P10&amp;VALUEID=01001&amp;SDATE=200902&amp;PERIODTYPE=QTR_STD&amp;window=popup_no_bar&amp;width=385&amp;height=120&amp;START_MAXIMIZED=FALSE&amp;creator=factset&amp;display_string=Audit"}</definedName>
    <definedName name="_1144__FDSAUDITLINK__" hidden="1">{"fdsup://Directions/FactSet Auditing Viewer?action=AUDIT_VALUE&amp;DB=129&amp;ID1=86764P10&amp;VALUEID=01001&amp;SDATE=201002&amp;PERIODTYPE=QTR_STD&amp;window=popup_no_bar&amp;width=385&amp;height=120&amp;START_MAXIMIZED=FALSE&amp;creator=factset&amp;display_string=Audit"}</definedName>
    <definedName name="_1145__FDSAUDITLINK__" hidden="1">{"fdsup://Directions/FactSet Auditing Viewer?action=AUDIT_VALUE&amp;DB=129&amp;ID1=21036P10&amp;VALUEID=01001&amp;SDATE=200901&amp;PERIODTYPE=QTR_STD&amp;window=popup_no_bar&amp;width=385&amp;height=120&amp;START_MAXIMIZED=FALSE&amp;creator=factset&amp;display_string=Audit"}</definedName>
    <definedName name="_1146__FDSAUDITLINK__" hidden="1">{"fdsup://Directions/FactSet Auditing Viewer?action=AUDIT_VALUE&amp;DB=129&amp;ID1=21036P10&amp;VALUEID=01001&amp;SDATE=201001&amp;PERIODTYPE=QTR_STD&amp;window=popup_no_bar&amp;width=385&amp;height=120&amp;START_MAXIMIZED=FALSE&amp;creator=factset&amp;display_string=Audit"}</definedName>
    <definedName name="_1147__FDSAUDITLINK__" hidden="1">{"fdsup://Directions/FactSet Auditing Viewer?action=AUDIT_VALUE&amp;DB=129&amp;ID1=79084910&amp;VALUEID=01001&amp;SDATE=200902&amp;PERIODTYPE=QTR_STD&amp;window=popup_no_bar&amp;width=385&amp;height=120&amp;START_MAXIMIZED=FALSE&amp;creator=factset&amp;display_string=Audit"}</definedName>
    <definedName name="_1148__FDSAUDITLINK__" hidden="1">{"fdsup://Directions/FactSet Auditing Viewer?action=AUDIT_VALUE&amp;DB=129&amp;ID1=79084910&amp;VALUEID=01001&amp;SDATE=201002&amp;PERIODTYPE=QTR_STD&amp;window=popup_no_bar&amp;width=385&amp;height=120&amp;START_MAXIMIZED=FALSE&amp;creator=factset&amp;display_string=Audit"}</definedName>
    <definedName name="_1149__FDSAUDITLINK__" hidden="1">{"fdsup://Directions/FactSet Auditing Viewer?action=AUDIT_VALUE&amp;DB=129&amp;ID1=81685110&amp;VALUEID=01001&amp;SDATE=200902&amp;PERIODTYPE=QTR_STD&amp;window=popup_no_bar&amp;width=385&amp;height=120&amp;START_MAXIMIZED=FALSE&amp;creator=factset&amp;display_string=Audit"}</definedName>
    <definedName name="_115__FDSAUDITLINK__"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0__FDSAUDITLINK__" hidden="1">{"fdsup://Directions/FactSet Auditing Viewer?action=AUDIT_VALUE&amp;DB=129&amp;ID1=81685110&amp;VALUEID=01001&amp;SDATE=201002&amp;PERIODTYPE=QTR_STD&amp;window=popup_no_bar&amp;width=385&amp;height=120&amp;START_MAXIMIZED=FALSE&amp;creator=factset&amp;display_string=Audit"}</definedName>
    <definedName name="_1151__FDSAUDITLINK__" hidden="1">{"fdsup://Directions/FactSet Auditing Viewer?action=AUDIT_VALUE&amp;DB=129&amp;ID1=85891210&amp;VALUEID=01001&amp;SDATE=200902&amp;PERIODTYPE=QTR_STD&amp;window=popup_no_bar&amp;width=385&amp;height=120&amp;START_MAXIMIZED=FALSE&amp;creator=factset&amp;display_string=Audit"}</definedName>
    <definedName name="_1152__FDSAUDITLINK__" hidden="1">{"fdsup://Directions/FactSet Auditing Viewer?action=AUDIT_VALUE&amp;DB=129&amp;ID1=85891210&amp;VALUEID=01001&amp;SDATE=201002&amp;PERIODTYPE=QTR_STD&amp;window=popup_no_bar&amp;width=385&amp;height=120&amp;START_MAXIMIZED=FALSE&amp;creator=factset&amp;display_string=Audit"}</definedName>
    <definedName name="_1153__FDSAUDITLINK__" hidden="1">{"fdsup://Directions/FactSet Auditing Viewer?action=AUDIT_VALUE&amp;DB=129&amp;ID1=85503010&amp;VALUEID=01001&amp;SDATE=200901&amp;PERIODTYPE=QTR_STD&amp;window=popup_no_bar&amp;width=385&amp;height=120&amp;START_MAXIMIZED=FALSE&amp;creator=factset&amp;display_string=Audit"}</definedName>
    <definedName name="_1154__FDSAUDITLINK__" hidden="1">{"fdsup://Directions/FactSet Auditing Viewer?action=AUDIT_VALUE&amp;DB=129&amp;ID1=85503010&amp;VALUEID=01001&amp;SDATE=201001&amp;PERIODTYPE=QTR_STD&amp;window=popup_no_bar&amp;width=385&amp;height=120&amp;START_MAXIMIZED=FALSE&amp;creator=factset&amp;display_string=Audit"}</definedName>
    <definedName name="_1155__FDSAUDITLINK__" hidden="1">{"fdsup://Directions/FactSet Auditing Viewer?action=AUDIT_VALUE&amp;DB=129&amp;ID1=82880610&amp;VALUEID=01001&amp;SDATE=200902&amp;PERIODTYPE=QTR_STD&amp;window=popup_no_bar&amp;width=385&amp;height=120&amp;START_MAXIMIZED=FALSE&amp;creator=factset&amp;display_string=Audit"}</definedName>
    <definedName name="_1156__FDSAUDITLINK__" hidden="1">{"fdsup://Directions/FactSet Auditing Viewer?action=AUDIT_VALUE&amp;DB=129&amp;ID1=82880610&amp;VALUEID=01001&amp;SDATE=201002&amp;PERIODTYPE=QTR_STD&amp;window=popup_no_bar&amp;width=385&amp;height=120&amp;START_MAXIMIZED=FALSE&amp;creator=factset&amp;display_string=Audit"}</definedName>
    <definedName name="_1157__FDSAUDITLINK__" hidden="1">{"fdsup://Directions/FactSet Auditing Viewer?action=AUDIT_VALUE&amp;DB=129&amp;ID1=84258710&amp;VALUEID=01001&amp;SDATE=200902&amp;PERIODTYPE=QTR_STD&amp;window=popup_no_bar&amp;width=385&amp;height=120&amp;START_MAXIMIZED=FALSE&amp;creator=factset&amp;display_string=Audit"}</definedName>
    <definedName name="_1158__FDSAUDITLINK__" hidden="1">{"fdsup://Directions/FactSet Auditing Viewer?action=AUDIT_VALUE&amp;DB=129&amp;ID1=84258710&amp;VALUEID=01001&amp;SDATE=201002&amp;PERIODTYPE=QTR_STD&amp;window=popup_no_bar&amp;width=385&amp;height=120&amp;START_MAXIMIZED=FALSE&amp;creator=factset&amp;display_string=Audit"}</definedName>
    <definedName name="_1159__FDSAUDITLINK__" hidden="1">{"fdsup://Directions/FactSet Auditing Viewer?action=AUDIT_VALUE&amp;DB=129&amp;ID1=81106510&amp;VALUEID=01001&amp;SDATE=200902&amp;PERIODTYPE=QTR_STD&amp;window=popup_no_bar&amp;width=385&amp;height=120&amp;START_MAXIMIZED=FALSE&amp;creator=factset&amp;display_string=Audit"}</definedName>
    <definedName name="_116__FDSAUDITLINK__"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0__FDSAUDITLINK__" hidden="1">{"fdsup://Directions/FactSet Auditing Viewer?action=AUDIT_VALUE&amp;DB=129&amp;ID1=81106510&amp;VALUEID=01001&amp;SDATE=201002&amp;PERIODTYPE=QTR_STD&amp;window=popup_no_bar&amp;width=385&amp;height=120&amp;START_MAXIMIZED=FALSE&amp;creator=factset&amp;display_string=Audit"}</definedName>
    <definedName name="_1161__FDSAUDITLINK__" hidden="1">{"fdsup://Directions/FactSet Auditing Viewer?action=AUDIT_VALUE&amp;DB=129&amp;ID1=80004C10&amp;VALUEID=01001&amp;SDATE=200902&amp;PERIODTYPE=QTR_STD&amp;window=popup_no_bar&amp;width=385&amp;height=120&amp;START_MAXIMIZED=FALSE&amp;creator=factset&amp;display_string=Audit"}</definedName>
    <definedName name="_1162__FDSAUDITLINK__" hidden="1">{"fdsup://Directions/FactSet Auditing Viewer?action=AUDIT_VALUE&amp;DB=129&amp;ID1=80004C10&amp;VALUEID=01001&amp;SDATE=201002&amp;PERIODTYPE=QTR_STD&amp;window=popup_no_bar&amp;width=385&amp;height=120&amp;START_MAXIMIZED=FALSE&amp;creator=factset&amp;display_string=Audit"}</definedName>
    <definedName name="_1163__FDSAUDITLINK__" hidden="1">{"fdsup://Directions/FactSet Auditing Viewer?action=AUDIT_VALUE&amp;DB=129&amp;ID1=83303410&amp;VALUEID=01001&amp;SDATE=200902&amp;PERIODTYPE=QTR_STD&amp;window=popup_no_bar&amp;width=385&amp;height=120&amp;START_MAXIMIZED=FALSE&amp;creator=factset&amp;display_string=Audit"}</definedName>
    <definedName name="_1164__FDSAUDITLINK__" hidden="1">{"fdsup://Directions/FactSet Auditing Viewer?action=AUDIT_VALUE&amp;DB=129&amp;ID1=83303410&amp;VALUEID=01001&amp;SDATE=201002&amp;PERIODTYPE=QTR_STD&amp;window=popup_no_bar&amp;width=385&amp;height=120&amp;START_MAXIMIZED=FALSE&amp;creator=factset&amp;display_string=Audit"}</definedName>
    <definedName name="_1165__FDSAUDITLINK__" hidden="1">{"fdsup://Directions/FactSet Auditing Viewer?action=AUDIT_VALUE&amp;DB=129&amp;ID1=78442P10&amp;VALUEID=01001&amp;SDATE=200902&amp;PERIODTYPE=QTR_STD&amp;window=popup_no_bar&amp;width=385&amp;height=120&amp;START_MAXIMIZED=FALSE&amp;creator=factset&amp;display_string=Audit"}</definedName>
    <definedName name="_1166__FDSAUDITLINK__" hidden="1">{"fdsup://Directions/FactSet Auditing Viewer?action=AUDIT_VALUE&amp;DB=129&amp;ID1=78442P10&amp;VALUEID=01001&amp;SDATE=201002&amp;PERIODTYPE=QTR_STD&amp;window=popup_no_bar&amp;width=385&amp;height=120&amp;START_MAXIMIZED=FALSE&amp;creator=factset&amp;display_string=Audit"}</definedName>
    <definedName name="_1167__FDSAUDITLINK__" hidden="1">{"fdsup://Directions/FactSet Auditing Viewer?action=AUDIT_VALUE&amp;DB=129&amp;ID1=80311110&amp;VALUEID=01001&amp;SDATE=201004&amp;PERIODTYPE=QTR_STD&amp;window=popup_no_bar&amp;width=385&amp;height=120&amp;START_MAXIMIZED=FALSE&amp;creator=factset&amp;display_string=Audit"}</definedName>
    <definedName name="_1168__FDSAUDITLINK__" hidden="1">{"fdsup://Directions/FactSet Auditing Viewer?action=AUDIT_VALUE&amp;DB=129&amp;ID1=80685710&amp;VALUEID=01001&amp;SDATE=200902&amp;PERIODTYPE=QTR_STD&amp;window=popup_no_bar&amp;width=385&amp;height=120&amp;START_MAXIMIZED=FALSE&amp;creator=factset&amp;display_string=Audit"}</definedName>
    <definedName name="_1169__FDSAUDITLINK__" hidden="1">{"fdsup://Directions/FactSet Auditing Viewer?action=AUDIT_VALUE&amp;DB=129&amp;ID1=80685710&amp;VALUEID=01001&amp;SDATE=201002&amp;PERIODTYPE=QTR_STD&amp;window=popup_no_bar&amp;width=385&amp;height=120&amp;START_MAXIMIZED=FALSE&amp;creator=factset&amp;display_string=Audit"}</definedName>
    <definedName name="_117__FDSAUDITLINK__"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0__FDSAUDITLINK__" hidden="1">{"fdsup://Directions/FactSet Auditing Viewer?action=AUDIT_VALUE&amp;DB=129&amp;ID1=83269640&amp;VALUEID=01001&amp;SDATE=200804&amp;PERIODTYPE=QTR_STD&amp;window=popup_no_bar&amp;width=385&amp;height=120&amp;START_MAXIMIZED=FALSE&amp;creator=factset&amp;display_string=Audit"}</definedName>
    <definedName name="_1171__FDSAUDITLINK__" hidden="1">{"fdsup://Directions/FactSet Auditing Viewer?action=AUDIT_VALUE&amp;DB=129&amp;ID1=83269640&amp;VALUEID=01001&amp;SDATE=200904&amp;PERIODTYPE=QTR_STD&amp;window=popup_no_bar&amp;width=385&amp;height=120&amp;START_MAXIMIZED=FALSE&amp;creator=factset&amp;display_string=Audit"}</definedName>
    <definedName name="_1172__FDSAUDITLINK__" hidden="1">{"fdsup://Directions/FactSet Auditing Viewer?action=AUDIT_VALUE&amp;DB=129&amp;ID1=82655210&amp;VALUEID=01001&amp;SDATE=200902&amp;PERIODTYPE=QTR_STD&amp;window=popup_no_bar&amp;width=385&amp;height=120&amp;START_MAXIMIZED=FALSE&amp;creator=factset&amp;display_string=Audit"}</definedName>
    <definedName name="_1173__FDSAUDITLINK__" hidden="1">{"fdsup://Directions/FactSet Auditing Viewer?action=AUDIT_VALUE&amp;DB=129&amp;ID1=82655210&amp;VALUEID=01001&amp;SDATE=201002&amp;PERIODTYPE=QTR_STD&amp;window=popup_no_bar&amp;width=385&amp;height=120&amp;START_MAXIMIZED=FALSE&amp;creator=factset&amp;display_string=Audit"}</definedName>
    <definedName name="_1174__FDSAUDITLINK__" hidden="1">{"fdsup://Directions/FactSet Auditing Viewer?action=AUDIT_VALUE&amp;DB=129&amp;ID1=82434810&amp;VALUEID=01001&amp;SDATE=200902&amp;PERIODTYPE=QTR_STD&amp;window=popup_no_bar&amp;width=385&amp;height=120&amp;START_MAXIMIZED=FALSE&amp;creator=factset&amp;display_string=Audit"}</definedName>
    <definedName name="_1175__FDSAUDITLINK__" hidden="1">{"fdsup://Directions/FactSet Auditing Viewer?action=AUDIT_VALUE&amp;DB=129&amp;ID1=82434810&amp;VALUEID=01001&amp;SDATE=201002&amp;PERIODTYPE=QTR_STD&amp;window=popup_no_bar&amp;width=385&amp;height=120&amp;START_MAXIMIZED=FALSE&amp;creator=factset&amp;display_string=Audit"}</definedName>
    <definedName name="_1176__FDSAUDITLINK__" hidden="1">{"fdsup://Directions/FactSet Auditing Viewer?action=AUDIT_VALUE&amp;DB=129&amp;ID1=81235010&amp;VALUEID=01001&amp;SDATE=200901&amp;PERIODTYPE=QTR_STD&amp;window=popup_no_bar&amp;width=385&amp;height=120&amp;START_MAXIMIZED=FALSE&amp;creator=factset&amp;display_string=Audit"}</definedName>
    <definedName name="_1177__FDSAUDITLINK__" hidden="1">{"fdsup://Directions/FactSet Auditing Viewer?action=AUDIT_VALUE&amp;DB=129&amp;ID1=81235010&amp;VALUEID=01001&amp;SDATE=201001&amp;PERIODTYPE=QTR_STD&amp;window=popup_no_bar&amp;width=385&amp;height=120&amp;START_MAXIMIZED=FALSE&amp;creator=factset&amp;display_string=Audit"}</definedName>
    <definedName name="_1178__FDSAUDITLINK__" hidden="1">{"fdsup://Directions/FactSet Auditing Viewer?action=AUDIT_VALUE&amp;DB=129&amp;ID1=81211K10&amp;VALUEID=01001&amp;SDATE=200902&amp;PERIODTYPE=QTR_STD&amp;window=popup_no_bar&amp;width=385&amp;height=120&amp;START_MAXIMIZED=FALSE&amp;creator=factset&amp;display_string=Audit"}</definedName>
    <definedName name="_1179__FDSAUDITLINK__" hidden="1">{"fdsup://Directions/FactSet Auditing Viewer?action=AUDIT_VALUE&amp;DB=129&amp;ID1=81211K10&amp;VALUEID=01001&amp;SDATE=201002&amp;PERIODTYPE=QTR_STD&amp;window=popup_no_bar&amp;width=385&amp;height=120&amp;START_MAXIMIZED=FALSE&amp;creator=factset&amp;display_string=Audit"}</definedName>
    <definedName name="_118__FDSAUDITLINK__"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0__FDSAUDITLINK__" hidden="1">{"fdsup://Directions/FactSet Auditing Viewer?action=AUDIT_VALUE&amp;DB=129&amp;ID1=84756010&amp;VALUEID=01001&amp;SDATE=200902&amp;PERIODTYPE=QTR_STD&amp;window=popup_no_bar&amp;width=385&amp;height=120&amp;START_MAXIMIZED=FALSE&amp;creator=factset&amp;display_string=Audit"}</definedName>
    <definedName name="_1181__FDSAUDITLINK__" hidden="1">{"fdsup://Directions/FactSet Auditing Viewer?action=AUDIT_VALUE&amp;DB=129&amp;ID1=84756010&amp;VALUEID=01001&amp;SDATE=201002&amp;PERIODTYPE=QTR_STD&amp;window=popup_no_bar&amp;width=385&amp;height=120&amp;START_MAXIMIZED=FALSE&amp;creator=factset&amp;display_string=Audit"}</definedName>
    <definedName name="_1182__FDSAUDITLINK__" hidden="1">{"fdsup://Directions/FactSet Auditing Viewer?action=AUDIT_VALUE&amp;DB=129&amp;ID1=80851310&amp;VALUEID=01001&amp;SDATE=200902&amp;PERIODTYPE=QTR_STD&amp;window=popup_no_bar&amp;width=385&amp;height=120&amp;START_MAXIMIZED=FALSE&amp;creator=factset&amp;display_string=Audit"}</definedName>
    <definedName name="_1183__FDSAUDITLINK__" hidden="1">{"fdsup://Directions/FactSet Auditing Viewer?action=AUDIT_VALUE&amp;DB=129&amp;ID1=80851310&amp;VALUEID=01001&amp;SDATE=201002&amp;PERIODTYPE=QTR_STD&amp;window=popup_no_bar&amp;width=385&amp;height=120&amp;START_MAXIMIZED=FALSE&amp;creator=factset&amp;display_string=Audit"}</definedName>
    <definedName name="_1184__FDSAUDITLINK__" hidden="1">{"fdsup://Directions/FactSet Auditing Viewer?action=AUDIT_VALUE&amp;DB=129&amp;ID1=80589M10&amp;VALUEID=01001&amp;SDATE=200902&amp;PERIODTYPE=QTR_STD&amp;window=popup_no_bar&amp;width=385&amp;height=120&amp;START_MAXIMIZED=FALSE&amp;creator=factset&amp;display_string=Audit"}</definedName>
    <definedName name="_1185__FDSAUDITLINK__" hidden="1">{"fdsup://Directions/FactSet Auditing Viewer?action=AUDIT_VALUE&amp;DB=129&amp;ID1=80589M10&amp;VALUEID=01001&amp;SDATE=201002&amp;PERIODTYPE=QTR_STD&amp;window=popup_no_bar&amp;width=385&amp;height=120&amp;START_MAXIMIZED=FALSE&amp;creator=factset&amp;display_string=Audit"}</definedName>
    <definedName name="_1186__FDSAUDITLINK__" hidden="1">{"fdsup://Directions/FactSet Auditing Viewer?action=AUDIT_VALUE&amp;DB=129&amp;ID1=85524410&amp;VALUEID=01001&amp;SDATE=200903&amp;PERIODTYPE=QTR_STD&amp;window=popup_no_bar&amp;width=385&amp;height=120&amp;START_MAXIMIZED=FALSE&amp;creator=factset&amp;display_string=Audit"}</definedName>
    <definedName name="_1187__FDSAUDITLINK__" hidden="1">{"fdsup://Directions/FactSet Auditing Viewer?action=AUDIT_VALUE&amp;DB=129&amp;ID1=85524410&amp;VALUEID=01001&amp;SDATE=201003&amp;PERIODTYPE=QTR_STD&amp;window=popup_no_bar&amp;width=385&amp;height=120&amp;START_MAXIMIZED=FALSE&amp;creator=factset&amp;display_string=Audit"}</definedName>
    <definedName name="_1188__FDSAUDITLINK__" hidden="1">{"fdsup://Directions/FactSet Auditing Viewer?action=AUDIT_VALUE&amp;DB=129&amp;ID1=78390X10&amp;VALUEID=01001&amp;SDATE=200901&amp;PERIODTYPE=QTR_STD&amp;window=popup_no_bar&amp;width=385&amp;height=120&amp;START_MAXIMIZED=FALSE&amp;creator=factset&amp;display_string=Audit"}</definedName>
    <definedName name="_1189__FDSAUDITLINK__" hidden="1">{"fdsup://Directions/FactSet Auditing Viewer?action=AUDIT_VALUE&amp;DB=129&amp;ID1=78390X10&amp;VALUEID=01001&amp;SDATE=201001&amp;PERIODTYPE=QTR_STD&amp;window=popup_no_bar&amp;width=385&amp;height=120&amp;START_MAXIMIZED=FALSE&amp;creator=factset&amp;display_string=Audit"}</definedName>
    <definedName name="_119__FDSAUDITLINK__"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0__FDSAUDITLINK__" hidden="1">{"fdsup://Directions/FactSet Auditing Viewer?action=AUDIT_VALUE&amp;DB=129&amp;ID1=85206110&amp;VALUEID=01001&amp;SDATE=200902&amp;PERIODTYPE=QTR_STD&amp;window=popup_no_bar&amp;width=385&amp;height=120&amp;START_MAXIMIZED=FALSE&amp;creator=factset&amp;display_string=Audit"}</definedName>
    <definedName name="_1191__FDSAUDITLINK__" hidden="1">{"fdsup://Directions/FactSet Auditing Viewer?action=AUDIT_VALUE&amp;DB=129&amp;ID1=75511150&amp;VALUEID=01001&amp;SDATE=200902&amp;PERIODTYPE=QTR_STD&amp;window=popup_no_bar&amp;width=385&amp;height=120&amp;START_MAXIMIZED=FALSE&amp;creator=factset&amp;display_string=Audit"}</definedName>
    <definedName name="_1192__FDSAUDITLINK__" hidden="1">{"fdsup://Directions/FactSet Auditing Viewer?action=AUDIT_VALUE&amp;DB=129&amp;ID1=75511150&amp;VALUEID=01001&amp;SDATE=201002&amp;PERIODTYPE=QTR_STD&amp;window=popup_no_bar&amp;width=385&amp;height=120&amp;START_MAXIMIZED=FALSE&amp;creator=factset&amp;display_string=Audit"}</definedName>
    <definedName name="_1193__FDSAUDITLINK__" hidden="1">{"fdsup://Directions/FactSet Auditing Viewer?action=AUDIT_VALUE&amp;DB=129&amp;ID1=75043810&amp;VALUEID=01001&amp;SDATE=200902&amp;PERIODTYPE=QTR_STD&amp;window=popup_no_bar&amp;width=385&amp;height=120&amp;START_MAXIMIZED=FALSE&amp;creator=factset&amp;display_string=Audit"}</definedName>
    <definedName name="_1194__FDSAUDITLINK__" hidden="1">{"fdsup://Directions/FactSet Auditing Viewer?action=AUDIT_VALUE&amp;DB=129&amp;ID1=75043810&amp;VALUEID=01001&amp;SDATE=201002&amp;PERIODTYPE=QTR_STD&amp;window=popup_no_bar&amp;width=385&amp;height=120&amp;START_MAXIMIZED=FALSE&amp;creator=factset&amp;display_string=Audit"}</definedName>
    <definedName name="_1195__FDSAUDITLINK__" hidden="1">{"fdsup://Directions/FactSet Auditing Viewer?action=AUDIT_VALUE&amp;DB=129&amp;ID1=76075910&amp;VALUEID=01001&amp;SDATE=200902&amp;PERIODTYPE=QTR_STD&amp;window=popup_no_bar&amp;width=385&amp;height=120&amp;START_MAXIMIZED=FALSE&amp;creator=factset&amp;display_string=Audit"}</definedName>
    <definedName name="_1196__FDSAUDITLINK__" hidden="1">{"fdsup://Directions/FactSet Auditing Viewer?action=AUDIT_VALUE&amp;DB=129&amp;ID1=76075910&amp;VALUEID=01001&amp;SDATE=201002&amp;PERIODTYPE=QTR_STD&amp;window=popup_no_bar&amp;width=385&amp;height=120&amp;START_MAXIMIZED=FALSE&amp;creator=factset&amp;display_string=Audit"}</definedName>
    <definedName name="_1197__FDSAUDITLINK__" hidden="1">{"fdsup://Directions/FactSet Auditing Viewer?action=AUDIT_VALUE&amp;DB=129&amp;ID1=25786710&amp;VALUEID=01001&amp;SDATE=200902&amp;PERIODTYPE=QTR_STD&amp;window=popup_no_bar&amp;width=385&amp;height=120&amp;START_MAXIMIZED=FALSE&amp;creator=factset&amp;display_string=Audit"}</definedName>
    <definedName name="_1198__FDSAUDITLINK__" hidden="1">{"fdsup://Directions/FactSet Auditing Viewer?action=AUDIT_VALUE&amp;DB=129&amp;ID1=25786710&amp;VALUEID=01001&amp;SDATE=201002&amp;PERIODTYPE=QTR_STD&amp;window=popup_no_bar&amp;width=385&amp;height=120&amp;START_MAXIMIZED=FALSE&amp;creator=factset&amp;display_string=Audit"}</definedName>
    <definedName name="_1199__FDSAUDITLINK__" hidden="1">{"fdsup://Directions/FactSet Auditing Viewer?action=AUDIT_VALUE&amp;DB=129&amp;ID1=75281A10&amp;VALUEID=01001&amp;SDATE=200902&amp;PERIODTYPE=QTR_STD&amp;window=popup_no_bar&amp;width=385&amp;height=120&amp;START_MAXIMIZED=FALSE&amp;creator=factset&amp;display_string=Audit"}</definedName>
    <definedName name="_12__FDSAUDITLINK__" hidden="1">{"fdsup://Directions/FactSet Auditing Viewer?action=AUDIT_VALUE&amp;DB=129&amp;ID1=45814010&amp;VALUEID=02001&amp;SDATE=2009&amp;PERIODTYPE=ANN_STD&amp;window=popup_no_bar&amp;width=385&amp;height=120&amp;START_MAXIMIZED=FALSE&amp;creator=factset&amp;display_string=Audit"}</definedName>
    <definedName name="_120__FDSAUDITLINK__"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0__FDSAUDITLINK__" hidden="1">{"fdsup://Directions/FactSet Auditing Viewer?action=AUDIT_VALUE&amp;DB=129&amp;ID1=75281A10&amp;VALUEID=01001&amp;SDATE=201002&amp;PERIODTYPE=QTR_STD&amp;window=popup_no_bar&amp;width=385&amp;height=120&amp;START_MAXIMIZED=FALSE&amp;creator=factset&amp;display_string=Audit"}</definedName>
    <definedName name="_1201__FDSAUDITLINK__" hidden="1">{"fdsup://Directions/FactSet Auditing Viewer?action=AUDIT_VALUE&amp;DB=129&amp;ID1=77829610&amp;VALUEID=01001&amp;SDATE=200901&amp;PERIODTYPE=QTR_STD&amp;window=popup_no_bar&amp;width=385&amp;height=120&amp;START_MAXIMIZED=FALSE&amp;creator=factset&amp;display_string=Audit"}</definedName>
    <definedName name="_1202__FDSAUDITLINK__" hidden="1">{"fdsup://Directions/FactSet Auditing Viewer?action=AUDIT_VALUE&amp;DB=129&amp;ID1=77829610&amp;VALUEID=01001&amp;SDATE=201001&amp;PERIODTYPE=QTR_STD&amp;window=popup_no_bar&amp;width=385&amp;height=120&amp;START_MAXIMIZED=FALSE&amp;creator=factset&amp;display_string=Audit"}</definedName>
    <definedName name="_1203__FDSAUDITLINK__" hidden="1">{"fdsup://Directions/FactSet Auditing Viewer?action=AUDIT_VALUE&amp;DB=129&amp;ID1=77669610&amp;VALUEID=01001&amp;SDATE=200902&amp;PERIODTYPE=QTR_STD&amp;window=popup_no_bar&amp;width=385&amp;height=120&amp;START_MAXIMIZED=FALSE&amp;creator=factset&amp;display_string=Audit"}</definedName>
    <definedName name="_1204__FDSAUDITLINK__" hidden="1">{"fdsup://Directions/FactSet Auditing Viewer?action=AUDIT_VALUE&amp;DB=129&amp;ID1=77669610&amp;VALUEID=01001&amp;SDATE=201002&amp;PERIODTYPE=QTR_STD&amp;window=popup_no_bar&amp;width=385&amp;height=120&amp;START_MAXIMIZED=FALSE&amp;creator=factset&amp;display_string=Audit"}</definedName>
    <definedName name="_1205__FDSAUDITLINK__" hidden="1">{"fdsup://Directions/FactSet Auditing Viewer?action=AUDIT_VALUE&amp;DB=129&amp;ID1=77390310&amp;VALUEID=01001&amp;SDATE=200903&amp;PERIODTYPE=QTR_STD&amp;window=popup_no_bar&amp;width=385&amp;height=120&amp;START_MAXIMIZED=FALSE&amp;creator=factset&amp;display_string=Audit"}</definedName>
    <definedName name="_1206__FDSAUDITLINK__" hidden="1">{"fdsup://Directions/FactSet Auditing Viewer?action=AUDIT_VALUE&amp;DB=129&amp;ID1=77390310&amp;VALUEID=01001&amp;SDATE=201003&amp;PERIODTYPE=QTR_STD&amp;window=popup_no_bar&amp;width=385&amp;height=120&amp;START_MAXIMIZED=FALSE&amp;creator=factset&amp;display_string=Audit"}</definedName>
    <definedName name="_1207__FDSAUDITLINK__" hidden="1">{"fdsup://Directions/FactSet Auditing Viewer?action=AUDIT_VALUE&amp;DB=129&amp;ID1=73157210&amp;VALUEID=01001&amp;SDATE=200901&amp;PERIODTYPE=QTR_STD&amp;window=popup_no_bar&amp;width=385&amp;height=120&amp;START_MAXIMIZED=FALSE&amp;creator=factset&amp;display_string=Audit"}</definedName>
    <definedName name="_1208__FDSAUDITLINK__" hidden="1">{"fdsup://Directions/FactSet Auditing Viewer?action=AUDIT_VALUE&amp;DB=129&amp;ID1=73157210&amp;VALUEID=01001&amp;SDATE=201001&amp;PERIODTYPE=QTR_STD&amp;window=popup_no_bar&amp;width=385&amp;height=120&amp;START_MAXIMIZED=FALSE&amp;creator=factset&amp;display_string=Audit"}</definedName>
    <definedName name="_1209__FDSAUDITLINK__" hidden="1">{"fdsup://Directions/FactSet Auditing Viewer?action=AUDIT_VALUE&amp;DB=129&amp;ID1=75657710&amp;VALUEID=01001&amp;SDATE=200901&amp;PERIODTYPE=QTR_STD&amp;window=popup_no_bar&amp;width=385&amp;height=120&amp;START_MAXIMIZED=FALSE&amp;creator=factset&amp;display_string=Audit"}</definedName>
    <definedName name="_121__FDSAUDITLINK__"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0__FDSAUDITLINK__" hidden="1">{"fdsup://Directions/FactSet Auditing Viewer?action=AUDIT_VALUE&amp;DB=129&amp;ID1=75657710&amp;VALUEID=01001&amp;SDATE=201001&amp;PERIODTYPE=QTR_STD&amp;window=popup_no_bar&amp;width=385&amp;height=120&amp;START_MAXIMIZED=FALSE&amp;creator=factset&amp;display_string=Audit"}</definedName>
    <definedName name="_1211__FDSAUDITLINK__" hidden="1">{"fdsup://Directions/FactSet Auditing Viewer?action=AUDIT_VALUE&amp;DB=129&amp;ID1=77032310&amp;VALUEID=01001&amp;SDATE=200902&amp;PERIODTYPE=QTR_STD&amp;window=popup_no_bar&amp;width=385&amp;height=120&amp;START_MAXIMIZED=FALSE&amp;creator=factset&amp;display_string=Audit"}</definedName>
    <definedName name="_1212__FDSAUDITLINK__" hidden="1">{"fdsup://Directions/FactSet Auditing Viewer?action=AUDIT_VALUE&amp;DB=129&amp;ID1=77032310&amp;VALUEID=01001&amp;SDATE=201002&amp;PERIODTYPE=QTR_STD&amp;window=popup_no_bar&amp;width=385&amp;height=120&amp;START_MAXIMIZED=FALSE&amp;creator=factset&amp;display_string=Audit"}</definedName>
    <definedName name="_1213__FDSAUDITLINK__" hidden="1">{"fdsup://Directions/FactSet Auditing Viewer?action=AUDIT_VALUE&amp;DB=129&amp;ID1=77938210&amp;VALUEID=01001&amp;SDATE=200902&amp;PERIODTYPE=QTR_STD&amp;window=popup_no_bar&amp;width=385&amp;height=120&amp;START_MAXIMIZED=FALSE&amp;creator=factset&amp;display_string=Audit"}</definedName>
    <definedName name="_1214__FDSAUDITLINK__" hidden="1">{"fdsup://Directions/FactSet Auditing Viewer?action=AUDIT_VALUE&amp;DB=129&amp;ID1=77938210&amp;VALUEID=01001&amp;SDATE=201002&amp;PERIODTYPE=QTR_STD&amp;window=popup_no_bar&amp;width=385&amp;height=120&amp;START_MAXIMIZED=FALSE&amp;creator=factset&amp;display_string=Audit"}</definedName>
    <definedName name="_1215__FDSAUDITLINK__" hidden="1">{"fdsup://Directions/FactSet Auditing Viewer?action=AUDIT_VALUE&amp;DB=129&amp;ID1=76171310&amp;VALUEID=01001&amp;SDATE=200902&amp;PERIODTYPE=QTR_STD&amp;window=popup_no_bar&amp;width=385&amp;height=120&amp;START_MAXIMIZED=FALSE&amp;creator=factset&amp;display_string=Audit"}</definedName>
    <definedName name="_1216__FDSAUDITLINK__" hidden="1">{"fdsup://Directions/FactSet Auditing Viewer?action=AUDIT_VALUE&amp;DB=129&amp;ID1=76171310&amp;VALUEID=01001&amp;SDATE=201002&amp;PERIODTYPE=QTR_STD&amp;window=popup_no_bar&amp;width=385&amp;height=120&amp;START_MAXIMIZED=FALSE&amp;creator=factset&amp;display_string=Audit"}</definedName>
    <definedName name="_1217__FDSAUDITLINK__" hidden="1">{"fdsup://Directions/FactSet Auditing Viewer?action=AUDIT_VALUE&amp;DB=129&amp;ID1=78354910&amp;VALUEID=01001&amp;SDATE=200902&amp;PERIODTYPE=QTR_STD&amp;window=popup_no_bar&amp;width=385&amp;height=120&amp;START_MAXIMIZED=FALSE&amp;creator=factset&amp;display_string=Audit"}</definedName>
    <definedName name="_1218__FDSAUDITLINK__" hidden="1">{"fdsup://Directions/FactSet Auditing Viewer?action=AUDIT_VALUE&amp;DB=129&amp;ID1=78354910&amp;VALUEID=01001&amp;SDATE=201002&amp;PERIODTYPE=QTR_STD&amp;window=popup_no_bar&amp;width=385&amp;height=120&amp;START_MAXIMIZED=FALSE&amp;creator=factset&amp;display_string=Audit"}</definedName>
    <definedName name="_1219__FDSAUDITLINK__" hidden="1">{"fdsup://Directions/FactSet Auditing Viewer?action=AUDIT_VALUE&amp;DB=129&amp;ID1=74727710&amp;VALUEID=01001&amp;SDATE=200901&amp;PERIODTYPE=QTR_STD&amp;window=popup_no_bar&amp;width=385&amp;height=120&amp;START_MAXIMIZED=FALSE&amp;creator=factset&amp;display_string=Audit"}</definedName>
    <definedName name="_122__123Graph_ALIQUIDS" hidden="1">[1]P!$S$78:$AL$78</definedName>
    <definedName name="_122__FDSAUDITLINK__"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0__FDSAUDITLINK__" hidden="1">{"fdsup://Directions/FactSet Auditing Viewer?action=AUDIT_VALUE&amp;DB=129&amp;ID1=74727710&amp;VALUEID=01001&amp;SDATE=201001&amp;PERIODTYPE=QTR_STD&amp;window=popup_no_bar&amp;width=385&amp;height=120&amp;START_MAXIMIZED=FALSE&amp;creator=factset&amp;display_string=Audit"}</definedName>
    <definedName name="_1221__FDSAUDITLINK__" hidden="1">{"fdsup://Directions/FactSet Auditing Viewer?action=AUDIT_VALUE&amp;DB=129&amp;ID1=74733V10&amp;VALUEID=01001&amp;SDATE=200902&amp;PERIODTYPE=QTR_STD&amp;window=popup_no_bar&amp;width=385&amp;height=120&amp;START_MAXIMIZED=FALSE&amp;creator=factset&amp;display_string=Audit"}</definedName>
    <definedName name="_1222__FDSAUDITLINK__" hidden="1">{"fdsup://Directions/FactSet Auditing Viewer?action=AUDIT_VALUE&amp;DB=129&amp;ID1=74733V10&amp;VALUEID=01001&amp;SDATE=201002&amp;PERIODTYPE=QTR_STD&amp;window=popup_no_bar&amp;width=385&amp;height=120&amp;START_MAXIMIZED=FALSE&amp;creator=factset&amp;display_string=Audit"}</definedName>
    <definedName name="_1223__FDSAUDITLINK__" hidden="1">{"fdsup://Directions/FactSet Auditing Viewer?action=AUDIT_VALUE&amp;DB=129&amp;ID1=74752510&amp;VALUEID=01001&amp;SDATE=200903&amp;PERIODTYPE=QTR_STD&amp;window=popup_no_bar&amp;width=385&amp;height=120&amp;START_MAXIMIZED=FALSE&amp;creator=factset&amp;display_string=Audit"}</definedName>
    <definedName name="_1224__FDSAUDITLINK__" hidden="1">{"fdsup://Directions/FactSet Auditing Viewer?action=AUDIT_VALUE&amp;DB=129&amp;ID1=74752510&amp;VALUEID=01001&amp;SDATE=201003&amp;PERIODTYPE=QTR_STD&amp;window=popup_no_bar&amp;width=385&amp;height=120&amp;START_MAXIMIZED=FALSE&amp;creator=factset&amp;display_string=Audit"}</definedName>
    <definedName name="_1225__FDSAUDITLINK__" hidden="1">{"fdsup://Directions/FactSet Auditing Viewer?action=AUDIT_VALUE&amp;DB=129&amp;ID1=74912110&amp;VALUEID=01001&amp;SDATE=200902&amp;PERIODTYPE=QTR_STD&amp;window=popup_no_bar&amp;width=385&amp;height=120&amp;START_MAXIMIZED=FALSE&amp;creator=factset&amp;display_string=Audit"}</definedName>
    <definedName name="_1226__FDSAUDITLINK__" hidden="1">{"fdsup://Directions/FactSet Auditing Viewer?action=AUDIT_VALUE&amp;DB=129&amp;ID1=74912110&amp;VALUEID=01001&amp;SDATE=201002&amp;PERIODTYPE=QTR_STD&amp;window=popup_no_bar&amp;width=385&amp;height=120&amp;START_MAXIMIZED=FALSE&amp;creator=factset&amp;display_string=Audit"}</definedName>
    <definedName name="_1227__FDSAUDITLINK__" hidden="1">{"fdsup://Directions/FactSet Auditing Viewer?action=AUDIT_VALUE&amp;DB=129&amp;ID1=72378710&amp;VALUEID=01001&amp;SDATE=200902&amp;PERIODTYPE=QTR_STD&amp;window=popup_no_bar&amp;width=385&amp;height=120&amp;START_MAXIMIZED=FALSE&amp;creator=factset&amp;display_string=Audit"}</definedName>
    <definedName name="_1228__FDSAUDITLINK__" hidden="1">{"fdsup://Directions/FactSet Auditing Viewer?action=AUDIT_VALUE&amp;DB=129&amp;ID1=72378710&amp;VALUEID=01001&amp;SDATE=201002&amp;PERIODTYPE=QTR_STD&amp;window=popup_no_bar&amp;width=385&amp;height=120&amp;START_MAXIMIZED=FALSE&amp;creator=factset&amp;display_string=Audit"}</definedName>
    <definedName name="_1229__FDSAUDITLINK__" hidden="1">{"fdsup://Directions/FactSet Auditing Viewer?action=AUDIT_VALUE&amp;DB=129&amp;ID1=74005P10&amp;VALUEID=01001&amp;SDATE=200902&amp;PERIODTYPE=QTR_STD&amp;window=popup_no_bar&amp;width=385&amp;height=120&amp;START_MAXIMIZED=FALSE&amp;creator=factset&amp;display_string=Audit"}</definedName>
    <definedName name="_123__FDSAUDITLINK__"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0__FDSAUDITLINK__" hidden="1">{"fdsup://Directions/FactSet Auditing Viewer?action=AUDIT_VALUE&amp;DB=129&amp;ID1=74005P10&amp;VALUEID=01001&amp;SDATE=201002&amp;PERIODTYPE=QTR_STD&amp;window=popup_no_bar&amp;width=385&amp;height=120&amp;START_MAXIMIZED=FALSE&amp;creator=factset&amp;display_string=Audit"}</definedName>
    <definedName name="_1231__FDSAUDITLINK__" hidden="1">{"fdsup://Directions/FactSet Auditing Viewer?action=AUDIT_VALUE&amp;DB=129&amp;ID1=74762E10&amp;VALUEID=01001&amp;SDATE=200902&amp;PERIODTYPE=QTR_STD&amp;window=popup_no_bar&amp;width=385&amp;height=120&amp;START_MAXIMIZED=FALSE&amp;creator=factset&amp;display_string=Audit"}</definedName>
    <definedName name="_1232__FDSAUDITLINK__" hidden="1">{"fdsup://Directions/FactSet Auditing Viewer?action=AUDIT_VALUE&amp;DB=129&amp;ID1=74762E10&amp;VALUEID=01001&amp;SDATE=201002&amp;PERIODTYPE=QTR_STD&amp;window=popup_no_bar&amp;width=385&amp;height=120&amp;START_MAXIMIZED=FALSE&amp;creator=factset&amp;display_string=Audit"}</definedName>
    <definedName name="_1233__FDSAUDITLINK__" hidden="1">{"fdsup://Directions/FactSet Auditing Viewer?action=AUDIT_VALUE&amp;DB=129&amp;ID1=69525710&amp;VALUEID=01001&amp;SDATE=200902&amp;PERIODTYPE=QTR_STD&amp;window=popup_no_bar&amp;width=385&amp;height=120&amp;START_MAXIMIZED=FALSE&amp;creator=factset&amp;display_string=Audit"}</definedName>
    <definedName name="_1234__FDSAUDITLINK__" hidden="1">{"fdsup://Directions/FactSet Auditing Viewer?action=AUDIT_VALUE&amp;DB=129&amp;ID1=69525710&amp;VALUEID=01001&amp;SDATE=201002&amp;PERIODTYPE=QTR_STD&amp;window=popup_no_bar&amp;width=385&amp;height=120&amp;START_MAXIMIZED=FALSE&amp;creator=factset&amp;display_string=Audit"}</definedName>
    <definedName name="_1235__FDSAUDITLINK__" hidden="1">{"fdsup://Directions/FactSet Auditing Viewer?action=AUDIT_VALUE&amp;DB=129&amp;ID1=74460D10&amp;VALUEID=01001&amp;SDATE=201002&amp;PERIODTYPE=QTR_STD&amp;window=popup_no_bar&amp;width=385&amp;height=120&amp;START_MAXIMIZED=FALSE&amp;creator=factset&amp;display_string=Audit"}</definedName>
    <definedName name="_1236__FDSAUDITLINK__" hidden="1">{"fdsup://Directions/FactSet Auditing Viewer?action=AUDIT_VALUE&amp;DB=129&amp;ID1=74432010&amp;VALUEID=01001&amp;SDATE=200902&amp;PERIODTYPE=QTR_STD&amp;window=popup_no_bar&amp;width=385&amp;height=120&amp;START_MAXIMIZED=FALSE&amp;creator=factset&amp;display_string=Audit"}</definedName>
    <definedName name="_1237__FDSAUDITLINK__" hidden="1">{"fdsup://Directions/FactSet Auditing Viewer?action=AUDIT_VALUE&amp;DB=129&amp;ID1=74432010&amp;VALUEID=01001&amp;SDATE=201002&amp;PERIODTYPE=QTR_STD&amp;window=popup_no_bar&amp;width=385&amp;height=120&amp;START_MAXIMIZED=FALSE&amp;creator=factset&amp;display_string=Audit"}</definedName>
    <definedName name="_1238__FDSAUDITLINK__" hidden="1">{"fdsup://Directions/FactSet Auditing Viewer?action=AUDIT_VALUE&amp;DB=129&amp;ID1=69351T10&amp;VALUEID=01001&amp;SDATE=200902&amp;PERIODTYPE=QTR_STD&amp;window=popup_no_bar&amp;width=385&amp;height=120&amp;START_MAXIMIZED=FALSE&amp;creator=factset&amp;display_string=Audit"}</definedName>
    <definedName name="_1239__FDSAUDITLINK__" hidden="1">{"fdsup://Directions/FactSet Auditing Viewer?action=AUDIT_VALUE&amp;DB=129&amp;ID1=69351T10&amp;VALUEID=01001&amp;SDATE=201002&amp;PERIODTYPE=QTR_STD&amp;window=popup_no_bar&amp;width=385&amp;height=120&amp;START_MAXIMIZED=FALSE&amp;creator=factset&amp;display_string=Audit"}</definedName>
    <definedName name="_124__FDSAUDITLINK__"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0__FDSAUDITLINK__" hidden="1">{"fdsup://Directions/FactSet Auditing Viewer?action=AUDIT_VALUE&amp;DB=129&amp;ID1=69350610&amp;VALUEID=01001&amp;SDATE=200902&amp;PERIODTYPE=QTR_STD&amp;window=popup_no_bar&amp;width=385&amp;height=120&amp;START_MAXIMIZED=FALSE&amp;creator=factset&amp;display_string=Audit"}</definedName>
    <definedName name="_1241__FDSAUDITLINK__" hidden="1">{"fdsup://Directions/FactSet Auditing Viewer?action=AUDIT_VALUE&amp;DB=129&amp;ID1=69350610&amp;VALUEID=01001&amp;SDATE=201002&amp;PERIODTYPE=QTR_STD&amp;window=popup_no_bar&amp;width=385&amp;height=120&amp;START_MAXIMIZED=FALSE&amp;creator=factset&amp;display_string=Audit"}</definedName>
    <definedName name="_1242__FDSAUDITLINK__" hidden="1">{"fdsup://Directions/FactSet Auditing Viewer?action=AUDIT_VALUE&amp;DB=129&amp;ID1=71329110&amp;VALUEID=01001&amp;SDATE=200902&amp;PERIODTYPE=QTR_STD&amp;window=popup_no_bar&amp;width=385&amp;height=120&amp;START_MAXIMIZED=FALSE&amp;creator=factset&amp;display_string=Audit"}</definedName>
    <definedName name="_1243__FDSAUDITLINK__" hidden="1">{"fdsup://Directions/FactSet Auditing Viewer?action=AUDIT_VALUE&amp;DB=129&amp;ID1=71329110&amp;VALUEID=01001&amp;SDATE=201002&amp;PERIODTYPE=QTR_STD&amp;window=popup_no_bar&amp;width=385&amp;height=120&amp;START_MAXIMIZED=FALSE&amp;creator=factset&amp;display_string=Audit"}</definedName>
    <definedName name="_1244__FDSAUDITLINK__" hidden="1">{"fdsup://Directions/FactSet Auditing Viewer?action=AUDIT_VALUE&amp;DB=129&amp;ID1=72348410&amp;VALUEID=01001&amp;SDATE=200902&amp;PERIODTYPE=QTR_STD&amp;window=popup_no_bar&amp;width=385&amp;height=120&amp;START_MAXIMIZED=FALSE&amp;creator=factset&amp;display_string=Audit"}</definedName>
    <definedName name="_1245__FDSAUDITLINK__" hidden="1">{"fdsup://Directions/FactSet Auditing Viewer?action=AUDIT_VALUE&amp;DB=129&amp;ID1=72348410&amp;VALUEID=01001&amp;SDATE=201002&amp;PERIODTYPE=QTR_STD&amp;window=popup_no_bar&amp;width=385&amp;height=120&amp;START_MAXIMIZED=FALSE&amp;creator=factset&amp;display_string=Audit"}</definedName>
    <definedName name="_1246__FDSAUDITLINK__" hidden="1">{"fdsup://Directions/FactSet Auditing Viewer?action=AUDIT_VALUE&amp;DB=129&amp;ID1=71817210&amp;VALUEID=01001&amp;SDATE=200902&amp;PERIODTYPE=QTR_STD&amp;window=popup_no_bar&amp;width=385&amp;height=120&amp;START_MAXIMIZED=FALSE&amp;creator=factset&amp;display_string=Audit"}</definedName>
    <definedName name="_1247__FDSAUDITLINK__" hidden="1">{"fdsup://Directions/FactSet Auditing Viewer?action=AUDIT_VALUE&amp;DB=129&amp;ID1=71817210&amp;VALUEID=01001&amp;SDATE=201002&amp;PERIODTYPE=QTR_STD&amp;window=popup_no_bar&amp;width=385&amp;height=120&amp;START_MAXIMIZED=FALSE&amp;creator=factset&amp;display_string=Audit"}</definedName>
    <definedName name="_1248__FDSAUDITLINK__" hidden="1">{"fdsup://Directions/FactSet Auditing Viewer?action=AUDIT_VALUE&amp;DB=129&amp;ID1=69642930&amp;VALUEID=01001&amp;SDATE=200903&amp;PERIODTYPE=QTR_STD&amp;window=popup_no_bar&amp;width=385&amp;height=120&amp;START_MAXIMIZED=FALSE&amp;creator=factset&amp;display_string=Audit"}</definedName>
    <definedName name="_1249__FDSAUDITLINK__" hidden="1">{"fdsup://Directions/FactSet Auditing Viewer?action=AUDIT_VALUE&amp;DB=129&amp;ID1=69642930&amp;VALUEID=01001&amp;SDATE=201003&amp;PERIODTYPE=QTR_STD&amp;window=popup_no_bar&amp;width=385&amp;height=120&amp;START_MAXIMIZED=FALSE&amp;creator=factset&amp;display_string=Audit"}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0__FDSAUDITLINK__" hidden="1">{"fdsup://Directions/FactSet Auditing Viewer?action=AUDIT_VALUE&amp;DB=129&amp;ID1=74341010&amp;VALUEID=01001&amp;SDATE=200902&amp;PERIODTYPE=QTR_STD&amp;window=popup_no_bar&amp;width=385&amp;height=120&amp;START_MAXIMIZED=FALSE&amp;creator=factset&amp;display_string=Audit"}</definedName>
    <definedName name="_1251__FDSAUDITLINK__" hidden="1">{"fdsup://Directions/FactSet Auditing Viewer?action=AUDIT_VALUE&amp;DB=129&amp;ID1=74341010&amp;VALUEID=01001&amp;SDATE=201002&amp;PERIODTYPE=QTR_STD&amp;window=popup_no_bar&amp;width=385&amp;height=120&amp;START_MAXIMIZED=FALSE&amp;creator=factset&amp;display_string=Audit"}</definedName>
    <definedName name="_1252__FDSAUDITLINK__" hidden="1">{"fdsup://Directions/FactSet Auditing Viewer?action=AUDIT_VALUE&amp;DB=129&amp;ID1=71404610&amp;VALUEID=01001&amp;SDATE=200902&amp;PERIODTYPE=QTR_STD&amp;window=popup_no_bar&amp;width=385&amp;height=120&amp;START_MAXIMIZED=FALSE&amp;creator=factset&amp;display_string=Audit"}</definedName>
    <definedName name="_1253__FDSAUDITLINK__" hidden="1">{"fdsup://Directions/FactSet Auditing Viewer?action=AUDIT_VALUE&amp;DB=129&amp;ID1=71404610&amp;VALUEID=01001&amp;SDATE=201002&amp;PERIODTYPE=QTR_STD&amp;window=popup_no_bar&amp;width=385&amp;height=120&amp;START_MAXIMIZED=FALSE&amp;creator=factset&amp;display_string=Audit"}</definedName>
    <definedName name="_1254__FDSAUDITLINK__" hidden="1">{"fdsup://Directions/FactSet Auditing Viewer?action=AUDIT_VALUE&amp;DB=129&amp;ID1=74586710&amp;VALUEID=01001&amp;SDATE=200902&amp;PERIODTYPE=QTR_STD&amp;window=popup_no_bar&amp;width=385&amp;height=120&amp;START_MAXIMIZED=FALSE&amp;creator=factset&amp;display_string=Audit"}</definedName>
    <definedName name="_1255__FDSAUDITLINK__" hidden="1">{"fdsup://Directions/FactSet Auditing Viewer?action=AUDIT_VALUE&amp;DB=129&amp;ID1=74586710&amp;VALUEID=01001&amp;SDATE=201002&amp;PERIODTYPE=QTR_STD&amp;window=popup_no_bar&amp;width=385&amp;height=120&amp;START_MAXIMIZED=FALSE&amp;creator=factset&amp;display_string=Audit"}</definedName>
    <definedName name="_1256__FDSAUDITLINK__" hidden="1">{"fdsup://Directions/FactSet Auditing Viewer?action=AUDIT_VALUE&amp;DB=129&amp;ID1=70109410&amp;VALUEID=01001&amp;SDATE=200904&amp;PERIODTYPE=QTR_STD&amp;window=popup_no_bar&amp;width=385&amp;height=120&amp;START_MAXIMIZED=FALSE&amp;creator=factset&amp;display_string=Audit"}</definedName>
    <definedName name="_1257__FDSAUDITLINK__" hidden="1">{"fdsup://Directions/FactSet Auditing Viewer?action=AUDIT_VALUE&amp;DB=129&amp;ID1=70109410&amp;VALUEID=01001&amp;SDATE=201004&amp;PERIODTYPE=QTR_STD&amp;window=popup_no_bar&amp;width=385&amp;height=120&amp;START_MAXIMIZED=FALSE&amp;creator=factset&amp;display_string=Audit"}</definedName>
    <definedName name="_1258__FDSAUDITLINK__" hidden="1">{"fdsup://Directions/FactSet Auditing Viewer?action=AUDIT_VALUE&amp;DB=129&amp;ID1=74331510&amp;VALUEID=01001&amp;SDATE=200902&amp;PERIODTYPE=QTR_STD&amp;window=popup_no_bar&amp;width=385&amp;height=120&amp;START_MAXIMIZED=FALSE&amp;creator=factset&amp;display_string=Audit"}</definedName>
    <definedName name="_1259__FDSAUDITLINK__" hidden="1">{"fdsup://Directions/FactSet Auditing Viewer?action=AUDIT_VALUE&amp;DB=129&amp;ID1=74331510&amp;VALUEID=01001&amp;SDATE=201002&amp;PERIODTYPE=QTR_STD&amp;window=popup_no_bar&amp;width=385&amp;height=120&amp;START_MAXIMIZED=FALSE&amp;creator=factset&amp;display_string=Audit"}</definedName>
    <definedName name="_126__FDSAUDITLINK__"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0__FDSAUDITLINK__" hidden="1">{"fdsup://Directions/FactSet Auditing Viewer?action=AUDIT_VALUE&amp;DB=129&amp;ID1=74326310&amp;VALUEID=01001&amp;SDATE=200902&amp;PERIODTYPE=QTR_STD&amp;window=popup_no_bar&amp;width=385&amp;height=120&amp;START_MAXIMIZED=FALSE&amp;creator=factset&amp;display_string=Audit"}</definedName>
    <definedName name="_1261__FDSAUDITLINK__" hidden="1">{"fdsup://Directions/FactSet Auditing Viewer?action=AUDIT_VALUE&amp;DB=129&amp;ID1=74326310&amp;VALUEID=01001&amp;SDATE=201002&amp;PERIODTYPE=QTR_STD&amp;window=popup_no_bar&amp;width=385&amp;height=120&amp;START_MAXIMIZED=FALSE&amp;creator=factset&amp;display_string=Audit"}</definedName>
    <definedName name="_1262__FDSAUDITLINK__" hidden="1">{"fdsup://Directions/FactSet Auditing Viewer?action=AUDIT_VALUE&amp;DB=129&amp;ID1=74271810&amp;VALUEID=01001&amp;SDATE=201004&amp;PERIODTYPE=QTR_STD&amp;window=popup_no_bar&amp;width=385&amp;height=120&amp;START_MAXIMIZED=FALSE&amp;creator=factset&amp;display_string=Audit"}</definedName>
    <definedName name="_1263__FDSAUDITLINK__" hidden="1">{"fdsup://Directions/FactSet Auditing Viewer?action=AUDIT_VALUE&amp;DB=129&amp;ID1=74251V10&amp;VALUEID=01001&amp;SDATE=200902&amp;PERIODTYPE=QTR_STD&amp;window=popup_no_bar&amp;width=385&amp;height=120&amp;START_MAXIMIZED=FALSE&amp;creator=factset&amp;display_string=Audit"}</definedName>
    <definedName name="_1264__FDSAUDITLINK__" hidden="1">{"fdsup://Directions/FactSet Auditing Viewer?action=AUDIT_VALUE&amp;DB=129&amp;ID1=74251V10&amp;VALUEID=01001&amp;SDATE=201002&amp;PERIODTYPE=QTR_STD&amp;window=popup_no_bar&amp;width=385&amp;height=120&amp;START_MAXIMIZED=FALSE&amp;creator=factset&amp;display_string=Audit"}</definedName>
    <definedName name="_1265__FDSAUDITLINK__" hidden="1">{"fdsup://Directions/FactSet Auditing Viewer?action=AUDIT_VALUE&amp;DB=129&amp;ID1=71708110&amp;VALUEID=01001&amp;SDATE=200902&amp;PERIODTYPE=QTR_STD&amp;window=popup_no_bar&amp;width=385&amp;height=120&amp;START_MAXIMIZED=FALSE&amp;creator=factset&amp;display_string=Audit"}</definedName>
    <definedName name="_1266__FDSAUDITLINK__" hidden="1">{"fdsup://Directions/FactSet Auditing Viewer?action=AUDIT_VALUE&amp;DB=129&amp;ID1=71708110&amp;VALUEID=01001&amp;SDATE=201002&amp;PERIODTYPE=QTR_STD&amp;window=popup_no_bar&amp;width=385&amp;height=120&amp;START_MAXIMIZED=FALSE&amp;creator=factset&amp;display_string=Audit"}</definedName>
    <definedName name="_1267__FDSAUDITLINK__" hidden="1">{"fdsup://Directions/FactSet Auditing Viewer?action=AUDIT_VALUE&amp;DB=129&amp;ID1=71344810&amp;VALUEID=01001&amp;SDATE=200902&amp;PERIODTYPE=QTR_STD&amp;window=popup_no_bar&amp;width=385&amp;height=120&amp;START_MAXIMIZED=FALSE&amp;creator=factset&amp;display_string=Audit"}</definedName>
    <definedName name="_1268__FDSAUDITLINK__" hidden="1">{"fdsup://Directions/FactSet Auditing Viewer?action=AUDIT_VALUE&amp;DB=129&amp;ID1=71344810&amp;VALUEID=01001&amp;SDATE=201002&amp;PERIODTYPE=QTR_STD&amp;window=popup_no_bar&amp;width=385&amp;height=120&amp;START_MAXIMIZED=FALSE&amp;creator=factset&amp;display_string=Audit"}</definedName>
    <definedName name="_1269__FDSAUDITLINK__" hidden="1">{"fdsup://Directions/FactSet Auditing Viewer?action=AUDIT_VALUE&amp;DB=129&amp;ID1=74457310&amp;VALUEID=01001&amp;SDATE=200902&amp;PERIODTYPE=QTR_STD&amp;window=popup_no_bar&amp;width=385&amp;height=120&amp;START_MAXIMIZED=FALSE&amp;creator=factset&amp;display_string=Audit"}</definedName>
    <definedName name="_127__FDSAUDITLINK__"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0__FDSAUDITLINK__" hidden="1">{"fdsup://Directions/FactSet Auditing Viewer?action=AUDIT_VALUE&amp;DB=129&amp;ID1=74457310&amp;VALUEID=01001&amp;SDATE=201002&amp;PERIODTYPE=QTR_STD&amp;window=popup_no_bar&amp;width=385&amp;height=120&amp;START_MAXIMIZED=FALSE&amp;creator=factset&amp;display_string=Audit"}</definedName>
    <definedName name="_1271__FDSAUDITLINK__" hidden="1">{"fdsup://Directions/FactSet Auditing Viewer?action=AUDIT_VALUE&amp;DB=129&amp;ID1=70339510&amp;VALUEID=01001&amp;SDATE=200904&amp;PERIODTYPE=QTR_STD&amp;window=popup_no_bar&amp;width=385&amp;height=120&amp;START_MAXIMIZED=FALSE&amp;creator=factset&amp;display_string=Audit"}</definedName>
    <definedName name="_1272__FDSAUDITLINK__" hidden="1">{"fdsup://Directions/FactSet Auditing Viewer?action=AUDIT_VALUE&amp;DB=129&amp;ID1=59170810&amp;VALUEID=01001&amp;SDATE=200902&amp;PERIODTYPE=QTR_STD&amp;window=popup_no_bar&amp;width=385&amp;height=120&amp;START_MAXIMIZED=FALSE&amp;creator=factset&amp;display_string=Audit"}</definedName>
    <definedName name="_1273__FDSAUDITLINK__" hidden="1">{"fdsup://Directions/FactSet Auditing Viewer?action=AUDIT_VALUE&amp;DB=129&amp;ID1=59170810&amp;VALUEID=01001&amp;SDATE=201002&amp;PERIODTYPE=QTR_STD&amp;window=popup_no_bar&amp;width=385&amp;height=120&amp;START_MAXIMIZED=FALSE&amp;creator=factset&amp;display_string=Audit"}</definedName>
    <definedName name="_1274__FDSAUDITLINK__" hidden="1">{"fdsup://Directions/FactSet Auditing Viewer?action=AUDIT_VALUE&amp;DB=129&amp;ID1=74018910&amp;VALUEID=01001&amp;SDATE=200901&amp;PERIODTYPE=QTR_STD&amp;window=popup_no_bar&amp;width=385&amp;height=120&amp;START_MAXIMIZED=FALSE&amp;creator=factset&amp;display_string=Audit"}</definedName>
    <definedName name="_1275__FDSAUDITLINK__" hidden="1">{"fdsup://Directions/FactSet Auditing Viewer?action=AUDIT_VALUE&amp;DB=129&amp;ID1=74018910&amp;VALUEID=01001&amp;SDATE=201001&amp;PERIODTYPE=QTR_STD&amp;window=popup_no_bar&amp;width=385&amp;height=120&amp;START_MAXIMIZED=FALSE&amp;creator=factset&amp;display_string=Audit"}</definedName>
    <definedName name="_1276__FDSAUDITLINK__" hidden="1">{"fdsup://Directions/FactSet Auditing Viewer?action=AUDIT_VALUE&amp;DB=129&amp;ID1=74150340&amp;VALUEID=01001&amp;SDATE=200902&amp;PERIODTYPE=QTR_STD&amp;window=popup_no_bar&amp;width=385&amp;height=120&amp;START_MAXIMIZED=FALSE&amp;creator=factset&amp;display_string=Audit"}</definedName>
    <definedName name="_1277__FDSAUDITLINK__" hidden="1">{"fdsup://Directions/FactSet Auditing Viewer?action=AUDIT_VALUE&amp;DB=129&amp;ID1=74150340&amp;VALUEID=01001&amp;SDATE=201002&amp;PERIODTYPE=QTR_STD&amp;window=popup_no_bar&amp;width=385&amp;height=120&amp;START_MAXIMIZED=FALSE&amp;creator=factset&amp;display_string=Audit"}</definedName>
    <definedName name="_1278__FDSAUDITLINK__" hidden="1">{"fdsup://Directions/FactSet Auditing Viewer?action=AUDIT_VALUE&amp;DB=129&amp;ID1=72925110&amp;VALUEID=01001&amp;SDATE=200902&amp;PERIODTYPE=QTR_STD&amp;window=popup_no_bar&amp;width=385&amp;height=120&amp;START_MAXIMIZED=FALSE&amp;creator=factset&amp;display_string=Audit"}</definedName>
    <definedName name="_1279__FDSAUDITLINK__" hidden="1">{"fdsup://Directions/FactSet Auditing Viewer?action=AUDIT_VALUE&amp;DB=129&amp;ID1=72925110&amp;VALUEID=01001&amp;SDATE=201002&amp;PERIODTYPE=QTR_STD&amp;window=popup_no_bar&amp;width=385&amp;height=120&amp;START_MAXIMIZED=FALSE&amp;creator=factset&amp;display_string=Audit"}</definedName>
    <definedName name="_128__123Graph_XLIQUIDS" hidden="1">[1]P!$R$29:$AK$29</definedName>
    <definedName name="_128__FDSAUDITLINK__"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0__FDSAUDITLINK__" hidden="1">{"fdsup://Directions/FactSet Auditing Viewer?action=AUDIT_VALUE&amp;DB=129&amp;ID1=69331C10&amp;VALUEID=01001&amp;SDATE=200902&amp;PERIODTYPE=QTR_STD&amp;window=popup_no_bar&amp;width=385&amp;height=120&amp;START_MAXIMIZED=FALSE&amp;creator=factset&amp;display_string=Audit"}</definedName>
    <definedName name="_1281__FDSAUDITLINK__" hidden="1">{"fdsup://Directions/FactSet Auditing Viewer?action=AUDIT_VALUE&amp;DB=129&amp;ID1=69331C10&amp;VALUEID=01001&amp;SDATE=201002&amp;PERIODTYPE=QTR_STD&amp;window=popup_no_bar&amp;width=385&amp;height=120&amp;START_MAXIMIZED=FALSE&amp;creator=factset&amp;display_string=Audit"}</definedName>
    <definedName name="_1282__FDSAUDITLINK__" hidden="1">{"fdsup://Directions/FactSet Auditing Viewer?action=AUDIT_VALUE&amp;DB=129&amp;ID1=69371810&amp;VALUEID=01001&amp;SDATE=200902&amp;PERIODTYPE=QTR_STD&amp;window=popup_no_bar&amp;width=385&amp;height=120&amp;START_MAXIMIZED=FALSE&amp;creator=factset&amp;display_string=Audit"}</definedName>
    <definedName name="_1283__FDSAUDITLINK__" hidden="1">{"fdsup://Directions/FactSet Auditing Viewer?action=AUDIT_VALUE&amp;DB=129&amp;ID1=69371810&amp;VALUEID=01001&amp;SDATE=201002&amp;PERIODTYPE=QTR_STD&amp;window=popup_no_bar&amp;width=385&amp;height=120&amp;START_MAXIMIZED=FALSE&amp;creator=factset&amp;display_string=Audit"}</definedName>
    <definedName name="_1284__FDSAUDITLINK__" hidden="1">{"fdsup://Directions/FactSet Auditing Viewer?action=AUDIT_VALUE&amp;DB=129&amp;ID1=72447910&amp;VALUEID=01001&amp;SDATE=200902&amp;PERIODTYPE=QTR_STD&amp;window=popup_no_bar&amp;width=385&amp;height=120&amp;START_MAXIMIZED=FALSE&amp;creator=factset&amp;display_string=Audit"}</definedName>
    <definedName name="_1285__FDSAUDITLINK__" hidden="1">{"fdsup://Directions/FactSet Auditing Viewer?action=AUDIT_VALUE&amp;DB=129&amp;ID1=72447910&amp;VALUEID=01001&amp;SDATE=201002&amp;PERIODTYPE=QTR_STD&amp;window=popup_no_bar&amp;width=385&amp;height=120&amp;START_MAXIMIZED=FALSE&amp;creator=factset&amp;display_string=Audit"}</definedName>
    <definedName name="_1286__FDSAUDITLINK__" hidden="1">{"fdsup://Directions/FactSet Auditing Viewer?action=AUDIT_VALUE&amp;DB=129&amp;ID1=70432610&amp;VALUEID=01001&amp;SDATE=200804&amp;PERIODTYPE=QTR_STD&amp;window=popup_no_bar&amp;width=385&amp;height=120&amp;START_MAXIMIZED=FALSE&amp;creator=factset&amp;display_string=Audit"}</definedName>
    <definedName name="_1287__FDSAUDITLINK__" hidden="1">{"fdsup://Directions/FactSet Auditing Viewer?action=AUDIT_VALUE&amp;DB=129&amp;ID1=70432610&amp;VALUEID=01001&amp;SDATE=200904&amp;PERIODTYPE=QTR_STD&amp;window=popup_no_bar&amp;width=385&amp;height=120&amp;START_MAXIMIZED=FALSE&amp;creator=factset&amp;display_string=Audit"}</definedName>
    <definedName name="_1288__FDSAUDITLINK__" hidden="1">{"fdsup://Directions/FactSet Auditing Viewer?action=AUDIT_VALUE&amp;DB=129&amp;ID1=67459910&amp;VALUEID=01001&amp;SDATE=200902&amp;PERIODTYPE=QTR_STD&amp;window=popup_no_bar&amp;width=385&amp;height=120&amp;START_MAXIMIZED=FALSE&amp;creator=factset&amp;display_string=Audit"}</definedName>
    <definedName name="_1289__FDSAUDITLINK__" hidden="1">{"fdsup://Directions/FactSet Auditing Viewer?action=AUDIT_VALUE&amp;DB=129&amp;ID1=67459910&amp;VALUEID=01001&amp;SDATE=201002&amp;PERIODTYPE=QTR_STD&amp;window=popup_no_bar&amp;width=385&amp;height=120&amp;START_MAXIMIZED=FALSE&amp;creator=factset&amp;display_string=Audit"}</definedName>
    <definedName name="_129__123Graph_XR_M_MARG" hidden="1">[1]P!$R$29:$AK$29</definedName>
    <definedName name="_129__FDSAUDITLINK__"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0__FDSAUDITLINK__" hidden="1">{"fdsup://Directions/FactSet Auditing Viewer?action=AUDIT_VALUE&amp;DB=129&amp;ID1=68609110&amp;VALUEID=01001&amp;SDATE=200902&amp;PERIODTYPE=QTR_STD&amp;window=popup_no_bar&amp;width=385&amp;height=120&amp;START_MAXIMIZED=FALSE&amp;creator=factset&amp;display_string=Audit"}</definedName>
    <definedName name="_1291__FDSAUDITLINK__" hidden="1">{"fdsup://Directions/FactSet Auditing Viewer?action=AUDIT_VALUE&amp;DB=129&amp;ID1=68609110&amp;VALUEID=01001&amp;SDATE=201002&amp;PERIODTYPE=QTR_STD&amp;window=popup_no_bar&amp;width=385&amp;height=120&amp;START_MAXIMIZED=FALSE&amp;creator=factset&amp;display_string=Audit"}</definedName>
    <definedName name="_1292__FDSAUDITLINK__" hidden="1">{"fdsup://Directions/FactSet Auditing Viewer?action=AUDIT_VALUE&amp;DB=129&amp;ID1=68389X10&amp;VALUEID=01001&amp;SDATE=200804&amp;PERIODTYPE=QTR_STD&amp;window=popup_no_bar&amp;width=385&amp;height=120&amp;START_MAXIMIZED=FALSE&amp;creator=factset&amp;display_string=Audit"}</definedName>
    <definedName name="_1293__FDSAUDITLINK__" hidden="1">{"fdsup://Directions/FactSet Auditing Viewer?action=AUDIT_VALUE&amp;DB=129&amp;ID1=68389X10&amp;VALUEID=01001&amp;SDATE=200904&amp;PERIODTYPE=QTR_STD&amp;window=popup_no_bar&amp;width=385&amp;height=120&amp;START_MAXIMIZED=FALSE&amp;creator=factset&amp;display_string=Audit"}</definedName>
    <definedName name="_1294__FDSAUDITLINK__" hidden="1">{"fdsup://Directions/FactSet Auditing Viewer?action=AUDIT_VALUE&amp;DB=129&amp;ID1=68191910&amp;VALUEID=01001&amp;SDATE=200902&amp;PERIODTYPE=QTR_STD&amp;window=popup_no_bar&amp;width=385&amp;height=120&amp;START_MAXIMIZED=FALSE&amp;creator=factset&amp;display_string=Audit"}</definedName>
    <definedName name="_1295__FDSAUDITLINK__" hidden="1">{"fdsup://Directions/FactSet Auditing Viewer?action=AUDIT_VALUE&amp;DB=129&amp;ID1=68191910&amp;VALUEID=01001&amp;SDATE=201002&amp;PERIODTYPE=QTR_STD&amp;window=popup_no_bar&amp;width=385&amp;height=120&amp;START_MAXIMIZED=FALSE&amp;creator=factset&amp;display_string=Audit"}</definedName>
    <definedName name="_1296__FDSAUDITLINK__" hidden="1">{"fdsup://Directions/FactSet Auditing Viewer?action=AUDIT_VALUE&amp;DB=129&amp;ID1=68268010&amp;VALUEID=01001&amp;SDATE=200902&amp;PERIODTYPE=QTR_STD&amp;window=popup_no_bar&amp;width=385&amp;height=120&amp;START_MAXIMIZED=FALSE&amp;creator=factset&amp;display_string=Audit"}</definedName>
    <definedName name="_1297__FDSAUDITLINK__" hidden="1">{"fdsup://Directions/FactSet Auditing Viewer?action=AUDIT_VALUE&amp;DB=129&amp;ID1=68268010&amp;VALUEID=01001&amp;SDATE=201002&amp;PERIODTYPE=QTR_STD&amp;window=popup_no_bar&amp;width=385&amp;height=120&amp;START_MAXIMIZED=FALSE&amp;creator=factset&amp;display_string=Audit"}</definedName>
    <definedName name="_1298__FDSAUDITLINK__" hidden="1">{"fdsup://Directions/FactSet Auditing Viewer?action=AUDIT_VALUE&amp;DB=129&amp;ID1=69076840&amp;VALUEID=01001&amp;SDATE=200902&amp;PERIODTYPE=QTR_STD&amp;window=popup_no_bar&amp;width=385&amp;height=120&amp;START_MAXIMIZED=FALSE&amp;creator=factset&amp;display_string=Audit"}</definedName>
    <definedName name="_1299__FDSAUDITLINK__" hidden="1">{"fdsup://Directions/FactSet Auditing Viewer?action=AUDIT_VALUE&amp;DB=129&amp;ID1=69076840&amp;VALUEID=01001&amp;SDATE=201002&amp;PERIODTYPE=QTR_STD&amp;window=popup_no_bar&amp;width=385&amp;height=120&amp;START_MAXIMIZED=FALSE&amp;creator=factset&amp;display_string=Audit"}</definedName>
    <definedName name="_13__FDSAUDITLINK__" hidden="1">{"fdsup://Directions/FactSet Auditing Viewer?action=AUDIT_VALUE&amp;DB=129&amp;ID1=595937&amp;VALUEID=02001&amp;SDATE=2009&amp;PERIODTYPE=ANN_STD&amp;window=popup_no_bar&amp;width=385&amp;height=120&amp;START_MAXIMIZED=FALSE&amp;creator=factset&amp;display_string=Audit"}</definedName>
    <definedName name="_130__FDSAUDITLINK__"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0__FDSAUDITLINK__" hidden="1">{"fdsup://Directions/FactSet Auditing Viewer?action=AUDIT_VALUE&amp;DB=129&amp;ID1=67622010&amp;VALUEID=01001&amp;SDATE=200902&amp;PERIODTYPE=QTR_STD&amp;window=popup_no_bar&amp;width=385&amp;height=120&amp;START_MAXIMIZED=FALSE&amp;creator=factset&amp;display_string=Audit"}</definedName>
    <definedName name="_1301__FDSAUDITLINK__" hidden="1">{"fdsup://Directions/FactSet Auditing Viewer?action=AUDIT_VALUE&amp;DB=129&amp;ID1=67622010&amp;VALUEID=01001&amp;SDATE=201002&amp;PERIODTYPE=QTR_STD&amp;window=popup_no_bar&amp;width=385&amp;height=120&amp;START_MAXIMIZED=FALSE&amp;creator=factset&amp;display_string=Audit"}</definedName>
    <definedName name="_1302__FDSAUDITLINK__" hidden="1">{"fdsup://Directions/FactSet Auditing Viewer?action=AUDIT_VALUE&amp;DB=129&amp;ID1=62949110&amp;VALUEID=01001&amp;SDATE=200902&amp;PERIODTYPE=QTR_STD&amp;window=popup_no_bar&amp;width=385&amp;height=120&amp;START_MAXIMIZED=FALSE&amp;creator=factset&amp;display_string=Audit"}</definedName>
    <definedName name="_1303__FDSAUDITLINK__" hidden="1">{"fdsup://Directions/FactSet Auditing Viewer?action=AUDIT_VALUE&amp;DB=129&amp;ID1=62949110&amp;VALUEID=01001&amp;SDATE=201002&amp;PERIODTYPE=QTR_STD&amp;window=popup_no_bar&amp;width=385&amp;height=120&amp;START_MAXIMIZED=FALSE&amp;creator=factset&amp;display_string=Audit"}</definedName>
    <definedName name="_1304__FDSAUDITLINK__" hidden="1">{"fdsup://Directions/FactSet Auditing Viewer?action=AUDIT_VALUE&amp;DB=129&amp;ID1=65011110&amp;VALUEID=01001&amp;SDATE=201002&amp;PERIODTYPE=QTR_STD&amp;window=popup_no_bar&amp;width=385&amp;height=120&amp;START_MAXIMIZED=FALSE&amp;creator=factset&amp;display_string=Audit"}</definedName>
    <definedName name="_1305__FDSAUDITLINK__" hidden="1">{"fdsup://Directions/FactSet Auditing Viewer?action=AUDIT_VALUE&amp;DB=129&amp;ID1=65248E10&amp;VALUEID=01001&amp;SDATE=200904&amp;PERIODTYPE=QTR_STD&amp;window=popup_no_bar&amp;width=385&amp;height=120&amp;START_MAXIMIZED=FALSE&amp;creator=factset&amp;display_string=Audit"}</definedName>
    <definedName name="_1306__FDSAUDITLINK__" hidden="1">{"fdsup://Directions/FactSet Auditing Viewer?action=AUDIT_VALUE&amp;DB=129&amp;ID1=65248E10&amp;VALUEID=01001&amp;SDATE=201004&amp;PERIODTYPE=QTR_STD&amp;window=popup_no_bar&amp;width=385&amp;height=120&amp;START_MAXIMIZED=FALSE&amp;creator=factset&amp;display_string=Audit"}</definedName>
    <definedName name="_1307__FDSAUDITLINK__" hidden="1">{"fdsup://Directions/FactSet Auditing Viewer?action=AUDIT_VALUE&amp;DB=129&amp;ID1=65122910&amp;VALUEID=01001&amp;SDATE=200902&amp;PERIODTYPE=QTR_STD&amp;window=popup_no_bar&amp;width=385&amp;height=120&amp;START_MAXIMIZED=FALSE&amp;creator=factset&amp;display_string=Audit"}</definedName>
    <definedName name="_1308__FDSAUDITLINK__" hidden="1">{"fdsup://Directions/FactSet Auditing Viewer?action=AUDIT_VALUE&amp;DB=129&amp;ID1=65122910&amp;VALUEID=01001&amp;SDATE=201002&amp;PERIODTYPE=QTR_STD&amp;window=popup_no_bar&amp;width=385&amp;height=120&amp;START_MAXIMIZED=FALSE&amp;creator=factset&amp;display_string=Audit"}</definedName>
    <definedName name="_1309__FDSAUDITLINK__" hidden="1">{"fdsup://Directions/FactSet Auditing Viewer?action=AUDIT_VALUE&amp;DB=129&amp;ID1=67000810&amp;VALUEID=01001&amp;SDATE=200902&amp;PERIODTYPE=QTR_STD&amp;window=popup_no_bar&amp;width=385&amp;height=120&amp;START_MAXIMIZED=FALSE&amp;creator=factset&amp;display_string=Audit"}</definedName>
    <definedName name="_131__FDSAUDITLINK__"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0__FDSAUDITLINK__" hidden="1">{"fdsup://Directions/FactSet Auditing Viewer?action=AUDIT_VALUE&amp;DB=129&amp;ID1=67000810&amp;VALUEID=01001&amp;SDATE=201002&amp;PERIODTYPE=QTR_STD&amp;window=popup_no_bar&amp;width=385&amp;height=120&amp;START_MAXIMIZED=FALSE&amp;creator=factset&amp;display_string=Audit"}</definedName>
    <definedName name="_1311__FDSAUDITLINK__" hidden="1">{"fdsup://Directions/FactSet Auditing Viewer?action=AUDIT_VALUE&amp;DB=129&amp;ID1=67066G10&amp;VALUEID=01001&amp;SDATE=201001&amp;PERIODTYPE=QTR_STD&amp;window=popup_no_bar&amp;width=385&amp;height=120&amp;START_MAXIMIZED=FALSE&amp;creator=factset&amp;display_string=Audit"}</definedName>
    <definedName name="_1312__FDSAUDITLINK__" hidden="1">{"fdsup://Directions/FactSet Auditing Viewer?action=AUDIT_VALUE&amp;DB=129&amp;ID1=67034610&amp;VALUEID=01001&amp;SDATE=200902&amp;PERIODTYPE=QTR_STD&amp;window=popup_no_bar&amp;width=385&amp;height=120&amp;START_MAXIMIZED=FALSE&amp;creator=factset&amp;display_string=Audit"}</definedName>
    <definedName name="_1313__FDSAUDITLINK__" hidden="1">{"fdsup://Directions/FactSet Auditing Viewer?action=AUDIT_VALUE&amp;DB=129&amp;ID1=67034610&amp;VALUEID=01001&amp;SDATE=201002&amp;PERIODTYPE=QTR_STD&amp;window=popup_no_bar&amp;width=385&amp;height=120&amp;START_MAXIMIZED=FALSE&amp;creator=factset&amp;display_string=Audit"}</definedName>
    <definedName name="_1314__FDSAUDITLINK__" hidden="1">{"fdsup://Directions/FactSet Auditing Viewer?action=AUDIT_VALUE&amp;DB=129&amp;ID1=66439710&amp;VALUEID=01001&amp;SDATE=200902&amp;PERIODTYPE=QTR_STD&amp;window=popup_no_bar&amp;width=385&amp;height=120&amp;START_MAXIMIZED=FALSE&amp;creator=factset&amp;display_string=Audit"}</definedName>
    <definedName name="_1315__FDSAUDITLINK__" hidden="1">{"fdsup://Directions/FactSet Auditing Viewer?action=AUDIT_VALUE&amp;DB=129&amp;ID1=66439710&amp;VALUEID=01001&amp;SDATE=201002&amp;PERIODTYPE=QTR_STD&amp;window=popup_no_bar&amp;width=385&amp;height=120&amp;START_MAXIMIZED=FALSE&amp;creator=factset&amp;display_string=Audit"}</definedName>
    <definedName name="_1316__FDSAUDITLINK__" hidden="1">{"fdsup://Directions/FactSet Auditing Viewer?action=AUDIT_VALUE&amp;DB=129&amp;ID1=64110D10&amp;VALUEID=01001&amp;SDATE=200904&amp;PERIODTYPE=QTR_STD&amp;window=popup_no_bar&amp;width=385&amp;height=120&amp;START_MAXIMIZED=FALSE&amp;creator=factset&amp;display_string=Audit"}</definedName>
    <definedName name="_1317__FDSAUDITLINK__" hidden="1">{"fdsup://Directions/FactSet Auditing Viewer?action=AUDIT_VALUE&amp;DB=129&amp;ID1=63764010&amp;VALUEID=01001&amp;SDATE=200904&amp;PERIODTYPE=QTR_STD&amp;window=popup_no_bar&amp;width=385&amp;height=120&amp;START_MAXIMIZED=FALSE&amp;creator=factset&amp;display_string=Audit"}</definedName>
    <definedName name="_1318__FDSAUDITLINK__" hidden="1">{"fdsup://Directions/FactSet Auditing Viewer?action=AUDIT_VALUE&amp;DB=129&amp;ID1=65584410&amp;VALUEID=01001&amp;SDATE=200902&amp;PERIODTYPE=QTR_STD&amp;window=popup_no_bar&amp;width=385&amp;height=120&amp;START_MAXIMIZED=FALSE&amp;creator=factset&amp;display_string=Audit"}</definedName>
    <definedName name="_1319__FDSAUDITLINK__" hidden="1">{"fdsup://Directions/FactSet Auditing Viewer?action=AUDIT_VALUE&amp;DB=129&amp;ID1=65584410&amp;VALUEID=01001&amp;SDATE=201002&amp;PERIODTYPE=QTR_STD&amp;window=popup_no_bar&amp;width=385&amp;height=120&amp;START_MAXIMIZED=FALSE&amp;creator=factset&amp;display_string=Audit"}</definedName>
    <definedName name="_132__FDSAUDITLINK__"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0__FDSAUDITLINK__" hidden="1">{"fdsup://Directions/FactSet Auditing Viewer?action=AUDIT_VALUE&amp;DB=129&amp;ID1=62937750&amp;VALUEID=01001&amp;SDATE=200902&amp;PERIODTYPE=QTR_STD&amp;window=popup_no_bar&amp;width=385&amp;height=120&amp;START_MAXIMIZED=FALSE&amp;creator=factset&amp;display_string=Audit"}</definedName>
    <definedName name="_1321__FDSAUDITLINK__" hidden="1">{"fdsup://Directions/FactSet Auditing Viewer?action=AUDIT_VALUE&amp;DB=129&amp;ID1=62937750&amp;VALUEID=01001&amp;SDATE=201002&amp;PERIODTYPE=QTR_STD&amp;window=popup_no_bar&amp;width=385&amp;height=120&amp;START_MAXIMIZED=FALSE&amp;creator=factset&amp;display_string=Audit"}</definedName>
    <definedName name="_1322__FDSAUDITLINK__" hidden="1">{"fdsup://Directions/FactSet Auditing Viewer?action=AUDIT_VALUE&amp;DB=129&amp;ID1=67000610&amp;VALUEID=01001&amp;SDATE=201002&amp;PERIODTYPE=QTR_STD&amp;window=popup_no_bar&amp;width=385&amp;height=120&amp;START_MAXIMIZED=FALSE&amp;creator=factset&amp;display_string=Audit"}</definedName>
    <definedName name="_1323__FDSAUDITLINK__" hidden="1">{"fdsup://Directions/FactSet Auditing Viewer?action=AUDIT_VALUE&amp;DB=129&amp;ID1=63707110&amp;VALUEID=01001&amp;SDATE=200902&amp;PERIODTYPE=QTR_STD&amp;window=popup_no_bar&amp;width=385&amp;height=120&amp;START_MAXIMIZED=FALSE&amp;creator=factset&amp;display_string=Audit"}</definedName>
    <definedName name="_1324__FDSAUDITLINK__" hidden="1">{"fdsup://Directions/FactSet Auditing Viewer?action=AUDIT_VALUE&amp;DB=129&amp;ID1=63707110&amp;VALUEID=01001&amp;SDATE=201002&amp;PERIODTYPE=QTR_STD&amp;window=popup_no_bar&amp;width=385&amp;height=120&amp;START_MAXIMIZED=FALSE&amp;creator=factset&amp;display_string=Audit"}</definedName>
    <definedName name="_1325__FDSAUDITLINK__" hidden="1">{"fdsup://Directions/FactSet Auditing Viewer?action=AUDIT_VALUE&amp;DB=129&amp;ID1=66680710&amp;VALUEID=01001&amp;SDATE=200902&amp;PERIODTYPE=QTR_STD&amp;window=popup_no_bar&amp;width=385&amp;height=120&amp;START_MAXIMIZED=FALSE&amp;creator=factset&amp;display_string=Audit"}</definedName>
    <definedName name="_1326__FDSAUDITLINK__" hidden="1">{"fdsup://Directions/FactSet Auditing Viewer?action=AUDIT_VALUE&amp;DB=129&amp;ID1=66680710&amp;VALUEID=01001&amp;SDATE=201002&amp;PERIODTYPE=QTR_STD&amp;window=popup_no_bar&amp;width=385&amp;height=120&amp;START_MAXIMIZED=FALSE&amp;creator=factset&amp;display_string=Audit"}</definedName>
    <definedName name="_1327__FDSAUDITLINK__" hidden="1">{"fdsup://Directions/FactSet Auditing Viewer?action=AUDIT_VALUE&amp;DB=129&amp;ID1=65410610&amp;VALUEID=01001&amp;SDATE=200804&amp;PERIODTYPE=QTR_STD&amp;window=popup_no_bar&amp;width=385&amp;height=120&amp;START_MAXIMIZED=FALSE&amp;creator=factset&amp;display_string=Audit"}</definedName>
    <definedName name="_1328__FDSAUDITLINK__" hidden="1">{"fdsup://Directions/FactSet Auditing Viewer?action=AUDIT_VALUE&amp;DB=129&amp;ID1=65410610&amp;VALUEID=01001&amp;SDATE=200904&amp;PERIODTYPE=QTR_STD&amp;window=popup_no_bar&amp;width=385&amp;height=120&amp;START_MAXIMIZED=FALSE&amp;creator=factset&amp;display_string=Audit"}</definedName>
    <definedName name="_1329__FDSAUDITLINK__" hidden="1">{"fdsup://Directions/FactSet Auditing Viewer?action=AUDIT_VALUE&amp;DB=129&amp;ID1=65473P10&amp;VALUEID=01001&amp;SDATE=200902&amp;PERIODTYPE=QTR_STD&amp;window=popup_no_bar&amp;width=385&amp;height=120&amp;START_MAXIMIZED=FALSE&amp;creator=factset&amp;display_string=Audit"}</definedName>
    <definedName name="_133__FDSAUDITLINK__"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0__FDSAUDITLINK__" hidden="1">{"fdsup://Directions/FactSet Auditing Viewer?action=AUDIT_VALUE&amp;DB=129&amp;ID1=65473P10&amp;VALUEID=01001&amp;SDATE=201002&amp;PERIODTYPE=QTR_STD&amp;window=popup_no_bar&amp;width=385&amp;height=120&amp;START_MAXIMIZED=FALSE&amp;creator=factset&amp;display_string=Audit"}</definedName>
    <definedName name="_1331__FDSAUDITLINK__" hidden="1">{"fdsup://Directions/FactSet Auditing Viewer?action=AUDIT_VALUE&amp;DB=129&amp;ID1=65163910&amp;VALUEID=01001&amp;SDATE=200902&amp;PERIODTYPE=QTR_STD&amp;window=popup_no_bar&amp;width=385&amp;height=120&amp;START_MAXIMIZED=FALSE&amp;creator=factset&amp;display_string=Audit"}</definedName>
    <definedName name="_1332__FDSAUDITLINK__" hidden="1">{"fdsup://Directions/FactSet Auditing Viewer?action=AUDIT_VALUE&amp;DB=129&amp;ID1=65163910&amp;VALUEID=01001&amp;SDATE=201002&amp;PERIODTYPE=QTR_STD&amp;window=popup_no_bar&amp;width=385&amp;height=120&amp;START_MAXIMIZED=FALSE&amp;creator=factset&amp;display_string=Audit"}</definedName>
    <definedName name="_1333__FDSAUDITLINK__" hidden="1">{"fdsup://Directions/FactSet Auditing Viewer?action=AUDIT_VALUE&amp;DB=129&amp;ID1=65339F10&amp;VALUEID=01001&amp;SDATE=200902&amp;PERIODTYPE=QTR_STD&amp;window=popup_no_bar&amp;width=385&amp;height=120&amp;START_MAXIMIZED=FALSE&amp;creator=factset&amp;display_string=Audit"}</definedName>
    <definedName name="_1334__FDSAUDITLINK__" hidden="1">{"fdsup://Directions/FactSet Auditing Viewer?action=AUDIT_VALUE&amp;DB=129&amp;ID1=65339F10&amp;VALUEID=01001&amp;SDATE=201002&amp;PERIODTYPE=QTR_STD&amp;window=popup_no_bar&amp;width=385&amp;height=120&amp;START_MAXIMIZED=FALSE&amp;creator=factset&amp;display_string=Audit"}</definedName>
    <definedName name="_1335__FDSAUDITLINK__" hidden="1">{"fdsup://Directions/FactSet Auditing Viewer?action=AUDIT_VALUE&amp;DB=129&amp;ID1=63110310&amp;VALUEID=01001&amp;SDATE=200902&amp;PERIODTYPE=QTR_STD&amp;window=popup_no_bar&amp;width=385&amp;height=120&amp;START_MAXIMIZED=FALSE&amp;creator=factset&amp;display_string=Audit"}</definedName>
    <definedName name="_1336__FDSAUDITLINK__" hidden="1">{"fdsup://Directions/FactSet Auditing Viewer?action=AUDIT_VALUE&amp;DB=129&amp;ID1=63110310&amp;VALUEID=01001&amp;SDATE=201002&amp;PERIODTYPE=QTR_STD&amp;window=popup_no_bar&amp;width=385&amp;height=120&amp;START_MAXIMIZED=FALSE&amp;creator=factset&amp;display_string=Audit"}</definedName>
    <definedName name="_1337__FDSAUDITLINK__" hidden="1">{"fdsup://Directions/FactSet Auditing Viewer?action=AUDIT_VALUE&amp;DB=129&amp;ID1=G6359F10&amp;VALUEID=01001&amp;SDATE=200902&amp;PERIODTYPE=QTR_STD&amp;window=popup_no_bar&amp;width=385&amp;height=120&amp;START_MAXIMIZED=FALSE&amp;creator=factset&amp;display_string=Audit"}</definedName>
    <definedName name="_1338__FDSAUDITLINK__" hidden="1">{"fdsup://Directions/FactSet Auditing Viewer?action=AUDIT_VALUE&amp;DB=129&amp;ID1=G6359F10&amp;VALUEID=01001&amp;SDATE=201002&amp;PERIODTYPE=QTR_STD&amp;window=popup_no_bar&amp;width=385&amp;height=120&amp;START_MAXIMIZED=FALSE&amp;creator=factset&amp;display_string=Audit"}</definedName>
    <definedName name="_1339__FDSAUDITLINK__" hidden="1">{"fdsup://Directions/FactSet Auditing Viewer?action=AUDIT_VALUE&amp;DB=129&amp;ID1=65504410&amp;VALUEID=01001&amp;SDATE=200902&amp;PERIODTYPE=QTR_STD&amp;window=popup_no_bar&amp;width=385&amp;height=120&amp;START_MAXIMIZED=FALSE&amp;creator=factset&amp;display_string=Audit"}</definedName>
    <definedName name="_134__FDSAUDITLINK__"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0__FDSAUDITLINK__" hidden="1">{"fdsup://Directions/FactSet Auditing Viewer?action=AUDIT_VALUE&amp;DB=129&amp;ID1=65504410&amp;VALUEID=01001&amp;SDATE=201002&amp;PERIODTYPE=QTR_STD&amp;window=popup_no_bar&amp;width=385&amp;height=120&amp;START_MAXIMIZED=FALSE&amp;creator=factset&amp;display_string=Audit"}</definedName>
    <definedName name="_1341__FDSAUDITLINK__" hidden="1">{"fdsup://Directions/FactSet Auditing Viewer?action=AUDIT_VALUE&amp;DB=129&amp;ID1=62853010&amp;VALUEID=01001&amp;SDATE=200902&amp;PERIODTYPE=QTR_STD&amp;window=popup_no_bar&amp;width=385&amp;height=120&amp;START_MAXIMIZED=FALSE&amp;creator=factset&amp;display_string=Audit"}</definedName>
    <definedName name="_1342__FDSAUDITLINK__" hidden="1">{"fdsup://Directions/FactSet Auditing Viewer?action=AUDIT_VALUE&amp;DB=129&amp;ID1=62853010&amp;VALUEID=01001&amp;SDATE=201002&amp;PERIODTYPE=QTR_STD&amp;window=popup_no_bar&amp;width=385&amp;height=120&amp;START_MAXIMIZED=FALSE&amp;creator=factset&amp;display_string=Audit"}</definedName>
    <definedName name="_1343__FDSAUDITLINK__" hidden="1">{"fdsup://Directions/FactSet Auditing Viewer?action=AUDIT_VALUE&amp;DB=129&amp;ID1=61174210&amp;VALUEID=01001&amp;SDATE=200902&amp;PERIODTYPE=QTR_STD&amp;window=popup_no_bar&amp;width=385&amp;height=120&amp;START_MAXIMIZED=FALSE&amp;creator=factset&amp;display_string=Audit"}</definedName>
    <definedName name="_1344__FDSAUDITLINK__" hidden="1">{"fdsup://Directions/FactSet Auditing Viewer?action=AUDIT_VALUE&amp;DB=129&amp;ID1=61174210&amp;VALUEID=01001&amp;SDATE=201002&amp;PERIODTYPE=QTR_STD&amp;window=popup_no_bar&amp;width=385&amp;height=120&amp;START_MAXIMIZED=FALSE&amp;creator=factset&amp;display_string=Audit"}</definedName>
    <definedName name="_1345__FDSAUDITLINK__" hidden="1">{"fdsup://Directions/FactSet Auditing Viewer?action=AUDIT_VALUE&amp;DB=129&amp;ID1=58333410&amp;VALUEID=01001&amp;SDATE=200902&amp;PERIODTYPE=QTR_STD&amp;window=popup_no_bar&amp;width=385&amp;height=120&amp;START_MAXIMIZED=FALSE&amp;creator=factset&amp;display_string=Audit"}</definedName>
    <definedName name="_1346__FDSAUDITLINK__" hidden="1">{"fdsup://Directions/FactSet Auditing Viewer?action=AUDIT_VALUE&amp;DB=129&amp;ID1=58333410&amp;VALUEID=01001&amp;SDATE=201002&amp;PERIODTYPE=QTR_STD&amp;window=popup_no_bar&amp;width=385&amp;height=120&amp;START_MAXIMIZED=FALSE&amp;creator=factset&amp;display_string=Audit"}</definedName>
    <definedName name="_1347__FDSAUDITLINK__" hidden="1">{"fdsup://Directions/FactSet Auditing Viewer?action=AUDIT_VALUE&amp;DB=129&amp;ID1=62671710&amp;VALUEID=01001&amp;SDATE=200902&amp;PERIODTYPE=QTR_STD&amp;window=popup_no_bar&amp;width=385&amp;height=120&amp;START_MAXIMIZED=FALSE&amp;creator=factset&amp;display_string=Audit"}</definedName>
    <definedName name="_1348__FDSAUDITLINK__" hidden="1">{"fdsup://Directions/FactSet Auditing Viewer?action=AUDIT_VALUE&amp;DB=129&amp;ID1=62671710&amp;VALUEID=01001&amp;SDATE=201002&amp;PERIODTYPE=QTR_STD&amp;window=popup_no_bar&amp;width=385&amp;height=120&amp;START_MAXIMIZED=FALSE&amp;creator=factset&amp;display_string=Audit"}</definedName>
    <definedName name="_1349__FDSAUDITLINK__" hidden="1">{"fdsup://Directions/FactSet Auditing Viewer?action=AUDIT_VALUE&amp;DB=129&amp;ID1=59511210&amp;VALUEID=01001&amp;SDATE=200903&amp;PERIODTYPE=QTR_STD&amp;window=popup_no_bar&amp;width=385&amp;height=120&amp;START_MAXIMIZED=FALSE&amp;creator=factset&amp;display_string=Audit"}</definedName>
    <definedName name="_135__FDSAUDITLINK__"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0__FDSAUDITLINK__" hidden="1">{"fdsup://Directions/FactSet Auditing Viewer?action=AUDIT_VALUE&amp;DB=129&amp;ID1=59511210&amp;VALUEID=01001&amp;SDATE=201003&amp;PERIODTYPE=QTR_STD&amp;window=popup_no_bar&amp;width=385&amp;height=120&amp;START_MAXIMIZED=FALSE&amp;creator=factset&amp;display_string=Audit"}</definedName>
    <definedName name="_1351__FDSAUDITLINK__" hidden="1">{"fdsup://Directions/FactSet Auditing Viewer?action=AUDIT_VALUE&amp;DB=129&amp;ID1=59491810&amp;VALUEID=01001&amp;SDATE=200904&amp;PERIODTYPE=QTR_STD&amp;window=popup_no_bar&amp;width=385&amp;height=120&amp;START_MAXIMIZED=FALSE&amp;creator=factset&amp;display_string=Audit"}</definedName>
    <definedName name="_1352__FDSAUDITLINK__" hidden="1">{"fdsup://Directions/FactSet Auditing Viewer?action=AUDIT_VALUE&amp;DB=129&amp;ID1=59491810&amp;VALUEID=01001&amp;SDATE=201004&amp;PERIODTYPE=QTR_STD&amp;window=popup_no_bar&amp;width=385&amp;height=120&amp;START_MAXIMIZED=FALSE&amp;creator=factset&amp;display_string=Audit"}</definedName>
    <definedName name="_1353__FDSAUDITLINK__" hidden="1">{"fdsup://Directions/FactSet Auditing Viewer?action=AUDIT_VALUE&amp;DB=129&amp;ID1=61744644&amp;VALUEID=01001&amp;SDATE=200902&amp;PERIODTYPE=QTR_STD&amp;window=popup_no_bar&amp;width=385&amp;height=120&amp;START_MAXIMIZED=FALSE&amp;creator=factset&amp;display_string=Audit"}</definedName>
    <definedName name="_1354__FDSAUDITLINK__" hidden="1">{"fdsup://Directions/FactSet Auditing Viewer?action=AUDIT_VALUE&amp;DB=129&amp;ID1=61744644&amp;VALUEID=01001&amp;SDATE=201002&amp;PERIODTYPE=QTR_STD&amp;window=popup_no_bar&amp;width=385&amp;height=120&amp;START_MAXIMIZED=FALSE&amp;creator=factset&amp;display_string=Audit"}</definedName>
    <definedName name="_1355__FDSAUDITLINK__" hidden="1">{"fdsup://Directions/FactSet Auditing Viewer?action=AUDIT_VALUE&amp;DB=129&amp;ID1=56584910&amp;VALUEID=01001&amp;SDATE=200902&amp;PERIODTYPE=QTR_STD&amp;window=popup_no_bar&amp;width=385&amp;height=120&amp;START_MAXIMIZED=FALSE&amp;creator=factset&amp;display_string=Audit"}</definedName>
    <definedName name="_1356__FDSAUDITLINK__" hidden="1">{"fdsup://Directions/FactSet Auditing Viewer?action=AUDIT_VALUE&amp;DB=129&amp;ID1=56584910&amp;VALUEID=01001&amp;SDATE=201002&amp;PERIODTYPE=QTR_STD&amp;window=popup_no_bar&amp;width=385&amp;height=120&amp;START_MAXIMIZED=FALSE&amp;creator=factset&amp;display_string=Audit"}</definedName>
    <definedName name="_1357__FDSAUDITLINK__" hidden="1">{"fdsup://Directions/FactSet Auditing Viewer?action=AUDIT_VALUE&amp;DB=129&amp;ID1=58933Y10&amp;VALUEID=01001&amp;SDATE=200902&amp;PERIODTYPE=QTR_STD&amp;window=popup_no_bar&amp;width=385&amp;height=120&amp;START_MAXIMIZED=FALSE&amp;creator=factset&amp;display_string=Audit"}</definedName>
    <definedName name="_1358__FDSAUDITLINK__" hidden="1">{"fdsup://Directions/FactSet Auditing Viewer?action=AUDIT_VALUE&amp;DB=129&amp;ID1=58933Y10&amp;VALUEID=01001&amp;SDATE=201002&amp;PERIODTYPE=QTR_STD&amp;window=popup_no_bar&amp;width=385&amp;height=120&amp;START_MAXIMIZED=FALSE&amp;creator=factset&amp;display_string=Audit"}</definedName>
    <definedName name="_1359__FDSAUDITLINK__" hidden="1">{"fdsup://Directions/FactSet Auditing Viewer?action=AUDIT_VALUE&amp;DB=129&amp;ID1=62007610&amp;VALUEID=01001&amp;SDATE=200902&amp;PERIODTYPE=QTR_STD&amp;window=popup_no_bar&amp;width=385&amp;height=120&amp;START_MAXIMIZED=FALSE&amp;creator=factset&amp;display_string=Audit"}</definedName>
    <definedName name="_136__FDSAUDITLINK__"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0__FDSAUDITLINK__" hidden="1">{"fdsup://Directions/FactSet Auditing Viewer?action=AUDIT_VALUE&amp;DB=129&amp;ID1=62007610&amp;VALUEID=01001&amp;SDATE=201002&amp;PERIODTYPE=QTR_STD&amp;window=popup_no_bar&amp;width=385&amp;height=120&amp;START_MAXIMIZED=FALSE&amp;creator=factset&amp;display_string=Audit"}</definedName>
    <definedName name="_1361__FDSAUDITLINK__" hidden="1">{"fdsup://Directions/FactSet Auditing Viewer?action=AUDIT_VALUE&amp;DB=129&amp;ID1=61166W10&amp;VALUEID=01001&amp;SDATE=200903&amp;PERIODTYPE=QTR_STD&amp;window=popup_no_bar&amp;width=385&amp;height=120&amp;START_MAXIMIZED=FALSE&amp;creator=factset&amp;display_string=Audit"}</definedName>
    <definedName name="_1362__FDSAUDITLINK__" hidden="1">{"fdsup://Directions/FactSet Auditing Viewer?action=AUDIT_VALUE&amp;DB=129&amp;ID1=61166W10&amp;VALUEID=01001&amp;SDATE=201003&amp;PERIODTYPE=QTR_STD&amp;window=popup_no_bar&amp;width=385&amp;height=120&amp;START_MAXIMIZED=FALSE&amp;creator=factset&amp;display_string=Audit"}</definedName>
    <definedName name="_1363__FDSAUDITLINK__" hidden="1">{"fdsup://Directions/FactSet Auditing Viewer?action=AUDIT_VALUE&amp;DB=129&amp;ID1=60855410&amp;VALUEID=01001&amp;SDATE=201004&amp;PERIODTYPE=QTR_STD&amp;window=popup_no_bar&amp;width=385&amp;height=120&amp;START_MAXIMIZED=FALSE&amp;creator=factset&amp;display_string=Audit"}</definedName>
    <definedName name="_1364__FDSAUDITLINK__" hidden="1">{"fdsup://Directions/FactSet Auditing Viewer?action=AUDIT_VALUE&amp;DB=129&amp;ID1=02209S10&amp;VALUEID=01001&amp;SDATE=200902&amp;PERIODTYPE=QTR_STD&amp;window=popup_no_bar&amp;width=385&amp;height=120&amp;START_MAXIMIZED=FALSE&amp;creator=factset&amp;display_string=Audit"}</definedName>
    <definedName name="_1365__FDSAUDITLINK__" hidden="1">{"fdsup://Directions/FactSet Auditing Viewer?action=AUDIT_VALUE&amp;DB=129&amp;ID1=02209S10&amp;VALUEID=01001&amp;SDATE=201002&amp;PERIODTYPE=QTR_STD&amp;window=popup_no_bar&amp;width=385&amp;height=120&amp;START_MAXIMIZED=FALSE&amp;creator=factset&amp;display_string=Audit"}</definedName>
    <definedName name="_1366__FDSAUDITLINK__" hidden="1">{"fdsup://Directions/FactSet Auditing Viewer?action=AUDIT_VALUE&amp;DB=129&amp;ID1=88579Y10&amp;VALUEID=01001&amp;SDATE=200902&amp;PERIODTYPE=QTR_STD&amp;window=popup_no_bar&amp;width=385&amp;height=120&amp;START_MAXIMIZED=FALSE&amp;creator=factset&amp;display_string=Audit"}</definedName>
    <definedName name="_1367__FDSAUDITLINK__" hidden="1">{"fdsup://Directions/FactSet Auditing Viewer?action=AUDIT_VALUE&amp;DB=129&amp;ID1=88579Y10&amp;VALUEID=01001&amp;SDATE=201002&amp;PERIODTYPE=QTR_STD&amp;window=popup_no_bar&amp;width=385&amp;height=120&amp;START_MAXIMIZED=FALSE&amp;creator=factset&amp;display_string=Audit"}</definedName>
    <definedName name="_1368__FDSAUDITLINK__" hidden="1">{"fdsup://Directions/FactSet Auditing Viewer?action=AUDIT_VALUE&amp;DB=129&amp;ID1=57174810&amp;VALUEID=01001&amp;SDATE=200902&amp;PERIODTYPE=QTR_STD&amp;window=popup_no_bar&amp;width=385&amp;height=120&amp;START_MAXIMIZED=FALSE&amp;creator=factset&amp;display_string=Audit"}</definedName>
    <definedName name="_1369__FDSAUDITLINK__" hidden="1">{"fdsup://Directions/FactSet Auditing Viewer?action=AUDIT_VALUE&amp;DB=129&amp;ID1=57174810&amp;VALUEID=01001&amp;SDATE=201002&amp;PERIODTYPE=QTR_STD&amp;window=popup_no_bar&amp;width=385&amp;height=120&amp;START_MAXIMIZED=FALSE&amp;creator=factset&amp;display_string=Audit"}</definedName>
    <definedName name="_137__FDSAUDITLINK__"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0__FDSAUDITLINK__" hidden="1">{"fdsup://Directions/FactSet Auditing Viewer?action=AUDIT_VALUE&amp;DB=129&amp;ID1=57978020&amp;VALUEID=01001&amp;SDATE=200902&amp;PERIODTYPE=QTR_STD&amp;window=popup_no_bar&amp;width=385&amp;height=120&amp;START_MAXIMIZED=FALSE&amp;creator=factset&amp;display_string=Audit"}</definedName>
    <definedName name="_1371__FDSAUDITLINK__" hidden="1">{"fdsup://Directions/FactSet Auditing Viewer?action=AUDIT_VALUE&amp;DB=129&amp;ID1=57978020&amp;VALUEID=01001&amp;SDATE=201002&amp;PERIODTYPE=QTR_STD&amp;window=popup_no_bar&amp;width=385&amp;height=120&amp;START_MAXIMIZED=FALSE&amp;creator=factset&amp;display_string=Audit"}</definedName>
    <definedName name="_1372__FDSAUDITLINK__" hidden="1">{"fdsup://Directions/FactSet Auditing Viewer?action=AUDIT_VALUE&amp;DB=129&amp;ID1=58283910&amp;VALUEID=01001&amp;SDATE=200902&amp;PERIODTYPE=QTR_STD&amp;window=popup_no_bar&amp;width=385&amp;height=120&amp;START_MAXIMIZED=FALSE&amp;creator=factset&amp;display_string=Audit"}</definedName>
    <definedName name="_1373__FDSAUDITLINK__" hidden="1">{"fdsup://Directions/FactSet Auditing Viewer?action=AUDIT_VALUE&amp;DB=129&amp;ID1=58283910&amp;VALUEID=01001&amp;SDATE=201002&amp;PERIODTYPE=QTR_STD&amp;window=popup_no_bar&amp;width=385&amp;height=120&amp;START_MAXIMIZED=FALSE&amp;creator=factset&amp;display_string=Audit"}</definedName>
    <definedName name="_1374__FDSAUDITLINK__" hidden="1">{"fdsup://Directions/FactSet Auditing Viewer?action=AUDIT_VALUE&amp;DB=129&amp;ID1=58405U10&amp;VALUEID=01001&amp;SDATE=200902&amp;PERIODTYPE=QTR_STD&amp;window=popup_no_bar&amp;width=385&amp;height=120&amp;START_MAXIMIZED=FALSE&amp;creator=factset&amp;display_string=Audit"}</definedName>
    <definedName name="_1375__FDSAUDITLINK__" hidden="1">{"fdsup://Directions/FactSet Auditing Viewer?action=AUDIT_VALUE&amp;DB=129&amp;ID1=58405U10&amp;VALUEID=01001&amp;SDATE=201002&amp;PERIODTYPE=QTR_STD&amp;window=popup_no_bar&amp;width=385&amp;height=120&amp;START_MAXIMIZED=FALSE&amp;creator=factset&amp;display_string=Audit"}</definedName>
    <definedName name="_1376__FDSAUDITLINK__" hidden="1">{"fdsup://Directions/FactSet Auditing Viewer?action=AUDIT_VALUE&amp;DB=129&amp;ID1=58064510&amp;VALUEID=01001&amp;SDATE=200902&amp;PERIODTYPE=QTR_STD&amp;window=popup_no_bar&amp;width=385&amp;height=120&amp;START_MAXIMIZED=FALSE&amp;creator=factset&amp;display_string=Audit"}</definedName>
    <definedName name="_1377__FDSAUDITLINK__" hidden="1">{"fdsup://Directions/FactSet Auditing Viewer?action=AUDIT_VALUE&amp;DB=129&amp;ID1=58064510&amp;VALUEID=01001&amp;SDATE=201002&amp;PERIODTYPE=QTR_STD&amp;window=popup_no_bar&amp;width=385&amp;height=120&amp;START_MAXIMIZED=FALSE&amp;creator=factset&amp;display_string=Audit"}</definedName>
    <definedName name="_1378__FDSAUDITLINK__" hidden="1">{"fdsup://Directions/FactSet Auditing Viewer?action=AUDIT_VALUE&amp;DB=129&amp;ID1=57906410&amp;VALUEID=01001&amp;SDATE=200902&amp;PERIODTYPE=QTR_STD&amp;window=popup_no_bar&amp;width=385&amp;height=120&amp;START_MAXIMIZED=FALSE&amp;creator=factset&amp;display_string=Audit"}</definedName>
    <definedName name="_1379__FDSAUDITLINK__" hidden="1">{"fdsup://Directions/FactSet Auditing Viewer?action=AUDIT_VALUE&amp;DB=129&amp;ID1=57906410&amp;VALUEID=01001&amp;SDATE=201002&amp;PERIODTYPE=QTR_STD&amp;window=popup_no_bar&amp;width=385&amp;height=120&amp;START_MAXIMIZED=FALSE&amp;creator=factset&amp;display_string=Audit"}</definedName>
    <definedName name="_138__FDSAUDITLINK__"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0__FDSAUDITLINK__" hidden="1">{"fdsup://Directions/FactSet Auditing Viewer?action=AUDIT_VALUE&amp;DB=129&amp;ID1=59156R10&amp;VALUEID=01001&amp;SDATE=200902&amp;PERIODTYPE=QTR_STD&amp;window=popup_no_bar&amp;width=385&amp;height=120&amp;START_MAXIMIZED=FALSE&amp;creator=factset&amp;display_string=Audit"}</definedName>
    <definedName name="_1381__FDSAUDITLINK__" hidden="1">{"fdsup://Directions/FactSet Auditing Viewer?action=AUDIT_VALUE&amp;DB=129&amp;ID1=59156R10&amp;VALUEID=01001&amp;SDATE=201002&amp;PERIODTYPE=QTR_STD&amp;window=popup_no_bar&amp;width=385&amp;height=120&amp;START_MAXIMIZED=FALSE&amp;creator=factset&amp;display_string=Audit"}</definedName>
    <definedName name="_1382__FDSAUDITLINK__" hidden="1">{"fdsup://Directions/FactSet Auditing Viewer?action=AUDIT_VALUE&amp;DB=129&amp;ID1=57620610&amp;VALUEID=01001&amp;SDATE=201002&amp;PERIODTYPE=QTR_STD&amp;window=popup_no_bar&amp;width=385&amp;height=120&amp;START_MAXIMIZED=FALSE&amp;creator=factset&amp;display_string=Audit"}</definedName>
    <definedName name="_1383__FDSAUDITLINK__" hidden="1">{"fdsup://Directions/FactSet Auditing Viewer?action=AUDIT_VALUE&amp;DB=129&amp;ID1=58505510&amp;VALUEID=01001&amp;SDATE=200804&amp;PERIODTYPE=QTR_STD&amp;window=popup_no_bar&amp;width=385&amp;height=120&amp;START_MAXIMIZED=FALSE&amp;creator=factset&amp;display_string=Audit"}</definedName>
    <definedName name="_1384__FDSAUDITLINK__" hidden="1">{"fdsup://Directions/FactSet Auditing Viewer?action=AUDIT_VALUE&amp;DB=129&amp;ID1=58505510&amp;VALUEID=01001&amp;SDATE=200904&amp;PERIODTYPE=QTR_STD&amp;window=popup_no_bar&amp;width=385&amp;height=120&amp;START_MAXIMIZED=FALSE&amp;creator=factset&amp;display_string=Audit"}</definedName>
    <definedName name="_1385__FDSAUDITLINK__" hidden="1">{"fdsup://Directions/FactSet Auditing Viewer?action=AUDIT_VALUE&amp;DB=129&amp;ID1=58943310&amp;VALUEID=01001&amp;SDATE=200904&amp;PERIODTYPE=QTR_STD&amp;window=popup_no_bar&amp;width=385&amp;height=120&amp;START_MAXIMIZED=FALSE&amp;creator=factset&amp;display_string=Audit"}</definedName>
    <definedName name="_1386__FDSAUDITLINK__" hidden="1">{"fdsup://Directions/FactSet Auditing Viewer?action=AUDIT_VALUE&amp;DB=129&amp;ID1=58943310&amp;VALUEID=01001&amp;SDATE=201004&amp;PERIODTYPE=QTR_STD&amp;window=popup_no_bar&amp;width=385&amp;height=120&amp;START_MAXIMIZED=FALSE&amp;creator=factset&amp;display_string=Audit"}</definedName>
    <definedName name="_1387__FDSAUDITLINK__" hidden="1">{"fdsup://Directions/FactSet Auditing Viewer?action=AUDIT_VALUE&amp;DB=129&amp;ID1=61536910&amp;VALUEID=01001&amp;SDATE=200902&amp;PERIODTYPE=QTR_STD&amp;window=popup_no_bar&amp;width=385&amp;height=120&amp;START_MAXIMIZED=FALSE&amp;creator=factset&amp;display_string=Audit"}</definedName>
    <definedName name="_1388__FDSAUDITLINK__" hidden="1">{"fdsup://Directions/FactSet Auditing Viewer?action=AUDIT_VALUE&amp;DB=129&amp;ID1=61536910&amp;VALUEID=01001&amp;SDATE=201002&amp;PERIODTYPE=QTR_STD&amp;window=popup_no_bar&amp;width=385&amp;height=120&amp;START_MAXIMIZED=FALSE&amp;creator=factset&amp;display_string=Audit"}</definedName>
    <definedName name="_1389__FDSAUDITLINK__" hidden="1">{"fdsup://Directions/FactSet Auditing Viewer?action=AUDIT_VALUE&amp;DB=129&amp;ID1=58155Q10&amp;VALUEID=01001&amp;SDATE=200901&amp;PERIODTYPE=QTR_STD&amp;window=popup_no_bar&amp;width=385&amp;height=120&amp;START_MAXIMIZED=FALSE&amp;creator=factset&amp;display_string=Audit"}</definedName>
    <definedName name="_139__FDSAUDITLINK__"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0__FDSAUDITLINK__" hidden="1">{"fdsup://Directions/FactSet Auditing Viewer?action=AUDIT_VALUE&amp;DB=129&amp;ID1=58155Q10&amp;VALUEID=01001&amp;SDATE=201001&amp;PERIODTYPE=QTR_STD&amp;window=popup_no_bar&amp;width=385&amp;height=120&amp;START_MAXIMIZED=FALSE&amp;creator=factset&amp;display_string=Audit"}</definedName>
    <definedName name="_1391__FDSAUDITLINK__" hidden="1">{"fdsup://Directions/FactSet Auditing Viewer?action=AUDIT_VALUE&amp;DB=129&amp;ID1=59501710&amp;VALUEID=01001&amp;SDATE=200901&amp;PERIODTYPE=QTR_STD&amp;window=popup_no_bar&amp;width=385&amp;height=120&amp;START_MAXIMIZED=FALSE&amp;creator=factset&amp;display_string=Audit"}</definedName>
    <definedName name="_1392__FDSAUDITLINK__" hidden="1">{"fdsup://Directions/FactSet Auditing Viewer?action=AUDIT_VALUE&amp;DB=129&amp;ID1=59501710&amp;VALUEID=01001&amp;SDATE=201001&amp;PERIODTYPE=QTR_STD&amp;window=popup_no_bar&amp;width=385&amp;height=120&amp;START_MAXIMIZED=FALSE&amp;creator=factset&amp;display_string=Audit"}</definedName>
    <definedName name="_1393__FDSAUDITLINK__" hidden="1">{"fdsup://Directions/FactSet Auditing Viewer?action=AUDIT_VALUE&amp;DB=129&amp;ID1=58013510&amp;VALUEID=01001&amp;SDATE=200902&amp;PERIODTYPE=QTR_STD&amp;window=popup_no_bar&amp;width=385&amp;height=120&amp;START_MAXIMIZED=FALSE&amp;creator=factset&amp;display_string=Audit"}</definedName>
    <definedName name="_1394__FDSAUDITLINK__" hidden="1">{"fdsup://Directions/FactSet Auditing Viewer?action=AUDIT_VALUE&amp;DB=129&amp;ID1=58013510&amp;VALUEID=01001&amp;SDATE=201002&amp;PERIODTYPE=QTR_STD&amp;window=popup_no_bar&amp;width=385&amp;height=120&amp;START_MAXIMIZED=FALSE&amp;creator=factset&amp;display_string=Audit"}</definedName>
    <definedName name="_1395__FDSAUDITLINK__" hidden="1">{"fdsup://Directions/FactSet Auditing Viewer?action=AUDIT_VALUE&amp;DB=129&amp;ID1=57708110&amp;VALUEID=01001&amp;SDATE=200902&amp;PERIODTYPE=QTR_STD&amp;window=popup_no_bar&amp;width=385&amp;height=120&amp;START_MAXIMIZED=FALSE&amp;creator=factset&amp;display_string=Audit"}</definedName>
    <definedName name="_1396__FDSAUDITLINK__" hidden="1">{"fdsup://Directions/FactSet Auditing Viewer?action=AUDIT_VALUE&amp;DB=129&amp;ID1=57708110&amp;VALUEID=01001&amp;SDATE=201002&amp;PERIODTYPE=QTR_STD&amp;window=popup_no_bar&amp;width=385&amp;height=120&amp;START_MAXIMIZED=FALSE&amp;creator=factset&amp;display_string=Audit"}</definedName>
    <definedName name="_1397__FDSAUDITLINK__" hidden="1">{"fdsup://Directions/FactSet Auditing Viewer?action=AUDIT_VALUE&amp;DB=129&amp;ID1=57459910&amp;VALUEID=01001&amp;SDATE=200902&amp;PERIODTYPE=QTR_STD&amp;window=popup_no_bar&amp;width=385&amp;height=120&amp;START_MAXIMIZED=FALSE&amp;creator=factset&amp;display_string=Audit"}</definedName>
    <definedName name="_1398__FDSAUDITLINK__" hidden="1">{"fdsup://Directions/FactSet Auditing Viewer?action=AUDIT_VALUE&amp;DB=129&amp;ID1=57459910&amp;VALUEID=01001&amp;SDATE=201002&amp;PERIODTYPE=QTR_STD&amp;window=popup_no_bar&amp;width=385&amp;height=120&amp;START_MAXIMIZED=FALSE&amp;creator=factset&amp;display_string=Audit"}</definedName>
    <definedName name="_1399__FDSAUDITLINK__" hidden="1">{"fdsup://Directions/FactSet Auditing Viewer?action=AUDIT_VALUE&amp;DB=129&amp;ID1=57190320&amp;VALUEID=01001&amp;SDATE=200902&amp;PERIODTYPE=QTR_STD&amp;window=popup_no_bar&amp;width=385&amp;height=120&amp;START_MAXIMIZED=FALSE&amp;creator=factset&amp;display_string=Audit"}</definedName>
    <definedName name="_14__FDSAUDITLINK__" hidden="1">{"fdsup://Directions/FactSet Auditing Viewer?action=AUDIT_VALUE&amp;DB=129&amp;ID1=590294&amp;VALUEID=02001&amp;SDATE=2009&amp;PERIODTYPE=ANN_STD&amp;window=popup_no_bar&amp;width=385&amp;height=120&amp;START_MAXIMIZED=FALSE&amp;creator=factset&amp;display_string=Audit"}</definedName>
    <definedName name="_140__FDSAUDITLINK__"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0__FDSAUDITLINK__" hidden="1">{"fdsup://Directions/FactSet Auditing Viewer?action=AUDIT_VALUE&amp;DB=129&amp;ID1=57190320&amp;VALUEID=01001&amp;SDATE=201002&amp;PERIODTYPE=QTR_STD&amp;window=popup_no_bar&amp;width=385&amp;height=120&amp;START_MAXIMIZED=FALSE&amp;creator=factset&amp;display_string=Audit"}</definedName>
    <definedName name="_1401__FDSAUDITLINK__" hidden="1">{"fdsup://Directions/FactSet Auditing Viewer?action=AUDIT_VALUE&amp;DB=129&amp;ID1=57636Q10&amp;VALUEID=01001&amp;SDATE=200902&amp;PERIODTYPE=QTR_STD&amp;window=popup_no_bar&amp;width=385&amp;height=120&amp;START_MAXIMIZED=FALSE&amp;creator=factset&amp;display_string=Audit"}</definedName>
    <definedName name="_1402__FDSAUDITLINK__" hidden="1">{"fdsup://Directions/FactSet Auditing Viewer?action=AUDIT_VALUE&amp;DB=129&amp;ID1=57636Q10&amp;VALUEID=01001&amp;SDATE=201002&amp;PERIODTYPE=QTR_STD&amp;window=popup_no_bar&amp;width=385&amp;height=120&amp;START_MAXIMIZED=FALSE&amp;creator=factset&amp;display_string=Audit"}</definedName>
    <definedName name="_1403__FDSAUDITLINK__" hidden="1">{"fdsup://Directions/FactSet Auditing Viewer?action=AUDIT_VALUE&amp;DB=129&amp;ID1=55616P10&amp;VALUEID=01001&amp;SDATE=200901&amp;PERIODTYPE=QTR_STD&amp;window=popup_no_bar&amp;width=385&amp;height=120&amp;START_MAXIMIZED=FALSE&amp;creator=factset&amp;display_string=Audit"}</definedName>
    <definedName name="_1404__FDSAUDITLINK__" hidden="1">{"fdsup://Directions/FactSet Auditing Viewer?action=AUDIT_VALUE&amp;DB=129&amp;ID1=55616P10&amp;VALUEID=01001&amp;SDATE=201001&amp;PERIODTYPE=QTR_STD&amp;window=popup_no_bar&amp;width=385&amp;height=120&amp;START_MAXIMIZED=FALSE&amp;creator=factset&amp;display_string=Audit"}</definedName>
    <definedName name="_1405__FDSAUDITLINK__" hidden="1">{"fdsup://Directions/FactSet Auditing Viewer?action=AUDIT_VALUE&amp;DB=129&amp;ID1=52977110&amp;VALUEID=01001&amp;SDATE=201002&amp;PERIODTYPE=QTR_STD&amp;window=popup_no_bar&amp;width=385&amp;height=120&amp;START_MAXIMIZED=FALSE&amp;creator=factset&amp;display_string=Audit"}</definedName>
    <definedName name="_1406__FDSAUDITLINK__" hidden="1">{"fdsup://Directions/FactSet Auditing Viewer?action=AUDIT_VALUE&amp;DB=129&amp;ID1=84474110&amp;VALUEID=01001&amp;SDATE=200902&amp;PERIODTYPE=QTR_STD&amp;window=popup_no_bar&amp;width=385&amp;height=120&amp;START_MAXIMIZED=FALSE&amp;creator=factset&amp;display_string=Audit"}</definedName>
    <definedName name="_1407__FDSAUDITLINK__" hidden="1">{"fdsup://Directions/FactSet Auditing Viewer?action=AUDIT_VALUE&amp;DB=129&amp;ID1=84474110&amp;VALUEID=01001&amp;SDATE=201002&amp;PERIODTYPE=QTR_STD&amp;window=popup_no_bar&amp;width=385&amp;height=120&amp;START_MAXIMIZED=FALSE&amp;creator=factset&amp;display_string=Audit"}</definedName>
    <definedName name="_1408__FDSAUDITLINK__" hidden="1">{"fdsup://Directions/FactSet Auditing Viewer?action=AUDIT_VALUE&amp;DB=129&amp;ID1=52728810&amp;VALUEID=01001&amp;SDATE=200902&amp;PERIODTYPE=QTR_STD&amp;window=popup_no_bar&amp;width=385&amp;height=120&amp;START_MAXIMIZED=FALSE&amp;creator=factset&amp;display_string=Audit"}</definedName>
    <definedName name="_1409__FDSAUDITLINK__" hidden="1">{"fdsup://Directions/FactSet Auditing Viewer?action=AUDIT_VALUE&amp;DB=129&amp;ID1=52728810&amp;VALUEID=01001&amp;SDATE=201002&amp;PERIODTYPE=QTR_STD&amp;window=popup_no_bar&amp;width=385&amp;height=120&amp;START_MAXIMIZED=FALSE&amp;creator=factset&amp;display_string=Audit"}</definedName>
    <definedName name="_141__FDSAUDITLINK__"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411__FDSAUDITLINK__" hidden="1">{"fdsup://Directions/FactSet Auditing Viewer?action=AUDIT_VALUE&amp;DB=129&amp;ID1=50216110&amp;VALUEID=01001&amp;SDATE=200902&amp;PERIODTYPE=QTR_STD&amp;window=popup_no_bar&amp;width=385&amp;height=120&amp;START_MAXIMIZED=FALSE&amp;creator=factset&amp;display_string=Audit"}</definedName>
    <definedName name="_1412__FDSAUDITLINK__" hidden="1">{"fdsup://Directions/FactSet Auditing Viewer?action=AUDIT_VALUE&amp;DB=129&amp;ID1=50216110&amp;VALUEID=01001&amp;SDATE=201002&amp;PERIODTYPE=QTR_STD&amp;window=popup_no_bar&amp;width=385&amp;height=120&amp;START_MAXIMIZED=FALSE&amp;creator=factset&amp;display_string=Audit"}</definedName>
    <definedName name="_1413__FDSAUDITLINK__" hidden="1">{"fdsup://Directions/FactSet Auditing Viewer?action=AUDIT_VALUE&amp;DB=129&amp;ID1=54414710&amp;VALUEID=01001&amp;SDATE=200902&amp;PERIODTYPE=QTR_STD&amp;window=popup_no_bar&amp;width=385&amp;height=120&amp;START_MAXIMIZED=FALSE&amp;creator=factset&amp;display_string=Audit"}</definedName>
    <definedName name="_1414__FDSAUDITLINK__" hidden="1">{"fdsup://Directions/FactSet Auditing Viewer?action=AUDIT_VALUE&amp;DB=129&amp;ID1=54414710&amp;VALUEID=01001&amp;SDATE=201002&amp;PERIODTYPE=QTR_STD&amp;window=popup_no_bar&amp;width=385&amp;height=120&amp;START_MAXIMIZED=FALSE&amp;creator=factset&amp;display_string=Audit"}</definedName>
    <definedName name="_1415__FDSAUDITLINK__" hidden="1">{"fdsup://Directions/FactSet Auditing Viewer?action=AUDIT_VALUE&amp;DB=129&amp;ID1=53418710&amp;VALUEID=01001&amp;SDATE=200902&amp;PERIODTYPE=QTR_STD&amp;window=popup_no_bar&amp;width=385&amp;height=120&amp;START_MAXIMIZED=FALSE&amp;creator=factset&amp;display_string=Audit"}</definedName>
    <definedName name="_1416__FDSAUDITLINK__" hidden="1">{"fdsup://Directions/FactSet Auditing Viewer?action=AUDIT_VALUE&amp;DB=129&amp;ID1=53418710&amp;VALUEID=01001&amp;SDATE=201002&amp;PERIODTYPE=QTR_STD&amp;window=popup_no_bar&amp;width=385&amp;height=120&amp;START_MAXIMIZED=FALSE&amp;creator=factset&amp;display_string=Audit"}</definedName>
    <definedName name="_1417__FDSAUDITLINK__" hidden="1">{"fdsup://Directions/FactSet Auditing Viewer?action=AUDIT_VALUE&amp;DB=129&amp;ID1=53983010&amp;VALUEID=01001&amp;SDATE=200902&amp;PERIODTYPE=QTR_STD&amp;window=popup_no_bar&amp;width=385&amp;height=120&amp;START_MAXIMIZED=FALSE&amp;creator=factset&amp;display_string=Audit"}</definedName>
    <definedName name="_1418__FDSAUDITLINK__" hidden="1">{"fdsup://Directions/FactSet Auditing Viewer?action=AUDIT_VALUE&amp;DB=129&amp;ID1=53983010&amp;VALUEID=01001&amp;SDATE=201002&amp;PERIODTYPE=QTR_STD&amp;window=popup_no_bar&amp;width=385&amp;height=120&amp;START_MAXIMIZED=FALSE&amp;creator=factset&amp;display_string=Audit"}</definedName>
    <definedName name="_1419__FDSAUDITLINK__" hidden="1">{"fdsup://Directions/FactSet Auditing Viewer?action=AUDIT_VALUE&amp;DB=129&amp;ID1=52490110&amp;VALUEID=01001&amp;SDATE=200901&amp;PERIODTYPE=QTR_STD&amp;window=popup_no_bar&amp;width=385&amp;height=120&amp;START_MAXIMIZED=FALSE&amp;creator=factset&amp;display_string=Audit"}</definedName>
    <definedName name="_142__FDSAUDITLINK__"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0__FDSAUDITLINK__" hidden="1">{"fdsup://Directions/FactSet Auditing Viewer?action=AUDIT_VALUE&amp;DB=129&amp;ID1=52490110&amp;VALUEID=01001&amp;SDATE=201001&amp;PERIODTYPE=QTR_STD&amp;window=popup_no_bar&amp;width=385&amp;height=120&amp;START_MAXIMIZED=FALSE&amp;creator=factset&amp;display_string=Audit"}</definedName>
    <definedName name="_1421__FDSAUDITLINK__" hidden="1">{"fdsup://Directions/FactSet Auditing Viewer?action=AUDIT_VALUE&amp;DB=129&amp;ID1=53245710&amp;VALUEID=01001&amp;SDATE=200902&amp;PERIODTYPE=QTR_STD&amp;window=popup_no_bar&amp;width=385&amp;height=120&amp;START_MAXIMIZED=FALSE&amp;creator=factset&amp;display_string=Audit"}</definedName>
    <definedName name="_1422__FDSAUDITLINK__" hidden="1">{"fdsup://Directions/FactSet Auditing Viewer?action=AUDIT_VALUE&amp;DB=129&amp;ID1=53245710&amp;VALUEID=01001&amp;SDATE=201002&amp;PERIODTYPE=QTR_STD&amp;window=popup_no_bar&amp;width=385&amp;height=120&amp;START_MAXIMIZED=FALSE&amp;creator=factset&amp;display_string=Audit"}</definedName>
    <definedName name="_1423__FDSAUDITLINK__" hidden="1">{"fdsup://Directions/FactSet Auditing Viewer?action=AUDIT_VALUE&amp;DB=129&amp;ID1=53567810&amp;VALUEID=01001&amp;SDATE=201004&amp;PERIODTYPE=QTR_STD&amp;window=popup_no_bar&amp;width=385&amp;height=120&amp;START_MAXIMIZED=FALSE&amp;creator=factset&amp;display_string=Audit"}</definedName>
    <definedName name="_1424__FDSAUDITLINK__" hidden="1">{"fdsup://Directions/FactSet Auditing Viewer?action=AUDIT_VALUE&amp;DB=129&amp;ID1=50242410&amp;VALUEID=01001&amp;SDATE=200902&amp;PERIODTYPE=QTR_STD&amp;window=popup_no_bar&amp;width=385&amp;height=120&amp;START_MAXIMIZED=FALSE&amp;creator=factset&amp;display_string=Audit"}</definedName>
    <definedName name="_1425__FDSAUDITLINK__" hidden="1">{"fdsup://Directions/FactSet Auditing Viewer?action=AUDIT_VALUE&amp;DB=129&amp;ID1=50242410&amp;VALUEID=01001&amp;SDATE=201002&amp;PERIODTYPE=QTR_STD&amp;window=popup_no_bar&amp;width=385&amp;height=120&amp;START_MAXIMIZED=FALSE&amp;creator=factset&amp;display_string=Audit"}</definedName>
    <definedName name="_1426__FDSAUDITLINK__" hidden="1">{"fdsup://Directions/FactSet Auditing Viewer?action=AUDIT_VALUE&amp;DB=129&amp;ID1=53217V10&amp;VALUEID=01001&amp;SDATE=200902&amp;PERIODTYPE=QTR_STD&amp;window=popup_no_bar&amp;width=385&amp;height=120&amp;START_MAXIMIZED=FALSE&amp;creator=factset&amp;display_string=Audit"}</definedName>
    <definedName name="_1427__FDSAUDITLINK__" hidden="1">{"fdsup://Directions/FactSet Auditing Viewer?action=AUDIT_VALUE&amp;DB=129&amp;ID1=53217V10&amp;VALUEID=01001&amp;SDATE=201002&amp;PERIODTYPE=QTR_STD&amp;window=popup_no_bar&amp;width=385&amp;height=120&amp;START_MAXIMIZED=FALSE&amp;creator=factset&amp;display_string=Audit"}</definedName>
    <definedName name="_1428__FDSAUDITLINK__" hidden="1">{"fdsup://Directions/FactSet Auditing Viewer?action=AUDIT_VALUE&amp;DB=129&amp;ID1=50540R40&amp;VALUEID=01001&amp;SDATE=200902&amp;PERIODTYPE=QTR_STD&amp;window=popup_no_bar&amp;width=385&amp;height=120&amp;START_MAXIMIZED=FALSE&amp;creator=factset&amp;display_string=Audit"}</definedName>
    <definedName name="_1429__FDSAUDITLINK__" hidden="1">{"fdsup://Directions/FactSet Auditing Viewer?action=AUDIT_VALUE&amp;DB=129&amp;ID1=50540R40&amp;VALUEID=01001&amp;SDATE=201002&amp;PERIODTYPE=QTR_STD&amp;window=popup_no_bar&amp;width=385&amp;height=120&amp;START_MAXIMIZED=FALSE&amp;creator=factset&amp;display_string=Audit"}</definedName>
    <definedName name="_143__FDSAUDITLINK__"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0__FDSAUDITLINK__" hidden="1">{"fdsup://Directions/FactSet Auditing Viewer?action=AUDIT_VALUE&amp;DB=129&amp;ID1=52605710&amp;VALUEID=01001&amp;SDATE=200902&amp;PERIODTYPE=QTR_STD&amp;window=popup_no_bar&amp;width=385&amp;height=120&amp;START_MAXIMIZED=FALSE&amp;creator=factset&amp;display_string=Audit"}</definedName>
    <definedName name="_1431__FDSAUDITLINK__" hidden="1">{"fdsup://Directions/FactSet Auditing Viewer?action=AUDIT_VALUE&amp;DB=129&amp;ID1=52605710&amp;VALUEID=01001&amp;SDATE=201002&amp;PERIODTYPE=QTR_STD&amp;window=popup_no_bar&amp;width=385&amp;height=120&amp;START_MAXIMIZED=FALSE&amp;creator=factset&amp;display_string=Audit"}</definedName>
    <definedName name="_1432__FDSAUDITLINK__" hidden="1">{"fdsup://Directions/FactSet Auditing Viewer?action=AUDIT_VALUE&amp;DB=129&amp;ID1=52466010&amp;VALUEID=01001&amp;SDATE=200902&amp;PERIODTYPE=QTR_STD&amp;window=popup_no_bar&amp;width=385&amp;height=120&amp;START_MAXIMIZED=FALSE&amp;creator=factset&amp;display_string=Audit"}</definedName>
    <definedName name="_1433__FDSAUDITLINK__" hidden="1">{"fdsup://Directions/FactSet Auditing Viewer?action=AUDIT_VALUE&amp;DB=129&amp;ID1=52466010&amp;VALUEID=01001&amp;SDATE=201002&amp;PERIODTYPE=QTR_STD&amp;window=popup_no_bar&amp;width=385&amp;height=120&amp;START_MAXIMIZED=FALSE&amp;creator=factset&amp;display_string=Audit"}</definedName>
    <definedName name="_1434__FDSAUDITLINK__" hidden="1">{"fdsup://Directions/FactSet Auditing Viewer?action=AUDIT_VALUE&amp;DB=129&amp;ID1=54042410&amp;VALUEID=01001&amp;SDATE=200902&amp;PERIODTYPE=QTR_STD&amp;window=popup_no_bar&amp;width=385&amp;height=120&amp;START_MAXIMIZED=FALSE&amp;creator=factset&amp;display_string=Audit"}</definedName>
    <definedName name="_1435__FDSAUDITLINK__" hidden="1">{"fdsup://Directions/FactSet Auditing Viewer?action=AUDIT_VALUE&amp;DB=129&amp;ID1=54042410&amp;VALUEID=01001&amp;SDATE=201002&amp;PERIODTYPE=QTR_STD&amp;window=popup_no_bar&amp;width=385&amp;height=120&amp;START_MAXIMIZED=FALSE&amp;creator=factset&amp;display_string=Audit"}</definedName>
    <definedName name="_1436__FDSAUDITLINK__" hidden="1">{"fdsup://Directions/FactSet Auditing Viewer?action=AUDIT_VALUE&amp;DB=129&amp;ID1=50025510&amp;VALUEID=01001&amp;SDATE=200901&amp;PERIODTYPE=QTR_STD&amp;window=popup_no_bar&amp;width=385&amp;height=120&amp;START_MAXIMIZED=FALSE&amp;creator=factset&amp;display_string=Audit"}</definedName>
    <definedName name="_1437__FDSAUDITLINK__" hidden="1">{"fdsup://Directions/FactSet Auditing Viewer?action=AUDIT_VALUE&amp;DB=129&amp;ID1=50025510&amp;VALUEID=01001&amp;SDATE=201001&amp;PERIODTYPE=QTR_STD&amp;window=popup_no_bar&amp;width=385&amp;height=120&amp;START_MAXIMIZED=FALSE&amp;creator=factset&amp;display_string=Audit"}</definedName>
    <definedName name="_1438__FDSAUDITLINK__" hidden="1">{"fdsup://Directions/FactSet Auditing Viewer?action=AUDIT_VALUE&amp;DB=129&amp;ID1=50104410&amp;VALUEID=01001&amp;SDATE=200901&amp;PERIODTYPE=QTR_STD&amp;window=popup_no_bar&amp;width=385&amp;height=120&amp;START_MAXIMIZED=FALSE&amp;creator=factset&amp;display_string=Audit"}</definedName>
    <definedName name="_1439__FDSAUDITLINK__" hidden="1">{"fdsup://Directions/FactSet Auditing Viewer?action=AUDIT_VALUE&amp;DB=129&amp;ID1=50104410&amp;VALUEID=01001&amp;SDATE=201001&amp;PERIODTYPE=QTR_STD&amp;window=popup_no_bar&amp;width=385&amp;height=120&amp;START_MAXIMIZED=FALSE&amp;creator=factset&amp;display_string=Audit"}</definedName>
    <definedName name="_144__FDSAUDITLINK__"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0__FDSAUDITLINK__" hidden="1">{"fdsup://Directions/FactSet Auditing Viewer?action=AUDIT_VALUE&amp;DB=129&amp;ID1=19121610&amp;VALUEID=01001&amp;SDATE=200902&amp;PERIODTYPE=QTR_STD&amp;window=popup_no_bar&amp;width=385&amp;height=120&amp;START_MAXIMIZED=FALSE&amp;creator=factset&amp;display_string=Audit"}</definedName>
    <definedName name="_1441__FDSAUDITLINK__" hidden="1">{"fdsup://Directions/FactSet Auditing Viewer?action=AUDIT_VALUE&amp;DB=129&amp;ID1=19121610&amp;VALUEID=01001&amp;SDATE=201002&amp;PERIODTYPE=QTR_STD&amp;window=popup_no_bar&amp;width=385&amp;height=120&amp;START_MAXIMIZED=FALSE&amp;creator=factset&amp;display_string=Audit"}</definedName>
    <definedName name="_1442__FDSAUDITLINK__" hidden="1">{"fdsup://Directions/FactSet Auditing Viewer?action=AUDIT_VALUE&amp;DB=129&amp;ID1=14313010&amp;VALUEID=01001&amp;SDATE=200901&amp;PERIODTYPE=QTR_STD&amp;window=popup_no_bar&amp;width=385&amp;height=120&amp;START_MAXIMIZED=FALSE&amp;creator=factset&amp;display_string=Audit"}</definedName>
    <definedName name="_1443__FDSAUDITLINK__" hidden="1">{"fdsup://Directions/FactSet Auditing Viewer?action=AUDIT_VALUE&amp;DB=129&amp;ID1=14313010&amp;VALUEID=01001&amp;SDATE=201001&amp;PERIODTYPE=QTR_STD&amp;window=popup_no_bar&amp;width=385&amp;height=120&amp;START_MAXIMIZED=FALSE&amp;creator=factset&amp;display_string=Audit"}</definedName>
    <definedName name="_1444__FDSAUDITLINK__" hidden="1">{"fdsup://Directions/FactSet Auditing Viewer?action=AUDIT_VALUE&amp;DB=129&amp;ID1=49436810&amp;VALUEID=01001&amp;SDATE=200902&amp;PERIODTYPE=QTR_STD&amp;window=popup_no_bar&amp;width=385&amp;height=120&amp;START_MAXIMIZED=FALSE&amp;creator=factset&amp;display_string=Audit"}</definedName>
    <definedName name="_1445__FDSAUDITLINK__" hidden="1">{"fdsup://Directions/FactSet Auditing Viewer?action=AUDIT_VALUE&amp;DB=129&amp;ID1=49436810&amp;VALUEID=01001&amp;SDATE=201002&amp;PERIODTYPE=QTR_STD&amp;window=popup_no_bar&amp;width=385&amp;height=120&amp;START_MAXIMIZED=FALSE&amp;creator=factset&amp;display_string=Audit"}</definedName>
    <definedName name="_1446__FDSAUDITLINK__" hidden="1">{"fdsup://Directions/FactSet Auditing Viewer?action=AUDIT_VALUE&amp;DB=129&amp;ID1=48248010&amp;VALUEID=01001&amp;SDATE=200904&amp;PERIODTYPE=QTR_STD&amp;window=popup_no_bar&amp;width=385&amp;height=120&amp;START_MAXIMIZED=FALSE&amp;creator=factset&amp;display_string=Audit"}</definedName>
    <definedName name="_1447__FDSAUDITLINK__" hidden="1">{"fdsup://Directions/FactSet Auditing Viewer?action=AUDIT_VALUE&amp;DB=129&amp;ID1=48248010&amp;VALUEID=01001&amp;SDATE=201004&amp;PERIODTYPE=QTR_STD&amp;window=popup_no_bar&amp;width=385&amp;height=120&amp;START_MAXIMIZED=FALSE&amp;creator=factset&amp;display_string=Audit"}</definedName>
    <definedName name="_1448__FDSAUDITLINK__" hidden="1">{"fdsup://Directions/FactSet Auditing Viewer?action=AUDIT_VALUE&amp;DB=129&amp;ID1=49446R10&amp;VALUEID=01001&amp;SDATE=200902&amp;PERIODTYPE=QTR_STD&amp;window=popup_no_bar&amp;width=385&amp;height=120&amp;START_MAXIMIZED=FALSE&amp;creator=factset&amp;display_string=Audit"}</definedName>
    <definedName name="_1449__FDSAUDITLINK__" hidden="1">{"fdsup://Directions/FactSet Auditing Viewer?action=AUDIT_VALUE&amp;DB=129&amp;ID1=49446R10&amp;VALUEID=01001&amp;SDATE=201002&amp;PERIODTYPE=QTR_STD&amp;window=popup_no_bar&amp;width=385&amp;height=120&amp;START_MAXIMIZED=FALSE&amp;creator=factset&amp;display_string=Audit"}</definedName>
    <definedName name="_145__FDSAUDITLINK__"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0__FDSAUDITLINK__" hidden="1">{"fdsup://Directions/FactSet Auditing Viewer?action=AUDIT_VALUE&amp;DB=129&amp;ID1=49558210&amp;VALUEID=01001&amp;SDATE=200902&amp;PERIODTYPE=QTR_STD&amp;window=popup_no_bar&amp;width=385&amp;height=120&amp;START_MAXIMIZED=FALSE&amp;creator=factset&amp;display_string=Audit"}</definedName>
    <definedName name="_1451__FDSAUDITLINK__" hidden="1">{"fdsup://Directions/FactSet Auditing Viewer?action=AUDIT_VALUE&amp;DB=129&amp;ID1=49558210&amp;VALUEID=01001&amp;SDATE=201002&amp;PERIODTYPE=QTR_STD&amp;window=popup_no_bar&amp;width=385&amp;height=120&amp;START_MAXIMIZED=FALSE&amp;creator=factset&amp;display_string=Audit"}</definedName>
    <definedName name="_1452__FDSAUDITLINK__" hidden="1">{"fdsup://Directions/FactSet Auditing Viewer?action=AUDIT_VALUE&amp;DB=129&amp;ID1=50075N10&amp;VALUEID=01001&amp;SDATE=200902&amp;PERIODTYPE=QTR_STD&amp;window=popup_no_bar&amp;width=385&amp;height=120&amp;START_MAXIMIZED=FALSE&amp;creator=factset&amp;display_string=Audit"}</definedName>
    <definedName name="_1453__FDSAUDITLINK__" hidden="1">{"fdsup://Directions/FactSet Auditing Viewer?action=AUDIT_VALUE&amp;DB=129&amp;ID1=50075N10&amp;VALUEID=01001&amp;SDATE=201002&amp;PERIODTYPE=QTR_STD&amp;window=popup_no_bar&amp;width=385&amp;height=120&amp;START_MAXIMIZED=FALSE&amp;creator=factset&amp;display_string=Audit"}</definedName>
    <definedName name="_1454__FDSAUDITLINK__" hidden="1">{"fdsup://Directions/FactSet Auditing Viewer?action=AUDIT_VALUE&amp;DB=129&amp;ID1=48783610&amp;VALUEID=01001&amp;SDATE=200902&amp;PERIODTYPE=QTR_STD&amp;window=popup_no_bar&amp;width=385&amp;height=120&amp;START_MAXIMIZED=FALSE&amp;creator=factset&amp;display_string=Audit"}</definedName>
    <definedName name="_1455__FDSAUDITLINK__" hidden="1">{"fdsup://Directions/FactSet Auditing Viewer?action=AUDIT_VALUE&amp;DB=129&amp;ID1=48783610&amp;VALUEID=01001&amp;SDATE=201002&amp;PERIODTYPE=QTR_STD&amp;window=popup_no_bar&amp;width=385&amp;height=120&amp;START_MAXIMIZED=FALSE&amp;creator=factset&amp;display_string=Audit"}</definedName>
    <definedName name="_1456__FDSAUDITLINK__" hidden="1">{"fdsup://Directions/FactSet Auditing Viewer?action=AUDIT_VALUE&amp;DB=129&amp;ID1=65566410&amp;VALUEID=01001&amp;SDATE=201001&amp;PERIODTYPE=QTR_STD&amp;window=popup_no_bar&amp;width=385&amp;height=120&amp;START_MAXIMIZED=FALSE&amp;creator=factset&amp;display_string=Audit"}</definedName>
    <definedName name="_1457__FDSAUDITLINK__" hidden="1">{"fdsup://Directions/FactSet Auditing Viewer?action=AUDIT_VALUE&amp;DB=129&amp;ID1=47102X10&amp;VALUEID=01001&amp;SDATE=200902&amp;PERIODTYPE=QTR_STD&amp;window=popup_no_bar&amp;width=385&amp;height=120&amp;START_MAXIMIZED=FALSE&amp;creator=factset&amp;display_string=Audit"}</definedName>
    <definedName name="_1458__FDSAUDITLINK__" hidden="1">{"fdsup://Directions/FactSet Auditing Viewer?action=AUDIT_VALUE&amp;DB=129&amp;ID1=47102X10&amp;VALUEID=01001&amp;SDATE=201002&amp;PERIODTYPE=QTR_STD&amp;window=popup_no_bar&amp;width=385&amp;height=120&amp;START_MAXIMIZED=FALSE&amp;creator=factset&amp;display_string=Audit"}</definedName>
    <definedName name="_1459__FDSAUDITLINK__" hidden="1">{"fdsup://Directions/FactSet Auditing Viewer?action=AUDIT_VALUE&amp;DB=129&amp;ID1=48203R10&amp;VALUEID=01001&amp;SDATE=200902&amp;PERIODTYPE=QTR_STD&amp;window=popup_no_bar&amp;width=385&amp;height=120&amp;START_MAXIMIZED=FALSE&amp;creator=factset&amp;display_string=Audit"}</definedName>
    <definedName name="_146__FDSAUDITLINK__"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0__FDSAUDITLINK__" hidden="1">{"fdsup://Directions/FactSet Auditing Viewer?action=AUDIT_VALUE&amp;DB=129&amp;ID1=48203R10&amp;VALUEID=01001&amp;SDATE=201002&amp;PERIODTYPE=QTR_STD&amp;window=popup_no_bar&amp;width=385&amp;height=120&amp;START_MAXIMIZED=FALSE&amp;creator=factset&amp;display_string=Audit"}</definedName>
    <definedName name="_1461__FDSAUDITLINK__" hidden="1">{"fdsup://Directions/FactSet Auditing Viewer?action=AUDIT_VALUE&amp;DB=129&amp;ID1=47816010&amp;VALUEID=01001&amp;SDATE=200902&amp;PERIODTYPE=QTR_STD&amp;window=popup_no_bar&amp;width=385&amp;height=120&amp;START_MAXIMIZED=FALSE&amp;creator=factset&amp;display_string=Audit"}</definedName>
    <definedName name="_1462__FDSAUDITLINK__" hidden="1">{"fdsup://Directions/FactSet Auditing Viewer?action=AUDIT_VALUE&amp;DB=129&amp;ID1=47816010&amp;VALUEID=01001&amp;SDATE=201002&amp;PERIODTYPE=QTR_STD&amp;window=popup_no_bar&amp;width=385&amp;height=120&amp;START_MAXIMIZED=FALSE&amp;creator=factset&amp;display_string=Audit"}</definedName>
    <definedName name="_1463__FDSAUDITLINK__" hidden="1">{"fdsup://Directions/FactSet Auditing Viewer?action=AUDIT_VALUE&amp;DB=129&amp;ID1=46981410&amp;VALUEID=01001&amp;SDATE=200903&amp;PERIODTYPE=QTR_STD&amp;window=popup_no_bar&amp;width=385&amp;height=120&amp;START_MAXIMIZED=FALSE&amp;creator=factset&amp;display_string=Audit"}</definedName>
    <definedName name="_1464__FDSAUDITLINK__" hidden="1">{"fdsup://Directions/FactSet Auditing Viewer?action=AUDIT_VALUE&amp;DB=129&amp;ID1=46981410&amp;VALUEID=01001&amp;SDATE=201003&amp;PERIODTYPE=QTR_STD&amp;window=popup_no_bar&amp;width=385&amp;height=120&amp;START_MAXIMIZED=FALSE&amp;creator=factset&amp;display_string=Audit"}</definedName>
    <definedName name="_1465__FDSAUDITLINK__" hidden="1">{"fdsup://Directions/FactSet Auditing Viewer?action=AUDIT_VALUE&amp;DB=129&amp;ID1=46612J50&amp;VALUEID=01001&amp;SDATE=201003&amp;PERIODTYPE=QTR_STD&amp;window=popup_no_bar&amp;width=385&amp;height=120&amp;START_MAXIMIZED=FALSE&amp;creator=factset&amp;display_string=Audit"}</definedName>
    <definedName name="_1466__FDSAUDITLINK__" hidden="1">{"fdsup://Directions/FactSet Auditing Viewer?action=AUDIT_VALUE&amp;DB=129&amp;ID1=70816010&amp;VALUEID=01001&amp;SDATE=200901&amp;PERIODTYPE=QTR_STD&amp;window=popup_no_bar&amp;width=385&amp;height=120&amp;START_MAXIMIZED=FALSE&amp;creator=factset&amp;display_string=Audit"}</definedName>
    <definedName name="_1467__FDSAUDITLINK__" hidden="1">{"fdsup://Directions/FactSet Auditing Viewer?action=AUDIT_VALUE&amp;DB=129&amp;ID1=70816010&amp;VALUEID=01001&amp;SDATE=201001&amp;PERIODTYPE=QTR_STD&amp;window=popup_no_bar&amp;width=385&amp;height=120&amp;START_MAXIMIZED=FALSE&amp;creator=factset&amp;display_string=Audit"}</definedName>
    <definedName name="_1468__FDSAUDITLINK__" hidden="1">{"fdsup://Directions/FactSet Auditing Viewer?action=AUDIT_VALUE&amp;DB=129&amp;ID1=47836610&amp;VALUEID=01001&amp;SDATE=200903&amp;PERIODTYPE=QTR_STD&amp;window=popup_no_bar&amp;width=385&amp;height=120&amp;START_MAXIMIZED=FALSE&amp;creator=factset&amp;display_string=Audit"}</definedName>
    <definedName name="_1469__FDSAUDITLINK__" hidden="1">{"fdsup://Directions/FactSet Auditing Viewer?action=AUDIT_VALUE&amp;DB=129&amp;ID1=47836610&amp;VALUEID=01001&amp;SDATE=201003&amp;PERIODTYPE=QTR_STD&amp;window=popup_no_bar&amp;width=385&amp;height=120&amp;START_MAXIMIZED=FALSE&amp;creator=factset&amp;display_string=Audit"}</definedName>
    <definedName name="_147__FDSAUDITLINK__"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0__FDSAUDITLINK__" hidden="1">{"fdsup://Directions/FactSet Auditing Viewer?action=AUDIT_VALUE&amp;DB=129&amp;ID1=46631310&amp;VALUEID=01001&amp;SDATE=200903&amp;PERIODTYPE=QTR_STD&amp;window=popup_no_bar&amp;width=385&amp;height=120&amp;START_MAXIMIZED=FALSE&amp;creator=factset&amp;display_string=Audit"}</definedName>
    <definedName name="_1471__FDSAUDITLINK__" hidden="1">{"fdsup://Directions/FactSet Auditing Viewer?action=AUDIT_VALUE&amp;DB=129&amp;ID1=46631310&amp;VALUEID=01001&amp;SDATE=201003&amp;PERIODTYPE=QTR_STD&amp;window=popup_no_bar&amp;width=385&amp;height=120&amp;START_MAXIMIZED=FALSE&amp;creator=factset&amp;display_string=Audit"}</definedName>
    <definedName name="_1472__FDSAUDITLINK__" hidden="1">{"fdsup://Directions/FactSet Auditing Viewer?action=AUDIT_VALUE&amp;DB=129&amp;ID1=G491BT10&amp;VALUEID=01001&amp;SDATE=200902&amp;PERIODTYPE=QTR_STD&amp;window=popup_no_bar&amp;width=385&amp;height=120&amp;START_MAXIMIZED=FALSE&amp;creator=factset&amp;display_string=Audit"}</definedName>
    <definedName name="_1473__FDSAUDITLINK__" hidden="1">{"fdsup://Directions/FactSet Auditing Viewer?action=AUDIT_VALUE&amp;DB=129&amp;ID1=G491BT10&amp;VALUEID=01001&amp;SDATE=201002&amp;PERIODTYPE=QTR_STD&amp;window=popup_no_bar&amp;width=385&amp;height=120&amp;START_MAXIMIZED=FALSE&amp;creator=factset&amp;display_string=Audit"}</definedName>
    <definedName name="_1474__FDSAUDITLINK__" hidden="1">{"fdsup://Directions/FactSet Auditing Viewer?action=AUDIT_VALUE&amp;DB=129&amp;ID1=45230810&amp;VALUEID=01001&amp;SDATE=200902&amp;PERIODTYPE=QTR_STD&amp;window=popup_no_bar&amp;width=385&amp;height=120&amp;START_MAXIMIZED=FALSE&amp;creator=factset&amp;display_string=Audit"}</definedName>
    <definedName name="_1475__FDSAUDITLINK__" hidden="1">{"fdsup://Directions/FactSet Auditing Viewer?action=AUDIT_VALUE&amp;DB=129&amp;ID1=45230810&amp;VALUEID=01001&amp;SDATE=201002&amp;PERIODTYPE=QTR_STD&amp;window=popup_no_bar&amp;width=385&amp;height=120&amp;START_MAXIMIZED=FALSE&amp;creator=factset&amp;display_string=Audit"}</definedName>
    <definedName name="_1476__FDSAUDITLINK__" hidden="1">{"fdsup://Directions/FactSet Auditing Viewer?action=AUDIT_VALUE&amp;DB=129&amp;ID1=45091110&amp;VALUEID=01001&amp;SDATE=200902&amp;PERIODTYPE=QTR_STD&amp;window=popup_no_bar&amp;width=385&amp;height=120&amp;START_MAXIMIZED=FALSE&amp;creator=factset&amp;display_string=Audit"}</definedName>
    <definedName name="_1477__FDSAUDITLINK__" hidden="1">{"fdsup://Directions/FactSet Auditing Viewer?action=AUDIT_VALUE&amp;DB=129&amp;ID1=45091110&amp;VALUEID=01001&amp;SDATE=201002&amp;PERIODTYPE=QTR_STD&amp;window=popup_no_bar&amp;width=385&amp;height=120&amp;START_MAXIMIZED=FALSE&amp;creator=factset&amp;display_string=Audit"}</definedName>
    <definedName name="_1478__FDSAUDITLINK__" hidden="1">{"fdsup://Directions/FactSet Auditing Viewer?action=AUDIT_VALUE&amp;DB=129&amp;ID1=46120E60&amp;VALUEID=01001&amp;SDATE=200902&amp;PERIODTYPE=QTR_STD&amp;window=popup_no_bar&amp;width=385&amp;height=120&amp;START_MAXIMIZED=FALSE&amp;creator=factset&amp;display_string=Audit"}</definedName>
    <definedName name="_1479__FDSAUDITLINK__" hidden="1">{"fdsup://Directions/FactSet Auditing Viewer?action=AUDIT_VALUE&amp;DB=129&amp;ID1=46120E60&amp;VALUEID=01001&amp;SDATE=201002&amp;PERIODTYPE=QTR_STD&amp;window=popup_no_bar&amp;width=385&amp;height=120&amp;START_MAXIMIZED=FALSE&amp;creator=factset&amp;display_string=Audit"}</definedName>
    <definedName name="_148__FDSAUDITLINK__"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0__FDSAUDITLINK__" hidden="1">{"fdsup://Directions/FactSet Auditing Viewer?action=AUDIT_VALUE&amp;DB=129&amp;ID1=46284610&amp;VALUEID=01001&amp;SDATE=200902&amp;PERIODTYPE=QTR_STD&amp;window=popup_no_bar&amp;width=385&amp;height=120&amp;START_MAXIMIZED=FALSE&amp;creator=factset&amp;display_string=Audit"}</definedName>
    <definedName name="_1481__FDSAUDITLINK__" hidden="1">{"fdsup://Directions/FactSet Auditing Viewer?action=AUDIT_VALUE&amp;DB=129&amp;ID1=46284610&amp;VALUEID=01001&amp;SDATE=201002&amp;PERIODTYPE=QTR_STD&amp;window=popup_no_bar&amp;width=385&amp;height=120&amp;START_MAXIMIZED=FALSE&amp;creator=factset&amp;display_string=Audit"}</definedName>
    <definedName name="_1482__FDSAUDITLINK__" hidden="1">{"fdsup://Directions/FactSet Auditing Viewer?action=AUDIT_VALUE&amp;DB=129&amp;ID1=46069010&amp;VALUEID=01001&amp;SDATE=200902&amp;PERIODTYPE=QTR_STD&amp;window=popup_no_bar&amp;width=385&amp;height=120&amp;START_MAXIMIZED=FALSE&amp;creator=factset&amp;display_string=Audit"}</definedName>
    <definedName name="_1483__FDSAUDITLINK__" hidden="1">{"fdsup://Directions/FactSet Auditing Viewer?action=AUDIT_VALUE&amp;DB=129&amp;ID1=46069010&amp;VALUEID=01001&amp;SDATE=201002&amp;PERIODTYPE=QTR_STD&amp;window=popup_no_bar&amp;width=385&amp;height=120&amp;START_MAXIMIZED=FALSE&amp;creator=factset&amp;display_string=Audit"}</definedName>
    <definedName name="_1484__FDSAUDITLINK__" hidden="1">{"fdsup://Directions/FactSet Auditing Viewer?action=AUDIT_VALUE&amp;DB=129&amp;ID1=46014610&amp;VALUEID=01001&amp;SDATE=200902&amp;PERIODTYPE=QTR_STD&amp;window=popup_no_bar&amp;width=385&amp;height=120&amp;START_MAXIMIZED=FALSE&amp;creator=factset&amp;display_string=Audit"}</definedName>
    <definedName name="_1485__FDSAUDITLINK__" hidden="1">{"fdsup://Directions/FactSet Auditing Viewer?action=AUDIT_VALUE&amp;DB=129&amp;ID1=46014610&amp;VALUEID=01001&amp;SDATE=201002&amp;PERIODTYPE=QTR_STD&amp;window=popup_no_bar&amp;width=385&amp;height=120&amp;START_MAXIMIZED=FALSE&amp;creator=factset&amp;display_string=Audit"}</definedName>
    <definedName name="_1486__FDSAUDITLINK__" hidden="1">{"fdsup://Directions/FactSet Auditing Viewer?action=AUDIT_VALUE&amp;DB=129&amp;ID1=46120210&amp;VALUEID=01001&amp;SDATE=200903&amp;PERIODTYPE=QTR_STD&amp;window=popup_no_bar&amp;width=385&amp;height=120&amp;START_MAXIMIZED=FALSE&amp;creator=factset&amp;display_string=Audit"}</definedName>
    <definedName name="_1487__FDSAUDITLINK__" hidden="1">{"fdsup://Directions/FactSet Auditing Viewer?action=AUDIT_VALUE&amp;DB=129&amp;ID1=46120210&amp;VALUEID=01001&amp;SDATE=201003&amp;PERIODTYPE=QTR_STD&amp;window=popup_no_bar&amp;width=385&amp;height=120&amp;START_MAXIMIZED=FALSE&amp;creator=factset&amp;display_string=Audit"}</definedName>
    <definedName name="_1488__FDSAUDITLINK__" hidden="1">{"fdsup://Directions/FactSet Auditing Viewer?action=AUDIT_VALUE&amp;DB=129&amp;ID1=45814010&amp;VALUEID=01001&amp;SDATE=200902&amp;PERIODTYPE=QTR_STD&amp;window=popup_no_bar&amp;width=385&amp;height=120&amp;START_MAXIMIZED=FALSE&amp;creator=factset&amp;display_string=Audit"}</definedName>
    <definedName name="_1489__FDSAUDITLINK__" hidden="1">{"fdsup://Directions/FactSet Auditing Viewer?action=AUDIT_VALUE&amp;DB=129&amp;ID1=45814010&amp;VALUEID=01001&amp;SDATE=201002&amp;PERIODTYPE=QTR_STD&amp;window=popup_no_bar&amp;width=385&amp;height=120&amp;START_MAXIMIZED=FALSE&amp;creator=factset&amp;display_string=Audit"}</definedName>
    <definedName name="_149__FDSAUDITLINK__"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0__FDSAUDITLINK__" hidden="1">{"fdsup://Directions/FactSet Auditing Viewer?action=AUDIT_VALUE&amp;DB=129&amp;ID1=45990210&amp;VALUEID=01001&amp;SDATE=200903&amp;PERIODTYPE=QTR_STD&amp;window=popup_no_bar&amp;width=385&amp;height=120&amp;START_MAXIMIZED=FALSE&amp;creator=factset&amp;display_string=Audit"}</definedName>
    <definedName name="_1491__FDSAUDITLINK__" hidden="1">{"fdsup://Directions/FactSet Auditing Viewer?action=AUDIT_VALUE&amp;DB=129&amp;ID1=45990210&amp;VALUEID=01001&amp;SDATE=201003&amp;PERIODTYPE=QTR_STD&amp;window=popup_no_bar&amp;width=385&amp;height=120&amp;START_MAXIMIZED=FALSE&amp;creator=factset&amp;display_string=Audit"}</definedName>
    <definedName name="_1492__FDSAUDITLINK__" hidden="1">{"fdsup://Directions/FactSet Auditing Viewer?action=AUDIT_VALUE&amp;DB=129&amp;ID1=45950610&amp;VALUEID=01001&amp;SDATE=200902&amp;PERIODTYPE=QTR_STD&amp;window=popup_no_bar&amp;width=385&amp;height=120&amp;START_MAXIMIZED=FALSE&amp;creator=factset&amp;display_string=Audit"}</definedName>
    <definedName name="_1493__FDSAUDITLINK__" hidden="1">{"fdsup://Directions/FactSet Auditing Viewer?action=AUDIT_VALUE&amp;DB=129&amp;ID1=45950610&amp;VALUEID=01001&amp;SDATE=201002&amp;PERIODTYPE=QTR_STD&amp;window=popup_no_bar&amp;width=385&amp;height=120&amp;START_MAXIMIZED=FALSE&amp;creator=factset&amp;display_string=Audit"}</definedName>
    <definedName name="_1494__FDSAUDITLINK__" hidden="1">{"fdsup://Directions/FactSet Auditing Viewer?action=AUDIT_VALUE&amp;DB=129&amp;ID1=45865V10&amp;VALUEID=01001&amp;SDATE=200902&amp;PERIODTYPE=QTR_STD&amp;window=popup_no_bar&amp;width=385&amp;height=120&amp;START_MAXIMIZED=FALSE&amp;creator=factset&amp;display_string=Audit"}</definedName>
    <definedName name="_1495__FDSAUDITLINK__" hidden="1">{"fdsup://Directions/FactSet Auditing Viewer?action=AUDIT_VALUE&amp;DB=129&amp;ID1=45865V10&amp;VALUEID=01001&amp;SDATE=201002&amp;PERIODTYPE=QTR_STD&amp;window=popup_no_bar&amp;width=385&amp;height=120&amp;START_MAXIMIZED=FALSE&amp;creator=factset&amp;display_string=Audit"}</definedName>
    <definedName name="_1496__FDSAUDITLINK__" hidden="1">{"fdsup://Directions/FactSet Auditing Viewer?action=AUDIT_VALUE&amp;DB=129&amp;ID1=45920010&amp;VALUEID=01001&amp;SDATE=200902&amp;PERIODTYPE=QTR_STD&amp;window=popup_no_bar&amp;width=385&amp;height=120&amp;START_MAXIMIZED=FALSE&amp;creator=factset&amp;display_string=Audit"}</definedName>
    <definedName name="_1497__FDSAUDITLINK__" hidden="1">{"fdsup://Directions/FactSet Auditing Viewer?action=AUDIT_VALUE&amp;DB=129&amp;ID1=45920010&amp;VALUEID=01001&amp;SDATE=201002&amp;PERIODTYPE=QTR_STD&amp;window=popup_no_bar&amp;width=385&amp;height=120&amp;START_MAXIMIZED=FALSE&amp;creator=factset&amp;display_string=Audit"}</definedName>
    <definedName name="_1498__FDSAUDITLINK__" hidden="1">{"fdsup://Directions/FactSet Auditing Viewer?action=AUDIT_VALUE&amp;DB=129&amp;ID1=44485910&amp;VALUEID=01001&amp;SDATE=200902&amp;PERIODTYPE=QTR_STD&amp;window=popup_no_bar&amp;width=385&amp;height=120&amp;START_MAXIMIZED=FALSE&amp;creator=factset&amp;display_string=Audit"}</definedName>
    <definedName name="_1499__FDSAUDITLINK__" hidden="1">{"fdsup://Directions/FactSet Auditing Viewer?action=AUDIT_VALUE&amp;DB=129&amp;ID1=44485910&amp;VALUEID=01001&amp;SDATE=201002&amp;PERIODTYPE=QTR_STD&amp;window=popup_no_bar&amp;width=385&amp;height=120&amp;START_MAXIMIZED=FALSE&amp;creator=factset&amp;display_string=Audit"}</definedName>
    <definedName name="_15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150__FDSAUDITLINK__"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0__FDSAUDITLINK__" hidden="1">{"fdsup://Directions/FactSet Auditing Viewer?action=AUDIT_VALUE&amp;DB=129&amp;ID1=42786610&amp;VALUEID=01001&amp;SDATE=200902&amp;PERIODTYPE=QTR_STD&amp;window=popup_no_bar&amp;width=385&amp;height=120&amp;START_MAXIMIZED=FALSE&amp;creator=factset&amp;display_string=Audit"}</definedName>
    <definedName name="_1501__FDSAUDITLINK__" hidden="1">{"fdsup://Directions/FactSet Auditing Viewer?action=AUDIT_VALUE&amp;DB=129&amp;ID1=42786610&amp;VALUEID=01001&amp;SDATE=201002&amp;PERIODTYPE=QTR_STD&amp;window=popup_no_bar&amp;width=385&amp;height=120&amp;START_MAXIMIZED=FALSE&amp;creator=factset&amp;display_string=Audit"}</definedName>
    <definedName name="_1502__FDSAUDITLINK__" hidden="1">{"fdsup://Directions/FactSet Auditing Viewer?action=AUDIT_VALUE&amp;DB=129&amp;ID1=44107P10&amp;VALUEID=01001&amp;SDATE=200902&amp;PERIODTYPE=QTR_STD&amp;window=popup_no_bar&amp;width=385&amp;height=120&amp;START_MAXIMIZED=FALSE&amp;creator=factset&amp;display_string=Audit"}</definedName>
    <definedName name="_1503__FDSAUDITLINK__" hidden="1">{"fdsup://Directions/FactSet Auditing Viewer?action=AUDIT_VALUE&amp;DB=129&amp;ID1=44107P10&amp;VALUEID=01001&amp;SDATE=201002&amp;PERIODTYPE=QTR_STD&amp;window=popup_no_bar&amp;width=385&amp;height=120&amp;START_MAXIMIZED=FALSE&amp;creator=factset&amp;display_string=Audit"}</definedName>
    <definedName name="_1504__FDSAUDITLINK__" hidden="1">{"fdsup://Directions/FactSet Auditing Viewer?action=AUDIT_VALUE&amp;DB=129&amp;ID1=44106010&amp;VALUEID=01001&amp;SDATE=200902&amp;PERIODTYPE=QTR_STD&amp;window=popup_no_bar&amp;width=385&amp;height=120&amp;START_MAXIMIZED=FALSE&amp;creator=factset&amp;display_string=Audit"}</definedName>
    <definedName name="_1505__FDSAUDITLINK__" hidden="1">{"fdsup://Directions/FactSet Auditing Viewer?action=AUDIT_VALUE&amp;DB=129&amp;ID1=44106010&amp;VALUEID=01001&amp;SDATE=201002&amp;PERIODTYPE=QTR_STD&amp;window=popup_no_bar&amp;width=385&amp;height=120&amp;START_MAXIMIZED=FALSE&amp;creator=factset&amp;display_string=Audit"}</definedName>
    <definedName name="_1506__FDSAUDITLINK__" hidden="1">{"fdsup://Directions/FactSet Auditing Viewer?action=AUDIT_VALUE&amp;DB=129&amp;ID1=41387510&amp;VALUEID=01001&amp;SDATE=201004&amp;PERIODTYPE=QTR_STD&amp;window=popup_no_bar&amp;width=385&amp;height=120&amp;START_MAXIMIZED=FALSE&amp;creator=factset&amp;display_string=Audit"}</definedName>
    <definedName name="_1507__FDSAUDITLINK__" hidden="1">{"fdsup://Directions/FactSet Auditing Viewer?action=AUDIT_VALUE&amp;DB=129&amp;ID1=44045210&amp;VALUEID=01001&amp;SDATE=200902&amp;PERIODTYPE=QTR_STD&amp;window=popup_no_bar&amp;width=385&amp;height=120&amp;START_MAXIMIZED=FALSE&amp;creator=factset&amp;display_string=Audit"}</definedName>
    <definedName name="_1508__FDSAUDITLINK__" hidden="1">{"fdsup://Directions/FactSet Auditing Viewer?action=AUDIT_VALUE&amp;DB=129&amp;ID1=44045210&amp;VALUEID=01001&amp;SDATE=201002&amp;PERIODTYPE=QTR_STD&amp;window=popup_no_bar&amp;width=385&amp;height=120&amp;START_MAXIMIZED=FALSE&amp;creator=factset&amp;display_string=Audit"}</definedName>
    <definedName name="_1509__FDSAUDITLINK__" hidden="1">{"fdsup://Directions/FactSet Auditing Viewer?action=AUDIT_VALUE&amp;DB=129&amp;ID1=09367110&amp;VALUEID=01001&amp;SDATE=200904&amp;PERIODTYPE=QTR_STD&amp;window=popup_no_bar&amp;width=385&amp;height=120&amp;START_MAXIMIZED=FALSE&amp;creator=factset&amp;display_string=Audit"}</definedName>
    <definedName name="_151__FDSAUDITLINK__"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0__FDSAUDITLINK__" hidden="1">{"fdsup://Directions/FactSet Auditing Viewer?action=AUDIT_VALUE&amp;DB=129&amp;ID1=42823610&amp;VALUEID=01001&amp;SDATE=200902&amp;PERIODTYPE=QTR_STD&amp;window=popup_no_bar&amp;width=385&amp;height=120&amp;START_MAXIMIZED=FALSE&amp;creator=factset&amp;display_string=Audit"}</definedName>
    <definedName name="_1511__FDSAUDITLINK__" hidden="1">{"fdsup://Directions/FactSet Auditing Viewer?action=AUDIT_VALUE&amp;DB=129&amp;ID1=42823610&amp;VALUEID=01001&amp;SDATE=201002&amp;PERIODTYPE=QTR_STD&amp;window=popup_no_bar&amp;width=385&amp;height=120&amp;START_MAXIMIZED=FALSE&amp;creator=factset&amp;display_string=Audit"}</definedName>
    <definedName name="_1512__FDSAUDITLINK__" hidden="1">{"fdsup://Directions/FactSet Auditing Viewer?action=AUDIT_VALUE&amp;DB=129&amp;ID1=42345210&amp;VALUEID=01001&amp;SDATE=200903&amp;PERIODTYPE=QTR_STD&amp;window=popup_no_bar&amp;width=385&amp;height=120&amp;START_MAXIMIZED=FALSE&amp;creator=factset&amp;display_string=Audit"}</definedName>
    <definedName name="_1513__FDSAUDITLINK__" hidden="1">{"fdsup://Directions/FactSet Auditing Viewer?action=AUDIT_VALUE&amp;DB=129&amp;ID1=42345210&amp;VALUEID=01001&amp;SDATE=201003&amp;PERIODTYPE=QTR_STD&amp;window=popup_no_bar&amp;width=385&amp;height=120&amp;START_MAXIMIZED=FALSE&amp;creator=factset&amp;display_string=Audit"}</definedName>
    <definedName name="_1514__FDSAUDITLINK__" hidden="1">{"fdsup://Directions/FactSet Auditing Viewer?action=AUDIT_VALUE&amp;DB=129&amp;ID1=85590A40&amp;VALUEID=01001&amp;SDATE=200902&amp;PERIODTYPE=QTR_STD&amp;window=popup_no_bar&amp;width=385&amp;height=120&amp;START_MAXIMIZED=FALSE&amp;creator=factset&amp;display_string=Audit"}</definedName>
    <definedName name="_1515__FDSAUDITLINK__" hidden="1">{"fdsup://Directions/FactSet Auditing Viewer?action=AUDIT_VALUE&amp;DB=129&amp;ID1=85590A40&amp;VALUEID=01001&amp;SDATE=201002&amp;PERIODTYPE=QTR_STD&amp;window=popup_no_bar&amp;width=385&amp;height=120&amp;START_MAXIMIZED=FALSE&amp;creator=factset&amp;display_string=Audit"}</definedName>
    <definedName name="_1516__FDSAUDITLINK__" hidden="1">{"fdsup://Directions/FactSet Auditing Viewer?action=AUDIT_VALUE&amp;DB=129&amp;ID1=43851610&amp;VALUEID=01001&amp;SDATE=200902&amp;PERIODTYPE=QTR_STD&amp;window=popup_no_bar&amp;width=385&amp;height=120&amp;START_MAXIMIZED=FALSE&amp;creator=factset&amp;display_string=Audit"}</definedName>
    <definedName name="_1517__FDSAUDITLINK__" hidden="1">{"fdsup://Directions/FactSet Auditing Viewer?action=AUDIT_VALUE&amp;DB=129&amp;ID1=43851610&amp;VALUEID=01001&amp;SDATE=201002&amp;PERIODTYPE=QTR_STD&amp;window=popup_no_bar&amp;width=385&amp;height=120&amp;START_MAXIMIZED=FALSE&amp;creator=factset&amp;display_string=Audit"}</definedName>
    <definedName name="_1518__FDSAUDITLINK__" hidden="1">{"fdsup://Directions/FactSet Auditing Viewer?action=AUDIT_VALUE&amp;DB=129&amp;ID1=41282210&amp;VALUEID=01001&amp;SDATE=200902&amp;PERIODTYPE=QTR_STD&amp;window=popup_no_bar&amp;width=385&amp;height=120&amp;START_MAXIMIZED=FALSE&amp;creator=factset&amp;display_string=Audit"}</definedName>
    <definedName name="_1519__FDSAUDITLINK__" hidden="1">{"fdsup://Directions/FactSet Auditing Viewer?action=AUDIT_VALUE&amp;DB=129&amp;ID1=41282210&amp;VALUEID=01001&amp;SDATE=201002&amp;PERIODTYPE=QTR_STD&amp;window=popup_no_bar&amp;width=385&amp;height=120&amp;START_MAXIMIZED=FALSE&amp;creator=factset&amp;display_string=Audit"}</definedName>
    <definedName name="_152__FDSAUDITLINK__"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0__FDSAUDITLINK__" hidden="1">{"fdsup://Directions/FactSet Auditing Viewer?action=AUDIT_VALUE&amp;DB=129&amp;ID1=42307410&amp;VALUEID=01001&amp;SDATE=200804&amp;PERIODTYPE=QTR_STD&amp;window=popup_no_bar&amp;width=385&amp;height=120&amp;START_MAXIMIZED=FALSE&amp;creator=factset&amp;display_string=Audit"}</definedName>
    <definedName name="_1521__FDSAUDITLINK__" hidden="1">{"fdsup://Directions/FactSet Auditing Viewer?action=AUDIT_VALUE&amp;DB=129&amp;ID1=42307410&amp;VALUEID=01001&amp;SDATE=200904&amp;PERIODTYPE=QTR_STD&amp;window=popup_no_bar&amp;width=385&amp;height=120&amp;START_MAXIMIZED=FALSE&amp;creator=factset&amp;display_string=Audit"}</definedName>
    <definedName name="_1522__FDSAUDITLINK__" hidden="1">{"fdsup://Directions/FactSet Auditing Viewer?action=AUDIT_VALUE&amp;DB=129&amp;ID1=41651510&amp;VALUEID=01001&amp;SDATE=200902&amp;PERIODTYPE=QTR_STD&amp;window=popup_no_bar&amp;width=385&amp;height=120&amp;START_MAXIMIZED=FALSE&amp;creator=factset&amp;display_string=Audit"}</definedName>
    <definedName name="_1523__FDSAUDITLINK__" hidden="1">{"fdsup://Directions/FactSet Auditing Viewer?action=AUDIT_VALUE&amp;DB=129&amp;ID1=41651510&amp;VALUEID=01001&amp;SDATE=201002&amp;PERIODTYPE=QTR_STD&amp;window=popup_no_bar&amp;width=385&amp;height=120&amp;START_MAXIMIZED=FALSE&amp;creator=factset&amp;display_string=Audit"}</definedName>
    <definedName name="_1524__FDSAUDITLINK__" hidden="1">{"fdsup://Directions/FactSet Auditing Viewer?action=AUDIT_VALUE&amp;DB=129&amp;ID1=42809H10&amp;VALUEID=01001&amp;SDATE=200902&amp;PERIODTYPE=QTR_STD&amp;window=popup_no_bar&amp;width=385&amp;height=120&amp;START_MAXIMIZED=FALSE&amp;creator=factset&amp;display_string=Audit"}</definedName>
    <definedName name="_1525__FDSAUDITLINK__" hidden="1">{"fdsup://Directions/FactSet Auditing Viewer?action=AUDIT_VALUE&amp;DB=129&amp;ID1=42809H10&amp;VALUEID=01001&amp;SDATE=201002&amp;PERIODTYPE=QTR_STD&amp;window=popup_no_bar&amp;width=385&amp;height=120&amp;START_MAXIMIZED=FALSE&amp;creator=factset&amp;display_string=Audit"}</definedName>
    <definedName name="_1526__FDSAUDITLINK__" hidden="1">{"fdsup://Directions/FactSet Auditing Viewer?action=AUDIT_VALUE&amp;DB=129&amp;ID1=43707610&amp;VALUEID=01001&amp;SDATE=200901&amp;PERIODTYPE=QTR_STD&amp;window=popup_no_bar&amp;width=385&amp;height=120&amp;START_MAXIMIZED=FALSE&amp;creator=factset&amp;display_string=Audit"}</definedName>
    <definedName name="_1527__FDSAUDITLINK__" hidden="1">{"fdsup://Directions/FactSet Auditing Viewer?action=AUDIT_VALUE&amp;DB=129&amp;ID1=43707610&amp;VALUEID=01001&amp;SDATE=201001&amp;PERIODTYPE=QTR_STD&amp;window=popup_no_bar&amp;width=385&amp;height=120&amp;START_MAXIMIZED=FALSE&amp;creator=factset&amp;display_string=Audit"}</definedName>
    <definedName name="_1528__FDSAUDITLINK__" hidden="1">{"fdsup://Directions/FactSet Auditing Viewer?action=AUDIT_VALUE&amp;DB=129&amp;ID1=40414L10&amp;VALUEID=01001&amp;SDATE=200902&amp;PERIODTYPE=QTR_STD&amp;window=popup_no_bar&amp;width=385&amp;height=120&amp;START_MAXIMIZED=FALSE&amp;creator=factset&amp;display_string=Audit"}</definedName>
    <definedName name="_1529__FDSAUDITLINK__" hidden="1">{"fdsup://Directions/FactSet Auditing Viewer?action=AUDIT_VALUE&amp;DB=129&amp;ID1=40414L10&amp;VALUEID=01001&amp;SDATE=201002&amp;PERIODTYPE=QTR_STD&amp;window=popup_no_bar&amp;width=385&amp;height=120&amp;START_MAXIMIZED=FALSE&amp;creator=factset&amp;display_string=Audit"}</definedName>
    <definedName name="_153__FDSAUDITLINK__"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0__FDSAUDITLINK__" hidden="1">{"fdsup://Directions/FactSet Auditing Viewer?action=AUDIT_VALUE&amp;DB=129&amp;ID1=42217K10&amp;VALUEID=01001&amp;SDATE=200902&amp;PERIODTYPE=QTR_STD&amp;window=popup_no_bar&amp;width=385&amp;height=120&amp;START_MAXIMIZED=FALSE&amp;creator=factset&amp;display_string=Audit"}</definedName>
    <definedName name="_1531__FDSAUDITLINK__" hidden="1">{"fdsup://Directions/FactSet Auditing Viewer?action=AUDIT_VALUE&amp;DB=129&amp;ID1=42217K10&amp;VALUEID=01001&amp;SDATE=201002&amp;PERIODTYPE=QTR_STD&amp;window=popup_no_bar&amp;width=385&amp;height=120&amp;START_MAXIMIZED=FALSE&amp;creator=factset&amp;display_string=Audit"}</definedName>
    <definedName name="_1532__FDSAUDITLINK__" hidden="1">{"fdsup://Directions/FactSet Auditing Viewer?action=AUDIT_VALUE&amp;DB=129&amp;ID1=41805610&amp;VALUEID=01001&amp;SDATE=200902&amp;PERIODTYPE=QTR_STD&amp;window=popup_no_bar&amp;width=385&amp;height=120&amp;START_MAXIMIZED=FALSE&amp;creator=factset&amp;display_string=Audit"}</definedName>
    <definedName name="_1533__FDSAUDITLINK__" hidden="1">{"fdsup://Directions/FactSet Auditing Viewer?action=AUDIT_VALUE&amp;DB=129&amp;ID1=41805610&amp;VALUEID=01001&amp;SDATE=201002&amp;PERIODTYPE=QTR_STD&amp;window=popup_no_bar&amp;width=385&amp;height=120&amp;START_MAXIMIZED=FALSE&amp;creator=factset&amp;display_string=Audit"}</definedName>
    <definedName name="_1534__FDSAUDITLINK__" hidden="1">{"fdsup://Directions/FactSet Auditing Viewer?action=AUDIT_VALUE&amp;DB=129&amp;ID1=41308610&amp;VALUEID=01001&amp;SDATE=201004&amp;PERIODTYPE=QTR_STD&amp;window=popup_no_bar&amp;width=385&amp;height=120&amp;START_MAXIMIZED=FALSE&amp;creator=factset&amp;display_string=Audit"}</definedName>
    <definedName name="_1535__FDSAUDITLINK__" hidden="1">{"fdsup://Directions/FactSet Auditing Viewer?action=AUDIT_VALUE&amp;DB=129&amp;ID1=40621610&amp;VALUEID=01001&amp;SDATE=201002&amp;PERIODTYPE=QTR_STD&amp;window=popup_no_bar&amp;width=385&amp;height=120&amp;START_MAXIMIZED=FALSE&amp;creator=factset&amp;display_string=Audit"}</definedName>
    <definedName name="_1536__FDSAUDITLINK__" hidden="1">{"fdsup://Directions/FactSet Auditing Viewer?action=AUDIT_VALUE&amp;DB=129&amp;ID1=38480210&amp;VALUEID=01001&amp;SDATE=200902&amp;PERIODTYPE=QTR_STD&amp;window=popup_no_bar&amp;width=385&amp;height=120&amp;START_MAXIMIZED=FALSE&amp;creator=factset&amp;display_string=Audit"}</definedName>
    <definedName name="_1537__FDSAUDITLINK__" hidden="1">{"fdsup://Directions/FactSet Auditing Viewer?action=AUDIT_VALUE&amp;DB=129&amp;ID1=38480210&amp;VALUEID=01001&amp;SDATE=201002&amp;PERIODTYPE=QTR_STD&amp;window=popup_no_bar&amp;width=385&amp;height=120&amp;START_MAXIMIZED=FALSE&amp;creator=factset&amp;display_string=Audit"}</definedName>
    <definedName name="_1538__FDSAUDITLINK__" hidden="1">{"fdsup://Directions/FactSet Auditing Viewer?action=AUDIT_VALUE&amp;DB=129&amp;ID1=38255010&amp;VALUEID=01001&amp;SDATE=200902&amp;PERIODTYPE=QTR_STD&amp;window=popup_no_bar&amp;width=385&amp;height=120&amp;START_MAXIMIZED=FALSE&amp;creator=factset&amp;display_string=Audit"}</definedName>
    <definedName name="_1539__FDSAUDITLINK__" hidden="1">{"fdsup://Directions/FactSet Auditing Viewer?action=AUDIT_VALUE&amp;DB=129&amp;ID1=38255010&amp;VALUEID=01001&amp;SDATE=201002&amp;PERIODTYPE=QTR_STD&amp;window=popup_no_bar&amp;width=385&amp;height=120&amp;START_MAXIMIZED=FALSE&amp;creator=factset&amp;display_string=Audit"}</definedName>
    <definedName name="_154__FDSAUDITLINK__"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0__FDSAUDITLINK__" hidden="1">{"fdsup://Directions/FactSet Auditing Viewer?action=AUDIT_VALUE&amp;DB=129&amp;ID1=38141G10&amp;VALUEID=01001&amp;SDATE=200902&amp;PERIODTYPE=QTR_STD&amp;window=popup_no_bar&amp;width=385&amp;height=120&amp;START_MAXIMIZED=FALSE&amp;creator=factset&amp;display_string=Audit"}</definedName>
    <definedName name="_1541__FDSAUDITLINK__" hidden="1">{"fdsup://Directions/FactSet Auditing Viewer?action=AUDIT_VALUE&amp;DB=129&amp;ID1=38141G10&amp;VALUEID=01001&amp;SDATE=201002&amp;PERIODTYPE=QTR_STD&amp;window=popup_no_bar&amp;width=385&amp;height=120&amp;START_MAXIMIZED=FALSE&amp;creator=factset&amp;display_string=Audit"}</definedName>
    <definedName name="_1542__FDSAUDITLINK__" hidden="1">{"fdsup://Directions/FactSet Auditing Viewer?action=AUDIT_VALUE&amp;DB=129&amp;ID1=38238810&amp;VALUEID=01001&amp;SDATE=200902&amp;PERIODTYPE=QTR_STD&amp;window=popup_no_bar&amp;width=385&amp;height=120&amp;START_MAXIMIZED=FALSE&amp;creator=factset&amp;display_string=Audit"}</definedName>
    <definedName name="_1543__FDSAUDITLINK__" hidden="1">{"fdsup://Directions/FactSet Auditing Viewer?action=AUDIT_VALUE&amp;DB=129&amp;ID1=38238810&amp;VALUEID=01001&amp;SDATE=201002&amp;PERIODTYPE=QTR_STD&amp;window=popup_no_bar&amp;width=385&amp;height=120&amp;START_MAXIMIZED=FALSE&amp;creator=factset&amp;display_string=Audit"}</definedName>
    <definedName name="_15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545__FDSAUDITLINK__" hidden="1">{"fdsup://Directions/FactSet Auditing Viewer?action=AUDIT_VALUE&amp;DB=129&amp;ID1=37246010&amp;VALUEID=01001&amp;SDATE=200902&amp;PERIODTYPE=QTR_STD&amp;window=popup_no_bar&amp;width=385&amp;height=120&amp;START_MAXIMIZED=FALSE&amp;creator=factset&amp;display_string=Audit"}</definedName>
    <definedName name="_1546__FDSAUDITLINK__" hidden="1">{"fdsup://Directions/FactSet Auditing Viewer?action=AUDIT_VALUE&amp;DB=129&amp;ID1=37246010&amp;VALUEID=01001&amp;SDATE=201002&amp;PERIODTYPE=QTR_STD&amp;window=popup_no_bar&amp;width=385&amp;height=120&amp;START_MAXIMIZED=FALSE&amp;creator=factset&amp;display_string=Audit"}</definedName>
    <definedName name="_1547__FDSAUDITLINK__" hidden="1">{"fdsup://Directions/FactSet Auditing Viewer?action=AUDIT_VALUE&amp;DB=129&amp;ID1=38259P50&amp;VALUEID=01001&amp;SDATE=200902&amp;PERIODTYPE=QTR_STD&amp;window=popup_no_bar&amp;width=385&amp;height=120&amp;START_MAXIMIZED=FALSE&amp;creator=factset&amp;display_string=Audit"}</definedName>
    <definedName name="_1548__FDSAUDITLINK__" hidden="1">{"fdsup://Directions/FactSet Auditing Viewer?action=AUDIT_VALUE&amp;DB=129&amp;ID1=38259P50&amp;VALUEID=01001&amp;SDATE=201002&amp;PERIODTYPE=QTR_STD&amp;window=popup_no_bar&amp;width=385&amp;height=120&amp;START_MAXIMIZED=FALSE&amp;creator=factset&amp;display_string=Audit"}</definedName>
    <definedName name="_1549__FDSAUDITLINK__" hidden="1">{"fdsup://Directions/FactSet Auditing Viewer?action=AUDIT_VALUE&amp;DB=129&amp;ID1=37247D10&amp;VALUEID=01001&amp;SDATE=200902&amp;PERIODTYPE=QTR_STD&amp;window=popup_no_bar&amp;width=385&amp;height=120&amp;START_MAXIMIZED=FALSE&amp;creator=factset&amp;display_string=Audit"}</definedName>
    <definedName name="_155__FDSAUDITLINK__"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0__FDSAUDITLINK__" hidden="1">{"fdsup://Directions/FactSet Auditing Viewer?action=AUDIT_VALUE&amp;DB=129&amp;ID1=37247D10&amp;VALUEID=01001&amp;SDATE=201002&amp;PERIODTYPE=QTR_STD&amp;window=popup_no_bar&amp;width=385&amp;height=120&amp;START_MAXIMIZED=FALSE&amp;creator=factset&amp;display_string=Audit"}</definedName>
    <definedName name="_1551__FDSAUDITLINK__" hidden="1">{"fdsup://Directions/FactSet Auditing Viewer?action=AUDIT_VALUE&amp;DB=129&amp;ID1=36467W10&amp;VALUEID=01001&amp;SDATE=200901&amp;PERIODTYPE=QTR_STD&amp;window=popup_no_bar&amp;width=385&amp;height=120&amp;START_MAXIMIZED=FALSE&amp;creator=factset&amp;display_string=Audit"}</definedName>
    <definedName name="_1552__FDSAUDITLINK__" hidden="1">{"fdsup://Directions/FactSet Auditing Viewer?action=AUDIT_VALUE&amp;DB=129&amp;ID1=36467W10&amp;VALUEID=01001&amp;SDATE=201001&amp;PERIODTYPE=QTR_STD&amp;window=popup_no_bar&amp;width=385&amp;height=120&amp;START_MAXIMIZED=FALSE&amp;creator=factset&amp;display_string=Audit"}</definedName>
    <definedName name="_1553__FDSAUDITLINK__" hidden="1">{"fdsup://Directions/FactSet Auditing Viewer?action=AUDIT_VALUE&amp;DB=129&amp;ID1=21935010&amp;VALUEID=01001&amp;SDATE=200902&amp;PERIODTYPE=QTR_STD&amp;window=popup_no_bar&amp;width=385&amp;height=120&amp;START_MAXIMIZED=FALSE&amp;creator=factset&amp;display_string=Audit"}</definedName>
    <definedName name="_1554__FDSAUDITLINK__" hidden="1">{"fdsup://Directions/FactSet Auditing Viewer?action=AUDIT_VALUE&amp;DB=129&amp;ID1=21935010&amp;VALUEID=01001&amp;SDATE=201002&amp;PERIODTYPE=QTR_STD&amp;window=popup_no_bar&amp;width=385&amp;height=120&amp;START_MAXIMIZED=FALSE&amp;creator=factset&amp;display_string=Audit"}</definedName>
    <definedName name="_1555__FDSAUDITLINK__" hidden="1">{"fdsup://Directions/FactSet Auditing Viewer?action=AUDIT_VALUE&amp;DB=129&amp;ID1=37033410&amp;VALUEID=01001&amp;SDATE=200804&amp;PERIODTYPE=QTR_STD&amp;window=popup_no_bar&amp;width=385&amp;height=120&amp;START_MAXIMIZED=FALSE&amp;creator=factset&amp;display_string=Audit"}</definedName>
    <definedName name="_1556__FDSAUDITLINK__" hidden="1">{"fdsup://Directions/FactSet Auditing Viewer?action=AUDIT_VALUE&amp;DB=129&amp;ID1=37033410&amp;VALUEID=01001&amp;SDATE=200904&amp;PERIODTYPE=QTR_STD&amp;window=popup_no_bar&amp;width=385&amp;height=120&amp;START_MAXIMIZED=FALSE&amp;creator=factset&amp;display_string=Audit"}</definedName>
    <definedName name="_1557__FDSAUDITLINK__" hidden="1">{"fdsup://Directions/FactSet Auditing Viewer?action=AUDIT_VALUE&amp;DB=129&amp;ID1=37555810&amp;VALUEID=01001&amp;SDATE=200902&amp;PERIODTYPE=QTR_STD&amp;window=popup_no_bar&amp;width=385&amp;height=120&amp;START_MAXIMIZED=FALSE&amp;creator=factset&amp;display_string=Audit"}</definedName>
    <definedName name="_1558__FDSAUDITLINK__" hidden="1">{"fdsup://Directions/FactSet Auditing Viewer?action=AUDIT_VALUE&amp;DB=129&amp;ID1=37555810&amp;VALUEID=01001&amp;SDATE=201002&amp;PERIODTYPE=QTR_STD&amp;window=popup_no_bar&amp;width=385&amp;height=120&amp;START_MAXIMIZED=FALSE&amp;creator=factset&amp;display_string=Audit"}</definedName>
    <definedName name="_1559__FDSAUDITLINK__" hidden="1">{"fdsup://Directions/FactSet Auditing Viewer?action=AUDIT_VALUE&amp;DB=129&amp;ID1=37291710&amp;VALUEID=01001&amp;SDATE=200902&amp;PERIODTYPE=QTR_STD&amp;window=popup_no_bar&amp;width=385&amp;height=120&amp;START_MAXIMIZED=FALSE&amp;creator=factset&amp;display_string=Audit"}</definedName>
    <definedName name="_156__FDSAUDITLINK__"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0__FDSAUDITLINK__" hidden="1">{"fdsup://Directions/FactSet Auditing Viewer?action=AUDIT_VALUE&amp;DB=129&amp;ID1=37291710&amp;VALUEID=01001&amp;SDATE=201002&amp;PERIODTYPE=QTR_STD&amp;window=popup_no_bar&amp;width=385&amp;height=120&amp;START_MAXIMIZED=FALSE&amp;creator=factset&amp;display_string=Audit"}</definedName>
    <definedName name="_1561__FDSAUDITLINK__" hidden="1">{"fdsup://Directions/FactSet Auditing Viewer?action=AUDIT_VALUE&amp;DB=129&amp;ID1=36960410&amp;VALUEID=01001&amp;SDATE=200902&amp;PERIODTYPE=QTR_STD&amp;window=popup_no_bar&amp;width=385&amp;height=120&amp;START_MAXIMIZED=FALSE&amp;creator=factset&amp;display_string=Audit"}</definedName>
    <definedName name="_1562__FDSAUDITLINK__" hidden="1">{"fdsup://Directions/FactSet Auditing Viewer?action=AUDIT_VALUE&amp;DB=129&amp;ID1=36960410&amp;VALUEID=01001&amp;SDATE=201002&amp;PERIODTYPE=QTR_STD&amp;window=popup_no_bar&amp;width=385&amp;height=120&amp;START_MAXIMIZED=FALSE&amp;creator=factset&amp;display_string=Audit"}</definedName>
    <definedName name="_1563__FDSAUDITLINK__" hidden="1">{"fdsup://Directions/FactSet Auditing Viewer?action=AUDIT_VALUE&amp;DB=129&amp;ID1=36955010&amp;VALUEID=01001&amp;SDATE=200902&amp;PERIODTYPE=QTR_STD&amp;window=popup_no_bar&amp;width=385&amp;height=120&amp;START_MAXIMIZED=FALSE&amp;creator=factset&amp;display_string=Audit"}</definedName>
    <definedName name="_1564__FDSAUDITLINK__" hidden="1">{"fdsup://Directions/FactSet Auditing Viewer?action=AUDIT_VALUE&amp;DB=129&amp;ID1=36955010&amp;VALUEID=01001&amp;SDATE=201002&amp;PERIODTYPE=QTR_STD&amp;window=popup_no_bar&amp;width=385&amp;height=120&amp;START_MAXIMIZED=FALSE&amp;creator=factset&amp;display_string=Audit"}</definedName>
    <definedName name="_1565__FDSAUDITLINK__" hidden="1">{"fdsup://Directions/FactSet Auditing Viewer?action=AUDIT_VALUE&amp;DB=129&amp;ID1=36473010&amp;VALUEID=01001&amp;SDATE=200902&amp;PERIODTYPE=QTR_STD&amp;window=popup_no_bar&amp;width=385&amp;height=120&amp;START_MAXIMIZED=FALSE&amp;creator=factset&amp;display_string=Audit"}</definedName>
    <definedName name="_1566__FDSAUDITLINK__" hidden="1">{"fdsup://Directions/FactSet Auditing Viewer?action=AUDIT_VALUE&amp;DB=129&amp;ID1=36473010&amp;VALUEID=01001&amp;SDATE=201002&amp;PERIODTYPE=QTR_STD&amp;window=popup_no_bar&amp;width=385&amp;height=120&amp;START_MAXIMIZED=FALSE&amp;creator=factset&amp;display_string=Audit"}</definedName>
    <definedName name="_1567__FDSAUDITLINK__" hidden="1">{"fdsup://Directions/FactSet Auditing Viewer?action=AUDIT_VALUE&amp;DB=129&amp;ID1=65408610&amp;VALUEID=01001&amp;SDATE=200902&amp;PERIODTYPE=QTR_STD&amp;window=popup_no_bar&amp;width=385&amp;height=120&amp;START_MAXIMIZED=FALSE&amp;creator=factset&amp;display_string=Audit"}</definedName>
    <definedName name="_1568__FDSAUDITLINK__" hidden="1">{"fdsup://Directions/FactSet Auditing Viewer?action=AUDIT_VALUE&amp;DB=129&amp;ID1=65408610&amp;VALUEID=01001&amp;SDATE=201002&amp;PERIODTYPE=QTR_STD&amp;window=popup_no_bar&amp;width=385&amp;height=120&amp;START_MAXIMIZED=FALSE&amp;creator=factset&amp;display_string=Audit"}</definedName>
    <definedName name="_1569__FDSAUDITLINK__" hidden="1">{"fdsup://Directions/FactSet Auditing Viewer?action=AUDIT_VALUE&amp;DB=129&amp;ID1=35906A10&amp;VALUEID=01001&amp;SDATE=201002&amp;PERIODTYPE=QTR_STD&amp;window=popup_no_bar&amp;width=385&amp;height=120&amp;START_MAXIMIZED=FALSE&amp;creator=factset&amp;display_string=Audit"}</definedName>
    <definedName name="_157__FDSAUDITLINK__"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0__FDSAUDITLINK__" hidden="1">{"fdsup://Directions/FactSet Auditing Viewer?action=AUDIT_VALUE&amp;DB=129&amp;ID1=30249U10&amp;VALUEID=01001&amp;SDATE=200902&amp;PERIODTYPE=QTR_STD&amp;window=popup_no_bar&amp;width=385&amp;height=120&amp;START_MAXIMIZED=FALSE&amp;creator=factset&amp;display_string=Audit"}</definedName>
    <definedName name="_1571__FDSAUDITLINK__" hidden="1">{"fdsup://Directions/FactSet Auditing Viewer?action=AUDIT_VALUE&amp;DB=129&amp;ID1=30249U10&amp;VALUEID=01001&amp;SDATE=201002&amp;PERIODTYPE=QTR_STD&amp;window=popup_no_bar&amp;width=385&amp;height=120&amp;START_MAXIMIZED=FALSE&amp;creator=factset&amp;display_string=Audit"}</definedName>
    <definedName name="_1572__FDSAUDITLINK__" hidden="1">{"fdsup://Directions/FactSet Auditing Viewer?action=AUDIT_VALUE&amp;DB=129&amp;ID1=33643310&amp;VALUEID=01001&amp;SDATE=200902&amp;PERIODTYPE=QTR_STD&amp;window=popup_no_bar&amp;width=385&amp;height=120&amp;START_MAXIMIZED=FALSE&amp;creator=factset&amp;display_string=Audit"}</definedName>
    <definedName name="_1573__FDSAUDITLINK__" hidden="1">{"fdsup://Directions/FactSet Auditing Viewer?action=AUDIT_VALUE&amp;DB=129&amp;ID1=33643310&amp;VALUEID=01001&amp;SDATE=201002&amp;PERIODTYPE=QTR_STD&amp;window=popup_no_bar&amp;width=385&amp;height=120&amp;START_MAXIMIZED=FALSE&amp;creator=factset&amp;display_string=Audit"}</definedName>
    <definedName name="_1574__FDSAUDITLINK__" hidden="1">{"fdsup://Directions/FactSet Auditing Viewer?action=AUDIT_VALUE&amp;DB=129&amp;ID1=34583810&amp;VALUEID=01001&amp;SDATE=200901&amp;PERIODTYPE=QTR_STD&amp;window=popup_no_bar&amp;width=385&amp;height=120&amp;START_MAXIMIZED=FALSE&amp;creator=factset&amp;display_string=Audit"}</definedName>
    <definedName name="_1575__FDSAUDITLINK__" hidden="1">{"fdsup://Directions/FactSet Auditing Viewer?action=AUDIT_VALUE&amp;DB=129&amp;ID1=34583810&amp;VALUEID=01001&amp;SDATE=201001&amp;PERIODTYPE=QTR_STD&amp;window=popup_no_bar&amp;width=385&amp;height=120&amp;START_MAXIMIZED=FALSE&amp;creator=factset&amp;display_string=Audit"}</definedName>
    <definedName name="_1576__FDSAUDITLINK__" hidden="1">{"fdsup://Directions/FactSet Auditing Viewer?action=AUDIT_VALUE&amp;DB=129&amp;ID1=34963110&amp;VALUEID=01001&amp;SDATE=200902&amp;PERIODTYPE=QTR_STD&amp;window=popup_no_bar&amp;width=385&amp;height=120&amp;START_MAXIMIZED=FALSE&amp;creator=factset&amp;display_string=Audit"}</definedName>
    <definedName name="_1577__FDSAUDITLINK__" hidden="1">{"fdsup://Directions/FactSet Auditing Viewer?action=AUDIT_VALUE&amp;DB=129&amp;ID1=34963110&amp;VALUEID=01001&amp;SDATE=201002&amp;PERIODTYPE=QTR_STD&amp;window=popup_no_bar&amp;width=385&amp;height=120&amp;START_MAXIMIZED=FALSE&amp;creator=factset&amp;display_string=Audit"}</definedName>
    <definedName name="_1578__FDSAUDITLINK__" hidden="1">{"fdsup://Directions/FactSet Auditing Viewer?action=AUDIT_VALUE&amp;DB=129&amp;ID1=30249130&amp;VALUEID=01001&amp;SDATE=200902&amp;PERIODTYPE=QTR_STD&amp;window=popup_no_bar&amp;width=385&amp;height=120&amp;START_MAXIMIZED=FALSE&amp;creator=factset&amp;display_string=Audit"}</definedName>
    <definedName name="_1579__FDSAUDITLINK__" hidden="1">{"fdsup://Directions/FactSet Auditing Viewer?action=AUDIT_VALUE&amp;DB=129&amp;ID1=30249130&amp;VALUEID=01001&amp;SDATE=201002&amp;PERIODTYPE=QTR_STD&amp;window=popup_no_bar&amp;width=385&amp;height=120&amp;START_MAXIMIZED=FALSE&amp;creator=factset&amp;display_string=Audit"}</definedName>
    <definedName name="_158__FDSAUDITLINK__"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0__FDSAUDITLINK__" hidden="1">{"fdsup://Directions/FactSet Auditing Viewer?action=AUDIT_VALUE&amp;DB=129&amp;ID1=34354P10&amp;VALUEID=01001&amp;SDATE=200902&amp;PERIODTYPE=QTR_STD&amp;window=popup_no_bar&amp;width=385&amp;height=120&amp;START_MAXIMIZED=FALSE&amp;creator=factset&amp;display_string=Audit"}</definedName>
    <definedName name="_1581__FDSAUDITLINK__" hidden="1">{"fdsup://Directions/FactSet Auditing Viewer?action=AUDIT_VALUE&amp;DB=129&amp;ID1=34354P10&amp;VALUEID=01001&amp;SDATE=201002&amp;PERIODTYPE=QTR_STD&amp;window=popup_no_bar&amp;width=385&amp;height=120&amp;START_MAXIMIZED=FALSE&amp;creator=factset&amp;display_string=Audit"}</definedName>
    <definedName name="_1582__FDSAUDITLINK__" hidden="1">{"fdsup://Directions/FactSet Auditing Viewer?action=AUDIT_VALUE&amp;DB=129&amp;ID1=34341210&amp;VALUEID=01001&amp;SDATE=200902&amp;PERIODTYPE=QTR_STD&amp;window=popup_no_bar&amp;width=385&amp;height=120&amp;START_MAXIMIZED=FALSE&amp;creator=factset&amp;display_string=Audit"}</definedName>
    <definedName name="_1583__FDSAUDITLINK__" hidden="1">{"fdsup://Directions/FactSet Auditing Viewer?action=AUDIT_VALUE&amp;DB=129&amp;ID1=34341210&amp;VALUEID=01001&amp;SDATE=201002&amp;PERIODTYPE=QTR_STD&amp;window=popup_no_bar&amp;width=385&amp;height=120&amp;START_MAXIMIZED=FALSE&amp;creator=factset&amp;display_string=Audit"}</definedName>
    <definedName name="_1584__FDSAUDITLINK__" hidden="1">{"fdsup://Directions/FactSet Auditing Viewer?action=AUDIT_VALUE&amp;DB=129&amp;ID1=30244510&amp;VALUEID=01001&amp;SDATE=200902&amp;PERIODTYPE=QTR_STD&amp;window=popup_no_bar&amp;width=385&amp;height=120&amp;START_MAXIMIZED=FALSE&amp;creator=factset&amp;display_string=Audit"}</definedName>
    <definedName name="_1585__FDSAUDITLINK__" hidden="1">{"fdsup://Directions/FactSet Auditing Viewer?action=AUDIT_VALUE&amp;DB=129&amp;ID1=30244510&amp;VALUEID=01001&amp;SDATE=201002&amp;PERIODTYPE=QTR_STD&amp;window=popup_no_bar&amp;width=385&amp;height=120&amp;START_MAXIMIZED=FALSE&amp;creator=factset&amp;display_string=Audit"}</definedName>
    <definedName name="_1586__FDSAUDITLINK__" hidden="1">{"fdsup://Directions/FactSet Auditing Viewer?action=AUDIT_VALUE&amp;DB=129&amp;ID1=33773810&amp;VALUEID=01001&amp;SDATE=200902&amp;PERIODTYPE=QTR_STD&amp;window=popup_no_bar&amp;width=385&amp;height=120&amp;START_MAXIMIZED=FALSE&amp;creator=factset&amp;display_string=Audit"}</definedName>
    <definedName name="_1587__FDSAUDITLINK__" hidden="1">{"fdsup://Directions/FactSet Auditing Viewer?action=AUDIT_VALUE&amp;DB=129&amp;ID1=33773810&amp;VALUEID=01001&amp;SDATE=201002&amp;PERIODTYPE=QTR_STD&amp;window=popup_no_bar&amp;width=385&amp;height=120&amp;START_MAXIMIZED=FALSE&amp;creator=factset&amp;display_string=Audit"}</definedName>
    <definedName name="_1588__FDSAUDITLINK__" hidden="1">{"fdsup://Directions/FactSet Auditing Viewer?action=AUDIT_VALUE&amp;DB=129&amp;ID1=31620M10&amp;VALUEID=01001&amp;SDATE=200902&amp;PERIODTYPE=QTR_STD&amp;window=popup_no_bar&amp;width=385&amp;height=120&amp;START_MAXIMIZED=FALSE&amp;creator=factset&amp;display_string=Audit"}</definedName>
    <definedName name="_1589__FDSAUDITLINK__" hidden="1">{"fdsup://Directions/FactSet Auditing Viewer?action=AUDIT_VALUE&amp;DB=129&amp;ID1=31620M10&amp;VALUEID=01001&amp;SDATE=201002&amp;PERIODTYPE=QTR_STD&amp;window=popup_no_bar&amp;width=385&amp;height=120&amp;START_MAXIMIZED=FALSE&amp;creator=factset&amp;display_string=Audit"}</definedName>
    <definedName name="_159__FDSAUDITLINK__"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0__FDSAUDITLINK__" hidden="1">{"fdsup://Directions/FactSet Auditing Viewer?action=AUDIT_VALUE&amp;DB=129&amp;ID1=31421110&amp;VALUEID=01001&amp;SDATE=200902&amp;PERIODTYPE=QTR_STD&amp;window=popup_no_bar&amp;width=385&amp;height=120&amp;START_MAXIMIZED=FALSE&amp;creator=factset&amp;display_string=Audit"}</definedName>
    <definedName name="_1591__FDSAUDITLINK__" hidden="1">{"fdsup://Directions/FactSet Auditing Viewer?action=AUDIT_VALUE&amp;DB=129&amp;ID1=31421110&amp;VALUEID=01001&amp;SDATE=201002&amp;PERIODTYPE=QTR_STD&amp;window=popup_no_bar&amp;width=385&amp;height=120&amp;START_MAXIMIZED=FALSE&amp;creator=factset&amp;display_string=Audit"}</definedName>
    <definedName name="_1592__FDSAUDITLINK__" hidden="1">{"fdsup://Directions/FactSet Auditing Viewer?action=AUDIT_VALUE&amp;DB=129&amp;ID1=33793210&amp;VALUEID=01001&amp;SDATE=201002&amp;PERIODTYPE=QTR_STD&amp;window=popup_no_bar&amp;width=385&amp;height=120&amp;START_MAXIMIZED=FALSE&amp;creator=factset&amp;display_string=Audit"}</definedName>
    <definedName name="_1593__FDSAUDITLINK__" hidden="1">{"fdsup://Directions/FactSet Auditing Viewer?action=AUDIT_VALUE&amp;DB=129&amp;ID1=31428X10&amp;VALUEID=01001&amp;SDATE=200804&amp;PERIODTYPE=QTR_STD&amp;window=popup_no_bar&amp;width=385&amp;height=120&amp;START_MAXIMIZED=FALSE&amp;creator=factset&amp;display_string=Audit"}</definedName>
    <definedName name="_1594__FDSAUDITLINK__" hidden="1">{"fdsup://Directions/FactSet Auditing Viewer?action=AUDIT_VALUE&amp;DB=129&amp;ID1=31428X10&amp;VALUEID=01001&amp;SDATE=200904&amp;PERIODTYPE=QTR_STD&amp;window=popup_no_bar&amp;width=385&amp;height=120&amp;START_MAXIMIZED=FALSE&amp;creator=factset&amp;display_string=Audit"}</definedName>
    <definedName name="_1595__FDSAUDITLINK__" hidden="1">{"fdsup://Directions/FactSet Auditing Viewer?action=AUDIT_VALUE&amp;DB=129&amp;ID1=30700010&amp;VALUEID=01001&amp;SDATE=200903&amp;PERIODTYPE=QTR_STD&amp;window=popup_no_bar&amp;width=385&amp;height=120&amp;START_MAXIMIZED=FALSE&amp;creator=factset&amp;display_string=Audit"}</definedName>
    <definedName name="_1596__FDSAUDITLINK__" hidden="1">{"fdsup://Directions/FactSet Auditing Viewer?action=AUDIT_VALUE&amp;DB=129&amp;ID1=30700010&amp;VALUEID=01001&amp;SDATE=201003&amp;PERIODTYPE=QTR_STD&amp;window=popup_no_bar&amp;width=385&amp;height=120&amp;START_MAXIMIZED=FALSE&amp;creator=factset&amp;display_string=Audit"}</definedName>
    <definedName name="_1597__FDSAUDITLINK__" hidden="1">{"fdsup://Directions/FactSet Auditing Viewer?action=AUDIT_VALUE&amp;DB=129&amp;ID1=35671D85&amp;VALUEID=01001&amp;SDATE=200902&amp;PERIODTYPE=QTR_STD&amp;window=popup_no_bar&amp;width=385&amp;height=120&amp;START_MAXIMIZED=FALSE&amp;creator=factset&amp;display_string=Audit"}</definedName>
    <definedName name="_1598__FDSAUDITLINK__" hidden="1">{"fdsup://Directions/FactSet Auditing Viewer?action=AUDIT_VALUE&amp;DB=129&amp;ID1=35671D85&amp;VALUEID=01001&amp;SDATE=201002&amp;PERIODTYPE=QTR_STD&amp;window=popup_no_bar&amp;width=385&amp;height=120&amp;START_MAXIMIZED=FALSE&amp;creator=factset&amp;display_string=Audit"}</definedName>
    <definedName name="_1599__FDSAUDITLINK__" hidden="1">{"fdsup://Directions/FactSet Auditing Viewer?action=AUDIT_VALUE&amp;DB=129&amp;ID1=31190010&amp;VALUEID=01001&amp;SDATE=200902&amp;PERIODTYPE=QTR_STD&amp;window=popup_no_bar&amp;width=385&amp;height=120&amp;START_MAXIMIZED=FALSE&amp;creator=factset&amp;display_string=Audit"}</definedName>
    <definedName name="_16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160__FDSAUDITLINK__"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0__FDSAUDITLINK__" hidden="1">{"fdsup://Directions/FactSet Auditing Viewer?action=AUDIT_VALUE&amp;DB=129&amp;ID1=31190010&amp;VALUEID=01001&amp;SDATE=201002&amp;PERIODTYPE=QTR_STD&amp;window=popup_no_bar&amp;width=385&amp;height=120&amp;START_MAXIMIZED=FALSE&amp;creator=factset&amp;display_string=Audit"}</definedName>
    <definedName name="_1601__FDSAUDITLINK__" hidden="1">{"fdsup://Directions/FactSet Auditing Viewer?action=AUDIT_VALUE&amp;DB=129&amp;ID1=34537086&amp;VALUEID=01001&amp;SDATE=200902&amp;PERIODTYPE=QTR_STD&amp;window=popup_no_bar&amp;width=385&amp;height=120&amp;START_MAXIMIZED=FALSE&amp;creator=factset&amp;display_string=Audit"}</definedName>
    <definedName name="_1602__FDSAUDITLINK__" hidden="1">{"fdsup://Directions/FactSet Auditing Viewer?action=AUDIT_VALUE&amp;DB=129&amp;ID1=34537086&amp;VALUEID=01001&amp;SDATE=201002&amp;PERIODTYPE=QTR_STD&amp;window=popup_no_bar&amp;width=385&amp;height=120&amp;START_MAXIMIZED=FALSE&amp;creator=factset&amp;display_string=Audit"}</definedName>
    <definedName name="_1603__FDSAUDITLINK__" hidden="1">{"fdsup://Directions/FactSet Auditing Viewer?action=AUDIT_VALUE&amp;DB=129&amp;ID1=30212P10&amp;VALUEID=01001&amp;SDATE=200902&amp;PERIODTYPE=QTR_STD&amp;window=popup_no_bar&amp;width=385&amp;height=120&amp;START_MAXIMIZED=FALSE&amp;creator=factset&amp;display_string=Audit"}</definedName>
    <definedName name="_1604__FDSAUDITLINK__" hidden="1">{"fdsup://Directions/FactSet Auditing Viewer?action=AUDIT_VALUE&amp;DB=129&amp;ID1=30212P10&amp;VALUEID=01001&amp;SDATE=201002&amp;PERIODTYPE=QTR_STD&amp;window=popup_no_bar&amp;width=385&amp;height=120&amp;START_MAXIMIZED=FALSE&amp;creator=factset&amp;display_string=Audit"}</definedName>
    <definedName name="_1605__FDSAUDITLINK__" hidden="1">{"fdsup://Directions/FactSet Auditing Viewer?action=AUDIT_VALUE&amp;DB=129&amp;ID1=30213010&amp;VALUEID=01001&amp;SDATE=200902&amp;PERIODTYPE=QTR_STD&amp;window=popup_no_bar&amp;width=385&amp;height=120&amp;START_MAXIMIZED=FALSE&amp;creator=factset&amp;display_string=Audit"}</definedName>
    <definedName name="_1606__FDSAUDITLINK__" hidden="1">{"fdsup://Directions/FactSet Auditing Viewer?action=AUDIT_VALUE&amp;DB=129&amp;ID1=30213010&amp;VALUEID=01001&amp;SDATE=201002&amp;PERIODTYPE=QTR_STD&amp;window=popup_no_bar&amp;width=385&amp;height=120&amp;START_MAXIMIZED=FALSE&amp;creator=factset&amp;display_string=Audit"}</definedName>
    <definedName name="_1607__FDSAUDITLINK__" hidden="1">{"fdsup://Directions/FactSet Auditing Viewer?action=AUDIT_VALUE&amp;DB=129&amp;ID1=30161N10&amp;VALUEID=01001&amp;SDATE=200902&amp;PERIODTYPE=QTR_STD&amp;window=popup_no_bar&amp;width=385&amp;height=120&amp;START_MAXIMIZED=FALSE&amp;creator=factset&amp;display_string=Audit"}</definedName>
    <definedName name="_1608__FDSAUDITLINK__" hidden="1">{"fdsup://Directions/FactSet Auditing Viewer?action=AUDIT_VALUE&amp;DB=129&amp;ID1=30161N10&amp;VALUEID=01001&amp;SDATE=201002&amp;PERIODTYPE=QTR_STD&amp;window=popup_no_bar&amp;width=385&amp;height=120&amp;START_MAXIMIZED=FALSE&amp;creator=factset&amp;display_string=Audit"}</definedName>
    <definedName name="_1609__FDSAUDITLINK__" hidden="1">{"fdsup://Directions/FactSet Auditing Viewer?action=AUDIT_VALUE&amp;DB=129&amp;ID1=29364G10&amp;VALUEID=01001&amp;SDATE=200902&amp;PERIODTYPE=QTR_STD&amp;window=popup_no_bar&amp;width=385&amp;height=120&amp;START_MAXIMIZED=FALSE&amp;creator=factset&amp;display_string=Audit"}</definedName>
    <definedName name="_161__FDSAUDITLINK__"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0__FDSAUDITLINK__" hidden="1">{"fdsup://Directions/FactSet Auditing Viewer?action=AUDIT_VALUE&amp;DB=129&amp;ID1=29364G10&amp;VALUEID=01001&amp;SDATE=201002&amp;PERIODTYPE=QTR_STD&amp;window=popup_no_bar&amp;width=385&amp;height=120&amp;START_MAXIMIZED=FALSE&amp;creator=factset&amp;display_string=Audit"}</definedName>
    <definedName name="_1611__FDSAUDITLINK__" hidden="1">{"fdsup://Directions/FactSet Auditing Viewer?action=AUDIT_VALUE&amp;DB=129&amp;ID1=27805810&amp;VALUEID=01001&amp;SDATE=200902&amp;PERIODTYPE=QTR_STD&amp;window=popup_no_bar&amp;width=385&amp;height=120&amp;START_MAXIMIZED=FALSE&amp;creator=factset&amp;display_string=Audit"}</definedName>
    <definedName name="_1612__FDSAUDITLINK__" hidden="1">{"fdsup://Directions/FactSet Auditing Viewer?action=AUDIT_VALUE&amp;DB=129&amp;ID1=27805810&amp;VALUEID=01001&amp;SDATE=201002&amp;PERIODTYPE=QTR_STD&amp;window=popup_no_bar&amp;width=385&amp;height=120&amp;START_MAXIMIZED=FALSE&amp;creator=factset&amp;display_string=Audit"}</definedName>
    <definedName name="_1613__FDSAUDITLINK__" hidden="1">{"fdsup://Directions/FactSet Auditing Viewer?action=AUDIT_VALUE&amp;DB=129&amp;ID1=26924640&amp;VALUEID=01001&amp;SDATE=200902&amp;PERIODTYPE=QTR_STD&amp;window=popup_no_bar&amp;width=385&amp;height=120&amp;START_MAXIMIZED=FALSE&amp;creator=factset&amp;display_string=Audit"}</definedName>
    <definedName name="_1614__FDSAUDITLINK__" hidden="1">{"fdsup://Directions/FactSet Auditing Viewer?action=AUDIT_VALUE&amp;DB=129&amp;ID1=26924640&amp;VALUEID=01001&amp;SDATE=201002&amp;PERIODTYPE=QTR_STD&amp;window=popup_no_bar&amp;width=385&amp;height=120&amp;START_MAXIMIZED=FALSE&amp;creator=factset&amp;display_string=Audit"}</definedName>
    <definedName name="_1615__FDSAUDITLINK__" hidden="1">{"fdsup://Directions/FactSet Auditing Viewer?action=AUDIT_VALUE&amp;DB=129&amp;ID1=30218210&amp;VALUEID=01001&amp;SDATE=200902&amp;PERIODTYPE=QTR_STD&amp;window=popup_no_bar&amp;width=385&amp;height=120&amp;START_MAXIMIZED=FALSE&amp;creator=factset&amp;display_string=Audit"}</definedName>
    <definedName name="_1616__FDSAUDITLINK__" hidden="1">{"fdsup://Directions/FactSet Auditing Viewer?action=AUDIT_VALUE&amp;DB=129&amp;ID1=30218210&amp;VALUEID=01001&amp;SDATE=201002&amp;PERIODTYPE=QTR_STD&amp;window=popup_no_bar&amp;width=385&amp;height=120&amp;START_MAXIMIZED=FALSE&amp;creator=factset&amp;display_string=Audit"}</definedName>
    <definedName name="_1617__FDSAUDITLINK__" hidden="1">{"fdsup://Directions/FactSet Auditing Viewer?action=AUDIT_VALUE&amp;DB=129&amp;ID1=28551210&amp;VALUEID=01001&amp;SDATE=200901&amp;PERIODTYPE=QTR_STD&amp;window=popup_no_bar&amp;width=385&amp;height=120&amp;START_MAXIMIZED=FALSE&amp;creator=factset&amp;display_string=Audit"}</definedName>
    <definedName name="_1618__FDSAUDITLINK__" hidden="1">{"fdsup://Directions/FactSet Auditing Viewer?action=AUDIT_VALUE&amp;DB=129&amp;ID1=28551210&amp;VALUEID=01001&amp;SDATE=201001&amp;PERIODTYPE=QTR_STD&amp;window=popup_no_bar&amp;width=385&amp;height=120&amp;START_MAXIMIZED=FALSE&amp;creator=factset&amp;display_string=Audit"}</definedName>
    <definedName name="_1619__FDSAUDITLINK__" hidden="1">{"fdsup://Directions/FactSet Auditing Viewer?action=AUDIT_VALUE&amp;DB=129&amp;ID1=26884L10&amp;VALUEID=01001&amp;SDATE=201002&amp;PERIODTYPE=QTR_STD&amp;window=popup_no_bar&amp;width=385&amp;height=120&amp;START_MAXIMIZED=FALSE&amp;creator=factset&amp;display_string=Audit"}</definedName>
    <definedName name="_162__FDSAUDITLINK__"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0__FDSAUDITLINK__" hidden="1">{"fdsup://Directions/FactSet Auditing Viewer?action=AUDIT_VALUE&amp;DB=129&amp;ID1=29476L10&amp;VALUEID=01001&amp;SDATE=200902&amp;PERIODTYPE=QTR_STD&amp;window=popup_no_bar&amp;width=385&amp;height=120&amp;START_MAXIMIZED=FALSE&amp;creator=factset&amp;display_string=Audit"}</definedName>
    <definedName name="_1621__FDSAUDITLINK__" hidden="1">{"fdsup://Directions/FactSet Auditing Viewer?action=AUDIT_VALUE&amp;DB=129&amp;ID1=29476L10&amp;VALUEID=01001&amp;SDATE=201002&amp;PERIODTYPE=QTR_STD&amp;window=popup_no_bar&amp;width=385&amp;height=120&amp;START_MAXIMIZED=FALSE&amp;creator=factset&amp;display_string=Audit"}</definedName>
    <definedName name="_1622__FDSAUDITLINK__" hidden="1">{"fdsup://Directions/FactSet Auditing Viewer?action=AUDIT_VALUE&amp;DB=129&amp;ID1=28336L10&amp;VALUEID=01001&amp;SDATE=200902&amp;PERIODTYPE=QTR_STD&amp;window=popup_no_bar&amp;width=385&amp;height=120&amp;START_MAXIMIZED=FALSE&amp;creator=factset&amp;display_string=Audit"}</definedName>
    <definedName name="_1623__FDSAUDITLINK__" hidden="1">{"fdsup://Directions/FactSet Auditing Viewer?action=AUDIT_VALUE&amp;DB=129&amp;ID1=28336L10&amp;VALUEID=01001&amp;SDATE=201002&amp;PERIODTYPE=QTR_STD&amp;window=popup_no_bar&amp;width=385&amp;height=120&amp;START_MAXIMIZED=FALSE&amp;creator=factset&amp;display_string=Audit"}</definedName>
    <definedName name="_1624__FDSAUDITLINK__" hidden="1">{"fdsup://Directions/FactSet Auditing Viewer?action=AUDIT_VALUE&amp;DB=129&amp;ID1=26875P10&amp;VALUEID=01001&amp;SDATE=200902&amp;PERIODTYPE=QTR_STD&amp;window=popup_no_bar&amp;width=385&amp;height=120&amp;START_MAXIMIZED=FALSE&amp;creator=factset&amp;display_string=Audit"}</definedName>
    <definedName name="_1625__FDSAUDITLINK__" hidden="1">{"fdsup://Directions/FactSet Auditing Viewer?action=AUDIT_VALUE&amp;DB=129&amp;ID1=26875P10&amp;VALUEID=01001&amp;SDATE=201002&amp;PERIODTYPE=QTR_STD&amp;window=popup_no_bar&amp;width=385&amp;height=120&amp;START_MAXIMIZED=FALSE&amp;creator=factset&amp;display_string=Audit"}</definedName>
    <definedName name="_1626__FDSAUDITLINK__" hidden="1">{"fdsup://Directions/FactSet Auditing Viewer?action=AUDIT_VALUE&amp;DB=129&amp;ID1=29101110&amp;VALUEID=01001&amp;SDATE=200903&amp;PERIODTYPE=QTR_STD&amp;window=popup_no_bar&amp;width=385&amp;height=120&amp;START_MAXIMIZED=FALSE&amp;creator=factset&amp;display_string=Audit"}</definedName>
    <definedName name="_1627__FDSAUDITLINK__" hidden="1">{"fdsup://Directions/FactSet Auditing Viewer?action=AUDIT_VALUE&amp;DB=129&amp;ID1=29101110&amp;VALUEID=01001&amp;SDATE=201003&amp;PERIODTYPE=QTR_STD&amp;window=popup_no_bar&amp;width=385&amp;height=120&amp;START_MAXIMIZED=FALSE&amp;creator=factset&amp;display_string=Audit"}</definedName>
    <definedName name="_1628__FDSAUDITLINK__" hidden="1">{"fdsup://Directions/FactSet Auditing Viewer?action=AUDIT_VALUE&amp;DB=129&amp;ID1=27743210&amp;VALUEID=01001&amp;SDATE=200902&amp;PERIODTYPE=QTR_STD&amp;window=popup_no_bar&amp;width=385&amp;height=120&amp;START_MAXIMIZED=FALSE&amp;creator=factset&amp;display_string=Audit"}</definedName>
    <definedName name="_1629__FDSAUDITLINK__" hidden="1">{"fdsup://Directions/FactSet Auditing Viewer?action=AUDIT_VALUE&amp;DB=129&amp;ID1=27743210&amp;VALUEID=01001&amp;SDATE=201002&amp;PERIODTYPE=QTR_STD&amp;window=popup_no_bar&amp;width=385&amp;height=120&amp;START_MAXIMIZED=FALSE&amp;creator=factset&amp;display_string=Audit"}</definedName>
    <definedName name="_163__FDSAUDITLINK__"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0__FDSAUDITLINK__" hidden="1">{"fdsup://Directions/FactSet Auditing Viewer?action=AUDIT_VALUE&amp;DB=129&amp;ID1=26864810&amp;VALUEID=01001&amp;SDATE=200902&amp;PERIODTYPE=QTR_STD&amp;window=popup_no_bar&amp;width=385&amp;height=120&amp;START_MAXIMIZED=FALSE&amp;creator=factset&amp;display_string=Audit"}</definedName>
    <definedName name="_1631__FDSAUDITLINK__" hidden="1">{"fdsup://Directions/FactSet Auditing Viewer?action=AUDIT_VALUE&amp;DB=129&amp;ID1=26864810&amp;VALUEID=01001&amp;SDATE=201002&amp;PERIODTYPE=QTR_STD&amp;window=popup_no_bar&amp;width=385&amp;height=120&amp;START_MAXIMIZED=FALSE&amp;creator=factset&amp;display_string=Audit"}</definedName>
    <definedName name="_1632__FDSAUDITLINK__" hidden="1">{"fdsup://Directions/FactSet Auditing Viewer?action=AUDIT_VALUE&amp;DB=129&amp;ID1=51843910&amp;VALUEID=01001&amp;SDATE=201004&amp;PERIODTYPE=QTR_STD&amp;window=popup_no_bar&amp;width=385&amp;height=120&amp;START_MAXIMIZED=FALSE&amp;creator=factset&amp;display_string=Audit"}</definedName>
    <definedName name="_1633__FDSAUDITLINK__" hidden="1">{"fdsup://Directions/FactSet Auditing Viewer?action=AUDIT_VALUE&amp;DB=129&amp;ID1=27746110&amp;VALUEID=01001&amp;SDATE=200902&amp;PERIODTYPE=QTR_STD&amp;window=popup_no_bar&amp;width=385&amp;height=120&amp;START_MAXIMIZED=FALSE&amp;creator=factset&amp;display_string=Audit"}</definedName>
    <definedName name="_1634__FDSAUDITLINK__" hidden="1">{"fdsup://Directions/FactSet Auditing Viewer?action=AUDIT_VALUE&amp;DB=129&amp;ID1=27746110&amp;VALUEID=01001&amp;SDATE=201002&amp;PERIODTYPE=QTR_STD&amp;window=popup_no_bar&amp;width=385&amp;height=120&amp;START_MAXIMIZED=FALSE&amp;creator=factset&amp;display_string=Audit"}</definedName>
    <definedName name="_1635__FDSAUDITLINK__" hidden="1">{"fdsup://Directions/FactSet Auditing Viewer?action=AUDIT_VALUE&amp;DB=129&amp;ID1=28102010&amp;VALUEID=01001&amp;SDATE=200902&amp;PERIODTYPE=QTR_STD&amp;window=popup_no_bar&amp;width=385&amp;height=120&amp;START_MAXIMIZED=FALSE&amp;creator=factset&amp;display_string=Audit"}</definedName>
    <definedName name="_1636__FDSAUDITLINK__" hidden="1">{"fdsup://Directions/FactSet Auditing Viewer?action=AUDIT_VALUE&amp;DB=129&amp;ID1=28102010&amp;VALUEID=01001&amp;SDATE=201002&amp;PERIODTYPE=QTR_STD&amp;window=popup_no_bar&amp;width=385&amp;height=120&amp;START_MAXIMIZED=FALSE&amp;creator=factset&amp;display_string=Audit"}</definedName>
    <definedName name="_1637__FDSAUDITLINK__" hidden="1">{"fdsup://Directions/FactSet Auditing Viewer?action=AUDIT_VALUE&amp;DB=129&amp;ID1=29442910&amp;VALUEID=01001&amp;SDATE=200902&amp;PERIODTYPE=QTR_STD&amp;window=popup_no_bar&amp;width=385&amp;height=120&amp;START_MAXIMIZED=FALSE&amp;creator=factset&amp;display_string=Audit"}</definedName>
    <definedName name="_1638__FDSAUDITLINK__" hidden="1">{"fdsup://Directions/FactSet Auditing Viewer?action=AUDIT_VALUE&amp;DB=129&amp;ID1=29442910&amp;VALUEID=01001&amp;SDATE=201002&amp;PERIODTYPE=QTR_STD&amp;window=popup_no_bar&amp;width=385&amp;height=120&amp;START_MAXIMIZED=FALSE&amp;creator=factset&amp;display_string=Audit"}</definedName>
    <definedName name="_1639__FDSAUDITLINK__" hidden="1">{"fdsup://Directions/FactSet Auditing Viewer?action=AUDIT_VALUE&amp;DB=129&amp;ID1=20911510&amp;VALUEID=01001&amp;SDATE=200902&amp;PERIODTYPE=QTR_STD&amp;window=popup_no_bar&amp;width=385&amp;height=120&amp;START_MAXIMIZED=FALSE&amp;creator=factset&amp;display_string=Audit"}</definedName>
    <definedName name="_164__FDSAUDITLINK__"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0__FDSAUDITLINK__" hidden="1">{"fdsup://Directions/FactSet Auditing Viewer?action=AUDIT_VALUE&amp;DB=129&amp;ID1=20911510&amp;VALUEID=01001&amp;SDATE=201002&amp;PERIODTYPE=QTR_STD&amp;window=popup_no_bar&amp;width=385&amp;height=120&amp;START_MAXIMIZED=FALSE&amp;creator=factset&amp;display_string=Audit"}</definedName>
    <definedName name="_1641__FDSAUDITLINK__" hidden="1">{"fdsup://Directions/FactSet Auditing Viewer?action=AUDIT_VALUE&amp;DB=129&amp;ID1=27886510&amp;VALUEID=01001&amp;SDATE=200902&amp;PERIODTYPE=QTR_STD&amp;window=popup_no_bar&amp;width=385&amp;height=120&amp;START_MAXIMIZED=FALSE&amp;creator=factset&amp;display_string=Audit"}</definedName>
    <definedName name="_1642__FDSAUDITLINK__" hidden="1">{"fdsup://Directions/FactSet Auditing Viewer?action=AUDIT_VALUE&amp;DB=129&amp;ID1=27886510&amp;VALUEID=01001&amp;SDATE=201002&amp;PERIODTYPE=QTR_STD&amp;window=popup_no_bar&amp;width=385&amp;height=120&amp;START_MAXIMIZED=FALSE&amp;creator=factset&amp;display_string=Audit"}</definedName>
    <definedName name="_1643__FDSAUDITLINK__" hidden="1">{"fdsup://Directions/FactSet Auditing Viewer?action=AUDIT_VALUE&amp;DB=129&amp;ID1=27864210&amp;VALUEID=01001&amp;SDATE=200902&amp;PERIODTYPE=QTR_STD&amp;window=popup_no_bar&amp;width=385&amp;height=120&amp;START_MAXIMIZED=FALSE&amp;creator=factset&amp;display_string=Audit"}</definedName>
    <definedName name="_1644__FDSAUDITLINK__" hidden="1">{"fdsup://Directions/FactSet Auditing Viewer?action=AUDIT_VALUE&amp;DB=129&amp;ID1=27864210&amp;VALUEID=01001&amp;SDATE=201002&amp;PERIODTYPE=QTR_STD&amp;window=popup_no_bar&amp;width=385&amp;height=120&amp;START_MAXIMIZED=FALSE&amp;creator=factset&amp;display_string=Audit"}</definedName>
    <definedName name="_1645__FDSAUDITLINK__" hidden="1">{"fdsup://Directions/FactSet Auditing Viewer?action=AUDIT_VALUE&amp;DB=129&amp;ID1=25179M10&amp;VALUEID=01001&amp;SDATE=200902&amp;PERIODTYPE=QTR_STD&amp;window=popup_no_bar&amp;width=385&amp;height=120&amp;START_MAXIMIZED=FALSE&amp;creator=factset&amp;display_string=Audit"}</definedName>
    <definedName name="_1646__FDSAUDITLINK__" hidden="1">{"fdsup://Directions/FactSet Auditing Viewer?action=AUDIT_VALUE&amp;DB=129&amp;ID1=25179M10&amp;VALUEID=01001&amp;SDATE=201002&amp;PERIODTYPE=QTR_STD&amp;window=popup_no_bar&amp;width=385&amp;height=120&amp;START_MAXIMIZED=FALSE&amp;creator=factset&amp;display_string=Audit"}</definedName>
    <definedName name="_1647__FDSAUDITLINK__" hidden="1">{"fdsup://Directions/FactSet Auditing Viewer?action=AUDIT_VALUE&amp;DB=129&amp;ID1=23918K10&amp;VALUEID=01001&amp;SDATE=200902&amp;PERIODTYPE=QTR_STD&amp;window=popup_no_bar&amp;width=385&amp;height=120&amp;START_MAXIMIZED=FALSE&amp;creator=factset&amp;display_string=Audit"}</definedName>
    <definedName name="_1648__FDSAUDITLINK__" hidden="1">{"fdsup://Directions/FactSet Auditing Viewer?action=AUDIT_VALUE&amp;DB=129&amp;ID1=23918K10&amp;VALUEID=01001&amp;SDATE=201002&amp;PERIODTYPE=QTR_STD&amp;window=popup_no_bar&amp;width=385&amp;height=120&amp;START_MAXIMIZED=FALSE&amp;creator=factset&amp;display_string=Audit"}</definedName>
    <definedName name="_1649__FDSAUDITLINK__" hidden="1">{"fdsup://Directions/FactSet Auditing Viewer?action=AUDIT_VALUE&amp;DB=129&amp;ID1=25189310&amp;VALUEID=01001&amp;SDATE=201004&amp;PERIODTYPE=QTR_STD&amp;window=popup_no_bar&amp;width=385&amp;height=120&amp;START_MAXIMIZED=FALSE&amp;creator=factset&amp;display_string=Audit"}</definedName>
    <definedName name="_165__FDSAUDITLINK__"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0__FDSAUDITLINK__" hidden="1">{"fdsup://Directions/FactSet Auditing Viewer?action=AUDIT_VALUE&amp;DB=129&amp;ID1=26441C10&amp;VALUEID=01001&amp;SDATE=200902&amp;PERIODTYPE=QTR_STD&amp;window=popup_no_bar&amp;width=385&amp;height=120&amp;START_MAXIMIZED=FALSE&amp;creator=factset&amp;display_string=Audit"}</definedName>
    <definedName name="_1651__FDSAUDITLINK__" hidden="1">{"fdsup://Directions/FactSet Auditing Viewer?action=AUDIT_VALUE&amp;DB=129&amp;ID1=26441C10&amp;VALUEID=01001&amp;SDATE=201002&amp;PERIODTYPE=QTR_STD&amp;window=popup_no_bar&amp;width=385&amp;height=120&amp;START_MAXIMIZED=FALSE&amp;creator=factset&amp;display_string=Audit"}</definedName>
    <definedName name="_1652__FDSAUDITLINK__" hidden="1">{"fdsup://Directions/FactSet Auditing Viewer?action=AUDIT_VALUE&amp;DB=129&amp;ID1=25490A10&amp;VALUEID=01001&amp;SDATE=200902&amp;PERIODTYPE=QTR_STD&amp;window=popup_no_bar&amp;width=385&amp;height=120&amp;START_MAXIMIZED=FALSE&amp;creator=factset&amp;display_string=Audit"}</definedName>
    <definedName name="_1653__FDSAUDITLINK__" hidden="1">{"fdsup://Directions/FactSet Auditing Viewer?action=AUDIT_VALUE&amp;DB=129&amp;ID1=25490A10&amp;VALUEID=01001&amp;SDATE=201002&amp;PERIODTYPE=QTR_STD&amp;window=popup_no_bar&amp;width=385&amp;height=120&amp;START_MAXIMIZED=FALSE&amp;creator=factset&amp;display_string=Audit"}</definedName>
    <definedName name="_1654__FDSAUDITLINK__" hidden="1">{"fdsup://Directions/FactSet Auditing Viewer?action=AUDIT_VALUE&amp;DB=129&amp;ID1=23333110&amp;VALUEID=01001&amp;SDATE=200902&amp;PERIODTYPE=QTR_STD&amp;window=popup_no_bar&amp;width=385&amp;height=120&amp;START_MAXIMIZED=FALSE&amp;creator=factset&amp;display_string=Audit"}</definedName>
    <definedName name="_1655__FDSAUDITLINK__" hidden="1">{"fdsup://Directions/FactSet Auditing Viewer?action=AUDIT_VALUE&amp;DB=129&amp;ID1=23333110&amp;VALUEID=01001&amp;SDATE=201002&amp;PERIODTYPE=QTR_STD&amp;window=popup_no_bar&amp;width=385&amp;height=120&amp;START_MAXIMIZED=FALSE&amp;creator=factset&amp;display_string=Audit"}</definedName>
    <definedName name="_1656__FDSAUDITLINK__" hidden="1">{"fdsup://Directions/FactSet Auditing Viewer?action=AUDIT_VALUE&amp;DB=129&amp;ID1=23719410&amp;VALUEID=01001&amp;SDATE=200804&amp;PERIODTYPE=QTR_STD&amp;window=popup_no_bar&amp;width=385&amp;height=120&amp;START_MAXIMIZED=FALSE&amp;creator=factset&amp;display_string=Audit"}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Viewer?action=AUDIT_VALUE&amp;DB=129&amp;ID1=23719410&amp;VALUEID=01001&amp;SDATE=200904&amp;PERIODTYPE=QTR_STD&amp;window=popup_no_bar&amp;width=385&amp;height=120&amp;START_MAXIMIZED=FALSE&amp;creator=factset&amp;display_string=Audit"}</definedName>
    <definedName name="_1658__FDSAUDITLINK__" hidden="1">{"fdsup://Directions/FactSet Auditing Viewer?action=AUDIT_VALUE&amp;DB=129&amp;ID1=26138E10&amp;VALUEID=01001&amp;SDATE=200902&amp;PERIODTYPE=QTR_STD&amp;window=popup_no_bar&amp;width=385&amp;height=120&amp;START_MAXIMIZED=FALSE&amp;creator=factset&amp;display_string=Audit"}</definedName>
    <definedName name="_1659__FDSAUDITLINK__" hidden="1">{"fdsup://Directions/FactSet Auditing Viewer?action=AUDIT_VALUE&amp;DB=129&amp;ID1=26138E10&amp;VALUEID=01001&amp;SDATE=201002&amp;PERIODTYPE=QTR_STD&amp;window=popup_no_bar&amp;width=385&amp;height=120&amp;START_MAXIMIZED=FALSE&amp;creator=factset&amp;display_string=Audit"}</definedName>
    <definedName name="_166__FDSAUDITLINK__"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0__FDSAUDITLINK__" hidden="1">{"fdsup://Directions/FactSet Auditing Viewer?action=AUDIT_VALUE&amp;DB=129&amp;ID1=26054310&amp;VALUEID=01001&amp;SDATE=200902&amp;PERIODTYPE=QTR_STD&amp;window=popup_no_bar&amp;width=385&amp;height=120&amp;START_MAXIMIZED=FALSE&amp;creator=factset&amp;display_string=Audit"}</definedName>
    <definedName name="_1661__FDSAUDITLINK__" hidden="1">{"fdsup://Directions/FactSet Auditing Viewer?action=AUDIT_VALUE&amp;DB=129&amp;ID1=26054310&amp;VALUEID=01001&amp;SDATE=201002&amp;PERIODTYPE=QTR_STD&amp;window=popup_no_bar&amp;width=385&amp;height=120&amp;START_MAXIMIZED=FALSE&amp;creator=factset&amp;display_string=Audit"}</definedName>
    <definedName name="_1662__FDSAUDITLINK__" hidden="1">{"fdsup://Directions/FactSet Auditing Viewer?action=AUDIT_VALUE&amp;DB=129&amp;ID1=26000310&amp;VALUEID=01001&amp;SDATE=200902&amp;PERIODTYPE=QTR_STD&amp;window=popup_no_bar&amp;width=385&amp;height=120&amp;START_MAXIMIZED=FALSE&amp;creator=factset&amp;display_string=Audit"}</definedName>
    <definedName name="_1663__FDSAUDITLINK__" hidden="1">{"fdsup://Directions/FactSet Auditing Viewer?action=AUDIT_VALUE&amp;DB=129&amp;ID1=26000310&amp;VALUEID=01001&amp;SDATE=201002&amp;PERIODTYPE=QTR_STD&amp;window=popup_no_bar&amp;width=385&amp;height=120&amp;START_MAXIMIZED=FALSE&amp;creator=factset&amp;display_string=Audit"}</definedName>
    <definedName name="_1664__FDSAUDITLINK__" hidden="1">{"fdsup://Directions/FactSet Auditing Viewer?action=AUDIT_VALUE&amp;DB=129&amp;ID1=25271C10&amp;VALUEID=01001&amp;SDATE=200902&amp;PERIODTYPE=QTR_STD&amp;window=popup_no_bar&amp;width=385&amp;height=120&amp;START_MAXIMIZED=FALSE&amp;creator=factset&amp;display_string=Audit"}</definedName>
    <definedName name="_1665__FDSAUDITLINK__" hidden="1">{"fdsup://Directions/FactSet Auditing Viewer?action=AUDIT_VALUE&amp;DB=129&amp;ID1=25271C10&amp;VALUEID=01001&amp;SDATE=201002&amp;PERIODTYPE=QTR_STD&amp;window=popup_no_bar&amp;width=385&amp;height=120&amp;START_MAXIMIZED=FALSE&amp;creator=factset&amp;display_string=Audit"}</definedName>
    <definedName name="_1666__FDSAUDITLINK__" hidden="1">{"fdsup://Directions/FactSet Auditing Viewer?action=AUDIT_VALUE&amp;DB=129&amp;ID1=24791620&amp;VALUEID=01001&amp;SDATE=200902&amp;PERIODTYPE=QTR_STD&amp;window=popup_no_bar&amp;width=385&amp;height=120&amp;START_MAXIMIZED=FALSE&amp;creator=factset&amp;display_string=Audit"}</definedName>
    <definedName name="_1667__FDSAUDITLINK__" hidden="1">{"fdsup://Directions/FactSet Auditing Viewer?action=AUDIT_VALUE&amp;DB=129&amp;ID1=24791620&amp;VALUEID=01001&amp;SDATE=201002&amp;PERIODTYPE=QTR_STD&amp;window=popup_no_bar&amp;width=385&amp;height=120&amp;START_MAXIMIZED=FALSE&amp;creator=factset&amp;display_string=Audit"}</definedName>
    <definedName name="_1668__FDSAUDITLINK__" hidden="1">{"fdsup://Directions/FactSet Auditing Viewer?action=AUDIT_VALUE&amp;DB=129&amp;ID1=26483E10&amp;VALUEID=01001&amp;SDATE=200902&amp;PERIODTYPE=QTR_STD&amp;window=popup_no_bar&amp;width=385&amp;height=120&amp;START_MAXIMIZED=FALSE&amp;creator=factset&amp;display_string=Audit"}</definedName>
    <definedName name="_1669__FDSAUDITLINK__" hidden="1">{"fdsup://Directions/FactSet Auditing Viewer?action=AUDIT_VALUE&amp;DB=129&amp;ID1=26483E10&amp;VALUEID=01001&amp;SDATE=201002&amp;PERIODTYPE=QTR_STD&amp;window=popup_no_bar&amp;width=385&amp;height=120&amp;START_MAXIMIZED=FALSE&amp;creator=factset&amp;display_string=Audit"}</definedName>
    <definedName name="_167__FDSAUDITLINK__"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0__FDSAUDITLINK__" hidden="1">{"fdsup://Directions/FactSet Auditing Viewer?action=AUDIT_VALUE&amp;DB=129&amp;ID1=25470F10&amp;VALUEID=01001&amp;SDATE=200902&amp;PERIODTYPE=QTR_STD&amp;window=popup_no_bar&amp;width=385&amp;height=120&amp;START_MAXIMIZED=FALSE&amp;creator=factset&amp;display_string=Audit"}</definedName>
    <definedName name="_1671__FDSAUDITLINK__" hidden="1">{"fdsup://Directions/FactSet Auditing Viewer?action=AUDIT_VALUE&amp;DB=129&amp;ID1=25470F10&amp;VALUEID=01001&amp;SDATE=201002&amp;PERIODTYPE=QTR_STD&amp;window=popup_no_bar&amp;width=385&amp;height=120&amp;START_MAXIMIZED=FALSE&amp;creator=factset&amp;display_string=Audit"}</definedName>
    <definedName name="_1672__FDSAUDITLINK__" hidden="1">{"fdsup://Directions/FactSet Auditing Viewer?action=AUDIT_VALUE&amp;DB=129&amp;ID1=25468710&amp;VALUEID=01001&amp;SDATE=200903&amp;PERIODTYPE=QTR_STD&amp;window=popup_no_bar&amp;width=385&amp;height=120&amp;START_MAXIMIZED=FALSE&amp;creator=factset&amp;display_string=Audit"}</definedName>
    <definedName name="_1673__FDSAUDITLINK__" hidden="1">{"fdsup://Directions/FactSet Auditing Viewer?action=AUDIT_VALUE&amp;DB=129&amp;ID1=25468710&amp;VALUEID=01001&amp;SDATE=201003&amp;PERIODTYPE=QTR_STD&amp;window=popup_no_bar&amp;width=385&amp;height=120&amp;START_MAXIMIZED=FALSE&amp;creator=factset&amp;display_string=Audit"}</definedName>
    <definedName name="_1674__FDSAUDITLINK__" hidden="1">{"fdsup://Directions/FactSet Auditing Viewer?action=AUDIT_VALUE&amp;DB=129&amp;ID1=23585110&amp;VALUEID=01001&amp;SDATE=200902&amp;PERIODTYPE=QTR_STD&amp;window=popup_no_bar&amp;width=385&amp;height=120&amp;START_MAXIMIZED=FALSE&amp;creator=factset&amp;display_string=Audit"}</definedName>
    <definedName name="_1675__FDSAUDITLINK__" hidden="1">{"fdsup://Directions/FactSet Auditing Viewer?action=AUDIT_VALUE&amp;DB=129&amp;ID1=23585110&amp;VALUEID=01001&amp;SDATE=201002&amp;PERIODTYPE=QTR_STD&amp;window=popup_no_bar&amp;width=385&amp;height=120&amp;START_MAXIMIZED=FALSE&amp;creator=factset&amp;display_string=Audit"}</definedName>
    <definedName name="_1676__FDSAUDITLINK__" hidden="1">{"fdsup://Directions/FactSet Auditing Viewer?action=AUDIT_VALUE&amp;DB=129&amp;ID1=23331A10&amp;VALUEID=01001&amp;SDATE=200903&amp;PERIODTYPE=QTR_STD&amp;window=popup_no_bar&amp;width=385&amp;height=120&amp;START_MAXIMIZED=FALSE&amp;creator=factset&amp;display_string=Audit"}</definedName>
    <definedName name="_1677__FDSAUDITLINK__" hidden="1">{"fdsup://Directions/FactSet Auditing Viewer?action=AUDIT_VALUE&amp;DB=129&amp;ID1=23331A10&amp;VALUEID=01001&amp;SDATE=201003&amp;PERIODTYPE=QTR_STD&amp;window=popup_no_bar&amp;width=385&amp;height=120&amp;START_MAXIMIZED=FALSE&amp;creator=factset&amp;display_string=Audit"}</definedName>
    <definedName name="_1678__FDSAUDITLINK__" hidden="1">{"fdsup://Directions/FactSet Auditing Viewer?action=AUDIT_VALUE&amp;DB=129&amp;ID1=74834L10&amp;VALUEID=01001&amp;SDATE=200902&amp;PERIODTYPE=QTR_STD&amp;window=popup_no_bar&amp;width=385&amp;height=120&amp;START_MAXIMIZED=FALSE&amp;creator=factset&amp;display_string=Audit"}</definedName>
    <definedName name="_1679__FDSAUDITLINK__" hidden="1">{"fdsup://Directions/FactSet Auditing Viewer?action=AUDIT_VALUE&amp;DB=129&amp;ID1=74834L10&amp;VALUEID=01001&amp;SDATE=201002&amp;PERIODTYPE=QTR_STD&amp;window=popup_no_bar&amp;width=385&amp;height=120&amp;START_MAXIMIZED=FALSE&amp;creator=factset&amp;display_string=Audit"}</definedName>
    <definedName name="_168__FDSAUDITLINK__"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0__FDSAUDITLINK__" hidden="1">{"fdsup://Directions/FactSet Auditing Viewer?action=AUDIT_VALUE&amp;DB=129&amp;ID1=25470910&amp;VALUEID=01001&amp;SDATE=201002&amp;PERIODTYPE=QTR_STD&amp;window=popup_no_bar&amp;width=385&amp;height=120&amp;START_MAXIMIZED=FALSE&amp;creator=factset&amp;display_string=Audit"}</definedName>
    <definedName name="_1681__FDSAUDITLINK__" hidden="1">{"fdsup://Directions/FactSet Auditing Viewer?action=AUDIT_VALUE&amp;DB=129&amp;ID1=24237010&amp;VALUEID=01001&amp;SDATE=200902&amp;PERIODTYPE=QTR_STD&amp;window=popup_no_bar&amp;width=385&amp;height=120&amp;START_MAXIMIZED=FALSE&amp;creator=factset&amp;display_string=Audit"}</definedName>
    <definedName name="_1682__FDSAUDITLINK__" hidden="1">{"fdsup://Directions/FactSet Auditing Viewer?action=AUDIT_VALUE&amp;DB=129&amp;ID1=24237010&amp;VALUEID=01001&amp;SDATE=201002&amp;PERIODTYPE=QTR_STD&amp;window=popup_no_bar&amp;width=385&amp;height=120&amp;START_MAXIMIZED=FALSE&amp;creator=factset&amp;display_string=Audit"}</definedName>
    <definedName name="_1683__FDSAUDITLINK__" hidden="1">{"fdsup://Directions/FactSet Auditing Viewer?action=AUDIT_VALUE&amp;DB=129&amp;ID1=24702R10&amp;VALUEID=01001&amp;SDATE=201001&amp;PERIODTYPE=QTR_STD&amp;window=popup_no_bar&amp;width=385&amp;height=120&amp;START_MAXIMIZED=FALSE&amp;creator=factset&amp;display_string=Audit"}</definedName>
    <definedName name="_1684__FDSAUDITLINK__" hidden="1">{"fdsup://Directions/FactSet Auditing Viewer?action=AUDIT_VALUE&amp;DB=129&amp;ID1=24419910&amp;VALUEID=01001&amp;SDATE=200902&amp;PERIODTYPE=QTR_STD&amp;window=popup_no_bar&amp;width=385&amp;height=120&amp;START_MAXIMIZED=FALSE&amp;creator=factset&amp;display_string=Audit"}</definedName>
    <definedName name="_1685__FDSAUDITLINK__" hidden="1">{"fdsup://Directions/FactSet Auditing Viewer?action=AUDIT_VALUE&amp;DB=129&amp;ID1=24419910&amp;VALUEID=01001&amp;SDATE=201002&amp;PERIODTYPE=QTR_STD&amp;window=popup_no_bar&amp;width=385&amp;height=120&amp;START_MAXIMIZED=FALSE&amp;creator=factset&amp;display_string=Audit"}</definedName>
    <definedName name="_1686__FDSAUDITLINK__" hidden="1">{"fdsup://Directions/FactSet Auditing Viewer?action=AUDIT_VALUE&amp;DB=129&amp;ID1=26353410&amp;VALUEID=01001&amp;SDATE=200902&amp;PERIODTYPE=QTR_STD&amp;window=popup_no_bar&amp;width=385&amp;height=120&amp;START_MAXIMIZED=FALSE&amp;creator=factset&amp;display_string=Audit"}</definedName>
    <definedName name="_1687__FDSAUDITLINK__" hidden="1">{"fdsup://Directions/FactSet Auditing Viewer?action=AUDIT_VALUE&amp;DB=129&amp;ID1=26353410&amp;VALUEID=01001&amp;SDATE=201002&amp;PERIODTYPE=QTR_STD&amp;window=popup_no_bar&amp;width=385&amp;height=120&amp;START_MAXIMIZED=FALSE&amp;creator=factset&amp;display_string=Audit"}</definedName>
    <definedName name="_1688__FDSAUDITLINK__" hidden="1">{"fdsup://Directions/FactSet Auditing Viewer?action=AUDIT_VALUE&amp;DB=129&amp;ID1=25746U10&amp;VALUEID=01001&amp;SDATE=200902&amp;PERIODTYPE=QTR_STD&amp;window=popup_no_bar&amp;width=385&amp;height=120&amp;START_MAXIMIZED=FALSE&amp;creator=factset&amp;display_string=Audit"}</definedName>
    <definedName name="_1689__FDSAUDITLINK__" hidden="1">{"fdsup://Directions/FactSet Auditing Viewer?action=AUDIT_VALUE&amp;DB=129&amp;ID1=25746U10&amp;VALUEID=01001&amp;SDATE=201002&amp;PERIODTYPE=QTR_STD&amp;window=popup_no_bar&amp;width=385&amp;height=120&amp;START_MAXIMIZED=FALSE&amp;creator=factset&amp;display_string=Audit"}</definedName>
    <definedName name="_169__FDSAUDITLINK__"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0__FDSAUDITLINK__" hidden="1">{"fdsup://Directions/FactSet Auditing Viewer?action=AUDIT_VALUE&amp;DB=129&amp;ID1=16676410&amp;VALUEID=01001&amp;SDATE=200902&amp;PERIODTYPE=QTR_STD&amp;window=popup_no_bar&amp;width=385&amp;height=120&amp;START_MAXIMIZED=FALSE&amp;creator=factset&amp;display_string=Audit"}</definedName>
    <definedName name="_1691__FDSAUDITLINK__" hidden="1">{"fdsup://Directions/FactSet Auditing Viewer?action=AUDIT_VALUE&amp;DB=129&amp;ID1=16676410&amp;VALUEID=01001&amp;SDATE=201002&amp;PERIODTYPE=QTR_STD&amp;window=popup_no_bar&amp;width=385&amp;height=120&amp;START_MAXIMIZED=FALSE&amp;creator=factset&amp;display_string=Audit"}</definedName>
    <definedName name="_1692__FDSAUDITLINK__" hidden="1">{"fdsup://Directions/FactSet Auditing Viewer?action=AUDIT_VALUE&amp;DB=129&amp;ID1=12665010&amp;VALUEID=01001&amp;SDATE=200902&amp;PERIODTYPE=QTR_STD&amp;window=popup_no_bar&amp;width=385&amp;height=120&amp;START_MAXIMIZED=FALSE&amp;creator=factset&amp;display_string=Audit"}</definedName>
    <definedName name="_1693__FDSAUDITLINK__" hidden="1">{"fdsup://Directions/FactSet Auditing Viewer?action=AUDIT_VALUE&amp;DB=129&amp;ID1=12665010&amp;VALUEID=01001&amp;SDATE=201002&amp;PERIODTYPE=QTR_STD&amp;window=popup_no_bar&amp;width=385&amp;height=120&amp;START_MAXIMIZED=FALSE&amp;creator=factset&amp;display_string=Audit"}</definedName>
    <definedName name="_1694__FDSAUDITLINK__" hidden="1">{"fdsup://Directions/FactSet Auditing Viewer?action=AUDIT_VALUE&amp;DB=129&amp;ID1=22286210&amp;VALUEID=01001&amp;SDATE=200902&amp;PERIODTYPE=QTR_STD&amp;window=popup_no_bar&amp;width=385&amp;height=120&amp;START_MAXIMIZED=FALSE&amp;creator=factset&amp;display_string=Audit"}</definedName>
    <definedName name="_1695__FDSAUDITLINK__" hidden="1">{"fdsup://Directions/FactSet Auditing Viewer?action=AUDIT_VALUE&amp;DB=129&amp;ID1=22286210&amp;VALUEID=01001&amp;SDATE=201002&amp;PERIODTYPE=QTR_STD&amp;window=popup_no_bar&amp;width=385&amp;height=120&amp;START_MAXIMIZED=FALSE&amp;creator=factset&amp;display_string=Audit"}</definedName>
    <definedName name="_1696__FDSAUDITLINK__" hidden="1">{"fdsup://Directions/FactSet Auditing Viewer?action=AUDIT_VALUE&amp;DB=129&amp;ID1=17737610&amp;VALUEID=01001&amp;SDATE=200902&amp;PERIODTYPE=QTR_STD&amp;window=popup_no_bar&amp;width=385&amp;height=120&amp;START_MAXIMIZED=FALSE&amp;creator=factset&amp;display_string=Audit"}</definedName>
    <definedName name="_1697__FDSAUDITLINK__" hidden="1">{"fdsup://Directions/FactSet Auditing Viewer?action=AUDIT_VALUE&amp;DB=129&amp;ID1=17737610&amp;VALUEID=01001&amp;SDATE=201002&amp;PERIODTYPE=QTR_STD&amp;window=popup_no_bar&amp;width=385&amp;height=120&amp;START_MAXIMIZED=FALSE&amp;creator=factset&amp;display_string=Audit"}</definedName>
    <definedName name="_1698__FDSAUDITLINK__" hidden="1">{"fdsup://Directions/FactSet Auditing Viewer?action=AUDIT_VALUE&amp;DB=129&amp;ID1=19244610&amp;VALUEID=01001&amp;SDATE=200902&amp;PERIODTYPE=QTR_STD&amp;window=popup_no_bar&amp;width=385&amp;height=120&amp;START_MAXIMIZED=FALSE&amp;creator=factset&amp;display_string=Audit"}</definedName>
    <definedName name="_1699__FDSAUDITLINK__" hidden="1">{"fdsup://Directions/FactSet Auditing Viewer?action=AUDIT_VALUE&amp;DB=129&amp;ID1=19244610&amp;VALUEID=01001&amp;SDATE=201002&amp;PERIODTYPE=QTR_STD&amp;window=popup_no_bar&amp;width=385&amp;height=120&amp;START_MAXIMIZED=FALSE&amp;creator=factset&amp;display_string=Audit"}</definedName>
    <definedName name="_17__FDSAUDITLINK__" hidden="1">{"fdsup://Directions/FactSet Auditing Viewer?action=AUDIT_VALUE&amp;DB=129&amp;ID1=62007610&amp;VALUEID=02001&amp;SDATE=2009&amp;PERIODTYPE=ANN_STD&amp;window=popup_no_bar&amp;width=385&amp;height=120&amp;START_MAXIMIZED=FALSE&amp;creator=factset&amp;display_string=Audit"}</definedName>
    <definedName name="_170__FDSAUDITLINK__"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0__FDSAUDITLINK__" hidden="1">{"fdsup://Directions/FactSet Auditing Viewer?action=AUDIT_VALUE&amp;DB=129&amp;ID1=15670010&amp;VALUEID=01001&amp;SDATE=200902&amp;PERIODTYPE=QTR_STD&amp;window=popup_no_bar&amp;width=385&amp;height=120&amp;START_MAXIMIZED=FALSE&amp;creator=factset&amp;display_string=Audit"}</definedName>
    <definedName name="_1701__FDSAUDITLINK__" hidden="1">{"fdsup://Directions/FactSet Auditing Viewer?action=AUDIT_VALUE&amp;DB=129&amp;ID1=15670010&amp;VALUEID=01001&amp;SDATE=201002&amp;PERIODTYPE=QTR_STD&amp;window=popup_no_bar&amp;width=385&amp;height=120&amp;START_MAXIMIZED=FALSE&amp;creator=factset&amp;display_string=Audit"}</definedName>
    <definedName name="_1702__FDSAUDITLINK__" hidden="1">{"fdsup://Directions/FactSet Auditing Viewer?action=AUDIT_VALUE&amp;DB=129&amp;ID1=17290810&amp;VALUEID=01001&amp;SDATE=200904&amp;PERIODTYPE=QTR_STD&amp;window=popup_no_bar&amp;width=385&amp;height=120&amp;START_MAXIMIZED=FALSE&amp;creator=factset&amp;display_string=Audit"}</definedName>
    <definedName name="_1703__FDSAUDITLINK__" hidden="1">{"fdsup://Directions/FactSet Auditing Viewer?action=AUDIT_VALUE&amp;DB=129&amp;ID1=12640810&amp;VALUEID=01001&amp;SDATE=201002&amp;PERIODTYPE=QTR_STD&amp;window=popup_no_bar&amp;width=385&amp;height=120&amp;START_MAXIMIZED=FALSE&amp;creator=factset&amp;display_string=Audit"}</definedName>
    <definedName name="_1704__FDSAUDITLINK__" hidden="1">{"fdsup://Directions/FactSet Auditing Viewer?action=AUDIT_VALUE&amp;DB=129&amp;ID1=17275R10&amp;VALUEID=01001&amp;SDATE=200903&amp;PERIODTYPE=QTR_STD&amp;window=popup_no_bar&amp;width=385&amp;height=120&amp;START_MAXIMIZED=FALSE&amp;creator=factset&amp;display_string=Audit"}</definedName>
    <definedName name="_1705__FDSAUDITLINK__" hidden="1">{"fdsup://Directions/FactSet Auditing Viewer?action=AUDIT_VALUE&amp;DB=129&amp;ID1=17275R10&amp;VALUEID=01001&amp;SDATE=201003&amp;PERIODTYPE=QTR_STD&amp;window=popup_no_bar&amp;width=385&amp;height=120&amp;START_MAXIMIZED=FALSE&amp;creator=factset&amp;display_string=Audit"}</definedName>
    <definedName name="_1706__FDSAUDITLINK__" hidden="1">{"fdsup://Directions/FactSet Auditing Viewer?action=AUDIT_VALUE&amp;DB=129&amp;ID1=20536310&amp;VALUEID=01001&amp;SDATE=200901&amp;PERIODTYPE=QTR_STD&amp;window=popup_no_bar&amp;width=385&amp;height=120&amp;START_MAXIMIZED=FALSE&amp;creator=factset&amp;display_string=Audit"}</definedName>
    <definedName name="_1707__FDSAUDITLINK__" hidden="1">{"fdsup://Directions/FactSet Auditing Viewer?action=AUDIT_VALUE&amp;DB=129&amp;ID1=20536310&amp;VALUEID=01001&amp;SDATE=201001&amp;PERIODTYPE=QTR_STD&amp;window=popup_no_bar&amp;width=385&amp;height=120&amp;START_MAXIMIZED=FALSE&amp;creator=factset&amp;display_string=Audit"}</definedName>
    <definedName name="_1708__FDSAUDITLINK__" hidden="1">{"fdsup://Directions/FactSet Auditing Viewer?action=AUDIT_VALUE&amp;DB=129&amp;ID1=79466L30&amp;VALUEID=01001&amp;SDATE=201001&amp;PERIODTYPE=QTR_STD&amp;window=popup_no_bar&amp;width=385&amp;height=120&amp;START_MAXIMIZED=FALSE&amp;creator=factset&amp;display_string=Audit"}</definedName>
    <definedName name="_1709__FDSAUDITLINK__" hidden="1">{"fdsup://Directions/FactSet Auditing Viewer?action=AUDIT_VALUE&amp;DB=129&amp;ID1=20563810&amp;VALUEID=01001&amp;SDATE=200901&amp;PERIODTYPE=QTR_STD&amp;window=popup_no_bar&amp;width=385&amp;height=120&amp;START_MAXIMIZED=FALSE&amp;creator=factset&amp;display_string=Audit"}</definedName>
    <definedName name="_171__FDSAUDITLINK__"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0__FDSAUDITLINK__" hidden="1">{"fdsup://Directions/FactSet Auditing Viewer?action=AUDIT_VALUE&amp;DB=129&amp;ID1=20563810&amp;VALUEID=01001&amp;SDATE=201001&amp;PERIODTYPE=QTR_STD&amp;window=popup_no_bar&amp;width=385&amp;height=120&amp;START_MAXIMIZED=FALSE&amp;creator=factset&amp;display_string=Audit"}</definedName>
    <definedName name="_1711__FDSAUDITLINK__" hidden="1">{"fdsup://Directions/FactSet Auditing Viewer?action=AUDIT_VALUE&amp;DB=129&amp;ID1=13442910&amp;VALUEID=01001&amp;SDATE=200903&amp;PERIODTYPE=QTR_STD&amp;window=popup_no_bar&amp;width=385&amp;height=120&amp;START_MAXIMIZED=FALSE&amp;creator=factset&amp;display_string=Audit"}</definedName>
    <definedName name="_1712__FDSAUDITLINK__" hidden="1">{"fdsup://Directions/FactSet Auditing Viewer?action=AUDIT_VALUE&amp;DB=129&amp;ID1=13442910&amp;VALUEID=01001&amp;SDATE=201003&amp;PERIODTYPE=QTR_STD&amp;window=popup_no_bar&amp;width=385&amp;height=120&amp;START_MAXIMIZED=FALSE&amp;creator=factset&amp;display_string=Audit"}</definedName>
    <definedName name="_1713__FDSAUDITLINK__" hidden="1">{"fdsup://Directions/FactSet Auditing Viewer?action=AUDIT_VALUE&amp;DB=129&amp;ID1=22160K10&amp;VALUEID=01001&amp;SDATE=200903&amp;PERIODTYPE=QTR_STD&amp;window=popup_no_bar&amp;width=385&amp;height=120&amp;START_MAXIMIZED=FALSE&amp;creator=factset&amp;display_string=Audit"}</definedName>
    <definedName name="_1714__FDSAUDITLINK__" hidden="1">{"fdsup://Directions/FactSet Auditing Viewer?action=AUDIT_VALUE&amp;DB=129&amp;ID1=22160K10&amp;VALUEID=01001&amp;SDATE=201003&amp;PERIODTYPE=QTR_STD&amp;window=popup_no_bar&amp;width=385&amp;height=120&amp;START_MAXIMIZED=FALSE&amp;creator=factset&amp;display_string=Audit"}</definedName>
    <definedName name="_1715__FDSAUDITLINK__" hidden="1">{"fdsup://Directions/FactSet Auditing Viewer?action=AUDIT_VALUE&amp;DB=129&amp;ID1=20825C10&amp;VALUEID=01001&amp;SDATE=200902&amp;PERIODTYPE=QTR_STD&amp;window=popup_no_bar&amp;width=385&amp;height=120&amp;START_MAXIMIZED=FALSE&amp;creator=factset&amp;display_string=Audit"}</definedName>
    <definedName name="_1716__FDSAUDITLINK__" hidden="1">{"fdsup://Directions/FactSet Auditing Viewer?action=AUDIT_VALUE&amp;DB=129&amp;ID1=20825C10&amp;VALUEID=01001&amp;SDATE=201002&amp;PERIODTYPE=QTR_STD&amp;window=popup_no_bar&amp;width=385&amp;height=120&amp;START_MAXIMIZED=FALSE&amp;creator=factset&amp;display_string=Audit"}</definedName>
    <definedName name="_1717__FDSAUDITLINK__" hidden="1">{"fdsup://Directions/FactSet Auditing Viewer?action=AUDIT_VALUE&amp;DB=129&amp;ID1=77434110&amp;VALUEID=01001&amp;SDATE=200903&amp;PERIODTYPE=QTR_STD&amp;window=popup_no_bar&amp;width=385&amp;height=120&amp;START_MAXIMIZED=FALSE&amp;creator=factset&amp;display_string=Audit"}</definedName>
    <definedName name="_1718__FDSAUDITLINK__" hidden="1">{"fdsup://Directions/FactSet Auditing Viewer?action=AUDIT_VALUE&amp;DB=129&amp;ID1=77434110&amp;VALUEID=01001&amp;SDATE=201003&amp;PERIODTYPE=QTR_STD&amp;window=popup_no_bar&amp;width=385&amp;height=120&amp;START_MAXIMIZED=FALSE&amp;creator=factset&amp;display_string=Audit"}</definedName>
    <definedName name="_1719__FDSAUDITLINK__" hidden="1">{"fdsup://Directions/FactSet Auditing Viewer?action=AUDIT_VALUE&amp;DB=129&amp;ID1=18975410&amp;VALUEID=01001&amp;SDATE=201004&amp;PERIODTYPE=QTR_STD&amp;window=popup_no_bar&amp;width=385&amp;height=120&amp;START_MAXIMIZED=FALSE&amp;creator=factset&amp;display_string=Audit"}</definedName>
    <definedName name="_172__FDSAUDITLINK__"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0__FDSAUDITLINK__" hidden="1">{"fdsup://Directions/FactSet Auditing Viewer?action=AUDIT_VALUE&amp;DB=129&amp;ID1=12709710&amp;VALUEID=01001&amp;SDATE=200902&amp;PERIODTYPE=QTR_STD&amp;window=popup_no_bar&amp;width=385&amp;height=120&amp;START_MAXIMIZED=FALSE&amp;creator=factset&amp;display_string=Audit"}</definedName>
    <definedName name="_1721__FDSAUDITLINK__" hidden="1">{"fdsup://Directions/FactSet Auditing Viewer?action=AUDIT_VALUE&amp;DB=129&amp;ID1=12709710&amp;VALUEID=01001&amp;SDATE=201002&amp;PERIODTYPE=QTR_STD&amp;window=popup_no_bar&amp;width=385&amp;height=120&amp;START_MAXIMIZED=FALSE&amp;creator=factset&amp;display_string=Audit"}</definedName>
    <definedName name="_1722__FDSAUDITLINK__" hidden="1">{"fdsup://Directions/FactSet Auditing Viewer?action=AUDIT_VALUE&amp;DB=129&amp;ID1=14040H10&amp;VALUEID=01001&amp;SDATE=200902&amp;PERIODTYPE=QTR_STD&amp;window=popup_no_bar&amp;width=385&amp;height=120&amp;START_MAXIMIZED=FALSE&amp;creator=factset&amp;display_string=Audit"}</definedName>
    <definedName name="_1723__FDSAUDITLINK__" hidden="1">{"fdsup://Directions/FactSet Auditing Viewer?action=AUDIT_VALUE&amp;DB=129&amp;ID1=20854P10&amp;VALUEID=01001&amp;SDATE=200902&amp;PERIODTYPE=QTR_STD&amp;window=popup_no_bar&amp;width=385&amp;height=120&amp;START_MAXIMIZED=FALSE&amp;creator=factset&amp;display_string=Audit"}</definedName>
    <definedName name="_1724__FDSAUDITLINK__" hidden="1">{"fdsup://Directions/FactSet Auditing Viewer?action=AUDIT_VALUE&amp;DB=129&amp;ID1=20854P10&amp;VALUEID=01001&amp;SDATE=201002&amp;PERIODTYPE=QTR_STD&amp;window=popup_no_bar&amp;width=385&amp;height=120&amp;START_MAXIMIZED=FALSE&amp;creator=factset&amp;display_string=Audit"}</definedName>
    <definedName name="_1725__FDSAUDITLINK__" hidden="1">{"fdsup://Directions/FactSet Auditing Viewer?action=AUDIT_VALUE&amp;DB=129&amp;ID1=15189T10&amp;VALUEID=01001&amp;SDATE=200902&amp;PERIODTYPE=QTR_STD&amp;window=popup_no_bar&amp;width=385&amp;height=120&amp;START_MAXIMIZED=FALSE&amp;creator=factset&amp;display_string=Audit"}</definedName>
    <definedName name="_1726__FDSAUDITLINK__" hidden="1">{"fdsup://Directions/FactSet Auditing Viewer?action=AUDIT_VALUE&amp;DB=129&amp;ID1=15189T10&amp;VALUEID=01001&amp;SDATE=201002&amp;PERIODTYPE=QTR_STD&amp;window=popup_no_bar&amp;width=385&amp;height=120&amp;START_MAXIMIZED=FALSE&amp;creator=factset&amp;display_string=Audit"}</definedName>
    <definedName name="_1727__FDSAUDITLINK__" hidden="1">{"fdsup://Directions/FactSet Auditing Viewer?action=AUDIT_VALUE&amp;DB=129&amp;ID1=12589610&amp;VALUEID=01001&amp;SDATE=200902&amp;PERIODTYPE=QTR_STD&amp;window=popup_no_bar&amp;width=385&amp;height=120&amp;START_MAXIMIZED=FALSE&amp;creator=factset&amp;display_string=Audit"}</definedName>
    <definedName name="_1728__FDSAUDITLINK__" hidden="1">{"fdsup://Directions/FactSet Auditing Viewer?action=AUDIT_VALUE&amp;DB=129&amp;ID1=12589610&amp;VALUEID=01001&amp;SDATE=201002&amp;PERIODTYPE=QTR_STD&amp;window=popup_no_bar&amp;width=385&amp;height=120&amp;START_MAXIMIZED=FALSE&amp;creator=factset&amp;display_string=Audit"}</definedName>
    <definedName name="_1729__FDSAUDITLINK__" hidden="1">{"fdsup://Directions/FactSet Auditing Viewer?action=AUDIT_VALUE&amp;DB=129&amp;ID1=23102110&amp;VALUEID=01001&amp;SDATE=200902&amp;PERIODTYPE=QTR_STD&amp;window=popup_no_bar&amp;width=385&amp;height=120&amp;START_MAXIMIZED=FALSE&amp;creator=factset&amp;display_string=Audit"}</definedName>
    <definedName name="_173__FDSAUDITLINK__"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0__FDSAUDITLINK__" hidden="1">{"fdsup://Directions/FactSet Auditing Viewer?action=AUDIT_VALUE&amp;DB=129&amp;ID1=23102110&amp;VALUEID=01001&amp;SDATE=201002&amp;PERIODTYPE=QTR_STD&amp;window=popup_no_bar&amp;width=385&amp;height=120&amp;START_MAXIMIZED=FALSE&amp;creator=factset&amp;display_string=Audit"}</definedName>
    <definedName name="_1731__FDSAUDITLINK__" hidden="1">{"fdsup://Directions/FactSet Auditing Viewer?action=AUDIT_VALUE&amp;DB=129&amp;ID1=12572Q10&amp;VALUEID=01001&amp;SDATE=200902&amp;PERIODTYPE=QTR_STD&amp;window=popup_no_bar&amp;width=385&amp;height=120&amp;START_MAXIMIZED=FALSE&amp;creator=factset&amp;display_string=Audit"}</definedName>
    <definedName name="_1732__FDSAUDITLINK__" hidden="1">{"fdsup://Directions/FactSet Auditing Viewer?action=AUDIT_VALUE&amp;DB=129&amp;ID1=12572Q10&amp;VALUEID=01001&amp;SDATE=201002&amp;PERIODTYPE=QTR_STD&amp;window=popup_no_bar&amp;width=385&amp;height=120&amp;START_MAXIMIZED=FALSE&amp;creator=factset&amp;display_string=Audit"}</definedName>
    <definedName name="_1733__FDSAUDITLINK__" hidden="1">{"fdsup://Directions/FactSet Auditing Viewer?action=AUDIT_VALUE&amp;DB=129&amp;ID1=20030N10&amp;VALUEID=01001&amp;SDATE=200902&amp;PERIODTYPE=QTR_STD&amp;window=popup_no_bar&amp;width=385&amp;height=120&amp;START_MAXIMIZED=FALSE&amp;creator=factset&amp;display_string=Audit"}</definedName>
    <definedName name="_1734__FDSAUDITLINK__" hidden="1">{"fdsup://Directions/FactSet Auditing Viewer?action=AUDIT_VALUE&amp;DB=129&amp;ID1=20030N10&amp;VALUEID=01001&amp;SDATE=201002&amp;PERIODTYPE=QTR_STD&amp;window=popup_no_bar&amp;width=385&amp;height=120&amp;START_MAXIMIZED=FALSE&amp;creator=factset&amp;display_string=Audit"}</definedName>
    <definedName name="_1735__FDSAUDITLINK__" hidden="1">{"fdsup://Directions/FactSet Auditing Viewer?action=AUDIT_VALUE&amp;DB=129&amp;ID1=18905410&amp;VALUEID=01001&amp;SDATE=200904&amp;PERIODTYPE=QTR_STD&amp;window=popup_no_bar&amp;width=385&amp;height=120&amp;START_MAXIMIZED=FALSE&amp;creator=factset&amp;display_string=Audit"}</definedName>
    <definedName name="_1736__FDSAUDITLINK__" hidden="1">{"fdsup://Directions/FactSet Auditing Viewer?action=AUDIT_VALUE&amp;DB=129&amp;ID1=18905410&amp;VALUEID=01001&amp;SDATE=201004&amp;PERIODTYPE=QTR_STD&amp;window=popup_no_bar&amp;width=385&amp;height=120&amp;START_MAXIMIZED=FALSE&amp;creator=factset&amp;display_string=Audit"}</definedName>
    <definedName name="_1737__FDSAUDITLINK__" hidden="1">{"fdsup://Directions/FactSet Auditing Viewer?action=AUDIT_VALUE&amp;DB=129&amp;ID1=18683K10&amp;VALUEID=01001&amp;SDATE=200902&amp;PERIODTYPE=QTR_STD&amp;window=popup_no_bar&amp;width=385&amp;height=120&amp;START_MAXIMIZED=FALSE&amp;creator=factset&amp;display_string=Audit"}</definedName>
    <definedName name="_1738__FDSAUDITLINK__" hidden="1">{"fdsup://Directions/FactSet Auditing Viewer?action=AUDIT_VALUE&amp;DB=129&amp;ID1=18683K10&amp;VALUEID=01001&amp;SDATE=201002&amp;PERIODTYPE=QTR_STD&amp;window=popup_no_bar&amp;width=385&amp;height=120&amp;START_MAXIMIZED=FALSE&amp;creator=factset&amp;display_string=Audit"}</definedName>
    <definedName name="_1739__FDSAUDITLINK__" hidden="1">{"fdsup://Directions/FactSet Auditing Viewer?action=AUDIT_VALUE&amp;DB=129&amp;ID1=19416210&amp;VALUEID=01001&amp;SDATE=200902&amp;PERIODTYPE=QTR_STD&amp;window=popup_no_bar&amp;width=385&amp;height=120&amp;START_MAXIMIZED=FALSE&amp;creator=factset&amp;display_string=Audit"}</definedName>
    <definedName name="_174__FDSAUDITLINK__"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0__FDSAUDITLINK__" hidden="1">{"fdsup://Directions/FactSet Auditing Viewer?action=AUDIT_VALUE&amp;DB=129&amp;ID1=19416210&amp;VALUEID=01001&amp;SDATE=201002&amp;PERIODTYPE=QTR_STD&amp;window=popup_no_bar&amp;width=385&amp;height=120&amp;START_MAXIMIZED=FALSE&amp;creator=factset&amp;display_string=Audit"}</definedName>
    <definedName name="_1741__FDSAUDITLINK__" hidden="1">{"fdsup://Directions/FactSet Auditing Viewer?action=AUDIT_VALUE&amp;DB=129&amp;ID1=17206210&amp;VALUEID=01001&amp;SDATE=200902&amp;PERIODTYPE=QTR_STD&amp;window=popup_no_bar&amp;width=385&amp;height=120&amp;START_MAXIMIZED=FALSE&amp;creator=factset&amp;display_string=Audit"}</definedName>
    <definedName name="_1742__FDSAUDITLINK__" hidden="1">{"fdsup://Directions/FactSet Auditing Viewer?action=AUDIT_VALUE&amp;DB=129&amp;ID1=17206210&amp;VALUEID=01001&amp;SDATE=201002&amp;PERIODTYPE=QTR_STD&amp;window=popup_no_bar&amp;width=385&amp;height=120&amp;START_MAXIMIZED=FALSE&amp;creator=factset&amp;display_string=Audit"}</definedName>
    <definedName name="_1743__FDSAUDITLINK__" hidden="1">{"fdsup://Directions/FactSet Auditing Viewer?action=AUDIT_VALUE&amp;DB=129&amp;ID1=12550910&amp;VALUEID=01001&amp;SDATE=200902&amp;PERIODTYPE=QTR_STD&amp;window=popup_no_bar&amp;width=385&amp;height=120&amp;START_MAXIMIZED=FALSE&amp;creator=factset&amp;display_string=Audit"}</definedName>
    <definedName name="_1744__FDSAUDITLINK__" hidden="1">{"fdsup://Directions/FactSet Auditing Viewer?action=AUDIT_VALUE&amp;DB=129&amp;ID1=12550910&amp;VALUEID=01001&amp;SDATE=201002&amp;PERIODTYPE=QTR_STD&amp;window=popup_no_bar&amp;width=385&amp;height=120&amp;START_MAXIMIZED=FALSE&amp;creator=factset&amp;display_string=Audit"}</definedName>
    <definedName name="_1745__FDSAUDITLINK__" hidden="1">{"fdsup://Directions/FactSet Auditing Viewer?action=AUDIT_VALUE&amp;DB=129&amp;ID1=12541W20&amp;VALUEID=01001&amp;SDATE=200902&amp;PERIODTYPE=QTR_STD&amp;window=popup_no_bar&amp;width=385&amp;height=120&amp;START_MAXIMIZED=FALSE&amp;creator=factset&amp;display_string=Audit"}</definedName>
    <definedName name="_1746__FDSAUDITLINK__" hidden="1">{"fdsup://Directions/FactSet Auditing Viewer?action=AUDIT_VALUE&amp;DB=129&amp;ID1=12541W20&amp;VALUEID=01001&amp;SDATE=201002&amp;PERIODTYPE=QTR_STD&amp;window=popup_no_bar&amp;width=385&amp;height=120&amp;START_MAXIMIZED=FALSE&amp;creator=factset&amp;display_string=Audit"}</definedName>
    <definedName name="_1747__FDSAUDITLINK__" hidden="1">{"fdsup://Directions/FactSet Auditing Viewer?action=AUDIT_VALUE&amp;DB=129&amp;ID1=16516710&amp;VALUEID=01001&amp;SDATE=200902&amp;PERIODTYPE=QTR_STD&amp;window=popup_no_bar&amp;width=385&amp;height=120&amp;START_MAXIMIZED=FALSE&amp;creator=factset&amp;display_string=Audit"}</definedName>
    <definedName name="_1748__FDSAUDITLINK__" hidden="1">{"fdsup://Directions/FactSet Auditing Viewer?action=AUDIT_VALUE&amp;DB=129&amp;ID1=16516710&amp;VALUEID=01001&amp;SDATE=201002&amp;PERIODTYPE=QTR_STD&amp;window=popup_no_bar&amp;width=385&amp;height=120&amp;START_MAXIMIZED=FALSE&amp;creator=factset&amp;display_string=Audit"}</definedName>
    <definedName name="_1749__FDSAUDITLINK__" hidden="1">{"fdsup://Directions/FactSet Auditing Viewer?action=AUDIT_VALUE&amp;DB=129&amp;ID1=14170T10&amp;VALUEID=01001&amp;SDATE=201004&amp;PERIODTYPE=QTR_STD&amp;window=popup_no_bar&amp;width=385&amp;height=120&amp;START_MAXIMIZED=FALSE&amp;creator=factset&amp;display_string=Audit"}</definedName>
    <definedName name="_175__FDSAUDITLINK__"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0__FDSAUDITLINK__" hidden="1">{"fdsup://Directions/FactSet Auditing Viewer?action=AUDIT_VALUE&amp;DB=129&amp;ID1=12526910&amp;VALUEID=01001&amp;SDATE=200902&amp;PERIODTYPE=QTR_STD&amp;window=popup_no_bar&amp;width=385&amp;height=120&amp;START_MAXIMIZED=FALSE&amp;creator=factset&amp;display_string=Audit"}</definedName>
    <definedName name="_1751__FDSAUDITLINK__" hidden="1">{"fdsup://Directions/FactSet Auditing Viewer?action=AUDIT_VALUE&amp;DB=129&amp;ID1=12526910&amp;VALUEID=01001&amp;SDATE=201002&amp;PERIODTYPE=QTR_STD&amp;window=popup_no_bar&amp;width=385&amp;height=120&amp;START_MAXIMIZED=FALSE&amp;creator=factset&amp;display_string=Audit"}</definedName>
    <definedName name="_1752__FDSAUDITLINK__" hidden="1">{"fdsup://Directions/FactSet Auditing Viewer?action=AUDIT_VALUE&amp;DB=129&amp;ID1=15678210&amp;VALUEID=01001&amp;SDATE=200902&amp;PERIODTYPE=QTR_STD&amp;window=popup_no_bar&amp;width=385&amp;height=120&amp;START_MAXIMIZED=FALSE&amp;creator=factset&amp;display_string=Audit"}</definedName>
    <definedName name="_1753__FDSAUDITLINK__" hidden="1">{"fdsup://Directions/FactSet Auditing Viewer?action=AUDIT_VALUE&amp;DB=129&amp;ID1=15678210&amp;VALUEID=01001&amp;SDATE=201002&amp;PERIODTYPE=QTR_STD&amp;window=popup_no_bar&amp;width=385&amp;height=120&amp;START_MAXIMIZED=FALSE&amp;creator=factset&amp;display_string=Audit"}</definedName>
    <definedName name="_1754__FDSAUDITLINK__" hidden="1">{"fdsup://Directions/FactSet Auditing Viewer?action=AUDIT_VALUE&amp;DB=129&amp;ID1=15670810&amp;VALUEID=01001&amp;SDATE=200902&amp;PERIODTYPE=QTR_STD&amp;window=popup_no_bar&amp;width=385&amp;height=120&amp;START_MAXIMIZED=FALSE&amp;creator=factset&amp;display_string=Audit"}</definedName>
    <definedName name="_1755__FDSAUDITLINK__" hidden="1">{"fdsup://Directions/FactSet Auditing Viewer?action=AUDIT_VALUE&amp;DB=129&amp;ID1=15670810&amp;VALUEID=01001&amp;SDATE=201002&amp;PERIODTYPE=QTR_STD&amp;window=popup_no_bar&amp;width=385&amp;height=120&amp;START_MAXIMIZED=FALSE&amp;creator=factset&amp;display_string=Audit"}</definedName>
    <definedName name="_1756__FDSAUDITLINK__" hidden="1">{"fdsup://Directions/FactSet Auditing Viewer?action=AUDIT_VALUE&amp;DB=129&amp;ID1=15102010&amp;VALUEID=01001&amp;SDATE=200902&amp;PERIODTYPE=QTR_STD&amp;window=popup_no_bar&amp;width=385&amp;height=120&amp;START_MAXIMIZED=FALSE&amp;creator=factset&amp;display_string=Audit"}</definedName>
    <definedName name="_1757__FDSAUDITLINK__" hidden="1">{"fdsup://Directions/FactSet Auditing Viewer?action=AUDIT_VALUE&amp;DB=129&amp;ID1=15102010&amp;VALUEID=01001&amp;SDATE=201002&amp;PERIODTYPE=QTR_STD&amp;window=popup_no_bar&amp;width=385&amp;height=120&amp;START_MAXIMIZED=FALSE&amp;creator=factset&amp;display_string=Audit"}</definedName>
    <definedName name="_1758__FDSAUDITLINK__" hidden="1">{"fdsup://Directions/FactSet Auditing Viewer?action=AUDIT_VALUE&amp;DB=129&amp;ID1=21037110&amp;VALUEID=01001&amp;SDATE=200902&amp;PERIODTYPE=QTR_STD&amp;window=popup_no_bar&amp;width=385&amp;height=120&amp;START_MAXIMIZED=FALSE&amp;creator=factset&amp;display_string=Audit"}</definedName>
    <definedName name="_1759__FDSAUDITLINK__" hidden="1">{"fdsup://Directions/FactSet Auditing Viewer?action=AUDIT_VALUE&amp;DB=129&amp;ID1=21037110&amp;VALUEID=01001&amp;SDATE=201002&amp;PERIODTYPE=QTR_STD&amp;window=popup_no_bar&amp;width=385&amp;height=120&amp;START_MAXIMIZED=FALSE&amp;creator=factset&amp;display_string=Audit"}</definedName>
    <definedName name="_176__FDSAUDITLINK__"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0__FDSAUDITLINK__" hidden="1">{"fdsup://Directions/FactSet Auditing Viewer?action=AUDIT_VALUE&amp;DB=129&amp;ID1=14365830&amp;VALUEID=01001&amp;SDATE=200902&amp;PERIODTYPE=QTR_STD&amp;window=popup_no_bar&amp;width=385&amp;height=120&amp;START_MAXIMIZED=FALSE&amp;creator=factset&amp;display_string=Audit"}</definedName>
    <definedName name="_1761__FDSAUDITLINK__" hidden="1">{"fdsup://Directions/FactSet Auditing Viewer?action=AUDIT_VALUE&amp;DB=129&amp;ID1=14365830&amp;VALUEID=01001&amp;SDATE=201002&amp;PERIODTYPE=QTR_STD&amp;window=popup_no_bar&amp;width=385&amp;height=120&amp;START_MAXIMIZED=FALSE&amp;creator=factset&amp;display_string=Audit"}</definedName>
    <definedName name="_1762__FDSAUDITLINK__" hidden="1">{"fdsup://Directions/FactSet Auditing Viewer?action=AUDIT_VALUE&amp;DB=129&amp;ID1=19121910&amp;VALUEID=01001&amp;SDATE=200902&amp;PERIODTYPE=QTR_STD&amp;window=popup_no_bar&amp;width=385&amp;height=120&amp;START_MAXIMIZED=FALSE&amp;creator=factset&amp;display_string=Audit"}</definedName>
    <definedName name="_1763__FDSAUDITLINK__" hidden="1">{"fdsup://Directions/FactSet Auditing Viewer?action=AUDIT_VALUE&amp;DB=129&amp;ID1=19121910&amp;VALUEID=01001&amp;SDATE=201002&amp;PERIODTYPE=QTR_STD&amp;window=popup_no_bar&amp;width=385&amp;height=120&amp;START_MAXIMIZED=FALSE&amp;creator=factset&amp;display_string=Audit"}</definedName>
    <definedName name="_1764__FDSAUDITLINK__" hidden="1">{"fdsup://Directions/FactSet Auditing Viewer?action=AUDIT_VALUE&amp;DB=129&amp;ID1=12485720&amp;VALUEID=01001&amp;SDATE=200902&amp;PERIODTYPE=QTR_STD&amp;window=popup_no_bar&amp;width=385&amp;height=120&amp;START_MAXIMIZED=FALSE&amp;creator=factset&amp;display_string=Audit"}</definedName>
    <definedName name="_1765__FDSAUDITLINK__" hidden="1">{"fdsup://Directions/FactSet Auditing Viewer?action=AUDIT_VALUE&amp;DB=129&amp;ID1=12485720&amp;VALUEID=01001&amp;SDATE=201002&amp;PERIODTYPE=QTR_STD&amp;window=popup_no_bar&amp;width=385&amp;height=120&amp;START_MAXIMIZED=FALSE&amp;creator=factset&amp;display_string=Audit"}</definedName>
    <definedName name="_1766__FDSAUDITLINK__" hidden="1">{"fdsup://Directions/FactSet Auditing Viewer?action=AUDIT_VALUE&amp;DB=129&amp;ID1=12497T10&amp;VALUEID=01001&amp;SDATE=200902&amp;PERIODTYPE=QTR_STD&amp;window=popup_no_bar&amp;width=385&amp;height=120&amp;START_MAXIMIZED=FALSE&amp;creator=factset&amp;display_string=Audit"}</definedName>
    <definedName name="_1767__FDSAUDITLINK__" hidden="1">{"fdsup://Directions/FactSet Auditing Viewer?action=AUDIT_VALUE&amp;DB=129&amp;ID1=12497T10&amp;VALUEID=01001&amp;SDATE=201002&amp;PERIODTYPE=QTR_STD&amp;window=popup_no_bar&amp;width=385&amp;height=120&amp;START_MAXIMIZED=FALSE&amp;creator=factset&amp;display_string=Audit"}</definedName>
    <definedName name="_1768__FDSAUDITLINK__" hidden="1">{"fdsup://Directions/FactSet Auditing Viewer?action=AUDIT_VALUE&amp;DB=129&amp;ID1=17123210&amp;VALUEID=01001&amp;SDATE=200902&amp;PERIODTYPE=QTR_STD&amp;window=popup_no_bar&amp;width=385&amp;height=120&amp;START_MAXIMIZED=FALSE&amp;creator=factset&amp;display_string=Audit"}</definedName>
    <definedName name="_1769__FDSAUDITLINK__" hidden="1">{"fdsup://Directions/FactSet Auditing Viewer?action=AUDIT_VALUE&amp;DB=129&amp;ID1=17123210&amp;VALUEID=01001&amp;SDATE=201002&amp;PERIODTYPE=QTR_STD&amp;window=popup_no_bar&amp;width=385&amp;height=120&amp;START_MAXIMIZED=FALSE&amp;creator=factset&amp;display_string=Audit"}</definedName>
    <definedName name="_177__FDSAUDITLINK__"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0__FDSAUDITLINK__" hidden="1">{"fdsup://Directions/FactSet Auditing Viewer?action=AUDIT_VALUE&amp;DB=129&amp;ID1=14912310&amp;VALUEID=01001&amp;SDATE=201002&amp;PERIODTYPE=QTR_STD&amp;window=popup_no_bar&amp;width=385&amp;height=120&amp;START_MAXIMIZED=FALSE&amp;creator=factset&amp;display_string=Audit"}</definedName>
    <definedName name="_1771__FDSAUDITLINK__" hidden="1">{"fdsup://Directions/FactSet Auditing Viewer?action=AUDIT_VALUE&amp;DB=129&amp;ID1=13342B10&amp;VALUEID=01001&amp;SDATE=200902&amp;PERIODTYPE=QTR_STD&amp;window=popup_no_bar&amp;width=385&amp;height=120&amp;START_MAXIMIZED=FALSE&amp;creator=factset&amp;display_string=Audit"}</definedName>
    <definedName name="_1772__FDSAUDITLINK__" hidden="1">{"fdsup://Directions/FactSet Auditing Viewer?action=AUDIT_VALUE&amp;DB=129&amp;ID1=13342B10&amp;VALUEID=01001&amp;SDATE=201002&amp;PERIODTYPE=QTR_STD&amp;window=popup_no_bar&amp;width=385&amp;height=120&amp;START_MAXIMIZED=FALSE&amp;creator=factset&amp;display_string=Audit"}</definedName>
    <definedName name="_1773__FDSAUDITLINK__" hidden="1">{"fdsup://Directions/FactSet Auditing Viewer?action=AUDIT_VALUE&amp;DB=129&amp;ID1=14149Y10&amp;VALUEID=01001&amp;SDATE=201004&amp;PERIODTYPE=QTR_STD&amp;window=popup_no_bar&amp;width=385&amp;height=120&amp;START_MAXIMIZED=FALSE&amp;creator=factset&amp;display_string=Audit"}</definedName>
    <definedName name="_1774__FDSAUDITLINK__" hidden="1">{"fdsup://Directions/FactSet Auditing Viewer?action=AUDIT_VALUE&amp;DB=129&amp;ID1=20588710&amp;VALUEID=01001&amp;SDATE=200804&amp;PERIODTYPE=QTR_STD&amp;window=popup_no_bar&amp;width=385&amp;height=120&amp;START_MAXIMIZED=FALSE&amp;creator=factset&amp;display_string=Audit"}</definedName>
    <definedName name="_1775__FDSAUDITLINK__" hidden="1">{"fdsup://Directions/FactSet Auditing Viewer?action=AUDIT_VALUE&amp;DB=129&amp;ID1=20588710&amp;VALUEID=01001&amp;SDATE=200904&amp;PERIODTYPE=QTR_STD&amp;window=popup_no_bar&amp;width=385&amp;height=120&amp;START_MAXIMIZED=FALSE&amp;creator=factset&amp;display_string=Audit"}</definedName>
    <definedName name="_1776__FDSAUDITLINK__" hidden="1">{"fdsup://Directions/FactSet Auditing Viewer?action=AUDIT_VALUE&amp;DB=129&amp;ID1=12673P10&amp;VALUEID=01001&amp;SDATE=200901&amp;PERIODTYPE=QTR_STD&amp;window=popup_no_bar&amp;width=385&amp;height=120&amp;START_MAXIMIZED=FALSE&amp;creator=factset&amp;display_string=Audit"}</definedName>
    <definedName name="_1777__FDSAUDITLINK__" hidden="1">{"fdsup://Directions/FactSet Auditing Viewer?action=AUDIT_VALUE&amp;DB=129&amp;ID1=12673P10&amp;VALUEID=01001&amp;SDATE=201001&amp;PERIODTYPE=QTR_STD&amp;window=popup_no_bar&amp;width=385&amp;height=120&amp;START_MAXIMIZED=FALSE&amp;creator=factset&amp;display_string=Audit"}</definedName>
    <definedName name="_1778__FDSAUDITLINK__" hidden="1">{"fdsup://Directions/FactSet Auditing Viewer?action=AUDIT_VALUE&amp;DB=129&amp;ID1=70454910&amp;VALUEID=01001&amp;SDATE=200902&amp;PERIODTYPE=QTR_STD&amp;window=popup_no_bar&amp;width=385&amp;height=120&amp;START_MAXIMIZED=FALSE&amp;creator=factset&amp;display_string=Audit"}</definedName>
    <definedName name="_1779__FDSAUDITLINK__" hidden="1">{"fdsup://Directions/FactSet Auditing Viewer?action=AUDIT_VALUE&amp;DB=129&amp;ID1=70454910&amp;VALUEID=01001&amp;SDATE=201002&amp;PERIODTYPE=QTR_STD&amp;window=popup_no_bar&amp;width=385&amp;height=120&amp;START_MAXIMIZED=FALSE&amp;creator=factset&amp;display_string=Audit"}</definedName>
    <definedName name="_178__FDSAUDITLINK__"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0__FDSAUDITLINK__" hidden="1">{"fdsup://Directions/FactSet Auditing Viewer?action=AUDIT_VALUE&amp;DB=129&amp;ID1=10113710&amp;VALUEID=01001&amp;SDATE=200902&amp;PERIODTYPE=QTR_STD&amp;window=popup_no_bar&amp;width=385&amp;height=120&amp;START_MAXIMIZED=FALSE&amp;creator=factset&amp;display_string=Audit"}</definedName>
    <definedName name="_1781__FDSAUDITLINK__" hidden="1">{"fdsup://Directions/FactSet Auditing Viewer?action=AUDIT_VALUE&amp;DB=129&amp;ID1=10113710&amp;VALUEID=01001&amp;SDATE=201002&amp;PERIODTYPE=QTR_STD&amp;window=popup_no_bar&amp;width=385&amp;height=120&amp;START_MAXIMIZED=FALSE&amp;creator=factset&amp;display_string=Audit"}</definedName>
    <definedName name="_1782__FDSAUDITLINK__" hidden="1">{"fdsup://Directions/FactSet Auditing Viewer?action=AUDIT_VALUE&amp;DB=129&amp;ID1=08467070&amp;VALUEID=01001&amp;SDATE=200902&amp;PERIODTYPE=QTR_STD&amp;window=popup_no_bar&amp;width=385&amp;height=120&amp;START_MAXIMIZED=FALSE&amp;creator=factset&amp;display_string=Audit"}</definedName>
    <definedName name="_1783__FDSAUDITLINK__" hidden="1">{"fdsup://Directions/FactSet Auditing Viewer?action=AUDIT_VALUE&amp;DB=129&amp;ID1=08467070&amp;VALUEID=01001&amp;SDATE=201002&amp;PERIODTYPE=QTR_STD&amp;window=popup_no_bar&amp;width=385&amp;height=120&amp;START_MAXIMIZED=FALSE&amp;creator=factset&amp;display_string=Audit"}</definedName>
    <definedName name="_1784__FDSAUDITLINK__" hidden="1">{"fdsup://Directions/FactSet Auditing Viewer?action=AUDIT_VALUE&amp;DB=129&amp;ID1=11132010&amp;VALUEID=01001&amp;SDATE=200902&amp;PERIODTYPE=QTR_STD&amp;window=popup_no_bar&amp;width=385&amp;height=120&amp;START_MAXIMIZED=FALSE&amp;creator=factset&amp;display_string=Audit"}</definedName>
    <definedName name="_1785__FDSAUDITLINK__" hidden="1">{"fdsup://Directions/FactSet Auditing Viewer?action=AUDIT_VALUE&amp;DB=129&amp;ID1=11132010&amp;VALUEID=01001&amp;SDATE=201002&amp;PERIODTYPE=QTR_STD&amp;window=popup_no_bar&amp;width=385&amp;height=120&amp;START_MAXIMIZED=FALSE&amp;creator=factset&amp;display_string=Audit"}</definedName>
    <definedName name="_1786__FDSAUDITLINK__" hidden="1">{"fdsup://Directions/FactSet Auditing Viewer?action=AUDIT_VALUE&amp;DB=129&amp;ID1=11012210&amp;VALUEID=01001&amp;SDATE=200902&amp;PERIODTYPE=QTR_STD&amp;window=popup_no_bar&amp;width=385&amp;height=120&amp;START_MAXIMIZED=FALSE&amp;creator=factset&amp;display_string=Audit"}</definedName>
    <definedName name="_1787__FDSAUDITLINK__" hidden="1">{"fdsup://Directions/FactSet Auditing Viewer?action=AUDIT_VALUE&amp;DB=129&amp;ID1=11012210&amp;VALUEID=01001&amp;SDATE=201002&amp;PERIODTYPE=QTR_STD&amp;window=popup_no_bar&amp;width=385&amp;height=120&amp;START_MAXIMIZED=FALSE&amp;creator=factset&amp;display_string=Audit"}</definedName>
    <definedName name="_1788__FDSAUDITLINK__" hidden="1">{"fdsup://Directions/FactSet Auditing Viewer?action=AUDIT_VALUE&amp;DB=129&amp;ID1=08143710&amp;VALUEID=01001&amp;SDATE=200902&amp;PERIODTYPE=QTR_STD&amp;window=popup_no_bar&amp;width=385&amp;height=120&amp;START_MAXIMIZED=FALSE&amp;creator=factset&amp;display_string=Audit"}</definedName>
    <definedName name="_1789__FDSAUDITLINK__" hidden="1">{"fdsup://Directions/FactSet Auditing Viewer?action=AUDIT_VALUE&amp;DB=129&amp;ID1=08143710&amp;VALUEID=01001&amp;SDATE=201002&amp;PERIODTYPE=QTR_STD&amp;window=popup_no_bar&amp;width=385&amp;height=120&amp;START_MAXIMIZED=FALSE&amp;creator=factset&amp;display_string=Audit"}</definedName>
    <definedName name="_179__FDSAUDITLINK__"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0__FDSAUDITLINK__" hidden="1">{"fdsup://Directions/FactSet Auditing Viewer?action=AUDIT_VALUE&amp;DB=129&amp;ID1=05592110&amp;VALUEID=01001&amp;SDATE=200901&amp;PERIODTYPE=QTR_STD&amp;window=popup_no_bar&amp;width=385&amp;height=120&amp;START_MAXIMIZED=FALSE&amp;creator=factset&amp;display_string=Audit"}</definedName>
    <definedName name="_1791__FDSAUDITLINK__" hidden="1">{"fdsup://Directions/FactSet Auditing Viewer?action=AUDIT_VALUE&amp;DB=129&amp;ID1=05592110&amp;VALUEID=01001&amp;SDATE=201001&amp;PERIODTYPE=QTR_STD&amp;window=popup_no_bar&amp;width=385&amp;height=120&amp;START_MAXIMIZED=FALSE&amp;creator=factset&amp;display_string=Audit"}</definedName>
    <definedName name="_1792__FDSAUDITLINK__" hidden="1">{"fdsup://Directions/FactSet Auditing Viewer?action=AUDIT_VALUE&amp;DB=129&amp;ID1=05849810&amp;VALUEID=01001&amp;SDATE=200902&amp;PERIODTYPE=QTR_STD&amp;window=popup_no_bar&amp;width=385&amp;height=120&amp;START_MAXIMIZED=FALSE&amp;creator=factset&amp;display_string=Audit"}</definedName>
    <definedName name="_1793__FDSAUDITLINK__" hidden="1">{"fdsup://Directions/FactSet Auditing Viewer?action=AUDIT_VALUE&amp;DB=129&amp;ID1=05849810&amp;VALUEID=01001&amp;SDATE=201002&amp;PERIODTYPE=QTR_STD&amp;window=popup_no_bar&amp;width=385&amp;height=120&amp;START_MAXIMIZED=FALSE&amp;creator=factset&amp;display_string=Audit"}</definedName>
    <definedName name="_1794__FDSAUDITLINK__" hidden="1">{"fdsup://Directions/FactSet Auditing Viewer?action=AUDIT_VALUE&amp;DB=129&amp;ID1=09062X10&amp;VALUEID=01001&amp;SDATE=200902&amp;PERIODTYPE=QTR_STD&amp;window=popup_no_bar&amp;width=385&amp;height=120&amp;START_MAXIMIZED=FALSE&amp;creator=factset&amp;display_string=Audit"}</definedName>
    <definedName name="_1795__FDSAUDITLINK__" hidden="1">{"fdsup://Directions/FactSet Auditing Viewer?action=AUDIT_VALUE&amp;DB=129&amp;ID1=09062X10&amp;VALUEID=01001&amp;SDATE=201002&amp;PERIODTYPE=QTR_STD&amp;window=popup_no_bar&amp;width=385&amp;height=120&amp;START_MAXIMIZED=FALSE&amp;creator=factset&amp;display_string=Audit"}</definedName>
    <definedName name="_1796__FDSAUDITLINK__" hidden="1">{"fdsup://Directions/FactSet Auditing Viewer?action=AUDIT_VALUE&amp;DB=129&amp;ID1=08930210&amp;VALUEID=01001&amp;SDATE=200901&amp;PERIODTYPE=QTR_STD&amp;window=popup_no_bar&amp;width=385&amp;height=120&amp;START_MAXIMIZED=FALSE&amp;creator=factset&amp;display_string=Audit"}</definedName>
    <definedName name="_1797__FDSAUDITLINK__" hidden="1">{"fdsup://Directions/FactSet Auditing Viewer?action=AUDIT_VALUE&amp;DB=129&amp;ID1=08930210&amp;VALUEID=01001&amp;SDATE=201001&amp;PERIODTYPE=QTR_STD&amp;window=popup_no_bar&amp;width=385&amp;height=120&amp;START_MAXIMIZED=FALSE&amp;creator=factset&amp;display_string=Audit"}</definedName>
    <definedName name="_1798__FDSAUDITLINK__" hidden="1">{"fdsup://Directions/FactSet Auditing Viewer?action=AUDIT_VALUE&amp;DB=129&amp;ID1=05722410&amp;VALUEID=01001&amp;SDATE=200902&amp;PERIODTYPE=QTR_STD&amp;window=popup_no_bar&amp;width=385&amp;height=120&amp;START_MAXIMIZED=FALSE&amp;creator=factset&amp;display_string=Audit"}</definedName>
    <definedName name="_1799__FDSAUDITLINK__" hidden="1">{"fdsup://Directions/FactSet Auditing Viewer?action=AUDIT_VALUE&amp;DB=129&amp;ID1=05722410&amp;VALUEID=01001&amp;SDATE=201002&amp;PERIODTYPE=QTR_STD&amp;window=popup_no_bar&amp;width=385&amp;height=120&amp;START_MAXIMIZED=FALSE&amp;creator=factset&amp;display_string=Audit"}</definedName>
    <definedName name="_18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180__FDSAUDITLINK__"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0__FDSAUDITLINK__" hidden="1">{"fdsup://Directions/FactSet Auditing Viewer?action=AUDIT_VALUE&amp;DB=129&amp;ID1=11563720&amp;VALUEID=01001&amp;SDATE=200904&amp;PERIODTYPE=QTR_STD&amp;window=popup_no_bar&amp;width=385&amp;height=120&amp;START_MAXIMIZED=FALSE&amp;creator=factset&amp;display_string=Audit"}</definedName>
    <definedName name="_1801__FDSAUDITLINK__" hidden="1">{"fdsup://Directions/FactSet Auditing Viewer?action=AUDIT_VALUE&amp;DB=129&amp;ID1=35461310&amp;VALUEID=01001&amp;SDATE=200903&amp;PERIODTYPE=QTR_STD&amp;window=popup_no_bar&amp;width=385&amp;height=120&amp;START_MAXIMIZED=FALSE&amp;creator=factset&amp;display_string=Audit"}</definedName>
    <definedName name="_1802__FDSAUDITLINK__" hidden="1">{"fdsup://Directions/FactSet Auditing Viewer?action=AUDIT_VALUE&amp;DB=129&amp;ID1=35461310&amp;VALUEID=01001&amp;SDATE=201003&amp;PERIODTYPE=QTR_STD&amp;window=popup_no_bar&amp;width=385&amp;height=120&amp;START_MAXIMIZED=FALSE&amp;creator=factset&amp;display_string=Audit"}</definedName>
    <definedName name="_1803__FDSAUDITLINK__" hidden="1">{"fdsup://Directions/FactSet Auditing Viewer?action=AUDIT_VALUE&amp;DB=129&amp;ID1=07588710&amp;VALUEID=01001&amp;SDATE=200903&amp;PERIODTYPE=QTR_STD&amp;window=popup_no_bar&amp;width=385&amp;height=120&amp;START_MAXIMIZED=FALSE&amp;creator=factset&amp;display_string=Audit"}</definedName>
    <definedName name="_1804__FDSAUDITLINK__" hidden="1">{"fdsup://Directions/FactSet Auditing Viewer?action=AUDIT_VALUE&amp;DB=129&amp;ID1=07588710&amp;VALUEID=01001&amp;SDATE=201003&amp;PERIODTYPE=QTR_STD&amp;window=popup_no_bar&amp;width=385&amp;height=120&amp;START_MAXIMIZED=FALSE&amp;creator=factset&amp;display_string=Audit"}</definedName>
    <definedName name="_1805__FDSAUDITLINK__" hidden="1">{"fdsup://Directions/FactSet Auditing Viewer?action=AUDIT_VALUE&amp;DB=129&amp;ID1=06738310&amp;VALUEID=01001&amp;SDATE=200902&amp;PERIODTYPE=QTR_STD&amp;window=popup_no_bar&amp;width=385&amp;height=120&amp;START_MAXIMIZED=FALSE&amp;creator=factset&amp;display_string=Audit"}</definedName>
    <definedName name="_1806__FDSAUDITLINK__" hidden="1">{"fdsup://Directions/FactSet Auditing Viewer?action=AUDIT_VALUE&amp;DB=129&amp;ID1=06738310&amp;VALUEID=01001&amp;SDATE=201002&amp;PERIODTYPE=QTR_STD&amp;window=popup_no_bar&amp;width=385&amp;height=120&amp;START_MAXIMIZED=FALSE&amp;creator=factset&amp;display_string=Audit"}</definedName>
    <definedName name="_1807__FDSAUDITLINK__" hidden="1">{"fdsup://Directions/FactSet Auditing Viewer?action=AUDIT_VALUE&amp;DB=129&amp;ID1=08651610&amp;VALUEID=01001&amp;SDATE=200901&amp;PERIODTYPE=QTR_STD&amp;window=popup_no_bar&amp;width=385&amp;height=120&amp;START_MAXIMIZED=FALSE&amp;creator=factset&amp;display_string=Audit"}</definedName>
    <definedName name="_1808__FDSAUDITLINK__" hidden="1">{"fdsup://Directions/FactSet Auditing Viewer?action=AUDIT_VALUE&amp;DB=129&amp;ID1=08651610&amp;VALUEID=01001&amp;SDATE=201001&amp;PERIODTYPE=QTR_STD&amp;window=popup_no_bar&amp;width=385&amp;height=120&amp;START_MAXIMIZED=FALSE&amp;creator=factset&amp;display_string=Audit"}</definedName>
    <definedName name="_1809__FDSAUDITLINK__" hidden="1">{"fdsup://Directions/FactSet Auditing Viewer?action=AUDIT_VALUE&amp;DB=129&amp;ID1=07589610&amp;VALUEID=01001&amp;SDATE=200901&amp;PERIODTYPE=QTR_STD&amp;window=popup_no_bar&amp;width=385&amp;height=120&amp;START_MAXIMIZED=FALSE&amp;creator=factset&amp;display_string=Audit"}</definedName>
    <definedName name="_181__FDSAUDITLINK__"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0__FDSAUDITLINK__" hidden="1">{"fdsup://Directions/FactSet Auditing Viewer?action=AUDIT_VALUE&amp;DB=129&amp;ID1=07589610&amp;VALUEID=01001&amp;SDATE=201001&amp;PERIODTYPE=QTR_STD&amp;window=popup_no_bar&amp;width=385&amp;height=120&amp;START_MAXIMIZED=FALSE&amp;creator=factset&amp;display_string=Audit"}</definedName>
    <definedName name="_1811__FDSAUDITLINK__" hidden="1">{"fdsup://Directions/FactSet Auditing Viewer?action=AUDIT_VALUE&amp;DB=129&amp;ID1=07181310&amp;VALUEID=01001&amp;SDATE=200902&amp;PERIODTYPE=QTR_STD&amp;window=popup_no_bar&amp;width=385&amp;height=120&amp;START_MAXIMIZED=FALSE&amp;creator=factset&amp;display_string=Audit"}</definedName>
    <definedName name="_1812__FDSAUDITLINK__" hidden="1">{"fdsup://Directions/FactSet Auditing Viewer?action=AUDIT_VALUE&amp;DB=129&amp;ID1=07181310&amp;VALUEID=01001&amp;SDATE=201002&amp;PERIODTYPE=QTR_STD&amp;window=popup_no_bar&amp;width=385&amp;height=120&amp;START_MAXIMIZED=FALSE&amp;creator=factset&amp;display_string=Audit"}</definedName>
    <definedName name="_1813__FDSAUDITLINK__" hidden="1">{"fdsup://Directions/FactSet Auditing Viewer?action=AUDIT_VALUE&amp;DB=129&amp;ID1=09702310&amp;VALUEID=01001&amp;SDATE=200902&amp;PERIODTYPE=QTR_STD&amp;window=popup_no_bar&amp;width=385&amp;height=120&amp;START_MAXIMIZED=FALSE&amp;creator=factset&amp;display_string=Audit"}</definedName>
    <definedName name="_1814__FDSAUDITLINK__" hidden="1">{"fdsup://Directions/FactSet Auditing Viewer?action=AUDIT_VALUE&amp;DB=129&amp;ID1=09702310&amp;VALUEID=01001&amp;SDATE=201002&amp;PERIODTYPE=QTR_STD&amp;window=popup_no_bar&amp;width=385&amp;height=120&amp;START_MAXIMIZED=FALSE&amp;creator=factset&amp;display_string=Audit"}</definedName>
    <definedName name="_1815__FDSAUDITLINK__" hidden="1">{"fdsup://Directions/FactSet Auditing Viewer?action=AUDIT_VALUE&amp;DB=129&amp;ID1=05333210&amp;VALUEID=01001&amp;SDATE=200903&amp;PERIODTYPE=QTR_STD&amp;window=popup_no_bar&amp;width=385&amp;height=120&amp;START_MAXIMIZED=FALSE&amp;creator=factset&amp;display_string=Audit"}</definedName>
    <definedName name="_1816__FDSAUDITLINK__" hidden="1">{"fdsup://Directions/FactSet Auditing Viewer?action=AUDIT_VALUE&amp;DB=129&amp;ID1=05333210&amp;VALUEID=01001&amp;SDATE=201003&amp;PERIODTYPE=QTR_STD&amp;window=popup_no_bar&amp;width=385&amp;height=120&amp;START_MAXIMIZED=FALSE&amp;creator=factset&amp;display_string=Audit"}</definedName>
    <definedName name="_1817__FDSAUDITLINK__" hidden="1">{"fdsup://Directions/FactSet Auditing Viewer?action=AUDIT_VALUE&amp;DB=129&amp;ID1=01736110&amp;VALUEID=01001&amp;SDATE=200902&amp;PERIODTYPE=QTR_STD&amp;window=popup_no_bar&amp;width=385&amp;height=120&amp;START_MAXIMIZED=FALSE&amp;creator=factset&amp;display_string=Audit"}</definedName>
    <definedName name="_1818__FDSAUDITLINK__" hidden="1">{"fdsup://Directions/FactSet Auditing Viewer?action=AUDIT_VALUE&amp;DB=129&amp;ID1=01736110&amp;VALUEID=01001&amp;SDATE=201002&amp;PERIODTYPE=QTR_STD&amp;window=popup_no_bar&amp;width=385&amp;height=120&amp;START_MAXIMIZED=FALSE&amp;creator=factset&amp;display_string=Audit"}</definedName>
    <definedName name="_1819__FDSAUDITLINK__" hidden="1">{"fdsup://Directions/FactSet Auditing Viewer?action=AUDIT_VALUE&amp;DB=129&amp;ID1=02581610&amp;VALUEID=01001&amp;SDATE=200902&amp;PERIODTYPE=QTR_STD&amp;window=popup_no_bar&amp;width=385&amp;height=120&amp;START_MAXIMIZED=FALSE&amp;creator=factset&amp;display_string=Audit"}</definedName>
    <definedName name="_182__FDSAUDITLINK__"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0__FDSAUDITLINK__" hidden="1">{"fdsup://Directions/FactSet Auditing Viewer?action=AUDIT_VALUE&amp;DB=129&amp;ID1=02581610&amp;VALUEID=01001&amp;SDATE=201002&amp;PERIODTYPE=QTR_STD&amp;window=popup_no_bar&amp;width=385&amp;height=120&amp;START_MAXIMIZED=FALSE&amp;creator=factset&amp;display_string=Audit"}</definedName>
    <definedName name="_1821__FDSAUDITLINK__" hidden="1">{"fdsup://Directions/FactSet Auditing Viewer?action=AUDIT_VALUE&amp;DB=129&amp;ID1=05361110&amp;VALUEID=01001&amp;SDATE=200902&amp;PERIODTYPE=QTR_STD&amp;window=popup_no_bar&amp;width=385&amp;height=120&amp;START_MAXIMIZED=FALSE&amp;creator=factset&amp;display_string=Audit"}</definedName>
    <definedName name="_1822__FDSAUDITLINK__" hidden="1">{"fdsup://Directions/FactSet Auditing Viewer?action=AUDIT_VALUE&amp;DB=129&amp;ID1=05361110&amp;VALUEID=01001&amp;SDATE=201002&amp;PERIODTYPE=QTR_STD&amp;window=popup_no_bar&amp;width=385&amp;height=120&amp;START_MAXIMIZED=FALSE&amp;creator=factset&amp;display_string=Audit"}</definedName>
    <definedName name="_1823__FDSAUDITLINK__" hidden="1">{"fdsup://Directions/FactSet Auditing Viewer?action=AUDIT_VALUE&amp;DB=129&amp;ID1=05430310&amp;VALUEID=01001&amp;SDATE=200902&amp;PERIODTYPE=QTR_STD&amp;window=popup_no_bar&amp;width=385&amp;height=120&amp;START_MAXIMIZED=FALSE&amp;creator=factset&amp;display_string=Audit"}</definedName>
    <definedName name="_1824__FDSAUDITLINK__" hidden="1">{"fdsup://Directions/FactSet Auditing Viewer?action=AUDIT_VALUE&amp;DB=129&amp;ID1=05430310&amp;VALUEID=01001&amp;SDATE=201002&amp;PERIODTYPE=QTR_STD&amp;window=popup_no_bar&amp;width=385&amp;height=120&amp;START_MAXIMIZED=FALSE&amp;creator=factset&amp;display_string=Audit"}</definedName>
    <definedName name="_1825__FDSAUDITLINK__" hidden="1">{"fdsup://Directions/FactSet Auditing Viewer?action=AUDIT_VALUE&amp;DB=129&amp;ID1=05348410&amp;VALUEID=01001&amp;SDATE=200902&amp;PERIODTYPE=QTR_STD&amp;window=popup_no_bar&amp;width=385&amp;height=120&amp;START_MAXIMIZED=FALSE&amp;creator=factset&amp;display_string=Audit"}</definedName>
    <definedName name="_1826__FDSAUDITLINK__" hidden="1">{"fdsup://Directions/FactSet Auditing Viewer?action=AUDIT_VALUE&amp;DB=129&amp;ID1=05348410&amp;VALUEID=01001&amp;SDATE=201002&amp;PERIODTYPE=QTR_STD&amp;window=popup_no_bar&amp;width=385&amp;height=120&amp;START_MAXIMIZED=FALSE&amp;creator=factset&amp;display_string=Audit"}</definedName>
    <definedName name="_1827__FDSAUDITLINK__" hidden="1">{"fdsup://Directions/FactSet Auditing Viewer?action=AUDIT_VALUE&amp;DB=129&amp;ID1=01741R10&amp;VALUEID=01001&amp;SDATE=200902&amp;PERIODTYPE=QTR_STD&amp;window=popup_no_bar&amp;width=385&amp;height=120&amp;START_MAXIMIZED=FALSE&amp;creator=factset&amp;display_string=Audit"}</definedName>
    <definedName name="_1828__FDSAUDITLINK__" hidden="1">{"fdsup://Directions/FactSet Auditing Viewer?action=AUDIT_VALUE&amp;DB=129&amp;ID1=01741R10&amp;VALUEID=01001&amp;SDATE=201002&amp;PERIODTYPE=QTR_STD&amp;window=popup_no_bar&amp;width=385&amp;height=120&amp;START_MAXIMIZED=FALSE&amp;creator=factset&amp;display_string=Audit"}</definedName>
    <definedName name="_1829__FDSAUDITLINK__" hidden="1">{"fdsup://Directions/FactSet Auditing Viewer?action=AUDIT_VALUE&amp;DB=129&amp;ID1=00936310&amp;VALUEID=01001&amp;SDATE=200901&amp;PERIODTYPE=QTR_STD&amp;window=popup_no_bar&amp;width=385&amp;height=120&amp;START_MAXIMIZED=FALSE&amp;creator=factset&amp;display_string=Audit"}</definedName>
    <definedName name="_183__FDSAUDITLINK__"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0__FDSAUDITLINK__" hidden="1">{"fdsup://Directions/FactSet Auditing Viewer?action=AUDIT_VALUE&amp;DB=129&amp;ID1=00936310&amp;VALUEID=01001&amp;SDATE=201001&amp;PERIODTYPE=QTR_STD&amp;window=popup_no_bar&amp;width=385&amp;height=120&amp;START_MAXIMIZED=FALSE&amp;creator=factset&amp;display_string=Audit"}</definedName>
    <definedName name="_1831__FDSAUDITLINK__" hidden="1">{"fdsup://Directions/FactSet Auditing Viewer?action=AUDIT_VALUE&amp;DB=129&amp;ID1=03760410&amp;VALUEID=01001&amp;SDATE=200903&amp;PERIODTYPE=QTR_STD&amp;window=popup_no_bar&amp;width=385&amp;height=120&amp;START_MAXIMIZED=FALSE&amp;creator=factset&amp;display_string=Audit"}</definedName>
    <definedName name="_1832__FDSAUDITLINK__" hidden="1">{"fdsup://Directions/FactSet Auditing Viewer?action=AUDIT_VALUE&amp;DB=129&amp;ID1=03760410&amp;VALUEID=01001&amp;SDATE=201003&amp;PERIODTYPE=QTR_STD&amp;window=popup_no_bar&amp;width=385&amp;height=120&amp;START_MAXIMIZED=FALSE&amp;creator=factset&amp;display_string=Audit"}</definedName>
    <definedName name="_1833__FDSAUDITLINK__" hidden="1">{"fdsup://Directions/FactSet Auditing Viewer?action=AUDIT_VALUE&amp;DB=129&amp;ID1=03209510&amp;VALUEID=01001&amp;SDATE=200902&amp;PERIODTYPE=QTR_STD&amp;window=popup_no_bar&amp;width=385&amp;height=120&amp;START_MAXIMIZED=FALSE&amp;creator=factset&amp;display_string=Audit"}</definedName>
    <definedName name="_1834__FDSAUDITLINK__" hidden="1">{"fdsup://Directions/FactSet Auditing Viewer?action=AUDIT_VALUE&amp;DB=129&amp;ID1=03209510&amp;VALUEID=01001&amp;SDATE=201002&amp;PERIODTYPE=QTR_STD&amp;window=popup_no_bar&amp;width=385&amp;height=120&amp;START_MAXIMIZED=FALSE&amp;creator=factset&amp;display_string=Audit"}</definedName>
    <definedName name="_1835__FDSAUDITLINK__" hidden="1">{"fdsup://Directions/FactSet Auditing Viewer?action=AUDIT_VALUE&amp;DB=129&amp;ID1=00915810&amp;VALUEID=01001&amp;SDATE=200903&amp;PERIODTYPE=QTR_STD&amp;window=popup_no_bar&amp;width=385&amp;height=120&amp;START_MAXIMIZED=FALSE&amp;creator=factset&amp;display_string=Audit"}</definedName>
    <definedName name="_1836__FDSAUDITLINK__" hidden="1">{"fdsup://Directions/FactSet Auditing Viewer?action=AUDIT_VALUE&amp;DB=129&amp;ID1=00915810&amp;VALUEID=01001&amp;SDATE=201003&amp;PERIODTYPE=QTR_STD&amp;window=popup_no_bar&amp;width=385&amp;height=120&amp;START_MAXIMIZED=FALSE&amp;creator=factset&amp;display_string=Audit"}</definedName>
    <definedName name="_1837__FDSAUDITLINK__" hidden="1">{"fdsup://Directions/FactSet Auditing Viewer?action=AUDIT_VALUE&amp;DB=129&amp;ID1=03251110&amp;VALUEID=01001&amp;SDATE=200902&amp;PERIODTYPE=QTR_STD&amp;window=popup_no_bar&amp;width=385&amp;height=120&amp;START_MAXIMIZED=FALSE&amp;creator=factset&amp;display_string=Audit"}</definedName>
    <definedName name="_1838__FDSAUDITLINK__" hidden="1">{"fdsup://Directions/FactSet Auditing Viewer?action=AUDIT_VALUE&amp;DB=129&amp;ID1=03251110&amp;VALUEID=01001&amp;SDATE=201002&amp;PERIODTYPE=QTR_STD&amp;window=popup_no_bar&amp;width=385&amp;height=120&amp;START_MAXIMIZED=FALSE&amp;creator=factset&amp;display_string=Audit"}</definedName>
    <definedName name="_1839__FDSAUDITLINK__" hidden="1">{"fdsup://Directions/FactSet Auditing Viewer?action=AUDIT_VALUE&amp;DB=129&amp;ID1=03741110&amp;VALUEID=01001&amp;SDATE=200902&amp;PERIODTYPE=QTR_STD&amp;window=popup_no_bar&amp;width=385&amp;height=120&amp;START_MAXIMIZED=FALSE&amp;creator=factset&amp;display_string=Audit"}</definedName>
    <definedName name="_184__FDSAUDITLINK__"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0__FDSAUDITLINK__" hidden="1">{"fdsup://Directions/FactSet Auditing Viewer?action=AUDIT_VALUE&amp;DB=129&amp;ID1=03741110&amp;VALUEID=01001&amp;SDATE=201002&amp;PERIODTYPE=QTR_STD&amp;window=popup_no_bar&amp;width=385&amp;height=120&amp;START_MAXIMIZED=FALSE&amp;creator=factset&amp;display_string=Audit"}</definedName>
    <definedName name="_1841__FDSAUDITLINK__" hidden="1">{"fdsup://Directions/FactSet Auditing Viewer?action=AUDIT_VALUE&amp;DB=129&amp;ID1=03738910&amp;VALUEID=01001&amp;SDATE=200902&amp;PERIODTYPE=QTR_STD&amp;window=popup_no_bar&amp;width=385&amp;height=120&amp;START_MAXIMIZED=FALSE&amp;creator=factset&amp;display_string=Audit"}</definedName>
    <definedName name="_1842__FDSAUDITLINK__" hidden="1">{"fdsup://Directions/FactSet Auditing Viewer?action=AUDIT_VALUE&amp;DB=129&amp;ID1=03738910&amp;VALUEID=01001&amp;SDATE=201002&amp;PERIODTYPE=QTR_STD&amp;window=popup_no_bar&amp;width=385&amp;height=120&amp;START_MAXIMIZED=FALSE&amp;creator=factset&amp;display_string=Audit"}</definedName>
    <definedName name="_1843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844__FDSAUDITLINK__" hidden="1">{"fdsup://Directions/FactSet Auditing Viewer?action=AUDIT_VALUE&amp;DB=129&amp;ID1=05329W10&amp;VALUEID=01001&amp;SDATE=200902&amp;PERIODTYPE=QTR_STD&amp;window=popup_no_bar&amp;width=385&amp;height=120&amp;START_MAXIMIZED=FALSE&amp;creator=factset&amp;display_string=Audit"}</definedName>
    <definedName name="_1845__FDSAUDITLINK__" hidden="1">{"fdsup://Directions/FactSet Auditing Viewer?action=AUDIT_VALUE&amp;DB=129&amp;ID1=05329W10&amp;VALUEID=01001&amp;SDATE=201002&amp;PERIODTYPE=QTR_STD&amp;window=popup_no_bar&amp;width=385&amp;height=120&amp;START_MAXIMIZED=FALSE&amp;creator=factset&amp;display_string=Audit"}</definedName>
    <definedName name="_1846__FDSAUDITLINK__" hidden="1">{"fdsup://Directions/FactSet Auditing Viewer?action=AUDIT_VALUE&amp;DB=129&amp;ID1=02313510&amp;VALUEID=01001&amp;SDATE=200902&amp;PERIODTYPE=QTR_STD&amp;window=popup_no_bar&amp;width=385&amp;height=120&amp;START_MAXIMIZED=FALSE&amp;creator=factset&amp;display_string=Audit"}</definedName>
    <definedName name="_1847__FDSAUDITLINK__" hidden="1">{"fdsup://Directions/FactSet Auditing Viewer?action=AUDIT_VALUE&amp;DB=129&amp;ID1=02313510&amp;VALUEID=01001&amp;SDATE=201002&amp;PERIODTYPE=QTR_STD&amp;window=popup_no_bar&amp;width=385&amp;height=120&amp;START_MAXIMIZED=FALSE&amp;creator=factset&amp;display_string=Audit"}</definedName>
    <definedName name="_1848__FDSAUDITLINK__" hidden="1">{"fdsup://Directions/FactSet Auditing Viewer?action=AUDIT_VALUE&amp;DB=129&amp;ID1=02991220&amp;VALUEID=01001&amp;SDATE=200902&amp;PERIODTYPE=QTR_STD&amp;window=popup_no_bar&amp;width=385&amp;height=120&amp;START_MAXIMIZED=FALSE&amp;creator=factset&amp;display_string=Audit"}</definedName>
    <definedName name="_1849__FDSAUDITLINK__" hidden="1">{"fdsup://Directions/FactSet Auditing Viewer?action=AUDIT_VALUE&amp;DB=129&amp;ID1=02991220&amp;VALUEID=01001&amp;SDATE=201002&amp;PERIODTYPE=QTR_STD&amp;window=popup_no_bar&amp;width=385&amp;height=120&amp;START_MAXIMIZED=FALSE&amp;creator=factset&amp;display_string=Audit"}</definedName>
    <definedName name="_185__FDSAUDITLINK__"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0__FDSAUDITLINK__" hidden="1">{"fdsup://Directions/FactSet Auditing Viewer?action=AUDIT_VALUE&amp;DB=129&amp;ID1=03076C10&amp;VALUEID=01001&amp;SDATE=200902&amp;PERIODTYPE=QTR_STD&amp;window=popup_no_bar&amp;width=385&amp;height=120&amp;START_MAXIMIZED=FALSE&amp;creator=factset&amp;display_string=Audit"}</definedName>
    <definedName name="_1851__FDSAUDITLINK__" hidden="1">{"fdsup://Directions/FactSet Auditing Viewer?action=AUDIT_VALUE&amp;DB=129&amp;ID1=03076C10&amp;VALUEID=01001&amp;SDATE=201002&amp;PERIODTYPE=QTR_STD&amp;window=popup_no_bar&amp;width=385&amp;height=120&amp;START_MAXIMIZED=FALSE&amp;creator=factset&amp;display_string=Audit"}</definedName>
    <definedName name="_1852__FDSAUDITLINK__" hidden="1">{"fdsup://Directions/FactSet Auditing Viewer?action=AUDIT_VALUE&amp;DB=129&amp;ID1=03116210&amp;VALUEID=01001&amp;SDATE=200902&amp;PERIODTYPE=QTR_STD&amp;window=popup_no_bar&amp;width=385&amp;height=120&amp;START_MAXIMIZED=FALSE&amp;creator=factset&amp;display_string=Audit"}</definedName>
    <definedName name="_1853__FDSAUDITLINK__" hidden="1">{"fdsup://Directions/FactSet Auditing Viewer?action=AUDIT_VALUE&amp;DB=129&amp;ID1=03116210&amp;VALUEID=01001&amp;SDATE=201002&amp;PERIODTYPE=QTR_STD&amp;window=popup_no_bar&amp;width=385&amp;height=120&amp;START_MAXIMIZED=FALSE&amp;creator=factset&amp;display_string=Audit"}</definedName>
    <definedName name="_1854__FDSAUDITLINK__" hidden="1">{"fdsup://Directions/FactSet Auditing Viewer?action=AUDIT_VALUE&amp;DB=129&amp;ID1=00790310&amp;VALUEID=01001&amp;SDATE=200902&amp;PERIODTYPE=QTR_STD&amp;window=popup_no_bar&amp;width=385&amp;height=120&amp;START_MAXIMIZED=FALSE&amp;creator=factset&amp;display_string=Audit"}</definedName>
    <definedName name="_1855__FDSAUDITLINK__" hidden="1">{"fdsup://Directions/FactSet Auditing Viewer?action=AUDIT_VALUE&amp;DB=129&amp;ID1=00790310&amp;VALUEID=01001&amp;SDATE=201002&amp;PERIODTYPE=QTR_STD&amp;window=popup_no_bar&amp;width=385&amp;height=120&amp;START_MAXIMIZED=FALSE&amp;creator=factset&amp;display_string=Audit"}</definedName>
    <definedName name="_1856__FDSAUDITLINK__" hidden="1">{"fdsup://Directions/FactSet Auditing Viewer?action=AUDIT_VALUE&amp;DB=129&amp;ID1=03822210&amp;VALUEID=01001&amp;SDATE=200902&amp;PERIODTYPE=QTR_STD&amp;window=popup_no_bar&amp;width=385&amp;height=120&amp;START_MAXIMIZED=FALSE&amp;creator=factset&amp;display_string=Audit"}</definedName>
    <definedName name="_1857__FDSAUDITLINK__" hidden="1">{"fdsup://Directions/FactSet Auditing Viewer?action=AUDIT_VALUE&amp;DB=129&amp;ID1=03822210&amp;VALUEID=01001&amp;SDATE=201002&amp;PERIODTYPE=QTR_STD&amp;window=popup_no_bar&amp;width=385&amp;height=120&amp;START_MAXIMIZED=FALSE&amp;creator=factset&amp;display_string=Audit"}</definedName>
    <definedName name="_1858__FDSAUDITLINK__" hidden="1">{"fdsup://Directions/FactSet Auditing Viewer?action=AUDIT_VALUE&amp;DB=129&amp;ID1=02144110&amp;VALUEID=01001&amp;SDATE=200902&amp;PERIODTYPE=QTR_STD&amp;window=popup_no_bar&amp;width=385&amp;height=120&amp;START_MAXIMIZED=FALSE&amp;creator=factset&amp;display_string=Audit"}</definedName>
    <definedName name="_1859__FDSAUDITLINK__" hidden="1">{"fdsup://Directions/FactSet Auditing Viewer?action=AUDIT_VALUE&amp;DB=129&amp;ID1=02144110&amp;VALUEID=01001&amp;SDATE=201002&amp;PERIODTYPE=QTR_STD&amp;window=popup_no_bar&amp;width=385&amp;height=120&amp;START_MAXIMIZED=FALSE&amp;creator=factset&amp;display_string=Audit"}</definedName>
    <definedName name="_186__FDSAUDITLINK__"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0__FDSAUDITLINK__" hidden="1">{"fdsup://Directions/FactSet Auditing Viewer?action=AUDIT_VALUE&amp;DB=129&amp;ID1=02000210&amp;VALUEID=01001&amp;SDATE=200902&amp;PERIODTYPE=QTR_STD&amp;window=popup_no_bar&amp;width=385&amp;height=120&amp;START_MAXIMIZED=FALSE&amp;creator=factset&amp;display_string=Audit"}</definedName>
    <definedName name="_1861__FDSAUDITLINK__" hidden="1">{"fdsup://Directions/FactSet Auditing Viewer?action=AUDIT_VALUE&amp;DB=129&amp;ID1=02000210&amp;VALUEID=01001&amp;SDATE=201002&amp;PERIODTYPE=QTR_STD&amp;window=popup_no_bar&amp;width=385&amp;height=120&amp;START_MAXIMIZED=FALSE&amp;creator=factset&amp;display_string=Audit"}</definedName>
    <definedName name="_1862__FDSAUDITLINK__" hidden="1">{"fdsup://Directions/FactSet Auditing Viewer?action=AUDIT_VALUE&amp;DB=129&amp;ID1=00154710&amp;VALUEID=01001&amp;SDATE=200902&amp;PERIODTYPE=QTR_STD&amp;window=popup_no_bar&amp;width=385&amp;height=120&amp;START_MAXIMIZED=FALSE&amp;creator=factset&amp;display_string=Audit"}</definedName>
    <definedName name="_1863__FDSAUDITLINK__" hidden="1">{"fdsup://Directions/FactSet Auditing Viewer?action=AUDIT_VALUE&amp;DB=129&amp;ID1=00154710&amp;VALUEID=01001&amp;SDATE=201002&amp;PERIODTYPE=QTR_STD&amp;window=popup_no_bar&amp;width=385&amp;height=120&amp;START_MAXIMIZED=FALSE&amp;creator=factset&amp;display_string=Audit"}</definedName>
    <definedName name="_1864__FDSAUDITLINK__" hidden="1">{"fdsup://Directions/FactSet Auditing Viewer?action=AUDIT_VALUE&amp;DB=129&amp;ID1=00971T10&amp;VALUEID=01001&amp;SDATE=200902&amp;PERIODTYPE=QTR_STD&amp;window=popup_no_bar&amp;width=385&amp;height=120&amp;START_MAXIMIZED=FALSE&amp;creator=factset&amp;display_string=Audit"}</definedName>
    <definedName name="_1865__FDSAUDITLINK__" hidden="1">{"fdsup://Directions/FactSet Auditing Viewer?action=AUDIT_VALUE&amp;DB=129&amp;ID1=00971T10&amp;VALUEID=01001&amp;SDATE=201002&amp;PERIODTYPE=QTR_STD&amp;window=popup_no_bar&amp;width=385&amp;height=120&amp;START_MAXIMIZED=FALSE&amp;creator=factset&amp;display_string=Audit"}</definedName>
    <definedName name="_1866__FDSAUDITLINK__" hidden="1">{"fdsup://Directions/FactSet Auditing Viewer?action=AUDIT_VALUE&amp;DB=129&amp;ID1=04621X10&amp;VALUEID=01001&amp;SDATE=200902&amp;PERIODTYPE=QTR_STD&amp;window=popup_no_bar&amp;width=385&amp;height=120&amp;START_MAXIMIZED=FALSE&amp;creator=factset&amp;display_string=Audit"}</definedName>
    <definedName name="_1867__FDSAUDITLINK__" hidden="1">{"fdsup://Directions/FactSet Auditing Viewer?action=AUDIT_VALUE&amp;DB=129&amp;ID1=04621X10&amp;VALUEID=01001&amp;SDATE=201002&amp;PERIODTYPE=QTR_STD&amp;window=popup_no_bar&amp;width=385&amp;height=120&amp;START_MAXIMIZED=FALSE&amp;creator=factset&amp;display_string=Audit"}</definedName>
    <definedName name="_1868__FDSAUDITLINK__" hidden="1">{"fdsup://Directions/FactSet Auditing Viewer?action=AUDIT_VALUE&amp;DB=129&amp;ID1=03748R10&amp;VALUEID=01001&amp;SDATE=200902&amp;PERIODTYPE=QTR_STD&amp;window=popup_no_bar&amp;width=385&amp;height=120&amp;START_MAXIMIZED=FALSE&amp;creator=factset&amp;display_string=Audit"}</definedName>
    <definedName name="_1869__FDSAUDITLINK__" hidden="1">{"fdsup://Directions/FactSet Auditing Viewer?action=AUDIT_VALUE&amp;DB=129&amp;ID1=03748R10&amp;VALUEID=01001&amp;SDATE=201002&amp;PERIODTYPE=QTR_STD&amp;window=popup_no_bar&amp;width=385&amp;height=120&amp;START_MAXIMIZED=FALSE&amp;creator=factset&amp;display_string=Audit"}</definedName>
    <definedName name="_187__FDSAUDITLINK__"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0__FDSAUDITLINK__" hidden="1">{"fdsup://Directions/FactSet Auditing Viewer?action=AUDIT_VALUE&amp;DB=129&amp;ID1=02687478&amp;VALUEID=01001&amp;SDATE=200902&amp;PERIODTYPE=QTR_STD&amp;window=popup_no_bar&amp;width=385&amp;height=120&amp;START_MAXIMIZED=FALSE&amp;creator=factset&amp;display_string=Audit"}</definedName>
    <definedName name="_1871__FDSAUDITLINK__" hidden="1">{"fdsup://Directions/FactSet Auditing Viewer?action=AUDIT_VALUE&amp;DB=129&amp;ID1=02687478&amp;VALUEID=01001&amp;SDATE=201002&amp;PERIODTYPE=QTR_STD&amp;window=popup_no_bar&amp;width=385&amp;height=120&amp;START_MAXIMIZED=FALSE&amp;creator=factset&amp;display_string=Audit"}</definedName>
    <definedName name="_1872__FDSAUDITLINK__" hidden="1">{"fdsup://Directions/FactSet Auditing Viewer?action=AUDIT_VALUE&amp;DB=129&amp;ID1=01849010&amp;VALUEID=01001&amp;SDATE=200902&amp;PERIODTYPE=QTR_STD&amp;window=popup_no_bar&amp;width=385&amp;height=120&amp;START_MAXIMIZED=FALSE&amp;creator=factset&amp;display_string=Audit"}</definedName>
    <definedName name="_1873__FDSAUDITLINK__" hidden="1">{"fdsup://Directions/FactSet Auditing Viewer?action=AUDIT_VALUE&amp;DB=129&amp;ID1=01849010&amp;VALUEID=01001&amp;SDATE=201002&amp;PERIODTYPE=QTR_STD&amp;window=popup_no_bar&amp;width=385&amp;height=120&amp;START_MAXIMIZED=FALSE&amp;creator=factset&amp;display_string=Audit"}</definedName>
    <definedName name="_1874__FDSAUDITLINK__" hidden="1">{"fdsup://Directions/FactSet Auditing Viewer?action=AUDIT_VALUE&amp;DB=129&amp;ID1=00105510&amp;VALUEID=01001&amp;SDATE=200902&amp;PERIODTYPE=QTR_STD&amp;window=popup_no_bar&amp;width=385&amp;height=120&amp;START_MAXIMIZED=FALSE&amp;creator=factset&amp;display_string=Audit"}</definedName>
    <definedName name="_1875__FDSAUDITLINK__" hidden="1">{"fdsup://Directions/FactSet Auditing Viewer?action=AUDIT_VALUE&amp;DB=129&amp;ID1=00105510&amp;VALUEID=01001&amp;SDATE=201002&amp;PERIODTYPE=QTR_STD&amp;window=popup_no_bar&amp;width=385&amp;height=120&amp;START_MAXIMIZED=FALSE&amp;creator=factset&amp;display_string=Audit"}</definedName>
    <definedName name="_1876__FDSAUDITLINK__" hidden="1">{"fdsup://Directions/FactSet Auditing Viewer?action=AUDIT_VALUE&amp;DB=129&amp;ID1=00817Y10&amp;VALUEID=01001&amp;SDATE=201002&amp;PERIODTYPE=QTR_STD&amp;window=popup_no_bar&amp;width=385&amp;height=120&amp;START_MAXIMIZED=FALSE&amp;creator=factset&amp;display_string=Audit"}</definedName>
    <definedName name="_1877__FDSAUDITLINK__" hidden="1">{"fdsup://Directions/FactSet Auditing Viewer?action=AUDIT_VALUE&amp;DB=129&amp;ID1=00130H10&amp;VALUEID=01001&amp;SDATE=200902&amp;PERIODTYPE=QTR_STD&amp;window=popup_no_bar&amp;width=385&amp;height=120&amp;START_MAXIMIZED=FALSE&amp;creator=factset&amp;display_string=Audit"}</definedName>
    <definedName name="_1878__FDSAUDITLINK__" hidden="1">{"fdsup://Directions/FactSet Auditing Viewer?action=AUDIT_VALUE&amp;DB=129&amp;ID1=00130H10&amp;VALUEID=01001&amp;SDATE=201002&amp;PERIODTYPE=QTR_STD&amp;window=popup_no_bar&amp;width=385&amp;height=120&amp;START_MAXIMIZED=FALSE&amp;creator=factset&amp;display_string=Audit"}</definedName>
    <definedName name="_1879__FDSAUDITLINK__" hidden="1">{"fdsup://Directions/FactSet Auditing Viewer?action=AUDIT_VALUE&amp;DB=129&amp;ID1=02553710&amp;VALUEID=01001&amp;SDATE=200902&amp;PERIODTYPE=QTR_STD&amp;window=popup_no_bar&amp;width=385&amp;height=120&amp;START_MAXIMIZED=FALSE&amp;creator=factset&amp;display_string=Audit"}</definedName>
    <definedName name="_188__FDSAUDITLINK__"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0__FDSAUDITLINK__" hidden="1">{"fdsup://Directions/FactSet Auditing Viewer?action=AUDIT_VALUE&amp;DB=129&amp;ID1=02553710&amp;VALUEID=01001&amp;SDATE=201002&amp;PERIODTYPE=QTR_STD&amp;window=popup_no_bar&amp;width=385&amp;height=120&amp;START_MAXIMIZED=FALSE&amp;creator=factset&amp;display_string=Audit"}</definedName>
    <definedName name="_1881__FDSAUDITLINK__" hidden="1">{"fdsup://Directions/FactSet Auditing Viewer?action=AUDIT_VALUE&amp;DB=129&amp;ID1=02360810&amp;VALUEID=01001&amp;SDATE=200902&amp;PERIODTYPE=QTR_STD&amp;window=popup_no_bar&amp;width=385&amp;height=120&amp;START_MAXIMIZED=FALSE&amp;creator=factset&amp;display_string=Audit"}</definedName>
    <definedName name="_1882__FDSAUDITLINK__" hidden="1">{"fdsup://Directions/FactSet Auditing Viewer?action=AUDIT_VALUE&amp;DB=129&amp;ID1=02360810&amp;VALUEID=01001&amp;SDATE=201002&amp;PERIODTYPE=QTR_STD&amp;window=popup_no_bar&amp;width=385&amp;height=120&amp;START_MAXIMIZED=FALSE&amp;creator=factset&amp;display_string=Audit"}</definedName>
    <definedName name="_1883__FDSAUDITLINK__" hidden="1">{"fdsup://Directions/FactSet Auditing Viewer?action=AUDIT_VALUE&amp;DB=129&amp;ID1=05276910&amp;VALUEID=01001&amp;SDATE=201001&amp;PERIODTYPE=QTR_STD&amp;window=popup_no_bar&amp;width=385&amp;height=120&amp;START_MAXIMIZED=FALSE&amp;creator=factset&amp;display_string=Audit"}</definedName>
    <definedName name="_1884__FDSAUDITLINK__" hidden="1">{"fdsup://Directions/FactSet Auditing Viewer?action=AUDIT_VALUE&amp;DB=129&amp;ID1=05301510&amp;VALUEID=01001&amp;SDATE=200904&amp;PERIODTYPE=QTR_STD&amp;window=popup_no_bar&amp;width=385&amp;height=120&amp;START_MAXIMIZED=FALSE&amp;creator=factset&amp;display_string=Audit"}</definedName>
    <definedName name="_1885__FDSAUDITLINK__" hidden="1">{"fdsup://Directions/FactSet Auditing Viewer?action=AUDIT_VALUE&amp;DB=129&amp;ID1=05301510&amp;VALUEID=01001&amp;SDATE=201004&amp;PERIODTYPE=QTR_STD&amp;window=popup_no_bar&amp;width=385&amp;height=120&amp;START_MAXIMIZED=FALSE&amp;creator=factset&amp;display_string=Audit"}</definedName>
    <definedName name="_1886__FDSAUDITLINK__" hidden="1">{"fdsup://Directions/FactSet Auditing Viewer?action=AUDIT_VALUE&amp;DB=129&amp;ID1=03948310&amp;VALUEID=01001&amp;SDATE=201004&amp;PERIODTYPE=QTR_STD&amp;window=popup_no_bar&amp;width=385&amp;height=120&amp;START_MAXIMIZED=FALSE&amp;creator=factset&amp;display_string=Audit"}</definedName>
    <definedName name="_1887__FDSAUDITLINK__" hidden="1">{"fdsup://Directions/FactSet Auditing Viewer?action=AUDIT_VALUE&amp;DB=129&amp;ID1=03265410&amp;VALUEID=01001&amp;SDATE=201002&amp;PERIODTYPE=QTR_STD&amp;window=popup_no_bar&amp;width=385&amp;height=120&amp;START_MAXIMIZED=FALSE&amp;creator=factset&amp;display_string=Audit"}</definedName>
    <definedName name="_1888__FDSAUDITLINK__" hidden="1">{"fdsup://Directions/FactSet Auditing Viewer?action=AUDIT_VALUE&amp;DB=129&amp;ID1=00724F10&amp;VALUEID=01001&amp;SDATE=200902&amp;PERIODTYPE=QTR_STD&amp;window=popup_no_bar&amp;width=385&amp;height=120&amp;START_MAXIMIZED=FALSE&amp;creator=factset&amp;display_string=Audit"}</definedName>
    <definedName name="_1889__FDSAUDITLINK__" hidden="1">{"fdsup://Directions/FactSet Auditing Viewer?action=AUDIT_VALUE&amp;DB=129&amp;ID1=00724F10&amp;VALUEID=01001&amp;SDATE=201002&amp;PERIODTYPE=QTR_STD&amp;window=popup_no_bar&amp;width=385&amp;height=120&amp;START_MAXIMIZED=FALSE&amp;creator=factset&amp;display_string=Audit"}</definedName>
    <definedName name="_189__FDSAUDITLINK__"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0__FDSAUDITLINK__" hidden="1">{"fdsup://Directions/FactSet Auditing Viewer?action=AUDIT_VALUE&amp;DB=129&amp;ID1=H0023R10&amp;VALUEID=01001&amp;SDATE=200902&amp;PERIODTYPE=QTR_STD&amp;window=popup_no_bar&amp;width=385&amp;height=120&amp;START_MAXIMIZED=FALSE&amp;creator=factset&amp;display_string=Audit"}</definedName>
    <definedName name="_1891__FDSAUDITLINK__" hidden="1">{"fdsup://Directions/FactSet Auditing Viewer?action=AUDIT_VALUE&amp;DB=129&amp;ID1=H0023R10&amp;VALUEID=01001&amp;SDATE=201002&amp;PERIODTYPE=QTR_STD&amp;window=popup_no_bar&amp;width=385&amp;height=120&amp;START_MAXIMIZED=FALSE&amp;creator=factset&amp;display_string=Audit"}</definedName>
    <definedName name="_1892__FDSAUDITLINK__" hidden="1">{"fdsup://Directions/FactSet Auditing Viewer?action=AUDIT_VALUE&amp;DB=129&amp;ID1=00282410&amp;VALUEID=01001&amp;SDATE=200902&amp;PERIODTYPE=QTR_STD&amp;window=popup_no_bar&amp;width=385&amp;height=120&amp;START_MAXIMIZED=FALSE&amp;creator=factset&amp;display_string=Audit"}</definedName>
    <definedName name="_1893__FDSAUDITLINK__" hidden="1">{"fdsup://Directions/FactSet Auditing Viewer?action=AUDIT_VALUE&amp;DB=129&amp;ID1=00282410&amp;VALUEID=01001&amp;SDATE=201002&amp;PERIODTYPE=QTR_STD&amp;window=popup_no_bar&amp;width=385&amp;height=120&amp;START_MAXIMIZED=FALSE&amp;creator=factset&amp;display_string=Audit"}</definedName>
    <definedName name="_1894__FDSAUDITLINK__" hidden="1">{"fdsup://Directions/FactSet Auditing Viewer?action=AUDIT_VALUE&amp;DB=129&amp;ID1=03073E10&amp;VALUEID=01001&amp;SDATE=200903&amp;PERIODTYPE=QTR_STD&amp;window=popup_no_bar&amp;width=385&amp;height=120&amp;START_MAXIMIZED=FALSE&amp;creator=factset&amp;display_string=Audit"}</definedName>
    <definedName name="_1895__FDSAUDITLINK__" hidden="1">{"fdsup://Directions/FactSet Auditing Viewer?action=AUDIT_VALUE&amp;DB=129&amp;ID1=03073E10&amp;VALUEID=01001&amp;SDATE=201003&amp;PERIODTYPE=QTR_STD&amp;window=popup_no_bar&amp;width=385&amp;height=120&amp;START_MAXIMIZED=FALSE&amp;creator=factset&amp;display_string=Audit"}</definedName>
    <definedName name="_1896__FDSAUDITLINK__" hidden="1">{"fdsup://Directions/FactSet Auditing Viewer?action=AUDIT_VALUE&amp;DB=129&amp;ID1=03783310&amp;VALUEID=01001&amp;SDATE=200903&amp;PERIODTYPE=QTR_STD&amp;window=popup_no_bar&amp;width=385&amp;height=120&amp;START_MAXIMIZED=FALSE&amp;creator=factset&amp;display_string=Audit"}</definedName>
    <definedName name="_1897__FDSAUDITLINK__" hidden="1">{"fdsup://Directions/FactSet Auditing Viewer?action=AUDIT_VALUE&amp;DB=129&amp;ID1=03783310&amp;VALUEID=01001&amp;SDATE=201003&amp;PERIODTYPE=QTR_STD&amp;window=popup_no_bar&amp;width=385&amp;height=120&amp;START_MAXIMIZED=FALSE&amp;creator=factset&amp;display_string=Audit"}</definedName>
    <definedName name="_1898__FDSAUDITLINK__" hidden="1">{"fdsup://Directions/FactSet Auditing Viewer?action=AUDIT_VALUE&amp;DB=129&amp;ID1=01381710&amp;VALUEID=01001&amp;SDATE=200902&amp;PERIODTYPE=QTR_STD&amp;window=popup_no_bar&amp;width=385&amp;height=120&amp;START_MAXIMIZED=FALSE&amp;creator=factset&amp;display_string=Audit"}</definedName>
    <definedName name="_1899__FDSAUDITLINK__" hidden="1">{"fdsup://Directions/FactSet Auditing Viewer?action=AUDIT_VALUE&amp;DB=129&amp;ID1=01381710&amp;VALUEID=01001&amp;SDATE=201002&amp;PERIODTYPE=QTR_STD&amp;window=popup_no_bar&amp;width=385&amp;height=120&amp;START_MAXIMIZED=FALSE&amp;creator=factset&amp;display_string=Audit"}</definedName>
    <definedName name="_19__FDSAUDITLINK__"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0__FDSAUDITLINK__"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0__FDSAUDITLINK__" hidden="1">{"fdsup://Directions/FactSet Auditing Viewer?action=AUDIT_VALUE&amp;DB=129&amp;ID1=00846U10&amp;VALUEID=01001&amp;SDATE=200902&amp;PERIODTYPE=QTR_STD&amp;window=popup_no_bar&amp;width=385&amp;height=120&amp;START_MAXIMIZED=FALSE&amp;creator=factset&amp;display_string=Audit"}</definedName>
    <definedName name="_1901__FDSAUDITLINK__" hidden="1">{"fdsup://Directions/FactSet Auditing Viewer?action=AUDIT_VALUE&amp;DB=129&amp;ID1=00846U10&amp;VALUEID=01001&amp;SDATE=201002&amp;PERIODTYPE=QTR_STD&amp;window=popup_no_bar&amp;width=385&amp;height=120&amp;START_MAXIMIZED=FALSE&amp;creator=factset&amp;display_string=Audit"}</definedName>
    <definedName name="_191__FDSAUDITLINK__"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2__FDSAUDITLINK__"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3__FDSAUDITLINK__"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4__FDSAUDITLINK__"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5__FDSAUDITLINK__"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6__FDSAUDITLINK__"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7__FDSAUDITLINK__"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8__FDSAUDITLINK__"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9__FDSAUDITLINK__"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2__FDSAUDITLINK__" hidden="1">{"fdsup://Directions/FactSet Auditing Viewer?action=AUDIT_VALUE&amp;DB=129&amp;ID1=03783310&amp;VALUEID=02001&amp;SDATE=2009&amp;PERIODTYPE=ANN_STD&amp;window=popup_no_bar&amp;width=385&amp;height=120&amp;START_MAXIMIZED=FALSE&amp;creator=factset&amp;display_string=Audit"}</definedName>
    <definedName name="_20__FDSAUDITLINK__"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0__FDSAUDITLINK__"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1__FDSAUDITLINK__"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2__FDSAUDITLINK__"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3__FDSAUDITLINK__"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4__FDSAUDITLINK__"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5__FDSAUDITLINK__"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6__FDSAUDITLINK__"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7__FDSAUDITLINK__"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8__FDSAUDITLINK__"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9__FDSAUDITLINK__"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1__FDSAUDITLINK__"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0__FDSAUDITLINK__"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1__FDSAUDITLINK__"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2__FDSAUDITLINK__"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3__FDSAUDITLINK__"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4__FDSAUDITLINK__"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5__FDSAUDITLINK__"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6__FDSAUDITLINK__"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7__FDSAUDITLINK__"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8__FDSAUDITLINK__"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9__FDSAUDITLINK__"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2__FDSAUDITLINK__"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0__FDSAUDITLINK__"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1__FDSAUDITLINK__"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2__FDSAUDITLINK__"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3__FDSAUDITLINK__"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4__FDSAUDITLINK__"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5__FDSAUDITLINK__"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6__FDSAUDITLINK__"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7__FDSAUDITLINK__"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8__FDSAUDITLINK__"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9__FDSAUDITLINK__"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3__FDSAUDITLINK__"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0__FDSAUDITLINK__"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1__FDSAUDITLINK__"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2__FDSAUDITLINK__"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3__FDSAUDITLINK__"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4__FDSAUDITLINK__"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5__FDSAUDITLINK__"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6__FDSAUDITLINK__"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7__FDSAUDITLINK__"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8__FDSAUDITLINK__"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9__FDSAUDITLINK__"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4__FDSAUDITLINK__"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0__FDSAUDITLINK__"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1__FDSAUDITLINK__"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2__FDSAUDITLINK__"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3__FDSAUDITLINK__"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4__FDSAUDITLINK__"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5__FDSAUDITLINK__"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6__FDSAUDITLINK__"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7__FDSAUDITLINK__"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8__FDSAUDITLINK__"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9__FDSAUDITLINK__"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5__FDSAUDITLINK__"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0__FDSAUDITLINK__"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1__FDSAUDITLINK__"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2__FDSAUDITLINK__"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3__FDSAUDITLINK__"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4__FDSAUDITLINK__"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5__FDSAUDITLINK__"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6__FDSAUDITLINK__"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7__FDSAUDITLINK__"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8__FDSAUDITLINK__"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9__FDSAUDITLINK__"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6__FDSAUDITLINK__"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0__FDSAUDITLINK__"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1__FDSAUDITLINK__"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2__FDSAUDITLINK__"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3__FDSAUDITLINK__"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4__FDSAUDITLINK__"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5__FDSAUDITLINK__"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6__FDSAUDITLINK__"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7__FDSAUDITLINK__"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8__FDSAUDITLINK__"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9__FDSAUDITLINK__"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7__FDSAUDITLINK__"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0__FDSAUDITLINK__"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1__FDSAUDITLINK__"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2__FDSAUDITLINK__"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3__FDSAUDITLINK__"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4__FDSAUDITLINK__"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5__FDSAUDITLINK__"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6__FDSAUDITLINK__"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7__FDSAUDITLINK__"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8__FDSAUDITLINK__"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9__FDSAUDITLINK__"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8__FDSAUDITLINK__"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0__FDSAUDITLINK__"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1__FDSAUDITLINK__"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2__FDSAUDITLINK__"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3__FDSAUDITLINK__"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4__FDSAUDITLINK__"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5__FDSAUDITLINK__"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6__FDSAUDITLINK__"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7__FDSAUDITLINK__"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8__FDSAUDITLINK__"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9__FDSAUDITLINK__"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9__FDSAUDITLINK__"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0__FDSAUDITLINK__"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1__FDSAUDITLINK__"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2__FDSAUDITLINK__"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3__FDSAUDITLINK__"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4__FDSAUDITLINK__"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5__FDSAUDITLINK__"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6__FDSAUDITLINK__"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7__FDSAUDITLINK__"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8__FDSAUDITLINK__"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9__FDSAUDITLINK__"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3__FDSAUDITLINK__"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0__FDSAUDITLINK__"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0__FDSAUDITLINK__"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1__FDSAUDITLINK__"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2__FDSAUDITLINK__"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3__FDSAUDITLINK__"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4__FDSAUDITLINK__"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5__FDSAUDITLINK__"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6__FDSAUDITLINK__"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7__FDSAUDITLINK__"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8__FDSAUDITLINK__"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9__FDSAUDITLINK__"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1__FDSAUDITLINK__"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0__FDSAUDITLINK__"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1__FDSAUDITLINK__"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2__FDSAUDITLINK__"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3__FDSAUDITLINK__"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4__FDSAUDITLINK__"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5__FDSAUDITLINK__"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6__FDSAUDITLINK__"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7__FDSAUDITLINK__"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8__FDSAUDITLINK__"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9__FDSAUDITLINK__"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2__FDSAUDITLINK__"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0__FDSAUDITLINK__"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1__FDSAUDITLINK__"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2__FDSAUDITLINK__"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3__FDSAUDITLINK__"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4__FDSAUDITLINK__"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5__FDSAUDITLINK__"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6__FDSAUDITLINK__"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7__FDSAUDITLINK__"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8__FDSAUDITLINK__"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9__FDSAUDITLINK__"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3__FDSAUDITLINK__"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0__FDSAUDITLINK__"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1__FDSAUDITLINK__"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2__FDSAUDITLINK__"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3__FDSAUDITLINK__"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4__FDSAUDITLINK__"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5__FDSAUDITLINK__"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6__FDSAUDITLINK__"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7__FDSAUDITLINK__"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8__FDSAUDITLINK__"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9__FDSAUDITLINK__"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4__FDSAUDITLINK__"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0__FDSAUDITLINK__"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1__FDSAUDITLINK__"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2__FDSAUDITLINK__"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3__FDSAUDITLINK__"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4__FDSAUDITLINK__"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5__FDSAUDITLINK__"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6__FDSAUDITLINK__"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7__FDSAUDITLINK__"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8__FDSAUDITLINK__"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9__FDSAUDITLINK__"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5__FDSAUDITLINK__"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0__FDSAUDITLINK__"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1__FDSAUDITLINK__"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2__FDSAUDITLINK__"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3__FDSAUDITLINK__"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4__FDSAUDITLINK__"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5__FDSAUDITLINK__"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6__FDSAUDITLINK__"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7__FDSAUDITLINK__"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8__FDSAUDITLINK__"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9__FDSAUDITLINK__"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6__FDSAUDITLINK__"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0__FDSAUDITLINK__"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1__FDSAUDITLINK__"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2__FDSAUDITLINK__"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3__FDSAUDITLINK__"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4__FDSAUDITLINK__"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5__FDSAUDITLINK__"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6__FDSAUDITLINK__"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7__FDSAUDITLINK__"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8__FDSAUDITLINK__"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9__FDSAUDITLINK__"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7__FDSAUDITLINK__"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0__FDSAUDITLINK__"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1__FDSAUDITLINK__"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2__FDSAUDITLINK__"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3__FDSAUDITLINK__"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4__FDSAUDITLINK__"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5__FDSAUDITLINK__"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6__FDSAUDITLINK__"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7__FDSAUDITLINK__"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8__FDSAUDITLINK__"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9__FDSAUDITLINK__"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8__FDSAUDITLINK__"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0__FDSAUDITLINK__"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1__FDSAUDITLINK__"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2__FDSAUDITLINK__"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3__FDSAUDITLINK__"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4__FDSAUDITLINK__"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5__FDSAUDITLINK__"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6__FDSAUDITLINK__"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7__FDSAUDITLINK__"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8__FDSAUDITLINK__"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9__FDSAUDITLINK__"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9__FDSAUDITLINK__"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0__FDSAUDITLINK__"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1__FDSAUDITLINK__"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2__FDSAUDITLINK__"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3__FDSAUDITLINK__"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4__FDSAUDITLINK__"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5__FDSAUDITLINK__"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6__FDSAUDITLINK__"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7__FDSAUDITLINK__"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8__FDSAUDITLINK__"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9__FDSAUDITLINK__"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4__FDSAUDITLINK__"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0__FDSAUDITLINK__"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0__FDSAUDITLINK__"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1__FDSAUDITLINK__"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2__FDSAUDITLINK__"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3__FDSAUDITLINK__"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4__FDSAUDITLINK__"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5__FDSAUDITLINK__"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6__FDSAUDITLINK__"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7__FDSAUDITLINK__"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8__FDSAUDITLINK__"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9__FDSAUDITLINK__"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1__FDSAUDITLINK__"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0__FDSAUDITLINK__"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1__FDSAUDITLINK__"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2__FDSAUDITLINK__"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3__FDSAUDITLINK__"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4__FDSAUDITLINK__"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5__FDSAUDITLINK__"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6__FDSAUDITLINK__"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7__FDSAUDITLINK__"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8__FDSAUDITLINK__"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9__FDSAUDITLINK__"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2__FDSAUDITLINK__"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0__FDSAUDITLINK__"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1__FDSAUDITLINK__"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2__FDSAUDITLINK__"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3__FDSAUDITLINK__"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4__FDSAUDITLINK__"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5__FDSAUDITLINK__"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6__FDSAUDITLINK__"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7__FDSAUDITLINK__"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8__FDSAUDITLINK__"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9__FDSAUDITLINK__"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3__FDSAUDITLINK__"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0__FDSAUDITLINK__"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1__FDSAUDITLINK__"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2__FDSAUDITLINK__"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3__FDSAUDITLINK__"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4__FDSAUDITLINK__"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5__FDSAUDITLINK__"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6__FDSAUDITLINK__"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7__FDSAUDITLINK__"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8__FDSAUDITLINK__"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9__FDSAUDITLINK__"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4__FDSAUDITLINK__"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0__FDSAUDITLINK__"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1__FDSAUDITLINK__"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2__FDSAUDITLINK__"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3__FDSAUDITLINK__"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4__FDSAUDITLINK__"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5__FDSAUDITLINK__"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6__FDSAUDITLINK__"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7__FDSAUDITLINK__"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8__FDSAUDITLINK__"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9__FDSAUDITLINK__"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5__FDSAUDITLINK__"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0__FDSAUDITLINK__"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1__FDSAUDITLINK__"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2__FDSAUDITLINK__"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3__FDSAUDITLINK__"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4__FDSAUDITLINK__"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5__FDSAUDITLINK__"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6__FDSAUDITLINK__"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7__FDSAUDITLINK__"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8__FDSAUDITLINK__"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9__FDSAUDITLINK__"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6__FDSAUDITLINK__"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0__FDSAUDITLINK__"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1__FDSAUDITLINK__"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2__FDSAUDITLINK__"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3__FDSAUDITLINK__"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4__FDSAUDITLINK__"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5__FDSAUDITLINK__"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6__FDSAUDITLINK__"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7__FDSAUDITLINK__"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8__FDSAUDITLINK__"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9__FDSAUDITLINK__"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7__FDSAUDITLINK__"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0__FDSAUDITLINK__"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1__FDSAUDITLINK__"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2__FDSAUDITLINK__"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3__FDSAUDITLINK__"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4__FDSAUDITLINK__"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5__FDSAUDITLINK__"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6__FDSAUDITLINK__"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7__FDSAUDITLINK__"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8__FDSAUDITLINK__"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9__FDSAUDITLINK__"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8__FDSAUDITLINK__"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0__FDSAUDITLINK__"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1__FDSAUDITLINK__"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2__FDSAUDITLINK__"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3__FDSAUDITLINK__"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4__FDSAUDITLINK__"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5__FDSAUDITLINK__"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6__FDSAUDITLINK__"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7__FDSAUDITLINK__"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8__FDSAUDITLINK__"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9__FDSAUDITLINK__"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9__FDSAUDITLINK__"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0__FDSAUDITLINK__"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1__FDSAUDITLINK__"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2__FDSAUDITLINK__"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3__FDSAUDITLINK__"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4__FDSAUDITLINK__"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5__FDSAUDITLINK__"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6__FDSAUDITLINK__"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7__FDSAUDITLINK__"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8__FDSAUDITLINK__"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9__FDSAUDITLINK__"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5__FDSAUDITLINK__"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0__FDSAUDITLINK__"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0__FDSAUDITLINK__"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1__FDSAUDITLINK__"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2__FDSAUDITLINK__"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3__FDSAUDITLINK__"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4__FDSAUDITLINK__"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5__FDSAUDITLINK__"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6__FDSAUDITLINK__"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7__FDSAUDITLINK__"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8__FDSAUDITLINK__"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9__FDSAUDITLINK__"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1__FDSAUDITLINK__"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0__FDSAUDITLINK__"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1__FDSAUDITLINK__"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2__FDSAUDITLINK__"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3__FDSAUDITLINK__"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4__FDSAUDITLINK__"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5__FDSAUDITLINK__"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6__FDSAUDITLINK__"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7__FDSAUDITLINK__"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8__FDSAUDITLINK__"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9__FDSAUDITLINK__"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2__FDSAUDITLINK__"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0__FDSAUDITLINK__"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1__FDSAUDITLINK__"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2__FDSAUDITLINK__"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3__FDSAUDITLINK__"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4__FDSAUDITLINK__"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5__FDSAUDITLINK__"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6__FDSAUDITLINK__"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7__FDSAUDITLINK__"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8__FDSAUDITLINK__"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9__FDSAUDITLINK__"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3__FDSAUDITLINK__"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0__FDSAUDITLINK__"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1__FDSAUDITLINK__"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2__FDSAUDITLINK__"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3__FDSAUDITLINK__"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4__FDSAUDITLINK__"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5__FDSAUDITLINK__"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6__FDSAUDITLINK__"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7__FDSAUDITLINK__"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8__FDSAUDITLINK__"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9__FDSAUDITLINK__"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4__FDSAUDITLINK__"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0__FDSAUDITLINK__"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1__FDSAUDITLINK__"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2__FDSAUDITLINK__"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3__FDSAUDITLINK__"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4__FDSAUDITLINK__"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5__FDSAUDITLINK__"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6__FDSAUDITLINK__"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7__FDSAUDITLINK__"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8__FDSAUDITLINK__"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9__FDSAUDITLINK__"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5__FDSAUDITLINK__"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0__FDSAUDITLINK__"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1__FDSAUDITLINK__"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2__FDSAUDITLINK__"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3__FDSAUDITLINK__"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4__FDSAUDITLINK__"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5__FDSAUDITLINK__"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6__FDSAUDITLINK__"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7__FDSAUDITLINK__"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8__FDSAUDITLINK__"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9__FDSAUDITLINK__"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6__FDSAUDITLINK__"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0__FDSAUDITLINK__"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1__FDSAUDITLINK__"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2__FDSAUDITLINK__"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3__FDSAUDITLINK__"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4__FDSAUDITLINK__"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5__FDSAUDITLINK__"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6__FDSAUDITLINK__"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7__FDSAUDITLINK__"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8__FDSAUDITLINK__"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9__FDSAUDITLINK__"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7__FDSAUDITLINK__"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0__FDSAUDITLINK__"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1__FDSAUDITLINK__"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2__FDSAUDITLINK__"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3__FDSAUDITLINK__"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4__FDSAUDITLINK__"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5__FDSAUDITLINK__"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6__FDSAUDITLINK__"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7__FDSAUDITLINK__"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8__FDSAUDITLINK__"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9__FDSAUDITLINK__"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8__FDSAUDITLINK__"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0__FDSAUDITLINK__"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1__FDSAUDITLINK__"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2__FDSAUDITLINK__"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3__FDSAUDITLINK__"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4__FDSAUDITLINK__"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5__FDSAUDITLINK__"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6__FDSAUDITLINK__"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7__FDSAUDITLINK__"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8__FDSAUDITLINK__"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9__FDSAUDITLINK__"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9__FDSAUDITLINK__"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0__FDSAUDITLINK__"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1__FDSAUDITLINK__"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2__FDSAUDITLINK__"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3__FDSAUDITLINK__"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4__FDSAUDITLINK__"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5__FDSAUDITLINK__"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6__FDSAUDITLINK__"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7__FDSAUDITLINK__"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8__FDSAUDITLINK__"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9__FDSAUDITLINK__"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6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60__FDSAUDITLINK__"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0__FDSAUDITLINK__"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1__FDSAUDITLINK__"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2__FDSAUDITLINK__"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3__FDSAUDITLINK__"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4__FDSAUDITLINK__"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5__FDSAUDITLINK__"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6__FDSAUDITLINK__"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7__FDSAUDITLINK__"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8__FDSAUDITLINK__"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9__FDSAUDITLINK__"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1__FDSAUDITLINK__"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0__FDSAUDITLINK__"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1__FDSAUDITLINK__"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2__FDSAUDITLINK__"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3__FDSAUDITLINK__"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4__FDSAUDITLINK__"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5__FDSAUDITLINK__"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6__FDSAUDITLINK__"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7__FDSAUDITLINK__"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8__FDSAUDITLINK__"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9__FDSAUDITLINK__"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2__FDSAUDITLINK__"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0__FDSAUDITLINK__"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1__FDSAUDITLINK__"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2__FDSAUDITLINK__"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3__FDSAUDITLINK__"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4__FDSAUDITLINK__"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5__FDSAUDITLINK__"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6__FDSAUDITLINK__"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7__FDSAUDITLINK__"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8__FDSAUDITLINK__"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9__FDSAUDITLINK__"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3__FDSAUDITLINK__"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0__FDSAUDITLINK__"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1__FDSAUDITLINK__"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2__FDSAUDITLINK__"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3__FDSAUDITLINK__"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4__FDSAUDITLINK__"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5__FDSAUDITLINK__"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6__FDSAUDITLINK__"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7__FDSAUDITLINK__"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8__FDSAUDITLINK__"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9__FDSAUDITLINK__"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4__FDSAUDITLINK__"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0__FDSAUDITLINK__"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1__FDSAUDITLINK__"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2__FDSAUDITLINK__"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3__FDSAUDITLINK__"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4__FDSAUDITLINK__"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5__FDSAUDITLINK__"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6__FDSAUDITLINK__"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7__FDSAUDITLINK__"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8__FDSAUDITLINK__"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9__FDSAUDITLINK__"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5__FDSAUDITLINK__"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0__FDSAUDITLINK__"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1__FDSAUDITLINK__"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2__FDSAUDITLINK__"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3__FDSAUDITLINK__"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4__FDSAUDITLINK__"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5__FDSAUDITLINK__"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6__FDSAUDITLINK__"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7__FDSAUDITLINK__"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8__FDSAUDITLINK__"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9__FDSAUDITLINK__"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6__FDSAUDITLINK__"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0__FDSAUDITLINK__"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1__FDSAUDITLINK__"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2__FDSAUDITLINK__"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3__FDSAUDITLINK__"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4__FDSAUDITLINK__"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5__FDSAUDITLINK__"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6__FDSAUDITLINK__"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7__FDSAUDITLINK__"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8__FDSAUDITLINK__"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9__FDSAUDITLINK__"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7__FDSAUDITLINK__"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0__FDSAUDITLINK__"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1__FDSAUDITLINK__"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2__FDSAUDITLINK__"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3__FDSAUDITLINK__"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4__FDSAUDITLINK__"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5__FDSAUDITLINK__"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6__FDSAUDITLINK__"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7__FDSAUDITLINK__"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8__FDSAUDITLINK__"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9__FDSAUDITLINK__"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8__FDSAUDITLINK__"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0__FDSAUDITLINK__"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1__FDSAUDITLINK__"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2__FDSAUDITLINK__"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3__FDSAUDITLINK__"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4__FDSAUDITLINK__"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5__FDSAUDITLINK__"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6__FDSAUDITLINK__"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7__FDSAUDITLINK__"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8__FDSAUDITLINK__"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9__FDSAUDITLINK__"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9__FDSAUDITLINK__"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0__FDSAUDITLINK__"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1__FDSAUDITLINK__"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2__FDSAUDITLINK__"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3__FDSAUDITLINK__"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4__FDSAUDITLINK__"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5__FDSAUDITLINK__"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6__FDSAUDITLINK__"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7__FDSAUDITLINK__"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8__FDSAUDITLINK__"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9__FDSAUDITLINK__"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7__FDSAUDITLINK__" hidden="1">{"fdsup://Directions/FactSet Auditing Viewer?action=AUDIT_VALUE&amp;DB=129&amp;ID1=88250810&amp;VALUEID=02001&amp;SDATE=200903&amp;PERIODTYPE=QTR_STD&amp;window=popup_no_bar&amp;width=385&amp;height=120&amp;START_MAXIMIZED=FALSE&amp;creator=factset&amp;display_string=Audit"}</definedName>
    <definedName name="_70__FDSAUDITLINK__"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0__FDSAUDITLINK__"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1__FDSAUDITLINK__"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2__FDSAUDITLINK__"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3__FDSAUDITLINK__"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4__FDSAUDITLINK__"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5__FDSAUDITLINK__"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6__FDSAUDITLINK__"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7__FDSAUDITLINK__"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8__FDSAUDITLINK__"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9__FDSAUDITLINK__"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1__FDSAUDITLINK__"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0__FDSAUDITLINK__"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1__FDSAUDITLINK__"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2__FDSAUDITLINK__"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3__FDSAUDITLINK__"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4__FDSAUDITLINK__"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5__FDSAUDITLINK__"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6__FDSAUDITLINK__"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7__FDSAUDITLINK__"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8__FDSAUDITLINK__"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9__FDSAUDITLINK__"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2__FDSAUDITLINK__"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0__FDSAUDITLINK__"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1__FDSAUDITLINK__"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2__FDSAUDITLINK__"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3__FDSAUDITLINK__"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4__FDSAUDITLINK__"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5__FDSAUDITLINK__"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6__FDSAUDITLINK__"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7__FDSAUDITLINK__"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8__FDSAUDITLINK__"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9__FDSAUDITLINK__"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3__FDSAUDITLINK__"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0__FDSAUDITLINK__"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1__FDSAUDITLINK__"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2__FDSAUDITLINK__"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3__FDSAUDITLINK__"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4__FDSAUDITLINK__"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5__FDSAUDITLINK__"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6__FDSAUDITLINK__"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7__FDSAUDITLINK__"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8__FDSAUDITLINK__"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9__FDSAUDITLINK__"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4__FDSAUDITLINK__"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0__FDSAUDITLINK__"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1__FDSAUDITLINK__"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2__FDSAUDITLINK__"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3__FDSAUDITLINK__"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4__FDSAUDITLINK__"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5__FDSAUDITLINK__"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6__FDSAUDITLINK__"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7__FDSAUDITLINK__"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8__FDSAUDITLINK__"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9__FDSAUDITLINK__"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5__FDSAUDITLINK__"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0__FDSAUDITLINK__"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1__FDSAUDITLINK__"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2__FDSAUDITLINK__"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3__FDSAUDITLINK__"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4__FDSAUDITLINK__"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5__FDSAUDITLINK__"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6__FDSAUDITLINK__"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7__FDSAUDITLINK__"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8__FDSAUDITLINK__"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9__FDSAUDITLINK__"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6__FDSAUDITLINK__"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0__FDSAUDITLINK__"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1__FDSAUDITLINK__"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2__FDSAUDITLINK__"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3__FDSAUDITLINK__"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4__FDSAUDITLINK__"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5__FDSAUDITLINK__"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6__FDSAUDITLINK__"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7__FDSAUDITLINK__"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8__FDSAUDITLINK__"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9__FDSAUDITLINK__"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7__FDSAUDITLINK__"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0__FDSAUDITLINK__"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1__FDSAUDITLINK__"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2__FDSAUDITLINK__"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3__FDSAUDITLINK__"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4__FDSAUDITLINK__"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5__FDSAUDITLINK__"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6__FDSAUDITLINK__"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7__FDSAUDITLINK__"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8__FDSAUDITLINK__"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9__FDSAUDITLINK__"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8__FDSAUDITLINK__"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0__FDSAUDITLINK__"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1__FDSAUDITLINK__"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2__FDSAUDITLINK__"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3__FDSAUDITLINK__"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4__FDSAUDITLINK__"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5__FDSAUDITLINK__"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6__FDSAUDITLINK__"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7__FDSAUDITLINK__"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8__FDSAUDITLINK__"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9__FDSAUDITLINK__"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9__FDSAUDITLINK__"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0__FDSAUDITLINK__"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1__FDSAUDITLINK__"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2__FDSAUDITLINK__"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3__FDSAUDITLINK__"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4__FDSAUDITLINK__"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5__FDSAUDITLINK__"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6__FDSAUDITLINK__"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7__FDSAUDITLINK__"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8__FDSAUDITLINK__"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9__FDSAUDITLINK__"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8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80__FDSAUDITLINK__"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0__FDSAUDITLINK__"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1__FDSAUDITLINK__"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2__FDSAUDITLINK__"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3__FDSAUDITLINK__"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4__FDSAUDITLINK__"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5__FDSAUDITLINK__"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6__FDSAUDITLINK__"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7__FDSAUDITLINK__"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8__FDSAUDITLINK__"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9__FDSAUDITLINK__"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1__FDSAUDITLINK__"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0__FDSAUDITLINK__"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1__FDSAUDITLINK__"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2__FDSAUDITLINK__"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3__FDSAUDITLINK__"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4__FDSAUDITLINK__"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5__FDSAUDITLINK__"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6__FDSAUDITLINK__"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7__FDSAUDITLINK__"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8__FDSAUDITLINK__"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9__FDSAUDITLINK__"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2__FDSAUDITLINK__"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0__FDSAUDITLINK__"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1__FDSAUDITLINK__"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2__FDSAUDITLINK__"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3__FDSAUDITLINK__"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4__FDSAUDITLINK__"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5__FDSAUDITLINK__"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6__FDSAUDITLINK__"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7__FDSAUDITLINK__"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8__FDSAUDITLINK__"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9__FDSAUDITLINK__"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3__FDSAUDITLINK__"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0__FDSAUDITLINK__"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1__FDSAUDITLINK__"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2__FDSAUDITLINK__"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3__FDSAUDITLINK__"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4__FDSAUDITLINK__"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5__FDSAUDITLINK__"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6__FDSAUDITLINK__"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7__FDSAUDITLINK__"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8__FDSAUDITLINK__"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9__FDSAUDITLINK__"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4__FDSAUDITLINK__"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0__FDSAUDITLINK__"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1__FDSAUDITLINK__"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2__FDSAUDITLINK__"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3__FDSAUDITLINK__"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4__FDSAUDITLINK__"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5__FDSAUDITLINK__"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6__FDSAUDITLINK__"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7__FDSAUDITLINK__"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8__FDSAUDITLINK__"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9__FDSAUDITLINK__"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5__FDSAUDITLINK__"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0__FDSAUDITLINK__"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1__FDSAUDITLINK__"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2__FDSAUDITLINK__"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3__FDSAUDITLINK__"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4__FDSAUDITLINK__"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5__FDSAUDITLINK__"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6__FDSAUDITLINK__"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7__FDSAUDITLINK__"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8__FDSAUDITLINK__"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9__FDSAUDITLINK__"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6__FDSAUDITLINK__"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0__FDSAUDITLINK__"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1__FDSAUDITLINK__"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2__FDSAUDITLINK__"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3__FDSAUDITLINK__"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4__FDSAUDITLINK__"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5__FDSAUDITLINK__"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6__FDSAUDITLINK__"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7__FDSAUDITLINK__"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8__FDSAUDITLINK__"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9__FDSAUDITLINK__"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7__FDSAUDITLINK__"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0__FDSAUDITLINK__"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1__FDSAUDITLINK__"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2__FDSAUDITLINK__"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3__FDSAUDITLINK__"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4__FDSAUDITLINK__"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5__FDSAUDITLINK__"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6__FDSAUDITLINK__"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7__FDSAUDITLINK__"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8__FDSAUDITLINK__"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9__FDSAUDITLINK__"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8__FDSAUDITLINK__"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0__FDSAUDITLINK__"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1__FDSAUDITLINK__"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2__FDSAUDITLINK__"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3__FDSAUDITLINK__"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4__FDSAUDITLINK__"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5__FDSAUDITLINK__"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6__FDSAUDITLINK__"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7__FDSAUDITLINK__"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8__FDSAUDITLINK__"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9__FDSAUDITLINK__"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9__FDSAUDITLINK__"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0__FDSAUDITLINK__"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1__FDSAUDITLINK__"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2__FDSAUDITLINK__"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3__FDSAUDITLINK__"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4__FDSAUDITLINK__"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5__FDSAUDITLINK__"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6__FDSAUDITLINK__"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7__FDSAUDITLINK__"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8__FDSAUDITLINK__"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9__FDSAUDITLINK__"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9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90__FDSAUDITLINK__"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0__FDSAUDITLINK__"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1__FDSAUDITLINK__"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2__FDSAUDITLINK__"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3__FDSAUDITLINK__"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4__FDSAUDITLINK__"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5__FDSAUDITLINK__"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6__FDSAUDITLINK__"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7__FDSAUDITLINK__"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8__FDSAUDITLINK__"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9__FDSAUDITLINK__"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1__FDSAUDITLINK__"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0__FDSAUDITLINK__"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1__FDSAUDITLINK__"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2__FDSAUDITLINK__"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3__FDSAUDITLINK__"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4__FDSAUDITLINK__"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5__FDSAUDITLINK__"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6__FDSAUDITLINK__"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7__FDSAUDITLINK__"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8__FDSAUDITLINK__"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9__FDSAUDITLINK__"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2__FDSAUDITLINK__"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0__FDSAUDITLINK__"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1__FDSAUDITLINK__"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2__FDSAUDITLINK__"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3__FDSAUDITLINK__"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4__FDSAUDITLINK__"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5__FDSAUDITLINK__"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6__FDSAUDITLINK__"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7__FDSAUDITLINK__"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8__FDSAUDITLINK__"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9__FDSAUDITLINK__"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3__FDSAUDITLINK__"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0__FDSAUDITLINK__"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1__FDSAUDITLINK__"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2__FDSAUDITLINK__"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3__FDSAUDITLINK__"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4__FDSAUDITLINK__"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5__FDSAUDITLINK__"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6__FDSAUDITLINK__"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7__FDSAUDITLINK__"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8__FDSAUDITLINK__"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9__FDSAUDITLINK__"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4__FDSAUDITLINK__"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0__FDSAUDITLINK__"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1__FDSAUDITLINK__"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2__FDSAUDITLINK__"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3__FDSAUDITLINK__"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4__FDSAUDITLINK__"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5__FDSAUDITLINK__"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6__FDSAUDITLINK__"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7__FDSAUDITLINK__"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8__FDSAUDITLINK__"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9__FDSAUDITLINK__"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5__FDSAUDITLINK__"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0__FDSAUDITLINK__"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1__FDSAUDITLINK__"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2__FDSAUDITLINK__"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3__FDSAUDITLINK__"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4__FDSAUDITLINK__"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5__FDSAUDITLINK__"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6__FDSAUDITLINK__"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7__FDSAUDITLINK__"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8__FDSAUDITLINK__"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9__FDSAUDITLINK__"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6__FDSAUDITLINK__"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0__FDSAUDITLINK__"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1__FDSAUDITLINK__"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2__FDSAUDITLINK__"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3__FDSAUDITLINK__"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4__FDSAUDITLINK__"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5__FDSAUDITLINK__"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6__FDSAUDITLINK__"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7__FDSAUDITLINK__"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8__FDSAUDITLINK__"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9__FDSAUDITLINK__"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7__FDSAUDITLINK__"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0__FDSAUDITLINK__"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1__FDSAUDITLINK__"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2__FDSAUDITLINK__"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3__FDSAUDITLINK__"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4__FDSAUDITLINK__"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5__FDSAUDITLINK__"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6__FDSAUDITLINK__"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7__FDSAUDITLINK__"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8__FDSAUDITLINK__"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9__FDSAUDITLINK__"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8__FDSAUDITLINK__"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0__FDSAUDITLINK__"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1__FDSAUDITLINK__"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2__FDSAUDITLINK__"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3__FDSAUDITLINK__"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4__FDSAUDITLINK__"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5__FDSAUDITLINK__"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6__FDSAUDITLINK__"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7__FDSAUDITLINK__"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8__FDSAUDITLINK__"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9__FDSAUDITLINK__"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9__FDSAUDITLINK__"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0__FDSAUDITLINK__"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1__FDSAUDITLINK__"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2__FDSAUDITLINK__"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3__FDSAUDITLINK__"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4__FDSAUDITLINK__"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5__FDSAUDITLINK__"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6__FDSAUDITLINK__"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7__FDSAUDITLINK__" hidden="1">{"fdsup://Directions/FactSet Auditing Viewer?action=AUDIT_VALUE&amp;DB=129&amp;ID1=98956P10&amp;VALUEID=01001&amp;SDATE=200902&amp;PERIODTYPE=QTR_STD&amp;window=popup_no_bar&amp;width=385&amp;height=120&amp;START_MAXIMIZED=FALSE&amp;creator=factset&amp;display_string=Audit"}</definedName>
    <definedName name="_998__FDSAUDITLINK__" hidden="1">{"fdsup://Directions/FactSet Auditing Viewer?action=AUDIT_VALUE&amp;DB=129&amp;ID1=98956P10&amp;VALUEID=01001&amp;SDATE=201002&amp;PERIODTYPE=QTR_STD&amp;window=popup_no_bar&amp;width=385&amp;height=120&amp;START_MAXIMIZED=FALSE&amp;creator=factset&amp;display_string=Audit"}</definedName>
    <definedName name="_999__FDSAUDITLINK__" hidden="1">{"fdsup://Directions/FactSet Auditing Viewer?action=AUDIT_VALUE&amp;DB=129&amp;ID1=98849810&amp;VALUEID=01001&amp;SDATE=200902&amp;PERIODTYPE=QTR_STD&amp;window=popup_no_bar&amp;width=385&amp;height=120&amp;START_MAXIMIZED=FALSE&amp;creator=factset&amp;display_string=Audit"}</definedName>
    <definedName name="_bdm.049E2CBFDD4A4E91A14B912D61DD0B2A.edm" hidden="1">'[2]qtr-inputs'!$A:$IV</definedName>
    <definedName name="_bdm.2146E1E080234E2AA3383C2E53531D68.edm" hidden="1">[3]DCF!$A:$IV</definedName>
    <definedName name="_bdm.24B1A62954CE4D60B0673BD6644CEB56.edm" hidden="1" xml:space="preserve">          '[2]ann-inputs'!$A:$IV</definedName>
    <definedName name="_bdm.2F8D95C718FB4B27978535A5BA0C3188.edm" hidden="1" xml:space="preserve">          '[2]ann-inputs'!$A:$IV</definedName>
    <definedName name="_bdm.3A1DD13DC7104A31B36B546CE1F0B34D.edm" hidden="1">[3]Model!$A:$IV</definedName>
    <definedName name="_bdm.4341313FFC5D45D68510BCA0D46F0E5B.edm" hidden="1" xml:space="preserve">          '[2]ann-inputs'!$A:$IV</definedName>
    <definedName name="_bdm.74C852B6F9A049409699312ACDFDAEDD.edm" hidden="1">'[2]ann-inputs'!$A:$IV</definedName>
    <definedName name="_bdm.8F45BD6E3B9245E4B1B835584FDF8083.edm" hidden="1" xml:space="preserve">          '[2]ann-inputs'!$A:$IV</definedName>
    <definedName name="_bdm.905C6884778144A5AD741BA372603FB8.edm" hidden="1" xml:space="preserve">          '[2]ann-inputs'!$A:$IV</definedName>
    <definedName name="_bdm.912C6EB121B14932BAA3027FA5D14096.edm" hidden="1" xml:space="preserve">          '[2]ann-inputs'!$A:$IV</definedName>
    <definedName name="_bdm.94FF65D1B5F54CD6A0A4A5E4765458CF.edm" hidden="1">'[2]RR table'!$A:$IV</definedName>
    <definedName name="_bdm.A3FAB734259F4F5AA64A52BAB3A59B5C.edm" hidden="1" xml:space="preserve">          '[2]ann-inputs'!$A:$IV</definedName>
    <definedName name="_bdm.A56EA7AC900D4D5FB90A98F7E86786E8.edm" hidden="1">[4]shipping!$A:$IV</definedName>
    <definedName name="_bdm.B04197FB604941A487B937FAECA7A36F.edm" hidden="1">[4]merchandise!$A:$IV</definedName>
    <definedName name="_bdm.B1B6CF4859974317AC1265E73C3DC65D.edm" hidden="1" xml:space="preserve">          '[2]ann-inputs'!$A:$IV</definedName>
    <definedName name="_bdm.D121589B8CF44498A35F95CF8B9ADDD2.edm" hidden="1" xml:space="preserve">          '[2]ann-inputs'!$A:$IV</definedName>
    <definedName name="_bdm.D41DB48A81DB4FE7B9EADA7F079B8122.edm" hidden="1" xml:space="preserve">          '[2]ann-inputs'!$A:$IV</definedName>
    <definedName name="_bdm.D838B78D46764002A4CA2279DB0FAF39.edm" hidden="1" xml:space="preserve">          '[2]ann-inputs'!$A:$IV</definedName>
    <definedName name="_bdm.F656D77493F249AB891FEFF84074FCD5.edm" hidden="1" xml:space="preserve">          '[2]ann-inputs'!$A:$IV</definedName>
    <definedName name="_bdm.FC1C2ABCAFEA4915AABFE7528AFB6FB7.edm" hidden="1" xml:space="preserve">          '[2]ann-inputs'!$A:$IV</definedName>
    <definedName name="_bdm.FE8A0DFDBE474647BBB6D8D3DDA6EBB6.edm" hidden="1">'[3]Drivers &amp; Metrics'!$A:$IV</definedName>
    <definedName name="_Order1" hidden="1">255</definedName>
    <definedName name="_Order1_1" hidden="1">255</definedName>
    <definedName name="_Order2" hidden="1">0</definedName>
    <definedName name="_Regression_Int" hidden="1">1</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hidden="1">{TRUE,TRUE,-1.25,-15.5,456.75,279.75,FALSE,FALSE,TRUE,TRUE,0,1,21,1,127,6,3,4,TRUE,TRUE,3,TRUE,1,TRUE,100,"Swvu.profits.","ACwvu.profits.",1,FALSE,FALSE,0.511811023622047,0.511811023622047,0.511811023622047,0.511811023622047,1,"","",FALSE,FALSE,FALSE,FALSE,1,#N/A,1,1,#DIV/0!,FALSE,"Rwvu.profits.",#N/A,FALSE,FALSE}</definedName>
    <definedName name="actual_start_year">1992</definedName>
    <definedName name="AdditionalInstructions">IndexInformation!$B$42</definedName>
    <definedName name="Address" localSheetId="0">ImportantDisclosures!$A$2:$A$2</definedName>
    <definedName name="AdjustValue">[5]!AdjustValue</definedName>
    <definedName name="admin">1</definedName>
    <definedName name="adsf" hidden="1">{TRUE,TRUE,-1.25,-15.5,456.75,279.75,FALSE,FALSE,TRUE,TRUE,0,1,21,1,127,6,3,4,TRUE,TRUE,3,TRUE,1,TRUE,100,"Swvu.profits.","ACwvu.profits.",1,FALSE,FALSE,0.511811023622047,0.511811023622047,0.511811023622047,0.511811023622047,1,"","",FALSE,FALSE,FALSE,FALSE,1,#N/A,1,1,#DIV/0!,FALSE,"Rwvu.profits.",#N/A,FALSE,FALSE}</definedName>
    <definedName name="ANA" localSheetId="11">ModPubIndex!$A$7</definedName>
    <definedName name="anscount" hidden="1">1</definedName>
    <definedName name="AS2DocOpenMode" hidden="1">"AS2DocumentEdit"</definedName>
    <definedName name="asdf" hidden="1">{TRUE,TRUE,-1.25,-15.5,456.75,279.75,FALSE,FALSE,TRUE,TRUE,0,1,8,1,4,6,3,4,TRUE,TRUE,3,TRUE,1,TRUE,100,"Swvu.turnover.","ACwvu.turnover.",1,FALSE,FALSE,0.511811023622047,0.511811023622047,0.511811023622047,0.511811023622047,1,"","",FALSE,FALSE,FALSE,FALSE,1,#N/A,1,1,#DIV/0!,FALSE,"Rwvu.turnover.",#N/A,FALSE,FALSE}</definedName>
    <definedName name="AssetsCurrentDeferredIncomeTax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0">ImportantDisclosures!$A$7</definedName>
    <definedName name="Authors" localSheetId="10">IndexInformation!$B$18</definedName>
    <definedName name="BRO" localSheetId="11">ModPubIndex!$A$1</definedName>
    <definedName name="case_num">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b_sChart12595BBC_opts" hidden="1">"1, 1, 1, False, 2, True, False, , 0, False, False, 2, 2"</definedName>
    <definedName name="cb_sChart12595E44_opts" hidden="1">"1, 3, 1, False, 2, True, False, , 0, True, False, 2, 2"</definedName>
    <definedName name="cb_sChart14E6EA1E_opts" hidden="1">"1, 9, 1, False, 2, False, False, , 0, False, False, 1, 2"</definedName>
    <definedName name="cb_sChart14E6EB91_opts" hidden="1">"1, 9, 1, False, 2, False, False, , 0, False, False, 1, 1"</definedName>
    <definedName name="cb_sChart14E6ED99_opts" hidden="1">"1, 9, 1, False, 2, False, False, , 0, False, False, 1, 1"</definedName>
    <definedName name="cb_sChart14E6F3EE_opts" hidden="1">"1, 9, 1, False, 2, False, False, , 0, False, False, 1, 1"</definedName>
    <definedName name="cb_sChart14E81502_opts" hidden="1">"1, 9, 1, False, 2, False, False, , 0, False, False, 1, 2"</definedName>
    <definedName name="cb_sChart14E81DF6_opts" hidden="1">"1, 9, 1, False, 2, False, False, , 0, False, False, 1, 2"</definedName>
    <definedName name="cb_sChart14E82800_opts" hidden="1">"1, 9, 1, False, 2, False, False, , 0, False, False, 1, 2"</definedName>
    <definedName name="cb_sChart14E83288_opts" hidden="1">"1, 9, 1, False, 2, False, False, , 0, False, False, 1, 2"</definedName>
    <definedName name="cb_sChart14E8F629_opts" hidden="1">"1, 9, 1, False, 2, False, False, , 0, False, False, 1, 2"</definedName>
    <definedName name="cb_sChart14F787E8_opts" hidden="1">"1, 9, 1, False, 2, False, False, , 0, False, False, 1, 2"</definedName>
    <definedName name="cb_sChart14F7947A_opts" hidden="1">"1, 9, 1, False, 2, False, False, , 0, False, False, 1, 2"</definedName>
    <definedName name="cb_sChart14F79A09_opts" hidden="1">"1, 9, 1, False, 2, False, False, , 0, False, False, 1, 2"</definedName>
    <definedName name="cb_sChart14FA60AB_opts" hidden="1">"1, 9, 1, False, 2, False, False, , 0, False, False, 1, 2"</definedName>
    <definedName name="cb_sChart14FA650D_opts" hidden="1">"1, 9, 1, False, 2, False, False, , 0, False, False, 1, 2"</definedName>
    <definedName name="cb_sChart1501ACE3_opts" hidden="1">"1, 8, 1, False, 2, False, False, , 0, False, False, 1, 2"</definedName>
    <definedName name="cb_sChart1501AEF7_opts" hidden="1">"1, 9, 1, False, 2, False, False, , 0, False, False, 1, 2"</definedName>
    <definedName name="cb_sChart1501DCE6_opts" hidden="1">"1, 9, 1, False, 2, False, False, , 0, False, False, 1, 2"</definedName>
    <definedName name="cb_sChart1501EF92_opts" hidden="1">"1, 9, 1, False, 2, False, False, , 0, False, False, 1, 2"</definedName>
    <definedName name="cb_sChart1501F8CB_opts" hidden="1">"1, 9, 1, False, 2, False, False, , 0, False, False, 1, 2"</definedName>
    <definedName name="cb_sChart150208AA_opts" hidden="1">"1, 9, 1, False, 2, False, False, , 0, False, False, 1, 2"</definedName>
    <definedName name="cb_sChart15020EC4_opts" hidden="1">"1, 9, 1, False, 2, False, False, , 0, False, False, 1, 2"</definedName>
    <definedName name="cb_sChart150212BF_opts" hidden="1">"1, 9, 1, False, 2, False, False, , 0, False, False, 1, 2"</definedName>
    <definedName name="cb_sChart15021F68_opts" hidden="1">"1, 9, 1, False, 2, False, False, , 0, False, False, 1, 1"</definedName>
    <definedName name="cb_sChart15022484_opts" hidden="1">"1, 9, 1, False, 2, False, False, , 0, False, False, 1, 2"</definedName>
    <definedName name="cb_sChart150226F5_opts" hidden="1">"1, 9, 1, False, 2, False, False, , 0, False, False, 1, 2"</definedName>
    <definedName name="cb_sChart15144595_opts" hidden="1">"1, 9, 1, False, 2, False, False, , 0, False, False, 1, 2"</definedName>
    <definedName name="cb_sChart15145615_opts" hidden="1">"1, 9, 1, False, 2, False, False, , 0, False, False, 1, 2"</definedName>
    <definedName name="cb_sChart151464B0_opts" hidden="1">"1, 9, 1, False, 2, False, False, , 0, False, False, 1, 2"</definedName>
    <definedName name="cb_sChart15146FA1_opts" hidden="1">"1, 9, 1, False, 2, False, False, , 0, False, False, 1, 2"</definedName>
    <definedName name="cb_sChart15149A94_opts" hidden="1">"1, 9, 1, False, 2, False, False, , 0, False, False, 1, 2"</definedName>
    <definedName name="cb_sChart1514EEC3_opts" hidden="1">"1, 9, 1, False, 2, False, False, , 0, False, False, 1, 2"</definedName>
    <definedName name="cb_sChart1514F2E0_opts" hidden="1">"1, 9, 1, False, 2, False, False, , 0, False, False, 1, 2"</definedName>
    <definedName name="cb_sChart151510A0_opts" hidden="1">"1, 9, 1, False, 2, False, False, , 0, False, False, 1, 2"</definedName>
    <definedName name="cb_sChart15154C37_opts" hidden="1">"1, 9, 1, False, 2, False, False, , 0, False, False, 1, 2"</definedName>
    <definedName name="cb_sChart15157034_opts" hidden="1">"1, 9, 1, False, 2, False, False, , 0, False, False, 1, 2"</definedName>
    <definedName name="cb_sChart1515F81B_opts" hidden="1">"1, 9, 1, False, 2, False, False, , 0, False, False, 1, 2"</definedName>
    <definedName name="cb_sChart1515F9EA_opts" hidden="1">"1, 9, 1, False, 2, False, False, , 0, False, False, 1, 2"</definedName>
    <definedName name="cb_sChart15161029_opts" hidden="1">"1, 9, 1, False, 2, False, False, , 0, False, False, 1, 2"</definedName>
    <definedName name="cb_sChart15163773_opts" hidden="1">"1, 9, 1, False, 2, False, False, , 0, False, False, 1, 2"</definedName>
    <definedName name="cb_sChart15164F8C_opts" hidden="1">"1, 9, 1, False, 2, False, False, , 0, False, False, 1, 2"</definedName>
    <definedName name="cb_sChart15165265_opts" hidden="1">"1, 9, 1, False, 2, False, False, , 0, False, False, 1, 2"</definedName>
    <definedName name="cb_sChart15166173_opts" hidden="1">"1, 9, 1, False, 2, False, False, , 0, False, False, 1, 2"</definedName>
    <definedName name="cb_sChart1516A84C_opts" hidden="1">"1, 9, 1, False, 2, False, False, , 0, False, False, 1, 2"</definedName>
    <definedName name="cb_sChart16EBA7BA_opts" hidden="1">"1, 1, 1, False, 2, True, False, , 0, False, True, 1, 2"</definedName>
    <definedName name="cb_sChart19550B88_opts" hidden="1">"1, 1, 1, False, 2, False, False, , 0, False, False, 1, 1"</definedName>
    <definedName name="cb_sChart1955183C_opts" hidden="1">"2, 1, 1, True, 2, False, False, , 0, False, False, 1, 1"</definedName>
    <definedName name="cb_sChart19551C4E_opts" hidden="1">"2, 1, 1, True, 2, True, False, , 0, False, False, 1, 1"</definedName>
    <definedName name="cb_sChart1955C01A_opts" hidden="1">"2, 1, 1, False, 2, False, False, , 0, False, True, 1, 1"</definedName>
    <definedName name="cb_sChart1955C1C7_opts" hidden="1">"2, 1, 1, True, 2, False, False, , 0, False, True, 1, 1"</definedName>
    <definedName name="cb_sChart19EB7A17_opts" hidden="1">"1, 3, 1, False, 2, False, False, , 0, False, True, 1, 1"</definedName>
    <definedName name="cb_sChart19EB7D70_opts" hidden="1">"1, 5, 1, False, 2, False, False, , 0, False, True, 1, 1"</definedName>
    <definedName name="cb_sChart19EB7F61_opts" hidden="1">"1, 3, 1, False, 2, False, False, , 0, False, True, 1, 1"</definedName>
    <definedName name="cb_sChart1AC0211C_opts" hidden="1">"1, 1, 1, False, 2, False, False, , 0, False, False, 2, 2"</definedName>
    <definedName name="cb_sChart1AC021B3_opts" hidden="1">"1, 1, 1, False, 2, False, False, , 0, False, False, 2, 2"</definedName>
    <definedName name="cb_sChart1AC02226_opts" hidden="1">"1, 1, 1, False, 2, False, False, , 0, False, False, 2, 2"</definedName>
    <definedName name="cb_sChart1AC02446_opts" hidden="1">"1, 1, 1, False, 2, True, False, , 0, False, True, 2, 2"</definedName>
    <definedName name="cb_sChart1AC02765_opts" hidden="1">"1, 1, 1, False, 2, True, False, , 0, False, True, 2, 2"</definedName>
    <definedName name="cb_sChart1AC027D9_opts" hidden="1">"1, 1, 1, False, 2, True, False, , 0, False, True, 2, 2"</definedName>
    <definedName name="cb_sChart1B9A4AFE_opts" hidden="1">"1, 9, 1, False, 2, False, False, , 0, False, False, 1, 2"</definedName>
    <definedName name="cb_sChart1BA1DC3F_opts" hidden="1">"1, 9, 1, False, 2, False, False, , 0, False, False, 1, 2"</definedName>
    <definedName name="cb_sChart1C94B61D_opts" hidden="1">"1, 9, 3, False, 2, False, False, , 0, False, True, 1, 1"</definedName>
    <definedName name="cb_sChart1C94BA0C_opts" hidden="1">"1, 1, 1, False, 2, True, False, , 0, False, True, 1, 1"</definedName>
    <definedName name="cb_sChart1C94BFE1_opts" hidden="1">"1, 9, 1, False, 2, False, False, , 0, False, True, 1, 1"</definedName>
    <definedName name="chart">"Chart 1"</definedName>
    <definedName name="Class_B">68.45</definedName>
    <definedName name="cm">1</definedName>
    <definedName name="computer">[5]!computer</definedName>
    <definedName name="CopyrightStamp">ImportantDisclosures!$A$27</definedName>
    <definedName name="COU" localSheetId="11">ModPubIndex!$A$5</definedName>
    <definedName name="CQEnd" localSheetId="10">IndexInformation!$B$31</definedName>
    <definedName name="Currency" localSheetId="10">IndexInformation!$B$24</definedName>
    <definedName name="current_price">Valuation!$C$4</definedName>
    <definedName name="CurrentStockPrice" localSheetId="10">IndexInformation!$B$23</definedName>
    <definedName name="CurrQtrEPS" localSheetId="10">IndexInformation!$B$29</definedName>
    <definedName name="CurrYearEPS" localSheetId="10">IndexInformation!$B$11</definedName>
    <definedName name="CurrYearTotalRevenue" localSheetId="10">IndexInformation!$B$10</definedName>
    <definedName name="CurrYearTotalRevenueActual" localSheetId="10">IndexInformation!$B$32</definedName>
    <definedName name="CUSIP" localSheetId="10">IndexInformation!$B$20</definedName>
    <definedName name="CYEnd" localSheetId="10">IndexInformation!$B$30</definedName>
    <definedName name="dataseries4">OFFSET([6]c1!$G$12,0,0,COUNTA([6]c1!$G$12:$G$31),1)</definedName>
    <definedName name="Date" localSheetId="0">ImportantDisclosures!$A$8</definedName>
    <definedName name="Deleted" localSheetId="10">IndexInformation!$B$27</definedName>
    <definedName name="Description" localSheetId="10">IndexInformation!$B$7</definedName>
    <definedName name="desk">[5]!desk</definedName>
    <definedName name="Discipline" localSheetId="10">IndexInformation!$B$3</definedName>
    <definedName name="DISCIPLINE" localSheetId="11">ModPubIndex!$A$12</definedName>
    <definedName name="DisclosuresText">ImportantDisclosures!$A$22</definedName>
    <definedName name="Distribution" localSheetId="10">IndexInformation!$B$26</definedName>
    <definedName name="DistTable" localSheetId="0">ImportantDisclosures!#REF!</definedName>
    <definedName name="DistTablePreamble" localSheetId="0">ImportantDisclosures!#REF!</definedName>
    <definedName name="DOCDAT" localSheetId="11">ModPubIndex!$A$2</definedName>
    <definedName name="DOCTIME" localSheetId="11">ModPubIndex!$A$3</definedName>
    <definedName name="DocType" localSheetId="10">IndexInformation!$B$5</definedName>
    <definedName name="EMAIL_ALERT" localSheetId="11">ModPubIndex!$A$10</definedName>
    <definedName name="EmailAlert" localSheetId="10">IndexInformation!$B$28</definedName>
    <definedName name="EquityAdjustments">0</definedName>
    <definedName name="EquityEmployeeStockOwnershipPlan">0</definedName>
    <definedName name="EquityPaidInCapital">0</definedName>
    <definedName name="EquityTreasuryStock">0</definedName>
    <definedName name="ethg" localSheetId="5" hidden="1">{"'RCIM'!$E$128"}</definedName>
    <definedName name="ethg" hidden="1">{"'RCIM'!$E$128"}</definedName>
    <definedName name="ev.Calculation" hidden="1">-4135</definedName>
    <definedName name="ev.Initialized" hidden="1">FALSE</definedName>
    <definedName name="Exch">" Sheet2!$F$2"</definedName>
    <definedName name="fair_value" localSheetId="8">DCF_bull!$L$40</definedName>
    <definedName name="fair_value">DCF!$L$39</definedName>
    <definedName name="FiveYearGrowthRate" localSheetId="10">IndexInformation!$B$16</definedName>
    <definedName name="FollowingYearEPS" localSheetId="10">IndexInformation!$B$15</definedName>
    <definedName name="FollowingYearTotalRevenue" localSheetId="10">IndexInformation!$B$14</definedName>
    <definedName name="FollowingYearTotalRevenueActual" localSheetId="10">IndexInformation!$B$34</definedName>
    <definedName name="glad">[5]!glad</definedName>
    <definedName name="Goodwill_Amortization">25</definedName>
    <definedName name="GWyears">40</definedName>
    <definedName name="help" localSheetId="5" hidden="1">{"'RCIM'!$E$128"}</definedName>
    <definedName name="help" hidden="1">{"'RCIM'!$E$128"}</definedName>
    <definedName name="HL" localSheetId="11">ModPubIndex!$A$8</definedName>
    <definedName name="hn.ModelVersion" hidden="1">1</definedName>
    <definedName name="hn.NoUpload" hidden="1">0</definedName>
    <definedName name="HTML_CodePage" hidden="1">1252</definedName>
    <definedName name="HTML_Control" localSheetId="5" hidden="1">{"'Asm'!$E$1:$AX$53"}</definedName>
    <definedName name="HTML_Control" hidden="1">{"'Asm'!$E$1:$AX$53"}</definedName>
    <definedName name="HTML_Description" hidden="1">""</definedName>
    <definedName name="HTML_Email" hidden="1">""</definedName>
    <definedName name="HTML_Header" hidden="1">"Asm"</definedName>
    <definedName name="HTML_LastUpdate" hidden="1">"10/12/98"</definedName>
    <definedName name="HTML_LineAfter" hidden="1">FALSE</definedName>
    <definedName name="HTML_LineBefore" hidden="1">FALSE</definedName>
    <definedName name="HTML_Name" hidden="1">"Tom Stone"</definedName>
    <definedName name="HTML_OBDlg2" hidden="1">TRUE</definedName>
    <definedName name="HTML_OBDlg4" hidden="1">TRUE</definedName>
    <definedName name="HTML_OS" hidden="1">0</definedName>
    <definedName name="HTML_PathFile" hidden="1">"f:\Finance\MyHTML.htm"</definedName>
    <definedName name="HTML_Title" hidden="1">"PlanRpts220"</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ncomeEPSFullyDiluted">0</definedName>
    <definedName name="IncomeEPSPrimary">0</definedName>
    <definedName name="IncomeEPSRegular">0</definedName>
    <definedName name="IND" localSheetId="11">ModPubIndex!$A$9</definedName>
    <definedName name="Industry" localSheetId="0">ImportantDisclosures!$A$12</definedName>
    <definedName name="IndustryId">IndexInformation!$B$40</definedName>
    <definedName name="IndustryRating" localSheetId="0">ImportantDisclosures!$A$13</definedName>
    <definedName name="input">{"0.614608629108408";"0.089";"0.07";"0.036";"0.09";"0.39";"0.177761404547907";"0.116071428571429";"0.708";"0.0556964285714285";"0.127160714285714"}</definedName>
    <definedName name="Int_exp">8%</definedName>
    <definedName name="Investments" localSheetId="6">BS_LongTermInvestments</definedName>
    <definedName name="Investments" localSheetId="8">BS_LongTermInvestments</definedName>
    <definedName name="Investments" localSheetId="5">BS_LongTermInvestments</definedName>
    <definedName name="Investments" localSheetId="9">BS_LongTermInvestments</definedName>
    <definedName name="Investments">BS_LongTermInvestments</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_UNUSED_UNUSED" hidden="1">"c8135"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CIQ" hidden="1">"c5068"</definedName>
    <definedName name="IQ_BV_OVER_SHARES" hidden="1">"c1349"</definedName>
    <definedName name="IQ_BV_SHARE" hidden="1">"c100"</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Q_EST_THOM" hidden="1">"c6804"</definedName>
    <definedName name="IQ_CAL_Y" hidden="1">"c102"</definedName>
    <definedName name="IQ_CAL_Y_EST" hidden="1">"c6797"</definedName>
    <definedName name="IQ_CAL_Y_EST_CIQ" hidden="1">"c6809"</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1"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_UNUSED_UNUSED" hidden="1">"c8280"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_UNUSED_UNUSED" hidden="1">"c7947"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_UNUSED_UNUSED" hidden="1">"c8167"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"c1369"</definedName>
    <definedName name="IQ_EBIT_SBC_ACT_OR_EST" hidden="1">"c4316"</definedName>
    <definedName name="IQ_EBIT_SBC_ACT_OR_EST_CIQ" hidden="1">"c4841"</definedName>
    <definedName name="IQ_EBIT_SBC_GW_ACT_OR_EST" hidden="1">"c4320"</definedName>
    <definedName name="IQ_EBIT_SBC_GW_ACT_OR_EST_CIQ" hidden="1">"c4845"</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THOM" hidden="1">"c5300"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BC_ACT_OR_EST_CIQ" hidden="1">"c4862"</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GW_ACT_OR_EST" hidden="1">"c4354"</definedName>
    <definedName name="IQ_EBT_SBC_GW_ACT_OR_EST_CIQ" hidden="1">"c4879"</definedName>
    <definedName name="IQ_EBT_SUBTOTAL_AP" hidden="1">"c8982"</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27" hidden="1">"c6927"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147" hidden="1">"c7147"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367" hidden="1">"c7367"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587" hidden="1">"c7587"</definedName>
    <definedName name="IQ_ECO_METRIC_7648_UNUSED_UNUSED_UNUSED" hidden="1">"c7648"</definedName>
    <definedName name="IQ_ECO_METRIC_7704" hidden="1">"c7704"</definedName>
    <definedName name="IQ_ECO_METRIC_7705_UNUSED_UNUSED_UNUSED" hidden="1">"c7705"</definedName>
    <definedName name="IQ_ECO_METRIC_7706" hidden="1">"c7706"</definedName>
    <definedName name="IQ_ECO_METRIC_7718" hidden="1">"c7718"</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07" hidden="1">"c7807"</definedName>
    <definedName name="IQ_ECO_METRIC_7811" hidden="1">"c7811"</definedName>
    <definedName name="IQ_ECO_METRIC_7868_UNUSED_UNUSED_UNUSED" hidden="1">"c7868"</definedName>
    <definedName name="IQ_ECO_METRIC_7873" hidden="1">"c7873"</definedName>
    <definedName name="IQ_ECO_METRIC_7924" hidden="1">"c7924"</definedName>
    <definedName name="IQ_ECO_METRIC_7925_UNUSED_UNUSED_UNUSED" hidden="1">"c7925"</definedName>
    <definedName name="IQ_ECO_METRIC_7926" hidden="1">"c7926"</definedName>
    <definedName name="IQ_ECO_METRIC_7938" hidden="1">"c7938"</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27" hidden="1">"c8027"</definedName>
    <definedName name="IQ_ECO_METRIC_8031" hidden="1">"c8031"</definedName>
    <definedName name="IQ_ECO_METRIC_8088_UNUSED_UNUSED_UNUSED" hidden="1">"c8088"</definedName>
    <definedName name="IQ_ECO_METRIC_8093" hidden="1">"c8093"</definedName>
    <definedName name="IQ_ECO_METRIC_8144" hidden="1">"c8144"</definedName>
    <definedName name="IQ_ECO_METRIC_8145_UNUSED_UNUSED_UNUSED" hidden="1">"c8145"</definedName>
    <definedName name="IQ_ECO_METRIC_8146" hidden="1">"c8146"</definedName>
    <definedName name="IQ_ECO_METRIC_8158" hidden="1">"c8158"</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247" hidden="1">"c8247"</definedName>
    <definedName name="IQ_ECO_METRIC_8251" hidden="1">"c8251"</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_UNUSED_UNUSED" hidden="1">"c8436"</definedName>
    <definedName name="IQ_ECO_METRIC_8437_UNUSED_UNUSED_UNUSED" hidden="1">"c8437"</definedName>
    <definedName name="IQ_ECO_METRIC_8467" hidden="1">"c8467"</definedName>
    <definedName name="IQ_ECO_METRIC_8471" hidden="1">"c8471"</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THOM" hidden="1">"c5298"</definedName>
    <definedName name="IQ_EPS_AP" hidden="1">"c8880"</definedName>
    <definedName name="IQ_EPS_AP_ABS" hidden="1">"c8899"</definedName>
    <definedName name="IQ_EPS_EST" hidden="1">"c399"</definedName>
    <definedName name="IQ_EPS_EST_BOTTOM_UP" hidden="1">"c5489"</definedName>
    <definedName name="IQ_EPS_EST_BOTTOM_UP_THOM" hidden="1">"c5647"</definedName>
    <definedName name="IQ_EPS_EST_CIQ" hidden="1">"c4994"</definedName>
    <definedName name="IQ_EPS_EST_REUT" hidden="1">"c5453"</definedName>
    <definedName name="IQ_EPS_EST_THOM" hidden="1">"c5290"</definedName>
    <definedName name="IQ_EPS_GW_ACT_OR_EST_CIQ" hidden="1">"c5066"</definedName>
    <definedName name="IQ_EPS_GW_EST" hidden="1">"c1737"</definedName>
    <definedName name="IQ_EPS_GW_EST_CIQ" hidden="1">"c4723"</definedName>
    <definedName name="IQ_EPS_GW_EST_REUT" hidden="1">"c5389"</definedName>
    <definedName name="IQ_EPS_GW_EST_THOM" hidden="1">"c5133"</definedName>
    <definedName name="IQ_EPS_GW_HIGH_EST" hidden="1">"c1739"</definedName>
    <definedName name="IQ_EPS_GW_HIGH_EST_CIQ" hidden="1">"c4725"</definedName>
    <definedName name="IQ_EPS_GW_HIGH_EST_REUT" hidden="1">"c5391"</definedName>
    <definedName name="IQ_EPS_GW_HIGH_EST_THOM" hidden="1">"c5135"</definedName>
    <definedName name="IQ_EPS_GW_LOW_EST" hidden="1">"c1740"</definedName>
    <definedName name="IQ_EPS_GW_LOW_EST_CIQ" hidden="1">"c4726"</definedName>
    <definedName name="IQ_EPS_GW_LOW_EST_REUT" hidden="1">"c5392"</definedName>
    <definedName name="IQ_EPS_GW_LOW_EST_THOM" hidden="1">"c5136"</definedName>
    <definedName name="IQ_EPS_GW_MEDIAN_EST" hidden="1">"c1738"</definedName>
    <definedName name="IQ_EPS_GW_MEDIAN_EST_CIQ" hidden="1">"c4724"</definedName>
    <definedName name="IQ_EPS_GW_MEDIAN_EST_REUT" hidden="1">"c5390"</definedName>
    <definedName name="IQ_EPS_GW_MEDIAN_EST_THOM" hidden="1">"c5134"</definedName>
    <definedName name="IQ_EPS_GW_NUM_EST" hidden="1">"c1741"</definedName>
    <definedName name="IQ_EPS_GW_NUM_EST_CIQ" hidden="1">"c4727"</definedName>
    <definedName name="IQ_EPS_GW_NUM_EST_REUT" hidden="1">"c5393"</definedName>
    <definedName name="IQ_EPS_GW_NUM_EST_THOM" hidden="1">"c5137"</definedName>
    <definedName name="IQ_EPS_GW_STDDEV_EST" hidden="1">"c1742"</definedName>
    <definedName name="IQ_EPS_GW_STDDEV_EST_CIQ" hidden="1">"c4728"</definedName>
    <definedName name="IQ_EPS_GW_STDDEV_EST_REUT" hidden="1">"c5394"</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RM" hidden="1">"c1902"</definedName>
    <definedName name="IQ_EPS_NORM_EST" hidden="1">"c2226"</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NUM_EST_THOM" hidden="1">"c5288"</definedName>
    <definedName name="IQ_EPS_REPORT_ACT_OR_EST_CIQ" hidden="1">"c5067"</definedName>
    <definedName name="IQ_EPS_REPORT_ACT_OR_EST_THOM" hidden="1">"c5307"</definedName>
    <definedName name="IQ_EPS_REPORTED_EST" hidden="1">"c1744"</definedName>
    <definedName name="IQ_EPS_REPORTED_EST_CIQ" hidden="1">"c4730"</definedName>
    <definedName name="IQ_EPS_REPORTED_EST_REUT" hidden="1">"c5396"</definedName>
    <definedName name="IQ_EPS_REPORTED_EST_THOM" hidden="1">"c5140"</definedName>
    <definedName name="IQ_EPS_REPORTED_HIGH_EST" hidden="1">"c1746"</definedName>
    <definedName name="IQ_EPS_REPORTED_HIGH_EST_CIQ" hidden="1">"c4732"</definedName>
    <definedName name="IQ_EPS_REPORTED_HIGH_EST_REUT" hidden="1">"c5398"</definedName>
    <definedName name="IQ_EPS_REPORTED_HIGH_EST_THOM" hidden="1">"c5142"</definedName>
    <definedName name="IQ_EPS_REPORTED_LOW_EST" hidden="1">"c1747"</definedName>
    <definedName name="IQ_EPS_REPORTED_LOW_EST_CIQ" hidden="1">"c4733"</definedName>
    <definedName name="IQ_EPS_REPORTED_LOW_EST_REUT" hidden="1">"c5399"</definedName>
    <definedName name="IQ_EPS_REPORTED_LOW_EST_THOM" hidden="1">"c5143"</definedName>
    <definedName name="IQ_EPS_REPORTED_MEDIAN_EST" hidden="1">"c1745"</definedName>
    <definedName name="IQ_EPS_REPORTED_MEDIAN_EST_CIQ" hidden="1">"c4731"</definedName>
    <definedName name="IQ_EPS_REPORTED_MEDIAN_EST_REUT" hidden="1">"c5397"</definedName>
    <definedName name="IQ_EPS_REPORTED_MEDIAN_EST_THOM" hidden="1">"c5141"</definedName>
    <definedName name="IQ_EPS_REPORTED_NUM_EST" hidden="1">"c1748"</definedName>
    <definedName name="IQ_EPS_REPORTED_NUM_EST_CIQ" hidden="1">"c4734"</definedName>
    <definedName name="IQ_EPS_REPORTED_NUM_EST_REUT" hidden="1">"c5400"</definedName>
    <definedName name="IQ_EPS_REPORTED_NUM_EST_THOM" hidden="1">"c5144"</definedName>
    <definedName name="IQ_EPS_REPORTED_STDDEV_EST" hidden="1">"c1749"</definedName>
    <definedName name="IQ_EPS_REPORTED_STDDEV_EST_CIQ" hidden="1">"c4735"</definedName>
    <definedName name="IQ_EPS_REPORTED_STDDEV_EST_REUT" hidden="1">"c5401"</definedName>
    <definedName name="IQ_EPS_REPORTED_STDDEV_EST_THOM" hidden="1">"c5145"</definedName>
    <definedName name="IQ_EPS_SBC_ACT_OR_EST" hidden="1">"c4376"</definedName>
    <definedName name="IQ_EPS_SBC_ACT_OR_EST_CIQ" hidden="1">"c4901"</definedName>
    <definedName name="IQ_EPS_SBC_GW_ACT_OR_EST" hidden="1">"c4380"</definedName>
    <definedName name="IQ_EPS_SBC_GW_ACT_OR_EST_CIQ" hidden="1">"c4905"</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CIQ" hidden="1">"c4729"</definedName>
    <definedName name="IQ_EST_ACT_EPS_GW_REUT" hidden="1">"c5395"</definedName>
    <definedName name="IQ_EST_ACT_EPS_GW_THOM" hidden="1">"c5139"</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REUT" hidden="1">"c5429"</definedName>
    <definedName name="IQ_EST_EPS_GW_DIFF_THOM" hidden="1">"c5200"</definedName>
    <definedName name="IQ_EST_EPS_GW_SURPRISE_PERCENT" hidden="1">"c1892"</definedName>
    <definedName name="IQ_EST_EPS_GW_SURPRISE_PERCENT_CIQ" hidden="1">"c4762"</definedName>
    <definedName name="IQ_EST_EPS_GW_SURPRISE_PERCENT_REUT" hidden="1">"c5430"</definedName>
    <definedName name="IQ_EST_EPS_GW_SURPRISE_PERCENT_THOM" hidden="1">"c5201"</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_UNUSED_UNUSED" hidden="1">"c8401"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 hidden="1">"c11931"</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 hidden="1">"c11932"</definedName>
    <definedName name="IQ_EXPORTS_GOODS_REAL_SAAR_YOY_FC_UNUSED_UNUSED_UNUSED" hidden="1">"c8292"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_UNUSED_UNUSED" hidden="1">"c7961"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 hidden="1">"c11935"</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 hidden="1">"c11936"</definedName>
    <definedName name="IQ_EXPORTS_SERVICES_REAL_SAAR_YOY_FC_UNUSED_UNUSED_UNUSED" hidden="1">"c8296"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DJ_ACT_OR_EST" hidden="1">"c4435"</definedName>
    <definedName name="IQ_FFO_ADJ_ACT_OR_EST_CIQ" hidden="1">"c4960"</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TDDEV_EST" hidden="1">"c422"</definedName>
    <definedName name="IQ_FFO_STDDEV_EST_THOM" hidden="1">"c4004"</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Q_EST_THOM" hidden="1">"c6802"</definedName>
    <definedName name="IQ_FISCAL_Y" hidden="1">"c441"</definedName>
    <definedName name="IQ_FISCAL_Y_EST" hidden="1">"c6795"</definedName>
    <definedName name="IQ_FISCAL_Y_EST_CIQ" hidden="1">"c6807"</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_UNUSED_UNUSED" hidden="1">"c8298"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 hidden="1">"c11959"</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_UNUSED_UNUSED" hidden="1">"c8304"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_UNUSED_UNUSED" hidden="1">"c8209"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ACT_OR_EST_CIQ" hidden="1">"c5012"</definedName>
    <definedName name="IQ_NI_SBC_GW_ACT_OR_EST" hidden="1">"c4478"</definedName>
    <definedName name="IQ_NI_SBC_GW_ACT_OR_EST_CIQ" hidden="1">"c5016"</definedName>
    <definedName name="IQ_NI_SFAS" hidden="1">"c795"</definedName>
    <definedName name="IQ_NI_STDDEV_EST" hidden="1">"c1721"</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_UNUSED_UNUSED" hidden="1">"c8248"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PRDUCTION_GROWTH_TOAL" hidden="1">"c10071"</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"c1448"</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"c10027"</definedName>
    <definedName name="IQ_PHARMBIO_NUMBER_PROD__CLINICAL_DEV" hidden="1">"c10022"</definedName>
    <definedName name="IQ_PHARMBIO_NUMBER_PROD__LAUNCHED_DURING_PERIOD" hidden="1">"c10028"</definedName>
    <definedName name="IQ_PHARMBIO_NUMBER_PROD__PHASE_I" hidden="1">"c10023"</definedName>
    <definedName name="IQ_PHARMBIO_NUMBER_PROD__PHASE_II" hidden="1">"c10024"</definedName>
    <definedName name="IQ_PHARMBIO_NUMBER_PROD__PHASE_III" hidden="1">"c10025"</definedName>
    <definedName name="IQ_PHARMBIO_NUMBER_PROD__PRE_CLINICAL_TRIALS" hidden="1">"c10021"</definedName>
    <definedName name="IQ_PHARMBIO_NUMBER_PROD__PRE_REGISTRATION" hidden="1">"c10026"</definedName>
    <definedName name="IQ_PHARMBIO_NUMBER_PROD__RESEARCH_DEV" hidden="1">"c10020"</definedName>
    <definedName name="IQ_PHARMBIO_NUMBER_PROD_DISCOVERY_RESEARCH" hidden="1">"c10019"</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CIQ" hidden="1">"c3613"</definedName>
    <definedName name="IQ_PRICE_TARGET_REUT" hidden="1">"c3631"</definedName>
    <definedName name="IQ_PRICE_TARGET_THOM" hidden="1">"c3649"</definedName>
    <definedName name="IQ_PRICEDATE" hidden="1">"c1069"</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SHARE_ACT_OR_EST" hidden="1">"c4508"</definedName>
    <definedName name="IQ_RECURRING_PROFIT_SHARE_ACT_OR_EST_CIQ" hidden="1">"c5046"</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FRANCHISE_STORES_1" hidden="1">"c2895"</definedName>
    <definedName name="IQ_RETAIL_ACQUIRED_OWNED_STORES" hidden="1">"c2903"</definedName>
    <definedName name="IQ_RETAIL_ACQUIRED_OWNED_STORES_1"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MBEDDED_VALUE" hidden="1">"c9974"</definedName>
    <definedName name="IQ_RETURN_EQUITY" hidden="1">"c1118"</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ACT_OR_EST_THOM" hidden="1">"c5299"</definedName>
    <definedName name="IQ_REVENUE_EST" hidden="1">"c1126"</definedName>
    <definedName name="IQ_REVENUE_EST_CIQ" hidden="1">"c3616"</definedName>
    <definedName name="IQ_REVENUE_EST_REUT" hidden="1">"c3634"</definedName>
    <definedName name="IQ_REVENUE_EST_THOM" hidden="1">"c3652"</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ISION_DATE_" hidden="1">39734.3457291667</definedName>
    <definedName name="IQ_REVISION_DATE__1" hidden="1">39358.4284837963</definedName>
    <definedName name="IQ_RISK_ADJ_BANK_ASSETS" hidden="1">"c2670"</definedName>
    <definedName name="IQ_RISK_WEIGHTED_ASSETS_FDIC" hidden="1">"c6370"</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j">[5]!j</definedName>
    <definedName name="jen" hidden="1">{TRUE,TRUE,-1.25,-15.5,456.75,279.75,FALSE,FALSE,TRUE,TRUE,0,1,8,1,4,6,3,4,TRUE,TRUE,3,TRUE,1,TRUE,100,"Swvu.turnover.","ACwvu.turnover.",1,FALSE,FALSE,0.511811023622047,0.511811023622047,0.511811023622047,0.511811023622047,1,"","",FALSE,FALSE,FALSE,FALSE,1,#N/A,1,1,#DIV/0!,FALSE,"Rwvu.turnover.",#N/A,FALSE,FALSE}</definedName>
    <definedName name="jhiuh" localSheetId="5" hidden="1">{"'RCIM'!$E$128"}</definedName>
    <definedName name="jhiuh" hidden="1">{"'RCIM'!$E$128"}</definedName>
    <definedName name="joimnf" localSheetId="5" hidden="1">{"'RCIM'!$E$128"}</definedName>
    <definedName name="joimnf" hidden="1">{"'RCIM'!$E$128"}</definedName>
    <definedName name="KeepVersions" localSheetId="10">IndexInformation!$B$8</definedName>
    <definedName name="kw" hidden="1">{"fdsup://Directions/FactSet Auditing Viewer?action=AUDIT_VALUE&amp;DB=129&amp;ID1=03783310&amp;VALUEID=02001&amp;SDATE=2009&amp;PERIODTYPE=ANN_STD&amp;window=popup_no_bar&amp;width=385&amp;height=120&amp;START_MAXIMIZED=FALSE&amp;creator=factset&amp;display_string=Audit"}</definedName>
    <definedName name="lamp">[5]!lamp</definedName>
    <definedName name="LanguageCode">IndexInformation!$B$38</definedName>
    <definedName name="LastCell" localSheetId="0">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[5]Charts!$C$229:$F$238</definedName>
    <definedName name="Linking_11">[5]Charts!$C$502:$F$509</definedName>
    <definedName name="Linking_13">Model!$I$7:$CK$78</definedName>
    <definedName name="Linking_16">[5]Charts!$AD$10:$AI$21</definedName>
    <definedName name="Linking_17">Model!$I$7:$BS$80</definedName>
    <definedName name="Linking_18">Model!$I$195:$BS$241</definedName>
    <definedName name="Linking_19">Model!$I$147:$BS$182</definedName>
    <definedName name="Linking_2">[5]Charts!$D$255:$J$262</definedName>
    <definedName name="Linking_21">'MS v Con'!$B$9:$AC$33</definedName>
    <definedName name="Linking_22">'MS v Con'!$B$43:$E$55</definedName>
    <definedName name="Linking_23">Model!$I$7:$CB$94</definedName>
    <definedName name="Linking_24">Model!$I$7:$CB$95</definedName>
    <definedName name="Linking_25">'MS v Con'!$D$61:$G$70</definedName>
    <definedName name="Linking_27">DCF!$I$7:$AD$55</definedName>
    <definedName name="Linking_3">[5]Charts!$D$265:$J$272</definedName>
    <definedName name="Linking_30">Model!$I$7:$CB$78</definedName>
    <definedName name="Linking_31">Model!$I$195:$BU$241</definedName>
    <definedName name="Linking_32">'MS v Con'!$B$43:$E$48</definedName>
    <definedName name="Linking_34">Model!$I$7:$BU$84</definedName>
    <definedName name="Linking_35">'MS v Con'!$H$43:$K$48</definedName>
    <definedName name="Linking_37">Model!$I$7:$BU$182</definedName>
    <definedName name="Linking_38">Model!$I$7:$BU$241</definedName>
    <definedName name="Linking_39">'Revenue drivers'!$I$7:$BT$509</definedName>
    <definedName name="Linking_4">[5]Charts!$C$229:$H$238</definedName>
    <definedName name="Linking_40">Model!$I$7:$CB$75</definedName>
    <definedName name="Linking_41">'Revenue drivers'!$CQ$49:$CU$55</definedName>
    <definedName name="Linking_5">DCF!$I$7:$AD$61</definedName>
    <definedName name="Linking_51">567.276039832931</definedName>
    <definedName name="Linking_52">DCF!$I$7:$AD$48</definedName>
    <definedName name="Linking_6">Model!$I$7:$BZ$80</definedName>
    <definedName name="Linking_7">Model!$I$7:$BU$78</definedName>
    <definedName name="Linking_8">Model!$I$147:$BU$182</definedName>
    <definedName name="Linking_9">Model!$I$196:$BU$241</definedName>
    <definedName name="Linking_Range_10" localSheetId="6">DCF_bear!$I$8:$Y$50</definedName>
    <definedName name="Linking_Range_10" localSheetId="8">DCF_bull!$I$8:$Y$50</definedName>
    <definedName name="Linking_Range_10">DCF!$I$8:$Y$49</definedName>
    <definedName name="Linking_Range_11" localSheetId="6">DCF_bear!$I$7:$X$42</definedName>
    <definedName name="Linking_Range_11" localSheetId="8">DCF_bull!$I$7:$X$42</definedName>
    <definedName name="Linking_Range_11">DCF!$I$7:$X$41</definedName>
    <definedName name="Linking_Range_12" localSheetId="9">Outlinks!$I$7:$AT$11</definedName>
    <definedName name="Linking_Range_12">Model!$I$7:$BO$96</definedName>
    <definedName name="Linking_Range_14">'Revenue drivers'!$I$7:$BN$20</definedName>
    <definedName name="Linking_Range_15">'Revenue drivers'!$I$302:$BN$482</definedName>
    <definedName name="Linking_Range_16">Model!$I$149:$BO$191</definedName>
    <definedName name="Linking_Range_17">Model!$I$197:$BO$241</definedName>
    <definedName name="Linking_Range_18" localSheetId="9">Outlinks!$I$7:$AU$11</definedName>
    <definedName name="Linking_Range_18">Model!$I$7:$BP$96</definedName>
    <definedName name="Linking_Range_20">Model!$I$149:$BP$182</definedName>
    <definedName name="Linking_Range_21">Model!$I$197:$BP$241</definedName>
    <definedName name="Linking_Range_22">Model!$I$197:$BP$241</definedName>
    <definedName name="Linking_Range_23">Model!$I$149:$BP$182</definedName>
    <definedName name="Linking_Range_25" localSheetId="6">DCF_bear!$I$7:$Y$51</definedName>
    <definedName name="Linking_Range_25" localSheetId="8">DCF_bull!$I$7:$Y$51</definedName>
    <definedName name="Linking_Range_25">DCF!$I$7:$Y$50</definedName>
    <definedName name="Linking_Range_26" localSheetId="9">Outlinks!$I$7:$AS$11</definedName>
    <definedName name="Linking_Range_26">Model!$I$7:$BN$96</definedName>
    <definedName name="Linking_Range_3">'[3]Drivers &amp; Metrics'!$I$6:$W$78</definedName>
    <definedName name="Linking_Range_30">Model!$I$197:$BP$253</definedName>
    <definedName name="Linking_Range_32" localSheetId="6">DCF_bear!$I$7:$Y$50</definedName>
    <definedName name="Linking_Range_32" localSheetId="8">DCF_bull!$I$7:$Y$50</definedName>
    <definedName name="Linking_Range_32">DCF!$I$7:$Y$49</definedName>
    <definedName name="Linking_Range_34">Valuation!$A$20:$E$65</definedName>
    <definedName name="Linking_Range_35">Valuation!$K$44:$L$54</definedName>
    <definedName name="Linking_Range_36">Valuation!$A$44:$F$65</definedName>
    <definedName name="Linking_Range_37" localSheetId="9">Outlinks!$I$7:$AV$11</definedName>
    <definedName name="Linking_Range_37">Model!$I$7:$BQ$285</definedName>
    <definedName name="Linking_Range_38">Model!$I$149:$BQ$182</definedName>
    <definedName name="Linking_Range_39">Model!$I$197:$BQ$241</definedName>
    <definedName name="Linking_Range_40">Model!$I$197:$BQ$241</definedName>
    <definedName name="Linking_Range_41">Model!$I$149:$BQ$182</definedName>
    <definedName name="Linking_Range_42" localSheetId="6">DCF_bear!$I$7:$X$50</definedName>
    <definedName name="Linking_Range_42" localSheetId="8">DCF_bull!$I$7:$X$50</definedName>
    <definedName name="Linking_Range_42">DCF!$I$7:$X$49</definedName>
    <definedName name="Linking_Range_43">Valuation!$A$4:$L$65</definedName>
    <definedName name="Linking_Range_47" localSheetId="9">Outlinks!$I$7:$AZ$11</definedName>
    <definedName name="Linking_Range_47">Model!$I$7:$BU$285</definedName>
    <definedName name="Linking_Range_48" localSheetId="9">Outlinks!$I$7:$AU$11</definedName>
    <definedName name="Linking_Range_48">Model!$I$7:$BP$96</definedName>
    <definedName name="Linking_Range_49">Valuation!$A$20:$F$65</definedName>
    <definedName name="Linking_Range_5">[3]Model!$I$118:$W$157</definedName>
    <definedName name="Linking_Range_50" localSheetId="9">Outlinks!$I$7:$AV$11</definedName>
    <definedName name="Linking_Range_50">Model!$I$7:$BQ$96</definedName>
    <definedName name="Linking_Range_52" localSheetId="9">Outlinks!$I$7:$AV$11</definedName>
    <definedName name="Linking_Range_52">Model!$I$7:$BQ$96</definedName>
    <definedName name="Linking_Range_55">Valuation!$A$20:$G$65</definedName>
    <definedName name="Linking_Range_57">[5]Charts!$D$101:$I$103</definedName>
    <definedName name="Linking_Range_59">[5]Charts!$D$118:$N$124</definedName>
    <definedName name="Linking_Range_60">[5]Charts!$G$217:$N$225</definedName>
    <definedName name="Linking_Range_61">[5]Charts!$G$217:$N$228</definedName>
    <definedName name="Linking_Range_62">[5]Charts!$C$216:$H$224</definedName>
    <definedName name="Linking_Range_63">Valuation!$K$59:$L$70</definedName>
    <definedName name="Linking_Range_64">'MS v Con'!$B$9:$AB$33</definedName>
    <definedName name="Linking_Range_65">Model!$I$7:$BU$95</definedName>
    <definedName name="Linking_Range_66">Model!$I$149:$BU$192</definedName>
    <definedName name="Linking_Range_67">Model!$I$197:$BU$254</definedName>
    <definedName name="Linking_Range_68">Model!$I$7:$BU$192</definedName>
    <definedName name="Linking_Range_69">Model!$I$7:$BU$254</definedName>
    <definedName name="Linking_Range_7" localSheetId="9">Outlinks!$I$7:$AS$11</definedName>
    <definedName name="Linking_Range_7">Model!$I$7:$BN$96</definedName>
    <definedName name="Linking_Range_70">[5]Charts!$C$357:$I$365</definedName>
    <definedName name="Linking_Range_71">[5]Charts!$C$357:$K$365</definedName>
    <definedName name="Linking_Range_72">Model!$I$147:$BU$192</definedName>
    <definedName name="Linking_Range_73">Model!$I$195:$BU$254</definedName>
    <definedName name="Linking_Range_74" localSheetId="6">DCF_bear!$I$7:$AD$30</definedName>
    <definedName name="Linking_Range_74" localSheetId="8">DCF_bull!$I$7:$AD$30</definedName>
    <definedName name="Linking_Range_74">DCF!$I$7:$AD$29</definedName>
    <definedName name="Linking_Range_75">'MS v Con'!$B$9:$AB$25</definedName>
    <definedName name="Linking_Range_76">Model!$I$7:$BU$94</definedName>
    <definedName name="Linking_Range_77" localSheetId="6">DCF_bear!$I$7:$AE$29</definedName>
    <definedName name="Linking_Range_77" localSheetId="8">DCF_bull!$I$7:$AE$29</definedName>
    <definedName name="Linking_Range_77">DCF!$I$7:$AD$28</definedName>
    <definedName name="Linking_Range_78">[5]Charts!$T$278:$Z$282</definedName>
    <definedName name="Linking_Range_79">[5]Charts!$T$252:$Z$283</definedName>
    <definedName name="Linking_Range_8">Model!$I$149:$BN$182</definedName>
    <definedName name="Linking_Range_80">[5]Charts!$S$278:$Z$283</definedName>
    <definedName name="Linking_Range_81" localSheetId="6">DCF_bear!$I$32:$L$50</definedName>
    <definedName name="Linking_Range_81" localSheetId="8">DCF_bull!$I$32:$L$50</definedName>
    <definedName name="Linking_Range_81">DCF!$I$31:$L$49</definedName>
    <definedName name="Linking_Range_82" localSheetId="6">DCF_bear!$I$7:$AD$50</definedName>
    <definedName name="Linking_Range_82" localSheetId="8">DCF_bull!$I$7:$AD$50</definedName>
    <definedName name="Linking_Range_82">DCF!$I$7:$AD$49</definedName>
    <definedName name="Linking_Range_83">DCF_bull!$I$32:$L$50</definedName>
    <definedName name="Linking_Range_84">DCF_bear!$I$32:$L$50</definedName>
    <definedName name="Linking_Range_85">DCF!$I$7:$AD$24</definedName>
    <definedName name="Linking_Range_86">Valuation!$K$59:$L$68</definedName>
    <definedName name="Linking_Range_87">Model!$I$195:$BU$283</definedName>
    <definedName name="Linking_Range_88">Model!$I$7:$CK$95</definedName>
    <definedName name="Linking_Range_89">[5]Charts!$C$390:$H$395</definedName>
    <definedName name="Linking_Range_9">Model!$I$197:$BN$241</definedName>
    <definedName name="Linking_Range_91">[5]Charts!$C$230:$F$238</definedName>
    <definedName name="Linking_Range_92">DCF!$I$7:$AD$50</definedName>
    <definedName name="Linking_Range_95">Model!$I$7:$CJ$95</definedName>
    <definedName name="lisahuang">[5]!lisahuang</definedName>
    <definedName name="MacroVersion" localSheetId="10">IndexInformation!$B$1</definedName>
    <definedName name="mfpoerjf" localSheetId="5" hidden="1">{"'RCIM'!$E$128"}</definedName>
    <definedName name="mfpoerjf" hidden="1">{"'RCIM'!$E$128"}</definedName>
    <definedName name="misc">1</definedName>
    <definedName name="misc2">1</definedName>
    <definedName name="model_case" localSheetId="8">DCF_bull!$I$81</definedName>
    <definedName name="ModelPrice" localSheetId="0">ImportantDisclosures!$A$14</definedName>
    <definedName name="Multiplier" localSheetId="10">IndexInformation!$B$35</definedName>
    <definedName name="mvropemld" localSheetId="5" hidden="1">{"'RCIM'!$E$128"}</definedName>
    <definedName name="mvropemld" hidden="1">{"'RCIM'!$E$128"}</definedName>
    <definedName name="mynameis">[5]!mynameis</definedName>
    <definedName name="Name">[5]!Name</definedName>
    <definedName name="ncowe" localSheetId="5" hidden="1">{"'RCIM'!$E$128"}</definedName>
    <definedName name="ncowe" hidden="1">{"'RCIM'!$E$128"}</definedName>
    <definedName name="newstuff">[5]!newstuff</definedName>
    <definedName name="NextYearEPS" localSheetId="10">IndexInformation!$B$13</definedName>
    <definedName name="NextYearTotalRevenue" localSheetId="10">IndexInformation!$B$12</definedName>
    <definedName name="NextYearTotalRevenueActual" localSheetId="10">IndexInformation!$B$33</definedName>
    <definedName name="Normalized_Income_Statement">"IS_Annual"</definedName>
    <definedName name="NvsASD">"V2000-09-08"</definedName>
    <definedName name="NvsAutoDrillOk">"VN"</definedName>
    <definedName name="NvsElapsedTime">0.000234143517445773</definedName>
    <definedName name="NvsEndTime">36707.2948738426</definedName>
    <definedName name="NvsInstSpec">"%,FMI_ALT_BU,TCA_ALTBU_CORPS,NCONSOLIDATING"</definedName>
    <definedName name="NvsLayoutType">"M3"</definedName>
    <definedName name="NvsNplSpec">"%,X,RZF..,CZF.."</definedName>
    <definedName name="NvsPanelEffdt">"V9999-01-01"</definedName>
    <definedName name="NvsPanelSetid">"VMIDIV"</definedName>
    <definedName name="NvsReqBU">"V52"</definedName>
    <definedName name="NvsReqBUOnly">"VN"</definedName>
    <definedName name="NvsTransLed">"VN"</definedName>
    <definedName name="NvsTreeASD">"V2000-09-08"</definedName>
    <definedName name="NvsValTbl.PRODUCT">"MI_GL_PRODCT_VW"</definedName>
    <definedName name="ObjectType">IndexInformation!$B$37</definedName>
    <definedName name="oldstuff">[5]!oldstuff</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11">ModPubIndex!$A$11</definedName>
    <definedName name="PathName" localSheetId="10">IndexInformation!$B$25</definedName>
    <definedName name="Pdate">35902</definedName>
    <definedName name="perc">{"0.85","0.875","0.9","0.925","0.95","0.975","1","1.025","1.05","1.075","1.1","1.125","1.15"}</definedName>
    <definedName name="phone">[5]!phone</definedName>
    <definedName name="pooling_Premium">25%</definedName>
    <definedName name="price_date">36098</definedName>
    <definedName name="_xlnm.Print_Area" localSheetId="7">DCF!$I$7:$AD$49</definedName>
    <definedName name="_xlnm.Print_Area" localSheetId="6">DCF_bear!$I$7:$Y$50</definedName>
    <definedName name="_xlnm.Print_Area" localSheetId="8">DCF_bull!$I$7:$Y$50</definedName>
    <definedName name="_xlnm.Print_Area" localSheetId="5">'Expense drivers'!$I$7:$BT$188,'Expense drivers'!$I$201:$BT$238</definedName>
    <definedName name="_xlnm.Print_Area" localSheetId="4">'Revenue drivers'!$I$7:$BT$559</definedName>
    <definedName name="_xlnm.Print_Area" localSheetId="1">Valuation!$A$1:$L$65</definedName>
    <definedName name="_xlnm.Print_Area">"Formula removed, name can be deleted."</definedName>
    <definedName name="_xlnm.Print_Titles" localSheetId="5">'Expense drivers'!$7:$8</definedName>
    <definedName name="_xlnm.Print_Titles" localSheetId="3">Model!$7:$8</definedName>
    <definedName name="_xlnm.Print_Titles" localSheetId="9">Outlinks!$7:$8</definedName>
    <definedName name="_xlnm.Print_Titles" localSheetId="4">'Revenue drivers'!$7:$8</definedName>
    <definedName name="PRODUCT" localSheetId="11">ModPubIndex!$A$6</definedName>
    <definedName name="ProjectName" localSheetId="5">{"Client Name or Project Name"}</definedName>
    <definedName name="ProjectName">{"Client Name or Project Name"}</definedName>
    <definedName name="PSYM" localSheetId="11">ModPubIndex!$A$4</definedName>
    <definedName name="PUB_UserID" hidden="1">"MAYERX"</definedName>
    <definedName name="PublishDate" localSheetId="10">IndexInformation!$B$2</definedName>
    <definedName name="Purchase_Premium_A">25%</definedName>
    <definedName name="Purchase_Premium_B">0.25</definedName>
    <definedName name="Rating" localSheetId="10">IndexInformation!$B$9</definedName>
    <definedName name="RatingsDefined" localSheetId="0">ImportantDisclosures!$A$21</definedName>
    <definedName name="RatingsDefs" localSheetId="0">ImportantDisclosures!#REF!</definedName>
    <definedName name="redux">1</definedName>
    <definedName name="RegACDisclosure" localSheetId="0">ImportantDisclosures!#REF!</definedName>
    <definedName name="ResearchTopic" localSheetId="10">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10">IndexInformation!$B$21</definedName>
    <definedName name="ROADproforma">[5]!ROADproforma</definedName>
    <definedName name="rrrrrrrr" localSheetId="5" hidden="1">{"'RCIM'!$E$128"}</definedName>
    <definedName name="rrrrrrrr" hidden="1">{"'RCIM'!$E$128"}</definedName>
    <definedName name="sad">[5]!sad</definedName>
    <definedName name="SECSettlement" localSheetId="0">ImportantDisclosures!#REF!</definedName>
    <definedName name="SEDOL" localSheetId="10">IndexInformation!$B$22</definedName>
    <definedName name="sencount" hidden="1">1</definedName>
    <definedName name="seniorRate">"SrRate"</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Name">[5]!sName</definedName>
    <definedName name="sName1">[5]!sName1</definedName>
    <definedName name="solver_lin" hidden="1">0</definedName>
    <definedName name="solver_num" hidden="1">0</definedName>
    <definedName name="solver_typ" hidden="1">3</definedName>
    <definedName name="solver_val" hidden="1">0.1076</definedName>
    <definedName name="SourceDefined" localSheetId="0">ImportantDisclosures!$A$19</definedName>
    <definedName name="spebdy" localSheetId="5" hidden="1">{"'RCIM'!$E$128"}</definedName>
    <definedName name="spebdy" hidden="1">{"'RCIM'!$E$128"}</definedName>
    <definedName name="SPWS_WBID">"F1754E3C-8B33-11D3-B915-000086369788"</definedName>
    <definedName name="SrRate">"SrRating"</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0">ImportantDisclosures!$A$11</definedName>
    <definedName name="SubjectCode" localSheetId="10">IndexInformation!$B$6</definedName>
    <definedName name="SubmitterUserId">IndexInformation!$B$39</definedName>
    <definedName name="SUPPRESSED" localSheetId="11">ModPubIndex!$A$13</definedName>
    <definedName name="Target_Net_Debt">"targ_netdebt"</definedName>
    <definedName name="TargetPrice" localSheetId="0">ImportantDisclosures!$A$15</definedName>
    <definedName name="tax_rate">38%</definedName>
    <definedName name="TemplateRegion">IndexInformation!$B$36</definedName>
    <definedName name="This_Year">"1998E"</definedName>
    <definedName name="Ticker" localSheetId="0">ImportantDisclosures!$A$10</definedName>
    <definedName name="TickerRegion">IndexInformation!$B$41</definedName>
    <definedName name="Tickers" localSheetId="10">IndexInformation!$B$19</definedName>
    <definedName name="UpdateReason" localSheetId="10">IndexInformation!$B$17</definedName>
    <definedName name="USRegDisclosures" localSheetId="0">ImportantDisclosures!#REF!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wrn.OUTPUT." localSheetId="5" hidden="1">{"DCF","UPSIDE CASE",FALSE,"Sheet1";"DCF","BASE CASE",FALSE,"Sheet1";"DCF","DOWNSIDE CASE",FALSE,"Sheet1"}</definedName>
    <definedName name="wrn.OUTPUT." hidden="1">{"DCF","UPSIDE CASE",FALSE,"Sheet1";"DCF","BASE CASE",FALSE,"Sheet1";"DCF","DOWNSIDE CASE",FALSE,"Sheet1"}</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xysz" hidden="1">{TRUE,TRUE,-1.25,-15.5,456.75,279.75,FALSE,FALSE,TRUE,TRUE,0,1,21,1,127,6,3,4,TRUE,TRUE,3,TRUE,1,TRUE,100,"Swvu.profits.","ACwvu.profits.",1,FALSE,FALSE,0.511811023622047,0.511811023622047,0.511811023622047,0.511811023622047,1,"","",FALSE,FALSE,FALSE,FALSE,1,#N/A,1,1,#DIV/0!,FALSE,"Rwvu.profits.",#N/A,FALSE,FALSE}</definedName>
    <definedName name="Year_End">1988</definedName>
    <definedName name="YrEnd_FFr_USD">0.1767</definedName>
  </definedNames>
  <calcPr calcId="145621" calcMode="autoNoTable" iterate="1"/>
</workbook>
</file>

<file path=xl/calcChain.xml><?xml version="1.0" encoding="utf-8"?>
<calcChain xmlns="http://schemas.openxmlformats.org/spreadsheetml/2006/main">
  <c r="L26" i="35" l="1"/>
  <c r="K26" i="35"/>
  <c r="J26" i="35"/>
  <c r="I26" i="35"/>
  <c r="AE21" i="35"/>
  <c r="AD21" i="35"/>
  <c r="AC21" i="35"/>
  <c r="AB21" i="35"/>
  <c r="AA21" i="35"/>
  <c r="AE26" i="35"/>
  <c r="AD26" i="35"/>
  <c r="AC26" i="35"/>
  <c r="AB26" i="35"/>
  <c r="AA26" i="35"/>
  <c r="R21" i="35"/>
  <c r="Q21" i="35"/>
  <c r="P21" i="35"/>
  <c r="O21" i="35"/>
  <c r="F21" i="35"/>
  <c r="E21" i="35"/>
  <c r="D21" i="35"/>
  <c r="C21" i="35"/>
  <c r="AE24" i="35"/>
  <c r="AD24" i="35"/>
  <c r="AC24" i="35"/>
  <c r="AB24" i="35"/>
  <c r="AA24" i="35"/>
  <c r="AE23" i="35"/>
  <c r="AD23" i="35"/>
  <c r="AC23" i="35"/>
  <c r="AB23" i="35"/>
  <c r="AA23" i="35"/>
  <c r="F26" i="35"/>
  <c r="E26" i="35"/>
  <c r="D26" i="35"/>
  <c r="C26" i="35"/>
  <c r="R24" i="35"/>
  <c r="Q24" i="35"/>
  <c r="P24" i="35"/>
  <c r="O24" i="35"/>
  <c r="R23" i="35"/>
  <c r="Q23" i="35"/>
  <c r="P23" i="35"/>
  <c r="O23" i="35"/>
  <c r="L21" i="35"/>
  <c r="K21" i="35"/>
  <c r="J21" i="35"/>
  <c r="I21" i="35"/>
  <c r="R26" i="35"/>
  <c r="Q26" i="35"/>
  <c r="P26" i="35"/>
  <c r="O26" i="35"/>
  <c r="F24" i="35"/>
  <c r="E24" i="35"/>
  <c r="D24" i="35"/>
  <c r="C24" i="35"/>
  <c r="F23" i="35"/>
  <c r="E23" i="35"/>
  <c r="D23" i="35"/>
  <c r="C23" i="35"/>
  <c r="X26" i="35"/>
  <c r="W26" i="35"/>
  <c r="V26" i="35"/>
  <c r="U26" i="35"/>
  <c r="X21" i="35"/>
  <c r="W21" i="35"/>
  <c r="V21" i="35"/>
  <c r="U21" i="35"/>
  <c r="X24" i="35"/>
  <c r="W24" i="35"/>
  <c r="V24" i="35"/>
  <c r="U24" i="35"/>
  <c r="X23" i="35"/>
  <c r="W23" i="35"/>
  <c r="V23" i="35"/>
  <c r="U23" i="35"/>
  <c r="L24" i="35"/>
  <c r="K24" i="35"/>
  <c r="J24" i="35"/>
  <c r="I24" i="35"/>
  <c r="L23" i="35"/>
  <c r="K23" i="35"/>
  <c r="J23" i="35"/>
  <c r="I23" i="35"/>
  <c r="U8" i="4" l="1"/>
  <c r="BN227" i="14" l="1"/>
  <c r="AR234" i="14"/>
  <c r="AR228" i="14"/>
  <c r="AR217" i="14"/>
  <c r="AR223" i="14"/>
  <c r="AR222" i="14"/>
  <c r="AR221" i="14"/>
  <c r="AR220" i="14"/>
  <c r="AR195" i="14"/>
  <c r="AR78" i="14"/>
  <c r="AR77" i="14"/>
  <c r="AR76" i="14"/>
  <c r="AR75" i="14"/>
  <c r="AR93" i="1"/>
  <c r="AR92" i="1"/>
  <c r="AR456" i="2"/>
  <c r="AR455" i="2"/>
  <c r="AR453" i="2"/>
  <c r="AR452" i="2"/>
  <c r="AR457" i="2" s="1"/>
  <c r="AR450" i="2"/>
  <c r="AR449" i="2"/>
  <c r="AR448" i="2"/>
  <c r="AR446" i="2"/>
  <c r="AR459" i="2" s="1"/>
  <c r="AR427" i="2"/>
  <c r="AR424" i="2"/>
  <c r="AR422" i="2"/>
  <c r="AR423" i="2" s="1"/>
  <c r="AR417" i="2"/>
  <c r="AR411" i="2"/>
  <c r="AR408" i="2" s="1"/>
  <c r="AR390" i="2"/>
  <c r="AR385" i="2"/>
  <c r="AR374" i="2"/>
  <c r="AR396" i="2"/>
  <c r="AR360" i="2"/>
  <c r="AR358" i="2"/>
  <c r="AR361" i="2"/>
  <c r="AR355" i="2"/>
  <c r="AR335" i="2"/>
  <c r="AR314" i="2"/>
  <c r="AR271" i="2"/>
  <c r="AR247" i="2"/>
  <c r="AR225" i="2" s="1"/>
  <c r="AR224" i="2"/>
  <c r="AR223" i="2"/>
  <c r="AR203" i="2"/>
  <c r="AR199" i="2"/>
  <c r="AR202" i="2" s="1"/>
  <c r="AR193" i="2"/>
  <c r="AR196" i="2" s="1"/>
  <c r="AR194" i="2"/>
  <c r="AR139" i="2"/>
  <c r="AR138" i="2"/>
  <c r="AR137" i="2"/>
  <c r="AR140" i="2"/>
  <c r="AR118" i="2"/>
  <c r="AR121" i="2"/>
  <c r="AR92" i="2"/>
  <c r="AR169" i="2"/>
  <c r="AR86" i="2"/>
  <c r="AR67" i="2"/>
  <c r="AR171" i="2" s="1"/>
  <c r="AR34" i="2"/>
  <c r="AR28" i="2"/>
  <c r="AR12" i="2"/>
  <c r="AR10" i="14" s="1"/>
  <c r="AR282" i="1"/>
  <c r="AR271" i="1"/>
  <c r="AR258" i="1"/>
  <c r="AR265" i="1"/>
  <c r="AR274" i="1" s="1"/>
  <c r="AR181" i="1"/>
  <c r="AR191" i="1"/>
  <c r="AR131" i="1"/>
  <c r="AR187" i="1"/>
  <c r="AR120" i="1"/>
  <c r="AR88" i="1"/>
  <c r="AR90" i="1"/>
  <c r="AR56" i="1"/>
  <c r="AR35" i="1"/>
  <c r="AR74" i="14" l="1"/>
  <c r="AR14" i="14"/>
  <c r="AR257" i="2"/>
  <c r="AR22" i="2"/>
  <c r="AR224" i="14"/>
  <c r="AR232" i="14"/>
  <c r="AR229" i="14"/>
  <c r="AR233" i="14"/>
  <c r="AR203" i="14"/>
  <c r="AR462" i="2"/>
  <c r="AR461" i="2"/>
  <c r="AR460" i="2"/>
  <c r="AR402" i="2"/>
  <c r="AR336" i="2"/>
  <c r="AR372" i="2"/>
  <c r="AR382" i="2"/>
  <c r="AR387" i="2"/>
  <c r="AR392" i="2"/>
  <c r="AR337" i="2"/>
  <c r="AR419" i="2"/>
  <c r="AR320" i="2"/>
  <c r="AR338" i="2" s="1"/>
  <c r="AR334" i="2"/>
  <c r="AR350" i="2"/>
  <c r="AR354" i="2"/>
  <c r="AR420" i="2"/>
  <c r="AR425" i="2"/>
  <c r="AR430" i="2"/>
  <c r="AR341" i="2"/>
  <c r="AR353" i="2" s="1"/>
  <c r="AR351" i="2"/>
  <c r="AR375" i="2"/>
  <c r="AR195" i="2"/>
  <c r="AR60" i="2"/>
  <c r="AR84" i="2"/>
  <c r="AR96" i="2" s="1"/>
  <c r="AR88" i="2"/>
  <c r="AR93" i="2"/>
  <c r="AR119" i="2"/>
  <c r="AR159" i="2"/>
  <c r="AR254" i="2"/>
  <c r="AR258" i="2"/>
  <c r="AR49" i="2"/>
  <c r="AR87" i="2"/>
  <c r="AR61" i="2"/>
  <c r="AR85" i="2"/>
  <c r="AR94" i="2"/>
  <c r="AR120" i="2"/>
  <c r="AR160" i="2"/>
  <c r="AR201" i="2"/>
  <c r="AR211" i="2"/>
  <c r="AR255" i="2"/>
  <c r="AR259" i="2"/>
  <c r="AR294" i="2"/>
  <c r="AR58" i="2"/>
  <c r="AR71" i="2"/>
  <c r="AR76" i="2"/>
  <c r="AR256" i="2"/>
  <c r="AR234" i="1"/>
  <c r="AR226" i="1"/>
  <c r="AR215" i="1"/>
  <c r="AR207" i="1"/>
  <c r="AR260" i="1"/>
  <c r="AR104" i="1"/>
  <c r="AR259" i="1"/>
  <c r="AR119" i="1"/>
  <c r="AR248" i="1"/>
  <c r="AR267" i="1"/>
  <c r="AR266" i="1"/>
  <c r="AR132" i="1"/>
  <c r="AR169" i="1"/>
  <c r="AR172" i="1" s="1"/>
  <c r="AR182" i="1" s="1"/>
  <c r="AR61" i="14" l="1"/>
  <c r="AR352" i="2"/>
  <c r="AR176" i="14"/>
  <c r="AR139" i="14"/>
  <c r="AR405" i="2"/>
  <c r="AR363" i="2"/>
  <c r="AR346" i="2"/>
  <c r="AR362" i="2"/>
  <c r="AR305" i="2"/>
  <c r="AR316" i="2"/>
  <c r="AR377" i="2"/>
  <c r="AR52" i="2"/>
  <c r="AR242" i="2"/>
  <c r="AR62" i="14" s="1"/>
  <c r="AR235" i="2"/>
  <c r="AR228" i="2"/>
  <c r="AR262" i="2"/>
  <c r="AR216" i="1"/>
  <c r="AR247" i="1" s="1"/>
  <c r="AR249" i="1" s="1"/>
  <c r="AR309" i="2" l="1"/>
  <c r="AR380" i="2"/>
  <c r="AR239" i="1"/>
  <c r="AR253" i="1"/>
  <c r="Z735" i="34" l="1"/>
  <c r="AA735" i="34"/>
  <c r="AB735" i="34"/>
  <c r="AC735" i="34"/>
  <c r="AD735" i="34"/>
  <c r="AE735" i="34"/>
  <c r="AF735" i="34"/>
  <c r="BE735" i="34"/>
  <c r="BF735" i="34"/>
  <c r="BG735" i="34"/>
  <c r="BH735" i="34"/>
  <c r="BI735" i="34"/>
  <c r="BJ735" i="34"/>
  <c r="BK735" i="34"/>
  <c r="BL735" i="34"/>
  <c r="BM735" i="34"/>
  <c r="BN735" i="34"/>
  <c r="Y735" i="34"/>
  <c r="AQ187" i="1" l="1"/>
  <c r="AP187" i="1"/>
  <c r="AO187" i="1"/>
  <c r="AN187" i="1"/>
  <c r="AM187" i="1"/>
  <c r="AL187" i="1"/>
  <c r="AK187" i="1"/>
  <c r="AG13" i="1"/>
  <c r="AH13" i="1"/>
  <c r="BP13" i="1" s="1"/>
  <c r="AI13" i="1"/>
  <c r="AJ13" i="1"/>
  <c r="AK13" i="1"/>
  <c r="AK14" i="1" s="1"/>
  <c r="AL13" i="1"/>
  <c r="AL14" i="1" s="1"/>
  <c r="AL15" i="1" s="1"/>
  <c r="AM13" i="1"/>
  <c r="AN13" i="1"/>
  <c r="AN14" i="1" s="1"/>
  <c r="AN15" i="1" s="1"/>
  <c r="AO13" i="1"/>
  <c r="AO14" i="1" s="1"/>
  <c r="AP13" i="1"/>
  <c r="AP14" i="1" s="1"/>
  <c r="AP15" i="1" s="1"/>
  <c r="AQ13" i="1"/>
  <c r="AS13" i="1"/>
  <c r="AT13" i="1"/>
  <c r="AU13" i="1"/>
  <c r="AW13" i="1"/>
  <c r="AX13" i="1"/>
  <c r="AY13" i="1"/>
  <c r="BA13" i="1"/>
  <c r="BB13" i="1"/>
  <c r="BC13" i="1"/>
  <c r="BQ13" i="1"/>
  <c r="AM14" i="1"/>
  <c r="AM15" i="1" s="1"/>
  <c r="AQ14" i="1"/>
  <c r="M18" i="1"/>
  <c r="N18" i="1"/>
  <c r="O18" i="1"/>
  <c r="P18" i="1"/>
  <c r="Q18" i="1"/>
  <c r="R18" i="1"/>
  <c r="S18" i="1"/>
  <c r="T18" i="1"/>
  <c r="U18" i="1"/>
  <c r="V18" i="1"/>
  <c r="W18" i="1"/>
  <c r="BQ18" i="1"/>
  <c r="BI18" i="1"/>
  <c r="BY18" i="1" s="1"/>
  <c r="BJ18" i="1"/>
  <c r="BZ18" i="1" s="1"/>
  <c r="BP18" i="1"/>
  <c r="BP19" i="1"/>
  <c r="BK19" i="1"/>
  <c r="BL19" i="1"/>
  <c r="BM19" i="1"/>
  <c r="BN19" i="1"/>
  <c r="BO19" i="1"/>
  <c r="CL19" i="1" s="1"/>
  <c r="BQ19" i="1"/>
  <c r="X20" i="1"/>
  <c r="BM20" i="1" s="1"/>
  <c r="Y20" i="1"/>
  <c r="BN20" i="1" s="1"/>
  <c r="Z20" i="1"/>
  <c r="AA20" i="1"/>
  <c r="AB20" i="1"/>
  <c r="AC20" i="1"/>
  <c r="AD20" i="1"/>
  <c r="AE20" i="1"/>
  <c r="AF20" i="1"/>
  <c r="AP20" i="1"/>
  <c r="BR20" i="1" s="1"/>
  <c r="AQ20" i="1"/>
  <c r="AR20" i="1"/>
  <c r="AR18" i="2" s="1"/>
  <c r="AS20" i="1"/>
  <c r="AT20" i="1"/>
  <c r="BS20" i="1" s="1"/>
  <c r="AU20" i="1"/>
  <c r="AV20" i="1"/>
  <c r="AW20" i="1"/>
  <c r="AX20" i="1"/>
  <c r="AY20" i="1"/>
  <c r="AZ20" i="1"/>
  <c r="BA20" i="1"/>
  <c r="BU20" i="1" s="1"/>
  <c r="BB20" i="1"/>
  <c r="BC20" i="1"/>
  <c r="BD20" i="1"/>
  <c r="BK20" i="1"/>
  <c r="BK18" i="1" s="1"/>
  <c r="BL20" i="1"/>
  <c r="BP20" i="1"/>
  <c r="BT20" i="1"/>
  <c r="BP21" i="1"/>
  <c r="BQ21" i="1"/>
  <c r="BK21" i="1"/>
  <c r="BL21" i="1"/>
  <c r="BM21" i="1"/>
  <c r="CJ21" i="1" s="1"/>
  <c r="BN21" i="1"/>
  <c r="BO21" i="1"/>
  <c r="BQ20" i="1" l="1"/>
  <c r="CQ20" i="1" s="1"/>
  <c r="BN18" i="1"/>
  <c r="CN18" i="1" s="1"/>
  <c r="CB20" i="1"/>
  <c r="BL18" i="1"/>
  <c r="BO20" i="1"/>
  <c r="CO20" i="1" s="1"/>
  <c r="AQ15" i="1"/>
  <c r="BO18" i="1"/>
  <c r="CK20" i="1"/>
  <c r="CM19" i="1"/>
  <c r="AO15" i="1"/>
  <c r="CN21" i="1"/>
  <c r="CM21" i="1"/>
  <c r="CR20" i="1"/>
  <c r="CM20" i="1"/>
  <c r="CJ20" i="1"/>
  <c r="BM18" i="1"/>
  <c r="CL18" i="1"/>
  <c r="BQ14" i="1"/>
  <c r="AK15" i="1"/>
  <c r="CL21" i="1"/>
  <c r="CP20" i="1"/>
  <c r="CL20" i="1"/>
  <c r="CN19" i="1"/>
  <c r="CJ19" i="1"/>
  <c r="CN20" i="1" l="1"/>
  <c r="CM18" i="1"/>
  <c r="CJ18" i="1"/>
  <c r="U5" i="35" l="1"/>
  <c r="U9" i="35" s="1"/>
  <c r="U19" i="35" s="1"/>
  <c r="U28" i="35" s="1"/>
  <c r="V4" i="35"/>
  <c r="W4" i="35" s="1"/>
  <c r="U25" i="35" l="1"/>
  <c r="W5" i="35"/>
  <c r="W9" i="35" s="1"/>
  <c r="X4" i="35"/>
  <c r="X5" i="35" s="1"/>
  <c r="X9" i="35" s="1"/>
  <c r="V5" i="35"/>
  <c r="V9" i="35" s="1"/>
  <c r="X25" i="35" l="1"/>
  <c r="V25" i="35"/>
  <c r="W25" i="35"/>
  <c r="X19" i="35"/>
  <c r="X28" i="35" s="1"/>
  <c r="V19" i="35"/>
  <c r="V28" i="35" s="1"/>
  <c r="W19" i="35"/>
  <c r="W28" i="35" s="1"/>
  <c r="BA43" i="34" l="1"/>
  <c r="BB43" i="34"/>
  <c r="BA693" i="34"/>
  <c r="BB693" i="34"/>
  <c r="BA694" i="34"/>
  <c r="BB694" i="34"/>
  <c r="BA695" i="34"/>
  <c r="BB695" i="34"/>
  <c r="BA696" i="34"/>
  <c r="BB696" i="34"/>
  <c r="BA697" i="34"/>
  <c r="BB697" i="34"/>
  <c r="BA705" i="34"/>
  <c r="BB705" i="34"/>
  <c r="BA706" i="34"/>
  <c r="BB706" i="34"/>
  <c r="BA707" i="34"/>
  <c r="BB707" i="34"/>
  <c r="BA708" i="34"/>
  <c r="BB708" i="34"/>
  <c r="BA715" i="34"/>
  <c r="BB715" i="34"/>
  <c r="BA716" i="34"/>
  <c r="BB716" i="34"/>
  <c r="BA720" i="34"/>
  <c r="BB720" i="34"/>
  <c r="BA723" i="34"/>
  <c r="BB723" i="34"/>
  <c r="BA724" i="34"/>
  <c r="BB724" i="34"/>
  <c r="BA725" i="34"/>
  <c r="BB725" i="34"/>
  <c r="BA726" i="34"/>
  <c r="BB726" i="34"/>
  <c r="BA732" i="34"/>
  <c r="BB732" i="34"/>
  <c r="BA734" i="34"/>
  <c r="BB734" i="34"/>
  <c r="BA740" i="34"/>
  <c r="BB740" i="34"/>
  <c r="BA741" i="34"/>
  <c r="BB741" i="34"/>
  <c r="BA743" i="34"/>
  <c r="BB743" i="34"/>
  <c r="BA746" i="34"/>
  <c r="BB746" i="34"/>
  <c r="BA755" i="34"/>
  <c r="BB755" i="34"/>
  <c r="BA761" i="34"/>
  <c r="BB761" i="34"/>
  <c r="BA770" i="34"/>
  <c r="BB770" i="34"/>
  <c r="BA771" i="34"/>
  <c r="BB771" i="34"/>
  <c r="BA772" i="34"/>
  <c r="BB772" i="34"/>
  <c r="BA773" i="34"/>
  <c r="BB773" i="34"/>
  <c r="BA775" i="34"/>
  <c r="BB775" i="34"/>
  <c r="BA777" i="34"/>
  <c r="BB777" i="34"/>
  <c r="BA779" i="34"/>
  <c r="BB779" i="34"/>
  <c r="BA789" i="34"/>
  <c r="BB789" i="34"/>
  <c r="BA793" i="34"/>
  <c r="BB793" i="34"/>
  <c r="BA796" i="34"/>
  <c r="BB796" i="34"/>
  <c r="BA799" i="34"/>
  <c r="BB799" i="34"/>
  <c r="BA800" i="34"/>
  <c r="BB800" i="34"/>
  <c r="BA801" i="34"/>
  <c r="BB801" i="34"/>
  <c r="BA802" i="34"/>
  <c r="BB802" i="34"/>
  <c r="BA803" i="34"/>
  <c r="BB803" i="34"/>
  <c r="BA804" i="34"/>
  <c r="BB804" i="34"/>
  <c r="BA805" i="34"/>
  <c r="BB805" i="34"/>
  <c r="BA806" i="34"/>
  <c r="BB806" i="34"/>
  <c r="BA807" i="34"/>
  <c r="BB807" i="34"/>
  <c r="BA813" i="34"/>
  <c r="BB813" i="34"/>
  <c r="BA814" i="34"/>
  <c r="BB814" i="34"/>
  <c r="BA817" i="34"/>
  <c r="BB817" i="34"/>
  <c r="BA819" i="34"/>
  <c r="BB819" i="34"/>
  <c r="BA820" i="34"/>
  <c r="BB820" i="34"/>
  <c r="BA821" i="34"/>
  <c r="BB821" i="34"/>
  <c r="BA822" i="34"/>
  <c r="BB822" i="34"/>
  <c r="BA823" i="34"/>
  <c r="BB823" i="34"/>
  <c r="BA824" i="34"/>
  <c r="BB824" i="34"/>
  <c r="BA825" i="34"/>
  <c r="BB825" i="34"/>
  <c r="BA826" i="34"/>
  <c r="BB826" i="34"/>
  <c r="BA827" i="34"/>
  <c r="BB827" i="34"/>
  <c r="BA828" i="34"/>
  <c r="BB828" i="34"/>
  <c r="BA829" i="34"/>
  <c r="BB829" i="34"/>
  <c r="BA830" i="34"/>
  <c r="BB830" i="34"/>
  <c r="BA831" i="34"/>
  <c r="BB831" i="34"/>
  <c r="BA832" i="34"/>
  <c r="BB832" i="34"/>
  <c r="BA837" i="34"/>
  <c r="BB837" i="34"/>
  <c r="BA838" i="34"/>
  <c r="BB838" i="34"/>
  <c r="BA839" i="34"/>
  <c r="BB839" i="34"/>
  <c r="BA840" i="34"/>
  <c r="BB840" i="34"/>
  <c r="BA841" i="34"/>
  <c r="BB841" i="34"/>
  <c r="BA842" i="34"/>
  <c r="BB842" i="34"/>
  <c r="BA843" i="34"/>
  <c r="BB843" i="34"/>
  <c r="BA844" i="34"/>
  <c r="BB844" i="34"/>
  <c r="BA845" i="34"/>
  <c r="BB845" i="34"/>
  <c r="BA846" i="34"/>
  <c r="BB846" i="34"/>
  <c r="BA847" i="34"/>
  <c r="BB847" i="34"/>
  <c r="BA848" i="34"/>
  <c r="BB848" i="34"/>
  <c r="BA849" i="34"/>
  <c r="BB849" i="34"/>
  <c r="BA850" i="34"/>
  <c r="BB850" i="34"/>
  <c r="BA851" i="34"/>
  <c r="BB851" i="34"/>
  <c r="BA852" i="34"/>
  <c r="BB852" i="34"/>
  <c r="BA853" i="34"/>
  <c r="BB853" i="34"/>
  <c r="BA855" i="34"/>
  <c r="BB855" i="34"/>
  <c r="BA856" i="34"/>
  <c r="BB856" i="34"/>
  <c r="BA857" i="34"/>
  <c r="BB857" i="34"/>
  <c r="BA858" i="34"/>
  <c r="BB858" i="34"/>
  <c r="BA859" i="34"/>
  <c r="BB859" i="34"/>
  <c r="BA860" i="34"/>
  <c r="BB860" i="34"/>
  <c r="BA861" i="34"/>
  <c r="BB861" i="34"/>
  <c r="BA862" i="34"/>
  <c r="BB862" i="34"/>
  <c r="BA863" i="34"/>
  <c r="BB863" i="34"/>
  <c r="BA864" i="34"/>
  <c r="BB864" i="34"/>
  <c r="BA865" i="34"/>
  <c r="BB865" i="34"/>
  <c r="BA866" i="34"/>
  <c r="BB866" i="34"/>
  <c r="BA867" i="34"/>
  <c r="BB867" i="34"/>
  <c r="BA868" i="34"/>
  <c r="BB868" i="34"/>
  <c r="BA870" i="34"/>
  <c r="BB870" i="34"/>
  <c r="BA871" i="34"/>
  <c r="BB871" i="34"/>
  <c r="BA872" i="34"/>
  <c r="BB872" i="34"/>
  <c r="BA873" i="34"/>
  <c r="BB873" i="34"/>
  <c r="BA874" i="34"/>
  <c r="BB874" i="34"/>
  <c r="BA875" i="34"/>
  <c r="BB875" i="34"/>
  <c r="BA876" i="34"/>
  <c r="BB876" i="34"/>
  <c r="BA877" i="34"/>
  <c r="BB877" i="34"/>
  <c r="BA878" i="34"/>
  <c r="BB878" i="34"/>
  <c r="BA879" i="34"/>
  <c r="BB879" i="34"/>
  <c r="BA880" i="34"/>
  <c r="BB880" i="34"/>
  <c r="BA881" i="34"/>
  <c r="BB881" i="34"/>
  <c r="BA882" i="34"/>
  <c r="BB882" i="34"/>
  <c r="BA883" i="34"/>
  <c r="BB883" i="34"/>
  <c r="BA884" i="34"/>
  <c r="BB884" i="34"/>
  <c r="BA885" i="34"/>
  <c r="BB885" i="34"/>
  <c r="BA886" i="34"/>
  <c r="BB886" i="34"/>
  <c r="BA889" i="34"/>
  <c r="BB889" i="34"/>
  <c r="BA890" i="34"/>
  <c r="BB890" i="34"/>
  <c r="BA895" i="34"/>
  <c r="BB895" i="34"/>
  <c r="BA896" i="34"/>
  <c r="BB896" i="34"/>
  <c r="BA899" i="34"/>
  <c r="BB899" i="34"/>
  <c r="BA903" i="34"/>
  <c r="BB903" i="34"/>
  <c r="BA905" i="34"/>
  <c r="BB905" i="34"/>
  <c r="BA906" i="34"/>
  <c r="BB906" i="34"/>
  <c r="BA908" i="34"/>
  <c r="BB908" i="34"/>
  <c r="BA909" i="34"/>
  <c r="BB909" i="34"/>
  <c r="BA910" i="34"/>
  <c r="BB910" i="34"/>
  <c r="BA911" i="34"/>
  <c r="BB911" i="34"/>
  <c r="BA912" i="34"/>
  <c r="BB912" i="34"/>
  <c r="BA913" i="34"/>
  <c r="BB913" i="34"/>
  <c r="BA914" i="34"/>
  <c r="BB914" i="34"/>
  <c r="BA915" i="34"/>
  <c r="BB915" i="34"/>
  <c r="BA916" i="34"/>
  <c r="BB916" i="34"/>
  <c r="BA917" i="34"/>
  <c r="BB917" i="34"/>
  <c r="BA923" i="34"/>
  <c r="BB923" i="34"/>
  <c r="BA924" i="34"/>
  <c r="BB924" i="34"/>
  <c r="BA930" i="34"/>
  <c r="BB930" i="34"/>
  <c r="BA931" i="34"/>
  <c r="BB931" i="34"/>
  <c r="BA938" i="34"/>
  <c r="BB938" i="34"/>
  <c r="BA939" i="34"/>
  <c r="BB939" i="34"/>
  <c r="BA942" i="34"/>
  <c r="BB942" i="34"/>
  <c r="BA946" i="34"/>
  <c r="BB946" i="34"/>
  <c r="BA947" i="34"/>
  <c r="BB947" i="34"/>
  <c r="BA954" i="34"/>
  <c r="BB954" i="34"/>
  <c r="BA955" i="34"/>
  <c r="BB955" i="34"/>
  <c r="BA963" i="34"/>
  <c r="BB963" i="34"/>
  <c r="BA965" i="34"/>
  <c r="BB965" i="34"/>
  <c r="BA966" i="34"/>
  <c r="BB966" i="34"/>
  <c r="BA971" i="34"/>
  <c r="BB971" i="34"/>
  <c r="BA972" i="34"/>
  <c r="BB972" i="34"/>
  <c r="BA973" i="34"/>
  <c r="BB973" i="34"/>
  <c r="BA976" i="34"/>
  <c r="BB976" i="34"/>
  <c r="BA984" i="34"/>
  <c r="BB984" i="34"/>
  <c r="BA985" i="34"/>
  <c r="BB985" i="34"/>
  <c r="BA989" i="34"/>
  <c r="BB989" i="34"/>
  <c r="BA990" i="34"/>
  <c r="BB990" i="34"/>
  <c r="BA991" i="34"/>
  <c r="BB991" i="34"/>
  <c r="BA992" i="34"/>
  <c r="BB992" i="34"/>
  <c r="BA993" i="34"/>
  <c r="BB993" i="34"/>
  <c r="BA994" i="34"/>
  <c r="BB994" i="34"/>
  <c r="BA1000" i="34"/>
  <c r="BB1000" i="34"/>
  <c r="BA1005" i="34"/>
  <c r="BB1005" i="34"/>
  <c r="BA1010" i="34"/>
  <c r="BB1010" i="34"/>
  <c r="BA1015" i="34"/>
  <c r="BB1015" i="34"/>
  <c r="BA1019" i="34"/>
  <c r="BB1019" i="34"/>
  <c r="BA1024" i="34"/>
  <c r="BB1024" i="34"/>
  <c r="BA1025" i="34"/>
  <c r="BB1025" i="34"/>
  <c r="BA1026" i="34"/>
  <c r="BB1026" i="34"/>
  <c r="BA1031" i="34"/>
  <c r="BB1031" i="34"/>
  <c r="BA1032" i="34"/>
  <c r="BB1032" i="34"/>
  <c r="BA1037" i="34"/>
  <c r="BB1037" i="34"/>
  <c r="BA1038" i="34"/>
  <c r="BB1038" i="34"/>
  <c r="BA1039" i="34"/>
  <c r="BB1039" i="34"/>
  <c r="BA1040" i="34"/>
  <c r="BB1040" i="34"/>
  <c r="BA1042" i="34"/>
  <c r="BB1042" i="34"/>
  <c r="BA1043" i="34"/>
  <c r="BB1043" i="34"/>
  <c r="BA1046" i="34"/>
  <c r="BB1046" i="34"/>
  <c r="BA1047" i="34"/>
  <c r="BB1047" i="34"/>
  <c r="BA1048" i="34"/>
  <c r="BB1048" i="34"/>
  <c r="BA1049" i="34"/>
  <c r="BB1049" i="34"/>
  <c r="BA1052" i="34"/>
  <c r="BB1052" i="34"/>
  <c r="BA1053" i="34"/>
  <c r="BB1053" i="34"/>
  <c r="BA1054" i="34"/>
  <c r="BB1054" i="34"/>
  <c r="BA1055" i="34"/>
  <c r="BB1055" i="34"/>
  <c r="BA1056" i="34"/>
  <c r="BB1056" i="34"/>
  <c r="BA1057" i="34"/>
  <c r="BB1057" i="34"/>
  <c r="BA1058" i="34"/>
  <c r="BB1058" i="34"/>
  <c r="BA1059" i="34"/>
  <c r="BB1059" i="34"/>
  <c r="BA1067" i="34"/>
  <c r="BB1067" i="34"/>
  <c r="BA1070" i="34"/>
  <c r="BB1070" i="34"/>
  <c r="BA1071" i="34"/>
  <c r="BB1071" i="34"/>
  <c r="BA1079" i="34"/>
  <c r="BB1079" i="34"/>
  <c r="BA1080" i="34"/>
  <c r="BB1080" i="34"/>
  <c r="BA1081" i="34"/>
  <c r="BB1081" i="34"/>
  <c r="BA1082" i="34"/>
  <c r="BB1082" i="34"/>
  <c r="BA1083" i="34"/>
  <c r="BB1083" i="34"/>
  <c r="BA1084" i="34"/>
  <c r="BB1084" i="34"/>
  <c r="BA1085" i="34"/>
  <c r="BB1085" i="34"/>
  <c r="BA1086" i="34"/>
  <c r="BB1086" i="34"/>
  <c r="BA1089" i="34"/>
  <c r="BB1089" i="34"/>
  <c r="BA1090" i="34"/>
  <c r="BB1090" i="34"/>
  <c r="BA1091" i="34"/>
  <c r="BB1091" i="34"/>
  <c r="BA1092" i="34"/>
  <c r="BB1092" i="34"/>
  <c r="BA1100" i="34"/>
  <c r="BB1100" i="34"/>
  <c r="BA1102" i="34"/>
  <c r="BB1102" i="34"/>
  <c r="BA1103" i="34"/>
  <c r="BB1103" i="34"/>
  <c r="BA1104" i="34"/>
  <c r="BB1104" i="34"/>
  <c r="BA1105" i="34"/>
  <c r="BB1105" i="34"/>
  <c r="BA1107" i="34"/>
  <c r="BB1107" i="34"/>
  <c r="BA1108" i="34"/>
  <c r="BB1108" i="34"/>
  <c r="BA1111" i="34"/>
  <c r="BB1111" i="34"/>
  <c r="BA1114" i="34"/>
  <c r="BB1114" i="34"/>
  <c r="BA1118" i="34"/>
  <c r="BB1118" i="34"/>
  <c r="BA1124" i="34"/>
  <c r="BB1124" i="34"/>
  <c r="BA1125" i="34"/>
  <c r="BB1125" i="34"/>
  <c r="BA1205" i="34"/>
  <c r="BB1205" i="34"/>
  <c r="BA1206" i="34"/>
  <c r="BB1206" i="34"/>
  <c r="BA1207" i="34"/>
  <c r="BB1207" i="34"/>
  <c r="BA1208" i="34"/>
  <c r="BB1208" i="34"/>
  <c r="BA1209" i="34"/>
  <c r="BB1209" i="34"/>
  <c r="BA1210" i="34"/>
  <c r="BB1210" i="34"/>
  <c r="BA1211" i="34"/>
  <c r="BB1211" i="34"/>
  <c r="BA1214" i="34"/>
  <c r="BB1214" i="34"/>
  <c r="BA1215" i="34"/>
  <c r="BB1215" i="34"/>
  <c r="BA1220" i="34"/>
  <c r="BB1220" i="34"/>
  <c r="BA1224" i="34"/>
  <c r="BB1224" i="34"/>
  <c r="BA1228" i="34"/>
  <c r="BB1228" i="34"/>
  <c r="BA1231" i="34"/>
  <c r="BB1231" i="34"/>
  <c r="BA1233" i="34"/>
  <c r="BB1233" i="34"/>
  <c r="BA1235" i="34"/>
  <c r="BB1235" i="34"/>
  <c r="BA1238" i="34"/>
  <c r="BB1238" i="34"/>
  <c r="BA1241" i="34"/>
  <c r="BB1241" i="34"/>
  <c r="BA1247" i="34"/>
  <c r="BB1247" i="34"/>
  <c r="BA1248" i="34"/>
  <c r="BB1248" i="34"/>
  <c r="BA1250" i="34"/>
  <c r="BB1250" i="34"/>
  <c r="BA1252" i="34"/>
  <c r="BB1252" i="34"/>
  <c r="BA1254" i="34"/>
  <c r="BB1254" i="34"/>
  <c r="BA1256" i="34"/>
  <c r="BB1256" i="34"/>
  <c r="BA1258" i="34"/>
  <c r="BB1258" i="34"/>
  <c r="BA1261" i="34"/>
  <c r="BB1261" i="34"/>
  <c r="BA1262" i="34"/>
  <c r="BB1262" i="34"/>
  <c r="BA1263" i="34"/>
  <c r="BB1263" i="34"/>
  <c r="BA1265" i="34"/>
  <c r="BB1265" i="34"/>
  <c r="BA1267" i="34"/>
  <c r="BB1267" i="34"/>
  <c r="BA1269" i="34"/>
  <c r="BB1269" i="34"/>
  <c r="BA1272" i="34"/>
  <c r="BB1272" i="34"/>
  <c r="BA1273" i="34"/>
  <c r="BB1273" i="34"/>
  <c r="BA1274" i="34"/>
  <c r="BB1274" i="34"/>
  <c r="BA1275" i="34"/>
  <c r="BB1275" i="34"/>
  <c r="BA1278" i="34"/>
  <c r="BB1278" i="34"/>
  <c r="BA1280" i="34"/>
  <c r="BB1280" i="34"/>
  <c r="BA1282" i="34"/>
  <c r="BB1282" i="34"/>
  <c r="BA1284" i="34"/>
  <c r="BB1284" i="34"/>
  <c r="BA1286" i="34"/>
  <c r="BB1286" i="34"/>
  <c r="BA1287" i="34"/>
  <c r="BB1287" i="34"/>
  <c r="BA1288" i="34"/>
  <c r="BB1288" i="34"/>
  <c r="BW119" i="2" l="1"/>
  <c r="BX119" i="2" s="1"/>
  <c r="BY119" i="2" s="1"/>
  <c r="BV119" i="2"/>
  <c r="AX236" i="2" l="1"/>
  <c r="BB236" i="2" s="1"/>
  <c r="AY236" i="2"/>
  <c r="AZ236" i="2"/>
  <c r="BA236" i="2"/>
  <c r="AZ229" i="2"/>
  <c r="BD229" i="2" s="1"/>
  <c r="AQ164" i="14"/>
  <c r="AQ133" i="14"/>
  <c r="AQ98" i="14"/>
  <c r="AQ94" i="1" l="1"/>
  <c r="AQ270" i="1"/>
  <c r="AQ265" i="1"/>
  <c r="AQ207" i="1"/>
  <c r="AQ258" i="1"/>
  <c r="AS117" i="2"/>
  <c r="AK247" i="2"/>
  <c r="AQ267" i="1" l="1"/>
  <c r="AQ226" i="1"/>
  <c r="AQ215" i="1"/>
  <c r="AQ216" i="1" s="1"/>
  <c r="AQ181" i="1"/>
  <c r="AQ234" i="1"/>
  <c r="AQ169" i="1"/>
  <c r="AQ172" i="1" s="1"/>
  <c r="AQ259" i="1"/>
  <c r="AQ396" i="2"/>
  <c r="AR398" i="2" s="1"/>
  <c r="AQ341" i="2"/>
  <c r="AQ320" i="2"/>
  <c r="AT117" i="2"/>
  <c r="AQ182" i="1" l="1"/>
  <c r="AQ362" i="2"/>
  <c r="AR324" i="2"/>
  <c r="AR322" i="2"/>
  <c r="AQ363" i="2"/>
  <c r="AR345" i="2"/>
  <c r="AR343" i="2"/>
  <c r="AQ239" i="1"/>
  <c r="AQ353" i="2"/>
  <c r="AQ338" i="2"/>
  <c r="AQ346" i="2"/>
  <c r="AQ352" i="2"/>
  <c r="AU117" i="2"/>
  <c r="AV117" i="2" l="1"/>
  <c r="AV120" i="2" l="1"/>
  <c r="AW117" i="2"/>
  <c r="AX117" i="2" s="1"/>
  <c r="AY117" i="2" s="1"/>
  <c r="AZ117" i="2" s="1"/>
  <c r="BA117" i="2" s="1"/>
  <c r="BB117" i="2" s="1"/>
  <c r="BC117" i="2" s="1"/>
  <c r="BD117" i="2" s="1"/>
  <c r="AQ233" i="14" l="1"/>
  <c r="AQ232" i="14"/>
  <c r="AQ234" i="14"/>
  <c r="AQ229" i="14"/>
  <c r="AQ228" i="14"/>
  <c r="AQ222" i="14"/>
  <c r="AQ223" i="14"/>
  <c r="AQ35" i="1"/>
  <c r="AQ203" i="14"/>
  <c r="AQ220" i="14"/>
  <c r="AQ195" i="14"/>
  <c r="AQ78" i="14"/>
  <c r="AQ77" i="14"/>
  <c r="AQ76" i="14"/>
  <c r="AQ75" i="14"/>
  <c r="AQ247" i="2"/>
  <c r="AQ225" i="2" s="1"/>
  <c r="AQ224" i="2"/>
  <c r="AQ223" i="2"/>
  <c r="AU120" i="2"/>
  <c r="AQ169" i="2"/>
  <c r="AR174" i="2" s="1"/>
  <c r="AQ427" i="2"/>
  <c r="AR429" i="2" s="1"/>
  <c r="AQ119" i="1"/>
  <c r="AQ120" i="1"/>
  <c r="AQ88" i="1"/>
  <c r="AQ90" i="1"/>
  <c r="AR86" i="1" s="1"/>
  <c r="AR87" i="1" s="1"/>
  <c r="AQ56" i="1"/>
  <c r="AQ67" i="2"/>
  <c r="AQ171" i="2" l="1"/>
  <c r="AR70" i="2"/>
  <c r="AR73" i="2"/>
  <c r="AR230" i="14"/>
  <c r="AQ28" i="2"/>
  <c r="AR32" i="2" s="1"/>
  <c r="AQ430" i="2"/>
  <c r="AQ12" i="2"/>
  <c r="AQ274" i="1"/>
  <c r="AQ191" i="1"/>
  <c r="AU191" i="1" s="1"/>
  <c r="AQ266" i="1"/>
  <c r="AQ260" i="1"/>
  <c r="AQ22" i="2"/>
  <c r="AQ217" i="14"/>
  <c r="AQ185" i="14" s="1"/>
  <c r="AQ221" i="14"/>
  <c r="AQ224" i="14" s="1"/>
  <c r="AQ34" i="2"/>
  <c r="AR38" i="2" s="1"/>
  <c r="AQ71" i="2" l="1"/>
  <c r="AR16" i="2"/>
  <c r="AR14" i="2"/>
  <c r="AQ61" i="14"/>
  <c r="AR26" i="2"/>
  <c r="AR173" i="2"/>
  <c r="AR172" i="2"/>
  <c r="AQ57" i="2"/>
  <c r="AQ101" i="1"/>
  <c r="AQ49" i="2" l="1"/>
  <c r="AR59" i="2"/>
  <c r="AR62" i="2"/>
  <c r="I32" i="3"/>
  <c r="I56" i="3" s="1"/>
  <c r="I40" i="3"/>
  <c r="I64" i="3" s="1"/>
  <c r="AQ52" i="2" l="1"/>
  <c r="AR51" i="2"/>
  <c r="AR54" i="2"/>
  <c r="AV73" i="14"/>
  <c r="AZ73" i="14" s="1"/>
  <c r="BD73" i="14" s="1"/>
  <c r="AU73" i="14"/>
  <c r="AY73" i="14" s="1"/>
  <c r="BC73" i="14" s="1"/>
  <c r="AT73" i="14"/>
  <c r="AX73" i="14" s="1"/>
  <c r="BB73" i="14" s="1"/>
  <c r="AS73" i="14"/>
  <c r="AW73" i="14" s="1"/>
  <c r="BA73" i="14" s="1"/>
  <c r="AP224" i="2"/>
  <c r="AO224" i="2"/>
  <c r="AN224" i="2"/>
  <c r="AM224" i="2"/>
  <c r="AL224" i="2"/>
  <c r="AK224" i="2"/>
  <c r="AJ224" i="2"/>
  <c r="AI224" i="2"/>
  <c r="AH224" i="2"/>
  <c r="AP223" i="2"/>
  <c r="AO223" i="2"/>
  <c r="AN223" i="2"/>
  <c r="AM223" i="2"/>
  <c r="AL223" i="2"/>
  <c r="AK223" i="2"/>
  <c r="AJ223" i="2"/>
  <c r="AI223" i="2"/>
  <c r="AH223" i="2"/>
  <c r="AG224" i="2"/>
  <c r="AG223" i="2"/>
  <c r="AP164" i="14"/>
  <c r="AP133" i="14"/>
  <c r="AP98" i="14"/>
  <c r="AP124" i="2" l="1"/>
  <c r="AT124" i="2" s="1"/>
  <c r="AT126" i="2" s="1"/>
  <c r="AQ271" i="1"/>
  <c r="AQ272" i="1" s="1"/>
  <c r="AQ273" i="1" s="1"/>
  <c r="AP248" i="1"/>
  <c r="AP35" i="1"/>
  <c r="AP1228" i="34" s="1"/>
  <c r="AP270" i="1"/>
  <c r="AP221" i="14"/>
  <c r="AP1076" i="34"/>
  <c r="AP1075" i="34"/>
  <c r="AP1074" i="34"/>
  <c r="AP1072" i="34"/>
  <c r="AS192" i="2"/>
  <c r="AT192" i="2" s="1"/>
  <c r="AU192" i="2" s="1"/>
  <c r="AV192" i="2" s="1"/>
  <c r="AW192" i="2" s="1"/>
  <c r="AX192" i="2" s="1"/>
  <c r="AY192" i="2" s="1"/>
  <c r="AZ192" i="2" s="1"/>
  <c r="AP92" i="1"/>
  <c r="AP1285" i="34" s="1"/>
  <c r="AP88" i="1"/>
  <c r="AP90" i="1"/>
  <c r="AQ86" i="1" s="1"/>
  <c r="AQ87" i="1" s="1"/>
  <c r="AQ1280" i="34" s="1"/>
  <c r="AP1276" i="34"/>
  <c r="AP56" i="1"/>
  <c r="AP67" i="2"/>
  <c r="AP265" i="1"/>
  <c r="AP131" i="1"/>
  <c r="AM35" i="1"/>
  <c r="AO35" i="1"/>
  <c r="AF1216" i="34"/>
  <c r="AE1216" i="34"/>
  <c r="AD1216" i="34"/>
  <c r="AC1216" i="34"/>
  <c r="AB1216" i="34"/>
  <c r="AA1216" i="34"/>
  <c r="Z1216" i="34"/>
  <c r="Y1216" i="34"/>
  <c r="X1216" i="34"/>
  <c r="W1216" i="34"/>
  <c r="V1216" i="34"/>
  <c r="U1216" i="34"/>
  <c r="T1216" i="34"/>
  <c r="S1216" i="34"/>
  <c r="R1216" i="34"/>
  <c r="Q1216" i="34"/>
  <c r="P1216" i="34"/>
  <c r="O1216" i="34"/>
  <c r="N1216" i="34"/>
  <c r="M1216" i="34"/>
  <c r="L1216" i="34"/>
  <c r="K1216" i="34"/>
  <c r="J1216" i="34"/>
  <c r="I1216" i="34"/>
  <c r="O5" i="35"/>
  <c r="O9" i="35" s="1"/>
  <c r="I5" i="35"/>
  <c r="I9" i="35" s="1"/>
  <c r="C5" i="35"/>
  <c r="C9" i="35" s="1"/>
  <c r="P4" i="35"/>
  <c r="J4" i="35"/>
  <c r="D4" i="35"/>
  <c r="D5" i="35" s="1"/>
  <c r="D9" i="35" s="1"/>
  <c r="L1333" i="34"/>
  <c r="AF193" i="2"/>
  <c r="AE193" i="2"/>
  <c r="AD193" i="2"/>
  <c r="AC193" i="2"/>
  <c r="AB193" i="2"/>
  <c r="AA193" i="2"/>
  <c r="Z193" i="2"/>
  <c r="Y193" i="2"/>
  <c r="X193" i="2"/>
  <c r="W193" i="2"/>
  <c r="V193" i="2"/>
  <c r="U193" i="2"/>
  <c r="T193" i="2"/>
  <c r="S193" i="2"/>
  <c r="R193" i="2"/>
  <c r="Q193" i="2"/>
  <c r="P193" i="2"/>
  <c r="O193" i="2"/>
  <c r="N193" i="2"/>
  <c r="M193" i="2"/>
  <c r="AF211" i="2"/>
  <c r="BN211" i="2" s="1"/>
  <c r="AE211" i="2"/>
  <c r="AD211" i="2"/>
  <c r="AC211" i="2"/>
  <c r="AB211" i="2"/>
  <c r="AA211" i="2"/>
  <c r="BL211" i="2" s="1"/>
  <c r="Z211" i="2"/>
  <c r="BK211" i="2" s="1"/>
  <c r="Y211" i="2"/>
  <c r="X211" i="2"/>
  <c r="W211" i="2"/>
  <c r="V211" i="2"/>
  <c r="U211" i="2"/>
  <c r="CG205" i="2"/>
  <c r="BI205" i="2"/>
  <c r="BH205" i="2"/>
  <c r="BH206" i="2" s="1"/>
  <c r="AF205" i="2"/>
  <c r="AE205" i="2"/>
  <c r="AD205" i="2"/>
  <c r="AC205" i="2"/>
  <c r="AB205" i="2"/>
  <c r="AA205" i="2"/>
  <c r="Z205" i="2"/>
  <c r="Y205" i="2"/>
  <c r="X205" i="2"/>
  <c r="W205" i="2"/>
  <c r="V205" i="2"/>
  <c r="U205" i="2"/>
  <c r="T205" i="2"/>
  <c r="S205" i="2"/>
  <c r="R205" i="2"/>
  <c r="Q205" i="2"/>
  <c r="P205" i="2"/>
  <c r="P206" i="2" s="1"/>
  <c r="O205" i="2"/>
  <c r="O206" i="2" s="1"/>
  <c r="N205" i="2"/>
  <c r="M205" i="2"/>
  <c r="M207" i="2" s="1"/>
  <c r="AF203" i="2"/>
  <c r="AE203" i="2"/>
  <c r="AD203" i="2"/>
  <c r="AC203" i="2"/>
  <c r="AB203" i="2"/>
  <c r="AA203" i="2"/>
  <c r="Z203" i="2"/>
  <c r="Y203" i="2"/>
  <c r="X203" i="2"/>
  <c r="W203" i="2"/>
  <c r="V203" i="2"/>
  <c r="U203" i="2"/>
  <c r="T203" i="2"/>
  <c r="S203" i="2"/>
  <c r="R203" i="2"/>
  <c r="Q203" i="2"/>
  <c r="P203" i="2"/>
  <c r="O203" i="2"/>
  <c r="N203" i="2"/>
  <c r="M203" i="2"/>
  <c r="BI202" i="2"/>
  <c r="BH202" i="2"/>
  <c r="AF202" i="2"/>
  <c r="AE202" i="2"/>
  <c r="AD202" i="2"/>
  <c r="AC202" i="2"/>
  <c r="AB202" i="2"/>
  <c r="AA202" i="2"/>
  <c r="Z202" i="2"/>
  <c r="Y202" i="2"/>
  <c r="X202" i="2"/>
  <c r="W202" i="2"/>
  <c r="V202" i="2"/>
  <c r="U202" i="2"/>
  <c r="T202" i="2"/>
  <c r="S202" i="2"/>
  <c r="R202" i="2"/>
  <c r="Q202" i="2"/>
  <c r="P202" i="2"/>
  <c r="O202" i="2"/>
  <c r="N202" i="2"/>
  <c r="M202" i="2"/>
  <c r="BI201" i="2"/>
  <c r="AF201" i="2"/>
  <c r="AE201" i="2"/>
  <c r="AD201" i="2"/>
  <c r="AC201" i="2"/>
  <c r="AB201" i="2"/>
  <c r="AA201" i="2"/>
  <c r="Z201" i="2"/>
  <c r="Y201" i="2"/>
  <c r="X201" i="2"/>
  <c r="W201" i="2"/>
  <c r="V201" i="2"/>
  <c r="U201" i="2"/>
  <c r="T201" i="2"/>
  <c r="S201" i="2"/>
  <c r="R201" i="2"/>
  <c r="Q201" i="2"/>
  <c r="AF200" i="2"/>
  <c r="AE200" i="2"/>
  <c r="AD200" i="2"/>
  <c r="AC200" i="2"/>
  <c r="AB200" i="2"/>
  <c r="AA200" i="2"/>
  <c r="Z200" i="2"/>
  <c r="Y200" i="2"/>
  <c r="X200" i="2"/>
  <c r="W200" i="2"/>
  <c r="V200" i="2"/>
  <c r="U200" i="2"/>
  <c r="T200" i="2"/>
  <c r="S200" i="2"/>
  <c r="R200" i="2"/>
  <c r="Q200" i="2"/>
  <c r="P200" i="2"/>
  <c r="O200" i="2"/>
  <c r="N200" i="2"/>
  <c r="BN199" i="2"/>
  <c r="BM199" i="2"/>
  <c r="BM193" i="2" s="1"/>
  <c r="BL199" i="2"/>
  <c r="BL193" i="2" s="1"/>
  <c r="BK199" i="2"/>
  <c r="BK205" i="2" s="1"/>
  <c r="BJ199" i="2"/>
  <c r="BJ193" i="2" s="1"/>
  <c r="AG199" i="2"/>
  <c r="AG193" i="2" s="1"/>
  <c r="BX267" i="1"/>
  <c r="BY267" i="1" s="1"/>
  <c r="BZ267" i="1" s="1"/>
  <c r="BD236" i="2"/>
  <c r="BC236" i="2"/>
  <c r="AO14" i="34"/>
  <c r="AN14" i="34"/>
  <c r="AM14" i="34"/>
  <c r="AL14" i="34"/>
  <c r="AF14" i="34"/>
  <c r="AE14" i="34"/>
  <c r="AD14" i="34"/>
  <c r="AC14" i="34"/>
  <c r="AB14" i="34"/>
  <c r="AA14" i="34"/>
  <c r="Z14" i="34"/>
  <c r="Y14" i="34"/>
  <c r="X14" i="34"/>
  <c r="W14" i="34"/>
  <c r="V14" i="34"/>
  <c r="U14" i="34"/>
  <c r="T14" i="34"/>
  <c r="S14" i="34"/>
  <c r="R14" i="34"/>
  <c r="Q14" i="34"/>
  <c r="P14" i="34"/>
  <c r="O14" i="34"/>
  <c r="N14" i="34"/>
  <c r="M14" i="34"/>
  <c r="I14" i="34"/>
  <c r="AT17" i="34"/>
  <c r="AS17" i="34"/>
  <c r="AR17" i="34"/>
  <c r="AQ17" i="34"/>
  <c r="AP17" i="34"/>
  <c r="AO17" i="34"/>
  <c r="AN17" i="34"/>
  <c r="AM17" i="34"/>
  <c r="AL17" i="34"/>
  <c r="AF17" i="34"/>
  <c r="AE17" i="34"/>
  <c r="AD17" i="34"/>
  <c r="AC17" i="34"/>
  <c r="AB17" i="34"/>
  <c r="AA17" i="34"/>
  <c r="Z17" i="34"/>
  <c r="Y17" i="34"/>
  <c r="X17" i="34"/>
  <c r="W17" i="34"/>
  <c r="V17" i="34"/>
  <c r="U17" i="34"/>
  <c r="T17" i="34"/>
  <c r="S17" i="34"/>
  <c r="R17" i="34"/>
  <c r="Q17" i="34"/>
  <c r="P17" i="34"/>
  <c r="O17" i="34"/>
  <c r="N17" i="34"/>
  <c r="M17" i="34"/>
  <c r="I17" i="34"/>
  <c r="AT16" i="34"/>
  <c r="AS16" i="34"/>
  <c r="AR16" i="34"/>
  <c r="AQ16" i="34"/>
  <c r="AP16" i="34"/>
  <c r="AO16" i="34"/>
  <c r="AN16" i="34"/>
  <c r="AM16" i="34"/>
  <c r="AL16" i="34"/>
  <c r="AF16" i="34"/>
  <c r="AE16" i="34"/>
  <c r="AD16" i="34"/>
  <c r="AC16" i="34"/>
  <c r="AB16" i="34"/>
  <c r="AA16" i="34"/>
  <c r="Z16" i="34"/>
  <c r="Y16" i="34"/>
  <c r="X16" i="34"/>
  <c r="W16" i="34"/>
  <c r="V16" i="34"/>
  <c r="U16" i="34"/>
  <c r="T16" i="34"/>
  <c r="S16" i="34"/>
  <c r="R16" i="34"/>
  <c r="Q16" i="34"/>
  <c r="P16" i="34"/>
  <c r="O16" i="34"/>
  <c r="N16" i="34"/>
  <c r="M16" i="34"/>
  <c r="I16" i="34"/>
  <c r="AT15" i="34"/>
  <c r="AS15" i="34"/>
  <c r="AR15" i="34"/>
  <c r="AQ15" i="34"/>
  <c r="AP15" i="34"/>
  <c r="AO15" i="34"/>
  <c r="AN15" i="34"/>
  <c r="AM15" i="34"/>
  <c r="AL15" i="34"/>
  <c r="AF15" i="34"/>
  <c r="AE15" i="34"/>
  <c r="AD15" i="34"/>
  <c r="AC15" i="34"/>
  <c r="AB15" i="34"/>
  <c r="AA15" i="34"/>
  <c r="Z15" i="34"/>
  <c r="Y15" i="34"/>
  <c r="X15" i="34"/>
  <c r="W15" i="34"/>
  <c r="V15" i="34"/>
  <c r="U15" i="34"/>
  <c r="T15" i="34"/>
  <c r="S15" i="34"/>
  <c r="R15" i="34"/>
  <c r="Q15" i="34"/>
  <c r="P15" i="34"/>
  <c r="O15" i="34"/>
  <c r="N15" i="34"/>
  <c r="M15" i="34"/>
  <c r="I15" i="34"/>
  <c r="AF1219" i="34"/>
  <c r="AE1219" i="34"/>
  <c r="AD1219" i="34"/>
  <c r="AC1219" i="34"/>
  <c r="AB1219" i="34"/>
  <c r="AA1219" i="34"/>
  <c r="Z1219" i="34"/>
  <c r="Y1219" i="34"/>
  <c r="X1219" i="34"/>
  <c r="W1219" i="34"/>
  <c r="V1219" i="34"/>
  <c r="U1219" i="34"/>
  <c r="T1219" i="34"/>
  <c r="S1219" i="34"/>
  <c r="R1219" i="34"/>
  <c r="Q1219" i="34"/>
  <c r="P1219" i="34"/>
  <c r="O1219" i="34"/>
  <c r="N1219" i="34"/>
  <c r="M1219" i="34"/>
  <c r="L1219" i="34"/>
  <c r="K1219" i="34"/>
  <c r="J1219" i="34"/>
  <c r="I1219" i="34"/>
  <c r="AF1218" i="34"/>
  <c r="AE1218" i="34"/>
  <c r="AD1218" i="34"/>
  <c r="AC1218" i="34"/>
  <c r="AB1218" i="34"/>
  <c r="AA1218" i="34"/>
  <c r="Z1218" i="34"/>
  <c r="Y1218" i="34"/>
  <c r="X1218" i="34"/>
  <c r="W1218" i="34"/>
  <c r="V1218" i="34"/>
  <c r="U1218" i="34"/>
  <c r="T1218" i="34"/>
  <c r="S1218" i="34"/>
  <c r="R1218" i="34"/>
  <c r="Q1218" i="34"/>
  <c r="P1218" i="34"/>
  <c r="O1218" i="34"/>
  <c r="N1218" i="34"/>
  <c r="M1218" i="34"/>
  <c r="L1218" i="34"/>
  <c r="K1218" i="34"/>
  <c r="J1218" i="34"/>
  <c r="I1218" i="34"/>
  <c r="AF1217" i="34"/>
  <c r="AE1217" i="34"/>
  <c r="AD1217" i="34"/>
  <c r="AC1217" i="34"/>
  <c r="AB1217" i="34"/>
  <c r="AA1217" i="34"/>
  <c r="Z1217" i="34"/>
  <c r="Y1217" i="34"/>
  <c r="X1217" i="34"/>
  <c r="W1217" i="34"/>
  <c r="V1217" i="34"/>
  <c r="U1217" i="34"/>
  <c r="T1217" i="34"/>
  <c r="S1217" i="34"/>
  <c r="R1217" i="34"/>
  <c r="Q1217" i="34"/>
  <c r="P1217" i="34"/>
  <c r="O1217" i="34"/>
  <c r="N1217" i="34"/>
  <c r="M1217" i="34"/>
  <c r="L1217" i="34"/>
  <c r="K1217" i="34"/>
  <c r="J1217" i="34"/>
  <c r="I1217" i="34"/>
  <c r="BM61" i="14"/>
  <c r="BL61" i="14"/>
  <c r="BK61" i="14"/>
  <c r="BJ61" i="14"/>
  <c r="BI61" i="14"/>
  <c r="BH61" i="14"/>
  <c r="M11" i="42"/>
  <c r="M12" i="42" s="1"/>
  <c r="M11" i="40"/>
  <c r="M12" i="40" s="1"/>
  <c r="AE34" i="2"/>
  <c r="AF34" i="2"/>
  <c r="BJ191" i="1"/>
  <c r="AO180" i="34" s="1"/>
  <c r="BJ187" i="1"/>
  <c r="AU985" i="34"/>
  <c r="BC984" i="34"/>
  <c r="AO164" i="14"/>
  <c r="AO96" i="14"/>
  <c r="AO98" i="14" s="1"/>
  <c r="AO133" i="14"/>
  <c r="BQ1068" i="34"/>
  <c r="BQ1062" i="34"/>
  <c r="BS1064" i="34"/>
  <c r="BR1065" i="34"/>
  <c r="BQ1075" i="34"/>
  <c r="BT1068" i="34"/>
  <c r="BQ1074" i="34"/>
  <c r="AG564" i="34"/>
  <c r="N67" i="2"/>
  <c r="O67" i="2"/>
  <c r="O22" i="2" s="1"/>
  <c r="P67" i="2"/>
  <c r="P22" i="2" s="1"/>
  <c r="Q67" i="2"/>
  <c r="Q22" i="2" s="1"/>
  <c r="R67" i="2"/>
  <c r="R22" i="2" s="1"/>
  <c r="S67" i="2"/>
  <c r="S22" i="2" s="1"/>
  <c r="S25" i="2" s="1"/>
  <c r="T67" i="2"/>
  <c r="U67" i="2"/>
  <c r="U22" i="2" s="1"/>
  <c r="U25" i="2" s="1"/>
  <c r="V67" i="2"/>
  <c r="V22" i="2" s="1"/>
  <c r="V25" i="2" s="1"/>
  <c r="W67" i="2"/>
  <c r="W22" i="2" s="1"/>
  <c r="W25" i="2" s="1"/>
  <c r="X67" i="2"/>
  <c r="Y67" i="2"/>
  <c r="Z67" i="2"/>
  <c r="AA67" i="2"/>
  <c r="AB67" i="2"/>
  <c r="AC67" i="2"/>
  <c r="AD67" i="2"/>
  <c r="AE67" i="2"/>
  <c r="AE22" i="2" s="1"/>
  <c r="AF67" i="2"/>
  <c r="M67" i="2"/>
  <c r="M22" i="2" s="1"/>
  <c r="V171" i="2"/>
  <c r="W171" i="2"/>
  <c r="X171" i="2"/>
  <c r="Y171" i="2"/>
  <c r="Z171" i="2"/>
  <c r="AA171" i="2"/>
  <c r="AB171" i="2"/>
  <c r="AC171" i="2"/>
  <c r="AD171" i="2"/>
  <c r="AE171" i="2"/>
  <c r="AF171" i="2"/>
  <c r="U171" i="2"/>
  <c r="V169" i="2"/>
  <c r="W169" i="2"/>
  <c r="X169" i="2"/>
  <c r="Y169" i="2"/>
  <c r="Z169" i="2"/>
  <c r="AA169" i="2"/>
  <c r="AB169" i="2"/>
  <c r="AC169" i="2"/>
  <c r="AD169" i="2"/>
  <c r="AE169" i="2"/>
  <c r="AF169" i="2"/>
  <c r="U169" i="2"/>
  <c r="BN192" i="2"/>
  <c r="BM192" i="2"/>
  <c r="BL192" i="2"/>
  <c r="BK192" i="2"/>
  <c r="X187" i="2"/>
  <c r="W187" i="2"/>
  <c r="V187" i="2"/>
  <c r="BM186" i="2"/>
  <c r="BM171" i="2"/>
  <c r="BL171" i="2"/>
  <c r="BM169" i="2"/>
  <c r="BL169" i="2"/>
  <c r="BK169" i="2"/>
  <c r="BJ169" i="2"/>
  <c r="BI169" i="2"/>
  <c r="BH169" i="2"/>
  <c r="BG169" i="2"/>
  <c r="BF169" i="2"/>
  <c r="BO23" i="1"/>
  <c r="BN23" i="1"/>
  <c r="Q11" i="42" s="1"/>
  <c r="BM23" i="1"/>
  <c r="BL23" i="1"/>
  <c r="BK23" i="1"/>
  <c r="AI34" i="2"/>
  <c r="AJ34" i="2"/>
  <c r="AJ38" i="2" s="1"/>
  <c r="AO34" i="2"/>
  <c r="AS120" i="2"/>
  <c r="AK28" i="2"/>
  <c r="AI28" i="2"/>
  <c r="AH28" i="2"/>
  <c r="AF94" i="2"/>
  <c r="AE94" i="2"/>
  <c r="AD94" i="2"/>
  <c r="AC94" i="2"/>
  <c r="AF93" i="2"/>
  <c r="AE93" i="2"/>
  <c r="AD93" i="2"/>
  <c r="AC93" i="2"/>
  <c r="AF92" i="2"/>
  <c r="AE92" i="2"/>
  <c r="AD92" i="2"/>
  <c r="AC92" i="2"/>
  <c r="AB94" i="2"/>
  <c r="AA94" i="2"/>
  <c r="Z94" i="2"/>
  <c r="Y94" i="2"/>
  <c r="AB93" i="2"/>
  <c r="AA93" i="2"/>
  <c r="Z93" i="2"/>
  <c r="Y93" i="2"/>
  <c r="AB92" i="2"/>
  <c r="AA92" i="2"/>
  <c r="Z92" i="2"/>
  <c r="Y92" i="2"/>
  <c r="X94" i="2"/>
  <c r="W94" i="2"/>
  <c r="V94" i="2"/>
  <c r="X92" i="2"/>
  <c r="W92" i="2"/>
  <c r="V92" i="2"/>
  <c r="U92" i="2"/>
  <c r="AN169" i="2"/>
  <c r="AH85" i="2"/>
  <c r="AI427" i="2"/>
  <c r="AI428" i="2" s="1"/>
  <c r="AL427" i="2"/>
  <c r="AN427" i="2"/>
  <c r="AR428" i="2" s="1"/>
  <c r="AG84" i="2"/>
  <c r="AG96" i="2" s="1"/>
  <c r="AG100" i="2" s="1"/>
  <c r="BG12" i="2"/>
  <c r="BF12" i="2"/>
  <c r="AF12" i="2"/>
  <c r="AE12" i="2"/>
  <c r="AE255" i="2" s="1"/>
  <c r="AD12" i="2"/>
  <c r="AD254" i="2" s="1"/>
  <c r="AC12" i="2"/>
  <c r="AC256" i="2" s="1"/>
  <c r="AB12" i="2"/>
  <c r="AA12" i="2"/>
  <c r="AA57" i="2" s="1"/>
  <c r="AA301" i="34" s="1"/>
  <c r="Z12" i="2"/>
  <c r="Y12" i="2"/>
  <c r="Y10" i="14" s="1"/>
  <c r="X12" i="2"/>
  <c r="W12" i="2"/>
  <c r="V12" i="2"/>
  <c r="V275" i="34" s="1"/>
  <c r="U12" i="2"/>
  <c r="U698" i="34" s="1"/>
  <c r="T12" i="2"/>
  <c r="S12" i="2"/>
  <c r="S275" i="34" s="1"/>
  <c r="R12" i="2"/>
  <c r="R18" i="2" s="1"/>
  <c r="Q12" i="2"/>
  <c r="P12" i="2"/>
  <c r="P10" i="14" s="1"/>
  <c r="O12" i="2"/>
  <c r="N12" i="2"/>
  <c r="M12" i="2"/>
  <c r="AH67" i="2"/>
  <c r="AI15" i="34"/>
  <c r="AJ15" i="34"/>
  <c r="AK1217" i="34"/>
  <c r="AM1217" i="34"/>
  <c r="AO1217" i="34"/>
  <c r="AH16" i="34"/>
  <c r="AI1218" i="34"/>
  <c r="AJ16" i="34"/>
  <c r="AK1218" i="34"/>
  <c r="AL1218" i="34"/>
  <c r="AM1218" i="34"/>
  <c r="AN1218" i="34"/>
  <c r="AO1218" i="34"/>
  <c r="AI1219" i="34"/>
  <c r="AJ17" i="34"/>
  <c r="AK1219" i="34"/>
  <c r="AL1219" i="34"/>
  <c r="AM1219" i="34"/>
  <c r="AN1219" i="34"/>
  <c r="AO1219" i="34"/>
  <c r="AG16" i="34"/>
  <c r="AG17" i="34"/>
  <c r="AG67" i="2"/>
  <c r="AO12" i="2"/>
  <c r="AN1216" i="34"/>
  <c r="K11" i="35"/>
  <c r="J11" i="35"/>
  <c r="I11" i="35"/>
  <c r="BI12" i="2"/>
  <c r="BH12" i="2"/>
  <c r="BH698" i="34" s="1"/>
  <c r="AZ84" i="2"/>
  <c r="BD84" i="2" s="1"/>
  <c r="AY84" i="2"/>
  <c r="BC84" i="2" s="1"/>
  <c r="AX84" i="2"/>
  <c r="BB84" i="2" s="1"/>
  <c r="AW84" i="2"/>
  <c r="BA84" i="2" s="1"/>
  <c r="BM88" i="2"/>
  <c r="BM99" i="2"/>
  <c r="BL99" i="2"/>
  <c r="BD92" i="2"/>
  <c r="BN91" i="2"/>
  <c r="BM91" i="2"/>
  <c r="CT165" i="14"/>
  <c r="CV165" i="14"/>
  <c r="CX165" i="14"/>
  <c r="CU165" i="14"/>
  <c r="AO1077" i="34"/>
  <c r="AO1076" i="34"/>
  <c r="AO1075" i="34"/>
  <c r="AO1073" i="34"/>
  <c r="AO1072" i="34"/>
  <c r="AO995" i="34"/>
  <c r="AO964" i="34"/>
  <c r="AO956" i="34"/>
  <c r="AO792" i="34"/>
  <c r="AO78" i="14"/>
  <c r="AO77" i="14"/>
  <c r="AO76" i="14"/>
  <c r="AO75" i="14"/>
  <c r="AO223" i="14"/>
  <c r="AO151" i="14" s="1"/>
  <c r="AS151" i="14" s="1"/>
  <c r="AS153" i="14" s="1"/>
  <c r="AO128" i="14"/>
  <c r="AO92" i="14"/>
  <c r="BR222" i="1"/>
  <c r="AW208" i="34" s="1"/>
  <c r="AO248" i="1"/>
  <c r="AO265" i="1"/>
  <c r="AO274" i="1" s="1"/>
  <c r="AO207" i="1"/>
  <c r="AS178" i="1"/>
  <c r="AT178" i="1" s="1"/>
  <c r="AU178" i="1" s="1"/>
  <c r="AV178" i="1" s="1"/>
  <c r="AO191" i="1"/>
  <c r="AS191" i="1" s="1"/>
  <c r="AO92" i="1"/>
  <c r="AO120" i="1" s="1"/>
  <c r="AO88" i="1"/>
  <c r="AO90" i="1"/>
  <c r="AP86" i="1" s="1"/>
  <c r="AP1279" i="34" s="1"/>
  <c r="AQ1281" i="34"/>
  <c r="AR1281" i="34"/>
  <c r="AS88" i="1"/>
  <c r="AT88" i="1"/>
  <c r="AU88" i="1"/>
  <c r="AU1281" i="34" s="1"/>
  <c r="AV88" i="1"/>
  <c r="AV1281" i="34" s="1"/>
  <c r="AW88" i="1"/>
  <c r="AX88" i="1"/>
  <c r="AX1281" i="34" s="1"/>
  <c r="AY88" i="1"/>
  <c r="AY1281" i="34" s="1"/>
  <c r="AZ88" i="1"/>
  <c r="AZ1281" i="34" s="1"/>
  <c r="AQ1285" i="34"/>
  <c r="AS92" i="1"/>
  <c r="AT92" i="1"/>
  <c r="AT120" i="1" s="1"/>
  <c r="AU92" i="1"/>
  <c r="AU120" i="1" s="1"/>
  <c r="AV92" i="1"/>
  <c r="AV1285" i="34" s="1"/>
  <c r="AW92" i="1"/>
  <c r="AW120" i="1" s="1"/>
  <c r="AX92" i="1"/>
  <c r="AY92" i="1"/>
  <c r="AY1285" i="34" s="1"/>
  <c r="AZ92" i="1"/>
  <c r="AO1259" i="34"/>
  <c r="AO56" i="1"/>
  <c r="AO1249" i="34" s="1"/>
  <c r="AO490" i="2"/>
  <c r="AO727" i="34" s="1"/>
  <c r="AS187" i="1"/>
  <c r="AW187" i="1" s="1"/>
  <c r="BA187" i="1" s="1"/>
  <c r="BO96" i="14"/>
  <c r="BO98" i="14" s="1"/>
  <c r="BR172" i="14"/>
  <c r="BS172" i="14" s="1"/>
  <c r="BT172" i="14" s="1"/>
  <c r="BU172" i="14" s="1"/>
  <c r="BV172" i="14" s="1"/>
  <c r="BW172" i="14" s="1"/>
  <c r="BX172" i="14" s="1"/>
  <c r="BY172" i="14" s="1"/>
  <c r="BW123" i="14"/>
  <c r="BV155" i="14"/>
  <c r="BW37" i="14"/>
  <c r="BY37" i="14" s="1"/>
  <c r="AT358" i="2"/>
  <c r="AT965" i="34" s="1"/>
  <c r="BR57" i="14"/>
  <c r="BS57" i="14" s="1"/>
  <c r="BT57" i="14" s="1"/>
  <c r="BU57" i="14" s="1"/>
  <c r="BV57" i="14" s="1"/>
  <c r="BW57" i="14" s="1"/>
  <c r="BX57" i="14" s="1"/>
  <c r="BY57" i="14" s="1"/>
  <c r="BT54" i="14"/>
  <c r="BU54" i="14" s="1"/>
  <c r="BV54" i="14" s="1"/>
  <c r="BW54" i="14" s="1"/>
  <c r="BX54" i="14" s="1"/>
  <c r="BY54" i="14" s="1"/>
  <c r="AZ984" i="34"/>
  <c r="AN168" i="14"/>
  <c r="CW165" i="14" s="1"/>
  <c r="AN167" i="14"/>
  <c r="AN166" i="14"/>
  <c r="AN165" i="14"/>
  <c r="BP164" i="14"/>
  <c r="AN136" i="14"/>
  <c r="AN135" i="14"/>
  <c r="AN134" i="14"/>
  <c r="BP133" i="14"/>
  <c r="AN102" i="14"/>
  <c r="AN101" i="14"/>
  <c r="AN100" i="14"/>
  <c r="AN97" i="14"/>
  <c r="BP96" i="14"/>
  <c r="BP98" i="14" s="1"/>
  <c r="AN50" i="14"/>
  <c r="AN49" i="14"/>
  <c r="AN48" i="14"/>
  <c r="AN47" i="14"/>
  <c r="AN46" i="14"/>
  <c r="AN45" i="14"/>
  <c r="AN792" i="34"/>
  <c r="BQ178" i="1"/>
  <c r="AV167" i="34" s="1"/>
  <c r="BQ176" i="1"/>
  <c r="BQ171" i="1"/>
  <c r="AV160" i="34" s="1"/>
  <c r="BQ160" i="1"/>
  <c r="AV149" i="34" s="1"/>
  <c r="BQ159" i="1"/>
  <c r="BQ156" i="1"/>
  <c r="AV143" i="34" s="1"/>
  <c r="BQ154" i="1"/>
  <c r="AV141" i="34" s="1"/>
  <c r="BQ161" i="1"/>
  <c r="AV150" i="34" s="1"/>
  <c r="AN88" i="1"/>
  <c r="AN1281" i="34" s="1"/>
  <c r="AM229" i="14"/>
  <c r="AM139" i="14" s="1"/>
  <c r="AN223" i="14"/>
  <c r="AN151" i="14" s="1"/>
  <c r="AN92" i="14"/>
  <c r="AN41" i="14"/>
  <c r="AN1077" i="34"/>
  <c r="AN1076" i="34"/>
  <c r="AN1074" i="34"/>
  <c r="AN1073" i="34"/>
  <c r="AN1072" i="34"/>
  <c r="AN964" i="34"/>
  <c r="AM314" i="2"/>
  <c r="AM927" i="34" s="1"/>
  <c r="AN90" i="1"/>
  <c r="AN1283" i="34" s="1"/>
  <c r="AN1276" i="34"/>
  <c r="AN1259" i="34"/>
  <c r="AN56" i="1"/>
  <c r="AN1249" i="34" s="1"/>
  <c r="AN107" i="2"/>
  <c r="AN974" i="34" s="1"/>
  <c r="AN1215" i="34"/>
  <c r="U1310" i="34"/>
  <c r="W1310" i="34"/>
  <c r="Y1310" i="34"/>
  <c r="AA1310" i="34"/>
  <c r="AC1310" i="34"/>
  <c r="AG247" i="2"/>
  <c r="AG225" i="2" s="1"/>
  <c r="AI247" i="2"/>
  <c r="AI225" i="2" s="1"/>
  <c r="AL247" i="2"/>
  <c r="AL225" i="2" s="1"/>
  <c r="AK225" i="2"/>
  <c r="AJ247" i="2"/>
  <c r="AJ225" i="2" s="1"/>
  <c r="AH247" i="2"/>
  <c r="AH225" i="2" s="1"/>
  <c r="AF247" i="2"/>
  <c r="AE247" i="2"/>
  <c r="AD247" i="2"/>
  <c r="AC247" i="2"/>
  <c r="AM247" i="2"/>
  <c r="AM225" i="2" s="1"/>
  <c r="AM96" i="14"/>
  <c r="AM98" i="14" s="1"/>
  <c r="AL96" i="14"/>
  <c r="AL98" i="14" s="1"/>
  <c r="H40" i="3"/>
  <c r="H64" i="3" s="1"/>
  <c r="H32" i="3"/>
  <c r="H56" i="3" s="1"/>
  <c r="AI532" i="2"/>
  <c r="AI106" i="14" s="1"/>
  <c r="AH532" i="2"/>
  <c r="AH227" i="14" s="1"/>
  <c r="AG532" i="2"/>
  <c r="AG227" i="14" s="1"/>
  <c r="AG229" i="14" s="1"/>
  <c r="AF532" i="2"/>
  <c r="AE532" i="2"/>
  <c r="AD532" i="2"/>
  <c r="AC532" i="2"/>
  <c r="AC106" i="14" s="1"/>
  <c r="M109" i="2"/>
  <c r="M975" i="34" s="1"/>
  <c r="N109" i="2"/>
  <c r="N975" i="34" s="1"/>
  <c r="O109" i="2"/>
  <c r="P109" i="2"/>
  <c r="P975" i="34" s="1"/>
  <c r="Q109" i="2"/>
  <c r="R109" i="2"/>
  <c r="R112" i="2" s="1"/>
  <c r="R978" i="34" s="1"/>
  <c r="S109" i="2"/>
  <c r="T109" i="2"/>
  <c r="T975" i="34" s="1"/>
  <c r="U109" i="2"/>
  <c r="V109" i="2"/>
  <c r="W109" i="2"/>
  <c r="X109" i="2"/>
  <c r="X112" i="2" s="1"/>
  <c r="Y109" i="2"/>
  <c r="Z109" i="2"/>
  <c r="Z112" i="2" s="1"/>
  <c r="AA109" i="2"/>
  <c r="AB109" i="2"/>
  <c r="AB111" i="2" s="1"/>
  <c r="AB500" i="34" s="1"/>
  <c r="AD109" i="2"/>
  <c r="AD975" i="34" s="1"/>
  <c r="AE109" i="2"/>
  <c r="AF109" i="2"/>
  <c r="AM77" i="14"/>
  <c r="AM75" i="14"/>
  <c r="AM448" i="2"/>
  <c r="AM1108" i="34" s="1"/>
  <c r="AM1077" i="34"/>
  <c r="AM1076" i="34"/>
  <c r="AM1075" i="34"/>
  <c r="AM1074" i="34"/>
  <c r="AM1073" i="34"/>
  <c r="AQ374" i="2"/>
  <c r="AQ360" i="2"/>
  <c r="AM792" i="34"/>
  <c r="AM520" i="2"/>
  <c r="AM756" i="34" s="1"/>
  <c r="AM532" i="2"/>
  <c r="AM191" i="1"/>
  <c r="AM107" i="2"/>
  <c r="AM974" i="34" s="1"/>
  <c r="AM490" i="2"/>
  <c r="AM727" i="34" s="1"/>
  <c r="AM164" i="14"/>
  <c r="AM133" i="14"/>
  <c r="AM160" i="14"/>
  <c r="AM41" i="14"/>
  <c r="AM92" i="1"/>
  <c r="AM1285" i="34" s="1"/>
  <c r="AM88" i="1"/>
  <c r="AM1281" i="34" s="1"/>
  <c r="AM1259" i="34"/>
  <c r="AM56" i="1"/>
  <c r="AM1249" i="34" s="1"/>
  <c r="BJ43" i="34"/>
  <c r="BI43" i="34"/>
  <c r="BH43" i="34"/>
  <c r="BG43" i="34"/>
  <c r="BF43" i="34"/>
  <c r="BE43" i="34"/>
  <c r="BD43" i="34"/>
  <c r="BC43" i="34"/>
  <c r="BJ42" i="34"/>
  <c r="BH42" i="34"/>
  <c r="BF42" i="34"/>
  <c r="BJ41" i="34"/>
  <c r="BH41" i="34"/>
  <c r="BG41" i="34"/>
  <c r="BF41" i="34"/>
  <c r="BJ40" i="34"/>
  <c r="BI40" i="34"/>
  <c r="BH40" i="34"/>
  <c r="BF40" i="34"/>
  <c r="AZ519" i="2"/>
  <c r="BD519" i="2" s="1"/>
  <c r="BD755" i="34" s="1"/>
  <c r="AY519" i="2"/>
  <c r="AX519" i="2"/>
  <c r="AW519" i="2"/>
  <c r="AD1334" i="34"/>
  <c r="AC1334" i="34"/>
  <c r="AB1334" i="34"/>
  <c r="AA1334" i="34"/>
  <c r="Z1334" i="34"/>
  <c r="Y1334" i="34"/>
  <c r="X1334" i="34"/>
  <c r="W1334" i="34"/>
  <c r="V1334" i="34"/>
  <c r="U1334" i="34"/>
  <c r="T1334" i="34"/>
  <c r="S1334" i="34"/>
  <c r="R1334" i="34"/>
  <c r="Q1334" i="34"/>
  <c r="P1334" i="34"/>
  <c r="O1334" i="34"/>
  <c r="N1334" i="34"/>
  <c r="M1334" i="34"/>
  <c r="K1334" i="34"/>
  <c r="J1334" i="34"/>
  <c r="I1334" i="34"/>
  <c r="AD1333" i="34"/>
  <c r="AC1333" i="34"/>
  <c r="AB1333" i="34"/>
  <c r="AA1333" i="34"/>
  <c r="Z1333" i="34"/>
  <c r="Y1333" i="34"/>
  <c r="X1333" i="34"/>
  <c r="W1333" i="34"/>
  <c r="V1333" i="34"/>
  <c r="U1333" i="34"/>
  <c r="T1333" i="34"/>
  <c r="S1333" i="34"/>
  <c r="R1333" i="34"/>
  <c r="Q1333" i="34"/>
  <c r="P1333" i="34"/>
  <c r="O1333" i="34"/>
  <c r="N1333" i="34"/>
  <c r="M1333" i="34"/>
  <c r="K1333" i="34"/>
  <c r="J1333" i="34"/>
  <c r="I1333" i="34"/>
  <c r="AD1332" i="34"/>
  <c r="AC1332" i="34"/>
  <c r="AB1332" i="34"/>
  <c r="AA1332" i="34"/>
  <c r="Z1332" i="34"/>
  <c r="Y1332" i="34"/>
  <c r="X1332" i="34"/>
  <c r="W1332" i="34"/>
  <c r="V1332" i="34"/>
  <c r="U1332" i="34"/>
  <c r="T1332" i="34"/>
  <c r="S1332" i="34"/>
  <c r="R1332" i="34"/>
  <c r="Q1332" i="34"/>
  <c r="P1332" i="34"/>
  <c r="O1332" i="34"/>
  <c r="N1332" i="34"/>
  <c r="M1332" i="34"/>
  <c r="K1332" i="34"/>
  <c r="J1332" i="34"/>
  <c r="I1332" i="34"/>
  <c r="AD1331" i="34"/>
  <c r="AC1331" i="34"/>
  <c r="AB1331" i="34"/>
  <c r="AA1331" i="34"/>
  <c r="Z1331" i="34"/>
  <c r="Y1331" i="34"/>
  <c r="X1331" i="34"/>
  <c r="W1331" i="34"/>
  <c r="V1331" i="34"/>
  <c r="U1331" i="34"/>
  <c r="T1331" i="34"/>
  <c r="S1331" i="34"/>
  <c r="R1331" i="34"/>
  <c r="Q1331" i="34"/>
  <c r="P1331" i="34"/>
  <c r="O1331" i="34"/>
  <c r="N1331" i="34"/>
  <c r="M1331" i="34"/>
  <c r="L1331" i="34"/>
  <c r="K1331" i="34"/>
  <c r="J1331" i="34"/>
  <c r="I1331" i="34"/>
  <c r="AD1330" i="34"/>
  <c r="AC1330" i="34"/>
  <c r="AB1330" i="34"/>
  <c r="AA1330" i="34"/>
  <c r="Z1330" i="34"/>
  <c r="Y1330" i="34"/>
  <c r="X1330" i="34"/>
  <c r="W1330" i="34"/>
  <c r="V1330" i="34"/>
  <c r="U1330" i="34"/>
  <c r="T1330" i="34"/>
  <c r="S1330" i="34"/>
  <c r="R1330" i="34"/>
  <c r="Q1330" i="34"/>
  <c r="P1330" i="34"/>
  <c r="O1330" i="34"/>
  <c r="N1330" i="34"/>
  <c r="M1330" i="34"/>
  <c r="L1330" i="34"/>
  <c r="K1330" i="34"/>
  <c r="J1330" i="34"/>
  <c r="I1330" i="34"/>
  <c r="AD1329" i="34"/>
  <c r="AC1329" i="34"/>
  <c r="AB1329" i="34"/>
  <c r="AA1329" i="34"/>
  <c r="Z1329" i="34"/>
  <c r="Y1329" i="34"/>
  <c r="X1329" i="34"/>
  <c r="W1329" i="34"/>
  <c r="V1329" i="34"/>
  <c r="U1329" i="34"/>
  <c r="T1329" i="34"/>
  <c r="S1329" i="34"/>
  <c r="R1329" i="34"/>
  <c r="Q1329" i="34"/>
  <c r="P1329" i="34"/>
  <c r="O1329" i="34"/>
  <c r="N1329" i="34"/>
  <c r="M1329" i="34"/>
  <c r="L1329" i="34"/>
  <c r="K1329" i="34"/>
  <c r="J1329" i="34"/>
  <c r="I1329" i="34"/>
  <c r="AD1328" i="34"/>
  <c r="AC1328" i="34"/>
  <c r="AB1328" i="34"/>
  <c r="AA1328" i="34"/>
  <c r="Z1328" i="34"/>
  <c r="Y1328" i="34"/>
  <c r="X1328" i="34"/>
  <c r="W1328" i="34"/>
  <c r="V1328" i="34"/>
  <c r="U1328" i="34"/>
  <c r="T1328" i="34"/>
  <c r="S1328" i="34"/>
  <c r="R1328" i="34"/>
  <c r="Q1328" i="34"/>
  <c r="P1328" i="34"/>
  <c r="O1328" i="34"/>
  <c r="N1328" i="34"/>
  <c r="M1328" i="34"/>
  <c r="L1328" i="34"/>
  <c r="K1328" i="34"/>
  <c r="J1328" i="34"/>
  <c r="I1328" i="34"/>
  <c r="AD1327" i="34"/>
  <c r="AC1327" i="34"/>
  <c r="AB1327" i="34"/>
  <c r="AA1327" i="34"/>
  <c r="Z1327" i="34"/>
  <c r="Y1327" i="34"/>
  <c r="X1327" i="34"/>
  <c r="W1327" i="34"/>
  <c r="V1327" i="34"/>
  <c r="U1327" i="34"/>
  <c r="T1327" i="34"/>
  <c r="S1327" i="34"/>
  <c r="R1327" i="34"/>
  <c r="Q1327" i="34"/>
  <c r="P1327" i="34"/>
  <c r="O1327" i="34"/>
  <c r="N1327" i="34"/>
  <c r="M1327" i="34"/>
  <c r="K1327" i="34"/>
  <c r="J1327" i="34"/>
  <c r="I1327" i="34"/>
  <c r="AD1326" i="34"/>
  <c r="AC1326" i="34"/>
  <c r="AB1326" i="34"/>
  <c r="AA1326" i="34"/>
  <c r="Z1326" i="34"/>
  <c r="Y1326" i="34"/>
  <c r="X1326" i="34"/>
  <c r="W1326" i="34"/>
  <c r="V1326" i="34"/>
  <c r="U1326" i="34"/>
  <c r="T1326" i="34"/>
  <c r="S1326" i="34"/>
  <c r="R1326" i="34"/>
  <c r="Q1326" i="34"/>
  <c r="P1326" i="34"/>
  <c r="O1326" i="34"/>
  <c r="N1326" i="34"/>
  <c r="M1326" i="34"/>
  <c r="L1326" i="34"/>
  <c r="K1326" i="34"/>
  <c r="J1326" i="34"/>
  <c r="I1326" i="34"/>
  <c r="AD1325" i="34"/>
  <c r="AC1325" i="34"/>
  <c r="AB1325" i="34"/>
  <c r="AA1325" i="34"/>
  <c r="Z1325" i="34"/>
  <c r="Y1325" i="34"/>
  <c r="X1325" i="34"/>
  <c r="W1325" i="34"/>
  <c r="V1325" i="34"/>
  <c r="U1325" i="34"/>
  <c r="T1325" i="34"/>
  <c r="S1325" i="34"/>
  <c r="R1325" i="34"/>
  <c r="Q1325" i="34"/>
  <c r="P1325" i="34"/>
  <c r="O1325" i="34"/>
  <c r="N1325" i="34"/>
  <c r="M1325" i="34"/>
  <c r="L1325" i="34"/>
  <c r="K1325" i="34"/>
  <c r="J1325" i="34"/>
  <c r="I1325" i="34"/>
  <c r="AD1324" i="34"/>
  <c r="AC1324" i="34"/>
  <c r="AB1324" i="34"/>
  <c r="AA1324" i="34"/>
  <c r="Z1324" i="34"/>
  <c r="Y1324" i="34"/>
  <c r="X1324" i="34"/>
  <c r="W1324" i="34"/>
  <c r="V1324" i="34"/>
  <c r="U1324" i="34"/>
  <c r="T1324" i="34"/>
  <c r="S1324" i="34"/>
  <c r="R1324" i="34"/>
  <c r="Q1324" i="34"/>
  <c r="P1324" i="34"/>
  <c r="O1324" i="34"/>
  <c r="N1324" i="34"/>
  <c r="M1324" i="34"/>
  <c r="L1324" i="34"/>
  <c r="K1324" i="34"/>
  <c r="J1324" i="34"/>
  <c r="I1324" i="34"/>
  <c r="AD1323" i="34"/>
  <c r="AC1323" i="34"/>
  <c r="AB1323" i="34"/>
  <c r="AA1323" i="34"/>
  <c r="Z1323" i="34"/>
  <c r="Y1323" i="34"/>
  <c r="X1323" i="34"/>
  <c r="W1323" i="34"/>
  <c r="V1323" i="34"/>
  <c r="U1323" i="34"/>
  <c r="T1323" i="34"/>
  <c r="S1323" i="34"/>
  <c r="R1323" i="34"/>
  <c r="Q1323" i="34"/>
  <c r="P1323" i="34"/>
  <c r="O1323" i="34"/>
  <c r="N1323" i="34"/>
  <c r="M1323" i="34"/>
  <c r="K1323" i="34"/>
  <c r="J1323" i="34"/>
  <c r="I1323" i="34"/>
  <c r="AD1322" i="34"/>
  <c r="AC1322" i="34"/>
  <c r="AB1322" i="34"/>
  <c r="T1322" i="34"/>
  <c r="S1322" i="34"/>
  <c r="R1322" i="34"/>
  <c r="Q1322" i="34"/>
  <c r="P1322" i="34"/>
  <c r="O1322" i="34"/>
  <c r="N1322" i="34"/>
  <c r="M1322" i="34"/>
  <c r="L1322" i="34"/>
  <c r="K1322" i="34"/>
  <c r="J1322" i="34"/>
  <c r="I1322" i="34"/>
  <c r="AD1321" i="34"/>
  <c r="AC1321" i="34"/>
  <c r="AB1321" i="34"/>
  <c r="T1321" i="34"/>
  <c r="S1321" i="34"/>
  <c r="R1321" i="34"/>
  <c r="Q1321" i="34"/>
  <c r="P1321" i="34"/>
  <c r="O1321" i="34"/>
  <c r="N1321" i="34"/>
  <c r="M1321" i="34"/>
  <c r="L1321" i="34"/>
  <c r="K1321" i="34"/>
  <c r="J1321" i="34"/>
  <c r="I1321" i="34"/>
  <c r="AD1320" i="34"/>
  <c r="AC1320" i="34"/>
  <c r="AB1320" i="34"/>
  <c r="T1320" i="34"/>
  <c r="S1320" i="34"/>
  <c r="R1320" i="34"/>
  <c r="Q1320" i="34"/>
  <c r="P1320" i="34"/>
  <c r="O1320" i="34"/>
  <c r="N1320" i="34"/>
  <c r="M1320" i="34"/>
  <c r="L1320" i="34"/>
  <c r="K1320" i="34"/>
  <c r="J1320" i="34"/>
  <c r="I1320" i="34"/>
  <c r="AD1319" i="34"/>
  <c r="AC1319" i="34"/>
  <c r="AB1319" i="34"/>
  <c r="AA1319" i="34"/>
  <c r="Z1319" i="34"/>
  <c r="Y1319" i="34"/>
  <c r="X1319" i="34"/>
  <c r="W1319" i="34"/>
  <c r="V1319" i="34"/>
  <c r="U1319" i="34"/>
  <c r="S1319" i="34"/>
  <c r="R1319" i="34"/>
  <c r="Q1319" i="34"/>
  <c r="P1319" i="34"/>
  <c r="O1319" i="34"/>
  <c r="N1319" i="34"/>
  <c r="M1319" i="34"/>
  <c r="K1319" i="34"/>
  <c r="J1319" i="34"/>
  <c r="I1319" i="34"/>
  <c r="AD1318" i="34"/>
  <c r="AC1318" i="34"/>
  <c r="AB1318" i="34"/>
  <c r="AA1318" i="34"/>
  <c r="Z1318" i="34"/>
  <c r="Y1318" i="34"/>
  <c r="X1318" i="34"/>
  <c r="W1318" i="34"/>
  <c r="V1318" i="34"/>
  <c r="U1318" i="34"/>
  <c r="T1318" i="34"/>
  <c r="S1318" i="34"/>
  <c r="R1318" i="34"/>
  <c r="Q1318" i="34"/>
  <c r="P1318" i="34"/>
  <c r="O1318" i="34"/>
  <c r="N1318" i="34"/>
  <c r="M1318" i="34"/>
  <c r="K1318" i="34"/>
  <c r="J1318" i="34"/>
  <c r="I1318" i="34"/>
  <c r="AD1317" i="34"/>
  <c r="AC1317" i="34"/>
  <c r="AB1317" i="34"/>
  <c r="AA1317" i="34"/>
  <c r="Z1317" i="34"/>
  <c r="Y1317" i="34"/>
  <c r="X1317" i="34"/>
  <c r="W1317" i="34"/>
  <c r="V1317" i="34"/>
  <c r="U1317" i="34"/>
  <c r="T1317" i="34"/>
  <c r="S1317" i="34"/>
  <c r="R1317" i="34"/>
  <c r="Q1317" i="34"/>
  <c r="P1317" i="34"/>
  <c r="O1317" i="34"/>
  <c r="N1317" i="34"/>
  <c r="M1317" i="34"/>
  <c r="K1317" i="34"/>
  <c r="J1317" i="34"/>
  <c r="I1317" i="34"/>
  <c r="AD1316" i="34"/>
  <c r="AC1316" i="34"/>
  <c r="AB1316" i="34"/>
  <c r="S1316" i="34"/>
  <c r="Q1316" i="34"/>
  <c r="P1316" i="34"/>
  <c r="O1316" i="34"/>
  <c r="N1316" i="34"/>
  <c r="M1316" i="34"/>
  <c r="K1316" i="34"/>
  <c r="J1316" i="34"/>
  <c r="I1316" i="34"/>
  <c r="AD1315" i="34"/>
  <c r="AC1315" i="34"/>
  <c r="AB1315" i="34"/>
  <c r="S1315" i="34"/>
  <c r="R1315" i="34"/>
  <c r="Q1315" i="34"/>
  <c r="P1315" i="34"/>
  <c r="O1315" i="34"/>
  <c r="N1315" i="34"/>
  <c r="M1315" i="34"/>
  <c r="K1315" i="34"/>
  <c r="J1315" i="34"/>
  <c r="I1315" i="34"/>
  <c r="AD1314" i="34"/>
  <c r="AC1314" i="34"/>
  <c r="AB1314" i="34"/>
  <c r="S1314" i="34"/>
  <c r="R1314" i="34"/>
  <c r="Q1314" i="34"/>
  <c r="P1314" i="34"/>
  <c r="O1314" i="34"/>
  <c r="N1314" i="34"/>
  <c r="M1314" i="34"/>
  <c r="K1314" i="34"/>
  <c r="J1314" i="34"/>
  <c r="I1314" i="34"/>
  <c r="AD1313" i="34"/>
  <c r="AC1313" i="34"/>
  <c r="AB1313" i="34"/>
  <c r="S1313" i="34"/>
  <c r="Q1313" i="34"/>
  <c r="P1313" i="34"/>
  <c r="O1313" i="34"/>
  <c r="N1313" i="34"/>
  <c r="M1313" i="34"/>
  <c r="K1313" i="34"/>
  <c r="J1313" i="34"/>
  <c r="I1313" i="34"/>
  <c r="AD1312" i="34"/>
  <c r="AC1312" i="34"/>
  <c r="AB1312" i="34"/>
  <c r="AA1312" i="34"/>
  <c r="Z1312" i="34"/>
  <c r="Y1312" i="34"/>
  <c r="X1312" i="34"/>
  <c r="W1312" i="34"/>
  <c r="V1312" i="34"/>
  <c r="U1312" i="34"/>
  <c r="T1312" i="34"/>
  <c r="S1312" i="34"/>
  <c r="R1312" i="34"/>
  <c r="P1312" i="34"/>
  <c r="O1312" i="34"/>
  <c r="N1312" i="34"/>
  <c r="M1312" i="34"/>
  <c r="K1312" i="34"/>
  <c r="J1312" i="34"/>
  <c r="I1312" i="34"/>
  <c r="AD1311" i="34"/>
  <c r="AC1311" i="34"/>
  <c r="AB1311" i="34"/>
  <c r="AA1311" i="34"/>
  <c r="Z1311" i="34"/>
  <c r="Y1311" i="34"/>
  <c r="X1311" i="34"/>
  <c r="W1311" i="34"/>
  <c r="V1311" i="34"/>
  <c r="U1311" i="34"/>
  <c r="T1311" i="34"/>
  <c r="S1311" i="34"/>
  <c r="R1311" i="34"/>
  <c r="Q1311" i="34"/>
  <c r="P1311" i="34"/>
  <c r="O1311" i="34"/>
  <c r="N1311" i="34"/>
  <c r="M1311" i="34"/>
  <c r="K1311" i="34"/>
  <c r="J1311" i="34"/>
  <c r="I1311" i="34"/>
  <c r="AD1310" i="34"/>
  <c r="AB1310" i="34"/>
  <c r="Z1310" i="34"/>
  <c r="X1310" i="34"/>
  <c r="V1310" i="34"/>
  <c r="T1310" i="34"/>
  <c r="S1310" i="34"/>
  <c r="R1310" i="34"/>
  <c r="Q1310" i="34"/>
  <c r="P1310" i="34"/>
  <c r="O1310" i="34"/>
  <c r="N1310" i="34"/>
  <c r="M1310" i="34"/>
  <c r="L1310" i="34"/>
  <c r="K1310" i="34"/>
  <c r="J1310" i="34"/>
  <c r="I1310" i="34"/>
  <c r="AD1309" i="34"/>
  <c r="AC1309" i="34"/>
  <c r="AB1309" i="34"/>
  <c r="AA1309" i="34"/>
  <c r="Z1309" i="34"/>
  <c r="Y1309" i="34"/>
  <c r="X1309" i="34"/>
  <c r="W1309" i="34"/>
  <c r="V1309" i="34"/>
  <c r="U1309" i="34"/>
  <c r="T1309" i="34"/>
  <c r="S1309" i="34"/>
  <c r="R1309" i="34"/>
  <c r="Q1309" i="34"/>
  <c r="P1309" i="34"/>
  <c r="O1309" i="34"/>
  <c r="N1309" i="34"/>
  <c r="M1309" i="34"/>
  <c r="L1309" i="34"/>
  <c r="K1309" i="34"/>
  <c r="J1309" i="34"/>
  <c r="I1309" i="34"/>
  <c r="AD1308" i="34"/>
  <c r="AC1308" i="34"/>
  <c r="AB1308" i="34"/>
  <c r="AA1308" i="34"/>
  <c r="Z1308" i="34"/>
  <c r="Y1308" i="34"/>
  <c r="X1308" i="34"/>
  <c r="W1308" i="34"/>
  <c r="V1308" i="34"/>
  <c r="U1308" i="34"/>
  <c r="T1308" i="34"/>
  <c r="S1308" i="34"/>
  <c r="R1308" i="34"/>
  <c r="Q1308" i="34"/>
  <c r="P1308" i="34"/>
  <c r="O1308" i="34"/>
  <c r="N1308" i="34"/>
  <c r="M1308" i="34"/>
  <c r="L1308" i="34"/>
  <c r="K1308" i="34"/>
  <c r="J1308" i="34"/>
  <c r="I1308" i="34"/>
  <c r="AD1307" i="34"/>
  <c r="T1307" i="34"/>
  <c r="S1307" i="34"/>
  <c r="R1307" i="34"/>
  <c r="Q1307" i="34"/>
  <c r="P1307" i="34"/>
  <c r="O1307" i="34"/>
  <c r="N1307" i="34"/>
  <c r="M1307" i="34"/>
  <c r="L1307" i="34"/>
  <c r="K1307" i="34"/>
  <c r="J1307" i="34"/>
  <c r="I1307" i="34"/>
  <c r="AD1306" i="34"/>
  <c r="T1306" i="34"/>
  <c r="S1306" i="34"/>
  <c r="R1306" i="34"/>
  <c r="Q1306" i="34"/>
  <c r="P1306" i="34"/>
  <c r="O1306" i="34"/>
  <c r="N1306" i="34"/>
  <c r="M1306" i="34"/>
  <c r="L1306" i="34"/>
  <c r="K1306" i="34"/>
  <c r="J1306" i="34"/>
  <c r="I1306" i="34"/>
  <c r="AD1305" i="34"/>
  <c r="R1305" i="34"/>
  <c r="Q1305" i="34"/>
  <c r="P1305" i="34"/>
  <c r="O1305" i="34"/>
  <c r="N1305" i="34"/>
  <c r="M1305" i="34"/>
  <c r="L1305" i="34"/>
  <c r="K1305" i="34"/>
  <c r="J1305" i="34"/>
  <c r="I1305" i="34"/>
  <c r="AD1304" i="34"/>
  <c r="AC1304" i="34"/>
  <c r="AB1304" i="34"/>
  <c r="AA1304" i="34"/>
  <c r="Z1304" i="34"/>
  <c r="Y1304" i="34"/>
  <c r="X1304" i="34"/>
  <c r="W1304" i="34"/>
  <c r="V1304" i="34"/>
  <c r="U1304" i="34"/>
  <c r="T1304" i="34"/>
  <c r="S1304" i="34"/>
  <c r="R1304" i="34"/>
  <c r="Q1304" i="34"/>
  <c r="P1304" i="34"/>
  <c r="O1304" i="34"/>
  <c r="N1304" i="34"/>
  <c r="M1304" i="34"/>
  <c r="L1304" i="34"/>
  <c r="K1304" i="34"/>
  <c r="J1304" i="34"/>
  <c r="I1304" i="34"/>
  <c r="L1303" i="34"/>
  <c r="K1303" i="34"/>
  <c r="J1303" i="34"/>
  <c r="I1303" i="34"/>
  <c r="AD1302" i="34"/>
  <c r="Q1302" i="34"/>
  <c r="P1302" i="34"/>
  <c r="O1302" i="34"/>
  <c r="N1302" i="34"/>
  <c r="M1302" i="34"/>
  <c r="L1302" i="34"/>
  <c r="K1302" i="34"/>
  <c r="J1302" i="34"/>
  <c r="I1302" i="34"/>
  <c r="L1301" i="34"/>
  <c r="K1301" i="34"/>
  <c r="J1301" i="34"/>
  <c r="I1301" i="34"/>
  <c r="AD1300" i="34"/>
  <c r="AC1300" i="34"/>
  <c r="AB1300" i="34"/>
  <c r="AA1300" i="34"/>
  <c r="Z1300" i="34"/>
  <c r="Y1300" i="34"/>
  <c r="X1300" i="34"/>
  <c r="W1300" i="34"/>
  <c r="V1300" i="34"/>
  <c r="U1300" i="34"/>
  <c r="T1300" i="34"/>
  <c r="S1300" i="34"/>
  <c r="R1300" i="34"/>
  <c r="Q1300" i="34"/>
  <c r="P1300" i="34"/>
  <c r="O1300" i="34"/>
  <c r="N1300" i="34"/>
  <c r="M1300" i="34"/>
  <c r="L1300" i="34"/>
  <c r="K1300" i="34"/>
  <c r="J1300" i="34"/>
  <c r="I1300" i="34"/>
  <c r="L1299" i="34"/>
  <c r="K1299" i="34"/>
  <c r="J1299" i="34"/>
  <c r="I1299" i="34"/>
  <c r="L1298" i="34"/>
  <c r="K1298" i="34"/>
  <c r="J1298" i="34"/>
  <c r="I1298" i="34"/>
  <c r="AD1297" i="34"/>
  <c r="L1297" i="34"/>
  <c r="K1297" i="34"/>
  <c r="J1297" i="34"/>
  <c r="I1297" i="34"/>
  <c r="AD1296" i="34"/>
  <c r="L1296" i="34"/>
  <c r="K1296" i="34"/>
  <c r="J1296" i="34"/>
  <c r="I1296" i="34"/>
  <c r="AD1295" i="34"/>
  <c r="L1295" i="34"/>
  <c r="K1295" i="34"/>
  <c r="J1295" i="34"/>
  <c r="I1295" i="34"/>
  <c r="AD1294" i="34"/>
  <c r="L1294" i="34"/>
  <c r="K1294" i="34"/>
  <c r="J1294" i="34"/>
  <c r="I1294" i="34"/>
  <c r="L1293" i="34"/>
  <c r="K1293" i="34"/>
  <c r="J1293" i="34"/>
  <c r="I1293" i="34"/>
  <c r="AD1292" i="34"/>
  <c r="AC1292" i="34"/>
  <c r="AB1292" i="34"/>
  <c r="AA1292" i="34"/>
  <c r="Z1292" i="34"/>
  <c r="Y1292" i="34"/>
  <c r="X1292" i="34"/>
  <c r="W1292" i="34"/>
  <c r="V1292" i="34"/>
  <c r="U1292" i="34"/>
  <c r="T1292" i="34"/>
  <c r="S1292" i="34"/>
  <c r="R1292" i="34"/>
  <c r="Q1292" i="34"/>
  <c r="P1292" i="34"/>
  <c r="O1292" i="34"/>
  <c r="N1292" i="34"/>
  <c r="M1292" i="34"/>
  <c r="L1292" i="34"/>
  <c r="K1292" i="34"/>
  <c r="J1292" i="34"/>
  <c r="I1292" i="34"/>
  <c r="L1291" i="34"/>
  <c r="K1291" i="34"/>
  <c r="J1291" i="34"/>
  <c r="I1291" i="34"/>
  <c r="L1290" i="34"/>
  <c r="K1290" i="34"/>
  <c r="J1290" i="34"/>
  <c r="I1290" i="34"/>
  <c r="AD1289" i="34"/>
  <c r="AC1289" i="34"/>
  <c r="AB1289" i="34"/>
  <c r="AA1289" i="34"/>
  <c r="Z1289" i="34"/>
  <c r="Y1289" i="34"/>
  <c r="X1289" i="34"/>
  <c r="W1289" i="34"/>
  <c r="V1289" i="34"/>
  <c r="U1289" i="34"/>
  <c r="T1289" i="34"/>
  <c r="S1289" i="34"/>
  <c r="R1289" i="34"/>
  <c r="Q1289" i="34"/>
  <c r="P1289" i="34"/>
  <c r="O1289" i="34"/>
  <c r="N1289" i="34"/>
  <c r="M1289" i="34"/>
  <c r="L1289" i="34"/>
  <c r="K1289" i="34"/>
  <c r="J1289" i="34"/>
  <c r="I1289" i="34"/>
  <c r="BD1288" i="34"/>
  <c r="BC1288" i="34"/>
  <c r="AZ1288" i="34"/>
  <c r="AY1288" i="34"/>
  <c r="AX1288" i="34"/>
  <c r="AW1288" i="34"/>
  <c r="AV1288" i="34"/>
  <c r="AU1288" i="34"/>
  <c r="AT1288" i="34"/>
  <c r="AS1288" i="34"/>
  <c r="AR1288" i="34"/>
  <c r="AQ1288" i="34"/>
  <c r="AP1288" i="34"/>
  <c r="AO1288" i="34"/>
  <c r="AN1288" i="34"/>
  <c r="AM1288" i="34"/>
  <c r="AL1288" i="34"/>
  <c r="AK1288" i="34"/>
  <c r="AJ1288" i="34"/>
  <c r="AI1288" i="34"/>
  <c r="AH1288" i="34"/>
  <c r="AG1288" i="34"/>
  <c r="AF1288" i="34"/>
  <c r="AE1288" i="34"/>
  <c r="AD1288" i="34"/>
  <c r="AC1288" i="34"/>
  <c r="AB1288" i="34"/>
  <c r="AA1288" i="34"/>
  <c r="Z1288" i="34"/>
  <c r="Y1288" i="34"/>
  <c r="X1288" i="34"/>
  <c r="W1288" i="34"/>
  <c r="V1288" i="34"/>
  <c r="U1288" i="34"/>
  <c r="T1288" i="34"/>
  <c r="S1288" i="34"/>
  <c r="R1288" i="34"/>
  <c r="Q1288" i="34"/>
  <c r="P1288" i="34"/>
  <c r="O1288" i="34"/>
  <c r="N1288" i="34"/>
  <c r="M1288" i="34"/>
  <c r="L1288" i="34"/>
  <c r="K1288" i="34"/>
  <c r="J1288" i="34"/>
  <c r="I1288" i="34"/>
  <c r="BD1287" i="34"/>
  <c r="BC1287" i="34"/>
  <c r="AZ1287" i="34"/>
  <c r="AY1287" i="34"/>
  <c r="AX1287" i="34"/>
  <c r="AW1287" i="34"/>
  <c r="AU1287" i="34"/>
  <c r="AT1287" i="34"/>
  <c r="AQ1287" i="34"/>
  <c r="AP1287" i="34"/>
  <c r="AO1287" i="34"/>
  <c r="AN1287" i="34"/>
  <c r="AM1287" i="34"/>
  <c r="AL1287" i="34"/>
  <c r="AK1287" i="34"/>
  <c r="AJ1287" i="34"/>
  <c r="AI1287" i="34"/>
  <c r="AH1287" i="34"/>
  <c r="AG1287" i="34"/>
  <c r="AF1287" i="34"/>
  <c r="AE1287" i="34"/>
  <c r="AD1287" i="34"/>
  <c r="AC1287" i="34"/>
  <c r="AB1287" i="34"/>
  <c r="AA1287" i="34"/>
  <c r="Z1287" i="34"/>
  <c r="Y1287" i="34"/>
  <c r="X1287" i="34"/>
  <c r="W1287" i="34"/>
  <c r="V1287" i="34"/>
  <c r="U1287" i="34"/>
  <c r="T1287" i="34"/>
  <c r="S1287" i="34"/>
  <c r="R1287" i="34"/>
  <c r="Q1287" i="34"/>
  <c r="P1287" i="34"/>
  <c r="O1287" i="34"/>
  <c r="N1287" i="34"/>
  <c r="M1287" i="34"/>
  <c r="L1287" i="34"/>
  <c r="K1287" i="34"/>
  <c r="J1287" i="34"/>
  <c r="I1287" i="34"/>
  <c r="BD1286" i="34"/>
  <c r="BC1286" i="34"/>
  <c r="AZ1286" i="34"/>
  <c r="AY1286" i="34"/>
  <c r="AX1286" i="34"/>
  <c r="AW1286" i="34"/>
  <c r="AU1286" i="34"/>
  <c r="AT1286" i="34"/>
  <c r="AQ1286" i="34"/>
  <c r="AP1286" i="34"/>
  <c r="AO1286" i="34"/>
  <c r="AN1286" i="34"/>
  <c r="AM1286" i="34"/>
  <c r="AL1286" i="34"/>
  <c r="AK1286" i="34"/>
  <c r="AJ1286" i="34"/>
  <c r="V1286" i="34"/>
  <c r="U1286" i="34"/>
  <c r="T1286" i="34"/>
  <c r="S1286" i="34"/>
  <c r="R1286" i="34"/>
  <c r="Q1286" i="34"/>
  <c r="P1286" i="34"/>
  <c r="O1286" i="34"/>
  <c r="N1286" i="34"/>
  <c r="M1286" i="34"/>
  <c r="L1286" i="34"/>
  <c r="K1286" i="34"/>
  <c r="J1286" i="34"/>
  <c r="I1286" i="34"/>
  <c r="V1285" i="34"/>
  <c r="U1285" i="34"/>
  <c r="T1285" i="34"/>
  <c r="S1285" i="34"/>
  <c r="R1285" i="34"/>
  <c r="Q1285" i="34"/>
  <c r="P1285" i="34"/>
  <c r="O1285" i="34"/>
  <c r="N1285" i="34"/>
  <c r="M1285" i="34"/>
  <c r="L1285" i="34"/>
  <c r="K1285" i="34"/>
  <c r="J1285" i="34"/>
  <c r="I1285" i="34"/>
  <c r="BD1284" i="34"/>
  <c r="BC1284" i="34"/>
  <c r="AZ1284" i="34"/>
  <c r="AY1284" i="34"/>
  <c r="AX1284" i="34"/>
  <c r="AW1284" i="34"/>
  <c r="AU1284" i="34"/>
  <c r="AT1284" i="34"/>
  <c r="AQ1284" i="34"/>
  <c r="AP1284" i="34"/>
  <c r="AO1284" i="34"/>
  <c r="AN1284" i="34"/>
  <c r="AM1284" i="34"/>
  <c r="AL1284" i="34"/>
  <c r="AK1284" i="34"/>
  <c r="AJ1284" i="34"/>
  <c r="AI1284" i="34"/>
  <c r="AH1284" i="34"/>
  <c r="AG1284" i="34"/>
  <c r="AF1284" i="34"/>
  <c r="AE1284" i="34"/>
  <c r="AD1284" i="34"/>
  <c r="AC1284" i="34"/>
  <c r="AB1284" i="34"/>
  <c r="AA1284" i="34"/>
  <c r="Z1284" i="34"/>
  <c r="Y1284" i="34"/>
  <c r="X1284" i="34"/>
  <c r="W1284" i="34"/>
  <c r="V1284" i="34"/>
  <c r="U1284" i="34"/>
  <c r="T1284" i="34"/>
  <c r="S1284" i="34"/>
  <c r="R1284" i="34"/>
  <c r="Q1284" i="34"/>
  <c r="P1284" i="34"/>
  <c r="O1284" i="34"/>
  <c r="N1284" i="34"/>
  <c r="M1284" i="34"/>
  <c r="L1284" i="34"/>
  <c r="K1284" i="34"/>
  <c r="J1284" i="34"/>
  <c r="I1284" i="34"/>
  <c r="L1283" i="34"/>
  <c r="K1283" i="34"/>
  <c r="J1283" i="34"/>
  <c r="I1283" i="34"/>
  <c r="BD1282" i="34"/>
  <c r="BC1282" i="34"/>
  <c r="AZ1282" i="34"/>
  <c r="AY1282" i="34"/>
  <c r="AX1282" i="34"/>
  <c r="AW1282" i="34"/>
  <c r="AU1282" i="34"/>
  <c r="AT1282" i="34"/>
  <c r="AQ1282" i="34"/>
  <c r="AP1282" i="34"/>
  <c r="AO1282" i="34"/>
  <c r="AN1282" i="34"/>
  <c r="AM1282" i="34"/>
  <c r="AL1282" i="34"/>
  <c r="AK1282" i="34"/>
  <c r="AJ1282" i="34"/>
  <c r="AI1282" i="34"/>
  <c r="AH1282" i="34"/>
  <c r="AG1282" i="34"/>
  <c r="AF1282" i="34"/>
  <c r="AE1282" i="34"/>
  <c r="AD1282" i="34"/>
  <c r="AC1282" i="34"/>
  <c r="AB1282" i="34"/>
  <c r="AA1282" i="34"/>
  <c r="Z1282" i="34"/>
  <c r="Y1282" i="34"/>
  <c r="X1282" i="34"/>
  <c r="W1282" i="34"/>
  <c r="V1282" i="34"/>
  <c r="U1282" i="34"/>
  <c r="T1282" i="34"/>
  <c r="S1282" i="34"/>
  <c r="R1282" i="34"/>
  <c r="Q1282" i="34"/>
  <c r="P1282" i="34"/>
  <c r="O1282" i="34"/>
  <c r="N1282" i="34"/>
  <c r="M1282" i="34"/>
  <c r="L1282" i="34"/>
  <c r="K1282" i="34"/>
  <c r="J1282" i="34"/>
  <c r="I1282" i="34"/>
  <c r="L1281" i="34"/>
  <c r="K1281" i="34"/>
  <c r="J1281" i="34"/>
  <c r="I1281" i="34"/>
  <c r="BD1280" i="34"/>
  <c r="BC1280" i="34"/>
  <c r="AZ1280" i="34"/>
  <c r="AY1280" i="34"/>
  <c r="AX1280" i="34"/>
  <c r="AW1280" i="34"/>
  <c r="AU1280" i="34"/>
  <c r="AT1280" i="34"/>
  <c r="L1280" i="34"/>
  <c r="K1280" i="34"/>
  <c r="J1280" i="34"/>
  <c r="I1280" i="34"/>
  <c r="L1279" i="34"/>
  <c r="K1279" i="34"/>
  <c r="J1279" i="34"/>
  <c r="I1279" i="34"/>
  <c r="BD1278" i="34"/>
  <c r="BC1278" i="34"/>
  <c r="AZ1278" i="34"/>
  <c r="AY1278" i="34"/>
  <c r="AX1278" i="34"/>
  <c r="AW1278" i="34"/>
  <c r="AU1278" i="34"/>
  <c r="AT1278" i="34"/>
  <c r="AQ1278" i="34"/>
  <c r="AP1278" i="34"/>
  <c r="AO1278" i="34"/>
  <c r="AN1278" i="34"/>
  <c r="AM1278" i="34"/>
  <c r="AL1278" i="34"/>
  <c r="AK1278" i="34"/>
  <c r="AJ1278" i="34"/>
  <c r="AI1278" i="34"/>
  <c r="AH1278" i="34"/>
  <c r="AG1278" i="34"/>
  <c r="AF1278" i="34"/>
  <c r="AE1278" i="34"/>
  <c r="AD1278" i="34"/>
  <c r="AC1278" i="34"/>
  <c r="AB1278" i="34"/>
  <c r="AA1278" i="34"/>
  <c r="Z1278" i="34"/>
  <c r="Y1278" i="34"/>
  <c r="X1278" i="34"/>
  <c r="W1278" i="34"/>
  <c r="V1278" i="34"/>
  <c r="U1278" i="34"/>
  <c r="T1278" i="34"/>
  <c r="S1278" i="34"/>
  <c r="R1278" i="34"/>
  <c r="Q1278" i="34"/>
  <c r="P1278" i="34"/>
  <c r="O1278" i="34"/>
  <c r="N1278" i="34"/>
  <c r="M1278" i="34"/>
  <c r="L1278" i="34"/>
  <c r="K1278" i="34"/>
  <c r="J1278" i="34"/>
  <c r="I1278" i="34"/>
  <c r="AI1277" i="34"/>
  <c r="AH1277" i="34"/>
  <c r="AG1277" i="34"/>
  <c r="AF1277" i="34"/>
  <c r="AE1277" i="34"/>
  <c r="AD1277" i="34"/>
  <c r="AC1277" i="34"/>
  <c r="AB1277" i="34"/>
  <c r="AA1277" i="34"/>
  <c r="Z1277" i="34"/>
  <c r="Y1277" i="34"/>
  <c r="X1277" i="34"/>
  <c r="W1277" i="34"/>
  <c r="V1277" i="34"/>
  <c r="U1277" i="34"/>
  <c r="T1277" i="34"/>
  <c r="S1277" i="34"/>
  <c r="R1277" i="34"/>
  <c r="Q1277" i="34"/>
  <c r="P1277" i="34"/>
  <c r="O1277" i="34"/>
  <c r="N1277" i="34"/>
  <c r="M1277" i="34"/>
  <c r="L1277" i="34"/>
  <c r="K1277" i="34"/>
  <c r="J1277" i="34"/>
  <c r="I1277" i="34"/>
  <c r="AI1276" i="34"/>
  <c r="AH1276" i="34"/>
  <c r="AG1276" i="34"/>
  <c r="AF1276" i="34"/>
  <c r="AE1276" i="34"/>
  <c r="AD1276" i="34"/>
  <c r="AC1276" i="34"/>
  <c r="AB1276" i="34"/>
  <c r="AA1276" i="34"/>
  <c r="Z1276" i="34"/>
  <c r="Y1276" i="34"/>
  <c r="X1276" i="34"/>
  <c r="W1276" i="34"/>
  <c r="V1276" i="34"/>
  <c r="U1276" i="34"/>
  <c r="T1276" i="34"/>
  <c r="S1276" i="34"/>
  <c r="R1276" i="34"/>
  <c r="Q1276" i="34"/>
  <c r="P1276" i="34"/>
  <c r="O1276" i="34"/>
  <c r="N1276" i="34"/>
  <c r="M1276" i="34"/>
  <c r="L1276" i="34"/>
  <c r="K1276" i="34"/>
  <c r="J1276" i="34"/>
  <c r="I1276" i="34"/>
  <c r="BD1275" i="34"/>
  <c r="BC1275" i="34"/>
  <c r="AZ1275" i="34"/>
  <c r="AY1275" i="34"/>
  <c r="AX1275" i="34"/>
  <c r="AW1275" i="34"/>
  <c r="AV1275" i="34"/>
  <c r="AU1275" i="34"/>
  <c r="AT1275" i="34"/>
  <c r="AS1275" i="34"/>
  <c r="AR1275" i="34"/>
  <c r="AQ1275" i="34"/>
  <c r="AP1275" i="34"/>
  <c r="AO1275" i="34"/>
  <c r="AN1275" i="34"/>
  <c r="AM1275" i="34"/>
  <c r="AL1275" i="34"/>
  <c r="AK1275" i="34"/>
  <c r="AJ1275" i="34"/>
  <c r="AI1275" i="34"/>
  <c r="AH1275" i="34"/>
  <c r="AG1275" i="34"/>
  <c r="AF1275" i="34"/>
  <c r="AE1275" i="34"/>
  <c r="AD1275" i="34"/>
  <c r="AC1275" i="34"/>
  <c r="AB1275" i="34"/>
  <c r="AA1275" i="34"/>
  <c r="Z1275" i="34"/>
  <c r="Y1275" i="34"/>
  <c r="X1275" i="34"/>
  <c r="W1275" i="34"/>
  <c r="V1275" i="34"/>
  <c r="U1275" i="34"/>
  <c r="T1275" i="34"/>
  <c r="S1275" i="34"/>
  <c r="R1275" i="34"/>
  <c r="Q1275" i="34"/>
  <c r="P1275" i="34"/>
  <c r="O1275" i="34"/>
  <c r="N1275" i="34"/>
  <c r="M1275" i="34"/>
  <c r="L1275" i="34"/>
  <c r="K1275" i="34"/>
  <c r="J1275" i="34"/>
  <c r="I1275" i="34"/>
  <c r="BD1274" i="34"/>
  <c r="BC1274" i="34"/>
  <c r="AZ1274" i="34"/>
  <c r="AY1274" i="34"/>
  <c r="AX1274" i="34"/>
  <c r="AW1274" i="34"/>
  <c r="AV1274" i="34"/>
  <c r="AU1274" i="34"/>
  <c r="AT1274" i="34"/>
  <c r="AS1274" i="34"/>
  <c r="AR1274" i="34"/>
  <c r="AQ1274" i="34"/>
  <c r="AP1274" i="34"/>
  <c r="AO1274" i="34"/>
  <c r="AN1274" i="34"/>
  <c r="AM1274" i="34"/>
  <c r="AL1274" i="34"/>
  <c r="AK1274" i="34"/>
  <c r="AJ1274" i="34"/>
  <c r="AI1274" i="34"/>
  <c r="AH1274" i="34"/>
  <c r="AG1274" i="34"/>
  <c r="AF1274" i="34"/>
  <c r="AE1274" i="34"/>
  <c r="AD1274" i="34"/>
  <c r="AC1274" i="34"/>
  <c r="AB1274" i="34"/>
  <c r="AA1274" i="34"/>
  <c r="Z1274" i="34"/>
  <c r="Y1274" i="34"/>
  <c r="X1274" i="34"/>
  <c r="W1274" i="34"/>
  <c r="V1274" i="34"/>
  <c r="U1274" i="34"/>
  <c r="T1274" i="34"/>
  <c r="S1274" i="34"/>
  <c r="R1274" i="34"/>
  <c r="Q1274" i="34"/>
  <c r="P1274" i="34"/>
  <c r="O1274" i="34"/>
  <c r="N1274" i="34"/>
  <c r="M1274" i="34"/>
  <c r="L1274" i="34"/>
  <c r="K1274" i="34"/>
  <c r="J1274" i="34"/>
  <c r="I1274" i="34"/>
  <c r="BD1273" i="34"/>
  <c r="BC1273" i="34"/>
  <c r="AZ1273" i="34"/>
  <c r="AY1273" i="34"/>
  <c r="AX1273" i="34"/>
  <c r="AW1273" i="34"/>
  <c r="AV1273" i="34"/>
  <c r="AU1273" i="34"/>
  <c r="AT1273" i="34"/>
  <c r="AS1273" i="34"/>
  <c r="AR1273" i="34"/>
  <c r="AQ1273" i="34"/>
  <c r="AP1273" i="34"/>
  <c r="AO1273" i="34"/>
  <c r="AN1273" i="34"/>
  <c r="AM1273" i="34"/>
  <c r="AL1273" i="34"/>
  <c r="AK1273" i="34"/>
  <c r="AJ1273" i="34"/>
  <c r="AI1273" i="34"/>
  <c r="AH1273" i="34"/>
  <c r="AG1273" i="34"/>
  <c r="AF1273" i="34"/>
  <c r="AE1273" i="34"/>
  <c r="AD1273" i="34"/>
  <c r="AC1273" i="34"/>
  <c r="AB1273" i="34"/>
  <c r="AA1273" i="34"/>
  <c r="Z1273" i="34"/>
  <c r="Y1273" i="34"/>
  <c r="X1273" i="34"/>
  <c r="W1273" i="34"/>
  <c r="V1273" i="34"/>
  <c r="U1273" i="34"/>
  <c r="T1273" i="34"/>
  <c r="S1273" i="34"/>
  <c r="R1273" i="34"/>
  <c r="Q1273" i="34"/>
  <c r="P1273" i="34"/>
  <c r="O1273" i="34"/>
  <c r="N1273" i="34"/>
  <c r="M1273" i="34"/>
  <c r="L1273" i="34"/>
  <c r="K1273" i="34"/>
  <c r="J1273" i="34"/>
  <c r="I1273" i="34"/>
  <c r="BD1272" i="34"/>
  <c r="BC1272" i="34"/>
  <c r="AZ1272" i="34"/>
  <c r="AY1272" i="34"/>
  <c r="AX1272" i="34"/>
  <c r="AW1272" i="34"/>
  <c r="AV1272" i="34"/>
  <c r="AU1272" i="34"/>
  <c r="AT1272" i="34"/>
  <c r="AS1272" i="34"/>
  <c r="AR1272" i="34"/>
  <c r="AQ1272" i="34"/>
  <c r="AP1272" i="34"/>
  <c r="AO1272" i="34"/>
  <c r="AN1272" i="34"/>
  <c r="AM1272" i="34"/>
  <c r="AL1272" i="34"/>
  <c r="AK1272" i="34"/>
  <c r="AJ1272" i="34"/>
  <c r="AI1272" i="34"/>
  <c r="AH1272" i="34"/>
  <c r="AG1272" i="34"/>
  <c r="AF1272" i="34"/>
  <c r="AE1272" i="34"/>
  <c r="AD1272" i="34"/>
  <c r="AC1272" i="34"/>
  <c r="AB1272" i="34"/>
  <c r="AA1272" i="34"/>
  <c r="Z1272" i="34"/>
  <c r="Y1272" i="34"/>
  <c r="X1272" i="34"/>
  <c r="W1272" i="34"/>
  <c r="V1272" i="34"/>
  <c r="U1272" i="34"/>
  <c r="T1272" i="34"/>
  <c r="S1272" i="34"/>
  <c r="R1272" i="34"/>
  <c r="Q1272" i="34"/>
  <c r="P1272" i="34"/>
  <c r="O1272" i="34"/>
  <c r="N1272" i="34"/>
  <c r="M1272" i="34"/>
  <c r="L1272" i="34"/>
  <c r="K1272" i="34"/>
  <c r="J1272" i="34"/>
  <c r="I1272" i="34"/>
  <c r="L1271" i="34"/>
  <c r="K1271" i="34"/>
  <c r="J1271" i="34"/>
  <c r="I1271" i="34"/>
  <c r="L1270" i="34"/>
  <c r="K1270" i="34"/>
  <c r="J1270" i="34"/>
  <c r="I1270" i="34"/>
  <c r="BD1269" i="34"/>
  <c r="BC1269" i="34"/>
  <c r="AZ1269" i="34"/>
  <c r="AY1269" i="34"/>
  <c r="AX1269" i="34"/>
  <c r="AW1269" i="34"/>
  <c r="AV1269" i="34"/>
  <c r="AU1269" i="34"/>
  <c r="AT1269" i="34"/>
  <c r="AS1269" i="34"/>
  <c r="AR1269" i="34"/>
  <c r="AQ1269" i="34"/>
  <c r="AP1269" i="34"/>
  <c r="AO1269" i="34"/>
  <c r="AN1269" i="34"/>
  <c r="AM1269" i="34"/>
  <c r="AL1269" i="34"/>
  <c r="AK1269" i="34"/>
  <c r="AJ1269" i="34"/>
  <c r="AI1269" i="34"/>
  <c r="AH1269" i="34"/>
  <c r="AG1269" i="34"/>
  <c r="AF1269" i="34"/>
  <c r="AE1269" i="34"/>
  <c r="AD1269" i="34"/>
  <c r="AC1269" i="34"/>
  <c r="AB1269" i="34"/>
  <c r="AA1269" i="34"/>
  <c r="Z1269" i="34"/>
  <c r="Y1269" i="34"/>
  <c r="X1269" i="34"/>
  <c r="W1269" i="34"/>
  <c r="V1269" i="34"/>
  <c r="U1269" i="34"/>
  <c r="T1269" i="34"/>
  <c r="S1269" i="34"/>
  <c r="R1269" i="34"/>
  <c r="Q1269" i="34"/>
  <c r="P1269" i="34"/>
  <c r="O1269" i="34"/>
  <c r="N1269" i="34"/>
  <c r="M1269" i="34"/>
  <c r="L1269" i="34"/>
  <c r="K1269" i="34"/>
  <c r="J1269" i="34"/>
  <c r="I1269" i="34"/>
  <c r="L1268" i="34"/>
  <c r="K1268" i="34"/>
  <c r="J1268" i="34"/>
  <c r="I1268" i="34"/>
  <c r="BD1267" i="34"/>
  <c r="BC1267" i="34"/>
  <c r="AZ1267" i="34"/>
  <c r="AY1267" i="34"/>
  <c r="AX1267" i="34"/>
  <c r="AW1267" i="34"/>
  <c r="AV1267" i="34"/>
  <c r="AU1267" i="34"/>
  <c r="AT1267" i="34"/>
  <c r="AS1267" i="34"/>
  <c r="AR1267" i="34"/>
  <c r="AQ1267" i="34"/>
  <c r="AP1267" i="34"/>
  <c r="AO1267" i="34"/>
  <c r="AN1267" i="34"/>
  <c r="AM1267" i="34"/>
  <c r="AL1267" i="34"/>
  <c r="AK1267" i="34"/>
  <c r="AJ1267" i="34"/>
  <c r="AI1267" i="34"/>
  <c r="AH1267" i="34"/>
  <c r="AG1267" i="34"/>
  <c r="AF1267" i="34"/>
  <c r="AE1267" i="34"/>
  <c r="AD1267" i="34"/>
  <c r="AC1267" i="34"/>
  <c r="AB1267" i="34"/>
  <c r="AA1267" i="34"/>
  <c r="Z1267" i="34"/>
  <c r="Y1267" i="34"/>
  <c r="X1267" i="34"/>
  <c r="W1267" i="34"/>
  <c r="V1267" i="34"/>
  <c r="U1267" i="34"/>
  <c r="T1267" i="34"/>
  <c r="S1267" i="34"/>
  <c r="R1267" i="34"/>
  <c r="Q1267" i="34"/>
  <c r="P1267" i="34"/>
  <c r="O1267" i="34"/>
  <c r="N1267" i="34"/>
  <c r="M1267" i="34"/>
  <c r="L1267" i="34"/>
  <c r="K1267" i="34"/>
  <c r="J1267" i="34"/>
  <c r="I1267" i="34"/>
  <c r="L1266" i="34"/>
  <c r="K1266" i="34"/>
  <c r="J1266" i="34"/>
  <c r="I1266" i="34"/>
  <c r="BD1265" i="34"/>
  <c r="BC1265" i="34"/>
  <c r="AZ1265" i="34"/>
  <c r="AY1265" i="34"/>
  <c r="AX1265" i="34"/>
  <c r="AW1265" i="34"/>
  <c r="AV1265" i="34"/>
  <c r="AU1265" i="34"/>
  <c r="AT1265" i="34"/>
  <c r="AS1265" i="34"/>
  <c r="AR1265" i="34"/>
  <c r="AQ1265" i="34"/>
  <c r="AP1265" i="34"/>
  <c r="AO1265" i="34"/>
  <c r="AN1265" i="34"/>
  <c r="AM1265" i="34"/>
  <c r="AL1265" i="34"/>
  <c r="AK1265" i="34"/>
  <c r="AJ1265" i="34"/>
  <c r="AI1265" i="34"/>
  <c r="AH1265" i="34"/>
  <c r="AG1265" i="34"/>
  <c r="AF1265" i="34"/>
  <c r="AE1265" i="34"/>
  <c r="AD1265" i="34"/>
  <c r="AC1265" i="34"/>
  <c r="AB1265" i="34"/>
  <c r="AA1265" i="34"/>
  <c r="Z1265" i="34"/>
  <c r="Y1265" i="34"/>
  <c r="X1265" i="34"/>
  <c r="W1265" i="34"/>
  <c r="V1265" i="34"/>
  <c r="U1265" i="34"/>
  <c r="T1265" i="34"/>
  <c r="S1265" i="34"/>
  <c r="R1265" i="34"/>
  <c r="Q1265" i="34"/>
  <c r="P1265" i="34"/>
  <c r="O1265" i="34"/>
  <c r="N1265" i="34"/>
  <c r="M1265" i="34"/>
  <c r="L1265" i="34"/>
  <c r="K1265" i="34"/>
  <c r="J1265" i="34"/>
  <c r="I1265" i="34"/>
  <c r="L1264" i="34"/>
  <c r="K1264" i="34"/>
  <c r="J1264" i="34"/>
  <c r="I1264" i="34"/>
  <c r="BD1263" i="34"/>
  <c r="BC1263" i="34"/>
  <c r="AZ1263" i="34"/>
  <c r="AY1263" i="34"/>
  <c r="AX1263" i="34"/>
  <c r="AW1263" i="34"/>
  <c r="AV1263" i="34"/>
  <c r="AU1263" i="34"/>
  <c r="AT1263" i="34"/>
  <c r="AS1263" i="34"/>
  <c r="AR1263" i="34"/>
  <c r="AQ1263" i="34"/>
  <c r="AP1263" i="34"/>
  <c r="AO1263" i="34"/>
  <c r="AN1263" i="34"/>
  <c r="AM1263" i="34"/>
  <c r="AL1263" i="34"/>
  <c r="AK1263" i="34"/>
  <c r="AJ1263" i="34"/>
  <c r="AI1263" i="34"/>
  <c r="AH1263" i="34"/>
  <c r="AG1263" i="34"/>
  <c r="AF1263" i="34"/>
  <c r="AE1263" i="34"/>
  <c r="AD1263" i="34"/>
  <c r="AC1263" i="34"/>
  <c r="AB1263" i="34"/>
  <c r="AA1263" i="34"/>
  <c r="Z1263" i="34"/>
  <c r="Y1263" i="34"/>
  <c r="X1263" i="34"/>
  <c r="W1263" i="34"/>
  <c r="V1263" i="34"/>
  <c r="U1263" i="34"/>
  <c r="T1263" i="34"/>
  <c r="S1263" i="34"/>
  <c r="R1263" i="34"/>
  <c r="Q1263" i="34"/>
  <c r="P1263" i="34"/>
  <c r="O1263" i="34"/>
  <c r="N1263" i="34"/>
  <c r="M1263" i="34"/>
  <c r="L1263" i="34"/>
  <c r="K1263" i="34"/>
  <c r="J1263" i="34"/>
  <c r="I1263" i="34"/>
  <c r="BD1262" i="34"/>
  <c r="BC1262" i="34"/>
  <c r="AZ1262" i="34"/>
  <c r="AY1262" i="34"/>
  <c r="AX1262" i="34"/>
  <c r="AW1262" i="34"/>
  <c r="AV1262" i="34"/>
  <c r="AU1262" i="34"/>
  <c r="AT1262" i="34"/>
  <c r="AS1262" i="34"/>
  <c r="AJ1262" i="34"/>
  <c r="AI1262" i="34"/>
  <c r="AH1262" i="34"/>
  <c r="AG1262" i="34"/>
  <c r="AF1262" i="34"/>
  <c r="AE1262" i="34"/>
  <c r="AD1262" i="34"/>
  <c r="AC1262" i="34"/>
  <c r="AB1262" i="34"/>
  <c r="AA1262" i="34"/>
  <c r="Z1262" i="34"/>
  <c r="Y1262" i="34"/>
  <c r="X1262" i="34"/>
  <c r="W1262" i="34"/>
  <c r="V1262" i="34"/>
  <c r="U1262" i="34"/>
  <c r="T1262" i="34"/>
  <c r="S1262" i="34"/>
  <c r="R1262" i="34"/>
  <c r="Q1262" i="34"/>
  <c r="P1262" i="34"/>
  <c r="O1262" i="34"/>
  <c r="N1262" i="34"/>
  <c r="M1262" i="34"/>
  <c r="L1262" i="34"/>
  <c r="K1262" i="34"/>
  <c r="J1262" i="34"/>
  <c r="I1262" i="34"/>
  <c r="BD1261" i="34"/>
  <c r="BC1261" i="34"/>
  <c r="AZ1261" i="34"/>
  <c r="AY1261" i="34"/>
  <c r="AX1261" i="34"/>
  <c r="AW1261" i="34"/>
  <c r="AV1261" i="34"/>
  <c r="AU1261" i="34"/>
  <c r="AT1261" i="34"/>
  <c r="AS1261" i="34"/>
  <c r="AR1261" i="34"/>
  <c r="AQ1261" i="34"/>
  <c r="AP1261" i="34"/>
  <c r="AO1261" i="34"/>
  <c r="AN1261" i="34"/>
  <c r="AM1261" i="34"/>
  <c r="AL1261" i="34"/>
  <c r="AK1261" i="34"/>
  <c r="AJ1261" i="34"/>
  <c r="AI1261" i="34"/>
  <c r="AH1261" i="34"/>
  <c r="AG1261" i="34"/>
  <c r="AF1261" i="34"/>
  <c r="AE1261" i="34"/>
  <c r="AD1261" i="34"/>
  <c r="AC1261" i="34"/>
  <c r="AB1261" i="34"/>
  <c r="AA1261" i="34"/>
  <c r="Z1261" i="34"/>
  <c r="Y1261" i="34"/>
  <c r="X1261" i="34"/>
  <c r="W1261" i="34"/>
  <c r="V1261" i="34"/>
  <c r="U1261" i="34"/>
  <c r="T1261" i="34"/>
  <c r="S1261" i="34"/>
  <c r="R1261" i="34"/>
  <c r="Q1261" i="34"/>
  <c r="P1261" i="34"/>
  <c r="O1261" i="34"/>
  <c r="N1261" i="34"/>
  <c r="M1261" i="34"/>
  <c r="L1261" i="34"/>
  <c r="K1261" i="34"/>
  <c r="J1261" i="34"/>
  <c r="I1261" i="34"/>
  <c r="L1260" i="34"/>
  <c r="K1260" i="34"/>
  <c r="J1260" i="34"/>
  <c r="I1260" i="34"/>
  <c r="AI1259" i="34"/>
  <c r="AH1259" i="34"/>
  <c r="AG1259" i="34"/>
  <c r="AF1259" i="34"/>
  <c r="AE1259" i="34"/>
  <c r="AD1259" i="34"/>
  <c r="AC1259" i="34"/>
  <c r="AB1259" i="34"/>
  <c r="AA1259" i="34"/>
  <c r="Z1259" i="34"/>
  <c r="Y1259" i="34"/>
  <c r="X1259" i="34"/>
  <c r="W1259" i="34"/>
  <c r="V1259" i="34"/>
  <c r="U1259" i="34"/>
  <c r="T1259" i="34"/>
  <c r="S1259" i="34"/>
  <c r="R1259" i="34"/>
  <c r="Q1259" i="34"/>
  <c r="P1259" i="34"/>
  <c r="O1259" i="34"/>
  <c r="N1259" i="34"/>
  <c r="M1259" i="34"/>
  <c r="L1259" i="34"/>
  <c r="K1259" i="34"/>
  <c r="J1259" i="34"/>
  <c r="I1259" i="34"/>
  <c r="BD1258" i="34"/>
  <c r="BC1258" i="34"/>
  <c r="AZ1258" i="34"/>
  <c r="AY1258" i="34"/>
  <c r="AX1258" i="34"/>
  <c r="AW1258" i="34"/>
  <c r="AV1258" i="34"/>
  <c r="AU1258" i="34"/>
  <c r="AT1258" i="34"/>
  <c r="AS1258" i="34"/>
  <c r="AR1258" i="34"/>
  <c r="AQ1258" i="34"/>
  <c r="AP1258" i="34"/>
  <c r="AO1258" i="34"/>
  <c r="AN1258" i="34"/>
  <c r="AM1258" i="34"/>
  <c r="AL1258" i="34"/>
  <c r="AK1258" i="34"/>
  <c r="AJ1258" i="34"/>
  <c r="AI1258" i="34"/>
  <c r="AH1258" i="34"/>
  <c r="AG1258" i="34"/>
  <c r="AF1258" i="34"/>
  <c r="AE1258" i="34"/>
  <c r="AD1258" i="34"/>
  <c r="AC1258" i="34"/>
  <c r="AB1258" i="34"/>
  <c r="AA1258" i="34"/>
  <c r="Z1258" i="34"/>
  <c r="Y1258" i="34"/>
  <c r="X1258" i="34"/>
  <c r="W1258" i="34"/>
  <c r="V1258" i="34"/>
  <c r="U1258" i="34"/>
  <c r="T1258" i="34"/>
  <c r="S1258" i="34"/>
  <c r="R1258" i="34"/>
  <c r="Q1258" i="34"/>
  <c r="P1258" i="34"/>
  <c r="O1258" i="34"/>
  <c r="N1258" i="34"/>
  <c r="M1258" i="34"/>
  <c r="L1258" i="34"/>
  <c r="K1258" i="34"/>
  <c r="J1258" i="34"/>
  <c r="I1258" i="34"/>
  <c r="L1257" i="34"/>
  <c r="K1257" i="34"/>
  <c r="J1257" i="34"/>
  <c r="I1257" i="34"/>
  <c r="BD1256" i="34"/>
  <c r="BC1256" i="34"/>
  <c r="AZ1256" i="34"/>
  <c r="AY1256" i="34"/>
  <c r="AX1256" i="34"/>
  <c r="AW1256" i="34"/>
  <c r="AV1256" i="34"/>
  <c r="AU1256" i="34"/>
  <c r="AT1256" i="34"/>
  <c r="AS1256" i="34"/>
  <c r="AR1256" i="34"/>
  <c r="AQ1256" i="34"/>
  <c r="AP1256" i="34"/>
  <c r="AO1256" i="34"/>
  <c r="AN1256" i="34"/>
  <c r="AM1256" i="34"/>
  <c r="AL1256" i="34"/>
  <c r="AK1256" i="34"/>
  <c r="AJ1256" i="34"/>
  <c r="AI1256" i="34"/>
  <c r="AH1256" i="34"/>
  <c r="AG1256" i="34"/>
  <c r="AF1256" i="34"/>
  <c r="AE1256" i="34"/>
  <c r="AD1256" i="34"/>
  <c r="AC1256" i="34"/>
  <c r="AB1256" i="34"/>
  <c r="AA1256" i="34"/>
  <c r="Z1256" i="34"/>
  <c r="Y1256" i="34"/>
  <c r="X1256" i="34"/>
  <c r="W1256" i="34"/>
  <c r="V1256" i="34"/>
  <c r="U1256" i="34"/>
  <c r="T1256" i="34"/>
  <c r="S1256" i="34"/>
  <c r="R1256" i="34"/>
  <c r="Q1256" i="34"/>
  <c r="P1256" i="34"/>
  <c r="O1256" i="34"/>
  <c r="N1256" i="34"/>
  <c r="M1256" i="34"/>
  <c r="L1256" i="34"/>
  <c r="K1256" i="34"/>
  <c r="J1256" i="34"/>
  <c r="I1256" i="34"/>
  <c r="L1255" i="34"/>
  <c r="K1255" i="34"/>
  <c r="J1255" i="34"/>
  <c r="I1255" i="34"/>
  <c r="BD1254" i="34"/>
  <c r="BC1254" i="34"/>
  <c r="AZ1254" i="34"/>
  <c r="AY1254" i="34"/>
  <c r="AX1254" i="34"/>
  <c r="AW1254" i="34"/>
  <c r="AV1254" i="34"/>
  <c r="AU1254" i="34"/>
  <c r="AT1254" i="34"/>
  <c r="AS1254" i="34"/>
  <c r="AR1254" i="34"/>
  <c r="AQ1254" i="34"/>
  <c r="AP1254" i="34"/>
  <c r="AO1254" i="34"/>
  <c r="AN1254" i="34"/>
  <c r="AM1254" i="34"/>
  <c r="AL1254" i="34"/>
  <c r="AK1254" i="34"/>
  <c r="AJ1254" i="34"/>
  <c r="AI1254" i="34"/>
  <c r="AH1254" i="34"/>
  <c r="AG1254" i="34"/>
  <c r="AF1254" i="34"/>
  <c r="AE1254" i="34"/>
  <c r="AD1254" i="34"/>
  <c r="AC1254" i="34"/>
  <c r="AB1254" i="34"/>
  <c r="AA1254" i="34"/>
  <c r="Z1254" i="34"/>
  <c r="Y1254" i="34"/>
  <c r="X1254" i="34"/>
  <c r="W1254" i="34"/>
  <c r="V1254" i="34"/>
  <c r="U1254" i="34"/>
  <c r="T1254" i="34"/>
  <c r="S1254" i="34"/>
  <c r="R1254" i="34"/>
  <c r="Q1254" i="34"/>
  <c r="P1254" i="34"/>
  <c r="O1254" i="34"/>
  <c r="N1254" i="34"/>
  <c r="M1254" i="34"/>
  <c r="L1254" i="34"/>
  <c r="K1254" i="34"/>
  <c r="J1254" i="34"/>
  <c r="I1254" i="34"/>
  <c r="L1253" i="34"/>
  <c r="K1253" i="34"/>
  <c r="J1253" i="34"/>
  <c r="I1253" i="34"/>
  <c r="BD1252" i="34"/>
  <c r="BC1252" i="34"/>
  <c r="AZ1252" i="34"/>
  <c r="AY1252" i="34"/>
  <c r="AX1252" i="34"/>
  <c r="AW1252" i="34"/>
  <c r="AV1252" i="34"/>
  <c r="AU1252" i="34"/>
  <c r="AT1252" i="34"/>
  <c r="AS1252" i="34"/>
  <c r="AR1252" i="34"/>
  <c r="AQ1252" i="34"/>
  <c r="AP1252" i="34"/>
  <c r="AO1252" i="34"/>
  <c r="AN1252" i="34"/>
  <c r="AM1252" i="34"/>
  <c r="AL1252" i="34"/>
  <c r="AK1252" i="34"/>
  <c r="AJ1252" i="34"/>
  <c r="AI1252" i="34"/>
  <c r="AH1252" i="34"/>
  <c r="AG1252" i="34"/>
  <c r="AF1252" i="34"/>
  <c r="AE1252" i="34"/>
  <c r="AD1252" i="34"/>
  <c r="AC1252" i="34"/>
  <c r="AB1252" i="34"/>
  <c r="AA1252" i="34"/>
  <c r="Z1252" i="34"/>
  <c r="Y1252" i="34"/>
  <c r="X1252" i="34"/>
  <c r="W1252" i="34"/>
  <c r="V1252" i="34"/>
  <c r="U1252" i="34"/>
  <c r="T1252" i="34"/>
  <c r="S1252" i="34"/>
  <c r="R1252" i="34"/>
  <c r="Q1252" i="34"/>
  <c r="P1252" i="34"/>
  <c r="O1252" i="34"/>
  <c r="N1252" i="34"/>
  <c r="M1252" i="34"/>
  <c r="L1252" i="34"/>
  <c r="K1252" i="34"/>
  <c r="J1252" i="34"/>
  <c r="I1252" i="34"/>
  <c r="AI1251" i="34"/>
  <c r="AH1251" i="34"/>
  <c r="AG1251" i="34"/>
  <c r="AF1251" i="34"/>
  <c r="AE1251" i="34"/>
  <c r="AD1251" i="34"/>
  <c r="AC1251" i="34"/>
  <c r="AB1251" i="34"/>
  <c r="AA1251" i="34"/>
  <c r="Z1251" i="34"/>
  <c r="Y1251" i="34"/>
  <c r="X1251" i="34"/>
  <c r="W1251" i="34"/>
  <c r="V1251" i="34"/>
  <c r="U1251" i="34"/>
  <c r="T1251" i="34"/>
  <c r="S1251" i="34"/>
  <c r="R1251" i="34"/>
  <c r="Q1251" i="34"/>
  <c r="P1251" i="34"/>
  <c r="O1251" i="34"/>
  <c r="N1251" i="34"/>
  <c r="M1251" i="34"/>
  <c r="L1251" i="34"/>
  <c r="K1251" i="34"/>
  <c r="J1251" i="34"/>
  <c r="I1251" i="34"/>
  <c r="BD1250" i="34"/>
  <c r="BC1250" i="34"/>
  <c r="AZ1250" i="34"/>
  <c r="AY1250" i="34"/>
  <c r="AX1250" i="34"/>
  <c r="AW1250" i="34"/>
  <c r="AV1250" i="34"/>
  <c r="AU1250" i="34"/>
  <c r="AT1250" i="34"/>
  <c r="AS1250" i="34"/>
  <c r="AR1250" i="34"/>
  <c r="AQ1250" i="34"/>
  <c r="AP1250" i="34"/>
  <c r="AO1250" i="34"/>
  <c r="AN1250" i="34"/>
  <c r="AM1250" i="34"/>
  <c r="AL1250" i="34"/>
  <c r="AK1250" i="34"/>
  <c r="AJ1250" i="34"/>
  <c r="AI1250" i="34"/>
  <c r="AH1250" i="34"/>
  <c r="AG1250" i="34"/>
  <c r="AF1250" i="34"/>
  <c r="AE1250" i="34"/>
  <c r="AD1250" i="34"/>
  <c r="AC1250" i="34"/>
  <c r="AB1250" i="34"/>
  <c r="AA1250" i="34"/>
  <c r="Z1250" i="34"/>
  <c r="Y1250" i="34"/>
  <c r="X1250" i="34"/>
  <c r="W1250" i="34"/>
  <c r="V1250" i="34"/>
  <c r="U1250" i="34"/>
  <c r="T1250" i="34"/>
  <c r="S1250" i="34"/>
  <c r="R1250" i="34"/>
  <c r="Q1250" i="34"/>
  <c r="P1250" i="34"/>
  <c r="O1250" i="34"/>
  <c r="N1250" i="34"/>
  <c r="M1250" i="34"/>
  <c r="L1250" i="34"/>
  <c r="K1250" i="34"/>
  <c r="J1250" i="34"/>
  <c r="I1250" i="34"/>
  <c r="L1249" i="34"/>
  <c r="K1249" i="34"/>
  <c r="J1249" i="34"/>
  <c r="I1249" i="34"/>
  <c r="BD1248" i="34"/>
  <c r="BC1248" i="34"/>
  <c r="AZ1248" i="34"/>
  <c r="AY1248" i="34"/>
  <c r="AX1248" i="34"/>
  <c r="AW1248" i="34"/>
  <c r="AV1248" i="34"/>
  <c r="AU1248" i="34"/>
  <c r="AT1248" i="34"/>
  <c r="AS1248" i="34"/>
  <c r="AR1248" i="34"/>
  <c r="AQ1248" i="34"/>
  <c r="AP1248" i="34"/>
  <c r="AO1248" i="34"/>
  <c r="AN1248" i="34"/>
  <c r="AM1248" i="34"/>
  <c r="AL1248" i="34"/>
  <c r="AK1248" i="34"/>
  <c r="AJ1248" i="34"/>
  <c r="AI1248" i="34"/>
  <c r="AH1248" i="34"/>
  <c r="AG1248" i="34"/>
  <c r="AF1248" i="34"/>
  <c r="AE1248" i="34"/>
  <c r="AD1248" i="34"/>
  <c r="AC1248" i="34"/>
  <c r="AB1248" i="34"/>
  <c r="AA1248" i="34"/>
  <c r="Z1248" i="34"/>
  <c r="Y1248" i="34"/>
  <c r="X1248" i="34"/>
  <c r="W1248" i="34"/>
  <c r="V1248" i="34"/>
  <c r="U1248" i="34"/>
  <c r="T1248" i="34"/>
  <c r="S1248" i="34"/>
  <c r="R1248" i="34"/>
  <c r="Q1248" i="34"/>
  <c r="P1248" i="34"/>
  <c r="O1248" i="34"/>
  <c r="N1248" i="34"/>
  <c r="M1248" i="34"/>
  <c r="L1248" i="34"/>
  <c r="K1248" i="34"/>
  <c r="J1248" i="34"/>
  <c r="I1248" i="34"/>
  <c r="BD1247" i="34"/>
  <c r="BC1247" i="34"/>
  <c r="AZ1247" i="34"/>
  <c r="AY1247" i="34"/>
  <c r="AX1247" i="34"/>
  <c r="AW1247" i="34"/>
  <c r="AV1247" i="34"/>
  <c r="AU1247" i="34"/>
  <c r="AT1247" i="34"/>
  <c r="AS1247" i="34"/>
  <c r="AR1247" i="34"/>
  <c r="AQ1247" i="34"/>
  <c r="AP1247" i="34"/>
  <c r="AO1247" i="34"/>
  <c r="AN1247" i="34"/>
  <c r="AM1247" i="34"/>
  <c r="AL1247" i="34"/>
  <c r="AK1247" i="34"/>
  <c r="AJ1247" i="34"/>
  <c r="AI1247" i="34"/>
  <c r="AH1247" i="34"/>
  <c r="AG1247" i="34"/>
  <c r="AF1247" i="34"/>
  <c r="AE1247" i="34"/>
  <c r="AD1247" i="34"/>
  <c r="AC1247" i="34"/>
  <c r="AB1247" i="34"/>
  <c r="AA1247" i="34"/>
  <c r="Z1247" i="34"/>
  <c r="Y1247" i="34"/>
  <c r="X1247" i="34"/>
  <c r="W1247" i="34"/>
  <c r="V1247" i="34"/>
  <c r="U1247" i="34"/>
  <c r="T1247" i="34"/>
  <c r="S1247" i="34"/>
  <c r="R1247" i="34"/>
  <c r="Q1247" i="34"/>
  <c r="P1247" i="34"/>
  <c r="O1247" i="34"/>
  <c r="N1247" i="34"/>
  <c r="M1247" i="34"/>
  <c r="L1247" i="34"/>
  <c r="K1247" i="34"/>
  <c r="J1247" i="34"/>
  <c r="I1247" i="34"/>
  <c r="P1246" i="34"/>
  <c r="O1246" i="34"/>
  <c r="N1246" i="34"/>
  <c r="M1246" i="34"/>
  <c r="L1246" i="34"/>
  <c r="K1246" i="34"/>
  <c r="J1246" i="34"/>
  <c r="I1246" i="34"/>
  <c r="P1245" i="34"/>
  <c r="O1245" i="34"/>
  <c r="N1245" i="34"/>
  <c r="M1245" i="34"/>
  <c r="L1245" i="34"/>
  <c r="K1245" i="34"/>
  <c r="J1245" i="34"/>
  <c r="I1245" i="34"/>
  <c r="L1244" i="34"/>
  <c r="K1244" i="34"/>
  <c r="J1244" i="34"/>
  <c r="I1244" i="34"/>
  <c r="P1243" i="34"/>
  <c r="O1243" i="34"/>
  <c r="N1243" i="34"/>
  <c r="M1243" i="34"/>
  <c r="L1243" i="34"/>
  <c r="K1243" i="34"/>
  <c r="J1243" i="34"/>
  <c r="I1243" i="34"/>
  <c r="L1242" i="34"/>
  <c r="K1242" i="34"/>
  <c r="J1242" i="34"/>
  <c r="I1242" i="34"/>
  <c r="BD1241" i="34"/>
  <c r="BC1241" i="34"/>
  <c r="AZ1241" i="34"/>
  <c r="AY1241" i="34"/>
  <c r="AX1241" i="34"/>
  <c r="AW1241" i="34"/>
  <c r="AV1241" i="34"/>
  <c r="AU1241" i="34"/>
  <c r="AT1241" i="34"/>
  <c r="AS1241" i="34"/>
  <c r="AR1241" i="34"/>
  <c r="AQ1241" i="34"/>
  <c r="AP1241" i="34"/>
  <c r="AO1241" i="34"/>
  <c r="AN1241" i="34"/>
  <c r="AM1241" i="34"/>
  <c r="AL1241" i="34"/>
  <c r="AK1241" i="34"/>
  <c r="AJ1241" i="34"/>
  <c r="AI1241" i="34"/>
  <c r="AH1241" i="34"/>
  <c r="AG1241" i="34"/>
  <c r="AF1241" i="34"/>
  <c r="AE1241" i="34"/>
  <c r="AD1241" i="34"/>
  <c r="AC1241" i="34"/>
  <c r="AB1241" i="34"/>
  <c r="AA1241" i="34"/>
  <c r="Z1241" i="34"/>
  <c r="Y1241" i="34"/>
  <c r="X1241" i="34"/>
  <c r="W1241" i="34"/>
  <c r="V1241" i="34"/>
  <c r="U1241" i="34"/>
  <c r="T1241" i="34"/>
  <c r="S1241" i="34"/>
  <c r="R1241" i="34"/>
  <c r="Q1241" i="34"/>
  <c r="P1241" i="34"/>
  <c r="O1241" i="34"/>
  <c r="N1241" i="34"/>
  <c r="M1241" i="34"/>
  <c r="L1241" i="34"/>
  <c r="K1241" i="34"/>
  <c r="J1241" i="34"/>
  <c r="I1241" i="34"/>
  <c r="L1240" i="34"/>
  <c r="K1240" i="34"/>
  <c r="J1240" i="34"/>
  <c r="I1240" i="34"/>
  <c r="L1239" i="34"/>
  <c r="K1239" i="34"/>
  <c r="J1239" i="34"/>
  <c r="I1239" i="34"/>
  <c r="BD1238" i="34"/>
  <c r="BC1238" i="34"/>
  <c r="AZ1238" i="34"/>
  <c r="AY1238" i="34"/>
  <c r="AX1238" i="34"/>
  <c r="AW1238" i="34"/>
  <c r="AV1238" i="34"/>
  <c r="AU1238" i="34"/>
  <c r="AT1238" i="34"/>
  <c r="AS1238" i="34"/>
  <c r="AR1238" i="34"/>
  <c r="AQ1238" i="34"/>
  <c r="AP1238" i="34"/>
  <c r="AO1238" i="34"/>
  <c r="AN1238" i="34"/>
  <c r="AM1238" i="34"/>
  <c r="AL1238" i="34"/>
  <c r="AK1238" i="34"/>
  <c r="AJ1238" i="34"/>
  <c r="AI1238" i="34"/>
  <c r="AH1238" i="34"/>
  <c r="AG1238" i="34"/>
  <c r="AF1238" i="34"/>
  <c r="AE1238" i="34"/>
  <c r="AD1238" i="34"/>
  <c r="AC1238" i="34"/>
  <c r="AB1238" i="34"/>
  <c r="AA1238" i="34"/>
  <c r="Z1238" i="34"/>
  <c r="Y1238" i="34"/>
  <c r="X1238" i="34"/>
  <c r="W1238" i="34"/>
  <c r="V1238" i="34"/>
  <c r="U1238" i="34"/>
  <c r="T1238" i="34"/>
  <c r="S1238" i="34"/>
  <c r="R1238" i="34"/>
  <c r="Q1238" i="34"/>
  <c r="P1238" i="34"/>
  <c r="O1238" i="34"/>
  <c r="N1238" i="34"/>
  <c r="M1238" i="34"/>
  <c r="L1238" i="34"/>
  <c r="K1238" i="34"/>
  <c r="J1238" i="34"/>
  <c r="I1238" i="34"/>
  <c r="L1237" i="34"/>
  <c r="K1237" i="34"/>
  <c r="J1237" i="34"/>
  <c r="I1237" i="34"/>
  <c r="L1236" i="34"/>
  <c r="K1236" i="34"/>
  <c r="J1236" i="34"/>
  <c r="I1236" i="34"/>
  <c r="BD1235" i="34"/>
  <c r="BC1235" i="34"/>
  <c r="AZ1235" i="34"/>
  <c r="AY1235" i="34"/>
  <c r="AX1235" i="34"/>
  <c r="AW1235" i="34"/>
  <c r="AV1235" i="34"/>
  <c r="AU1235" i="34"/>
  <c r="AT1235" i="34"/>
  <c r="AS1235" i="34"/>
  <c r="AR1235" i="34"/>
  <c r="AQ1235" i="34"/>
  <c r="AP1235" i="34"/>
  <c r="AO1235" i="34"/>
  <c r="AN1235" i="34"/>
  <c r="AM1235" i="34"/>
  <c r="AL1235" i="34"/>
  <c r="AK1235" i="34"/>
  <c r="AJ1235" i="34"/>
  <c r="AI1235" i="34"/>
  <c r="AH1235" i="34"/>
  <c r="AG1235" i="34"/>
  <c r="AF1235" i="34"/>
  <c r="AE1235" i="34"/>
  <c r="AD1235" i="34"/>
  <c r="AC1235" i="34"/>
  <c r="AB1235" i="34"/>
  <c r="AA1235" i="34"/>
  <c r="Z1235" i="34"/>
  <c r="Y1235" i="34"/>
  <c r="X1235" i="34"/>
  <c r="W1235" i="34"/>
  <c r="V1235" i="34"/>
  <c r="U1235" i="34"/>
  <c r="T1235" i="34"/>
  <c r="S1235" i="34"/>
  <c r="R1235" i="34"/>
  <c r="Q1235" i="34"/>
  <c r="P1235" i="34"/>
  <c r="O1235" i="34"/>
  <c r="N1235" i="34"/>
  <c r="M1235" i="34"/>
  <c r="L1235" i="34"/>
  <c r="K1235" i="34"/>
  <c r="J1235" i="34"/>
  <c r="I1235" i="34"/>
  <c r="L1234" i="34"/>
  <c r="K1234" i="34"/>
  <c r="J1234" i="34"/>
  <c r="I1234" i="34"/>
  <c r="BD1233" i="34"/>
  <c r="BC1233" i="34"/>
  <c r="AZ1233" i="34"/>
  <c r="AY1233" i="34"/>
  <c r="AX1233" i="34"/>
  <c r="AW1233" i="34"/>
  <c r="AV1233" i="34"/>
  <c r="AU1233" i="34"/>
  <c r="AT1233" i="34"/>
  <c r="AS1233" i="34"/>
  <c r="AR1233" i="34"/>
  <c r="AQ1233" i="34"/>
  <c r="AP1233" i="34"/>
  <c r="AO1233" i="34"/>
  <c r="AN1233" i="34"/>
  <c r="AM1233" i="34"/>
  <c r="AL1233" i="34"/>
  <c r="AK1233" i="34"/>
  <c r="AJ1233" i="34"/>
  <c r="AI1233" i="34"/>
  <c r="AH1233" i="34"/>
  <c r="AG1233" i="34"/>
  <c r="AF1233" i="34"/>
  <c r="AE1233" i="34"/>
  <c r="AD1233" i="34"/>
  <c r="AC1233" i="34"/>
  <c r="AB1233" i="34"/>
  <c r="AA1233" i="34"/>
  <c r="Z1233" i="34"/>
  <c r="Y1233" i="34"/>
  <c r="X1233" i="34"/>
  <c r="W1233" i="34"/>
  <c r="V1233" i="34"/>
  <c r="U1233" i="34"/>
  <c r="T1233" i="34"/>
  <c r="S1233" i="34"/>
  <c r="R1233" i="34"/>
  <c r="Q1233" i="34"/>
  <c r="P1233" i="34"/>
  <c r="O1233" i="34"/>
  <c r="N1233" i="34"/>
  <c r="M1233" i="34"/>
  <c r="L1233" i="34"/>
  <c r="K1233" i="34"/>
  <c r="J1233" i="34"/>
  <c r="I1233" i="34"/>
  <c r="L1232" i="34"/>
  <c r="K1232" i="34"/>
  <c r="J1232" i="34"/>
  <c r="I1232" i="34"/>
  <c r="BD1231" i="34"/>
  <c r="BC1231" i="34"/>
  <c r="AZ1231" i="34"/>
  <c r="AY1231" i="34"/>
  <c r="AX1231" i="34"/>
  <c r="AW1231" i="34"/>
  <c r="AV1231" i="34"/>
  <c r="AU1231" i="34"/>
  <c r="AT1231" i="34"/>
  <c r="AS1231" i="34"/>
  <c r="AR1231" i="34"/>
  <c r="AQ1231" i="34"/>
  <c r="AP1231" i="34"/>
  <c r="AO1231" i="34"/>
  <c r="AN1231" i="34"/>
  <c r="AM1231" i="34"/>
  <c r="AL1231" i="34"/>
  <c r="AK1231" i="34"/>
  <c r="AJ1231" i="34"/>
  <c r="AI1231" i="34"/>
  <c r="AH1231" i="34"/>
  <c r="AG1231" i="34"/>
  <c r="AF1231" i="34"/>
  <c r="AE1231" i="34"/>
  <c r="AD1231" i="34"/>
  <c r="AC1231" i="34"/>
  <c r="AB1231" i="34"/>
  <c r="AA1231" i="34"/>
  <c r="Z1231" i="34"/>
  <c r="Y1231" i="34"/>
  <c r="X1231" i="34"/>
  <c r="W1231" i="34"/>
  <c r="V1231" i="34"/>
  <c r="U1231" i="34"/>
  <c r="T1231" i="34"/>
  <c r="S1231" i="34"/>
  <c r="R1231" i="34"/>
  <c r="Q1231" i="34"/>
  <c r="P1231" i="34"/>
  <c r="O1231" i="34"/>
  <c r="N1231" i="34"/>
  <c r="M1231" i="34"/>
  <c r="L1231" i="34"/>
  <c r="K1231" i="34"/>
  <c r="J1231" i="34"/>
  <c r="I1231" i="34"/>
  <c r="L1230" i="34"/>
  <c r="K1230" i="34"/>
  <c r="J1230" i="34"/>
  <c r="I1230" i="34"/>
  <c r="L1229" i="34"/>
  <c r="K1229" i="34"/>
  <c r="J1229" i="34"/>
  <c r="I1229" i="34"/>
  <c r="L1228" i="34"/>
  <c r="K1228" i="34"/>
  <c r="J1228" i="34"/>
  <c r="I1228" i="34"/>
  <c r="L1227" i="34"/>
  <c r="K1227" i="34"/>
  <c r="J1227" i="34"/>
  <c r="I1227" i="34"/>
  <c r="L1226" i="34"/>
  <c r="K1226" i="34"/>
  <c r="J1226" i="34"/>
  <c r="I1226" i="34"/>
  <c r="L1225" i="34"/>
  <c r="K1225" i="34"/>
  <c r="J1225" i="34"/>
  <c r="I1225" i="34"/>
  <c r="BD1224" i="34"/>
  <c r="BC1224" i="34"/>
  <c r="AZ1224" i="34"/>
  <c r="AY1224" i="34"/>
  <c r="AX1224" i="34"/>
  <c r="AW1224" i="34"/>
  <c r="AV1224" i="34"/>
  <c r="AU1224" i="34"/>
  <c r="AT1224" i="34"/>
  <c r="AS1224" i="34"/>
  <c r="AR1224" i="34"/>
  <c r="AQ1224" i="34"/>
  <c r="AP1224" i="34"/>
  <c r="AO1224" i="34"/>
  <c r="AN1224" i="34"/>
  <c r="AM1224" i="34"/>
  <c r="AL1224" i="34"/>
  <c r="AK1224" i="34"/>
  <c r="AJ1224" i="34"/>
  <c r="AI1224" i="34"/>
  <c r="AH1224" i="34"/>
  <c r="AG1224" i="34"/>
  <c r="AF1224" i="34"/>
  <c r="AE1224" i="34"/>
  <c r="AD1224" i="34"/>
  <c r="AC1224" i="34"/>
  <c r="AB1224" i="34"/>
  <c r="AA1224" i="34"/>
  <c r="Z1224" i="34"/>
  <c r="Y1224" i="34"/>
  <c r="X1224" i="34"/>
  <c r="W1224" i="34"/>
  <c r="V1224" i="34"/>
  <c r="U1224" i="34"/>
  <c r="T1224" i="34"/>
  <c r="S1224" i="34"/>
  <c r="R1224" i="34"/>
  <c r="Q1224" i="34"/>
  <c r="P1224" i="34"/>
  <c r="O1224" i="34"/>
  <c r="N1224" i="34"/>
  <c r="M1224" i="34"/>
  <c r="L1224" i="34"/>
  <c r="K1224" i="34"/>
  <c r="J1224" i="34"/>
  <c r="I1224" i="34"/>
  <c r="L1223" i="34"/>
  <c r="K1223" i="34"/>
  <c r="J1223" i="34"/>
  <c r="I1223" i="34"/>
  <c r="L1222" i="34"/>
  <c r="K1222" i="34"/>
  <c r="J1222" i="34"/>
  <c r="I1222" i="34"/>
  <c r="L1221" i="34"/>
  <c r="K1221" i="34"/>
  <c r="J1221" i="34"/>
  <c r="I1221" i="34"/>
  <c r="BD1220" i="34"/>
  <c r="BC1220" i="34"/>
  <c r="AZ1220" i="34"/>
  <c r="AY1220" i="34"/>
  <c r="AX1220" i="34"/>
  <c r="AW1220" i="34"/>
  <c r="AV1220" i="34"/>
  <c r="AU1220" i="34"/>
  <c r="AT1220" i="34"/>
  <c r="AS1220" i="34"/>
  <c r="AR1220" i="34"/>
  <c r="AQ1220" i="34"/>
  <c r="AP1220" i="34"/>
  <c r="AO1220" i="34"/>
  <c r="AN1220" i="34"/>
  <c r="AM1220" i="34"/>
  <c r="AL1220" i="34"/>
  <c r="AK1220" i="34"/>
  <c r="AJ1220" i="34"/>
  <c r="AI1220" i="34"/>
  <c r="AH1220" i="34"/>
  <c r="AG1220" i="34"/>
  <c r="AF1220" i="34"/>
  <c r="AE1220" i="34"/>
  <c r="AD1220" i="34"/>
  <c r="AC1220" i="34"/>
  <c r="AB1220" i="34"/>
  <c r="AA1220" i="34"/>
  <c r="Z1220" i="34"/>
  <c r="Y1220" i="34"/>
  <c r="X1220" i="34"/>
  <c r="W1220" i="34"/>
  <c r="V1220" i="34"/>
  <c r="U1220" i="34"/>
  <c r="T1220" i="34"/>
  <c r="S1220" i="34"/>
  <c r="R1220" i="34"/>
  <c r="Q1220" i="34"/>
  <c r="P1220" i="34"/>
  <c r="O1220" i="34"/>
  <c r="N1220" i="34"/>
  <c r="M1220" i="34"/>
  <c r="L1220" i="34"/>
  <c r="K1220" i="34"/>
  <c r="J1220" i="34"/>
  <c r="I1220" i="34"/>
  <c r="BD1215" i="34"/>
  <c r="BC1215" i="34"/>
  <c r="AZ1215" i="34"/>
  <c r="AY1215" i="34"/>
  <c r="AX1215" i="34"/>
  <c r="AW1215" i="34"/>
  <c r="AV1215" i="34"/>
  <c r="AU1215" i="34"/>
  <c r="AT1215" i="34"/>
  <c r="AS1215" i="34"/>
  <c r="AR1215" i="34"/>
  <c r="AQ1215" i="34"/>
  <c r="AP1215" i="34"/>
  <c r="AO1215" i="34"/>
  <c r="AF1215" i="34"/>
  <c r="AE1215" i="34"/>
  <c r="AD1215" i="34"/>
  <c r="AC1215" i="34"/>
  <c r="AB1215" i="34"/>
  <c r="AA1215" i="34"/>
  <c r="Z1215" i="34"/>
  <c r="Y1215" i="34"/>
  <c r="X1215" i="34"/>
  <c r="W1215" i="34"/>
  <c r="V1215" i="34"/>
  <c r="U1215" i="34"/>
  <c r="T1215" i="34"/>
  <c r="S1215" i="34"/>
  <c r="R1215" i="34"/>
  <c r="Q1215" i="34"/>
  <c r="P1215" i="34"/>
  <c r="O1215" i="34"/>
  <c r="N1215" i="34"/>
  <c r="M1215" i="34"/>
  <c r="L1215" i="34"/>
  <c r="K1215" i="34"/>
  <c r="J1215" i="34"/>
  <c r="I1215" i="34"/>
  <c r="BD1214" i="34"/>
  <c r="BC1214" i="34"/>
  <c r="AZ1214" i="34"/>
  <c r="AY1214" i="34"/>
  <c r="AX1214" i="34"/>
  <c r="AW1214" i="34"/>
  <c r="AV1214" i="34"/>
  <c r="AU1214" i="34"/>
  <c r="AT1214" i="34"/>
  <c r="AS1214" i="34"/>
  <c r="AR1214" i="34"/>
  <c r="AQ1214" i="34"/>
  <c r="AP1214" i="34"/>
  <c r="AO1214" i="34"/>
  <c r="AN1214" i="34"/>
  <c r="AM1214" i="34"/>
  <c r="AL1214" i="34"/>
  <c r="AK1214" i="34"/>
  <c r="AJ1214" i="34"/>
  <c r="AI1214" i="34"/>
  <c r="AH1214" i="34"/>
  <c r="AG1214" i="34"/>
  <c r="AF1214" i="34"/>
  <c r="AE1214" i="34"/>
  <c r="AD1214" i="34"/>
  <c r="AC1214" i="34"/>
  <c r="AB1214" i="34"/>
  <c r="AA1214" i="34"/>
  <c r="Z1214" i="34"/>
  <c r="Y1214" i="34"/>
  <c r="X1214" i="34"/>
  <c r="W1214" i="34"/>
  <c r="V1214" i="34"/>
  <c r="U1214" i="34"/>
  <c r="T1214" i="34"/>
  <c r="S1214" i="34"/>
  <c r="R1214" i="34"/>
  <c r="Q1214" i="34"/>
  <c r="P1214" i="34"/>
  <c r="O1214" i="34"/>
  <c r="N1214" i="34"/>
  <c r="M1214" i="34"/>
  <c r="L1214" i="34"/>
  <c r="K1214" i="34"/>
  <c r="J1214" i="34"/>
  <c r="I1214" i="34"/>
  <c r="AF1213" i="34"/>
  <c r="AE1213" i="34"/>
  <c r="AD1213" i="34"/>
  <c r="AC1213" i="34"/>
  <c r="AB1213" i="34"/>
  <c r="AA1213" i="34"/>
  <c r="Z1213" i="34"/>
  <c r="Y1213" i="34"/>
  <c r="X1213" i="34"/>
  <c r="W1213" i="34"/>
  <c r="V1213" i="34"/>
  <c r="U1213" i="34"/>
  <c r="T1213" i="34"/>
  <c r="S1213" i="34"/>
  <c r="R1213" i="34"/>
  <c r="Q1213" i="34"/>
  <c r="P1213" i="34"/>
  <c r="O1213" i="34"/>
  <c r="N1213" i="34"/>
  <c r="M1213" i="34"/>
  <c r="L1213" i="34"/>
  <c r="K1213" i="34"/>
  <c r="J1213" i="34"/>
  <c r="I1213" i="34"/>
  <c r="AF1212" i="34"/>
  <c r="AE1212" i="34"/>
  <c r="AD1212" i="34"/>
  <c r="AC1212" i="34"/>
  <c r="AB1212" i="34"/>
  <c r="AA1212" i="34"/>
  <c r="Z1212" i="34"/>
  <c r="Y1212" i="34"/>
  <c r="X1212" i="34"/>
  <c r="W1212" i="34"/>
  <c r="V1212" i="34"/>
  <c r="U1212" i="34"/>
  <c r="T1212" i="34"/>
  <c r="S1212" i="34"/>
  <c r="R1212" i="34"/>
  <c r="Q1212" i="34"/>
  <c r="P1212" i="34"/>
  <c r="O1212" i="34"/>
  <c r="N1212" i="34"/>
  <c r="M1212" i="34"/>
  <c r="L1212" i="34"/>
  <c r="K1212" i="34"/>
  <c r="J1212" i="34"/>
  <c r="I1212" i="34"/>
  <c r="AF1211" i="34"/>
  <c r="AE1211" i="34"/>
  <c r="AD1211" i="34"/>
  <c r="AC1211" i="34"/>
  <c r="AB1211" i="34"/>
  <c r="AA1211" i="34"/>
  <c r="Z1211" i="34"/>
  <c r="Y1211" i="34"/>
  <c r="X1211" i="34"/>
  <c r="W1211" i="34"/>
  <c r="V1211" i="34"/>
  <c r="U1211" i="34"/>
  <c r="T1211" i="34"/>
  <c r="S1211" i="34"/>
  <c r="R1211" i="34"/>
  <c r="Q1211" i="34"/>
  <c r="P1211" i="34"/>
  <c r="O1211" i="34"/>
  <c r="N1211" i="34"/>
  <c r="M1211" i="34"/>
  <c r="L1211" i="34"/>
  <c r="K1211" i="34"/>
  <c r="J1211" i="34"/>
  <c r="I1211" i="34"/>
  <c r="BD1210" i="34"/>
  <c r="BC1210" i="34"/>
  <c r="AZ1210" i="34"/>
  <c r="AY1210" i="34"/>
  <c r="AX1210" i="34"/>
  <c r="AW1210" i="34"/>
  <c r="AV1210" i="34"/>
  <c r="AU1210" i="34"/>
  <c r="AT1210" i="34"/>
  <c r="AS1210" i="34"/>
  <c r="AR1210" i="34"/>
  <c r="AQ1210" i="34"/>
  <c r="AP1210" i="34"/>
  <c r="AO1210" i="34"/>
  <c r="AN1210" i="34"/>
  <c r="AM1210" i="34"/>
  <c r="AL1210" i="34"/>
  <c r="AK1210" i="34"/>
  <c r="AJ1210" i="34"/>
  <c r="AI1210" i="34"/>
  <c r="AH1210" i="34"/>
  <c r="AG1210" i="34"/>
  <c r="AF1210" i="34"/>
  <c r="AE1210" i="34"/>
  <c r="AD1210" i="34"/>
  <c r="AC1210" i="34"/>
  <c r="AB1210" i="34"/>
  <c r="AA1210" i="34"/>
  <c r="Z1210" i="34"/>
  <c r="Y1210" i="34"/>
  <c r="X1210" i="34"/>
  <c r="W1210" i="34"/>
  <c r="V1210" i="34"/>
  <c r="U1210" i="34"/>
  <c r="T1210" i="34"/>
  <c r="S1210" i="34"/>
  <c r="R1210" i="34"/>
  <c r="Q1210" i="34"/>
  <c r="P1210" i="34"/>
  <c r="O1210" i="34"/>
  <c r="N1210" i="34"/>
  <c r="M1210" i="34"/>
  <c r="L1210" i="34"/>
  <c r="K1210" i="34"/>
  <c r="J1210" i="34"/>
  <c r="I1210" i="34"/>
  <c r="BD1209" i="34"/>
  <c r="BC1209" i="34"/>
  <c r="AZ1209" i="34"/>
  <c r="AY1209" i="34"/>
  <c r="AX1209" i="34"/>
  <c r="AW1209" i="34"/>
  <c r="AV1209" i="34"/>
  <c r="AU1209" i="34"/>
  <c r="AT1209" i="34"/>
  <c r="AS1209" i="34"/>
  <c r="AR1209" i="34"/>
  <c r="AQ1209" i="34"/>
  <c r="AP1209" i="34"/>
  <c r="AO1209" i="34"/>
  <c r="AN1209" i="34"/>
  <c r="AM1209" i="34"/>
  <c r="AL1209" i="34"/>
  <c r="AK1209" i="34"/>
  <c r="AJ1209" i="34"/>
  <c r="AI1209" i="34"/>
  <c r="AH1209" i="34"/>
  <c r="AG1209" i="34"/>
  <c r="AF1209" i="34"/>
  <c r="AE1209" i="34"/>
  <c r="AD1209" i="34"/>
  <c r="AC1209" i="34"/>
  <c r="AB1209" i="34"/>
  <c r="AA1209" i="34"/>
  <c r="Z1209" i="34"/>
  <c r="Y1209" i="34"/>
  <c r="X1209" i="34"/>
  <c r="W1209" i="34"/>
  <c r="V1209" i="34"/>
  <c r="U1209" i="34"/>
  <c r="T1209" i="34"/>
  <c r="S1209" i="34"/>
  <c r="R1209" i="34"/>
  <c r="Q1209" i="34"/>
  <c r="P1209" i="34"/>
  <c r="O1209" i="34"/>
  <c r="N1209" i="34"/>
  <c r="M1209" i="34"/>
  <c r="L1209" i="34"/>
  <c r="K1209" i="34"/>
  <c r="J1209" i="34"/>
  <c r="I1209" i="34"/>
  <c r="BD1208" i="34"/>
  <c r="BC1208" i="34"/>
  <c r="AZ1208" i="34"/>
  <c r="AY1208" i="34"/>
  <c r="AX1208" i="34"/>
  <c r="AW1208" i="34"/>
  <c r="AV1208" i="34"/>
  <c r="AU1208" i="34"/>
  <c r="AT1208" i="34"/>
  <c r="AS1208" i="34"/>
  <c r="AR1208" i="34"/>
  <c r="AQ1208" i="34"/>
  <c r="AP1208" i="34"/>
  <c r="AO1208" i="34"/>
  <c r="AN1208" i="34"/>
  <c r="AM1208" i="34"/>
  <c r="AL1208" i="34"/>
  <c r="AK1208" i="34"/>
  <c r="AJ1208" i="34"/>
  <c r="AI1208" i="34"/>
  <c r="AH1208" i="34"/>
  <c r="AG1208" i="34"/>
  <c r="AF1208" i="34"/>
  <c r="AE1208" i="34"/>
  <c r="AD1208" i="34"/>
  <c r="AC1208" i="34"/>
  <c r="AB1208" i="34"/>
  <c r="AA1208" i="34"/>
  <c r="Z1208" i="34"/>
  <c r="Y1208" i="34"/>
  <c r="X1208" i="34"/>
  <c r="W1208" i="34"/>
  <c r="V1208" i="34"/>
  <c r="U1208" i="34"/>
  <c r="T1208" i="34"/>
  <c r="S1208" i="34"/>
  <c r="R1208" i="34"/>
  <c r="Q1208" i="34"/>
  <c r="P1208" i="34"/>
  <c r="O1208" i="34"/>
  <c r="N1208" i="34"/>
  <c r="M1208" i="34"/>
  <c r="L1208" i="34"/>
  <c r="K1208" i="34"/>
  <c r="J1208" i="34"/>
  <c r="I1208" i="34"/>
  <c r="BD1207" i="34"/>
  <c r="BC1207" i="34"/>
  <c r="AZ1207" i="34"/>
  <c r="AY1207" i="34"/>
  <c r="AX1207" i="34"/>
  <c r="AW1207" i="34"/>
  <c r="AV1207" i="34"/>
  <c r="AU1207" i="34"/>
  <c r="AT1207" i="34"/>
  <c r="AS1207" i="34"/>
  <c r="AR1207" i="34"/>
  <c r="AQ1207" i="34"/>
  <c r="AP1207" i="34"/>
  <c r="AO1207" i="34"/>
  <c r="AN1207" i="34"/>
  <c r="AM1207" i="34"/>
  <c r="AL1207" i="34"/>
  <c r="AK1207" i="34"/>
  <c r="AJ1207" i="34"/>
  <c r="AI1207" i="34"/>
  <c r="AH1207" i="34"/>
  <c r="AG1207" i="34"/>
  <c r="AF1207" i="34"/>
  <c r="AE1207" i="34"/>
  <c r="AD1207" i="34"/>
  <c r="AC1207" i="34"/>
  <c r="AB1207" i="34"/>
  <c r="AA1207" i="34"/>
  <c r="Z1207" i="34"/>
  <c r="Y1207" i="34"/>
  <c r="X1207" i="34"/>
  <c r="W1207" i="34"/>
  <c r="V1207" i="34"/>
  <c r="U1207" i="34"/>
  <c r="T1207" i="34"/>
  <c r="S1207" i="34"/>
  <c r="R1207" i="34"/>
  <c r="Q1207" i="34"/>
  <c r="P1207" i="34"/>
  <c r="O1207" i="34"/>
  <c r="N1207" i="34"/>
  <c r="M1207" i="34"/>
  <c r="L1207" i="34"/>
  <c r="K1207" i="34"/>
  <c r="J1207" i="34"/>
  <c r="I1207" i="34"/>
  <c r="BD1206" i="34"/>
  <c r="BC1206" i="34"/>
  <c r="AZ1206" i="34"/>
  <c r="AY1206" i="34"/>
  <c r="AX1206" i="34"/>
  <c r="AW1206" i="34"/>
  <c r="AV1206" i="34"/>
  <c r="AU1206" i="34"/>
  <c r="AT1206" i="34"/>
  <c r="AS1206" i="34"/>
  <c r="AR1206" i="34"/>
  <c r="AQ1206" i="34"/>
  <c r="AP1206" i="34"/>
  <c r="AO1206" i="34"/>
  <c r="AN1206" i="34"/>
  <c r="AM1206" i="34"/>
  <c r="AL1206" i="34"/>
  <c r="AK1206" i="34"/>
  <c r="AJ1206" i="34"/>
  <c r="AI1206" i="34"/>
  <c r="AH1206" i="34"/>
  <c r="AG1206" i="34"/>
  <c r="AF1206" i="34"/>
  <c r="AE1206" i="34"/>
  <c r="AD1206" i="34"/>
  <c r="AC1206" i="34"/>
  <c r="AB1206" i="34"/>
  <c r="AA1206" i="34"/>
  <c r="Z1206" i="34"/>
  <c r="Y1206" i="34"/>
  <c r="X1206" i="34"/>
  <c r="W1206" i="34"/>
  <c r="V1206" i="34"/>
  <c r="U1206" i="34"/>
  <c r="T1206" i="34"/>
  <c r="S1206" i="34"/>
  <c r="R1206" i="34"/>
  <c r="Q1206" i="34"/>
  <c r="P1206" i="34"/>
  <c r="O1206" i="34"/>
  <c r="N1206" i="34"/>
  <c r="M1206" i="34"/>
  <c r="L1206" i="34"/>
  <c r="K1206" i="34"/>
  <c r="J1206" i="34"/>
  <c r="I1206" i="34"/>
  <c r="BD1205" i="34"/>
  <c r="BC1205" i="34"/>
  <c r="AZ1205" i="34"/>
  <c r="AY1205" i="34"/>
  <c r="AX1205" i="34"/>
  <c r="AW1205" i="34"/>
  <c r="AV1205" i="34"/>
  <c r="AU1205" i="34"/>
  <c r="AT1205" i="34"/>
  <c r="AS1205" i="34"/>
  <c r="AR1205" i="34"/>
  <c r="AQ1205" i="34"/>
  <c r="AP1205" i="34"/>
  <c r="AO1205" i="34"/>
  <c r="AN1205" i="34"/>
  <c r="AM1205" i="34"/>
  <c r="AL1205" i="34"/>
  <c r="AK1205" i="34"/>
  <c r="AJ1205" i="34"/>
  <c r="AI1205" i="34"/>
  <c r="AH1205" i="34"/>
  <c r="AG1205" i="34"/>
  <c r="AF1205" i="34"/>
  <c r="AE1205" i="34"/>
  <c r="AD1205" i="34"/>
  <c r="AC1205" i="34"/>
  <c r="AB1205" i="34"/>
  <c r="AA1205" i="34"/>
  <c r="Z1205" i="34"/>
  <c r="Y1205" i="34"/>
  <c r="X1205" i="34"/>
  <c r="W1205" i="34"/>
  <c r="V1205" i="34"/>
  <c r="U1205" i="34"/>
  <c r="T1205" i="34"/>
  <c r="S1205" i="34"/>
  <c r="R1205" i="34"/>
  <c r="Q1205" i="34"/>
  <c r="P1205" i="34"/>
  <c r="O1205" i="34"/>
  <c r="N1205" i="34"/>
  <c r="M1205" i="34"/>
  <c r="L1205" i="34"/>
  <c r="K1205" i="34"/>
  <c r="J1205" i="34"/>
  <c r="I1205" i="34"/>
  <c r="I1204" i="34"/>
  <c r="I1203" i="34"/>
  <c r="I1202" i="34"/>
  <c r="I1201" i="34"/>
  <c r="I1200" i="34"/>
  <c r="I1125" i="34"/>
  <c r="I1124" i="34"/>
  <c r="I1122" i="34"/>
  <c r="I1121" i="34"/>
  <c r="I1120" i="34"/>
  <c r="I1119" i="34"/>
  <c r="I1118" i="34"/>
  <c r="I1117" i="34"/>
  <c r="I1116" i="34"/>
  <c r="I1115" i="34"/>
  <c r="I1114" i="34"/>
  <c r="I1113" i="34"/>
  <c r="I1112" i="34"/>
  <c r="I1111" i="34"/>
  <c r="I1110" i="34"/>
  <c r="I1109" i="34"/>
  <c r="I1108" i="34"/>
  <c r="I1107" i="34"/>
  <c r="I1106" i="34"/>
  <c r="I1105" i="34"/>
  <c r="I1104" i="34"/>
  <c r="I1103" i="34"/>
  <c r="I1102" i="34"/>
  <c r="I1100" i="34"/>
  <c r="I1099" i="34"/>
  <c r="I1098" i="34"/>
  <c r="I1097" i="34"/>
  <c r="I1096" i="34"/>
  <c r="I1095" i="34"/>
  <c r="I1094" i="34"/>
  <c r="I1093" i="34"/>
  <c r="I1092" i="34"/>
  <c r="I1091" i="34"/>
  <c r="I1090" i="34"/>
  <c r="I1089" i="34"/>
  <c r="I1088" i="34"/>
  <c r="I1087" i="34"/>
  <c r="I1086" i="34"/>
  <c r="I1085" i="34"/>
  <c r="I1084" i="34"/>
  <c r="I1083" i="34"/>
  <c r="I1082" i="34"/>
  <c r="I1081" i="34"/>
  <c r="I1080" i="34"/>
  <c r="I1079" i="34"/>
  <c r="J1201" i="34"/>
  <c r="J1125" i="34"/>
  <c r="J1124" i="34"/>
  <c r="J1122" i="34"/>
  <c r="J1121" i="34"/>
  <c r="J1120" i="34"/>
  <c r="J1119" i="34"/>
  <c r="J1118" i="34"/>
  <c r="J1117" i="34"/>
  <c r="J1116" i="34"/>
  <c r="J1115" i="34"/>
  <c r="J1114" i="34"/>
  <c r="J1113" i="34"/>
  <c r="J1112" i="34"/>
  <c r="J1111" i="34"/>
  <c r="J1110" i="34"/>
  <c r="J1109" i="34"/>
  <c r="J1108" i="34"/>
  <c r="J1107" i="34"/>
  <c r="J1106" i="34"/>
  <c r="J1105" i="34"/>
  <c r="J1104" i="34"/>
  <c r="J1103" i="34"/>
  <c r="J1102" i="34"/>
  <c r="J1100" i="34"/>
  <c r="J1099" i="34"/>
  <c r="J1098" i="34"/>
  <c r="J1097" i="34"/>
  <c r="J1096" i="34"/>
  <c r="J1095" i="34"/>
  <c r="J1094" i="34"/>
  <c r="J1093" i="34"/>
  <c r="J1092" i="34"/>
  <c r="J1091" i="34"/>
  <c r="J1090" i="34"/>
  <c r="J1089" i="34"/>
  <c r="J1088" i="34"/>
  <c r="J1087" i="34"/>
  <c r="J1086" i="34"/>
  <c r="J1085" i="34"/>
  <c r="J1084" i="34"/>
  <c r="J1083" i="34"/>
  <c r="J1082" i="34"/>
  <c r="J1081" i="34"/>
  <c r="J1080" i="34"/>
  <c r="J1079" i="34"/>
  <c r="J1078" i="34"/>
  <c r="J1077" i="34"/>
  <c r="J1076" i="34"/>
  <c r="J1075" i="34"/>
  <c r="J1074" i="34"/>
  <c r="J1073" i="34"/>
  <c r="J1072" i="34"/>
  <c r="J1071" i="34"/>
  <c r="J1070" i="34"/>
  <c r="J1068" i="34"/>
  <c r="J1067" i="34"/>
  <c r="J1066" i="34"/>
  <c r="J1065" i="34"/>
  <c r="J1064" i="34"/>
  <c r="J1063" i="34"/>
  <c r="J1062" i="34"/>
  <c r="J1061" i="34"/>
  <c r="J1060" i="34"/>
  <c r="N1204" i="34"/>
  <c r="N1203" i="34"/>
  <c r="N1202" i="34"/>
  <c r="Q1201" i="34"/>
  <c r="P1201" i="34"/>
  <c r="O1201" i="34"/>
  <c r="N1201" i="34"/>
  <c r="M1201" i="34"/>
  <c r="L1201" i="34"/>
  <c r="K1201" i="34"/>
  <c r="N1200" i="34"/>
  <c r="BY1125" i="34"/>
  <c r="BX1125" i="34"/>
  <c r="BW1125" i="34"/>
  <c r="BV1125" i="34"/>
  <c r="BU1125" i="34"/>
  <c r="BT1125" i="34"/>
  <c r="BS1125" i="34"/>
  <c r="BR1125" i="34"/>
  <c r="BQ1125" i="34"/>
  <c r="BP1125" i="34"/>
  <c r="BO1125" i="34"/>
  <c r="BN1125" i="34"/>
  <c r="BM1125" i="34"/>
  <c r="BL1125" i="34"/>
  <c r="BK1125" i="34"/>
  <c r="BJ1125" i="34"/>
  <c r="BI1125" i="34"/>
  <c r="BH1125" i="34"/>
  <c r="BG1125" i="34"/>
  <c r="BF1125" i="34"/>
  <c r="BE1125" i="34"/>
  <c r="BD1125" i="34"/>
  <c r="BC1125" i="34"/>
  <c r="AZ1125" i="34"/>
  <c r="AY1125" i="34"/>
  <c r="AX1125" i="34"/>
  <c r="AW1125" i="34"/>
  <c r="AV1125" i="34"/>
  <c r="AU1125" i="34"/>
  <c r="AT1125" i="34"/>
  <c r="AS1125" i="34"/>
  <c r="AR1125" i="34"/>
  <c r="AQ1125" i="34"/>
  <c r="AP1125" i="34"/>
  <c r="AO1125" i="34"/>
  <c r="AN1125" i="34"/>
  <c r="AM1125" i="34"/>
  <c r="AL1125" i="34"/>
  <c r="AK1125" i="34"/>
  <c r="AJ1125" i="34"/>
  <c r="AI1125" i="34"/>
  <c r="AH1125" i="34"/>
  <c r="AG1125" i="34"/>
  <c r="AF1125" i="34"/>
  <c r="AE1125" i="34"/>
  <c r="AD1125" i="34"/>
  <c r="AC1125" i="34"/>
  <c r="AB1125" i="34"/>
  <c r="AA1125" i="34"/>
  <c r="Z1125" i="34"/>
  <c r="Y1125" i="34"/>
  <c r="X1125" i="34"/>
  <c r="W1125" i="34"/>
  <c r="V1125" i="34"/>
  <c r="U1125" i="34"/>
  <c r="T1125" i="34"/>
  <c r="S1125" i="34"/>
  <c r="R1125" i="34"/>
  <c r="Q1125" i="34"/>
  <c r="P1125" i="34"/>
  <c r="O1125" i="34"/>
  <c r="N1125" i="34"/>
  <c r="M1125" i="34"/>
  <c r="L1125" i="34"/>
  <c r="K1125" i="34"/>
  <c r="BY1124" i="34"/>
  <c r="BX1124" i="34"/>
  <c r="BW1124" i="34"/>
  <c r="BV1124" i="34"/>
  <c r="BU1124" i="34"/>
  <c r="BT1124" i="34"/>
  <c r="BS1124" i="34"/>
  <c r="BR1124" i="34"/>
  <c r="BQ1124" i="34"/>
  <c r="BP1124" i="34"/>
  <c r="BO1124" i="34"/>
  <c r="BN1124" i="34"/>
  <c r="BM1124" i="34"/>
  <c r="BL1124" i="34"/>
  <c r="BK1124" i="34"/>
  <c r="BJ1124" i="34"/>
  <c r="BI1124" i="34"/>
  <c r="BH1124" i="34"/>
  <c r="BG1124" i="34"/>
  <c r="BF1124" i="34"/>
  <c r="BE1124" i="34"/>
  <c r="BD1124" i="34"/>
  <c r="BC1124" i="34"/>
  <c r="AZ1124" i="34"/>
  <c r="AY1124" i="34"/>
  <c r="AX1124" i="34"/>
  <c r="AW1124" i="34"/>
  <c r="AV1124" i="34"/>
  <c r="AU1124" i="34"/>
  <c r="AT1124" i="34"/>
  <c r="AS1124" i="34"/>
  <c r="AR1124" i="34"/>
  <c r="AQ1124" i="34"/>
  <c r="AP1124" i="34"/>
  <c r="AO1124" i="34"/>
  <c r="AN1124" i="34"/>
  <c r="AM1124" i="34"/>
  <c r="AL1124" i="34"/>
  <c r="AK1124" i="34"/>
  <c r="AJ1124" i="34"/>
  <c r="AI1124" i="34"/>
  <c r="AH1124" i="34"/>
  <c r="AG1124" i="34"/>
  <c r="AF1124" i="34"/>
  <c r="AE1124" i="34"/>
  <c r="AD1124" i="34"/>
  <c r="AC1124" i="34"/>
  <c r="AB1124" i="34"/>
  <c r="AA1124" i="34"/>
  <c r="Z1124" i="34"/>
  <c r="Y1124" i="34"/>
  <c r="X1124" i="34"/>
  <c r="W1124" i="34"/>
  <c r="V1124" i="34"/>
  <c r="U1124" i="34"/>
  <c r="T1124" i="34"/>
  <c r="S1124" i="34"/>
  <c r="R1124" i="34"/>
  <c r="Q1124" i="34"/>
  <c r="P1124" i="34"/>
  <c r="O1124" i="34"/>
  <c r="N1124" i="34"/>
  <c r="M1124" i="34"/>
  <c r="L1124" i="34"/>
  <c r="K1124" i="34"/>
  <c r="BE1122" i="34"/>
  <c r="S1122" i="34"/>
  <c r="R1122" i="34"/>
  <c r="Q1122" i="34"/>
  <c r="O1122" i="34"/>
  <c r="N1122" i="34"/>
  <c r="M1122" i="34"/>
  <c r="L1122" i="34"/>
  <c r="K1122" i="34"/>
  <c r="BY1121" i="34"/>
  <c r="BX1121" i="34"/>
  <c r="BW1121" i="34"/>
  <c r="BV1121" i="34"/>
  <c r="BU1121" i="34"/>
  <c r="BT1121" i="34"/>
  <c r="BS1121" i="34"/>
  <c r="BR1121" i="34"/>
  <c r="BQ1121" i="34"/>
  <c r="BP1121" i="34"/>
  <c r="BO1121" i="34"/>
  <c r="BN1121" i="34"/>
  <c r="BM1121" i="34"/>
  <c r="BL1121" i="34"/>
  <c r="BK1121" i="34"/>
  <c r="BJ1121" i="34"/>
  <c r="BI1121" i="34"/>
  <c r="BH1121" i="34"/>
  <c r="BG1121" i="34"/>
  <c r="BF1121" i="34"/>
  <c r="BE1121" i="34"/>
  <c r="S1121" i="34"/>
  <c r="R1121" i="34"/>
  <c r="Q1121" i="34"/>
  <c r="P1121" i="34"/>
  <c r="O1121" i="34"/>
  <c r="N1121" i="34"/>
  <c r="M1121" i="34"/>
  <c r="L1121" i="34"/>
  <c r="K1121" i="34"/>
  <c r="BE1120" i="34"/>
  <c r="S1120" i="34"/>
  <c r="R1120" i="34"/>
  <c r="Q1120" i="34"/>
  <c r="P1120" i="34"/>
  <c r="O1120" i="34"/>
  <c r="N1120" i="34"/>
  <c r="M1120" i="34"/>
  <c r="L1120" i="34"/>
  <c r="K1120" i="34"/>
  <c r="BI1119" i="34"/>
  <c r="BH1119" i="34"/>
  <c r="BG1119" i="34"/>
  <c r="BF1119" i="34"/>
  <c r="BE1119" i="34"/>
  <c r="AE1119" i="34"/>
  <c r="AD1119" i="34"/>
  <c r="AC1119" i="34"/>
  <c r="AA1119" i="34"/>
  <c r="Y1119" i="34"/>
  <c r="X1119" i="34"/>
  <c r="W1119" i="34"/>
  <c r="V1119" i="34"/>
  <c r="U1119" i="34"/>
  <c r="T1119" i="34"/>
  <c r="S1119" i="34"/>
  <c r="R1119" i="34"/>
  <c r="Q1119" i="34"/>
  <c r="P1119" i="34"/>
  <c r="O1119" i="34"/>
  <c r="N1119" i="34"/>
  <c r="M1119" i="34"/>
  <c r="L1119" i="34"/>
  <c r="K1119" i="34"/>
  <c r="BY1118" i="34"/>
  <c r="BX1118" i="34"/>
  <c r="BW1118" i="34"/>
  <c r="BV1118" i="34"/>
  <c r="BU1118" i="34"/>
  <c r="BT1118" i="34"/>
  <c r="BS1118" i="34"/>
  <c r="BR1118" i="34"/>
  <c r="BQ1118" i="34"/>
  <c r="BP1118" i="34"/>
  <c r="BO1118" i="34"/>
  <c r="BN1118" i="34"/>
  <c r="BM1118" i="34"/>
  <c r="BL1118" i="34"/>
  <c r="BK1118" i="34"/>
  <c r="BJ1118" i="34"/>
  <c r="BI1118" i="34"/>
  <c r="BH1118" i="34"/>
  <c r="BG1118" i="34"/>
  <c r="BF1118" i="34"/>
  <c r="BE1118" i="34"/>
  <c r="BD1118" i="34"/>
  <c r="BC1118" i="34"/>
  <c r="AZ1118" i="34"/>
  <c r="AY1118" i="34"/>
  <c r="AX1118" i="34"/>
  <c r="AW1118" i="34"/>
  <c r="AV1118" i="34"/>
  <c r="AU1118" i="34"/>
  <c r="AT1118" i="34"/>
  <c r="AS1118" i="34"/>
  <c r="AR1118" i="34"/>
  <c r="AQ1118" i="34"/>
  <c r="AP1118" i="34"/>
  <c r="AO1118" i="34"/>
  <c r="AN1118" i="34"/>
  <c r="AM1118" i="34"/>
  <c r="AL1118" i="34"/>
  <c r="AK1118" i="34"/>
  <c r="AJ1118" i="34"/>
  <c r="AI1118" i="34"/>
  <c r="AH1118" i="34"/>
  <c r="AG1118" i="34"/>
  <c r="AF1118" i="34"/>
  <c r="AE1118" i="34"/>
  <c r="AD1118" i="34"/>
  <c r="AC1118" i="34"/>
  <c r="AB1118" i="34"/>
  <c r="AA1118" i="34"/>
  <c r="Z1118" i="34"/>
  <c r="Y1118" i="34"/>
  <c r="X1118" i="34"/>
  <c r="W1118" i="34"/>
  <c r="V1118" i="34"/>
  <c r="U1118" i="34"/>
  <c r="T1118" i="34"/>
  <c r="S1118" i="34"/>
  <c r="R1118" i="34"/>
  <c r="Q1118" i="34"/>
  <c r="P1118" i="34"/>
  <c r="O1118" i="34"/>
  <c r="N1118" i="34"/>
  <c r="M1118" i="34"/>
  <c r="L1118" i="34"/>
  <c r="K1118" i="34"/>
  <c r="BE1117" i="34"/>
  <c r="S1117" i="34"/>
  <c r="R1117" i="34"/>
  <c r="Q1117" i="34"/>
  <c r="O1117" i="34"/>
  <c r="N1117" i="34"/>
  <c r="M1117" i="34"/>
  <c r="L1117" i="34"/>
  <c r="K1117" i="34"/>
  <c r="BY1116" i="34"/>
  <c r="BX1116" i="34"/>
  <c r="BW1116" i="34"/>
  <c r="BV1116" i="34"/>
  <c r="BU1116" i="34"/>
  <c r="BT1116" i="34"/>
  <c r="BS1116" i="34"/>
  <c r="BR1116" i="34"/>
  <c r="BQ1116" i="34"/>
  <c r="BP1116" i="34"/>
  <c r="BO1116" i="34"/>
  <c r="BN1116" i="34"/>
  <c r="BM1116" i="34"/>
  <c r="BL1116" i="34"/>
  <c r="BK1116" i="34"/>
  <c r="BJ1116" i="34"/>
  <c r="BI1116" i="34"/>
  <c r="BH1116" i="34"/>
  <c r="BG1116" i="34"/>
  <c r="BF1116" i="34"/>
  <c r="BE1116" i="34"/>
  <c r="S1116" i="34"/>
  <c r="R1116" i="34"/>
  <c r="Q1116" i="34"/>
  <c r="P1116" i="34"/>
  <c r="O1116" i="34"/>
  <c r="N1116" i="34"/>
  <c r="M1116" i="34"/>
  <c r="L1116" i="34"/>
  <c r="K1116" i="34"/>
  <c r="BE1115" i="34"/>
  <c r="S1115" i="34"/>
  <c r="R1115" i="34"/>
  <c r="Q1115" i="34"/>
  <c r="P1115" i="34"/>
  <c r="O1115" i="34"/>
  <c r="N1115" i="34"/>
  <c r="M1115" i="34"/>
  <c r="L1115" i="34"/>
  <c r="K1115" i="34"/>
  <c r="BF1114" i="34"/>
  <c r="BE1114" i="34"/>
  <c r="BD1114" i="34"/>
  <c r="BC1114" i="34"/>
  <c r="AZ1114" i="34"/>
  <c r="AY1114" i="34"/>
  <c r="AX1114" i="34"/>
  <c r="AW1114" i="34"/>
  <c r="AV1114" i="34"/>
  <c r="AU1114" i="34"/>
  <c r="AT1114" i="34"/>
  <c r="AS1114" i="34"/>
  <c r="AR1114" i="34"/>
  <c r="AQ1114" i="34"/>
  <c r="AP1114" i="34"/>
  <c r="AO1114" i="34"/>
  <c r="AN1114" i="34"/>
  <c r="AM1114" i="34"/>
  <c r="AL1114" i="34"/>
  <c r="AK1114" i="34"/>
  <c r="AJ1114" i="34"/>
  <c r="AI1114" i="34"/>
  <c r="AH1114" i="34"/>
  <c r="AG1114" i="34"/>
  <c r="AF1114" i="34"/>
  <c r="AE1114" i="34"/>
  <c r="AD1114" i="34"/>
  <c r="AC1114" i="34"/>
  <c r="AB1114" i="34"/>
  <c r="AA1114" i="34"/>
  <c r="Z1114" i="34"/>
  <c r="Y1114" i="34"/>
  <c r="X1114" i="34"/>
  <c r="W1114" i="34"/>
  <c r="V1114" i="34"/>
  <c r="U1114" i="34"/>
  <c r="T1114" i="34"/>
  <c r="S1114" i="34"/>
  <c r="R1114" i="34"/>
  <c r="Q1114" i="34"/>
  <c r="P1114" i="34"/>
  <c r="O1114" i="34"/>
  <c r="N1114" i="34"/>
  <c r="M1114" i="34"/>
  <c r="L1114" i="34"/>
  <c r="K1114" i="34"/>
  <c r="BY1113" i="34"/>
  <c r="BX1113" i="34"/>
  <c r="BW1113" i="34"/>
  <c r="BV1113" i="34"/>
  <c r="BU1113" i="34"/>
  <c r="BT1113" i="34"/>
  <c r="BS1113" i="34"/>
  <c r="BR1113" i="34"/>
  <c r="BQ1113" i="34"/>
  <c r="BP1113" i="34"/>
  <c r="BO1113" i="34"/>
  <c r="BN1113" i="34"/>
  <c r="BM1113" i="34"/>
  <c r="BL1113" i="34"/>
  <c r="BK1113" i="34"/>
  <c r="BJ1113" i="34"/>
  <c r="BI1113" i="34"/>
  <c r="BH1113" i="34"/>
  <c r="BG1113" i="34"/>
  <c r="BF1113" i="34"/>
  <c r="BE1113" i="34"/>
  <c r="T1113" i="34"/>
  <c r="S1113" i="34"/>
  <c r="R1113" i="34"/>
  <c r="Q1113" i="34"/>
  <c r="P1113" i="34"/>
  <c r="O1113" i="34"/>
  <c r="N1113" i="34"/>
  <c r="M1113" i="34"/>
  <c r="L1113" i="34"/>
  <c r="K1113" i="34"/>
  <c r="BI1112" i="34"/>
  <c r="BH1112" i="34"/>
  <c r="BG1112" i="34"/>
  <c r="BF1112" i="34"/>
  <c r="BE1112" i="34"/>
  <c r="AE1112" i="34"/>
  <c r="AD1112" i="34"/>
  <c r="AB1112" i="34"/>
  <c r="AA1112" i="34"/>
  <c r="Y1112" i="34"/>
  <c r="X1112" i="34"/>
  <c r="W1112" i="34"/>
  <c r="V1112" i="34"/>
  <c r="U1112" i="34"/>
  <c r="T1112" i="34"/>
  <c r="S1112" i="34"/>
  <c r="R1112" i="34"/>
  <c r="Q1112" i="34"/>
  <c r="P1112" i="34"/>
  <c r="O1112" i="34"/>
  <c r="N1112" i="34"/>
  <c r="M1112" i="34"/>
  <c r="L1112" i="34"/>
  <c r="K1112" i="34"/>
  <c r="BY1111" i="34"/>
  <c r="BX1111" i="34"/>
  <c r="BW1111" i="34"/>
  <c r="BV1111" i="34"/>
  <c r="BU1111" i="34"/>
  <c r="BT1111" i="34"/>
  <c r="BS1111" i="34"/>
  <c r="BR1111" i="34"/>
  <c r="BQ1111" i="34"/>
  <c r="BP1111" i="34"/>
  <c r="BO1111" i="34"/>
  <c r="BN1111" i="34"/>
  <c r="BM1111" i="34"/>
  <c r="BL1111" i="34"/>
  <c r="BK1111" i="34"/>
  <c r="BJ1111" i="34"/>
  <c r="BI1111" i="34"/>
  <c r="BH1111" i="34"/>
  <c r="BG1111" i="34"/>
  <c r="BF1111" i="34"/>
  <c r="BE1111" i="34"/>
  <c r="BD1111" i="34"/>
  <c r="BC1111" i="34"/>
  <c r="AZ1111" i="34"/>
  <c r="AY1111" i="34"/>
  <c r="AX1111" i="34"/>
  <c r="AW1111" i="34"/>
  <c r="AV1111" i="34"/>
  <c r="AU1111" i="34"/>
  <c r="AT1111" i="34"/>
  <c r="AS1111" i="34"/>
  <c r="AR1111" i="34"/>
  <c r="AQ1111" i="34"/>
  <c r="AP1111" i="34"/>
  <c r="AO1111" i="34"/>
  <c r="AN1111" i="34"/>
  <c r="AM1111" i="34"/>
  <c r="AL1111" i="34"/>
  <c r="AK1111" i="34"/>
  <c r="AJ1111" i="34"/>
  <c r="AI1111" i="34"/>
  <c r="AH1111" i="34"/>
  <c r="AG1111" i="34"/>
  <c r="AF1111" i="34"/>
  <c r="AE1111" i="34"/>
  <c r="AD1111" i="34"/>
  <c r="AC1111" i="34"/>
  <c r="AB1111" i="34"/>
  <c r="AA1111" i="34"/>
  <c r="Z1111" i="34"/>
  <c r="Y1111" i="34"/>
  <c r="X1111" i="34"/>
  <c r="W1111" i="34"/>
  <c r="V1111" i="34"/>
  <c r="U1111" i="34"/>
  <c r="T1111" i="34"/>
  <c r="S1111" i="34"/>
  <c r="R1111" i="34"/>
  <c r="Q1111" i="34"/>
  <c r="P1111" i="34"/>
  <c r="O1111" i="34"/>
  <c r="N1111" i="34"/>
  <c r="M1111" i="34"/>
  <c r="L1111" i="34"/>
  <c r="K1111" i="34"/>
  <c r="BY1110" i="34"/>
  <c r="BX1110" i="34"/>
  <c r="BW1110" i="34"/>
  <c r="BV1110" i="34"/>
  <c r="BU1110" i="34"/>
  <c r="BT1110" i="34"/>
  <c r="BS1110" i="34"/>
  <c r="BR1110" i="34"/>
  <c r="BQ1110" i="34"/>
  <c r="BP1110" i="34"/>
  <c r="BO1110" i="34"/>
  <c r="BN1110" i="34"/>
  <c r="BM1110" i="34"/>
  <c r="BL1110" i="34"/>
  <c r="BK1110" i="34"/>
  <c r="BJ1110" i="34"/>
  <c r="BI1110" i="34"/>
  <c r="BH1110" i="34"/>
  <c r="BG1110" i="34"/>
  <c r="BF1110" i="34"/>
  <c r="BE1110" i="34"/>
  <c r="S1110" i="34"/>
  <c r="R1110" i="34"/>
  <c r="Q1110" i="34"/>
  <c r="P1110" i="34"/>
  <c r="O1110" i="34"/>
  <c r="N1110" i="34"/>
  <c r="M1110" i="34"/>
  <c r="L1110" i="34"/>
  <c r="K1110" i="34"/>
  <c r="BE1109" i="34"/>
  <c r="S1109" i="34"/>
  <c r="R1109" i="34"/>
  <c r="Q1109" i="34"/>
  <c r="P1109" i="34"/>
  <c r="O1109" i="34"/>
  <c r="N1109" i="34"/>
  <c r="M1109" i="34"/>
  <c r="L1109" i="34"/>
  <c r="K1109" i="34"/>
  <c r="BF1108" i="34"/>
  <c r="BE1108" i="34"/>
  <c r="Z1108" i="34"/>
  <c r="Y1108" i="34"/>
  <c r="X1108" i="34"/>
  <c r="V1108" i="34"/>
  <c r="U1108" i="34"/>
  <c r="T1108" i="34"/>
  <c r="S1108" i="34"/>
  <c r="R1108" i="34"/>
  <c r="Q1108" i="34"/>
  <c r="P1108" i="34"/>
  <c r="O1108" i="34"/>
  <c r="N1108" i="34"/>
  <c r="M1108" i="34"/>
  <c r="L1108" i="34"/>
  <c r="K1108" i="34"/>
  <c r="BY1107" i="34"/>
  <c r="BX1107" i="34"/>
  <c r="BW1107" i="34"/>
  <c r="BV1107" i="34"/>
  <c r="BU1107" i="34"/>
  <c r="BT1107" i="34"/>
  <c r="BS1107" i="34"/>
  <c r="BR1107" i="34"/>
  <c r="BQ1107" i="34"/>
  <c r="BP1107" i="34"/>
  <c r="BO1107" i="34"/>
  <c r="BN1107" i="34"/>
  <c r="BM1107" i="34"/>
  <c r="BL1107" i="34"/>
  <c r="BK1107" i="34"/>
  <c r="BJ1107" i="34"/>
  <c r="BI1107" i="34"/>
  <c r="BH1107" i="34"/>
  <c r="BG1107" i="34"/>
  <c r="BF1107" i="34"/>
  <c r="BE1107" i="34"/>
  <c r="BD1107" i="34"/>
  <c r="BC1107" i="34"/>
  <c r="AZ1107" i="34"/>
  <c r="AY1107" i="34"/>
  <c r="AX1107" i="34"/>
  <c r="AW1107" i="34"/>
  <c r="AV1107" i="34"/>
  <c r="AU1107" i="34"/>
  <c r="AT1107" i="34"/>
  <c r="AS1107" i="34"/>
  <c r="AR1107" i="34"/>
  <c r="AQ1107" i="34"/>
  <c r="AP1107" i="34"/>
  <c r="AO1107" i="34"/>
  <c r="AN1107" i="34"/>
  <c r="AM1107" i="34"/>
  <c r="AL1107" i="34"/>
  <c r="AK1107" i="34"/>
  <c r="AJ1107" i="34"/>
  <c r="AI1107" i="34"/>
  <c r="AH1107" i="34"/>
  <c r="AG1107" i="34"/>
  <c r="AF1107" i="34"/>
  <c r="T1107" i="34"/>
  <c r="S1107" i="34"/>
  <c r="R1107" i="34"/>
  <c r="Q1107" i="34"/>
  <c r="P1107" i="34"/>
  <c r="O1107" i="34"/>
  <c r="N1107" i="34"/>
  <c r="M1107" i="34"/>
  <c r="L1107" i="34"/>
  <c r="K1107" i="34"/>
  <c r="BE1106" i="34"/>
  <c r="AC1106" i="34"/>
  <c r="S1106" i="34"/>
  <c r="R1106" i="34"/>
  <c r="Q1106" i="34"/>
  <c r="O1106" i="34"/>
  <c r="N1106" i="34"/>
  <c r="M1106" i="34"/>
  <c r="L1106" i="34"/>
  <c r="K1106" i="34"/>
  <c r="BY1105" i="34"/>
  <c r="BX1105" i="34"/>
  <c r="BW1105" i="34"/>
  <c r="BV1105" i="34"/>
  <c r="BU1105" i="34"/>
  <c r="BT1105" i="34"/>
  <c r="BS1105" i="34"/>
  <c r="BR1105" i="34"/>
  <c r="BQ1105" i="34"/>
  <c r="BP1105" i="34"/>
  <c r="BO1105" i="34"/>
  <c r="BN1105" i="34"/>
  <c r="BM1105" i="34"/>
  <c r="BL1105" i="34"/>
  <c r="BK1105" i="34"/>
  <c r="BJ1105" i="34"/>
  <c r="BI1105" i="34"/>
  <c r="BH1105" i="34"/>
  <c r="BG1105" i="34"/>
  <c r="BF1105" i="34"/>
  <c r="BE1105" i="34"/>
  <c r="BD1105" i="34"/>
  <c r="BC1105" i="34"/>
  <c r="AZ1105" i="34"/>
  <c r="AY1105" i="34"/>
  <c r="AX1105" i="34"/>
  <c r="AW1105" i="34"/>
  <c r="AV1105" i="34"/>
  <c r="AU1105" i="34"/>
  <c r="AT1105" i="34"/>
  <c r="AS1105" i="34"/>
  <c r="AR1105" i="34"/>
  <c r="AQ1105" i="34"/>
  <c r="AP1105" i="34"/>
  <c r="AO1105" i="34"/>
  <c r="AN1105" i="34"/>
  <c r="AM1105" i="34"/>
  <c r="AL1105" i="34"/>
  <c r="AK1105" i="34"/>
  <c r="AJ1105" i="34"/>
  <c r="AI1105" i="34"/>
  <c r="AH1105" i="34"/>
  <c r="AG1105" i="34"/>
  <c r="AF1105" i="34"/>
  <c r="AE1105" i="34"/>
  <c r="AD1105" i="34"/>
  <c r="AC1105" i="34"/>
  <c r="AB1105" i="34"/>
  <c r="AA1105" i="34"/>
  <c r="Z1105" i="34"/>
  <c r="Y1105" i="34"/>
  <c r="X1105" i="34"/>
  <c r="W1105" i="34"/>
  <c r="V1105" i="34"/>
  <c r="U1105" i="34"/>
  <c r="T1105" i="34"/>
  <c r="S1105" i="34"/>
  <c r="R1105" i="34"/>
  <c r="Q1105" i="34"/>
  <c r="P1105" i="34"/>
  <c r="O1105" i="34"/>
  <c r="N1105" i="34"/>
  <c r="M1105" i="34"/>
  <c r="L1105" i="34"/>
  <c r="K1105" i="34"/>
  <c r="BY1104" i="34"/>
  <c r="BX1104" i="34"/>
  <c r="BW1104" i="34"/>
  <c r="BV1104" i="34"/>
  <c r="BU1104" i="34"/>
  <c r="BT1104" i="34"/>
  <c r="BS1104" i="34"/>
  <c r="BR1104" i="34"/>
  <c r="BQ1104" i="34"/>
  <c r="BP1104" i="34"/>
  <c r="BO1104" i="34"/>
  <c r="BN1104" i="34"/>
  <c r="BM1104" i="34"/>
  <c r="BL1104" i="34"/>
  <c r="BK1104" i="34"/>
  <c r="BJ1104" i="34"/>
  <c r="BI1104" i="34"/>
  <c r="BH1104" i="34"/>
  <c r="BG1104" i="34"/>
  <c r="BF1104" i="34"/>
  <c r="BE1104" i="34"/>
  <c r="BD1104" i="34"/>
  <c r="BC1104" i="34"/>
  <c r="AZ1104" i="34"/>
  <c r="AY1104" i="34"/>
  <c r="AX1104" i="34"/>
  <c r="AW1104" i="34"/>
  <c r="AV1104" i="34"/>
  <c r="AU1104" i="34"/>
  <c r="AT1104" i="34"/>
  <c r="AS1104" i="34"/>
  <c r="AR1104" i="34"/>
  <c r="AQ1104" i="34"/>
  <c r="AP1104" i="34"/>
  <c r="AO1104" i="34"/>
  <c r="AN1104" i="34"/>
  <c r="AM1104" i="34"/>
  <c r="AL1104" i="34"/>
  <c r="AK1104" i="34"/>
  <c r="AJ1104" i="34"/>
  <c r="AI1104" i="34"/>
  <c r="AH1104" i="34"/>
  <c r="AG1104" i="34"/>
  <c r="AF1104" i="34"/>
  <c r="AE1104" i="34"/>
  <c r="AD1104" i="34"/>
  <c r="AC1104" i="34"/>
  <c r="AB1104" i="34"/>
  <c r="AA1104" i="34"/>
  <c r="Z1104" i="34"/>
  <c r="Y1104" i="34"/>
  <c r="X1104" i="34"/>
  <c r="W1104" i="34"/>
  <c r="V1104" i="34"/>
  <c r="U1104" i="34"/>
  <c r="T1104" i="34"/>
  <c r="S1104" i="34"/>
  <c r="R1104" i="34"/>
  <c r="Q1104" i="34"/>
  <c r="P1104" i="34"/>
  <c r="O1104" i="34"/>
  <c r="N1104" i="34"/>
  <c r="M1104" i="34"/>
  <c r="L1104" i="34"/>
  <c r="K1104" i="34"/>
  <c r="BY1103" i="34"/>
  <c r="BX1103" i="34"/>
  <c r="BW1103" i="34"/>
  <c r="BV1103" i="34"/>
  <c r="BU1103" i="34"/>
  <c r="BT1103" i="34"/>
  <c r="BS1103" i="34"/>
  <c r="BR1103" i="34"/>
  <c r="BQ1103" i="34"/>
  <c r="BP1103" i="34"/>
  <c r="BO1103" i="34"/>
  <c r="BN1103" i="34"/>
  <c r="BM1103" i="34"/>
  <c r="BL1103" i="34"/>
  <c r="BK1103" i="34"/>
  <c r="BJ1103" i="34"/>
  <c r="BI1103" i="34"/>
  <c r="BH1103" i="34"/>
  <c r="BG1103" i="34"/>
  <c r="BF1103" i="34"/>
  <c r="BE1103" i="34"/>
  <c r="BD1103" i="34"/>
  <c r="BC1103" i="34"/>
  <c r="AZ1103" i="34"/>
  <c r="AY1103" i="34"/>
  <c r="AX1103" i="34"/>
  <c r="AW1103" i="34"/>
  <c r="AV1103" i="34"/>
  <c r="AU1103" i="34"/>
  <c r="AT1103" i="34"/>
  <c r="AS1103" i="34"/>
  <c r="AR1103" i="34"/>
  <c r="AQ1103" i="34"/>
  <c r="AP1103" i="34"/>
  <c r="AO1103" i="34"/>
  <c r="AN1103" i="34"/>
  <c r="AM1103" i="34"/>
  <c r="AL1103" i="34"/>
  <c r="AK1103" i="34"/>
  <c r="AJ1103" i="34"/>
  <c r="AI1103" i="34"/>
  <c r="AH1103" i="34"/>
  <c r="AG1103" i="34"/>
  <c r="AF1103" i="34"/>
  <c r="AE1103" i="34"/>
  <c r="AD1103" i="34"/>
  <c r="AC1103" i="34"/>
  <c r="AB1103" i="34"/>
  <c r="AA1103" i="34"/>
  <c r="Z1103" i="34"/>
  <c r="Y1103" i="34"/>
  <c r="X1103" i="34"/>
  <c r="W1103" i="34"/>
  <c r="V1103" i="34"/>
  <c r="U1103" i="34"/>
  <c r="T1103" i="34"/>
  <c r="S1103" i="34"/>
  <c r="R1103" i="34"/>
  <c r="Q1103" i="34"/>
  <c r="P1103" i="34"/>
  <c r="O1103" i="34"/>
  <c r="N1103" i="34"/>
  <c r="M1103" i="34"/>
  <c r="L1103" i="34"/>
  <c r="K1103" i="34"/>
  <c r="BY1102" i="34"/>
  <c r="BX1102" i="34"/>
  <c r="BW1102" i="34"/>
  <c r="BV1102" i="34"/>
  <c r="BU1102" i="34"/>
  <c r="BT1102" i="34"/>
  <c r="BS1102" i="34"/>
  <c r="BR1102" i="34"/>
  <c r="BQ1102" i="34"/>
  <c r="BP1102" i="34"/>
  <c r="BO1102" i="34"/>
  <c r="BN1102" i="34"/>
  <c r="BM1102" i="34"/>
  <c r="BL1102" i="34"/>
  <c r="BK1102" i="34"/>
  <c r="BJ1102" i="34"/>
  <c r="BI1102" i="34"/>
  <c r="BH1102" i="34"/>
  <c r="BG1102" i="34"/>
  <c r="BF1102" i="34"/>
  <c r="BE1102" i="34"/>
  <c r="BD1102" i="34"/>
  <c r="BC1102" i="34"/>
  <c r="AZ1102" i="34"/>
  <c r="AY1102" i="34"/>
  <c r="AX1102" i="34"/>
  <c r="AW1102" i="34"/>
  <c r="AV1102" i="34"/>
  <c r="AU1102" i="34"/>
  <c r="AT1102" i="34"/>
  <c r="AS1102" i="34"/>
  <c r="AR1102" i="34"/>
  <c r="AQ1102" i="34"/>
  <c r="AP1102" i="34"/>
  <c r="AO1102" i="34"/>
  <c r="AN1102" i="34"/>
  <c r="AM1102" i="34"/>
  <c r="AL1102" i="34"/>
  <c r="AK1102" i="34"/>
  <c r="AJ1102" i="34"/>
  <c r="AI1102" i="34"/>
  <c r="AH1102" i="34"/>
  <c r="AG1102" i="34"/>
  <c r="AF1102" i="34"/>
  <c r="AE1102" i="34"/>
  <c r="AD1102" i="34"/>
  <c r="AC1102" i="34"/>
  <c r="AB1102" i="34"/>
  <c r="AA1102" i="34"/>
  <c r="Z1102" i="34"/>
  <c r="Y1102" i="34"/>
  <c r="X1102" i="34"/>
  <c r="W1102" i="34"/>
  <c r="V1102" i="34"/>
  <c r="U1102" i="34"/>
  <c r="T1102" i="34"/>
  <c r="S1102" i="34"/>
  <c r="R1102" i="34"/>
  <c r="Q1102" i="34"/>
  <c r="P1102" i="34"/>
  <c r="O1102" i="34"/>
  <c r="N1102" i="34"/>
  <c r="M1102" i="34"/>
  <c r="L1102" i="34"/>
  <c r="K1102" i="34"/>
  <c r="BY1100" i="34"/>
  <c r="BX1100" i="34"/>
  <c r="BW1100" i="34"/>
  <c r="BV1100" i="34"/>
  <c r="BU1100" i="34"/>
  <c r="BT1100" i="34"/>
  <c r="BS1100" i="34"/>
  <c r="BR1100" i="34"/>
  <c r="BQ1100" i="34"/>
  <c r="BP1100" i="34"/>
  <c r="BO1100" i="34"/>
  <c r="BN1100" i="34"/>
  <c r="BM1100" i="34"/>
  <c r="BL1100" i="34"/>
  <c r="BK1100" i="34"/>
  <c r="BJ1100" i="34"/>
  <c r="BI1100" i="34"/>
  <c r="BH1100" i="34"/>
  <c r="BG1100" i="34"/>
  <c r="BF1100" i="34"/>
  <c r="BE1100" i="34"/>
  <c r="BD1100" i="34"/>
  <c r="BC1100" i="34"/>
  <c r="AZ1100" i="34"/>
  <c r="AY1100" i="34"/>
  <c r="AX1100" i="34"/>
  <c r="AW1100" i="34"/>
  <c r="AV1100" i="34"/>
  <c r="AU1100" i="34"/>
  <c r="AT1100" i="34"/>
  <c r="AS1100" i="34"/>
  <c r="AR1100" i="34"/>
  <c r="AQ1100" i="34"/>
  <c r="AP1100" i="34"/>
  <c r="AO1100" i="34"/>
  <c r="AN1100" i="34"/>
  <c r="AM1100" i="34"/>
  <c r="AL1100" i="34"/>
  <c r="AK1100" i="34"/>
  <c r="AJ1100" i="34"/>
  <c r="AI1100" i="34"/>
  <c r="AH1100" i="34"/>
  <c r="AG1100" i="34"/>
  <c r="AF1100" i="34"/>
  <c r="AE1100" i="34"/>
  <c r="AD1100" i="34"/>
  <c r="AC1100" i="34"/>
  <c r="AB1100" i="34"/>
  <c r="AA1100" i="34"/>
  <c r="Z1100" i="34"/>
  <c r="Y1100" i="34"/>
  <c r="X1100" i="34"/>
  <c r="W1100" i="34"/>
  <c r="V1100" i="34"/>
  <c r="U1100" i="34"/>
  <c r="T1100" i="34"/>
  <c r="S1100" i="34"/>
  <c r="R1100" i="34"/>
  <c r="Q1100" i="34"/>
  <c r="P1100" i="34"/>
  <c r="O1100" i="34"/>
  <c r="N1100" i="34"/>
  <c r="M1100" i="34"/>
  <c r="L1100" i="34"/>
  <c r="K1100" i="34"/>
  <c r="BY1099" i="34"/>
  <c r="BX1099" i="34"/>
  <c r="BW1099" i="34"/>
  <c r="BV1099" i="34"/>
  <c r="BU1099" i="34"/>
  <c r="BT1099" i="34"/>
  <c r="BS1099" i="34"/>
  <c r="BR1099" i="34"/>
  <c r="BQ1099" i="34"/>
  <c r="BM1099" i="34"/>
  <c r="BL1099" i="34"/>
  <c r="BK1099" i="34"/>
  <c r="BJ1099" i="34"/>
  <c r="BI1099" i="34"/>
  <c r="BH1099" i="34"/>
  <c r="BG1099" i="34"/>
  <c r="BF1099" i="34"/>
  <c r="BE1099" i="34"/>
  <c r="AB1099" i="34"/>
  <c r="AA1099" i="34"/>
  <c r="Z1099" i="34"/>
  <c r="Y1099" i="34"/>
  <c r="X1099" i="34"/>
  <c r="W1099" i="34"/>
  <c r="V1099" i="34"/>
  <c r="U1099" i="34"/>
  <c r="T1099" i="34"/>
  <c r="S1099" i="34"/>
  <c r="R1099" i="34"/>
  <c r="Q1099" i="34"/>
  <c r="P1099" i="34"/>
  <c r="O1099" i="34"/>
  <c r="N1099" i="34"/>
  <c r="M1099" i="34"/>
  <c r="L1099" i="34"/>
  <c r="K1099" i="34"/>
  <c r="BY1098" i="34"/>
  <c r="BX1098" i="34"/>
  <c r="BW1098" i="34"/>
  <c r="BV1098" i="34"/>
  <c r="BU1098" i="34"/>
  <c r="BT1098" i="34"/>
  <c r="BS1098" i="34"/>
  <c r="BR1098" i="34"/>
  <c r="BQ1098" i="34"/>
  <c r="BM1098" i="34"/>
  <c r="BL1098" i="34"/>
  <c r="BK1098" i="34"/>
  <c r="BJ1098" i="34"/>
  <c r="BI1098" i="34"/>
  <c r="BH1098" i="34"/>
  <c r="BG1098" i="34"/>
  <c r="BF1098" i="34"/>
  <c r="BE1098" i="34"/>
  <c r="AB1098" i="34"/>
  <c r="AA1098" i="34"/>
  <c r="Z1098" i="34"/>
  <c r="Y1098" i="34"/>
  <c r="X1098" i="34"/>
  <c r="W1098" i="34"/>
  <c r="V1098" i="34"/>
  <c r="U1098" i="34"/>
  <c r="T1098" i="34"/>
  <c r="S1098" i="34"/>
  <c r="R1098" i="34"/>
  <c r="Q1098" i="34"/>
  <c r="P1098" i="34"/>
  <c r="O1098" i="34"/>
  <c r="N1098" i="34"/>
  <c r="M1098" i="34"/>
  <c r="L1098" i="34"/>
  <c r="K1098" i="34"/>
  <c r="BY1097" i="34"/>
  <c r="BX1097" i="34"/>
  <c r="BW1097" i="34"/>
  <c r="BV1097" i="34"/>
  <c r="BU1097" i="34"/>
  <c r="BT1097" i="34"/>
  <c r="BS1097" i="34"/>
  <c r="BR1097" i="34"/>
  <c r="BQ1097" i="34"/>
  <c r="BM1097" i="34"/>
  <c r="BL1097" i="34"/>
  <c r="BK1097" i="34"/>
  <c r="BJ1097" i="34"/>
  <c r="BI1097" i="34"/>
  <c r="BH1097" i="34"/>
  <c r="BG1097" i="34"/>
  <c r="BF1097" i="34"/>
  <c r="BE1097" i="34"/>
  <c r="AB1097" i="34"/>
  <c r="AA1097" i="34"/>
  <c r="Z1097" i="34"/>
  <c r="Y1097" i="34"/>
  <c r="X1097" i="34"/>
  <c r="W1097" i="34"/>
  <c r="V1097" i="34"/>
  <c r="U1097" i="34"/>
  <c r="T1097" i="34"/>
  <c r="S1097" i="34"/>
  <c r="R1097" i="34"/>
  <c r="Q1097" i="34"/>
  <c r="P1097" i="34"/>
  <c r="O1097" i="34"/>
  <c r="N1097" i="34"/>
  <c r="M1097" i="34"/>
  <c r="L1097" i="34"/>
  <c r="K1097" i="34"/>
  <c r="BY1096" i="34"/>
  <c r="BX1096" i="34"/>
  <c r="BW1096" i="34"/>
  <c r="BV1096" i="34"/>
  <c r="BU1096" i="34"/>
  <c r="BT1096" i="34"/>
  <c r="BS1096" i="34"/>
  <c r="BR1096" i="34"/>
  <c r="BQ1096" i="34"/>
  <c r="BM1096" i="34"/>
  <c r="BL1096" i="34"/>
  <c r="BK1096" i="34"/>
  <c r="BJ1096" i="34"/>
  <c r="BI1096" i="34"/>
  <c r="BH1096" i="34"/>
  <c r="BG1096" i="34"/>
  <c r="BF1096" i="34"/>
  <c r="BE1096" i="34"/>
  <c r="AB1096" i="34"/>
  <c r="AA1096" i="34"/>
  <c r="Z1096" i="34"/>
  <c r="Y1096" i="34"/>
  <c r="X1096" i="34"/>
  <c r="W1096" i="34"/>
  <c r="V1096" i="34"/>
  <c r="U1096" i="34"/>
  <c r="T1096" i="34"/>
  <c r="S1096" i="34"/>
  <c r="R1096" i="34"/>
  <c r="Q1096" i="34"/>
  <c r="P1096" i="34"/>
  <c r="O1096" i="34"/>
  <c r="N1096" i="34"/>
  <c r="M1096" i="34"/>
  <c r="L1096" i="34"/>
  <c r="K1096" i="34"/>
  <c r="BY1095" i="34"/>
  <c r="BX1095" i="34"/>
  <c r="BW1095" i="34"/>
  <c r="BV1095" i="34"/>
  <c r="BU1095" i="34"/>
  <c r="BT1095" i="34"/>
  <c r="BS1095" i="34"/>
  <c r="BR1095" i="34"/>
  <c r="BQ1095" i="34"/>
  <c r="BM1095" i="34"/>
  <c r="BL1095" i="34"/>
  <c r="BK1095" i="34"/>
  <c r="BJ1095" i="34"/>
  <c r="BI1095" i="34"/>
  <c r="BH1095" i="34"/>
  <c r="BG1095" i="34"/>
  <c r="BF1095" i="34"/>
  <c r="BE1095" i="34"/>
  <c r="AB1095" i="34"/>
  <c r="AA1095" i="34"/>
  <c r="Z1095" i="34"/>
  <c r="Y1095" i="34"/>
  <c r="X1095" i="34"/>
  <c r="W1095" i="34"/>
  <c r="V1095" i="34"/>
  <c r="U1095" i="34"/>
  <c r="T1095" i="34"/>
  <c r="S1095" i="34"/>
  <c r="R1095" i="34"/>
  <c r="Q1095" i="34"/>
  <c r="P1095" i="34"/>
  <c r="O1095" i="34"/>
  <c r="N1095" i="34"/>
  <c r="M1095" i="34"/>
  <c r="L1095" i="34"/>
  <c r="K1095" i="34"/>
  <c r="BY1094" i="34"/>
  <c r="BX1094" i="34"/>
  <c r="BW1094" i="34"/>
  <c r="BV1094" i="34"/>
  <c r="BU1094" i="34"/>
  <c r="BT1094" i="34"/>
  <c r="BS1094" i="34"/>
  <c r="BR1094" i="34"/>
  <c r="BQ1094" i="34"/>
  <c r="BM1094" i="34"/>
  <c r="BL1094" i="34"/>
  <c r="BK1094" i="34"/>
  <c r="BJ1094" i="34"/>
  <c r="BI1094" i="34"/>
  <c r="BH1094" i="34"/>
  <c r="BG1094" i="34"/>
  <c r="BF1094" i="34"/>
  <c r="BE1094" i="34"/>
  <c r="AB1094" i="34"/>
  <c r="AA1094" i="34"/>
  <c r="Z1094" i="34"/>
  <c r="Y1094" i="34"/>
  <c r="X1094" i="34"/>
  <c r="W1094" i="34"/>
  <c r="V1094" i="34"/>
  <c r="U1094" i="34"/>
  <c r="T1094" i="34"/>
  <c r="S1094" i="34"/>
  <c r="R1094" i="34"/>
  <c r="Q1094" i="34"/>
  <c r="P1094" i="34"/>
  <c r="O1094" i="34"/>
  <c r="N1094" i="34"/>
  <c r="M1094" i="34"/>
  <c r="L1094" i="34"/>
  <c r="K1094" i="34"/>
  <c r="BY1093" i="34"/>
  <c r="BX1093" i="34"/>
  <c r="BW1093" i="34"/>
  <c r="BV1093" i="34"/>
  <c r="BU1093" i="34"/>
  <c r="BT1093" i="34"/>
  <c r="BS1093" i="34"/>
  <c r="BR1093" i="34"/>
  <c r="BQ1093" i="34"/>
  <c r="BM1093" i="34"/>
  <c r="BL1093" i="34"/>
  <c r="BK1093" i="34"/>
  <c r="BJ1093" i="34"/>
  <c r="BI1093" i="34"/>
  <c r="BH1093" i="34"/>
  <c r="BG1093" i="34"/>
  <c r="BF1093" i="34"/>
  <c r="BE1093" i="34"/>
  <c r="AB1093" i="34"/>
  <c r="AA1093" i="34"/>
  <c r="Z1093" i="34"/>
  <c r="Y1093" i="34"/>
  <c r="X1093" i="34"/>
  <c r="W1093" i="34"/>
  <c r="V1093" i="34"/>
  <c r="U1093" i="34"/>
  <c r="T1093" i="34"/>
  <c r="S1093" i="34"/>
  <c r="R1093" i="34"/>
  <c r="Q1093" i="34"/>
  <c r="P1093" i="34"/>
  <c r="O1093" i="34"/>
  <c r="N1093" i="34"/>
  <c r="M1093" i="34"/>
  <c r="L1093" i="34"/>
  <c r="K1093" i="34"/>
  <c r="BY1092" i="34"/>
  <c r="BX1092" i="34"/>
  <c r="BW1092" i="34"/>
  <c r="BV1092" i="34"/>
  <c r="BU1092" i="34"/>
  <c r="BT1092" i="34"/>
  <c r="BS1092" i="34"/>
  <c r="BR1092" i="34"/>
  <c r="BQ1092" i="34"/>
  <c r="BP1092" i="34"/>
  <c r="BO1092" i="34"/>
  <c r="BN1092" i="34"/>
  <c r="BM1092" i="34"/>
  <c r="BL1092" i="34"/>
  <c r="BK1092" i="34"/>
  <c r="BJ1092" i="34"/>
  <c r="BI1092" i="34"/>
  <c r="BH1092" i="34"/>
  <c r="BG1092" i="34"/>
  <c r="BF1092" i="34"/>
  <c r="BE1092" i="34"/>
  <c r="BD1092" i="34"/>
  <c r="BC1092" i="34"/>
  <c r="AZ1092" i="34"/>
  <c r="AY1092" i="34"/>
  <c r="AX1092" i="34"/>
  <c r="AW1092" i="34"/>
  <c r="AV1092" i="34"/>
  <c r="AU1092" i="34"/>
  <c r="AT1092" i="34"/>
  <c r="AS1092" i="34"/>
  <c r="AR1092" i="34"/>
  <c r="AQ1092" i="34"/>
  <c r="AP1092" i="34"/>
  <c r="AO1092" i="34"/>
  <c r="AN1092" i="34"/>
  <c r="AM1092" i="34"/>
  <c r="AL1092" i="34"/>
  <c r="AK1092" i="34"/>
  <c r="AJ1092" i="34"/>
  <c r="AI1092" i="34"/>
  <c r="AH1092" i="34"/>
  <c r="AG1092" i="34"/>
  <c r="AF1092" i="34"/>
  <c r="AE1092" i="34"/>
  <c r="AD1092" i="34"/>
  <c r="AC1092" i="34"/>
  <c r="AB1092" i="34"/>
  <c r="AA1092" i="34"/>
  <c r="Z1092" i="34"/>
  <c r="Y1092" i="34"/>
  <c r="X1092" i="34"/>
  <c r="W1092" i="34"/>
  <c r="V1092" i="34"/>
  <c r="U1092" i="34"/>
  <c r="T1092" i="34"/>
  <c r="S1092" i="34"/>
  <c r="R1092" i="34"/>
  <c r="Q1092" i="34"/>
  <c r="P1092" i="34"/>
  <c r="O1092" i="34"/>
  <c r="N1092" i="34"/>
  <c r="M1092" i="34"/>
  <c r="L1092" i="34"/>
  <c r="K1092" i="34"/>
  <c r="BY1091" i="34"/>
  <c r="BX1091" i="34"/>
  <c r="BW1091" i="34"/>
  <c r="BV1091" i="34"/>
  <c r="BU1091" i="34"/>
  <c r="BT1091" i="34"/>
  <c r="BS1091" i="34"/>
  <c r="BR1091" i="34"/>
  <c r="BQ1091" i="34"/>
  <c r="BP1091" i="34"/>
  <c r="BO1091" i="34"/>
  <c r="BN1091" i="34"/>
  <c r="BM1091" i="34"/>
  <c r="BL1091" i="34"/>
  <c r="BK1091" i="34"/>
  <c r="BJ1091" i="34"/>
  <c r="BI1091" i="34"/>
  <c r="BH1091" i="34"/>
  <c r="BG1091" i="34"/>
  <c r="BF1091" i="34"/>
  <c r="BE1091" i="34"/>
  <c r="BD1091" i="34"/>
  <c r="BC1091" i="34"/>
  <c r="AZ1091" i="34"/>
  <c r="AY1091" i="34"/>
  <c r="AX1091" i="34"/>
  <c r="AW1091" i="34"/>
  <c r="AV1091" i="34"/>
  <c r="AU1091" i="34"/>
  <c r="AT1091" i="34"/>
  <c r="AS1091" i="34"/>
  <c r="AR1091" i="34"/>
  <c r="AQ1091" i="34"/>
  <c r="AP1091" i="34"/>
  <c r="AO1091" i="34"/>
  <c r="AN1091" i="34"/>
  <c r="AM1091" i="34"/>
  <c r="AL1091" i="34"/>
  <c r="AK1091" i="34"/>
  <c r="AJ1091" i="34"/>
  <c r="AI1091" i="34"/>
  <c r="AH1091" i="34"/>
  <c r="AG1091" i="34"/>
  <c r="AF1091" i="34"/>
  <c r="AE1091" i="34"/>
  <c r="AD1091" i="34"/>
  <c r="AC1091" i="34"/>
  <c r="AB1091" i="34"/>
  <c r="AA1091" i="34"/>
  <c r="Z1091" i="34"/>
  <c r="Y1091" i="34"/>
  <c r="X1091" i="34"/>
  <c r="W1091" i="34"/>
  <c r="V1091" i="34"/>
  <c r="U1091" i="34"/>
  <c r="T1091" i="34"/>
  <c r="S1091" i="34"/>
  <c r="R1091" i="34"/>
  <c r="Q1091" i="34"/>
  <c r="P1091" i="34"/>
  <c r="O1091" i="34"/>
  <c r="N1091" i="34"/>
  <c r="M1091" i="34"/>
  <c r="L1091" i="34"/>
  <c r="K1091" i="34"/>
  <c r="BY1090" i="34"/>
  <c r="BX1090" i="34"/>
  <c r="BW1090" i="34"/>
  <c r="BV1090" i="34"/>
  <c r="BU1090" i="34"/>
  <c r="BT1090" i="34"/>
  <c r="BS1090" i="34"/>
  <c r="BR1090" i="34"/>
  <c r="BQ1090" i="34"/>
  <c r="BM1090" i="34"/>
  <c r="BL1090" i="34"/>
  <c r="BK1090" i="34"/>
  <c r="BJ1090" i="34"/>
  <c r="BI1090" i="34"/>
  <c r="BH1090" i="34"/>
  <c r="BG1090" i="34"/>
  <c r="BF1090" i="34"/>
  <c r="BE1090" i="34"/>
  <c r="BD1090" i="34"/>
  <c r="BC1090" i="34"/>
  <c r="AZ1090" i="34"/>
  <c r="AY1090" i="34"/>
  <c r="AX1090" i="34"/>
  <c r="AW1090" i="34"/>
  <c r="AV1090" i="34"/>
  <c r="AU1090" i="34"/>
  <c r="AT1090" i="34"/>
  <c r="AS1090" i="34"/>
  <c r="AR1090" i="34"/>
  <c r="AQ1090" i="34"/>
  <c r="AP1090" i="34"/>
  <c r="AO1090" i="34"/>
  <c r="AN1090" i="34"/>
  <c r="AM1090" i="34"/>
  <c r="AL1090" i="34"/>
  <c r="AK1090" i="34"/>
  <c r="AJ1090" i="34"/>
  <c r="AI1090" i="34"/>
  <c r="AH1090" i="34"/>
  <c r="AG1090" i="34"/>
  <c r="AF1090" i="34"/>
  <c r="AE1090" i="34"/>
  <c r="AD1090" i="34"/>
  <c r="AC1090" i="34"/>
  <c r="AB1090" i="34"/>
  <c r="AA1090" i="34"/>
  <c r="Z1090" i="34"/>
  <c r="Y1090" i="34"/>
  <c r="X1090" i="34"/>
  <c r="W1090" i="34"/>
  <c r="V1090" i="34"/>
  <c r="U1090" i="34"/>
  <c r="T1090" i="34"/>
  <c r="S1090" i="34"/>
  <c r="R1090" i="34"/>
  <c r="Q1090" i="34"/>
  <c r="P1090" i="34"/>
  <c r="O1090" i="34"/>
  <c r="N1090" i="34"/>
  <c r="M1090" i="34"/>
  <c r="L1090" i="34"/>
  <c r="K1090" i="34"/>
  <c r="BY1089" i="34"/>
  <c r="BX1089" i="34"/>
  <c r="BW1089" i="34"/>
  <c r="BV1089" i="34"/>
  <c r="BU1089" i="34"/>
  <c r="BT1089" i="34"/>
  <c r="BS1089" i="34"/>
  <c r="BR1089" i="34"/>
  <c r="BQ1089" i="34"/>
  <c r="BP1089" i="34"/>
  <c r="BO1089" i="34"/>
  <c r="BN1089" i="34"/>
  <c r="BM1089" i="34"/>
  <c r="BL1089" i="34"/>
  <c r="BK1089" i="34"/>
  <c r="BJ1089" i="34"/>
  <c r="BI1089" i="34"/>
  <c r="BH1089" i="34"/>
  <c r="BG1089" i="34"/>
  <c r="BF1089" i="34"/>
  <c r="BE1089" i="34"/>
  <c r="BD1089" i="34"/>
  <c r="BC1089" i="34"/>
  <c r="AZ1089" i="34"/>
  <c r="AY1089" i="34"/>
  <c r="AX1089" i="34"/>
  <c r="AW1089" i="34"/>
  <c r="AV1089" i="34"/>
  <c r="AU1089" i="34"/>
  <c r="AT1089" i="34"/>
  <c r="AS1089" i="34"/>
  <c r="AR1089" i="34"/>
  <c r="AQ1089" i="34"/>
  <c r="AP1089" i="34"/>
  <c r="AO1089" i="34"/>
  <c r="AN1089" i="34"/>
  <c r="AM1089" i="34"/>
  <c r="AL1089" i="34"/>
  <c r="AK1089" i="34"/>
  <c r="AJ1089" i="34"/>
  <c r="AI1089" i="34"/>
  <c r="AH1089" i="34"/>
  <c r="AG1089" i="34"/>
  <c r="AF1089" i="34"/>
  <c r="AE1089" i="34"/>
  <c r="AD1089" i="34"/>
  <c r="AC1089" i="34"/>
  <c r="AB1089" i="34"/>
  <c r="AA1089" i="34"/>
  <c r="Z1089" i="34"/>
  <c r="Y1089" i="34"/>
  <c r="X1089" i="34"/>
  <c r="W1089" i="34"/>
  <c r="V1089" i="34"/>
  <c r="U1089" i="34"/>
  <c r="T1089" i="34"/>
  <c r="S1089" i="34"/>
  <c r="R1089" i="34"/>
  <c r="Q1089" i="34"/>
  <c r="P1089" i="34"/>
  <c r="O1089" i="34"/>
  <c r="N1089" i="34"/>
  <c r="M1089" i="34"/>
  <c r="L1089" i="34"/>
  <c r="K1089" i="34"/>
  <c r="BY1088" i="34"/>
  <c r="BX1088" i="34"/>
  <c r="BW1088" i="34"/>
  <c r="BV1088" i="34"/>
  <c r="BU1088" i="34"/>
  <c r="BT1088" i="34"/>
  <c r="BS1088" i="34"/>
  <c r="BR1088" i="34"/>
  <c r="BQ1088" i="34"/>
  <c r="BM1088" i="34"/>
  <c r="BL1088" i="34"/>
  <c r="BK1088" i="34"/>
  <c r="BJ1088" i="34"/>
  <c r="BI1088" i="34"/>
  <c r="BH1088" i="34"/>
  <c r="BG1088" i="34"/>
  <c r="BF1088" i="34"/>
  <c r="BE1088" i="34"/>
  <c r="AB1088" i="34"/>
  <c r="AA1088" i="34"/>
  <c r="Z1088" i="34"/>
  <c r="Y1088" i="34"/>
  <c r="X1088" i="34"/>
  <c r="W1088" i="34"/>
  <c r="V1088" i="34"/>
  <c r="U1088" i="34"/>
  <c r="T1088" i="34"/>
  <c r="S1088" i="34"/>
  <c r="R1088" i="34"/>
  <c r="Q1088" i="34"/>
  <c r="P1088" i="34"/>
  <c r="O1088" i="34"/>
  <c r="N1088" i="34"/>
  <c r="M1088" i="34"/>
  <c r="L1088" i="34"/>
  <c r="K1088" i="34"/>
  <c r="BY1087" i="34"/>
  <c r="BX1087" i="34"/>
  <c r="BW1087" i="34"/>
  <c r="BV1087" i="34"/>
  <c r="BU1087" i="34"/>
  <c r="BT1087" i="34"/>
  <c r="BS1087" i="34"/>
  <c r="BR1087" i="34"/>
  <c r="BQ1087" i="34"/>
  <c r="BM1087" i="34"/>
  <c r="BL1087" i="34"/>
  <c r="BK1087" i="34"/>
  <c r="BJ1087" i="34"/>
  <c r="BI1087" i="34"/>
  <c r="BH1087" i="34"/>
  <c r="BG1087" i="34"/>
  <c r="BF1087" i="34"/>
  <c r="BE1087" i="34"/>
  <c r="AB1087" i="34"/>
  <c r="AA1087" i="34"/>
  <c r="Z1087" i="34"/>
  <c r="Y1087" i="34"/>
  <c r="X1087" i="34"/>
  <c r="W1087" i="34"/>
  <c r="V1087" i="34"/>
  <c r="U1087" i="34"/>
  <c r="T1087" i="34"/>
  <c r="S1087" i="34"/>
  <c r="R1087" i="34"/>
  <c r="Q1087" i="34"/>
  <c r="P1087" i="34"/>
  <c r="O1087" i="34"/>
  <c r="N1087" i="34"/>
  <c r="M1087" i="34"/>
  <c r="L1087" i="34"/>
  <c r="K1087" i="34"/>
  <c r="BY1086" i="34"/>
  <c r="BX1086" i="34"/>
  <c r="BW1086" i="34"/>
  <c r="BV1086" i="34"/>
  <c r="BU1086" i="34"/>
  <c r="BT1086" i="34"/>
  <c r="BS1086" i="34"/>
  <c r="BR1086" i="34"/>
  <c r="BQ1086" i="34"/>
  <c r="BM1086" i="34"/>
  <c r="BL1086" i="34"/>
  <c r="BK1086" i="34"/>
  <c r="BJ1086" i="34"/>
  <c r="BI1086" i="34"/>
  <c r="BH1086" i="34"/>
  <c r="BG1086" i="34"/>
  <c r="BF1086" i="34"/>
  <c r="BE1086" i="34"/>
  <c r="BD1086" i="34"/>
  <c r="BC1086" i="34"/>
  <c r="AZ1086" i="34"/>
  <c r="AY1086" i="34"/>
  <c r="AX1086" i="34"/>
  <c r="AW1086" i="34"/>
  <c r="AV1086" i="34"/>
  <c r="AU1086" i="34"/>
  <c r="AT1086" i="34"/>
  <c r="AS1086" i="34"/>
  <c r="AB1086" i="34"/>
  <c r="AA1086" i="34"/>
  <c r="Z1086" i="34"/>
  <c r="Y1086" i="34"/>
  <c r="X1086" i="34"/>
  <c r="W1086" i="34"/>
  <c r="V1086" i="34"/>
  <c r="U1086" i="34"/>
  <c r="T1086" i="34"/>
  <c r="S1086" i="34"/>
  <c r="R1086" i="34"/>
  <c r="Q1086" i="34"/>
  <c r="P1086" i="34"/>
  <c r="O1086" i="34"/>
  <c r="N1086" i="34"/>
  <c r="M1086" i="34"/>
  <c r="L1086" i="34"/>
  <c r="K1086" i="34"/>
  <c r="BY1085" i="34"/>
  <c r="BX1085" i="34"/>
  <c r="BW1085" i="34"/>
  <c r="BV1085" i="34"/>
  <c r="BU1085" i="34"/>
  <c r="BT1085" i="34"/>
  <c r="BS1085" i="34"/>
  <c r="BR1085" i="34"/>
  <c r="BQ1085" i="34"/>
  <c r="BM1085" i="34"/>
  <c r="BL1085" i="34"/>
  <c r="BK1085" i="34"/>
  <c r="BJ1085" i="34"/>
  <c r="BI1085" i="34"/>
  <c r="BH1085" i="34"/>
  <c r="BG1085" i="34"/>
  <c r="BF1085" i="34"/>
  <c r="BE1085" i="34"/>
  <c r="BD1085" i="34"/>
  <c r="BC1085" i="34"/>
  <c r="AZ1085" i="34"/>
  <c r="AY1085" i="34"/>
  <c r="AX1085" i="34"/>
  <c r="AW1085" i="34"/>
  <c r="AV1085" i="34"/>
  <c r="AU1085" i="34"/>
  <c r="AT1085" i="34"/>
  <c r="AS1085" i="34"/>
  <c r="AB1085" i="34"/>
  <c r="AA1085" i="34"/>
  <c r="Z1085" i="34"/>
  <c r="Y1085" i="34"/>
  <c r="X1085" i="34"/>
  <c r="W1085" i="34"/>
  <c r="V1085" i="34"/>
  <c r="U1085" i="34"/>
  <c r="T1085" i="34"/>
  <c r="S1085" i="34"/>
  <c r="R1085" i="34"/>
  <c r="Q1085" i="34"/>
  <c r="P1085" i="34"/>
  <c r="O1085" i="34"/>
  <c r="N1085" i="34"/>
  <c r="M1085" i="34"/>
  <c r="L1085" i="34"/>
  <c r="K1085" i="34"/>
  <c r="BY1084" i="34"/>
  <c r="BX1084" i="34"/>
  <c r="BW1084" i="34"/>
  <c r="BV1084" i="34"/>
  <c r="BU1084" i="34"/>
  <c r="BT1084" i="34"/>
  <c r="BS1084" i="34"/>
  <c r="BR1084" i="34"/>
  <c r="BQ1084" i="34"/>
  <c r="BM1084" i="34"/>
  <c r="BL1084" i="34"/>
  <c r="BK1084" i="34"/>
  <c r="BJ1084" i="34"/>
  <c r="BI1084" i="34"/>
  <c r="BH1084" i="34"/>
  <c r="BG1084" i="34"/>
  <c r="BF1084" i="34"/>
  <c r="BE1084" i="34"/>
  <c r="BD1084" i="34"/>
  <c r="BC1084" i="34"/>
  <c r="AZ1084" i="34"/>
  <c r="AY1084" i="34"/>
  <c r="AX1084" i="34"/>
  <c r="AW1084" i="34"/>
  <c r="AV1084" i="34"/>
  <c r="AU1084" i="34"/>
  <c r="AT1084" i="34"/>
  <c r="AS1084" i="34"/>
  <c r="AB1084" i="34"/>
  <c r="AA1084" i="34"/>
  <c r="Z1084" i="34"/>
  <c r="Y1084" i="34"/>
  <c r="X1084" i="34"/>
  <c r="W1084" i="34"/>
  <c r="V1084" i="34"/>
  <c r="U1084" i="34"/>
  <c r="T1084" i="34"/>
  <c r="S1084" i="34"/>
  <c r="R1084" i="34"/>
  <c r="Q1084" i="34"/>
  <c r="P1084" i="34"/>
  <c r="O1084" i="34"/>
  <c r="N1084" i="34"/>
  <c r="M1084" i="34"/>
  <c r="L1084" i="34"/>
  <c r="K1084" i="34"/>
  <c r="BY1083" i="34"/>
  <c r="BX1083" i="34"/>
  <c r="BW1083" i="34"/>
  <c r="BV1083" i="34"/>
  <c r="BU1083" i="34"/>
  <c r="BT1083" i="34"/>
  <c r="BS1083" i="34"/>
  <c r="BR1083" i="34"/>
  <c r="BQ1083" i="34"/>
  <c r="BM1083" i="34"/>
  <c r="BL1083" i="34"/>
  <c r="BK1083" i="34"/>
  <c r="BJ1083" i="34"/>
  <c r="BI1083" i="34"/>
  <c r="BH1083" i="34"/>
  <c r="BG1083" i="34"/>
  <c r="BF1083" i="34"/>
  <c r="BE1083" i="34"/>
  <c r="BD1083" i="34"/>
  <c r="BC1083" i="34"/>
  <c r="AZ1083" i="34"/>
  <c r="AY1083" i="34"/>
  <c r="AX1083" i="34"/>
  <c r="AW1083" i="34"/>
  <c r="AV1083" i="34"/>
  <c r="AU1083" i="34"/>
  <c r="AT1083" i="34"/>
  <c r="AS1083" i="34"/>
  <c r="AB1083" i="34"/>
  <c r="AA1083" i="34"/>
  <c r="Z1083" i="34"/>
  <c r="Y1083" i="34"/>
  <c r="X1083" i="34"/>
  <c r="W1083" i="34"/>
  <c r="V1083" i="34"/>
  <c r="U1083" i="34"/>
  <c r="T1083" i="34"/>
  <c r="S1083" i="34"/>
  <c r="R1083" i="34"/>
  <c r="Q1083" i="34"/>
  <c r="P1083" i="34"/>
  <c r="O1083" i="34"/>
  <c r="N1083" i="34"/>
  <c r="M1083" i="34"/>
  <c r="L1083" i="34"/>
  <c r="K1083" i="34"/>
  <c r="BY1082" i="34"/>
  <c r="BX1082" i="34"/>
  <c r="BW1082" i="34"/>
  <c r="BV1082" i="34"/>
  <c r="BU1082" i="34"/>
  <c r="BT1082" i="34"/>
  <c r="BS1082" i="34"/>
  <c r="BR1082" i="34"/>
  <c r="BQ1082" i="34"/>
  <c r="BM1082" i="34"/>
  <c r="BL1082" i="34"/>
  <c r="BK1082" i="34"/>
  <c r="BJ1082" i="34"/>
  <c r="BI1082" i="34"/>
  <c r="BH1082" i="34"/>
  <c r="BG1082" i="34"/>
  <c r="BF1082" i="34"/>
  <c r="BE1082" i="34"/>
  <c r="BD1082" i="34"/>
  <c r="BC1082" i="34"/>
  <c r="AZ1082" i="34"/>
  <c r="AY1082" i="34"/>
  <c r="AX1082" i="34"/>
  <c r="AW1082" i="34"/>
  <c r="AV1082" i="34"/>
  <c r="AU1082" i="34"/>
  <c r="AT1082" i="34"/>
  <c r="AS1082" i="34"/>
  <c r="AB1082" i="34"/>
  <c r="AA1082" i="34"/>
  <c r="Z1082" i="34"/>
  <c r="Y1082" i="34"/>
  <c r="X1082" i="34"/>
  <c r="W1082" i="34"/>
  <c r="V1082" i="34"/>
  <c r="U1082" i="34"/>
  <c r="T1082" i="34"/>
  <c r="S1082" i="34"/>
  <c r="R1082" i="34"/>
  <c r="Q1082" i="34"/>
  <c r="P1082" i="34"/>
  <c r="O1082" i="34"/>
  <c r="N1082" i="34"/>
  <c r="M1082" i="34"/>
  <c r="L1082" i="34"/>
  <c r="K1082" i="34"/>
  <c r="BY1081" i="34"/>
  <c r="BX1081" i="34"/>
  <c r="BW1081" i="34"/>
  <c r="BV1081" i="34"/>
  <c r="BU1081" i="34"/>
  <c r="BT1081" i="34"/>
  <c r="BS1081" i="34"/>
  <c r="BR1081" i="34"/>
  <c r="BQ1081" i="34"/>
  <c r="BP1081" i="34"/>
  <c r="BO1081" i="34"/>
  <c r="BN1081" i="34"/>
  <c r="BM1081" i="34"/>
  <c r="BL1081" i="34"/>
  <c r="BK1081" i="34"/>
  <c r="BJ1081" i="34"/>
  <c r="BI1081" i="34"/>
  <c r="BH1081" i="34"/>
  <c r="BG1081" i="34"/>
  <c r="BF1081" i="34"/>
  <c r="BE1081" i="34"/>
  <c r="BD1081" i="34"/>
  <c r="BC1081" i="34"/>
  <c r="AZ1081" i="34"/>
  <c r="AY1081" i="34"/>
  <c r="AX1081" i="34"/>
  <c r="AW1081" i="34"/>
  <c r="AV1081" i="34"/>
  <c r="AU1081" i="34"/>
  <c r="AT1081" i="34"/>
  <c r="AS1081" i="34"/>
  <c r="AR1081" i="34"/>
  <c r="AQ1081" i="34"/>
  <c r="AP1081" i="34"/>
  <c r="AO1081" i="34"/>
  <c r="AN1081" i="34"/>
  <c r="AM1081" i="34"/>
  <c r="AL1081" i="34"/>
  <c r="AK1081" i="34"/>
  <c r="AJ1081" i="34"/>
  <c r="AI1081" i="34"/>
  <c r="AH1081" i="34"/>
  <c r="AG1081" i="34"/>
  <c r="AF1081" i="34"/>
  <c r="AE1081" i="34"/>
  <c r="AD1081" i="34"/>
  <c r="AC1081" i="34"/>
  <c r="AB1081" i="34"/>
  <c r="AA1081" i="34"/>
  <c r="Z1081" i="34"/>
  <c r="Y1081" i="34"/>
  <c r="X1081" i="34"/>
  <c r="W1081" i="34"/>
  <c r="V1081" i="34"/>
  <c r="U1081" i="34"/>
  <c r="T1081" i="34"/>
  <c r="S1081" i="34"/>
  <c r="R1081" i="34"/>
  <c r="Q1081" i="34"/>
  <c r="P1081" i="34"/>
  <c r="O1081" i="34"/>
  <c r="N1081" i="34"/>
  <c r="M1081" i="34"/>
  <c r="L1081" i="34"/>
  <c r="K1081" i="34"/>
  <c r="BM1080" i="34"/>
  <c r="BL1080" i="34"/>
  <c r="BK1080" i="34"/>
  <c r="BJ1080" i="34"/>
  <c r="BI1080" i="34"/>
  <c r="BH1080" i="34"/>
  <c r="BG1080" i="34"/>
  <c r="BF1080" i="34"/>
  <c r="BE1080" i="34"/>
  <c r="BD1080" i="34"/>
  <c r="BC1080" i="34"/>
  <c r="AZ1080" i="34"/>
  <c r="AY1080" i="34"/>
  <c r="AX1080" i="34"/>
  <c r="AW1080" i="34"/>
  <c r="AV1080" i="34"/>
  <c r="AU1080" i="34"/>
  <c r="AT1080" i="34"/>
  <c r="AS1080" i="34"/>
  <c r="AR1080" i="34"/>
  <c r="AQ1080" i="34"/>
  <c r="AP1080" i="34"/>
  <c r="AO1080" i="34"/>
  <c r="AN1080" i="34"/>
  <c r="AM1080" i="34"/>
  <c r="AL1080" i="34"/>
  <c r="AK1080" i="34"/>
  <c r="AJ1080" i="34"/>
  <c r="AI1080" i="34"/>
  <c r="AH1080" i="34"/>
  <c r="AG1080" i="34"/>
  <c r="AF1080" i="34"/>
  <c r="AE1080" i="34"/>
  <c r="AD1080" i="34"/>
  <c r="AC1080" i="34"/>
  <c r="AB1080" i="34"/>
  <c r="AA1080" i="34"/>
  <c r="Z1080" i="34"/>
  <c r="Y1080" i="34"/>
  <c r="X1080" i="34"/>
  <c r="W1080" i="34"/>
  <c r="V1080" i="34"/>
  <c r="U1080" i="34"/>
  <c r="T1080" i="34"/>
  <c r="S1080" i="34"/>
  <c r="R1080" i="34"/>
  <c r="Q1080" i="34"/>
  <c r="P1080" i="34"/>
  <c r="O1080" i="34"/>
  <c r="N1080" i="34"/>
  <c r="M1080" i="34"/>
  <c r="L1080" i="34"/>
  <c r="K1080" i="34"/>
  <c r="I1077" i="34"/>
  <c r="I1076" i="34"/>
  <c r="I1075" i="34"/>
  <c r="I1074" i="34"/>
  <c r="I1073" i="34"/>
  <c r="I1072" i="34"/>
  <c r="I1071" i="34"/>
  <c r="I1070" i="34"/>
  <c r="I1068" i="34"/>
  <c r="I1067" i="34"/>
  <c r="I1066" i="34"/>
  <c r="I1065" i="34"/>
  <c r="I1064" i="34"/>
  <c r="I1063" i="34"/>
  <c r="I1062" i="34"/>
  <c r="I1061" i="34"/>
  <c r="I1060" i="34"/>
  <c r="BL1079" i="34"/>
  <c r="BK1079" i="34"/>
  <c r="BJ1079" i="34"/>
  <c r="BI1079" i="34"/>
  <c r="BH1079" i="34"/>
  <c r="BG1079" i="34"/>
  <c r="BF1079" i="34"/>
  <c r="BE1079" i="34"/>
  <c r="BD1079" i="34"/>
  <c r="BC1079" i="34"/>
  <c r="AZ1079" i="34"/>
  <c r="AY1079" i="34"/>
  <c r="AX1079" i="34"/>
  <c r="AW1079" i="34"/>
  <c r="AV1079" i="34"/>
  <c r="AU1079" i="34"/>
  <c r="AT1079" i="34"/>
  <c r="AS1079" i="34"/>
  <c r="AR1079" i="34"/>
  <c r="AQ1079" i="34"/>
  <c r="AP1079" i="34"/>
  <c r="AO1079" i="34"/>
  <c r="AN1079" i="34"/>
  <c r="AM1079" i="34"/>
  <c r="AL1079" i="34"/>
  <c r="AK1079" i="34"/>
  <c r="AJ1079" i="34"/>
  <c r="AI1079" i="34"/>
  <c r="AH1079" i="34"/>
  <c r="AG1079" i="34"/>
  <c r="AF1079" i="34"/>
  <c r="AE1079" i="34"/>
  <c r="AD1079" i="34"/>
  <c r="AC1079" i="34"/>
  <c r="AB1079" i="34"/>
  <c r="AA1079" i="34"/>
  <c r="Z1079" i="34"/>
  <c r="Y1079" i="34"/>
  <c r="X1079" i="34"/>
  <c r="W1079" i="34"/>
  <c r="V1079" i="34"/>
  <c r="U1079" i="34"/>
  <c r="T1079" i="34"/>
  <c r="S1079" i="34"/>
  <c r="R1079" i="34"/>
  <c r="Q1079" i="34"/>
  <c r="P1079" i="34"/>
  <c r="O1079" i="34"/>
  <c r="N1079" i="34"/>
  <c r="M1079" i="34"/>
  <c r="L1079" i="34"/>
  <c r="K1079" i="34"/>
  <c r="BO1078" i="34"/>
  <c r="BN1078" i="34"/>
  <c r="BM1078" i="34"/>
  <c r="BL1078" i="34"/>
  <c r="BK1078" i="34"/>
  <c r="BJ1078" i="34"/>
  <c r="BI1078" i="34"/>
  <c r="BH1078" i="34"/>
  <c r="BG1078" i="34"/>
  <c r="BF1078" i="34"/>
  <c r="BE1078" i="34"/>
  <c r="AJ1078" i="34"/>
  <c r="AI1078" i="34"/>
  <c r="AH1078" i="34"/>
  <c r="AG1078" i="34"/>
  <c r="AF1078" i="34"/>
  <c r="AE1078" i="34"/>
  <c r="AD1078" i="34"/>
  <c r="AC1078" i="34"/>
  <c r="AB1078" i="34"/>
  <c r="AA1078" i="34"/>
  <c r="Z1078" i="34"/>
  <c r="Y1078" i="34"/>
  <c r="X1078" i="34"/>
  <c r="W1078" i="34"/>
  <c r="V1078" i="34"/>
  <c r="U1078" i="34"/>
  <c r="T1078" i="34"/>
  <c r="S1078" i="34"/>
  <c r="R1078" i="34"/>
  <c r="Q1078" i="34"/>
  <c r="P1078" i="34"/>
  <c r="O1078" i="34"/>
  <c r="N1078" i="34"/>
  <c r="M1078" i="34"/>
  <c r="L1078" i="34"/>
  <c r="K1078" i="34"/>
  <c r="BL1077" i="34"/>
  <c r="BK1077" i="34"/>
  <c r="BJ1077" i="34"/>
  <c r="BI1077" i="34"/>
  <c r="BH1077" i="34"/>
  <c r="BG1077" i="34"/>
  <c r="BF1077" i="34"/>
  <c r="BE1077" i="34"/>
  <c r="AI1077" i="34"/>
  <c r="AH1077" i="34"/>
  <c r="AG1077" i="34"/>
  <c r="AF1077" i="34"/>
  <c r="AE1077" i="34"/>
  <c r="AD1077" i="34"/>
  <c r="AC1077" i="34"/>
  <c r="AB1077" i="34"/>
  <c r="AA1077" i="34"/>
  <c r="Z1077" i="34"/>
  <c r="Y1077" i="34"/>
  <c r="X1077" i="34"/>
  <c r="W1077" i="34"/>
  <c r="V1077" i="34"/>
  <c r="U1077" i="34"/>
  <c r="T1077" i="34"/>
  <c r="S1077" i="34"/>
  <c r="R1077" i="34"/>
  <c r="Q1077" i="34"/>
  <c r="P1077" i="34"/>
  <c r="O1077" i="34"/>
  <c r="N1077" i="34"/>
  <c r="M1077" i="34"/>
  <c r="L1077" i="34"/>
  <c r="K1077" i="34"/>
  <c r="BL1076" i="34"/>
  <c r="BK1076" i="34"/>
  <c r="BJ1076" i="34"/>
  <c r="BI1076" i="34"/>
  <c r="BH1076" i="34"/>
  <c r="BG1076" i="34"/>
  <c r="BF1076" i="34"/>
  <c r="BE1076" i="34"/>
  <c r="AI1076" i="34"/>
  <c r="AH1076" i="34"/>
  <c r="AG1076" i="34"/>
  <c r="AF1076" i="34"/>
  <c r="AE1076" i="34"/>
  <c r="AD1076" i="34"/>
  <c r="AC1076" i="34"/>
  <c r="AB1076" i="34"/>
  <c r="AA1076" i="34"/>
  <c r="Z1076" i="34"/>
  <c r="Y1076" i="34"/>
  <c r="X1076" i="34"/>
  <c r="W1076" i="34"/>
  <c r="V1076" i="34"/>
  <c r="U1076" i="34"/>
  <c r="T1076" i="34"/>
  <c r="S1076" i="34"/>
  <c r="R1076" i="34"/>
  <c r="Q1076" i="34"/>
  <c r="P1076" i="34"/>
  <c r="O1076" i="34"/>
  <c r="N1076" i="34"/>
  <c r="M1076" i="34"/>
  <c r="L1076" i="34"/>
  <c r="K1076" i="34"/>
  <c r="BL1075" i="34"/>
  <c r="BK1075" i="34"/>
  <c r="BJ1075" i="34"/>
  <c r="BI1075" i="34"/>
  <c r="BH1075" i="34"/>
  <c r="BG1075" i="34"/>
  <c r="BF1075" i="34"/>
  <c r="BE1075" i="34"/>
  <c r="AI1075" i="34"/>
  <c r="AH1075" i="34"/>
  <c r="AG1075" i="34"/>
  <c r="AF1075" i="34"/>
  <c r="AE1075" i="34"/>
  <c r="AD1075" i="34"/>
  <c r="AC1075" i="34"/>
  <c r="AB1075" i="34"/>
  <c r="AA1075" i="34"/>
  <c r="Z1075" i="34"/>
  <c r="Y1075" i="34"/>
  <c r="X1075" i="34"/>
  <c r="W1075" i="34"/>
  <c r="V1075" i="34"/>
  <c r="U1075" i="34"/>
  <c r="T1075" i="34"/>
  <c r="S1075" i="34"/>
  <c r="R1075" i="34"/>
  <c r="Q1075" i="34"/>
  <c r="P1075" i="34"/>
  <c r="O1075" i="34"/>
  <c r="N1075" i="34"/>
  <c r="M1075" i="34"/>
  <c r="L1075" i="34"/>
  <c r="K1075" i="34"/>
  <c r="BL1074" i="34"/>
  <c r="BK1074" i="34"/>
  <c r="BJ1074" i="34"/>
  <c r="BI1074" i="34"/>
  <c r="BH1074" i="34"/>
  <c r="BG1074" i="34"/>
  <c r="BF1074" i="34"/>
  <c r="BE1074" i="34"/>
  <c r="AI1074" i="34"/>
  <c r="AH1074" i="34"/>
  <c r="AG1074" i="34"/>
  <c r="AF1074" i="34"/>
  <c r="AE1074" i="34"/>
  <c r="AD1074" i="34"/>
  <c r="AC1074" i="34"/>
  <c r="AB1074" i="34"/>
  <c r="AA1074" i="34"/>
  <c r="Z1074" i="34"/>
  <c r="Y1074" i="34"/>
  <c r="X1074" i="34"/>
  <c r="W1074" i="34"/>
  <c r="V1074" i="34"/>
  <c r="U1074" i="34"/>
  <c r="T1074" i="34"/>
  <c r="S1074" i="34"/>
  <c r="R1074" i="34"/>
  <c r="Q1074" i="34"/>
  <c r="P1074" i="34"/>
  <c r="O1074" i="34"/>
  <c r="N1074" i="34"/>
  <c r="M1074" i="34"/>
  <c r="L1074" i="34"/>
  <c r="K1074" i="34"/>
  <c r="BL1073" i="34"/>
  <c r="BK1073" i="34"/>
  <c r="BJ1073" i="34"/>
  <c r="BI1073" i="34"/>
  <c r="BH1073" i="34"/>
  <c r="BG1073" i="34"/>
  <c r="BF1073" i="34"/>
  <c r="BE1073" i="34"/>
  <c r="AI1073" i="34"/>
  <c r="AH1073" i="34"/>
  <c r="AG1073" i="34"/>
  <c r="AF1073" i="34"/>
  <c r="AE1073" i="34"/>
  <c r="AD1073" i="34"/>
  <c r="AC1073" i="34"/>
  <c r="AB1073" i="34"/>
  <c r="AA1073" i="34"/>
  <c r="Z1073" i="34"/>
  <c r="Y1073" i="34"/>
  <c r="X1073" i="34"/>
  <c r="W1073" i="34"/>
  <c r="V1073" i="34"/>
  <c r="U1073" i="34"/>
  <c r="T1073" i="34"/>
  <c r="S1073" i="34"/>
  <c r="R1073" i="34"/>
  <c r="Q1073" i="34"/>
  <c r="P1073" i="34"/>
  <c r="O1073" i="34"/>
  <c r="N1073" i="34"/>
  <c r="M1073" i="34"/>
  <c r="L1073" i="34"/>
  <c r="K1073" i="34"/>
  <c r="BL1072" i="34"/>
  <c r="BK1072" i="34"/>
  <c r="BJ1072" i="34"/>
  <c r="BI1072" i="34"/>
  <c r="BH1072" i="34"/>
  <c r="BG1072" i="34"/>
  <c r="BF1072" i="34"/>
  <c r="BE1072" i="34"/>
  <c r="AI1072" i="34"/>
  <c r="AH1072" i="34"/>
  <c r="AG1072" i="34"/>
  <c r="AF1072" i="34"/>
  <c r="AE1072" i="34"/>
  <c r="AD1072" i="34"/>
  <c r="AC1072" i="34"/>
  <c r="AB1072" i="34"/>
  <c r="AA1072" i="34"/>
  <c r="Z1072" i="34"/>
  <c r="Y1072" i="34"/>
  <c r="X1072" i="34"/>
  <c r="W1072" i="34"/>
  <c r="V1072" i="34"/>
  <c r="U1072" i="34"/>
  <c r="T1072" i="34"/>
  <c r="S1072" i="34"/>
  <c r="R1072" i="34"/>
  <c r="Q1072" i="34"/>
  <c r="P1072" i="34"/>
  <c r="O1072" i="34"/>
  <c r="N1072" i="34"/>
  <c r="M1072" i="34"/>
  <c r="L1072" i="34"/>
  <c r="K1072" i="34"/>
  <c r="BO1071" i="34"/>
  <c r="BN1071" i="34"/>
  <c r="BM1071" i="34"/>
  <c r="BL1071" i="34"/>
  <c r="BK1071" i="34"/>
  <c r="BJ1071" i="34"/>
  <c r="BI1071" i="34"/>
  <c r="BH1071" i="34"/>
  <c r="BG1071" i="34"/>
  <c r="BF1071" i="34"/>
  <c r="BE1071" i="34"/>
  <c r="BD1071" i="34"/>
  <c r="BC1071" i="34"/>
  <c r="AZ1071" i="34"/>
  <c r="AY1071" i="34"/>
  <c r="AX1071" i="34"/>
  <c r="AW1071" i="34"/>
  <c r="AV1071" i="34"/>
  <c r="AU1071" i="34"/>
  <c r="AT1071" i="34"/>
  <c r="AS1071" i="34"/>
  <c r="AR1071" i="34"/>
  <c r="AQ1071" i="34"/>
  <c r="AP1071" i="34"/>
  <c r="AO1071" i="34"/>
  <c r="AN1071" i="34"/>
  <c r="AM1071" i="34"/>
  <c r="AL1071" i="34"/>
  <c r="AK1071" i="34"/>
  <c r="AJ1071" i="34"/>
  <c r="AI1071" i="34"/>
  <c r="AH1071" i="34"/>
  <c r="AG1071" i="34"/>
  <c r="AF1071" i="34"/>
  <c r="AE1071" i="34"/>
  <c r="AD1071" i="34"/>
  <c r="AC1071" i="34"/>
  <c r="AB1071" i="34"/>
  <c r="AA1071" i="34"/>
  <c r="Z1071" i="34"/>
  <c r="Y1071" i="34"/>
  <c r="X1071" i="34"/>
  <c r="W1071" i="34"/>
  <c r="V1071" i="34"/>
  <c r="U1071" i="34"/>
  <c r="T1071" i="34"/>
  <c r="S1071" i="34"/>
  <c r="R1071" i="34"/>
  <c r="Q1071" i="34"/>
  <c r="P1071" i="34"/>
  <c r="O1071" i="34"/>
  <c r="N1071" i="34"/>
  <c r="M1071" i="34"/>
  <c r="L1071" i="34"/>
  <c r="K1071" i="34"/>
  <c r="BO1070" i="34"/>
  <c r="BN1070" i="34"/>
  <c r="BM1070" i="34"/>
  <c r="BL1070" i="34"/>
  <c r="BK1070" i="34"/>
  <c r="BJ1070" i="34"/>
  <c r="BI1070" i="34"/>
  <c r="BH1070" i="34"/>
  <c r="BG1070" i="34"/>
  <c r="BF1070" i="34"/>
  <c r="BE1070" i="34"/>
  <c r="BD1070" i="34"/>
  <c r="BC1070" i="34"/>
  <c r="AZ1070" i="34"/>
  <c r="AY1070" i="34"/>
  <c r="AX1070" i="34"/>
  <c r="AW1070" i="34"/>
  <c r="AV1070" i="34"/>
  <c r="AU1070" i="34"/>
  <c r="AT1070" i="34"/>
  <c r="AS1070" i="34"/>
  <c r="AR1070" i="34"/>
  <c r="AQ1070" i="34"/>
  <c r="AP1070" i="34"/>
  <c r="AO1070" i="34"/>
  <c r="AN1070" i="34"/>
  <c r="AM1070" i="34"/>
  <c r="AL1070" i="34"/>
  <c r="AK1070" i="34"/>
  <c r="AJ1070" i="34"/>
  <c r="AI1070" i="34"/>
  <c r="AH1070" i="34"/>
  <c r="AG1070" i="34"/>
  <c r="AF1070" i="34"/>
  <c r="AE1070" i="34"/>
  <c r="AD1070" i="34"/>
  <c r="AC1070" i="34"/>
  <c r="AB1070" i="34"/>
  <c r="AA1070" i="34"/>
  <c r="Z1070" i="34"/>
  <c r="Y1070" i="34"/>
  <c r="X1070" i="34"/>
  <c r="W1070" i="34"/>
  <c r="V1070" i="34"/>
  <c r="U1070" i="34"/>
  <c r="T1070" i="34"/>
  <c r="S1070" i="34"/>
  <c r="R1070" i="34"/>
  <c r="Q1070" i="34"/>
  <c r="P1070" i="34"/>
  <c r="O1070" i="34"/>
  <c r="N1070" i="34"/>
  <c r="M1070" i="34"/>
  <c r="L1070" i="34"/>
  <c r="K1070" i="34"/>
  <c r="BL1068" i="34"/>
  <c r="BK1068" i="34"/>
  <c r="BJ1068" i="34"/>
  <c r="BI1068" i="34"/>
  <c r="BH1068" i="34"/>
  <c r="BG1068" i="34"/>
  <c r="BF1068" i="34"/>
  <c r="BE1068" i="34"/>
  <c r="AF1068" i="34"/>
  <c r="AE1068" i="34"/>
  <c r="AD1068" i="34"/>
  <c r="AC1068" i="34"/>
  <c r="AB1068" i="34"/>
  <c r="AA1068" i="34"/>
  <c r="Z1068" i="34"/>
  <c r="Y1068" i="34"/>
  <c r="X1068" i="34"/>
  <c r="W1068" i="34"/>
  <c r="V1068" i="34"/>
  <c r="U1068" i="34"/>
  <c r="T1068" i="34"/>
  <c r="S1068" i="34"/>
  <c r="R1068" i="34"/>
  <c r="Q1068" i="34"/>
  <c r="P1068" i="34"/>
  <c r="O1068" i="34"/>
  <c r="N1068" i="34"/>
  <c r="M1068" i="34"/>
  <c r="L1068" i="34"/>
  <c r="K1068" i="34"/>
  <c r="BO1067" i="34"/>
  <c r="BN1067" i="34"/>
  <c r="BM1067" i="34"/>
  <c r="BL1067" i="34"/>
  <c r="BK1067" i="34"/>
  <c r="BJ1067" i="34"/>
  <c r="BI1067" i="34"/>
  <c r="BH1067" i="34"/>
  <c r="BG1067" i="34"/>
  <c r="BF1067" i="34"/>
  <c r="BE1067" i="34"/>
  <c r="BD1067" i="34"/>
  <c r="BC1067" i="34"/>
  <c r="AZ1067" i="34"/>
  <c r="AY1067" i="34"/>
  <c r="AX1067" i="34"/>
  <c r="AW1067" i="34"/>
  <c r="AV1067" i="34"/>
  <c r="AU1067" i="34"/>
  <c r="AT1067" i="34"/>
  <c r="AS1067" i="34"/>
  <c r="AR1067" i="34"/>
  <c r="AQ1067" i="34"/>
  <c r="AP1067" i="34"/>
  <c r="AO1067" i="34"/>
  <c r="AN1067" i="34"/>
  <c r="AM1067" i="34"/>
  <c r="AL1067" i="34"/>
  <c r="AK1067" i="34"/>
  <c r="AJ1067" i="34"/>
  <c r="AI1067" i="34"/>
  <c r="AH1067" i="34"/>
  <c r="AG1067" i="34"/>
  <c r="AF1067" i="34"/>
  <c r="AE1067" i="34"/>
  <c r="AD1067" i="34"/>
  <c r="AC1067" i="34"/>
  <c r="AB1067" i="34"/>
  <c r="AA1067" i="34"/>
  <c r="Z1067" i="34"/>
  <c r="Y1067" i="34"/>
  <c r="X1067" i="34"/>
  <c r="W1067" i="34"/>
  <c r="V1067" i="34"/>
  <c r="U1067" i="34"/>
  <c r="T1067" i="34"/>
  <c r="S1067" i="34"/>
  <c r="R1067" i="34"/>
  <c r="Q1067" i="34"/>
  <c r="P1067" i="34"/>
  <c r="O1067" i="34"/>
  <c r="N1067" i="34"/>
  <c r="M1067" i="34"/>
  <c r="L1067" i="34"/>
  <c r="K1067" i="34"/>
  <c r="BL1066" i="34"/>
  <c r="BK1066" i="34"/>
  <c r="BJ1066" i="34"/>
  <c r="BI1066" i="34"/>
  <c r="BH1066" i="34"/>
  <c r="BG1066" i="34"/>
  <c r="BF1066" i="34"/>
  <c r="BE1066" i="34"/>
  <c r="X1066" i="34"/>
  <c r="W1066" i="34"/>
  <c r="V1066" i="34"/>
  <c r="U1066" i="34"/>
  <c r="T1066" i="34"/>
  <c r="S1066" i="34"/>
  <c r="R1066" i="34"/>
  <c r="Q1066" i="34"/>
  <c r="P1066" i="34"/>
  <c r="O1066" i="34"/>
  <c r="N1066" i="34"/>
  <c r="M1066" i="34"/>
  <c r="L1066" i="34"/>
  <c r="K1066" i="34"/>
  <c r="BL1065" i="34"/>
  <c r="BK1065" i="34"/>
  <c r="BJ1065" i="34"/>
  <c r="BI1065" i="34"/>
  <c r="BH1065" i="34"/>
  <c r="BG1065" i="34"/>
  <c r="BF1065" i="34"/>
  <c r="BE1065" i="34"/>
  <c r="X1065" i="34"/>
  <c r="W1065" i="34"/>
  <c r="V1065" i="34"/>
  <c r="U1065" i="34"/>
  <c r="T1065" i="34"/>
  <c r="S1065" i="34"/>
  <c r="R1065" i="34"/>
  <c r="Q1065" i="34"/>
  <c r="P1065" i="34"/>
  <c r="O1065" i="34"/>
  <c r="N1065" i="34"/>
  <c r="M1065" i="34"/>
  <c r="L1065" i="34"/>
  <c r="K1065" i="34"/>
  <c r="BL1064" i="34"/>
  <c r="BK1064" i="34"/>
  <c r="BJ1064" i="34"/>
  <c r="BI1064" i="34"/>
  <c r="BH1064" i="34"/>
  <c r="BG1064" i="34"/>
  <c r="BF1064" i="34"/>
  <c r="BE1064" i="34"/>
  <c r="X1064" i="34"/>
  <c r="W1064" i="34"/>
  <c r="V1064" i="34"/>
  <c r="U1064" i="34"/>
  <c r="T1064" i="34"/>
  <c r="S1064" i="34"/>
  <c r="R1064" i="34"/>
  <c r="Q1064" i="34"/>
  <c r="P1064" i="34"/>
  <c r="O1064" i="34"/>
  <c r="N1064" i="34"/>
  <c r="M1064" i="34"/>
  <c r="L1064" i="34"/>
  <c r="K1064" i="34"/>
  <c r="BL1063" i="34"/>
  <c r="BK1063" i="34"/>
  <c r="BJ1063" i="34"/>
  <c r="BI1063" i="34"/>
  <c r="BH1063" i="34"/>
  <c r="BG1063" i="34"/>
  <c r="BF1063" i="34"/>
  <c r="BE1063" i="34"/>
  <c r="X1063" i="34"/>
  <c r="W1063" i="34"/>
  <c r="V1063" i="34"/>
  <c r="U1063" i="34"/>
  <c r="T1063" i="34"/>
  <c r="S1063" i="34"/>
  <c r="R1063" i="34"/>
  <c r="Q1063" i="34"/>
  <c r="P1063" i="34"/>
  <c r="O1063" i="34"/>
  <c r="N1063" i="34"/>
  <c r="M1063" i="34"/>
  <c r="L1063" i="34"/>
  <c r="K1063" i="34"/>
  <c r="BL1062" i="34"/>
  <c r="BK1062" i="34"/>
  <c r="BJ1062" i="34"/>
  <c r="BI1062" i="34"/>
  <c r="BH1062" i="34"/>
  <c r="BG1062" i="34"/>
  <c r="BF1062" i="34"/>
  <c r="BE1062" i="34"/>
  <c r="X1062" i="34"/>
  <c r="W1062" i="34"/>
  <c r="V1062" i="34"/>
  <c r="U1062" i="34"/>
  <c r="T1062" i="34"/>
  <c r="S1062" i="34"/>
  <c r="R1062" i="34"/>
  <c r="Q1062" i="34"/>
  <c r="P1062" i="34"/>
  <c r="O1062" i="34"/>
  <c r="N1062" i="34"/>
  <c r="M1062" i="34"/>
  <c r="L1062" i="34"/>
  <c r="K1062" i="34"/>
  <c r="BL1061" i="34"/>
  <c r="BK1061" i="34"/>
  <c r="BJ1061" i="34"/>
  <c r="BI1061" i="34"/>
  <c r="BH1061" i="34"/>
  <c r="BG1061" i="34"/>
  <c r="BF1061" i="34"/>
  <c r="BE1061" i="34"/>
  <c r="X1061" i="34"/>
  <c r="W1061" i="34"/>
  <c r="V1061" i="34"/>
  <c r="U1061" i="34"/>
  <c r="T1061" i="34"/>
  <c r="S1061" i="34"/>
  <c r="R1061" i="34"/>
  <c r="Q1061" i="34"/>
  <c r="P1061" i="34"/>
  <c r="O1061" i="34"/>
  <c r="N1061" i="34"/>
  <c r="M1061" i="34"/>
  <c r="L1061" i="34"/>
  <c r="K1061" i="34"/>
  <c r="BL1060" i="34"/>
  <c r="BK1060" i="34"/>
  <c r="BJ1060" i="34"/>
  <c r="BI1060" i="34"/>
  <c r="BH1060" i="34"/>
  <c r="BG1060" i="34"/>
  <c r="BF1060" i="34"/>
  <c r="BE1060" i="34"/>
  <c r="X1060" i="34"/>
  <c r="W1060" i="34"/>
  <c r="V1060" i="34"/>
  <c r="U1060" i="34"/>
  <c r="T1060" i="34"/>
  <c r="S1060" i="34"/>
  <c r="R1060" i="34"/>
  <c r="Q1060" i="34"/>
  <c r="P1060" i="34"/>
  <c r="O1060" i="34"/>
  <c r="N1060" i="34"/>
  <c r="M1060" i="34"/>
  <c r="L1060" i="34"/>
  <c r="K1060" i="34"/>
  <c r="BY1080" i="34"/>
  <c r="BX1080" i="34"/>
  <c r="BW1080" i="34"/>
  <c r="BV1080" i="34"/>
  <c r="BU1080" i="34"/>
  <c r="BT1080" i="34"/>
  <c r="BS1080" i="34"/>
  <c r="BR1080" i="34"/>
  <c r="BQ1080" i="34"/>
  <c r="BY1079" i="34"/>
  <c r="BX1079" i="34"/>
  <c r="BW1079" i="34"/>
  <c r="BV1079" i="34"/>
  <c r="BU1079" i="34"/>
  <c r="BT1079" i="34"/>
  <c r="BS1079" i="34"/>
  <c r="BR1079" i="34"/>
  <c r="BQ1079" i="34"/>
  <c r="BY1078" i="34"/>
  <c r="BX1078" i="34"/>
  <c r="BW1078" i="34"/>
  <c r="BV1078" i="34"/>
  <c r="BU1078" i="34"/>
  <c r="BT1078" i="34"/>
  <c r="BS1078" i="34"/>
  <c r="BR1078" i="34"/>
  <c r="BQ1078" i="34"/>
  <c r="BP1078" i="34"/>
  <c r="BY1077" i="34"/>
  <c r="BX1077" i="34"/>
  <c r="BW1077" i="34"/>
  <c r="BV1077" i="34"/>
  <c r="BU1077" i="34"/>
  <c r="BY1076" i="34"/>
  <c r="BX1076" i="34"/>
  <c r="BW1076" i="34"/>
  <c r="BV1076" i="34"/>
  <c r="BU1076" i="34"/>
  <c r="BY1075" i="34"/>
  <c r="BX1075" i="34"/>
  <c r="BW1075" i="34"/>
  <c r="BV1075" i="34"/>
  <c r="BU1075" i="34"/>
  <c r="BY1074" i="34"/>
  <c r="BX1074" i="34"/>
  <c r="BW1074" i="34"/>
  <c r="BV1074" i="34"/>
  <c r="BU1074" i="34"/>
  <c r="BY1073" i="34"/>
  <c r="BX1073" i="34"/>
  <c r="BW1073" i="34"/>
  <c r="BV1073" i="34"/>
  <c r="BU1073" i="34"/>
  <c r="BY1072" i="34"/>
  <c r="BX1072" i="34"/>
  <c r="BW1072" i="34"/>
  <c r="BV1072" i="34"/>
  <c r="BU1072" i="34"/>
  <c r="BY1071" i="34"/>
  <c r="BX1071" i="34"/>
  <c r="BW1071" i="34"/>
  <c r="BV1071" i="34"/>
  <c r="BU1071" i="34"/>
  <c r="BT1071" i="34"/>
  <c r="BS1071" i="34"/>
  <c r="BR1071" i="34"/>
  <c r="BQ1071" i="34"/>
  <c r="BP1071" i="34"/>
  <c r="BY1070" i="34"/>
  <c r="BX1070" i="34"/>
  <c r="BW1070" i="34"/>
  <c r="BV1070" i="34"/>
  <c r="BU1070" i="34"/>
  <c r="BT1070" i="34"/>
  <c r="BS1070" i="34"/>
  <c r="BR1070" i="34"/>
  <c r="BQ1070" i="34"/>
  <c r="BP1070" i="34"/>
  <c r="BY1068" i="34"/>
  <c r="BX1068" i="34"/>
  <c r="BW1068" i="34"/>
  <c r="BV1068" i="34"/>
  <c r="BU1068" i="34"/>
  <c r="BY1067" i="34"/>
  <c r="BX1067" i="34"/>
  <c r="BW1067" i="34"/>
  <c r="BV1067" i="34"/>
  <c r="BU1067" i="34"/>
  <c r="BT1067" i="34"/>
  <c r="BS1067" i="34"/>
  <c r="BR1067" i="34"/>
  <c r="BQ1067" i="34"/>
  <c r="BP1067" i="34"/>
  <c r="BY1066" i="34"/>
  <c r="BX1066" i="34"/>
  <c r="BW1066" i="34"/>
  <c r="BV1066" i="34"/>
  <c r="BU1066" i="34"/>
  <c r="BY1065" i="34"/>
  <c r="BX1065" i="34"/>
  <c r="BW1065" i="34"/>
  <c r="BV1065" i="34"/>
  <c r="BU1065" i="34"/>
  <c r="BT1065" i="34"/>
  <c r="BS1065" i="34"/>
  <c r="BQ1065" i="34"/>
  <c r="BY1064" i="34"/>
  <c r="BX1064" i="34"/>
  <c r="BW1064" i="34"/>
  <c r="BV1064" i="34"/>
  <c r="BU1064" i="34"/>
  <c r="BT1064" i="34"/>
  <c r="BR1064" i="34"/>
  <c r="BQ1064" i="34"/>
  <c r="BY1063" i="34"/>
  <c r="BX1063" i="34"/>
  <c r="BW1063" i="34"/>
  <c r="BV1063" i="34"/>
  <c r="BU1063" i="34"/>
  <c r="BT1063" i="34"/>
  <c r="BS1063" i="34"/>
  <c r="BR1063" i="34"/>
  <c r="BQ1063" i="34"/>
  <c r="BY1062" i="34"/>
  <c r="BX1062" i="34"/>
  <c r="BW1062" i="34"/>
  <c r="BV1062" i="34"/>
  <c r="BU1062" i="34"/>
  <c r="BT1062" i="34"/>
  <c r="BS1062" i="34"/>
  <c r="BR1062" i="34"/>
  <c r="BY1061" i="34"/>
  <c r="BX1061" i="34"/>
  <c r="BW1061" i="34"/>
  <c r="BV1061" i="34"/>
  <c r="BU1061" i="34"/>
  <c r="BT1061" i="34"/>
  <c r="BS1061" i="34"/>
  <c r="BQ1061" i="34"/>
  <c r="BY1060" i="34"/>
  <c r="BX1060" i="34"/>
  <c r="BW1060" i="34"/>
  <c r="BV1060" i="34"/>
  <c r="BU1060" i="34"/>
  <c r="BT1060" i="34"/>
  <c r="BR1060" i="34"/>
  <c r="BQ1060" i="34"/>
  <c r="BY1059" i="34"/>
  <c r="BX1059" i="34"/>
  <c r="BW1059" i="34"/>
  <c r="BV1059" i="34"/>
  <c r="BU1059" i="34"/>
  <c r="BT1059" i="34"/>
  <c r="BS1059" i="34"/>
  <c r="BR1059" i="34"/>
  <c r="BQ1059" i="34"/>
  <c r="BP1059" i="34"/>
  <c r="BO1059" i="34"/>
  <c r="BN1059" i="34"/>
  <c r="BM1059" i="34"/>
  <c r="BL1059" i="34"/>
  <c r="BK1059" i="34"/>
  <c r="BJ1059" i="34"/>
  <c r="BI1059" i="34"/>
  <c r="BH1059" i="34"/>
  <c r="BG1059" i="34"/>
  <c r="BF1059" i="34"/>
  <c r="BE1059" i="34"/>
  <c r="BD1059" i="34"/>
  <c r="BC1059" i="34"/>
  <c r="AZ1059" i="34"/>
  <c r="AY1059" i="34"/>
  <c r="AX1059" i="34"/>
  <c r="AW1059" i="34"/>
  <c r="AV1059" i="34"/>
  <c r="AU1059" i="34"/>
  <c r="AT1059" i="34"/>
  <c r="AS1059" i="34"/>
  <c r="AR1059" i="34"/>
  <c r="AQ1059" i="34"/>
  <c r="AP1059" i="34"/>
  <c r="AO1059" i="34"/>
  <c r="AN1059" i="34"/>
  <c r="AM1059" i="34"/>
  <c r="AL1059" i="34"/>
  <c r="AK1059" i="34"/>
  <c r="AJ1059" i="34"/>
  <c r="AI1059" i="34"/>
  <c r="AH1059" i="34"/>
  <c r="AG1059" i="34"/>
  <c r="AF1059" i="34"/>
  <c r="AE1059" i="34"/>
  <c r="AD1059" i="34"/>
  <c r="AC1059" i="34"/>
  <c r="AB1059" i="34"/>
  <c r="AA1059" i="34"/>
  <c r="Z1059" i="34"/>
  <c r="Y1059" i="34"/>
  <c r="X1059" i="34"/>
  <c r="W1059" i="34"/>
  <c r="V1059" i="34"/>
  <c r="U1059" i="34"/>
  <c r="T1059" i="34"/>
  <c r="S1059" i="34"/>
  <c r="R1059" i="34"/>
  <c r="Q1059" i="34"/>
  <c r="P1059" i="34"/>
  <c r="O1059" i="34"/>
  <c r="N1059" i="34"/>
  <c r="M1059" i="34"/>
  <c r="L1059" i="34"/>
  <c r="K1059" i="34"/>
  <c r="J1059" i="34"/>
  <c r="I1059" i="34"/>
  <c r="BY1058" i="34"/>
  <c r="BX1058" i="34"/>
  <c r="BW1058" i="34"/>
  <c r="BV1058" i="34"/>
  <c r="BU1058" i="34"/>
  <c r="BT1058" i="34"/>
  <c r="BS1058" i="34"/>
  <c r="BR1058" i="34"/>
  <c r="BQ1058" i="34"/>
  <c r="BP1058" i="34"/>
  <c r="BO1058" i="34"/>
  <c r="BN1058" i="34"/>
  <c r="BM1058" i="34"/>
  <c r="BL1058" i="34"/>
  <c r="BK1058" i="34"/>
  <c r="BJ1058" i="34"/>
  <c r="BI1058" i="34"/>
  <c r="BH1058" i="34"/>
  <c r="BG1058" i="34"/>
  <c r="BF1058" i="34"/>
  <c r="BE1058" i="34"/>
  <c r="BD1058" i="34"/>
  <c r="BC1058" i="34"/>
  <c r="AZ1058" i="34"/>
  <c r="AY1058" i="34"/>
  <c r="AX1058" i="34"/>
  <c r="AW1058" i="34"/>
  <c r="AV1058" i="34"/>
  <c r="AU1058" i="34"/>
  <c r="AT1058" i="34"/>
  <c r="AS1058" i="34"/>
  <c r="AR1058" i="34"/>
  <c r="AQ1058" i="34"/>
  <c r="AP1058" i="34"/>
  <c r="AO1058" i="34"/>
  <c r="AN1058" i="34"/>
  <c r="AM1058" i="34"/>
  <c r="AL1058" i="34"/>
  <c r="AK1058" i="34"/>
  <c r="AJ1058" i="34"/>
  <c r="AI1058" i="34"/>
  <c r="AH1058" i="34"/>
  <c r="AG1058" i="34"/>
  <c r="AF1058" i="34"/>
  <c r="AE1058" i="34"/>
  <c r="AD1058" i="34"/>
  <c r="AC1058" i="34"/>
  <c r="AB1058" i="34"/>
  <c r="AA1058" i="34"/>
  <c r="Z1058" i="34"/>
  <c r="Y1058" i="34"/>
  <c r="X1058" i="34"/>
  <c r="W1058" i="34"/>
  <c r="V1058" i="34"/>
  <c r="U1058" i="34"/>
  <c r="T1058" i="34"/>
  <c r="S1058" i="34"/>
  <c r="R1058" i="34"/>
  <c r="Q1058" i="34"/>
  <c r="P1058" i="34"/>
  <c r="O1058" i="34"/>
  <c r="N1058" i="34"/>
  <c r="M1058" i="34"/>
  <c r="L1058" i="34"/>
  <c r="K1058" i="34"/>
  <c r="J1058" i="34"/>
  <c r="I1058" i="34"/>
  <c r="BY1057" i="34"/>
  <c r="BX1057" i="34"/>
  <c r="BW1057" i="34"/>
  <c r="BV1057" i="34"/>
  <c r="BU1057" i="34"/>
  <c r="BT1057" i="34"/>
  <c r="BS1057" i="34"/>
  <c r="BR1057" i="34"/>
  <c r="BQ1057" i="34"/>
  <c r="BP1057" i="34"/>
  <c r="BO1057" i="34"/>
  <c r="BN1057" i="34"/>
  <c r="BM1057" i="34"/>
  <c r="BL1057" i="34"/>
  <c r="BK1057" i="34"/>
  <c r="BJ1057" i="34"/>
  <c r="BI1057" i="34"/>
  <c r="BH1057" i="34"/>
  <c r="BG1057" i="34"/>
  <c r="BF1057" i="34"/>
  <c r="BE1057" i="34"/>
  <c r="BD1057" i="34"/>
  <c r="BC1057" i="34"/>
  <c r="AZ1057" i="34"/>
  <c r="AY1057" i="34"/>
  <c r="AX1057" i="34"/>
  <c r="AW1057" i="34"/>
  <c r="AV1057" i="34"/>
  <c r="AU1057" i="34"/>
  <c r="AT1057" i="34"/>
  <c r="AS1057" i="34"/>
  <c r="AR1057" i="34"/>
  <c r="AQ1057" i="34"/>
  <c r="AP1057" i="34"/>
  <c r="AO1057" i="34"/>
  <c r="AN1057" i="34"/>
  <c r="AM1057" i="34"/>
  <c r="AL1057" i="34"/>
  <c r="AK1057" i="34"/>
  <c r="AJ1057" i="34"/>
  <c r="AI1057" i="34"/>
  <c r="AH1057" i="34"/>
  <c r="AG1057" i="34"/>
  <c r="AF1057" i="34"/>
  <c r="AE1057" i="34"/>
  <c r="AD1057" i="34"/>
  <c r="AC1057" i="34"/>
  <c r="AB1057" i="34"/>
  <c r="AA1057" i="34"/>
  <c r="Z1057" i="34"/>
  <c r="Y1057" i="34"/>
  <c r="X1057" i="34"/>
  <c r="W1057" i="34"/>
  <c r="V1057" i="34"/>
  <c r="U1057" i="34"/>
  <c r="T1057" i="34"/>
  <c r="S1057" i="34"/>
  <c r="R1057" i="34"/>
  <c r="Q1057" i="34"/>
  <c r="P1057" i="34"/>
  <c r="O1057" i="34"/>
  <c r="N1057" i="34"/>
  <c r="M1057" i="34"/>
  <c r="L1057" i="34"/>
  <c r="K1057" i="34"/>
  <c r="J1057" i="34"/>
  <c r="I1057" i="34"/>
  <c r="BY1056" i="34"/>
  <c r="BX1056" i="34"/>
  <c r="BW1056" i="34"/>
  <c r="BV1056" i="34"/>
  <c r="BU1056" i="34"/>
  <c r="BT1056" i="34"/>
  <c r="BS1056" i="34"/>
  <c r="BR1056" i="34"/>
  <c r="BQ1056" i="34"/>
  <c r="BP1056" i="34"/>
  <c r="BO1056" i="34"/>
  <c r="BN1056" i="34"/>
  <c r="BM1056" i="34"/>
  <c r="BL1056" i="34"/>
  <c r="BK1056" i="34"/>
  <c r="BJ1056" i="34"/>
  <c r="BI1056" i="34"/>
  <c r="BH1056" i="34"/>
  <c r="BG1056" i="34"/>
  <c r="BF1056" i="34"/>
  <c r="BE1056" i="34"/>
  <c r="BD1056" i="34"/>
  <c r="BC1056" i="34"/>
  <c r="AZ1056" i="34"/>
  <c r="AY1056" i="34"/>
  <c r="AX1056" i="34"/>
  <c r="AW1056" i="34"/>
  <c r="AV1056" i="34"/>
  <c r="AU1056" i="34"/>
  <c r="AT1056" i="34"/>
  <c r="AS1056" i="34"/>
  <c r="AR1056" i="34"/>
  <c r="AQ1056" i="34"/>
  <c r="AP1056" i="34"/>
  <c r="AO1056" i="34"/>
  <c r="AN1056" i="34"/>
  <c r="AM1056" i="34"/>
  <c r="AL1056" i="34"/>
  <c r="AK1056" i="34"/>
  <c r="AJ1056" i="34"/>
  <c r="AI1056" i="34"/>
  <c r="AH1056" i="34"/>
  <c r="AG1056" i="34"/>
  <c r="AF1056" i="34"/>
  <c r="AE1056" i="34"/>
  <c r="AD1056" i="34"/>
  <c r="AC1056" i="34"/>
  <c r="AB1056" i="34"/>
  <c r="AA1056" i="34"/>
  <c r="Z1056" i="34"/>
  <c r="Y1056" i="34"/>
  <c r="X1056" i="34"/>
  <c r="W1056" i="34"/>
  <c r="V1056" i="34"/>
  <c r="U1056" i="34"/>
  <c r="T1056" i="34"/>
  <c r="S1056" i="34"/>
  <c r="R1056" i="34"/>
  <c r="Q1056" i="34"/>
  <c r="P1056" i="34"/>
  <c r="O1056" i="34"/>
  <c r="N1056" i="34"/>
  <c r="M1056" i="34"/>
  <c r="L1056" i="34"/>
  <c r="K1056" i="34"/>
  <c r="J1056" i="34"/>
  <c r="I1056" i="34"/>
  <c r="BY1055" i="34"/>
  <c r="BX1055" i="34"/>
  <c r="BW1055" i="34"/>
  <c r="BV1055" i="34"/>
  <c r="BU1055" i="34"/>
  <c r="BT1055" i="34"/>
  <c r="BS1055" i="34"/>
  <c r="BR1055" i="34"/>
  <c r="BQ1055" i="34"/>
  <c r="BP1055" i="34"/>
  <c r="BO1055" i="34"/>
  <c r="BN1055" i="34"/>
  <c r="BM1055" i="34"/>
  <c r="BL1055" i="34"/>
  <c r="BK1055" i="34"/>
  <c r="BJ1055" i="34"/>
  <c r="BI1055" i="34"/>
  <c r="BH1055" i="34"/>
  <c r="BG1055" i="34"/>
  <c r="BF1055" i="34"/>
  <c r="BE1055" i="34"/>
  <c r="BD1055" i="34"/>
  <c r="BC1055" i="34"/>
  <c r="AZ1055" i="34"/>
  <c r="AY1055" i="34"/>
  <c r="AX1055" i="34"/>
  <c r="AW1055" i="34"/>
  <c r="AV1055" i="34"/>
  <c r="AU1055" i="34"/>
  <c r="AT1055" i="34"/>
  <c r="AS1055" i="34"/>
  <c r="AR1055" i="34"/>
  <c r="AQ1055" i="34"/>
  <c r="AP1055" i="34"/>
  <c r="AO1055" i="34"/>
  <c r="AN1055" i="34"/>
  <c r="AM1055" i="34"/>
  <c r="AL1055" i="34"/>
  <c r="X1055" i="34"/>
  <c r="W1055" i="34"/>
  <c r="V1055" i="34"/>
  <c r="U1055" i="34"/>
  <c r="T1055" i="34"/>
  <c r="S1055" i="34"/>
  <c r="R1055" i="34"/>
  <c r="Q1055" i="34"/>
  <c r="P1055" i="34"/>
  <c r="O1055" i="34"/>
  <c r="N1055" i="34"/>
  <c r="M1055" i="34"/>
  <c r="L1055" i="34"/>
  <c r="K1055" i="34"/>
  <c r="J1055" i="34"/>
  <c r="I1055" i="34"/>
  <c r="BY1054" i="34"/>
  <c r="BX1054" i="34"/>
  <c r="BW1054" i="34"/>
  <c r="BV1054" i="34"/>
  <c r="BU1054" i="34"/>
  <c r="BT1054" i="34"/>
  <c r="BS1054" i="34"/>
  <c r="BR1054" i="34"/>
  <c r="BQ1054" i="34"/>
  <c r="BP1054" i="34"/>
  <c r="BO1054" i="34"/>
  <c r="BN1054" i="34"/>
  <c r="BM1054" i="34"/>
  <c r="BL1054" i="34"/>
  <c r="BK1054" i="34"/>
  <c r="BJ1054" i="34"/>
  <c r="BI1054" i="34"/>
  <c r="BH1054" i="34"/>
  <c r="BG1054" i="34"/>
  <c r="BF1054" i="34"/>
  <c r="BE1054" i="34"/>
  <c r="BD1054" i="34"/>
  <c r="BC1054" i="34"/>
  <c r="AZ1054" i="34"/>
  <c r="AY1054" i="34"/>
  <c r="AX1054" i="34"/>
  <c r="AW1054" i="34"/>
  <c r="AV1054" i="34"/>
  <c r="AU1054" i="34"/>
  <c r="AT1054" i="34"/>
  <c r="AS1054" i="34"/>
  <c r="AR1054" i="34"/>
  <c r="AQ1054" i="34"/>
  <c r="AP1054" i="34"/>
  <c r="AO1054" i="34"/>
  <c r="AN1054" i="34"/>
  <c r="AM1054" i="34"/>
  <c r="AL1054" i="34"/>
  <c r="Y1054" i="34"/>
  <c r="X1054" i="34"/>
  <c r="W1054" i="34"/>
  <c r="V1054" i="34"/>
  <c r="U1054" i="34"/>
  <c r="T1054" i="34"/>
  <c r="S1054" i="34"/>
  <c r="R1054" i="34"/>
  <c r="Q1054" i="34"/>
  <c r="P1054" i="34"/>
  <c r="O1054" i="34"/>
  <c r="N1054" i="34"/>
  <c r="M1054" i="34"/>
  <c r="L1054" i="34"/>
  <c r="K1054" i="34"/>
  <c r="J1054" i="34"/>
  <c r="I1054" i="34"/>
  <c r="BY1053" i="34"/>
  <c r="BX1053" i="34"/>
  <c r="BW1053" i="34"/>
  <c r="BV1053" i="34"/>
  <c r="BU1053" i="34"/>
  <c r="BT1053" i="34"/>
  <c r="BS1053" i="34"/>
  <c r="BR1053" i="34"/>
  <c r="BQ1053" i="34"/>
  <c r="BP1053" i="34"/>
  <c r="BO1053" i="34"/>
  <c r="BN1053" i="34"/>
  <c r="BM1053" i="34"/>
  <c r="BL1053" i="34"/>
  <c r="BK1053" i="34"/>
  <c r="BJ1053" i="34"/>
  <c r="BI1053" i="34"/>
  <c r="BH1053" i="34"/>
  <c r="BG1053" i="34"/>
  <c r="BF1053" i="34"/>
  <c r="BE1053" i="34"/>
  <c r="BD1053" i="34"/>
  <c r="BC1053" i="34"/>
  <c r="AZ1053" i="34"/>
  <c r="AY1053" i="34"/>
  <c r="AX1053" i="34"/>
  <c r="AW1053" i="34"/>
  <c r="AV1053" i="34"/>
  <c r="AU1053" i="34"/>
  <c r="AT1053" i="34"/>
  <c r="AS1053" i="34"/>
  <c r="AR1053" i="34"/>
  <c r="AQ1053" i="34"/>
  <c r="AP1053" i="34"/>
  <c r="AO1053" i="34"/>
  <c r="AN1053" i="34"/>
  <c r="AM1053" i="34"/>
  <c r="AL1053" i="34"/>
  <c r="AB1053" i="34"/>
  <c r="AA1053" i="34"/>
  <c r="Z1053" i="34"/>
  <c r="Y1053" i="34"/>
  <c r="X1053" i="34"/>
  <c r="W1053" i="34"/>
  <c r="V1053" i="34"/>
  <c r="U1053" i="34"/>
  <c r="T1053" i="34"/>
  <c r="S1053" i="34"/>
  <c r="R1053" i="34"/>
  <c r="Q1053" i="34"/>
  <c r="P1053" i="34"/>
  <c r="O1053" i="34"/>
  <c r="N1053" i="34"/>
  <c r="M1053" i="34"/>
  <c r="L1053" i="34"/>
  <c r="K1053" i="34"/>
  <c r="J1053" i="34"/>
  <c r="I1053" i="34"/>
  <c r="BY1052" i="34"/>
  <c r="BX1052" i="34"/>
  <c r="BW1052" i="34"/>
  <c r="BV1052" i="34"/>
  <c r="BU1052" i="34"/>
  <c r="BT1052" i="34"/>
  <c r="BS1052" i="34"/>
  <c r="BR1052" i="34"/>
  <c r="BQ1052" i="34"/>
  <c r="BP1052" i="34"/>
  <c r="BO1052" i="34"/>
  <c r="BN1052" i="34"/>
  <c r="BM1052" i="34"/>
  <c r="BL1052" i="34"/>
  <c r="BK1052" i="34"/>
  <c r="BJ1052" i="34"/>
  <c r="BI1052" i="34"/>
  <c r="BH1052" i="34"/>
  <c r="BG1052" i="34"/>
  <c r="BF1052" i="34"/>
  <c r="BE1052" i="34"/>
  <c r="BD1052" i="34"/>
  <c r="BC1052" i="34"/>
  <c r="AZ1052" i="34"/>
  <c r="AY1052" i="34"/>
  <c r="AX1052" i="34"/>
  <c r="AW1052" i="34"/>
  <c r="AV1052" i="34"/>
  <c r="AU1052" i="34"/>
  <c r="AT1052" i="34"/>
  <c r="AS1052" i="34"/>
  <c r="AR1052" i="34"/>
  <c r="AQ1052" i="34"/>
  <c r="AP1052" i="34"/>
  <c r="AO1052" i="34"/>
  <c r="AN1052" i="34"/>
  <c r="AM1052" i="34"/>
  <c r="AL1052" i="34"/>
  <c r="AI1052" i="34"/>
  <c r="AH1052" i="34"/>
  <c r="AG1052" i="34"/>
  <c r="AF1052" i="34"/>
  <c r="AE1052" i="34"/>
  <c r="AD1052" i="34"/>
  <c r="AC1052" i="34"/>
  <c r="AB1052" i="34"/>
  <c r="AA1052" i="34"/>
  <c r="Z1052" i="34"/>
  <c r="X1052" i="34"/>
  <c r="W1052" i="34"/>
  <c r="V1052" i="34"/>
  <c r="U1052" i="34"/>
  <c r="T1052" i="34"/>
  <c r="S1052" i="34"/>
  <c r="R1052" i="34"/>
  <c r="Q1052" i="34"/>
  <c r="P1052" i="34"/>
  <c r="O1052" i="34"/>
  <c r="N1052" i="34"/>
  <c r="M1052" i="34"/>
  <c r="L1052" i="34"/>
  <c r="K1052" i="34"/>
  <c r="J1052" i="34"/>
  <c r="I1052" i="34"/>
  <c r="BG1050" i="34"/>
  <c r="BF1050" i="34"/>
  <c r="BE1050" i="34"/>
  <c r="L1050" i="34"/>
  <c r="K1050" i="34"/>
  <c r="J1050" i="34"/>
  <c r="I1050" i="34"/>
  <c r="BY1049" i="34"/>
  <c r="BX1049" i="34"/>
  <c r="BW1049" i="34"/>
  <c r="BV1049" i="34"/>
  <c r="BU1049" i="34"/>
  <c r="BT1049" i="34"/>
  <c r="BS1049" i="34"/>
  <c r="BR1049" i="34"/>
  <c r="BQ1049" i="34"/>
  <c r="BP1049" i="34"/>
  <c r="BO1049" i="34"/>
  <c r="BN1049" i="34"/>
  <c r="BM1049" i="34"/>
  <c r="BL1049" i="34"/>
  <c r="BK1049" i="34"/>
  <c r="BJ1049" i="34"/>
  <c r="BI1049" i="34"/>
  <c r="BH1049" i="34"/>
  <c r="BG1049" i="34"/>
  <c r="BF1049" i="34"/>
  <c r="BE1049" i="34"/>
  <c r="L1049" i="34"/>
  <c r="K1049" i="34"/>
  <c r="J1049" i="34"/>
  <c r="I1049" i="34"/>
  <c r="BG1048" i="34"/>
  <c r="BF1048" i="34"/>
  <c r="BE1048" i="34"/>
  <c r="L1048" i="34"/>
  <c r="K1048" i="34"/>
  <c r="J1048" i="34"/>
  <c r="I1048" i="34"/>
  <c r="BG1047" i="34"/>
  <c r="BF1047" i="34"/>
  <c r="BE1047" i="34"/>
  <c r="L1047" i="34"/>
  <c r="K1047" i="34"/>
  <c r="J1047" i="34"/>
  <c r="I1047" i="34"/>
  <c r="BY1046" i="34"/>
  <c r="BX1046" i="34"/>
  <c r="BW1046" i="34"/>
  <c r="BV1046" i="34"/>
  <c r="BU1046" i="34"/>
  <c r="BT1046" i="34"/>
  <c r="BS1046" i="34"/>
  <c r="BR1046" i="34"/>
  <c r="BQ1046" i="34"/>
  <c r="BP1046" i="34"/>
  <c r="BO1046" i="34"/>
  <c r="BN1046" i="34"/>
  <c r="BM1046" i="34"/>
  <c r="BL1046" i="34"/>
  <c r="BK1046" i="34"/>
  <c r="BJ1046" i="34"/>
  <c r="BI1046" i="34"/>
  <c r="BH1046" i="34"/>
  <c r="BG1046" i="34"/>
  <c r="BF1046" i="34"/>
  <c r="BE1046" i="34"/>
  <c r="BD1046" i="34"/>
  <c r="BC1046" i="34"/>
  <c r="AZ1046" i="34"/>
  <c r="AY1046" i="34"/>
  <c r="AX1046" i="34"/>
  <c r="AW1046" i="34"/>
  <c r="AV1046" i="34"/>
  <c r="AU1046" i="34"/>
  <c r="AT1046" i="34"/>
  <c r="AS1046" i="34"/>
  <c r="AR1046" i="34"/>
  <c r="AQ1046" i="34"/>
  <c r="AP1046" i="34"/>
  <c r="AO1046" i="34"/>
  <c r="AN1046" i="34"/>
  <c r="AM1046" i="34"/>
  <c r="AL1046" i="34"/>
  <c r="AK1046" i="34"/>
  <c r="AJ1046" i="34"/>
  <c r="AI1046" i="34"/>
  <c r="AH1046" i="34"/>
  <c r="AG1046" i="34"/>
  <c r="AF1046" i="34"/>
  <c r="AE1046" i="34"/>
  <c r="AD1046" i="34"/>
  <c r="AC1046" i="34"/>
  <c r="AB1046" i="34"/>
  <c r="AA1046" i="34"/>
  <c r="Z1046" i="34"/>
  <c r="Y1046" i="34"/>
  <c r="X1046" i="34"/>
  <c r="W1046" i="34"/>
  <c r="V1046" i="34"/>
  <c r="U1046" i="34"/>
  <c r="T1046" i="34"/>
  <c r="S1046" i="34"/>
  <c r="R1046" i="34"/>
  <c r="Q1046" i="34"/>
  <c r="P1046" i="34"/>
  <c r="O1046" i="34"/>
  <c r="N1046" i="34"/>
  <c r="M1046" i="34"/>
  <c r="L1046" i="34"/>
  <c r="K1046" i="34"/>
  <c r="J1046" i="34"/>
  <c r="I1046" i="34"/>
  <c r="BY1045" i="34"/>
  <c r="BX1045" i="34"/>
  <c r="BW1045" i="34"/>
  <c r="BV1045" i="34"/>
  <c r="BU1045" i="34"/>
  <c r="BT1045" i="34"/>
  <c r="BS1045" i="34"/>
  <c r="BR1045" i="34"/>
  <c r="BQ1045" i="34"/>
  <c r="BP1045" i="34"/>
  <c r="BO1045" i="34"/>
  <c r="BN1045" i="34"/>
  <c r="BM1045" i="34"/>
  <c r="BL1045" i="34"/>
  <c r="BK1045" i="34"/>
  <c r="BJ1045" i="34"/>
  <c r="BI1045" i="34"/>
  <c r="BH1045" i="34"/>
  <c r="BG1045" i="34"/>
  <c r="BF1045" i="34"/>
  <c r="BE1045" i="34"/>
  <c r="L1045" i="34"/>
  <c r="K1045" i="34"/>
  <c r="J1045" i="34"/>
  <c r="I1045" i="34"/>
  <c r="BG1044" i="34"/>
  <c r="BF1044" i="34"/>
  <c r="BE1044" i="34"/>
  <c r="L1044" i="34"/>
  <c r="K1044" i="34"/>
  <c r="J1044" i="34"/>
  <c r="I1044" i="34"/>
  <c r="BH1043" i="34"/>
  <c r="BG1043" i="34"/>
  <c r="BF1043" i="34"/>
  <c r="BE1043" i="34"/>
  <c r="Z1043" i="34"/>
  <c r="Y1043" i="34"/>
  <c r="X1043" i="34"/>
  <c r="V1043" i="34"/>
  <c r="U1043" i="34"/>
  <c r="T1043" i="34"/>
  <c r="S1043" i="34"/>
  <c r="R1043" i="34"/>
  <c r="Q1043" i="34"/>
  <c r="P1043" i="34"/>
  <c r="O1043" i="34"/>
  <c r="N1043" i="34"/>
  <c r="M1043" i="34"/>
  <c r="L1043" i="34"/>
  <c r="K1043" i="34"/>
  <c r="J1043" i="34"/>
  <c r="I1043" i="34"/>
  <c r="BN1042" i="34"/>
  <c r="BM1042" i="34"/>
  <c r="BL1042" i="34"/>
  <c r="BK1042" i="34"/>
  <c r="BJ1042" i="34"/>
  <c r="BI1042" i="34"/>
  <c r="BH1042" i="34"/>
  <c r="BG1042" i="34"/>
  <c r="BF1042" i="34"/>
  <c r="BE1042" i="34"/>
  <c r="BD1042" i="34"/>
  <c r="BC1042" i="34"/>
  <c r="AZ1042" i="34"/>
  <c r="AY1042" i="34"/>
  <c r="AX1042" i="34"/>
  <c r="AW1042" i="34"/>
  <c r="AV1042" i="34"/>
  <c r="AU1042" i="34"/>
  <c r="AT1042" i="34"/>
  <c r="AS1042" i="34"/>
  <c r="AR1042" i="34"/>
  <c r="M1042" i="34"/>
  <c r="L1042" i="34"/>
  <c r="K1042" i="34"/>
  <c r="J1042" i="34"/>
  <c r="I1042" i="34"/>
  <c r="BI1041" i="34"/>
  <c r="BH1041" i="34"/>
  <c r="BG1041" i="34"/>
  <c r="BF1041" i="34"/>
  <c r="BE1041" i="34"/>
  <c r="AF1041" i="34"/>
  <c r="AE1041" i="34"/>
  <c r="AD1041" i="34"/>
  <c r="AC1041" i="34"/>
  <c r="AB1041" i="34"/>
  <c r="AA1041" i="34"/>
  <c r="Z1041" i="34"/>
  <c r="Y1041" i="34"/>
  <c r="X1041" i="34"/>
  <c r="W1041" i="34"/>
  <c r="V1041" i="34"/>
  <c r="U1041" i="34"/>
  <c r="T1041" i="34"/>
  <c r="S1041" i="34"/>
  <c r="R1041" i="34"/>
  <c r="Q1041" i="34"/>
  <c r="P1041" i="34"/>
  <c r="O1041" i="34"/>
  <c r="N1041" i="34"/>
  <c r="M1041" i="34"/>
  <c r="L1041" i="34"/>
  <c r="K1041" i="34"/>
  <c r="J1041" i="34"/>
  <c r="I1041" i="34"/>
  <c r="BY1040" i="34"/>
  <c r="BX1040" i="34"/>
  <c r="BW1040" i="34"/>
  <c r="BV1040" i="34"/>
  <c r="BU1040" i="34"/>
  <c r="BT1040" i="34"/>
  <c r="BS1040" i="34"/>
  <c r="BR1040" i="34"/>
  <c r="BQ1040" i="34"/>
  <c r="BP1040" i="34"/>
  <c r="BO1040" i="34"/>
  <c r="BN1040" i="34"/>
  <c r="BM1040" i="34"/>
  <c r="BL1040" i="34"/>
  <c r="BK1040" i="34"/>
  <c r="BJ1040" i="34"/>
  <c r="BI1040" i="34"/>
  <c r="BH1040" i="34"/>
  <c r="BG1040" i="34"/>
  <c r="BF1040" i="34"/>
  <c r="BE1040" i="34"/>
  <c r="BD1040" i="34"/>
  <c r="BC1040" i="34"/>
  <c r="AZ1040" i="34"/>
  <c r="AY1040" i="34"/>
  <c r="AX1040" i="34"/>
  <c r="AW1040" i="34"/>
  <c r="AV1040" i="34"/>
  <c r="AU1040" i="34"/>
  <c r="AT1040" i="34"/>
  <c r="AS1040" i="34"/>
  <c r="AR1040" i="34"/>
  <c r="AQ1040" i="34"/>
  <c r="AP1040" i="34"/>
  <c r="AO1040" i="34"/>
  <c r="AN1040" i="34"/>
  <c r="AM1040" i="34"/>
  <c r="AL1040" i="34"/>
  <c r="AK1040" i="34"/>
  <c r="AJ1040" i="34"/>
  <c r="AI1040" i="34"/>
  <c r="AH1040" i="34"/>
  <c r="AG1040" i="34"/>
  <c r="AF1040" i="34"/>
  <c r="AE1040" i="34"/>
  <c r="AD1040" i="34"/>
  <c r="AC1040" i="34"/>
  <c r="AB1040" i="34"/>
  <c r="AA1040" i="34"/>
  <c r="Z1040" i="34"/>
  <c r="Y1040" i="34"/>
  <c r="X1040" i="34"/>
  <c r="W1040" i="34"/>
  <c r="V1040" i="34"/>
  <c r="U1040" i="34"/>
  <c r="T1040" i="34"/>
  <c r="S1040" i="34"/>
  <c r="R1040" i="34"/>
  <c r="Q1040" i="34"/>
  <c r="P1040" i="34"/>
  <c r="O1040" i="34"/>
  <c r="N1040" i="34"/>
  <c r="M1040" i="34"/>
  <c r="L1040" i="34"/>
  <c r="K1040" i="34"/>
  <c r="J1040" i="34"/>
  <c r="I1040" i="34"/>
  <c r="BY1039" i="34"/>
  <c r="BX1039" i="34"/>
  <c r="BW1039" i="34"/>
  <c r="BV1039" i="34"/>
  <c r="BU1039" i="34"/>
  <c r="BT1039" i="34"/>
  <c r="BS1039" i="34"/>
  <c r="BR1039" i="34"/>
  <c r="BQ1039" i="34"/>
  <c r="BP1039" i="34"/>
  <c r="BO1039" i="34"/>
  <c r="BN1039" i="34"/>
  <c r="BM1039" i="34"/>
  <c r="BL1039" i="34"/>
  <c r="BK1039" i="34"/>
  <c r="BJ1039" i="34"/>
  <c r="BI1039" i="34"/>
  <c r="BH1039" i="34"/>
  <c r="BG1039" i="34"/>
  <c r="BF1039" i="34"/>
  <c r="BE1039" i="34"/>
  <c r="BD1039" i="34"/>
  <c r="BC1039" i="34"/>
  <c r="AZ1039" i="34"/>
  <c r="AY1039" i="34"/>
  <c r="AX1039" i="34"/>
  <c r="AW1039" i="34"/>
  <c r="AV1039" i="34"/>
  <c r="AU1039" i="34"/>
  <c r="AT1039" i="34"/>
  <c r="AS1039" i="34"/>
  <c r="AR1039" i="34"/>
  <c r="AQ1039" i="34"/>
  <c r="AP1039" i="34"/>
  <c r="AO1039" i="34"/>
  <c r="AN1039" i="34"/>
  <c r="AM1039" i="34"/>
  <c r="AL1039" i="34"/>
  <c r="AK1039" i="34"/>
  <c r="AJ1039" i="34"/>
  <c r="AI1039" i="34"/>
  <c r="AH1039" i="34"/>
  <c r="AG1039" i="34"/>
  <c r="AF1039" i="34"/>
  <c r="AE1039" i="34"/>
  <c r="AD1039" i="34"/>
  <c r="AC1039" i="34"/>
  <c r="AB1039" i="34"/>
  <c r="AA1039" i="34"/>
  <c r="Z1039" i="34"/>
  <c r="Y1039" i="34"/>
  <c r="X1039" i="34"/>
  <c r="W1039" i="34"/>
  <c r="V1039" i="34"/>
  <c r="U1039" i="34"/>
  <c r="T1039" i="34"/>
  <c r="S1039" i="34"/>
  <c r="R1039" i="34"/>
  <c r="Q1039" i="34"/>
  <c r="P1039" i="34"/>
  <c r="O1039" i="34"/>
  <c r="N1039" i="34"/>
  <c r="M1039" i="34"/>
  <c r="L1039" i="34"/>
  <c r="K1039" i="34"/>
  <c r="J1039" i="34"/>
  <c r="I1039" i="34"/>
  <c r="BY1038" i="34"/>
  <c r="BX1038" i="34"/>
  <c r="BW1038" i="34"/>
  <c r="BV1038" i="34"/>
  <c r="BU1038" i="34"/>
  <c r="BT1038" i="34"/>
  <c r="BS1038" i="34"/>
  <c r="BR1038" i="34"/>
  <c r="BQ1038" i="34"/>
  <c r="BP1038" i="34"/>
  <c r="BO1038" i="34"/>
  <c r="BN1038" i="34"/>
  <c r="BM1038" i="34"/>
  <c r="BL1038" i="34"/>
  <c r="BK1038" i="34"/>
  <c r="BJ1038" i="34"/>
  <c r="BI1038" i="34"/>
  <c r="BH1038" i="34"/>
  <c r="BG1038" i="34"/>
  <c r="BF1038" i="34"/>
  <c r="BE1038" i="34"/>
  <c r="BD1038" i="34"/>
  <c r="BC1038" i="34"/>
  <c r="AZ1038" i="34"/>
  <c r="AY1038" i="34"/>
  <c r="AX1038" i="34"/>
  <c r="AW1038" i="34"/>
  <c r="AV1038" i="34"/>
  <c r="AU1038" i="34"/>
  <c r="AT1038" i="34"/>
  <c r="AS1038" i="34"/>
  <c r="AR1038" i="34"/>
  <c r="AQ1038" i="34"/>
  <c r="AP1038" i="34"/>
  <c r="AO1038" i="34"/>
  <c r="AN1038" i="34"/>
  <c r="AM1038" i="34"/>
  <c r="AL1038" i="34"/>
  <c r="AK1038" i="34"/>
  <c r="AJ1038" i="34"/>
  <c r="AI1038" i="34"/>
  <c r="AH1038" i="34"/>
  <c r="AG1038" i="34"/>
  <c r="AF1038" i="34"/>
  <c r="AE1038" i="34"/>
  <c r="AD1038" i="34"/>
  <c r="AC1038" i="34"/>
  <c r="AB1038" i="34"/>
  <c r="AA1038" i="34"/>
  <c r="Z1038" i="34"/>
  <c r="Y1038" i="34"/>
  <c r="X1038" i="34"/>
  <c r="W1038" i="34"/>
  <c r="V1038" i="34"/>
  <c r="U1038" i="34"/>
  <c r="T1038" i="34"/>
  <c r="S1038" i="34"/>
  <c r="R1038" i="34"/>
  <c r="Q1038" i="34"/>
  <c r="P1038" i="34"/>
  <c r="O1038" i="34"/>
  <c r="N1038" i="34"/>
  <c r="M1038" i="34"/>
  <c r="L1038" i="34"/>
  <c r="K1038" i="34"/>
  <c r="J1038" i="34"/>
  <c r="I1038" i="34"/>
  <c r="BY1037" i="34"/>
  <c r="BX1037" i="34"/>
  <c r="BW1037" i="34"/>
  <c r="BV1037" i="34"/>
  <c r="BU1037" i="34"/>
  <c r="BT1037" i="34"/>
  <c r="BS1037" i="34"/>
  <c r="BR1037" i="34"/>
  <c r="BQ1037" i="34"/>
  <c r="BP1037" i="34"/>
  <c r="BO1037" i="34"/>
  <c r="BN1037" i="34"/>
  <c r="BM1037" i="34"/>
  <c r="BL1037" i="34"/>
  <c r="BK1037" i="34"/>
  <c r="BJ1037" i="34"/>
  <c r="BI1037" i="34"/>
  <c r="BH1037" i="34"/>
  <c r="BG1037" i="34"/>
  <c r="BF1037" i="34"/>
  <c r="BE1037" i="34"/>
  <c r="BD1037" i="34"/>
  <c r="BC1037" i="34"/>
  <c r="AZ1037" i="34"/>
  <c r="AY1037" i="34"/>
  <c r="AX1037" i="34"/>
  <c r="AW1037" i="34"/>
  <c r="AV1037" i="34"/>
  <c r="AU1037" i="34"/>
  <c r="AT1037" i="34"/>
  <c r="AS1037" i="34"/>
  <c r="AR1037" i="34"/>
  <c r="AQ1037" i="34"/>
  <c r="AP1037" i="34"/>
  <c r="AO1037" i="34"/>
  <c r="AN1037" i="34"/>
  <c r="AM1037" i="34"/>
  <c r="AL1037" i="34"/>
  <c r="AK1037" i="34"/>
  <c r="AJ1037" i="34"/>
  <c r="AI1037" i="34"/>
  <c r="AH1037" i="34"/>
  <c r="AG1037" i="34"/>
  <c r="AF1037" i="34"/>
  <c r="AE1037" i="34"/>
  <c r="AD1037" i="34"/>
  <c r="AC1037" i="34"/>
  <c r="AB1037" i="34"/>
  <c r="AA1037" i="34"/>
  <c r="Z1037" i="34"/>
  <c r="Y1037" i="34"/>
  <c r="X1037" i="34"/>
  <c r="W1037" i="34"/>
  <c r="V1037" i="34"/>
  <c r="U1037" i="34"/>
  <c r="T1037" i="34"/>
  <c r="S1037" i="34"/>
  <c r="R1037" i="34"/>
  <c r="Q1037" i="34"/>
  <c r="P1037" i="34"/>
  <c r="O1037" i="34"/>
  <c r="N1037" i="34"/>
  <c r="M1037" i="34"/>
  <c r="L1037" i="34"/>
  <c r="K1037" i="34"/>
  <c r="J1037" i="34"/>
  <c r="I1037" i="34"/>
  <c r="BL1036" i="34"/>
  <c r="BK1036" i="34"/>
  <c r="BJ1036" i="34"/>
  <c r="BI1036" i="34"/>
  <c r="BH1036" i="34"/>
  <c r="BG1036" i="34"/>
  <c r="BF1036" i="34"/>
  <c r="BE1036" i="34"/>
  <c r="AA1036" i="34"/>
  <c r="Z1036" i="34"/>
  <c r="Y1036" i="34"/>
  <c r="X1036" i="34"/>
  <c r="W1036" i="34"/>
  <c r="V1036" i="34"/>
  <c r="U1036" i="34"/>
  <c r="T1036" i="34"/>
  <c r="S1036" i="34"/>
  <c r="R1036" i="34"/>
  <c r="Q1036" i="34"/>
  <c r="P1036" i="34"/>
  <c r="O1036" i="34"/>
  <c r="N1036" i="34"/>
  <c r="M1036" i="34"/>
  <c r="L1036" i="34"/>
  <c r="K1036" i="34"/>
  <c r="J1036" i="34"/>
  <c r="I1036" i="34"/>
  <c r="BY1035" i="34"/>
  <c r="BX1035" i="34"/>
  <c r="BW1035" i="34"/>
  <c r="BV1035" i="34"/>
  <c r="BU1035" i="34"/>
  <c r="BT1035" i="34"/>
  <c r="BS1035" i="34"/>
  <c r="BR1035" i="34"/>
  <c r="BQ1035" i="34"/>
  <c r="BP1035" i="34"/>
  <c r="BO1035" i="34"/>
  <c r="BN1035" i="34"/>
  <c r="BM1035" i="34"/>
  <c r="BL1035" i="34"/>
  <c r="BK1035" i="34"/>
  <c r="BJ1035" i="34"/>
  <c r="BI1035" i="34"/>
  <c r="BH1035" i="34"/>
  <c r="BG1035" i="34"/>
  <c r="BF1035" i="34"/>
  <c r="BE1035" i="34"/>
  <c r="Z1035" i="34"/>
  <c r="Y1035" i="34"/>
  <c r="X1035" i="34"/>
  <c r="W1035" i="34"/>
  <c r="V1035" i="34"/>
  <c r="U1035" i="34"/>
  <c r="T1035" i="34"/>
  <c r="S1035" i="34"/>
  <c r="R1035" i="34"/>
  <c r="Q1035" i="34"/>
  <c r="P1035" i="34"/>
  <c r="O1035" i="34"/>
  <c r="N1035" i="34"/>
  <c r="M1035" i="34"/>
  <c r="L1035" i="34"/>
  <c r="K1035" i="34"/>
  <c r="J1035" i="34"/>
  <c r="I1035" i="34"/>
  <c r="BM1034" i="34"/>
  <c r="BL1034" i="34"/>
  <c r="BK1034" i="34"/>
  <c r="BJ1034" i="34"/>
  <c r="BI1034" i="34"/>
  <c r="BH1034" i="34"/>
  <c r="BG1034" i="34"/>
  <c r="BF1034" i="34"/>
  <c r="BE1034" i="34"/>
  <c r="Z1034" i="34"/>
  <c r="Y1034" i="34"/>
  <c r="X1034" i="34"/>
  <c r="W1034" i="34"/>
  <c r="V1034" i="34"/>
  <c r="U1034" i="34"/>
  <c r="T1034" i="34"/>
  <c r="S1034" i="34"/>
  <c r="R1034" i="34"/>
  <c r="Q1034" i="34"/>
  <c r="P1034" i="34"/>
  <c r="O1034" i="34"/>
  <c r="N1034" i="34"/>
  <c r="M1034" i="34"/>
  <c r="L1034" i="34"/>
  <c r="K1034" i="34"/>
  <c r="J1034" i="34"/>
  <c r="I1034" i="34"/>
  <c r="BL1033" i="34"/>
  <c r="BK1033" i="34"/>
  <c r="BJ1033" i="34"/>
  <c r="BI1033" i="34"/>
  <c r="BH1033" i="34"/>
  <c r="BG1033" i="34"/>
  <c r="BF1033" i="34"/>
  <c r="BE1033" i="34"/>
  <c r="AG1033" i="34"/>
  <c r="Z1033" i="34"/>
  <c r="Y1033" i="34"/>
  <c r="X1033" i="34"/>
  <c r="W1033" i="34"/>
  <c r="V1033" i="34"/>
  <c r="U1033" i="34"/>
  <c r="T1033" i="34"/>
  <c r="S1033" i="34"/>
  <c r="R1033" i="34"/>
  <c r="Q1033" i="34"/>
  <c r="P1033" i="34"/>
  <c r="O1033" i="34"/>
  <c r="N1033" i="34"/>
  <c r="M1033" i="34"/>
  <c r="L1033" i="34"/>
  <c r="K1033" i="34"/>
  <c r="J1033" i="34"/>
  <c r="I1033" i="34"/>
  <c r="BY1032" i="34"/>
  <c r="BX1032" i="34"/>
  <c r="BW1032" i="34"/>
  <c r="BV1032" i="34"/>
  <c r="BU1032" i="34"/>
  <c r="BT1032" i="34"/>
  <c r="BS1032" i="34"/>
  <c r="BR1032" i="34"/>
  <c r="BQ1032" i="34"/>
  <c r="BP1032" i="34"/>
  <c r="BO1032" i="34"/>
  <c r="BN1032" i="34"/>
  <c r="BM1032" i="34"/>
  <c r="BL1032" i="34"/>
  <c r="BK1032" i="34"/>
  <c r="BJ1032" i="34"/>
  <c r="BI1032" i="34"/>
  <c r="BH1032" i="34"/>
  <c r="BG1032" i="34"/>
  <c r="BF1032" i="34"/>
  <c r="BE1032" i="34"/>
  <c r="BD1032" i="34"/>
  <c r="BC1032" i="34"/>
  <c r="AZ1032" i="34"/>
  <c r="AY1032" i="34"/>
  <c r="AX1032" i="34"/>
  <c r="AW1032" i="34"/>
  <c r="AV1032" i="34"/>
  <c r="AU1032" i="34"/>
  <c r="AT1032" i="34"/>
  <c r="AS1032" i="34"/>
  <c r="AR1032" i="34"/>
  <c r="AQ1032" i="34"/>
  <c r="AP1032" i="34"/>
  <c r="AO1032" i="34"/>
  <c r="AN1032" i="34"/>
  <c r="AM1032" i="34"/>
  <c r="AL1032" i="34"/>
  <c r="AK1032" i="34"/>
  <c r="AJ1032" i="34"/>
  <c r="AI1032" i="34"/>
  <c r="AH1032" i="34"/>
  <c r="AG1032" i="34"/>
  <c r="AF1032" i="34"/>
  <c r="AE1032" i="34"/>
  <c r="AD1032" i="34"/>
  <c r="AC1032" i="34"/>
  <c r="AB1032" i="34"/>
  <c r="AA1032" i="34"/>
  <c r="Z1032" i="34"/>
  <c r="Y1032" i="34"/>
  <c r="X1032" i="34"/>
  <c r="W1032" i="34"/>
  <c r="V1032" i="34"/>
  <c r="U1032" i="34"/>
  <c r="T1032" i="34"/>
  <c r="S1032" i="34"/>
  <c r="R1032" i="34"/>
  <c r="Q1032" i="34"/>
  <c r="P1032" i="34"/>
  <c r="O1032" i="34"/>
  <c r="N1032" i="34"/>
  <c r="M1032" i="34"/>
  <c r="L1032" i="34"/>
  <c r="K1032" i="34"/>
  <c r="J1032" i="34"/>
  <c r="I1032" i="34"/>
  <c r="BY1031" i="34"/>
  <c r="BX1031" i="34"/>
  <c r="BW1031" i="34"/>
  <c r="BV1031" i="34"/>
  <c r="BU1031" i="34"/>
  <c r="BT1031" i="34"/>
  <c r="BS1031" i="34"/>
  <c r="BR1031" i="34"/>
  <c r="BQ1031" i="34"/>
  <c r="BP1031" i="34"/>
  <c r="BO1031" i="34"/>
  <c r="BN1031" i="34"/>
  <c r="BM1031" i="34"/>
  <c r="BL1031" i="34"/>
  <c r="BK1031" i="34"/>
  <c r="BJ1031" i="34"/>
  <c r="BI1031" i="34"/>
  <c r="BH1031" i="34"/>
  <c r="BG1031" i="34"/>
  <c r="BF1031" i="34"/>
  <c r="BE1031" i="34"/>
  <c r="BD1031" i="34"/>
  <c r="BC1031" i="34"/>
  <c r="AZ1031" i="34"/>
  <c r="AY1031" i="34"/>
  <c r="AX1031" i="34"/>
  <c r="AW1031" i="34"/>
  <c r="AV1031" i="34"/>
  <c r="AU1031" i="34"/>
  <c r="AT1031" i="34"/>
  <c r="AS1031" i="34"/>
  <c r="AR1031" i="34"/>
  <c r="AQ1031" i="34"/>
  <c r="AP1031" i="34"/>
  <c r="AO1031" i="34"/>
  <c r="AN1031" i="34"/>
  <c r="AM1031" i="34"/>
  <c r="AL1031" i="34"/>
  <c r="AK1031" i="34"/>
  <c r="AJ1031" i="34"/>
  <c r="AI1031" i="34"/>
  <c r="AH1031" i="34"/>
  <c r="AG1031" i="34"/>
  <c r="AF1031" i="34"/>
  <c r="AE1031" i="34"/>
  <c r="AD1031" i="34"/>
  <c r="AC1031" i="34"/>
  <c r="AB1031" i="34"/>
  <c r="AA1031" i="34"/>
  <c r="Z1031" i="34"/>
  <c r="Y1031" i="34"/>
  <c r="X1031" i="34"/>
  <c r="W1031" i="34"/>
  <c r="V1031" i="34"/>
  <c r="U1031" i="34"/>
  <c r="T1031" i="34"/>
  <c r="S1031" i="34"/>
  <c r="R1031" i="34"/>
  <c r="Q1031" i="34"/>
  <c r="P1031" i="34"/>
  <c r="O1031" i="34"/>
  <c r="N1031" i="34"/>
  <c r="M1031" i="34"/>
  <c r="L1031" i="34"/>
  <c r="K1031" i="34"/>
  <c r="J1031" i="34"/>
  <c r="I1031" i="34"/>
  <c r="BL1030" i="34"/>
  <c r="BK1030" i="34"/>
  <c r="BJ1030" i="34"/>
  <c r="BI1030" i="34"/>
  <c r="BH1030" i="34"/>
  <c r="BG1030" i="34"/>
  <c r="BF1030" i="34"/>
  <c r="BE1030" i="34"/>
  <c r="Z1030" i="34"/>
  <c r="Y1030" i="34"/>
  <c r="X1030" i="34"/>
  <c r="W1030" i="34"/>
  <c r="V1030" i="34"/>
  <c r="U1030" i="34"/>
  <c r="T1030" i="34"/>
  <c r="S1030" i="34"/>
  <c r="R1030" i="34"/>
  <c r="Q1030" i="34"/>
  <c r="P1030" i="34"/>
  <c r="O1030" i="34"/>
  <c r="N1030" i="34"/>
  <c r="M1030" i="34"/>
  <c r="L1030" i="34"/>
  <c r="K1030" i="34"/>
  <c r="J1030" i="34"/>
  <c r="I1030" i="34"/>
  <c r="BY1029" i="34"/>
  <c r="BX1029" i="34"/>
  <c r="BW1029" i="34"/>
  <c r="BV1029" i="34"/>
  <c r="BU1029" i="34"/>
  <c r="BT1029" i="34"/>
  <c r="BS1029" i="34"/>
  <c r="BR1029" i="34"/>
  <c r="BQ1029" i="34"/>
  <c r="BP1029" i="34"/>
  <c r="BO1029" i="34"/>
  <c r="BN1029" i="34"/>
  <c r="BM1029" i="34"/>
  <c r="BL1029" i="34"/>
  <c r="BK1029" i="34"/>
  <c r="BJ1029" i="34"/>
  <c r="BI1029" i="34"/>
  <c r="BH1029" i="34"/>
  <c r="BG1029" i="34"/>
  <c r="BF1029" i="34"/>
  <c r="BE1029" i="34"/>
  <c r="Z1029" i="34"/>
  <c r="Y1029" i="34"/>
  <c r="X1029" i="34"/>
  <c r="W1029" i="34"/>
  <c r="V1029" i="34"/>
  <c r="U1029" i="34"/>
  <c r="T1029" i="34"/>
  <c r="S1029" i="34"/>
  <c r="R1029" i="34"/>
  <c r="Q1029" i="34"/>
  <c r="P1029" i="34"/>
  <c r="O1029" i="34"/>
  <c r="N1029" i="34"/>
  <c r="M1029" i="34"/>
  <c r="L1029" i="34"/>
  <c r="K1029" i="34"/>
  <c r="J1029" i="34"/>
  <c r="I1029" i="34"/>
  <c r="BM1028" i="34"/>
  <c r="BL1028" i="34"/>
  <c r="BK1028" i="34"/>
  <c r="BJ1028" i="34"/>
  <c r="BI1028" i="34"/>
  <c r="BH1028" i="34"/>
  <c r="BG1028" i="34"/>
  <c r="BF1028" i="34"/>
  <c r="BE1028" i="34"/>
  <c r="Z1028" i="34"/>
  <c r="Y1028" i="34"/>
  <c r="X1028" i="34"/>
  <c r="W1028" i="34"/>
  <c r="V1028" i="34"/>
  <c r="U1028" i="34"/>
  <c r="T1028" i="34"/>
  <c r="S1028" i="34"/>
  <c r="R1028" i="34"/>
  <c r="Q1028" i="34"/>
  <c r="P1028" i="34"/>
  <c r="O1028" i="34"/>
  <c r="N1028" i="34"/>
  <c r="M1028" i="34"/>
  <c r="L1028" i="34"/>
  <c r="K1028" i="34"/>
  <c r="J1028" i="34"/>
  <c r="I1028" i="34"/>
  <c r="BL1027" i="34"/>
  <c r="BK1027" i="34"/>
  <c r="BJ1027" i="34"/>
  <c r="BI1027" i="34"/>
  <c r="BH1027" i="34"/>
  <c r="BG1027" i="34"/>
  <c r="BF1027" i="34"/>
  <c r="BE1027" i="34"/>
  <c r="Z1027" i="34"/>
  <c r="Y1027" i="34"/>
  <c r="X1027" i="34"/>
  <c r="W1027" i="34"/>
  <c r="V1027" i="34"/>
  <c r="U1027" i="34"/>
  <c r="T1027" i="34"/>
  <c r="S1027" i="34"/>
  <c r="R1027" i="34"/>
  <c r="Q1027" i="34"/>
  <c r="P1027" i="34"/>
  <c r="O1027" i="34"/>
  <c r="N1027" i="34"/>
  <c r="M1027" i="34"/>
  <c r="L1027" i="34"/>
  <c r="K1027" i="34"/>
  <c r="J1027" i="34"/>
  <c r="I1027" i="34"/>
  <c r="BY1026" i="34"/>
  <c r="BX1026" i="34"/>
  <c r="BW1026" i="34"/>
  <c r="BV1026" i="34"/>
  <c r="BU1026" i="34"/>
  <c r="BT1026" i="34"/>
  <c r="BS1026" i="34"/>
  <c r="BR1026" i="34"/>
  <c r="BQ1026" i="34"/>
  <c r="BP1026" i="34"/>
  <c r="BO1026" i="34"/>
  <c r="BN1026" i="34"/>
  <c r="BM1026" i="34"/>
  <c r="BL1026" i="34"/>
  <c r="BK1026" i="34"/>
  <c r="BJ1026" i="34"/>
  <c r="BI1026" i="34"/>
  <c r="BH1026" i="34"/>
  <c r="BG1026" i="34"/>
  <c r="BF1026" i="34"/>
  <c r="BE1026" i="34"/>
  <c r="BD1026" i="34"/>
  <c r="BC1026" i="34"/>
  <c r="AZ1026" i="34"/>
  <c r="AY1026" i="34"/>
  <c r="AX1026" i="34"/>
  <c r="AW1026" i="34"/>
  <c r="AV1026" i="34"/>
  <c r="AU1026" i="34"/>
  <c r="AT1026" i="34"/>
  <c r="AS1026" i="34"/>
  <c r="AR1026" i="34"/>
  <c r="AQ1026" i="34"/>
  <c r="AP1026" i="34"/>
  <c r="AO1026" i="34"/>
  <c r="AN1026" i="34"/>
  <c r="AM1026" i="34"/>
  <c r="AL1026" i="34"/>
  <c r="AK1026" i="34"/>
  <c r="AJ1026" i="34"/>
  <c r="AI1026" i="34"/>
  <c r="AH1026" i="34"/>
  <c r="AG1026" i="34"/>
  <c r="AF1026" i="34"/>
  <c r="AE1026" i="34"/>
  <c r="AD1026" i="34"/>
  <c r="AC1026" i="34"/>
  <c r="AB1026" i="34"/>
  <c r="AA1026" i="34"/>
  <c r="Z1026" i="34"/>
  <c r="Y1026" i="34"/>
  <c r="X1026" i="34"/>
  <c r="W1026" i="34"/>
  <c r="V1026" i="34"/>
  <c r="U1026" i="34"/>
  <c r="T1026" i="34"/>
  <c r="S1026" i="34"/>
  <c r="R1026" i="34"/>
  <c r="Q1026" i="34"/>
  <c r="P1026" i="34"/>
  <c r="O1026" i="34"/>
  <c r="N1026" i="34"/>
  <c r="M1026" i="34"/>
  <c r="L1026" i="34"/>
  <c r="K1026" i="34"/>
  <c r="J1026" i="34"/>
  <c r="I1026" i="34"/>
  <c r="BY1025" i="34"/>
  <c r="BX1025" i="34"/>
  <c r="BW1025" i="34"/>
  <c r="BV1025" i="34"/>
  <c r="BU1025" i="34"/>
  <c r="BT1025" i="34"/>
  <c r="BS1025" i="34"/>
  <c r="BR1025" i="34"/>
  <c r="BQ1025" i="34"/>
  <c r="BP1025" i="34"/>
  <c r="BO1025" i="34"/>
  <c r="BN1025" i="34"/>
  <c r="BM1025" i="34"/>
  <c r="BL1025" i="34"/>
  <c r="BK1025" i="34"/>
  <c r="BJ1025" i="34"/>
  <c r="BI1025" i="34"/>
  <c r="BH1025" i="34"/>
  <c r="BG1025" i="34"/>
  <c r="BF1025" i="34"/>
  <c r="BE1025" i="34"/>
  <c r="BD1025" i="34"/>
  <c r="BC1025" i="34"/>
  <c r="AZ1025" i="34"/>
  <c r="AY1025" i="34"/>
  <c r="AX1025" i="34"/>
  <c r="AW1025" i="34"/>
  <c r="AV1025" i="34"/>
  <c r="AU1025" i="34"/>
  <c r="AT1025" i="34"/>
  <c r="AS1025" i="34"/>
  <c r="AR1025" i="34"/>
  <c r="AQ1025" i="34"/>
  <c r="AP1025" i="34"/>
  <c r="AO1025" i="34"/>
  <c r="AN1025" i="34"/>
  <c r="AM1025" i="34"/>
  <c r="AL1025" i="34"/>
  <c r="AK1025" i="34"/>
  <c r="AJ1025" i="34"/>
  <c r="AI1025" i="34"/>
  <c r="AH1025" i="34"/>
  <c r="AG1025" i="34"/>
  <c r="AF1025" i="34"/>
  <c r="AE1025" i="34"/>
  <c r="AD1025" i="34"/>
  <c r="AC1025" i="34"/>
  <c r="AB1025" i="34"/>
  <c r="AA1025" i="34"/>
  <c r="Z1025" i="34"/>
  <c r="Y1025" i="34"/>
  <c r="X1025" i="34"/>
  <c r="W1025" i="34"/>
  <c r="V1025" i="34"/>
  <c r="U1025" i="34"/>
  <c r="T1025" i="34"/>
  <c r="S1025" i="34"/>
  <c r="R1025" i="34"/>
  <c r="Q1025" i="34"/>
  <c r="P1025" i="34"/>
  <c r="O1025" i="34"/>
  <c r="N1025" i="34"/>
  <c r="M1025" i="34"/>
  <c r="L1025" i="34"/>
  <c r="K1025" i="34"/>
  <c r="J1025" i="34"/>
  <c r="I1025" i="34"/>
  <c r="BY1024" i="34"/>
  <c r="BX1024" i="34"/>
  <c r="BW1024" i="34"/>
  <c r="BV1024" i="34"/>
  <c r="BU1024" i="34"/>
  <c r="BT1024" i="34"/>
  <c r="BS1024" i="34"/>
  <c r="BR1024" i="34"/>
  <c r="BQ1024" i="34"/>
  <c r="BP1024" i="34"/>
  <c r="BO1024" i="34"/>
  <c r="BN1024" i="34"/>
  <c r="BM1024" i="34"/>
  <c r="BL1024" i="34"/>
  <c r="BK1024" i="34"/>
  <c r="BJ1024" i="34"/>
  <c r="BI1024" i="34"/>
  <c r="BH1024" i="34"/>
  <c r="BG1024" i="34"/>
  <c r="BF1024" i="34"/>
  <c r="BE1024" i="34"/>
  <c r="BD1024" i="34"/>
  <c r="BC1024" i="34"/>
  <c r="AZ1024" i="34"/>
  <c r="AY1024" i="34"/>
  <c r="AX1024" i="34"/>
  <c r="AW1024" i="34"/>
  <c r="AV1024" i="34"/>
  <c r="AU1024" i="34"/>
  <c r="AT1024" i="34"/>
  <c r="AS1024" i="34"/>
  <c r="AR1024" i="34"/>
  <c r="AQ1024" i="34"/>
  <c r="AP1024" i="34"/>
  <c r="AO1024" i="34"/>
  <c r="AN1024" i="34"/>
  <c r="AM1024" i="34"/>
  <c r="AL1024" i="34"/>
  <c r="AK1024" i="34"/>
  <c r="AJ1024" i="34"/>
  <c r="AI1024" i="34"/>
  <c r="AH1024" i="34"/>
  <c r="AG1024" i="34"/>
  <c r="AF1024" i="34"/>
  <c r="AE1024" i="34"/>
  <c r="AD1024" i="34"/>
  <c r="AC1024" i="34"/>
  <c r="AB1024" i="34"/>
  <c r="AA1024" i="34"/>
  <c r="Z1024" i="34"/>
  <c r="Y1024" i="34"/>
  <c r="X1024" i="34"/>
  <c r="W1024" i="34"/>
  <c r="V1024" i="34"/>
  <c r="U1024" i="34"/>
  <c r="T1024" i="34"/>
  <c r="S1024" i="34"/>
  <c r="R1024" i="34"/>
  <c r="Q1024" i="34"/>
  <c r="P1024" i="34"/>
  <c r="O1024" i="34"/>
  <c r="N1024" i="34"/>
  <c r="M1024" i="34"/>
  <c r="L1024" i="34"/>
  <c r="K1024" i="34"/>
  <c r="J1024" i="34"/>
  <c r="I1024" i="34"/>
  <c r="BY1022" i="34"/>
  <c r="BX1022" i="34"/>
  <c r="BW1022" i="34"/>
  <c r="BV1022" i="34"/>
  <c r="BU1022" i="34"/>
  <c r="BT1022" i="34"/>
  <c r="BS1022" i="34"/>
  <c r="BR1022" i="34"/>
  <c r="BQ1022" i="34"/>
  <c r="BP1022" i="34"/>
  <c r="BO1022" i="34"/>
  <c r="BN1022" i="34"/>
  <c r="BM1022" i="34"/>
  <c r="BL1022" i="34"/>
  <c r="BK1022" i="34"/>
  <c r="BJ1022" i="34"/>
  <c r="BI1022" i="34"/>
  <c r="BH1022" i="34"/>
  <c r="BG1022" i="34"/>
  <c r="BF1022" i="34"/>
  <c r="BE1022" i="34"/>
  <c r="L1022" i="34"/>
  <c r="K1022" i="34"/>
  <c r="J1022" i="34"/>
  <c r="I1022" i="34"/>
  <c r="BG1021" i="34"/>
  <c r="BF1021" i="34"/>
  <c r="BE1021" i="34"/>
  <c r="L1021" i="34"/>
  <c r="K1021" i="34"/>
  <c r="J1021" i="34"/>
  <c r="I1021" i="34"/>
  <c r="BG1020" i="34"/>
  <c r="BF1020" i="34"/>
  <c r="BE1020" i="34"/>
  <c r="L1020" i="34"/>
  <c r="K1020" i="34"/>
  <c r="J1020" i="34"/>
  <c r="I1020" i="34"/>
  <c r="BY1019" i="34"/>
  <c r="BX1019" i="34"/>
  <c r="BW1019" i="34"/>
  <c r="BV1019" i="34"/>
  <c r="BU1019" i="34"/>
  <c r="BT1019" i="34"/>
  <c r="BS1019" i="34"/>
  <c r="BR1019" i="34"/>
  <c r="BQ1019" i="34"/>
  <c r="BP1019" i="34"/>
  <c r="BO1019" i="34"/>
  <c r="BN1019" i="34"/>
  <c r="BM1019" i="34"/>
  <c r="BL1019" i="34"/>
  <c r="BK1019" i="34"/>
  <c r="BJ1019" i="34"/>
  <c r="BI1019" i="34"/>
  <c r="BH1019" i="34"/>
  <c r="BG1019" i="34"/>
  <c r="BF1019" i="34"/>
  <c r="BE1019" i="34"/>
  <c r="BD1019" i="34"/>
  <c r="BC1019" i="34"/>
  <c r="AZ1019" i="34"/>
  <c r="AY1019" i="34"/>
  <c r="AX1019" i="34"/>
  <c r="AW1019" i="34"/>
  <c r="AV1019" i="34"/>
  <c r="AU1019" i="34"/>
  <c r="AT1019" i="34"/>
  <c r="AS1019" i="34"/>
  <c r="AR1019" i="34"/>
  <c r="AQ1019" i="34"/>
  <c r="AP1019" i="34"/>
  <c r="AO1019" i="34"/>
  <c r="AN1019" i="34"/>
  <c r="AM1019" i="34"/>
  <c r="AL1019" i="34"/>
  <c r="AK1019" i="34"/>
  <c r="AJ1019" i="34"/>
  <c r="AI1019" i="34"/>
  <c r="AH1019" i="34"/>
  <c r="AG1019" i="34"/>
  <c r="AF1019" i="34"/>
  <c r="AE1019" i="34"/>
  <c r="AD1019" i="34"/>
  <c r="AC1019" i="34"/>
  <c r="AB1019" i="34"/>
  <c r="AA1019" i="34"/>
  <c r="Z1019" i="34"/>
  <c r="Y1019" i="34"/>
  <c r="X1019" i="34"/>
  <c r="W1019" i="34"/>
  <c r="V1019" i="34"/>
  <c r="U1019" i="34"/>
  <c r="T1019" i="34"/>
  <c r="S1019" i="34"/>
  <c r="R1019" i="34"/>
  <c r="Q1019" i="34"/>
  <c r="P1019" i="34"/>
  <c r="O1019" i="34"/>
  <c r="N1019" i="34"/>
  <c r="M1019" i="34"/>
  <c r="L1019" i="34"/>
  <c r="K1019" i="34"/>
  <c r="J1019" i="34"/>
  <c r="I1019" i="34"/>
  <c r="BY1018" i="34"/>
  <c r="BX1018" i="34"/>
  <c r="BW1018" i="34"/>
  <c r="BV1018" i="34"/>
  <c r="BU1018" i="34"/>
  <c r="BT1018" i="34"/>
  <c r="BS1018" i="34"/>
  <c r="BR1018" i="34"/>
  <c r="BQ1018" i="34"/>
  <c r="BP1018" i="34"/>
  <c r="BO1018" i="34"/>
  <c r="BN1018" i="34"/>
  <c r="BM1018" i="34"/>
  <c r="BL1018" i="34"/>
  <c r="BK1018" i="34"/>
  <c r="BJ1018" i="34"/>
  <c r="BI1018" i="34"/>
  <c r="BH1018" i="34"/>
  <c r="BG1018" i="34"/>
  <c r="BF1018" i="34"/>
  <c r="BE1018" i="34"/>
  <c r="S1018" i="34"/>
  <c r="R1018" i="34"/>
  <c r="Q1018" i="34"/>
  <c r="P1018" i="34"/>
  <c r="O1018" i="34"/>
  <c r="N1018" i="34"/>
  <c r="M1018" i="34"/>
  <c r="L1018" i="34"/>
  <c r="K1018" i="34"/>
  <c r="J1018" i="34"/>
  <c r="I1018" i="34"/>
  <c r="BG1017" i="34"/>
  <c r="BF1017" i="34"/>
  <c r="BE1017" i="34"/>
  <c r="S1017" i="34"/>
  <c r="R1017" i="34"/>
  <c r="Q1017" i="34"/>
  <c r="P1017" i="34"/>
  <c r="O1017" i="34"/>
  <c r="N1017" i="34"/>
  <c r="M1017" i="34"/>
  <c r="L1017" i="34"/>
  <c r="K1017" i="34"/>
  <c r="J1017" i="34"/>
  <c r="I1017" i="34"/>
  <c r="BG1016" i="34"/>
  <c r="BF1016" i="34"/>
  <c r="BE1016" i="34"/>
  <c r="S1016" i="34"/>
  <c r="R1016" i="34"/>
  <c r="Q1016" i="34"/>
  <c r="O1016" i="34"/>
  <c r="N1016" i="34"/>
  <c r="M1016" i="34"/>
  <c r="L1016" i="34"/>
  <c r="K1016" i="34"/>
  <c r="J1016" i="34"/>
  <c r="I1016" i="34"/>
  <c r="BY1015" i="34"/>
  <c r="BX1015" i="34"/>
  <c r="BW1015" i="34"/>
  <c r="BV1015" i="34"/>
  <c r="BU1015" i="34"/>
  <c r="BT1015" i="34"/>
  <c r="BS1015" i="34"/>
  <c r="BR1015" i="34"/>
  <c r="BQ1015" i="34"/>
  <c r="BP1015" i="34"/>
  <c r="BO1015" i="34"/>
  <c r="BN1015" i="34"/>
  <c r="BM1015" i="34"/>
  <c r="BL1015" i="34"/>
  <c r="BK1015" i="34"/>
  <c r="BJ1015" i="34"/>
  <c r="BI1015" i="34"/>
  <c r="BH1015" i="34"/>
  <c r="BG1015" i="34"/>
  <c r="BF1015" i="34"/>
  <c r="BE1015" i="34"/>
  <c r="BD1015" i="34"/>
  <c r="BC1015" i="34"/>
  <c r="AZ1015" i="34"/>
  <c r="AY1015" i="34"/>
  <c r="AX1015" i="34"/>
  <c r="AW1015" i="34"/>
  <c r="AV1015" i="34"/>
  <c r="AU1015" i="34"/>
  <c r="AT1015" i="34"/>
  <c r="AS1015" i="34"/>
  <c r="AR1015" i="34"/>
  <c r="AQ1015" i="34"/>
  <c r="AP1015" i="34"/>
  <c r="AO1015" i="34"/>
  <c r="AN1015" i="34"/>
  <c r="AM1015" i="34"/>
  <c r="AL1015" i="34"/>
  <c r="AK1015" i="34"/>
  <c r="AJ1015" i="34"/>
  <c r="AI1015" i="34"/>
  <c r="AH1015" i="34"/>
  <c r="AG1015" i="34"/>
  <c r="AF1015" i="34"/>
  <c r="AE1015" i="34"/>
  <c r="AD1015" i="34"/>
  <c r="AC1015" i="34"/>
  <c r="AB1015" i="34"/>
  <c r="AA1015" i="34"/>
  <c r="Z1015" i="34"/>
  <c r="Y1015" i="34"/>
  <c r="X1015" i="34"/>
  <c r="W1015" i="34"/>
  <c r="V1015" i="34"/>
  <c r="U1015" i="34"/>
  <c r="T1015" i="34"/>
  <c r="S1015" i="34"/>
  <c r="R1015" i="34"/>
  <c r="Q1015" i="34"/>
  <c r="P1015" i="34"/>
  <c r="O1015" i="34"/>
  <c r="N1015" i="34"/>
  <c r="M1015" i="34"/>
  <c r="L1015" i="34"/>
  <c r="K1015" i="34"/>
  <c r="J1015" i="34"/>
  <c r="I1015" i="34"/>
  <c r="BJ1014" i="34"/>
  <c r="BI1014" i="34"/>
  <c r="BH1014" i="34"/>
  <c r="BG1014" i="34"/>
  <c r="BF1014" i="34"/>
  <c r="BE1014" i="34"/>
  <c r="S1014" i="34"/>
  <c r="R1014" i="34"/>
  <c r="Q1014" i="34"/>
  <c r="P1014" i="34"/>
  <c r="O1014" i="34"/>
  <c r="N1014" i="34"/>
  <c r="M1014" i="34"/>
  <c r="L1014" i="34"/>
  <c r="K1014" i="34"/>
  <c r="J1014" i="34"/>
  <c r="I1014" i="34"/>
  <c r="BY1013" i="34"/>
  <c r="BX1013" i="34"/>
  <c r="BW1013" i="34"/>
  <c r="BV1013" i="34"/>
  <c r="BU1013" i="34"/>
  <c r="BT1013" i="34"/>
  <c r="BS1013" i="34"/>
  <c r="BR1013" i="34"/>
  <c r="BQ1013" i="34"/>
  <c r="BP1013" i="34"/>
  <c r="BO1013" i="34"/>
  <c r="BN1013" i="34"/>
  <c r="BM1013" i="34"/>
  <c r="BL1013" i="34"/>
  <c r="BK1013" i="34"/>
  <c r="BJ1013" i="34"/>
  <c r="BI1013" i="34"/>
  <c r="BH1013" i="34"/>
  <c r="BG1013" i="34"/>
  <c r="BF1013" i="34"/>
  <c r="BE1013" i="34"/>
  <c r="S1013" i="34"/>
  <c r="R1013" i="34"/>
  <c r="Q1013" i="34"/>
  <c r="P1013" i="34"/>
  <c r="O1013" i="34"/>
  <c r="N1013" i="34"/>
  <c r="M1013" i="34"/>
  <c r="L1013" i="34"/>
  <c r="K1013" i="34"/>
  <c r="J1013" i="34"/>
  <c r="I1013" i="34"/>
  <c r="BJ1012" i="34"/>
  <c r="BI1012" i="34"/>
  <c r="BH1012" i="34"/>
  <c r="BG1012" i="34"/>
  <c r="BF1012" i="34"/>
  <c r="BE1012" i="34"/>
  <c r="S1012" i="34"/>
  <c r="R1012" i="34"/>
  <c r="Q1012" i="34"/>
  <c r="P1012" i="34"/>
  <c r="O1012" i="34"/>
  <c r="N1012" i="34"/>
  <c r="M1012" i="34"/>
  <c r="L1012" i="34"/>
  <c r="K1012" i="34"/>
  <c r="J1012" i="34"/>
  <c r="I1012" i="34"/>
  <c r="BJ1011" i="34"/>
  <c r="BI1011" i="34"/>
  <c r="BH1011" i="34"/>
  <c r="BG1011" i="34"/>
  <c r="BF1011" i="34"/>
  <c r="BE1011" i="34"/>
  <c r="S1011" i="34"/>
  <c r="R1011" i="34"/>
  <c r="Q1011" i="34"/>
  <c r="P1011" i="34"/>
  <c r="O1011" i="34"/>
  <c r="N1011" i="34"/>
  <c r="M1011" i="34"/>
  <c r="L1011" i="34"/>
  <c r="K1011" i="34"/>
  <c r="J1011" i="34"/>
  <c r="I1011" i="34"/>
  <c r="BY1010" i="34"/>
  <c r="BX1010" i="34"/>
  <c r="BW1010" i="34"/>
  <c r="BV1010" i="34"/>
  <c r="BU1010" i="34"/>
  <c r="BT1010" i="34"/>
  <c r="BS1010" i="34"/>
  <c r="BR1010" i="34"/>
  <c r="BQ1010" i="34"/>
  <c r="BP1010" i="34"/>
  <c r="BO1010" i="34"/>
  <c r="BN1010" i="34"/>
  <c r="BM1010" i="34"/>
  <c r="BL1010" i="34"/>
  <c r="BK1010" i="34"/>
  <c r="BJ1010" i="34"/>
  <c r="BI1010" i="34"/>
  <c r="BH1010" i="34"/>
  <c r="BG1010" i="34"/>
  <c r="BF1010" i="34"/>
  <c r="BE1010" i="34"/>
  <c r="BD1010" i="34"/>
  <c r="BC1010" i="34"/>
  <c r="AZ1010" i="34"/>
  <c r="AY1010" i="34"/>
  <c r="AX1010" i="34"/>
  <c r="AW1010" i="34"/>
  <c r="AV1010" i="34"/>
  <c r="AU1010" i="34"/>
  <c r="AT1010" i="34"/>
  <c r="AS1010" i="34"/>
  <c r="AR1010" i="34"/>
  <c r="AQ1010" i="34"/>
  <c r="AP1010" i="34"/>
  <c r="AO1010" i="34"/>
  <c r="AN1010" i="34"/>
  <c r="AM1010" i="34"/>
  <c r="AL1010" i="34"/>
  <c r="AK1010" i="34"/>
  <c r="AJ1010" i="34"/>
  <c r="AI1010" i="34"/>
  <c r="AH1010" i="34"/>
  <c r="AG1010" i="34"/>
  <c r="AF1010" i="34"/>
  <c r="AE1010" i="34"/>
  <c r="AD1010" i="34"/>
  <c r="AC1010" i="34"/>
  <c r="AB1010" i="34"/>
  <c r="AA1010" i="34"/>
  <c r="Z1010" i="34"/>
  <c r="Y1010" i="34"/>
  <c r="X1010" i="34"/>
  <c r="W1010" i="34"/>
  <c r="V1010" i="34"/>
  <c r="U1010" i="34"/>
  <c r="T1010" i="34"/>
  <c r="S1010" i="34"/>
  <c r="R1010" i="34"/>
  <c r="Q1010" i="34"/>
  <c r="P1010" i="34"/>
  <c r="O1010" i="34"/>
  <c r="N1010" i="34"/>
  <c r="M1010" i="34"/>
  <c r="L1010" i="34"/>
  <c r="K1010" i="34"/>
  <c r="J1010" i="34"/>
  <c r="I1010" i="34"/>
  <c r="BJ1009" i="34"/>
  <c r="BI1009" i="34"/>
  <c r="BH1009" i="34"/>
  <c r="BG1009" i="34"/>
  <c r="BF1009" i="34"/>
  <c r="BE1009" i="34"/>
  <c r="S1009" i="34"/>
  <c r="R1009" i="34"/>
  <c r="Q1009" i="34"/>
  <c r="P1009" i="34"/>
  <c r="O1009" i="34"/>
  <c r="N1009" i="34"/>
  <c r="M1009" i="34"/>
  <c r="L1009" i="34"/>
  <c r="K1009" i="34"/>
  <c r="J1009" i="34"/>
  <c r="I1009" i="34"/>
  <c r="BY1008" i="34"/>
  <c r="BX1008" i="34"/>
  <c r="BW1008" i="34"/>
  <c r="BV1008" i="34"/>
  <c r="BU1008" i="34"/>
  <c r="BT1008" i="34"/>
  <c r="BS1008" i="34"/>
  <c r="BR1008" i="34"/>
  <c r="BQ1008" i="34"/>
  <c r="BP1008" i="34"/>
  <c r="BO1008" i="34"/>
  <c r="BN1008" i="34"/>
  <c r="BM1008" i="34"/>
  <c r="BL1008" i="34"/>
  <c r="BK1008" i="34"/>
  <c r="BJ1008" i="34"/>
  <c r="BI1008" i="34"/>
  <c r="BH1008" i="34"/>
  <c r="BG1008" i="34"/>
  <c r="BF1008" i="34"/>
  <c r="BE1008" i="34"/>
  <c r="S1008" i="34"/>
  <c r="R1008" i="34"/>
  <c r="Q1008" i="34"/>
  <c r="P1008" i="34"/>
  <c r="O1008" i="34"/>
  <c r="N1008" i="34"/>
  <c r="M1008" i="34"/>
  <c r="L1008" i="34"/>
  <c r="K1008" i="34"/>
  <c r="J1008" i="34"/>
  <c r="I1008" i="34"/>
  <c r="BJ1007" i="34"/>
  <c r="BI1007" i="34"/>
  <c r="BH1007" i="34"/>
  <c r="BG1007" i="34"/>
  <c r="BF1007" i="34"/>
  <c r="BE1007" i="34"/>
  <c r="S1007" i="34"/>
  <c r="R1007" i="34"/>
  <c r="Q1007" i="34"/>
  <c r="P1007" i="34"/>
  <c r="O1007" i="34"/>
  <c r="N1007" i="34"/>
  <c r="M1007" i="34"/>
  <c r="L1007" i="34"/>
  <c r="K1007" i="34"/>
  <c r="J1007" i="34"/>
  <c r="I1007" i="34"/>
  <c r="BJ1006" i="34"/>
  <c r="BI1006" i="34"/>
  <c r="BH1006" i="34"/>
  <c r="BG1006" i="34"/>
  <c r="BF1006" i="34"/>
  <c r="BE1006" i="34"/>
  <c r="AE1006" i="34"/>
  <c r="AD1006" i="34"/>
  <c r="AC1006" i="34"/>
  <c r="AB1006" i="34"/>
  <c r="AA1006" i="34"/>
  <c r="Z1006" i="34"/>
  <c r="Y1006" i="34"/>
  <c r="X1006" i="34"/>
  <c r="W1006" i="34"/>
  <c r="V1006" i="34"/>
  <c r="U1006" i="34"/>
  <c r="T1006" i="34"/>
  <c r="S1006" i="34"/>
  <c r="R1006" i="34"/>
  <c r="Q1006" i="34"/>
  <c r="P1006" i="34"/>
  <c r="O1006" i="34"/>
  <c r="N1006" i="34"/>
  <c r="M1006" i="34"/>
  <c r="L1006" i="34"/>
  <c r="K1006" i="34"/>
  <c r="J1006" i="34"/>
  <c r="I1006" i="34"/>
  <c r="BY1005" i="34"/>
  <c r="BX1005" i="34"/>
  <c r="BW1005" i="34"/>
  <c r="BV1005" i="34"/>
  <c r="BU1005" i="34"/>
  <c r="BT1005" i="34"/>
  <c r="BS1005" i="34"/>
  <c r="BR1005" i="34"/>
  <c r="BQ1005" i="34"/>
  <c r="BP1005" i="34"/>
  <c r="BO1005" i="34"/>
  <c r="BN1005" i="34"/>
  <c r="BM1005" i="34"/>
  <c r="BL1005" i="34"/>
  <c r="BK1005" i="34"/>
  <c r="BJ1005" i="34"/>
  <c r="BI1005" i="34"/>
  <c r="BH1005" i="34"/>
  <c r="BG1005" i="34"/>
  <c r="BF1005" i="34"/>
  <c r="BE1005" i="34"/>
  <c r="BD1005" i="34"/>
  <c r="BC1005" i="34"/>
  <c r="AZ1005" i="34"/>
  <c r="AY1005" i="34"/>
  <c r="AX1005" i="34"/>
  <c r="AW1005" i="34"/>
  <c r="AV1005" i="34"/>
  <c r="AU1005" i="34"/>
  <c r="AT1005" i="34"/>
  <c r="AS1005" i="34"/>
  <c r="AR1005" i="34"/>
  <c r="AQ1005" i="34"/>
  <c r="AP1005" i="34"/>
  <c r="AO1005" i="34"/>
  <c r="AN1005" i="34"/>
  <c r="AM1005" i="34"/>
  <c r="AL1005" i="34"/>
  <c r="AK1005" i="34"/>
  <c r="AJ1005" i="34"/>
  <c r="AI1005" i="34"/>
  <c r="AH1005" i="34"/>
  <c r="AG1005" i="34"/>
  <c r="AF1005" i="34"/>
  <c r="AE1005" i="34"/>
  <c r="AD1005" i="34"/>
  <c r="AC1005" i="34"/>
  <c r="AB1005" i="34"/>
  <c r="AA1005" i="34"/>
  <c r="Z1005" i="34"/>
  <c r="Y1005" i="34"/>
  <c r="X1005" i="34"/>
  <c r="W1005" i="34"/>
  <c r="V1005" i="34"/>
  <c r="U1005" i="34"/>
  <c r="T1005" i="34"/>
  <c r="S1005" i="34"/>
  <c r="R1005" i="34"/>
  <c r="Q1005" i="34"/>
  <c r="P1005" i="34"/>
  <c r="O1005" i="34"/>
  <c r="N1005" i="34"/>
  <c r="M1005" i="34"/>
  <c r="L1005" i="34"/>
  <c r="K1005" i="34"/>
  <c r="J1005" i="34"/>
  <c r="I1005" i="34"/>
  <c r="BJ1004" i="34"/>
  <c r="BI1004" i="34"/>
  <c r="BH1004" i="34"/>
  <c r="BG1004" i="34"/>
  <c r="BF1004" i="34"/>
  <c r="BE1004" i="34"/>
  <c r="S1004" i="34"/>
  <c r="R1004" i="34"/>
  <c r="Q1004" i="34"/>
  <c r="P1004" i="34"/>
  <c r="O1004" i="34"/>
  <c r="N1004" i="34"/>
  <c r="M1004" i="34"/>
  <c r="L1004" i="34"/>
  <c r="K1004" i="34"/>
  <c r="J1004" i="34"/>
  <c r="I1004" i="34"/>
  <c r="BY1003" i="34"/>
  <c r="BX1003" i="34"/>
  <c r="BW1003" i="34"/>
  <c r="BV1003" i="34"/>
  <c r="BU1003" i="34"/>
  <c r="BT1003" i="34"/>
  <c r="BS1003" i="34"/>
  <c r="BR1003" i="34"/>
  <c r="BQ1003" i="34"/>
  <c r="BP1003" i="34"/>
  <c r="BO1003" i="34"/>
  <c r="BN1003" i="34"/>
  <c r="BM1003" i="34"/>
  <c r="BL1003" i="34"/>
  <c r="BK1003" i="34"/>
  <c r="BJ1003" i="34"/>
  <c r="BI1003" i="34"/>
  <c r="BH1003" i="34"/>
  <c r="BG1003" i="34"/>
  <c r="BF1003" i="34"/>
  <c r="BE1003" i="34"/>
  <c r="S1003" i="34"/>
  <c r="R1003" i="34"/>
  <c r="Q1003" i="34"/>
  <c r="P1003" i="34"/>
  <c r="O1003" i="34"/>
  <c r="N1003" i="34"/>
  <c r="M1003" i="34"/>
  <c r="L1003" i="34"/>
  <c r="K1003" i="34"/>
  <c r="J1003" i="34"/>
  <c r="I1003" i="34"/>
  <c r="BJ1002" i="34"/>
  <c r="BI1002" i="34"/>
  <c r="BH1002" i="34"/>
  <c r="BG1002" i="34"/>
  <c r="BF1002" i="34"/>
  <c r="BE1002" i="34"/>
  <c r="S1002" i="34"/>
  <c r="R1002" i="34"/>
  <c r="Q1002" i="34"/>
  <c r="P1002" i="34"/>
  <c r="O1002" i="34"/>
  <c r="N1002" i="34"/>
  <c r="M1002" i="34"/>
  <c r="L1002" i="34"/>
  <c r="K1002" i="34"/>
  <c r="J1002" i="34"/>
  <c r="I1002" i="34"/>
  <c r="BJ1001" i="34"/>
  <c r="BI1001" i="34"/>
  <c r="BH1001" i="34"/>
  <c r="BG1001" i="34"/>
  <c r="BF1001" i="34"/>
  <c r="BE1001" i="34"/>
  <c r="W1001" i="34"/>
  <c r="V1001" i="34"/>
  <c r="U1001" i="34"/>
  <c r="T1001" i="34"/>
  <c r="S1001" i="34"/>
  <c r="R1001" i="34"/>
  <c r="Q1001" i="34"/>
  <c r="P1001" i="34"/>
  <c r="O1001" i="34"/>
  <c r="N1001" i="34"/>
  <c r="M1001" i="34"/>
  <c r="L1001" i="34"/>
  <c r="K1001" i="34"/>
  <c r="J1001" i="34"/>
  <c r="I1001" i="34"/>
  <c r="BY1000" i="34"/>
  <c r="BX1000" i="34"/>
  <c r="BW1000" i="34"/>
  <c r="BV1000" i="34"/>
  <c r="BU1000" i="34"/>
  <c r="BT1000" i="34"/>
  <c r="BS1000" i="34"/>
  <c r="BR1000" i="34"/>
  <c r="BQ1000" i="34"/>
  <c r="BP1000" i="34"/>
  <c r="BO1000" i="34"/>
  <c r="BN1000" i="34"/>
  <c r="BM1000" i="34"/>
  <c r="BL1000" i="34"/>
  <c r="BK1000" i="34"/>
  <c r="BJ1000" i="34"/>
  <c r="BI1000" i="34"/>
  <c r="BH1000" i="34"/>
  <c r="BG1000" i="34"/>
  <c r="BF1000" i="34"/>
  <c r="BE1000" i="34"/>
  <c r="BD1000" i="34"/>
  <c r="BC1000" i="34"/>
  <c r="AZ1000" i="34"/>
  <c r="AY1000" i="34"/>
  <c r="AX1000" i="34"/>
  <c r="AW1000" i="34"/>
  <c r="AV1000" i="34"/>
  <c r="AU1000" i="34"/>
  <c r="AT1000" i="34"/>
  <c r="AS1000" i="34"/>
  <c r="AR1000" i="34"/>
  <c r="AQ1000" i="34"/>
  <c r="AP1000" i="34"/>
  <c r="AO1000" i="34"/>
  <c r="AN1000" i="34"/>
  <c r="AM1000" i="34"/>
  <c r="AL1000" i="34"/>
  <c r="AK1000" i="34"/>
  <c r="AJ1000" i="34"/>
  <c r="AI1000" i="34"/>
  <c r="AH1000" i="34"/>
  <c r="AG1000" i="34"/>
  <c r="AF1000" i="34"/>
  <c r="AE1000" i="34"/>
  <c r="AD1000" i="34"/>
  <c r="AC1000" i="34"/>
  <c r="AB1000" i="34"/>
  <c r="AA1000" i="34"/>
  <c r="Z1000" i="34"/>
  <c r="Y1000" i="34"/>
  <c r="X1000" i="34"/>
  <c r="W1000" i="34"/>
  <c r="V1000" i="34"/>
  <c r="U1000" i="34"/>
  <c r="T1000" i="34"/>
  <c r="S1000" i="34"/>
  <c r="R1000" i="34"/>
  <c r="Q1000" i="34"/>
  <c r="P1000" i="34"/>
  <c r="O1000" i="34"/>
  <c r="N1000" i="34"/>
  <c r="M1000" i="34"/>
  <c r="L1000" i="34"/>
  <c r="K1000" i="34"/>
  <c r="J1000" i="34"/>
  <c r="I1000" i="34"/>
  <c r="BY999" i="34"/>
  <c r="BX999" i="34"/>
  <c r="BW999" i="34"/>
  <c r="BV999" i="34"/>
  <c r="BU999" i="34"/>
  <c r="BT999" i="34"/>
  <c r="BS999" i="34"/>
  <c r="BR999" i="34"/>
  <c r="BQ999" i="34"/>
  <c r="BP999" i="34"/>
  <c r="BO999" i="34"/>
  <c r="BN999" i="34"/>
  <c r="BM999" i="34"/>
  <c r="BL999" i="34"/>
  <c r="BK999" i="34"/>
  <c r="BJ999" i="34"/>
  <c r="BI999" i="34"/>
  <c r="BH999" i="34"/>
  <c r="BG999" i="34"/>
  <c r="BF999" i="34"/>
  <c r="BE999" i="34"/>
  <c r="L999" i="34"/>
  <c r="K999" i="34"/>
  <c r="J999" i="34"/>
  <c r="I999" i="34"/>
  <c r="BH998" i="34"/>
  <c r="BG998" i="34"/>
  <c r="BF998" i="34"/>
  <c r="BE998" i="34"/>
  <c r="L998" i="34"/>
  <c r="K998" i="34"/>
  <c r="J998" i="34"/>
  <c r="I998" i="34"/>
  <c r="BF997" i="34"/>
  <c r="BE997" i="34"/>
  <c r="Z997" i="34"/>
  <c r="Y997" i="34"/>
  <c r="X997" i="34"/>
  <c r="V997" i="34"/>
  <c r="U997" i="34"/>
  <c r="T997" i="34"/>
  <c r="S997" i="34"/>
  <c r="R997" i="34"/>
  <c r="Q997" i="34"/>
  <c r="P997" i="34"/>
  <c r="O997" i="34"/>
  <c r="N997" i="34"/>
  <c r="M997" i="34"/>
  <c r="L997" i="34"/>
  <c r="K997" i="34"/>
  <c r="J997" i="34"/>
  <c r="I997" i="34"/>
  <c r="BY996" i="34"/>
  <c r="BX996" i="34"/>
  <c r="BW996" i="34"/>
  <c r="BV996" i="34"/>
  <c r="BU996" i="34"/>
  <c r="BT996" i="34"/>
  <c r="BS996" i="34"/>
  <c r="BR996" i="34"/>
  <c r="BQ996" i="34"/>
  <c r="BP996" i="34"/>
  <c r="BO996" i="34"/>
  <c r="BN996" i="34"/>
  <c r="BM996" i="34"/>
  <c r="BL996" i="34"/>
  <c r="BK996" i="34"/>
  <c r="BJ996" i="34"/>
  <c r="BI996" i="34"/>
  <c r="BH996" i="34"/>
  <c r="BG996" i="34"/>
  <c r="BF996" i="34"/>
  <c r="BE996" i="34"/>
  <c r="M996" i="34"/>
  <c r="L996" i="34"/>
  <c r="K996" i="34"/>
  <c r="J996" i="34"/>
  <c r="I996" i="34"/>
  <c r="BI995" i="34"/>
  <c r="BH995" i="34"/>
  <c r="BG995" i="34"/>
  <c r="BF995" i="34"/>
  <c r="BE995" i="34"/>
  <c r="AF995" i="34"/>
  <c r="AE995" i="34"/>
  <c r="AD995" i="34"/>
  <c r="AC995" i="34"/>
  <c r="AB995" i="34"/>
  <c r="AA995" i="34"/>
  <c r="Z995" i="34"/>
  <c r="Y995" i="34"/>
  <c r="X995" i="34"/>
  <c r="W995" i="34"/>
  <c r="V995" i="34"/>
  <c r="U995" i="34"/>
  <c r="T995" i="34"/>
  <c r="S995" i="34"/>
  <c r="R995" i="34"/>
  <c r="Q995" i="34"/>
  <c r="P995" i="34"/>
  <c r="O995" i="34"/>
  <c r="N995" i="34"/>
  <c r="M995" i="34"/>
  <c r="L995" i="34"/>
  <c r="K995" i="34"/>
  <c r="J995" i="34"/>
  <c r="I995" i="34"/>
  <c r="BY994" i="34"/>
  <c r="BX994" i="34"/>
  <c r="BW994" i="34"/>
  <c r="BV994" i="34"/>
  <c r="BU994" i="34"/>
  <c r="BT994" i="34"/>
  <c r="BS994" i="34"/>
  <c r="BR994" i="34"/>
  <c r="BQ994" i="34"/>
  <c r="BP994" i="34"/>
  <c r="BO994" i="34"/>
  <c r="BN994" i="34"/>
  <c r="BM994" i="34"/>
  <c r="BL994" i="34"/>
  <c r="BK994" i="34"/>
  <c r="BJ994" i="34"/>
  <c r="BI994" i="34"/>
  <c r="BH994" i="34"/>
  <c r="BG994" i="34"/>
  <c r="BF994" i="34"/>
  <c r="BE994" i="34"/>
  <c r="BD994" i="34"/>
  <c r="BC994" i="34"/>
  <c r="AZ994" i="34"/>
  <c r="AY994" i="34"/>
  <c r="AX994" i="34"/>
  <c r="AW994" i="34"/>
  <c r="AV994" i="34"/>
  <c r="AU994" i="34"/>
  <c r="AT994" i="34"/>
  <c r="AS994" i="34"/>
  <c r="AR994" i="34"/>
  <c r="AQ994" i="34"/>
  <c r="AP994" i="34"/>
  <c r="AO994" i="34"/>
  <c r="AN994" i="34"/>
  <c r="AM994" i="34"/>
  <c r="AL994" i="34"/>
  <c r="AK994" i="34"/>
  <c r="AJ994" i="34"/>
  <c r="AI994" i="34"/>
  <c r="AH994" i="34"/>
  <c r="AG994" i="34"/>
  <c r="AF994" i="34"/>
  <c r="AE994" i="34"/>
  <c r="AD994" i="34"/>
  <c r="AC994" i="34"/>
  <c r="AB994" i="34"/>
  <c r="AA994" i="34"/>
  <c r="Z994" i="34"/>
  <c r="Y994" i="34"/>
  <c r="X994" i="34"/>
  <c r="W994" i="34"/>
  <c r="V994" i="34"/>
  <c r="U994" i="34"/>
  <c r="T994" i="34"/>
  <c r="S994" i="34"/>
  <c r="R994" i="34"/>
  <c r="Q994" i="34"/>
  <c r="P994" i="34"/>
  <c r="O994" i="34"/>
  <c r="N994" i="34"/>
  <c r="M994" i="34"/>
  <c r="L994" i="34"/>
  <c r="K994" i="34"/>
  <c r="J994" i="34"/>
  <c r="I994" i="34"/>
  <c r="BY993" i="34"/>
  <c r="BX993" i="34"/>
  <c r="BW993" i="34"/>
  <c r="BV993" i="34"/>
  <c r="BU993" i="34"/>
  <c r="BT993" i="34"/>
  <c r="BS993" i="34"/>
  <c r="BR993" i="34"/>
  <c r="BQ993" i="34"/>
  <c r="BP993" i="34"/>
  <c r="BO993" i="34"/>
  <c r="BN993" i="34"/>
  <c r="BM993" i="34"/>
  <c r="BL993" i="34"/>
  <c r="BK993" i="34"/>
  <c r="BJ993" i="34"/>
  <c r="BI993" i="34"/>
  <c r="BH993" i="34"/>
  <c r="BG993" i="34"/>
  <c r="BF993" i="34"/>
  <c r="BE993" i="34"/>
  <c r="BD993" i="34"/>
  <c r="BC993" i="34"/>
  <c r="AZ993" i="34"/>
  <c r="AY993" i="34"/>
  <c r="AX993" i="34"/>
  <c r="AW993" i="34"/>
  <c r="AV993" i="34"/>
  <c r="AU993" i="34"/>
  <c r="AT993" i="34"/>
  <c r="AS993" i="34"/>
  <c r="AR993" i="34"/>
  <c r="AQ993" i="34"/>
  <c r="AP993" i="34"/>
  <c r="AO993" i="34"/>
  <c r="AN993" i="34"/>
  <c r="AM993" i="34"/>
  <c r="AL993" i="34"/>
  <c r="AK993" i="34"/>
  <c r="AJ993" i="34"/>
  <c r="AI993" i="34"/>
  <c r="AH993" i="34"/>
  <c r="AG993" i="34"/>
  <c r="AF993" i="34"/>
  <c r="AE993" i="34"/>
  <c r="AD993" i="34"/>
  <c r="AC993" i="34"/>
  <c r="AB993" i="34"/>
  <c r="AA993" i="34"/>
  <c r="Z993" i="34"/>
  <c r="Y993" i="34"/>
  <c r="X993" i="34"/>
  <c r="W993" i="34"/>
  <c r="V993" i="34"/>
  <c r="U993" i="34"/>
  <c r="T993" i="34"/>
  <c r="S993" i="34"/>
  <c r="R993" i="34"/>
  <c r="Q993" i="34"/>
  <c r="P993" i="34"/>
  <c r="O993" i="34"/>
  <c r="N993" i="34"/>
  <c r="M993" i="34"/>
  <c r="L993" i="34"/>
  <c r="K993" i="34"/>
  <c r="J993" i="34"/>
  <c r="I993" i="34"/>
  <c r="BY992" i="34"/>
  <c r="BX992" i="34"/>
  <c r="BW992" i="34"/>
  <c r="BV992" i="34"/>
  <c r="BU992" i="34"/>
  <c r="BT992" i="34"/>
  <c r="BS992" i="34"/>
  <c r="BR992" i="34"/>
  <c r="BQ992" i="34"/>
  <c r="BP992" i="34"/>
  <c r="BO992" i="34"/>
  <c r="BN992" i="34"/>
  <c r="BM992" i="34"/>
  <c r="BL992" i="34"/>
  <c r="BK992" i="34"/>
  <c r="BJ992" i="34"/>
  <c r="BI992" i="34"/>
  <c r="BH992" i="34"/>
  <c r="BG992" i="34"/>
  <c r="BF992" i="34"/>
  <c r="BE992" i="34"/>
  <c r="BD992" i="34"/>
  <c r="BC992" i="34"/>
  <c r="AZ992" i="34"/>
  <c r="AY992" i="34"/>
  <c r="AX992" i="34"/>
  <c r="AW992" i="34"/>
  <c r="AV992" i="34"/>
  <c r="AU992" i="34"/>
  <c r="AT992" i="34"/>
  <c r="AS992" i="34"/>
  <c r="AR992" i="34"/>
  <c r="AQ992" i="34"/>
  <c r="AP992" i="34"/>
  <c r="AO992" i="34"/>
  <c r="AN992" i="34"/>
  <c r="AM992" i="34"/>
  <c r="AL992" i="34"/>
  <c r="AK992" i="34"/>
  <c r="AJ992" i="34"/>
  <c r="AI992" i="34"/>
  <c r="AH992" i="34"/>
  <c r="AG992" i="34"/>
  <c r="AF992" i="34"/>
  <c r="AE992" i="34"/>
  <c r="AD992" i="34"/>
  <c r="AC992" i="34"/>
  <c r="AB992" i="34"/>
  <c r="AA992" i="34"/>
  <c r="Z992" i="34"/>
  <c r="Y992" i="34"/>
  <c r="X992" i="34"/>
  <c r="W992" i="34"/>
  <c r="V992" i="34"/>
  <c r="U992" i="34"/>
  <c r="T992" i="34"/>
  <c r="S992" i="34"/>
  <c r="R992" i="34"/>
  <c r="Q992" i="34"/>
  <c r="P992" i="34"/>
  <c r="O992" i="34"/>
  <c r="N992" i="34"/>
  <c r="M992" i="34"/>
  <c r="L992" i="34"/>
  <c r="K992" i="34"/>
  <c r="J992" i="34"/>
  <c r="I992" i="34"/>
  <c r="BY991" i="34"/>
  <c r="BX991" i="34"/>
  <c r="BW991" i="34"/>
  <c r="BV991" i="34"/>
  <c r="BU991" i="34"/>
  <c r="BT991" i="34"/>
  <c r="BS991" i="34"/>
  <c r="BR991" i="34"/>
  <c r="BQ991" i="34"/>
  <c r="BP991" i="34"/>
  <c r="BO991" i="34"/>
  <c r="BN991" i="34"/>
  <c r="BM991" i="34"/>
  <c r="BL991" i="34"/>
  <c r="BK991" i="34"/>
  <c r="BJ991" i="34"/>
  <c r="BI991" i="34"/>
  <c r="BH991" i="34"/>
  <c r="BG991" i="34"/>
  <c r="BF991" i="34"/>
  <c r="BE991" i="34"/>
  <c r="BD991" i="34"/>
  <c r="BC991" i="34"/>
  <c r="AZ991" i="34"/>
  <c r="AY991" i="34"/>
  <c r="AX991" i="34"/>
  <c r="AW991" i="34"/>
  <c r="AV991" i="34"/>
  <c r="AU991" i="34"/>
  <c r="AT991" i="34"/>
  <c r="AS991" i="34"/>
  <c r="AR991" i="34"/>
  <c r="AQ991" i="34"/>
  <c r="AP991" i="34"/>
  <c r="AO991" i="34"/>
  <c r="AN991" i="34"/>
  <c r="AM991" i="34"/>
  <c r="AL991" i="34"/>
  <c r="AK991" i="34"/>
  <c r="AJ991" i="34"/>
  <c r="AI991" i="34"/>
  <c r="AH991" i="34"/>
  <c r="AG991" i="34"/>
  <c r="AF991" i="34"/>
  <c r="AE991" i="34"/>
  <c r="AD991" i="34"/>
  <c r="AC991" i="34"/>
  <c r="AB991" i="34"/>
  <c r="AA991" i="34"/>
  <c r="Z991" i="34"/>
  <c r="Y991" i="34"/>
  <c r="X991" i="34"/>
  <c r="W991" i="34"/>
  <c r="V991" i="34"/>
  <c r="U991" i="34"/>
  <c r="T991" i="34"/>
  <c r="S991" i="34"/>
  <c r="R991" i="34"/>
  <c r="Q991" i="34"/>
  <c r="P991" i="34"/>
  <c r="O991" i="34"/>
  <c r="N991" i="34"/>
  <c r="M991" i="34"/>
  <c r="L991" i="34"/>
  <c r="K991" i="34"/>
  <c r="J991" i="34"/>
  <c r="I991" i="34"/>
  <c r="BY990" i="34"/>
  <c r="BX990" i="34"/>
  <c r="BW990" i="34"/>
  <c r="BV990" i="34"/>
  <c r="BU990" i="34"/>
  <c r="BT990" i="34"/>
  <c r="BS990" i="34"/>
  <c r="BR990" i="34"/>
  <c r="BQ990" i="34"/>
  <c r="BP990" i="34"/>
  <c r="BO990" i="34"/>
  <c r="BN990" i="34"/>
  <c r="BM990" i="34"/>
  <c r="BL990" i="34"/>
  <c r="BK990" i="34"/>
  <c r="BJ990" i="34"/>
  <c r="BI990" i="34"/>
  <c r="BH990" i="34"/>
  <c r="BG990" i="34"/>
  <c r="BF990" i="34"/>
  <c r="BE990" i="34"/>
  <c r="BD990" i="34"/>
  <c r="BC990" i="34"/>
  <c r="AZ990" i="34"/>
  <c r="AY990" i="34"/>
  <c r="AX990" i="34"/>
  <c r="AW990" i="34"/>
  <c r="AV990" i="34"/>
  <c r="AU990" i="34"/>
  <c r="AT990" i="34"/>
  <c r="AS990" i="34"/>
  <c r="AR990" i="34"/>
  <c r="AQ990" i="34"/>
  <c r="AP990" i="34"/>
  <c r="AO990" i="34"/>
  <c r="AN990" i="34"/>
  <c r="AM990" i="34"/>
  <c r="AL990" i="34"/>
  <c r="AK990" i="34"/>
  <c r="AJ990" i="34"/>
  <c r="AI990" i="34"/>
  <c r="AH990" i="34"/>
  <c r="AG990" i="34"/>
  <c r="AF990" i="34"/>
  <c r="AE990" i="34"/>
  <c r="AD990" i="34"/>
  <c r="AC990" i="34"/>
  <c r="AB990" i="34"/>
  <c r="AA990" i="34"/>
  <c r="Z990" i="34"/>
  <c r="Y990" i="34"/>
  <c r="X990" i="34"/>
  <c r="W990" i="34"/>
  <c r="V990" i="34"/>
  <c r="U990" i="34"/>
  <c r="T990" i="34"/>
  <c r="S990" i="34"/>
  <c r="R990" i="34"/>
  <c r="Q990" i="34"/>
  <c r="P990" i="34"/>
  <c r="O990" i="34"/>
  <c r="N990" i="34"/>
  <c r="M990" i="34"/>
  <c r="L990" i="34"/>
  <c r="K990" i="34"/>
  <c r="J990" i="34"/>
  <c r="I990" i="34"/>
  <c r="BY989" i="34"/>
  <c r="BX989" i="34"/>
  <c r="BW989" i="34"/>
  <c r="BV989" i="34"/>
  <c r="BU989" i="34"/>
  <c r="BT989" i="34"/>
  <c r="BS989" i="34"/>
  <c r="BR989" i="34"/>
  <c r="BQ989" i="34"/>
  <c r="BP989" i="34"/>
  <c r="BO989" i="34"/>
  <c r="BN989" i="34"/>
  <c r="BM989" i="34"/>
  <c r="BL989" i="34"/>
  <c r="BK989" i="34"/>
  <c r="BJ989" i="34"/>
  <c r="BI989" i="34"/>
  <c r="BH989" i="34"/>
  <c r="BG989" i="34"/>
  <c r="BF989" i="34"/>
  <c r="BE989" i="34"/>
  <c r="BD989" i="34"/>
  <c r="BC989" i="34"/>
  <c r="AZ989" i="34"/>
  <c r="AY989" i="34"/>
  <c r="AX989" i="34"/>
  <c r="AW989" i="34"/>
  <c r="AV989" i="34"/>
  <c r="AU989" i="34"/>
  <c r="AT989" i="34"/>
  <c r="AS989" i="34"/>
  <c r="AR989" i="34"/>
  <c r="AQ989" i="34"/>
  <c r="AP989" i="34"/>
  <c r="AO989" i="34"/>
  <c r="AN989" i="34"/>
  <c r="AM989" i="34"/>
  <c r="AL989" i="34"/>
  <c r="AK989" i="34"/>
  <c r="AJ989" i="34"/>
  <c r="AI989" i="34"/>
  <c r="AH989" i="34"/>
  <c r="AG989" i="34"/>
  <c r="AF989" i="34"/>
  <c r="AE989" i="34"/>
  <c r="AD989" i="34"/>
  <c r="AC989" i="34"/>
  <c r="AB989" i="34"/>
  <c r="AA989" i="34"/>
  <c r="Z989" i="34"/>
  <c r="Y989" i="34"/>
  <c r="X989" i="34"/>
  <c r="W989" i="34"/>
  <c r="V989" i="34"/>
  <c r="U989" i="34"/>
  <c r="T989" i="34"/>
  <c r="S989" i="34"/>
  <c r="R989" i="34"/>
  <c r="Q989" i="34"/>
  <c r="P989" i="34"/>
  <c r="O989" i="34"/>
  <c r="N989" i="34"/>
  <c r="M989" i="34"/>
  <c r="L989" i="34"/>
  <c r="K989" i="34"/>
  <c r="J989" i="34"/>
  <c r="I989" i="34"/>
  <c r="BL988" i="34"/>
  <c r="BK988" i="34"/>
  <c r="BJ988" i="34"/>
  <c r="BI988" i="34"/>
  <c r="BH988" i="34"/>
  <c r="BG988" i="34"/>
  <c r="BF988" i="34"/>
  <c r="BE988" i="34"/>
  <c r="AB988" i="34"/>
  <c r="AA988" i="34"/>
  <c r="Z988" i="34"/>
  <c r="Y988" i="34"/>
  <c r="X988" i="34"/>
  <c r="W988" i="34"/>
  <c r="V988" i="34"/>
  <c r="U988" i="34"/>
  <c r="T988" i="34"/>
  <c r="S988" i="34"/>
  <c r="R988" i="34"/>
  <c r="Q988" i="34"/>
  <c r="P988" i="34"/>
  <c r="O988" i="34"/>
  <c r="N988" i="34"/>
  <c r="M988" i="34"/>
  <c r="L988" i="34"/>
  <c r="K988" i="34"/>
  <c r="J988" i="34"/>
  <c r="I988" i="34"/>
  <c r="BK987" i="34"/>
  <c r="BJ987" i="34"/>
  <c r="BI987" i="34"/>
  <c r="BH987" i="34"/>
  <c r="BG987" i="34"/>
  <c r="BF987" i="34"/>
  <c r="BE987" i="34"/>
  <c r="X987" i="34"/>
  <c r="W987" i="34"/>
  <c r="V987" i="34"/>
  <c r="U987" i="34"/>
  <c r="T987" i="34"/>
  <c r="S987" i="34"/>
  <c r="R987" i="34"/>
  <c r="Q987" i="34"/>
  <c r="P987" i="34"/>
  <c r="O987" i="34"/>
  <c r="N987" i="34"/>
  <c r="M987" i="34"/>
  <c r="L987" i="34"/>
  <c r="K987" i="34"/>
  <c r="J987" i="34"/>
  <c r="I987" i="34"/>
  <c r="BY985" i="34"/>
  <c r="BX985" i="34"/>
  <c r="BW985" i="34"/>
  <c r="BV985" i="34"/>
  <c r="BU985" i="34"/>
  <c r="BO985" i="34"/>
  <c r="BN985" i="34"/>
  <c r="BM985" i="34"/>
  <c r="BL985" i="34"/>
  <c r="BK985" i="34"/>
  <c r="BJ985" i="34"/>
  <c r="BI985" i="34"/>
  <c r="BH985" i="34"/>
  <c r="BG985" i="34"/>
  <c r="BF985" i="34"/>
  <c r="BE985" i="34"/>
  <c r="AG985" i="34"/>
  <c r="AF985" i="34"/>
  <c r="AE985" i="34"/>
  <c r="AD985" i="34"/>
  <c r="AC985" i="34"/>
  <c r="AB985" i="34"/>
  <c r="AA985" i="34"/>
  <c r="Z985" i="34"/>
  <c r="Y985" i="34"/>
  <c r="X985" i="34"/>
  <c r="W985" i="34"/>
  <c r="V985" i="34"/>
  <c r="U985" i="34"/>
  <c r="T985" i="34"/>
  <c r="S985" i="34"/>
  <c r="R985" i="34"/>
  <c r="Q985" i="34"/>
  <c r="P985" i="34"/>
  <c r="O985" i="34"/>
  <c r="N985" i="34"/>
  <c r="M985" i="34"/>
  <c r="L985" i="34"/>
  <c r="K985" i="34"/>
  <c r="J985" i="34"/>
  <c r="I985" i="34"/>
  <c r="BO984" i="34"/>
  <c r="BN984" i="34"/>
  <c r="BM984" i="34"/>
  <c r="BL984" i="34"/>
  <c r="BK984" i="34"/>
  <c r="BJ984" i="34"/>
  <c r="BI984" i="34"/>
  <c r="BH984" i="34"/>
  <c r="BG984" i="34"/>
  <c r="BF984" i="34"/>
  <c r="BE984" i="34"/>
  <c r="AR984" i="34"/>
  <c r="AQ984" i="34"/>
  <c r="AP984" i="34"/>
  <c r="AO984" i="34"/>
  <c r="AN984" i="34"/>
  <c r="AM984" i="34"/>
  <c r="AL984" i="34"/>
  <c r="AJ984" i="34"/>
  <c r="AI984" i="34"/>
  <c r="AH984" i="34"/>
  <c r="AG984" i="34"/>
  <c r="AF984" i="34"/>
  <c r="AE984" i="34"/>
  <c r="AD984" i="34"/>
  <c r="AC984" i="34"/>
  <c r="AB984" i="34"/>
  <c r="AA984" i="34"/>
  <c r="Z984" i="34"/>
  <c r="Y984" i="34"/>
  <c r="X984" i="34"/>
  <c r="W984" i="34"/>
  <c r="V984" i="34"/>
  <c r="U984" i="34"/>
  <c r="T984" i="34"/>
  <c r="S984" i="34"/>
  <c r="R984" i="34"/>
  <c r="Q984" i="34"/>
  <c r="P984" i="34"/>
  <c r="O984" i="34"/>
  <c r="N984" i="34"/>
  <c r="M984" i="34"/>
  <c r="L984" i="34"/>
  <c r="K984" i="34"/>
  <c r="J984" i="34"/>
  <c r="I984" i="34"/>
  <c r="BN983" i="34"/>
  <c r="BM983" i="34"/>
  <c r="BL983" i="34"/>
  <c r="BK983" i="34"/>
  <c r="BJ983" i="34"/>
  <c r="BI983" i="34"/>
  <c r="BH983" i="34"/>
  <c r="BG983" i="34"/>
  <c r="BF983" i="34"/>
  <c r="BE983" i="34"/>
  <c r="AF983" i="34"/>
  <c r="AE983" i="34"/>
  <c r="AD983" i="34"/>
  <c r="AC983" i="34"/>
  <c r="AB983" i="34"/>
  <c r="AA983" i="34"/>
  <c r="Z983" i="34"/>
  <c r="Y983" i="34"/>
  <c r="X983" i="34"/>
  <c r="W983" i="34"/>
  <c r="V983" i="34"/>
  <c r="U983" i="34"/>
  <c r="T983" i="34"/>
  <c r="S983" i="34"/>
  <c r="R983" i="34"/>
  <c r="Q983" i="34"/>
  <c r="P983" i="34"/>
  <c r="O983" i="34"/>
  <c r="N983" i="34"/>
  <c r="M983" i="34"/>
  <c r="L983" i="34"/>
  <c r="K983" i="34"/>
  <c r="J983" i="34"/>
  <c r="I983" i="34"/>
  <c r="BG981" i="34"/>
  <c r="BF981" i="34"/>
  <c r="BE981" i="34"/>
  <c r="L981" i="34"/>
  <c r="K981" i="34"/>
  <c r="J981" i="34"/>
  <c r="I981" i="34"/>
  <c r="BY980" i="34"/>
  <c r="BX980" i="34"/>
  <c r="BW980" i="34"/>
  <c r="BV980" i="34"/>
  <c r="BU980" i="34"/>
  <c r="BT980" i="34"/>
  <c r="BS980" i="34"/>
  <c r="BR980" i="34"/>
  <c r="BQ980" i="34"/>
  <c r="BP980" i="34"/>
  <c r="BO980" i="34"/>
  <c r="BN980" i="34"/>
  <c r="BM980" i="34"/>
  <c r="BL980" i="34"/>
  <c r="BK980" i="34"/>
  <c r="BJ980" i="34"/>
  <c r="BI980" i="34"/>
  <c r="BH980" i="34"/>
  <c r="BG980" i="34"/>
  <c r="BF980" i="34"/>
  <c r="BE980" i="34"/>
  <c r="L980" i="34"/>
  <c r="K980" i="34"/>
  <c r="J980" i="34"/>
  <c r="I980" i="34"/>
  <c r="BG978" i="34"/>
  <c r="BF978" i="34"/>
  <c r="BE978" i="34"/>
  <c r="L978" i="34"/>
  <c r="K978" i="34"/>
  <c r="J978" i="34"/>
  <c r="I978" i="34"/>
  <c r="BY977" i="34"/>
  <c r="BX977" i="34"/>
  <c r="BW977" i="34"/>
  <c r="BV977" i="34"/>
  <c r="BU977" i="34"/>
  <c r="BF977" i="34"/>
  <c r="BE977" i="34"/>
  <c r="P977" i="34"/>
  <c r="O977" i="34"/>
  <c r="N977" i="34"/>
  <c r="M977" i="34"/>
  <c r="L977" i="34"/>
  <c r="K977" i="34"/>
  <c r="J977" i="34"/>
  <c r="I977" i="34"/>
  <c r="BY976" i="34"/>
  <c r="BX976" i="34"/>
  <c r="BW976" i="34"/>
  <c r="BV976" i="34"/>
  <c r="BU976" i="34"/>
  <c r="BT976" i="34"/>
  <c r="BS976" i="34"/>
  <c r="BR976" i="34"/>
  <c r="BQ976" i="34"/>
  <c r="BP976" i="34"/>
  <c r="BO976" i="34"/>
  <c r="BN976" i="34"/>
  <c r="BM976" i="34"/>
  <c r="BL976" i="34"/>
  <c r="BK976" i="34"/>
  <c r="BJ976" i="34"/>
  <c r="BI976" i="34"/>
  <c r="BH976" i="34"/>
  <c r="BG976" i="34"/>
  <c r="BF976" i="34"/>
  <c r="BE976" i="34"/>
  <c r="BD976" i="34"/>
  <c r="BC976" i="34"/>
  <c r="AZ976" i="34"/>
  <c r="AY976" i="34"/>
  <c r="AX976" i="34"/>
  <c r="AW976" i="34"/>
  <c r="AV976" i="34"/>
  <c r="AU976" i="34"/>
  <c r="AT976" i="34"/>
  <c r="AS976" i="34"/>
  <c r="AQ976" i="34"/>
  <c r="AP976" i="34"/>
  <c r="M976" i="34"/>
  <c r="L976" i="34"/>
  <c r="K976" i="34"/>
  <c r="J976" i="34"/>
  <c r="I976" i="34"/>
  <c r="BG975" i="34"/>
  <c r="BF975" i="34"/>
  <c r="BE975" i="34"/>
  <c r="L975" i="34"/>
  <c r="K975" i="34"/>
  <c r="J975" i="34"/>
  <c r="I975" i="34"/>
  <c r="BM974" i="34"/>
  <c r="BL974" i="34"/>
  <c r="BK974" i="34"/>
  <c r="BJ974" i="34"/>
  <c r="BI974" i="34"/>
  <c r="BH974" i="34"/>
  <c r="BG974" i="34"/>
  <c r="BF974" i="34"/>
  <c r="BE974" i="34"/>
  <c r="AF974" i="34"/>
  <c r="AE974" i="34"/>
  <c r="AD974" i="34"/>
  <c r="AC974" i="34"/>
  <c r="AB974" i="34"/>
  <c r="AA974" i="34"/>
  <c r="Z974" i="34"/>
  <c r="Y974" i="34"/>
  <c r="X974" i="34"/>
  <c r="W974" i="34"/>
  <c r="V974" i="34"/>
  <c r="U974" i="34"/>
  <c r="T974" i="34"/>
  <c r="S974" i="34"/>
  <c r="R974" i="34"/>
  <c r="Q974" i="34"/>
  <c r="P974" i="34"/>
  <c r="O974" i="34"/>
  <c r="N974" i="34"/>
  <c r="M974" i="34"/>
  <c r="L974" i="34"/>
  <c r="K974" i="34"/>
  <c r="J974" i="34"/>
  <c r="I974" i="34"/>
  <c r="BY973" i="34"/>
  <c r="BX973" i="34"/>
  <c r="BW973" i="34"/>
  <c r="BV973" i="34"/>
  <c r="BU973" i="34"/>
  <c r="BT973" i="34"/>
  <c r="BS973" i="34"/>
  <c r="BR973" i="34"/>
  <c r="BQ973" i="34"/>
  <c r="BP973" i="34"/>
  <c r="BO973" i="34"/>
  <c r="BN973" i="34"/>
  <c r="BM973" i="34"/>
  <c r="BL973" i="34"/>
  <c r="BK973" i="34"/>
  <c r="BJ973" i="34"/>
  <c r="BI973" i="34"/>
  <c r="BH973" i="34"/>
  <c r="BG973" i="34"/>
  <c r="BF973" i="34"/>
  <c r="BE973" i="34"/>
  <c r="BD973" i="34"/>
  <c r="BC973" i="34"/>
  <c r="AZ973" i="34"/>
  <c r="AY973" i="34"/>
  <c r="AX973" i="34"/>
  <c r="AW973" i="34"/>
  <c r="AV973" i="34"/>
  <c r="AU973" i="34"/>
  <c r="AT973" i="34"/>
  <c r="AS973" i="34"/>
  <c r="AR973" i="34"/>
  <c r="AQ973" i="34"/>
  <c r="AP973" i="34"/>
  <c r="AO973" i="34"/>
  <c r="AN973" i="34"/>
  <c r="AM973" i="34"/>
  <c r="AL973" i="34"/>
  <c r="AK973" i="34"/>
  <c r="AJ973" i="34"/>
  <c r="AI973" i="34"/>
  <c r="AH973" i="34"/>
  <c r="AG973" i="34"/>
  <c r="AF973" i="34"/>
  <c r="AE973" i="34"/>
  <c r="AD973" i="34"/>
  <c r="AC973" i="34"/>
  <c r="AB973" i="34"/>
  <c r="AA973" i="34"/>
  <c r="Z973" i="34"/>
  <c r="Y973" i="34"/>
  <c r="X973" i="34"/>
  <c r="W973" i="34"/>
  <c r="V973" i="34"/>
  <c r="U973" i="34"/>
  <c r="T973" i="34"/>
  <c r="S973" i="34"/>
  <c r="R973" i="34"/>
  <c r="Q973" i="34"/>
  <c r="P973" i="34"/>
  <c r="O973" i="34"/>
  <c r="N973" i="34"/>
  <c r="M973" i="34"/>
  <c r="L973" i="34"/>
  <c r="K973" i="34"/>
  <c r="J973" i="34"/>
  <c r="I973" i="34"/>
  <c r="BY972" i="34"/>
  <c r="BX972" i="34"/>
  <c r="BW972" i="34"/>
  <c r="BV972" i="34"/>
  <c r="BU972" i="34"/>
  <c r="BT972" i="34"/>
  <c r="BS972" i="34"/>
  <c r="BR972" i="34"/>
  <c r="BQ972" i="34"/>
  <c r="BP972" i="34"/>
  <c r="BO972" i="34"/>
  <c r="BN972" i="34"/>
  <c r="BM972" i="34"/>
  <c r="BL972" i="34"/>
  <c r="BK972" i="34"/>
  <c r="BJ972" i="34"/>
  <c r="BI972" i="34"/>
  <c r="BH972" i="34"/>
  <c r="BG972" i="34"/>
  <c r="BF972" i="34"/>
  <c r="BE972" i="34"/>
  <c r="BD972" i="34"/>
  <c r="BC972" i="34"/>
  <c r="AZ972" i="34"/>
  <c r="AY972" i="34"/>
  <c r="AX972" i="34"/>
  <c r="AW972" i="34"/>
  <c r="AV972" i="34"/>
  <c r="AU972" i="34"/>
  <c r="AT972" i="34"/>
  <c r="AS972" i="34"/>
  <c r="AR972" i="34"/>
  <c r="AQ972" i="34"/>
  <c r="AP972" i="34"/>
  <c r="AO972" i="34"/>
  <c r="AN972" i="34"/>
  <c r="AM972" i="34"/>
  <c r="AL972" i="34"/>
  <c r="AK972" i="34"/>
  <c r="AJ972" i="34"/>
  <c r="AI972" i="34"/>
  <c r="AH972" i="34"/>
  <c r="AG972" i="34"/>
  <c r="AF972" i="34"/>
  <c r="AE972" i="34"/>
  <c r="AD972" i="34"/>
  <c r="AC972" i="34"/>
  <c r="AB972" i="34"/>
  <c r="AA972" i="34"/>
  <c r="Z972" i="34"/>
  <c r="Y972" i="34"/>
  <c r="X972" i="34"/>
  <c r="W972" i="34"/>
  <c r="V972" i="34"/>
  <c r="U972" i="34"/>
  <c r="T972" i="34"/>
  <c r="S972" i="34"/>
  <c r="R972" i="34"/>
  <c r="Q972" i="34"/>
  <c r="P972" i="34"/>
  <c r="O972" i="34"/>
  <c r="N972" i="34"/>
  <c r="M972" i="34"/>
  <c r="L972" i="34"/>
  <c r="K972" i="34"/>
  <c r="J972" i="34"/>
  <c r="I972" i="34"/>
  <c r="BY971" i="34"/>
  <c r="BX971" i="34"/>
  <c r="BW971" i="34"/>
  <c r="BV971" i="34"/>
  <c r="BU971" i="34"/>
  <c r="BT971" i="34"/>
  <c r="BS971" i="34"/>
  <c r="BR971" i="34"/>
  <c r="BQ971" i="34"/>
  <c r="BP971" i="34"/>
  <c r="BO971" i="34"/>
  <c r="BN971" i="34"/>
  <c r="BM971" i="34"/>
  <c r="BL971" i="34"/>
  <c r="BK971" i="34"/>
  <c r="BJ971" i="34"/>
  <c r="BI971" i="34"/>
  <c r="BH971" i="34"/>
  <c r="BG971" i="34"/>
  <c r="BF971" i="34"/>
  <c r="BE971" i="34"/>
  <c r="BD971" i="34"/>
  <c r="BC971" i="34"/>
  <c r="AZ971" i="34"/>
  <c r="AY971" i="34"/>
  <c r="AX971" i="34"/>
  <c r="AW971" i="34"/>
  <c r="AV971" i="34"/>
  <c r="AU971" i="34"/>
  <c r="AT971" i="34"/>
  <c r="AS971" i="34"/>
  <c r="AR971" i="34"/>
  <c r="AQ971" i="34"/>
  <c r="AP971" i="34"/>
  <c r="AO971" i="34"/>
  <c r="AN971" i="34"/>
  <c r="AM971" i="34"/>
  <c r="AL971" i="34"/>
  <c r="AK971" i="34"/>
  <c r="AJ971" i="34"/>
  <c r="AI971" i="34"/>
  <c r="AH971" i="34"/>
  <c r="AG971" i="34"/>
  <c r="AF971" i="34"/>
  <c r="AE971" i="34"/>
  <c r="AD971" i="34"/>
  <c r="AC971" i="34"/>
  <c r="AB971" i="34"/>
  <c r="AA971" i="34"/>
  <c r="Z971" i="34"/>
  <c r="Y971" i="34"/>
  <c r="X971" i="34"/>
  <c r="W971" i="34"/>
  <c r="V971" i="34"/>
  <c r="U971" i="34"/>
  <c r="T971" i="34"/>
  <c r="S971" i="34"/>
  <c r="R971" i="34"/>
  <c r="Q971" i="34"/>
  <c r="P971" i="34"/>
  <c r="O971" i="34"/>
  <c r="N971" i="34"/>
  <c r="M971" i="34"/>
  <c r="L971" i="34"/>
  <c r="K971" i="34"/>
  <c r="J971" i="34"/>
  <c r="I971" i="34"/>
  <c r="BK970" i="34"/>
  <c r="BJ970" i="34"/>
  <c r="BI970" i="34"/>
  <c r="BH970" i="34"/>
  <c r="BG970" i="34"/>
  <c r="BF970" i="34"/>
  <c r="BE970" i="34"/>
  <c r="P970" i="34"/>
  <c r="O970" i="34"/>
  <c r="N970" i="34"/>
  <c r="M970" i="34"/>
  <c r="L970" i="34"/>
  <c r="K970" i="34"/>
  <c r="J970" i="34"/>
  <c r="I970" i="34"/>
  <c r="BJ969" i="34"/>
  <c r="BI969" i="34"/>
  <c r="BH969" i="34"/>
  <c r="BG969" i="34"/>
  <c r="BF969" i="34"/>
  <c r="BE969" i="34"/>
  <c r="P969" i="34"/>
  <c r="O969" i="34"/>
  <c r="N969" i="34"/>
  <c r="M969" i="34"/>
  <c r="L969" i="34"/>
  <c r="K969" i="34"/>
  <c r="J969" i="34"/>
  <c r="I969" i="34"/>
  <c r="BY968" i="34"/>
  <c r="BX968" i="34"/>
  <c r="BW968" i="34"/>
  <c r="BV968" i="34"/>
  <c r="BU968" i="34"/>
  <c r="BT968" i="34"/>
  <c r="BS968" i="34"/>
  <c r="BR968" i="34"/>
  <c r="BQ968" i="34"/>
  <c r="BP968" i="34"/>
  <c r="BO968" i="34"/>
  <c r="BN968" i="34"/>
  <c r="BM968" i="34"/>
  <c r="BL968" i="34"/>
  <c r="BK968" i="34"/>
  <c r="BJ968" i="34"/>
  <c r="BI968" i="34"/>
  <c r="BH968" i="34"/>
  <c r="BG968" i="34"/>
  <c r="BF968" i="34"/>
  <c r="BE968" i="34"/>
  <c r="P968" i="34"/>
  <c r="O968" i="34"/>
  <c r="N968" i="34"/>
  <c r="M968" i="34"/>
  <c r="L968" i="34"/>
  <c r="K968" i="34"/>
  <c r="J968" i="34"/>
  <c r="I968" i="34"/>
  <c r="BJ967" i="34"/>
  <c r="BI967" i="34"/>
  <c r="BH967" i="34"/>
  <c r="BG967" i="34"/>
  <c r="BF967" i="34"/>
  <c r="BE967" i="34"/>
  <c r="P967" i="34"/>
  <c r="O967" i="34"/>
  <c r="N967" i="34"/>
  <c r="M967" i="34"/>
  <c r="L967" i="34"/>
  <c r="K967" i="34"/>
  <c r="J967" i="34"/>
  <c r="I967" i="34"/>
  <c r="BV966" i="34"/>
  <c r="BK966" i="34"/>
  <c r="BJ966" i="34"/>
  <c r="BI966" i="34"/>
  <c r="BH966" i="34"/>
  <c r="BG966" i="34"/>
  <c r="BF966" i="34"/>
  <c r="BE966" i="34"/>
  <c r="Z966" i="34"/>
  <c r="Y966" i="34"/>
  <c r="X966" i="34"/>
  <c r="V966" i="34"/>
  <c r="U966" i="34"/>
  <c r="T966" i="34"/>
  <c r="S966" i="34"/>
  <c r="R966" i="34"/>
  <c r="Q966" i="34"/>
  <c r="P966" i="34"/>
  <c r="O966" i="34"/>
  <c r="N966" i="34"/>
  <c r="M966" i="34"/>
  <c r="L966" i="34"/>
  <c r="K966" i="34"/>
  <c r="J966" i="34"/>
  <c r="I966" i="34"/>
  <c r="BY965" i="34"/>
  <c r="BX965" i="34"/>
  <c r="BW965" i="34"/>
  <c r="BV965" i="34"/>
  <c r="BU965" i="34"/>
  <c r="BT965" i="34"/>
  <c r="BS965" i="34"/>
  <c r="BR965" i="34"/>
  <c r="BQ965" i="34"/>
  <c r="BP965" i="34"/>
  <c r="BO965" i="34"/>
  <c r="BL965" i="34"/>
  <c r="BK965" i="34"/>
  <c r="BJ965" i="34"/>
  <c r="BI965" i="34"/>
  <c r="BH965" i="34"/>
  <c r="BG965" i="34"/>
  <c r="BF965" i="34"/>
  <c r="BE965" i="34"/>
  <c r="BD965" i="34"/>
  <c r="BC965" i="34"/>
  <c r="AZ965" i="34"/>
  <c r="AY965" i="34"/>
  <c r="AX965" i="34"/>
  <c r="AW965" i="34"/>
  <c r="AS965" i="34"/>
  <c r="AR965" i="34"/>
  <c r="Q965" i="34"/>
  <c r="P965" i="34"/>
  <c r="O965" i="34"/>
  <c r="N965" i="34"/>
  <c r="M965" i="34"/>
  <c r="L965" i="34"/>
  <c r="K965" i="34"/>
  <c r="J965" i="34"/>
  <c r="I965" i="34"/>
  <c r="BJ964" i="34"/>
  <c r="BI964" i="34"/>
  <c r="BH964" i="34"/>
  <c r="BG964" i="34"/>
  <c r="BF964" i="34"/>
  <c r="BE964" i="34"/>
  <c r="AI964" i="34"/>
  <c r="AH964" i="34"/>
  <c r="AG964" i="34"/>
  <c r="AF964" i="34"/>
  <c r="AE964" i="34"/>
  <c r="AD964" i="34"/>
  <c r="AC964" i="34"/>
  <c r="AB964" i="34"/>
  <c r="AA964" i="34"/>
  <c r="Z964" i="34"/>
  <c r="Y964" i="34"/>
  <c r="X964" i="34"/>
  <c r="W964" i="34"/>
  <c r="V964" i="34"/>
  <c r="U964" i="34"/>
  <c r="T964" i="34"/>
  <c r="P964" i="34"/>
  <c r="O964" i="34"/>
  <c r="N964" i="34"/>
  <c r="M964" i="34"/>
  <c r="L964" i="34"/>
  <c r="K964" i="34"/>
  <c r="J964" i="34"/>
  <c r="I964" i="34"/>
  <c r="BY963" i="34"/>
  <c r="BX963" i="34"/>
  <c r="BW963" i="34"/>
  <c r="BV963" i="34"/>
  <c r="BU963" i="34"/>
  <c r="BT963" i="34"/>
  <c r="BS963" i="34"/>
  <c r="BR963" i="34"/>
  <c r="BQ963" i="34"/>
  <c r="BP963" i="34"/>
  <c r="BO963" i="34"/>
  <c r="BN963" i="34"/>
  <c r="BM963" i="34"/>
  <c r="BL963" i="34"/>
  <c r="BK963" i="34"/>
  <c r="BJ963" i="34"/>
  <c r="BI963" i="34"/>
  <c r="BH963" i="34"/>
  <c r="BG963" i="34"/>
  <c r="BF963" i="34"/>
  <c r="BE963" i="34"/>
  <c r="BD963" i="34"/>
  <c r="BC963" i="34"/>
  <c r="AZ963" i="34"/>
  <c r="AY963" i="34"/>
  <c r="AX963" i="34"/>
  <c r="AW963" i="34"/>
  <c r="AV963" i="34"/>
  <c r="AU963" i="34"/>
  <c r="AT963" i="34"/>
  <c r="AS963" i="34"/>
  <c r="AR963" i="34"/>
  <c r="AQ963" i="34"/>
  <c r="AP963" i="34"/>
  <c r="AO963" i="34"/>
  <c r="AN963" i="34"/>
  <c r="AM963" i="34"/>
  <c r="AL963" i="34"/>
  <c r="AK963" i="34"/>
  <c r="AJ963" i="34"/>
  <c r="AI963" i="34"/>
  <c r="AH963" i="34"/>
  <c r="AG963" i="34"/>
  <c r="AF963" i="34"/>
  <c r="AE963" i="34"/>
  <c r="AD963" i="34"/>
  <c r="AC963" i="34"/>
  <c r="AB963" i="34"/>
  <c r="AA963" i="34"/>
  <c r="Z963" i="34"/>
  <c r="Y963" i="34"/>
  <c r="X963" i="34"/>
  <c r="W963" i="34"/>
  <c r="V963" i="34"/>
  <c r="U963" i="34"/>
  <c r="T963" i="34"/>
  <c r="S963" i="34"/>
  <c r="R963" i="34"/>
  <c r="Q963" i="34"/>
  <c r="P963" i="34"/>
  <c r="O963" i="34"/>
  <c r="N963" i="34"/>
  <c r="M963" i="34"/>
  <c r="L963" i="34"/>
  <c r="K963" i="34"/>
  <c r="J963" i="34"/>
  <c r="I963" i="34"/>
  <c r="BY962" i="34"/>
  <c r="BX962" i="34"/>
  <c r="BW962" i="34"/>
  <c r="BV962" i="34"/>
  <c r="BU962" i="34"/>
  <c r="BT962" i="34"/>
  <c r="BS962" i="34"/>
  <c r="BR962" i="34"/>
  <c r="BQ962" i="34"/>
  <c r="BP962" i="34"/>
  <c r="BO962" i="34"/>
  <c r="BN962" i="34"/>
  <c r="BM962" i="34"/>
  <c r="BL962" i="34"/>
  <c r="BK962" i="34"/>
  <c r="BJ962" i="34"/>
  <c r="BI962" i="34"/>
  <c r="BH962" i="34"/>
  <c r="BG962" i="34"/>
  <c r="BF962" i="34"/>
  <c r="BE962" i="34"/>
  <c r="U962" i="34"/>
  <c r="T962" i="34"/>
  <c r="S962" i="34"/>
  <c r="R962" i="34"/>
  <c r="Q962" i="34"/>
  <c r="P962" i="34"/>
  <c r="O962" i="34"/>
  <c r="N962" i="34"/>
  <c r="M962" i="34"/>
  <c r="L962" i="34"/>
  <c r="K962" i="34"/>
  <c r="J962" i="34"/>
  <c r="I962" i="34"/>
  <c r="BL961" i="34"/>
  <c r="BK961" i="34"/>
  <c r="BJ961" i="34"/>
  <c r="BI961" i="34"/>
  <c r="BH961" i="34"/>
  <c r="BG961" i="34"/>
  <c r="BF961" i="34"/>
  <c r="BE961" i="34"/>
  <c r="X961" i="34"/>
  <c r="W961" i="34"/>
  <c r="V961" i="34"/>
  <c r="U961" i="34"/>
  <c r="T961" i="34"/>
  <c r="S961" i="34"/>
  <c r="R961" i="34"/>
  <c r="Q961" i="34"/>
  <c r="P961" i="34"/>
  <c r="O961" i="34"/>
  <c r="N961" i="34"/>
  <c r="M961" i="34"/>
  <c r="L961" i="34"/>
  <c r="K961" i="34"/>
  <c r="J961" i="34"/>
  <c r="I961" i="34"/>
  <c r="BK960" i="34"/>
  <c r="BJ960" i="34"/>
  <c r="BI960" i="34"/>
  <c r="BH960" i="34"/>
  <c r="BG960" i="34"/>
  <c r="BF960" i="34"/>
  <c r="BE960" i="34"/>
  <c r="P960" i="34"/>
  <c r="O960" i="34"/>
  <c r="N960" i="34"/>
  <c r="M960" i="34"/>
  <c r="L960" i="34"/>
  <c r="K960" i="34"/>
  <c r="J960" i="34"/>
  <c r="I960" i="34"/>
  <c r="BK959" i="34"/>
  <c r="BJ959" i="34"/>
  <c r="BI959" i="34"/>
  <c r="BH959" i="34"/>
  <c r="BG959" i="34"/>
  <c r="BF959" i="34"/>
  <c r="BE959" i="34"/>
  <c r="P959" i="34"/>
  <c r="O959" i="34"/>
  <c r="N959" i="34"/>
  <c r="M959" i="34"/>
  <c r="L959" i="34"/>
  <c r="K959" i="34"/>
  <c r="J959" i="34"/>
  <c r="I959" i="34"/>
  <c r="BY958" i="34"/>
  <c r="BX958" i="34"/>
  <c r="BW958" i="34"/>
  <c r="BV958" i="34"/>
  <c r="BU958" i="34"/>
  <c r="BT958" i="34"/>
  <c r="BS958" i="34"/>
  <c r="BR958" i="34"/>
  <c r="BQ958" i="34"/>
  <c r="BP958" i="34"/>
  <c r="BO958" i="34"/>
  <c r="BN958" i="34"/>
  <c r="BM958" i="34"/>
  <c r="BL958" i="34"/>
  <c r="BK958" i="34"/>
  <c r="BJ958" i="34"/>
  <c r="BI958" i="34"/>
  <c r="BH958" i="34"/>
  <c r="BG958" i="34"/>
  <c r="BF958" i="34"/>
  <c r="BE958" i="34"/>
  <c r="P958" i="34"/>
  <c r="O958" i="34"/>
  <c r="N958" i="34"/>
  <c r="M958" i="34"/>
  <c r="L958" i="34"/>
  <c r="K958" i="34"/>
  <c r="J958" i="34"/>
  <c r="I958" i="34"/>
  <c r="BK957" i="34"/>
  <c r="BJ957" i="34"/>
  <c r="BI957" i="34"/>
  <c r="BH957" i="34"/>
  <c r="BG957" i="34"/>
  <c r="BF957" i="34"/>
  <c r="BE957" i="34"/>
  <c r="P957" i="34"/>
  <c r="O957" i="34"/>
  <c r="N957" i="34"/>
  <c r="M957" i="34"/>
  <c r="L957" i="34"/>
  <c r="K957" i="34"/>
  <c r="J957" i="34"/>
  <c r="I957" i="34"/>
  <c r="BJ956" i="34"/>
  <c r="BI956" i="34"/>
  <c r="BH956" i="34"/>
  <c r="BG956" i="34"/>
  <c r="BF956" i="34"/>
  <c r="BE956" i="34"/>
  <c r="P956" i="34"/>
  <c r="O956" i="34"/>
  <c r="N956" i="34"/>
  <c r="M956" i="34"/>
  <c r="L956" i="34"/>
  <c r="K956" i="34"/>
  <c r="J956" i="34"/>
  <c r="I956" i="34"/>
  <c r="BY955" i="34"/>
  <c r="BX955" i="34"/>
  <c r="BW955" i="34"/>
  <c r="BV955" i="34"/>
  <c r="BU955" i="34"/>
  <c r="BT955" i="34"/>
  <c r="BS955" i="34"/>
  <c r="BR955" i="34"/>
  <c r="BQ955" i="34"/>
  <c r="BP955" i="34"/>
  <c r="BO955" i="34"/>
  <c r="BN955" i="34"/>
  <c r="BM955" i="34"/>
  <c r="BL955" i="34"/>
  <c r="BK955" i="34"/>
  <c r="BJ955" i="34"/>
  <c r="BI955" i="34"/>
  <c r="BH955" i="34"/>
  <c r="BG955" i="34"/>
  <c r="BF955" i="34"/>
  <c r="BE955" i="34"/>
  <c r="BD955" i="34"/>
  <c r="BC955" i="34"/>
  <c r="AZ955" i="34"/>
  <c r="AY955" i="34"/>
  <c r="AX955" i="34"/>
  <c r="AW955" i="34"/>
  <c r="AV955" i="34"/>
  <c r="AU955" i="34"/>
  <c r="AT955" i="34"/>
  <c r="AS955" i="34"/>
  <c r="AR955" i="34"/>
  <c r="AQ955" i="34"/>
  <c r="AP955" i="34"/>
  <c r="AO955" i="34"/>
  <c r="AN955" i="34"/>
  <c r="AM955" i="34"/>
  <c r="AL955" i="34"/>
  <c r="AK955" i="34"/>
  <c r="AJ955" i="34"/>
  <c r="AI955" i="34"/>
  <c r="AH955" i="34"/>
  <c r="AG955" i="34"/>
  <c r="AF955" i="34"/>
  <c r="AE955" i="34"/>
  <c r="AD955" i="34"/>
  <c r="AC955" i="34"/>
  <c r="AB955" i="34"/>
  <c r="AA955" i="34"/>
  <c r="Z955" i="34"/>
  <c r="Y955" i="34"/>
  <c r="X955" i="34"/>
  <c r="W955" i="34"/>
  <c r="V955" i="34"/>
  <c r="U955" i="34"/>
  <c r="T955" i="34"/>
  <c r="S955" i="34"/>
  <c r="R955" i="34"/>
  <c r="Q955" i="34"/>
  <c r="P955" i="34"/>
  <c r="O955" i="34"/>
  <c r="N955" i="34"/>
  <c r="M955" i="34"/>
  <c r="L955" i="34"/>
  <c r="K955" i="34"/>
  <c r="J955" i="34"/>
  <c r="I955" i="34"/>
  <c r="BY954" i="34"/>
  <c r="BX954" i="34"/>
  <c r="BW954" i="34"/>
  <c r="BV954" i="34"/>
  <c r="BU954" i="34"/>
  <c r="BT954" i="34"/>
  <c r="BS954" i="34"/>
  <c r="BR954" i="34"/>
  <c r="BQ954" i="34"/>
  <c r="BP954" i="34"/>
  <c r="BO954" i="34"/>
  <c r="BN954" i="34"/>
  <c r="BM954" i="34"/>
  <c r="BL954" i="34"/>
  <c r="BK954" i="34"/>
  <c r="BJ954" i="34"/>
  <c r="BI954" i="34"/>
  <c r="BH954" i="34"/>
  <c r="BG954" i="34"/>
  <c r="BF954" i="34"/>
  <c r="BE954" i="34"/>
  <c r="BD954" i="34"/>
  <c r="BC954" i="34"/>
  <c r="AZ954" i="34"/>
  <c r="AY954" i="34"/>
  <c r="AX954" i="34"/>
  <c r="AW954" i="34"/>
  <c r="AV954" i="34"/>
  <c r="AU954" i="34"/>
  <c r="AT954" i="34"/>
  <c r="AS954" i="34"/>
  <c r="AR954" i="34"/>
  <c r="AQ954" i="34"/>
  <c r="AP954" i="34"/>
  <c r="AO954" i="34"/>
  <c r="AN954" i="34"/>
  <c r="AM954" i="34"/>
  <c r="AL954" i="34"/>
  <c r="AK954" i="34"/>
  <c r="AJ954" i="34"/>
  <c r="AI954" i="34"/>
  <c r="AH954" i="34"/>
  <c r="AG954" i="34"/>
  <c r="AF954" i="34"/>
  <c r="AE954" i="34"/>
  <c r="AD954" i="34"/>
  <c r="AC954" i="34"/>
  <c r="AB954" i="34"/>
  <c r="AA954" i="34"/>
  <c r="Z954" i="34"/>
  <c r="Y954" i="34"/>
  <c r="X954" i="34"/>
  <c r="W954" i="34"/>
  <c r="V954" i="34"/>
  <c r="U954" i="34"/>
  <c r="T954" i="34"/>
  <c r="S954" i="34"/>
  <c r="R954" i="34"/>
  <c r="Q954" i="34"/>
  <c r="P954" i="34"/>
  <c r="O954" i="34"/>
  <c r="N954" i="34"/>
  <c r="M954" i="34"/>
  <c r="L954" i="34"/>
  <c r="K954" i="34"/>
  <c r="J954" i="34"/>
  <c r="I954" i="34"/>
  <c r="BK953" i="34"/>
  <c r="BJ953" i="34"/>
  <c r="BI953" i="34"/>
  <c r="BH953" i="34"/>
  <c r="BG953" i="34"/>
  <c r="BF953" i="34"/>
  <c r="BE953" i="34"/>
  <c r="AA953" i="34"/>
  <c r="Z953" i="34"/>
  <c r="X953" i="34"/>
  <c r="W953" i="34"/>
  <c r="V953" i="34"/>
  <c r="P953" i="34"/>
  <c r="O953" i="34"/>
  <c r="N953" i="34"/>
  <c r="M953" i="34"/>
  <c r="L953" i="34"/>
  <c r="K953" i="34"/>
  <c r="J953" i="34"/>
  <c r="I953" i="34"/>
  <c r="BY952" i="34"/>
  <c r="BX952" i="34"/>
  <c r="BW952" i="34"/>
  <c r="BV952" i="34"/>
  <c r="BU952" i="34"/>
  <c r="BT952" i="34"/>
  <c r="BS952" i="34"/>
  <c r="BR952" i="34"/>
  <c r="BQ952" i="34"/>
  <c r="BP952" i="34"/>
  <c r="BO952" i="34"/>
  <c r="BN952" i="34"/>
  <c r="BM952" i="34"/>
  <c r="BL952" i="34"/>
  <c r="BK952" i="34"/>
  <c r="BJ952" i="34"/>
  <c r="BI952" i="34"/>
  <c r="BH952" i="34"/>
  <c r="BG952" i="34"/>
  <c r="BF952" i="34"/>
  <c r="BE952" i="34"/>
  <c r="P952" i="34"/>
  <c r="O952" i="34"/>
  <c r="N952" i="34"/>
  <c r="M952" i="34"/>
  <c r="L952" i="34"/>
  <c r="K952" i="34"/>
  <c r="J952" i="34"/>
  <c r="I952" i="34"/>
  <c r="BL951" i="34"/>
  <c r="BK951" i="34"/>
  <c r="BJ951" i="34"/>
  <c r="BI951" i="34"/>
  <c r="BH951" i="34"/>
  <c r="BG951" i="34"/>
  <c r="BF951" i="34"/>
  <c r="BE951" i="34"/>
  <c r="T951" i="34"/>
  <c r="S951" i="34"/>
  <c r="R951" i="34"/>
  <c r="Q951" i="34"/>
  <c r="P951" i="34"/>
  <c r="O951" i="34"/>
  <c r="N951" i="34"/>
  <c r="M951" i="34"/>
  <c r="L951" i="34"/>
  <c r="K951" i="34"/>
  <c r="J951" i="34"/>
  <c r="I951" i="34"/>
  <c r="BY950" i="34"/>
  <c r="BX950" i="34"/>
  <c r="BW950" i="34"/>
  <c r="BV950" i="34"/>
  <c r="BU950" i="34"/>
  <c r="BT950" i="34"/>
  <c r="BS950" i="34"/>
  <c r="BR950" i="34"/>
  <c r="BQ950" i="34"/>
  <c r="BP950" i="34"/>
  <c r="BO950" i="34"/>
  <c r="BN950" i="34"/>
  <c r="BM950" i="34"/>
  <c r="BL950" i="34"/>
  <c r="BK950" i="34"/>
  <c r="BJ950" i="34"/>
  <c r="BI950" i="34"/>
  <c r="BH950" i="34"/>
  <c r="BG950" i="34"/>
  <c r="BF950" i="34"/>
  <c r="BE950" i="34"/>
  <c r="Q950" i="34"/>
  <c r="P950" i="34"/>
  <c r="O950" i="34"/>
  <c r="N950" i="34"/>
  <c r="M950" i="34"/>
  <c r="L950" i="34"/>
  <c r="K950" i="34"/>
  <c r="J950" i="34"/>
  <c r="I950" i="34"/>
  <c r="BL949" i="34"/>
  <c r="BK949" i="34"/>
  <c r="BJ949" i="34"/>
  <c r="BI949" i="34"/>
  <c r="BH949" i="34"/>
  <c r="BG949" i="34"/>
  <c r="BF949" i="34"/>
  <c r="BE949" i="34"/>
  <c r="P949" i="34"/>
  <c r="O949" i="34"/>
  <c r="N949" i="34"/>
  <c r="M949" i="34"/>
  <c r="L949" i="34"/>
  <c r="K949" i="34"/>
  <c r="J949" i="34"/>
  <c r="I949" i="34"/>
  <c r="BK948" i="34"/>
  <c r="BJ948" i="34"/>
  <c r="BI948" i="34"/>
  <c r="BH948" i="34"/>
  <c r="BG948" i="34"/>
  <c r="BF948" i="34"/>
  <c r="BE948" i="34"/>
  <c r="AI948" i="34"/>
  <c r="AH948" i="34"/>
  <c r="AG948" i="34"/>
  <c r="AF948" i="34"/>
  <c r="AE948" i="34"/>
  <c r="AD948" i="34"/>
  <c r="AC948" i="34"/>
  <c r="AB948" i="34"/>
  <c r="AA948" i="34"/>
  <c r="Z948" i="34"/>
  <c r="Y948" i="34"/>
  <c r="P948" i="34"/>
  <c r="O948" i="34"/>
  <c r="N948" i="34"/>
  <c r="M948" i="34"/>
  <c r="L948" i="34"/>
  <c r="K948" i="34"/>
  <c r="J948" i="34"/>
  <c r="I948" i="34"/>
  <c r="BY947" i="34"/>
  <c r="BX947" i="34"/>
  <c r="BW947" i="34"/>
  <c r="BV947" i="34"/>
  <c r="BU947" i="34"/>
  <c r="BT947" i="34"/>
  <c r="BS947" i="34"/>
  <c r="BR947" i="34"/>
  <c r="BQ947" i="34"/>
  <c r="BP947" i="34"/>
  <c r="BO947" i="34"/>
  <c r="BN947" i="34"/>
  <c r="BM947" i="34"/>
  <c r="BL947" i="34"/>
  <c r="BK947" i="34"/>
  <c r="BJ947" i="34"/>
  <c r="BI947" i="34"/>
  <c r="BH947" i="34"/>
  <c r="BG947" i="34"/>
  <c r="BF947" i="34"/>
  <c r="BE947" i="34"/>
  <c r="BD947" i="34"/>
  <c r="BC947" i="34"/>
  <c r="AZ947" i="34"/>
  <c r="AY947" i="34"/>
  <c r="AX947" i="34"/>
  <c r="AW947" i="34"/>
  <c r="AV947" i="34"/>
  <c r="AU947" i="34"/>
  <c r="AT947" i="34"/>
  <c r="AS947" i="34"/>
  <c r="AR947" i="34"/>
  <c r="AQ947" i="34"/>
  <c r="AP947" i="34"/>
  <c r="AO947" i="34"/>
  <c r="AN947" i="34"/>
  <c r="AM947" i="34"/>
  <c r="AL947" i="34"/>
  <c r="AK947" i="34"/>
  <c r="AJ947" i="34"/>
  <c r="AI947" i="34"/>
  <c r="AH947" i="34"/>
  <c r="AG947" i="34"/>
  <c r="AF947" i="34"/>
  <c r="AE947" i="34"/>
  <c r="AD947" i="34"/>
  <c r="AC947" i="34"/>
  <c r="AB947" i="34"/>
  <c r="AA947" i="34"/>
  <c r="Z947" i="34"/>
  <c r="Y947" i="34"/>
  <c r="X947" i="34"/>
  <c r="W947" i="34"/>
  <c r="V947" i="34"/>
  <c r="U947" i="34"/>
  <c r="T947" i="34"/>
  <c r="S947" i="34"/>
  <c r="R947" i="34"/>
  <c r="Q947" i="34"/>
  <c r="P947" i="34"/>
  <c r="O947" i="34"/>
  <c r="N947" i="34"/>
  <c r="M947" i="34"/>
  <c r="L947" i="34"/>
  <c r="K947" i="34"/>
  <c r="J947" i="34"/>
  <c r="I947" i="34"/>
  <c r="BY946" i="34"/>
  <c r="BX946" i="34"/>
  <c r="BW946" i="34"/>
  <c r="BV946" i="34"/>
  <c r="BU946" i="34"/>
  <c r="BT946" i="34"/>
  <c r="BS946" i="34"/>
  <c r="BR946" i="34"/>
  <c r="BQ946" i="34"/>
  <c r="BP946" i="34"/>
  <c r="BO946" i="34"/>
  <c r="BN946" i="34"/>
  <c r="BM946" i="34"/>
  <c r="BL946" i="34"/>
  <c r="BK946" i="34"/>
  <c r="BJ946" i="34"/>
  <c r="BI946" i="34"/>
  <c r="BH946" i="34"/>
  <c r="BG946" i="34"/>
  <c r="BF946" i="34"/>
  <c r="BE946" i="34"/>
  <c r="BD946" i="34"/>
  <c r="BC946" i="34"/>
  <c r="AZ946" i="34"/>
  <c r="AY946" i="34"/>
  <c r="AX946" i="34"/>
  <c r="AW946" i="34"/>
  <c r="AV946" i="34"/>
  <c r="AU946" i="34"/>
  <c r="AT946" i="34"/>
  <c r="AS946" i="34"/>
  <c r="AR946" i="34"/>
  <c r="AQ946" i="34"/>
  <c r="AP946" i="34"/>
  <c r="AO946" i="34"/>
  <c r="AN946" i="34"/>
  <c r="AM946" i="34"/>
  <c r="AL946" i="34"/>
  <c r="AK946" i="34"/>
  <c r="AJ946" i="34"/>
  <c r="AI946" i="34"/>
  <c r="AH946" i="34"/>
  <c r="AG946" i="34"/>
  <c r="AF946" i="34"/>
  <c r="AE946" i="34"/>
  <c r="AD946" i="34"/>
  <c r="AC946" i="34"/>
  <c r="AB946" i="34"/>
  <c r="AA946" i="34"/>
  <c r="Z946" i="34"/>
  <c r="Y946" i="34"/>
  <c r="X946" i="34"/>
  <c r="W946" i="34"/>
  <c r="V946" i="34"/>
  <c r="U946" i="34"/>
  <c r="T946" i="34"/>
  <c r="S946" i="34"/>
  <c r="R946" i="34"/>
  <c r="Q946" i="34"/>
  <c r="P946" i="34"/>
  <c r="O946" i="34"/>
  <c r="N946" i="34"/>
  <c r="M946" i="34"/>
  <c r="L946" i="34"/>
  <c r="K946" i="34"/>
  <c r="J946" i="34"/>
  <c r="I946" i="34"/>
  <c r="BK945" i="34"/>
  <c r="BJ945" i="34"/>
  <c r="BI945" i="34"/>
  <c r="BH945" i="34"/>
  <c r="BG945" i="34"/>
  <c r="BF945" i="34"/>
  <c r="BE945" i="34"/>
  <c r="P945" i="34"/>
  <c r="O945" i="34"/>
  <c r="N945" i="34"/>
  <c r="M945" i="34"/>
  <c r="L945" i="34"/>
  <c r="K945" i="34"/>
  <c r="J945" i="34"/>
  <c r="I945" i="34"/>
  <c r="BY944" i="34"/>
  <c r="BX944" i="34"/>
  <c r="BW944" i="34"/>
  <c r="BV944" i="34"/>
  <c r="BU944" i="34"/>
  <c r="BT944" i="34"/>
  <c r="BS944" i="34"/>
  <c r="BR944" i="34"/>
  <c r="BQ944" i="34"/>
  <c r="BP944" i="34"/>
  <c r="BO944" i="34"/>
  <c r="BN944" i="34"/>
  <c r="BM944" i="34"/>
  <c r="BL944" i="34"/>
  <c r="BK944" i="34"/>
  <c r="BJ944" i="34"/>
  <c r="BI944" i="34"/>
  <c r="BH944" i="34"/>
  <c r="BG944" i="34"/>
  <c r="BF944" i="34"/>
  <c r="BE944" i="34"/>
  <c r="P944" i="34"/>
  <c r="O944" i="34"/>
  <c r="N944" i="34"/>
  <c r="M944" i="34"/>
  <c r="L944" i="34"/>
  <c r="K944" i="34"/>
  <c r="J944" i="34"/>
  <c r="I944" i="34"/>
  <c r="BL943" i="34"/>
  <c r="BK943" i="34"/>
  <c r="BJ943" i="34"/>
  <c r="BI943" i="34"/>
  <c r="BH943" i="34"/>
  <c r="BG943" i="34"/>
  <c r="BF943" i="34"/>
  <c r="BE943" i="34"/>
  <c r="T943" i="34"/>
  <c r="S943" i="34"/>
  <c r="R943" i="34"/>
  <c r="Q943" i="34"/>
  <c r="P943" i="34"/>
  <c r="O943" i="34"/>
  <c r="N943" i="34"/>
  <c r="M943" i="34"/>
  <c r="L943" i="34"/>
  <c r="K943" i="34"/>
  <c r="J943" i="34"/>
  <c r="I943" i="34"/>
  <c r="BY942" i="34"/>
  <c r="BX942" i="34"/>
  <c r="BW942" i="34"/>
  <c r="BV942" i="34"/>
  <c r="BU942" i="34"/>
  <c r="BT942" i="34"/>
  <c r="BS942" i="34"/>
  <c r="BR942" i="34"/>
  <c r="BQ942" i="34"/>
  <c r="BP942" i="34"/>
  <c r="BO942" i="34"/>
  <c r="BN942" i="34"/>
  <c r="BM942" i="34"/>
  <c r="BL942" i="34"/>
  <c r="BK942" i="34"/>
  <c r="BJ942" i="34"/>
  <c r="BI942" i="34"/>
  <c r="BH942" i="34"/>
  <c r="BG942" i="34"/>
  <c r="BF942" i="34"/>
  <c r="BE942" i="34"/>
  <c r="BD942" i="34"/>
  <c r="BC942" i="34"/>
  <c r="AZ942" i="34"/>
  <c r="AY942" i="34"/>
  <c r="AX942" i="34"/>
  <c r="AW942" i="34"/>
  <c r="AV942" i="34"/>
  <c r="AU942" i="34"/>
  <c r="AT942" i="34"/>
  <c r="AS942" i="34"/>
  <c r="AR942" i="34"/>
  <c r="Q942" i="34"/>
  <c r="P942" i="34"/>
  <c r="O942" i="34"/>
  <c r="N942" i="34"/>
  <c r="M942" i="34"/>
  <c r="L942" i="34"/>
  <c r="K942" i="34"/>
  <c r="J942" i="34"/>
  <c r="I942" i="34"/>
  <c r="BL941" i="34"/>
  <c r="BK941" i="34"/>
  <c r="BJ941" i="34"/>
  <c r="BI941" i="34"/>
  <c r="BH941" i="34"/>
  <c r="BG941" i="34"/>
  <c r="BF941" i="34"/>
  <c r="BE941" i="34"/>
  <c r="P941" i="34"/>
  <c r="O941" i="34"/>
  <c r="N941" i="34"/>
  <c r="M941" i="34"/>
  <c r="L941" i="34"/>
  <c r="K941" i="34"/>
  <c r="J941" i="34"/>
  <c r="I941" i="34"/>
  <c r="BK940" i="34"/>
  <c r="BJ940" i="34"/>
  <c r="BI940" i="34"/>
  <c r="BH940" i="34"/>
  <c r="BG940" i="34"/>
  <c r="BF940" i="34"/>
  <c r="BE940" i="34"/>
  <c r="AI940" i="34"/>
  <c r="AH940" i="34"/>
  <c r="AG940" i="34"/>
  <c r="AF940" i="34"/>
  <c r="AE940" i="34"/>
  <c r="AD940" i="34"/>
  <c r="AC940" i="34"/>
  <c r="AB940" i="34"/>
  <c r="AA940" i="34"/>
  <c r="Z940" i="34"/>
  <c r="Y940" i="34"/>
  <c r="P940" i="34"/>
  <c r="O940" i="34"/>
  <c r="N940" i="34"/>
  <c r="M940" i="34"/>
  <c r="L940" i="34"/>
  <c r="K940" i="34"/>
  <c r="J940" i="34"/>
  <c r="I940" i="34"/>
  <c r="BY939" i="34"/>
  <c r="BX939" i="34"/>
  <c r="BW939" i="34"/>
  <c r="BV939" i="34"/>
  <c r="BU939" i="34"/>
  <c r="BT939" i="34"/>
  <c r="BS939" i="34"/>
  <c r="BR939" i="34"/>
  <c r="BQ939" i="34"/>
  <c r="BP939" i="34"/>
  <c r="BO939" i="34"/>
  <c r="BN939" i="34"/>
  <c r="BM939" i="34"/>
  <c r="BL939" i="34"/>
  <c r="BK939" i="34"/>
  <c r="BJ939" i="34"/>
  <c r="BI939" i="34"/>
  <c r="BH939" i="34"/>
  <c r="BG939" i="34"/>
  <c r="BF939" i="34"/>
  <c r="BE939" i="34"/>
  <c r="BD939" i="34"/>
  <c r="BC939" i="34"/>
  <c r="AZ939" i="34"/>
  <c r="AY939" i="34"/>
  <c r="AX939" i="34"/>
  <c r="AW939" i="34"/>
  <c r="AV939" i="34"/>
  <c r="AU939" i="34"/>
  <c r="AT939" i="34"/>
  <c r="AS939" i="34"/>
  <c r="AR939" i="34"/>
  <c r="AQ939" i="34"/>
  <c r="AP939" i="34"/>
  <c r="AO939" i="34"/>
  <c r="AN939" i="34"/>
  <c r="AM939" i="34"/>
  <c r="AL939" i="34"/>
  <c r="AK939" i="34"/>
  <c r="AJ939" i="34"/>
  <c r="AI939" i="34"/>
  <c r="AH939" i="34"/>
  <c r="AG939" i="34"/>
  <c r="AF939" i="34"/>
  <c r="AE939" i="34"/>
  <c r="AD939" i="34"/>
  <c r="AC939" i="34"/>
  <c r="AB939" i="34"/>
  <c r="AA939" i="34"/>
  <c r="Z939" i="34"/>
  <c r="Y939" i="34"/>
  <c r="X939" i="34"/>
  <c r="W939" i="34"/>
  <c r="V939" i="34"/>
  <c r="U939" i="34"/>
  <c r="T939" i="34"/>
  <c r="S939" i="34"/>
  <c r="R939" i="34"/>
  <c r="Q939" i="34"/>
  <c r="P939" i="34"/>
  <c r="O939" i="34"/>
  <c r="N939" i="34"/>
  <c r="M939" i="34"/>
  <c r="L939" i="34"/>
  <c r="K939" i="34"/>
  <c r="J939" i="34"/>
  <c r="I939" i="34"/>
  <c r="BY938" i="34"/>
  <c r="BX938" i="34"/>
  <c r="BW938" i="34"/>
  <c r="BV938" i="34"/>
  <c r="BU938" i="34"/>
  <c r="BT938" i="34"/>
  <c r="BS938" i="34"/>
  <c r="BR938" i="34"/>
  <c r="BQ938" i="34"/>
  <c r="BP938" i="34"/>
  <c r="BO938" i="34"/>
  <c r="BN938" i="34"/>
  <c r="BM938" i="34"/>
  <c r="BL938" i="34"/>
  <c r="BK938" i="34"/>
  <c r="BJ938" i="34"/>
  <c r="BI938" i="34"/>
  <c r="BH938" i="34"/>
  <c r="BG938" i="34"/>
  <c r="BF938" i="34"/>
  <c r="BE938" i="34"/>
  <c r="BD938" i="34"/>
  <c r="BC938" i="34"/>
  <c r="AZ938" i="34"/>
  <c r="AY938" i="34"/>
  <c r="AX938" i="34"/>
  <c r="AW938" i="34"/>
  <c r="AV938" i="34"/>
  <c r="AU938" i="34"/>
  <c r="AT938" i="34"/>
  <c r="AS938" i="34"/>
  <c r="AR938" i="34"/>
  <c r="AQ938" i="34"/>
  <c r="AP938" i="34"/>
  <c r="AO938" i="34"/>
  <c r="AN938" i="34"/>
  <c r="AM938" i="34"/>
  <c r="AL938" i="34"/>
  <c r="AK938" i="34"/>
  <c r="AJ938" i="34"/>
  <c r="AI938" i="34"/>
  <c r="AH938" i="34"/>
  <c r="AG938" i="34"/>
  <c r="AF938" i="34"/>
  <c r="AE938" i="34"/>
  <c r="AD938" i="34"/>
  <c r="AC938" i="34"/>
  <c r="AB938" i="34"/>
  <c r="AA938" i="34"/>
  <c r="Z938" i="34"/>
  <c r="Y938" i="34"/>
  <c r="X938" i="34"/>
  <c r="W938" i="34"/>
  <c r="V938" i="34"/>
  <c r="U938" i="34"/>
  <c r="T938" i="34"/>
  <c r="S938" i="34"/>
  <c r="R938" i="34"/>
  <c r="Q938" i="34"/>
  <c r="P938" i="34"/>
  <c r="O938" i="34"/>
  <c r="N938" i="34"/>
  <c r="M938" i="34"/>
  <c r="L938" i="34"/>
  <c r="K938" i="34"/>
  <c r="J938" i="34"/>
  <c r="I938" i="34"/>
  <c r="BY937" i="34"/>
  <c r="BX937" i="34"/>
  <c r="BW937" i="34"/>
  <c r="BV937" i="34"/>
  <c r="BU937" i="34"/>
  <c r="BT937" i="34"/>
  <c r="BS937" i="34"/>
  <c r="BR937" i="34"/>
  <c r="BQ937" i="34"/>
  <c r="BP937" i="34"/>
  <c r="BO937" i="34"/>
  <c r="BN937" i="34"/>
  <c r="BM937" i="34"/>
  <c r="BL937" i="34"/>
  <c r="BK937" i="34"/>
  <c r="BJ937" i="34"/>
  <c r="BI937" i="34"/>
  <c r="BH937" i="34"/>
  <c r="BG937" i="34"/>
  <c r="BF937" i="34"/>
  <c r="BE937" i="34"/>
  <c r="M937" i="34"/>
  <c r="L937" i="34"/>
  <c r="K937" i="34"/>
  <c r="J937" i="34"/>
  <c r="I937" i="34"/>
  <c r="BF936" i="34"/>
  <c r="BE936" i="34"/>
  <c r="P936" i="34"/>
  <c r="O936" i="34"/>
  <c r="N936" i="34"/>
  <c r="M936" i="34"/>
  <c r="L936" i="34"/>
  <c r="K936" i="34"/>
  <c r="J936" i="34"/>
  <c r="I936" i="34"/>
  <c r="BY935" i="34"/>
  <c r="BX935" i="34"/>
  <c r="BW935" i="34"/>
  <c r="BV935" i="34"/>
  <c r="BU935" i="34"/>
  <c r="BT935" i="34"/>
  <c r="BS935" i="34"/>
  <c r="BR935" i="34"/>
  <c r="BQ935" i="34"/>
  <c r="BP935" i="34"/>
  <c r="BO935" i="34"/>
  <c r="BN935" i="34"/>
  <c r="BM935" i="34"/>
  <c r="BL935" i="34"/>
  <c r="BK935" i="34"/>
  <c r="BJ935" i="34"/>
  <c r="BI935" i="34"/>
  <c r="BH935" i="34"/>
  <c r="BG935" i="34"/>
  <c r="BF935" i="34"/>
  <c r="BE935" i="34"/>
  <c r="L935" i="34"/>
  <c r="K935" i="34"/>
  <c r="J935" i="34"/>
  <c r="I935" i="34"/>
  <c r="BF934" i="34"/>
  <c r="BE934" i="34"/>
  <c r="P934" i="34"/>
  <c r="O934" i="34"/>
  <c r="N934" i="34"/>
  <c r="M934" i="34"/>
  <c r="L934" i="34"/>
  <c r="K934" i="34"/>
  <c r="J934" i="34"/>
  <c r="I934" i="34"/>
  <c r="BI933" i="34"/>
  <c r="BH933" i="34"/>
  <c r="BG933" i="34"/>
  <c r="BF933" i="34"/>
  <c r="BE933" i="34"/>
  <c r="AE933" i="34"/>
  <c r="AD933" i="34"/>
  <c r="AC933" i="34"/>
  <c r="AB933" i="34"/>
  <c r="AA933" i="34"/>
  <c r="Z933" i="34"/>
  <c r="Y933" i="34"/>
  <c r="X933" i="34"/>
  <c r="W933" i="34"/>
  <c r="V933" i="34"/>
  <c r="U933" i="34"/>
  <c r="T933" i="34"/>
  <c r="S933" i="34"/>
  <c r="R933" i="34"/>
  <c r="Q933" i="34"/>
  <c r="P933" i="34"/>
  <c r="O933" i="34"/>
  <c r="N933" i="34"/>
  <c r="M933" i="34"/>
  <c r="L933" i="34"/>
  <c r="K933" i="34"/>
  <c r="J933" i="34"/>
  <c r="I933" i="34"/>
  <c r="BY931" i="34"/>
  <c r="BX931" i="34"/>
  <c r="BW931" i="34"/>
  <c r="BV931" i="34"/>
  <c r="BU931" i="34"/>
  <c r="BT931" i="34"/>
  <c r="BS931" i="34"/>
  <c r="BR931" i="34"/>
  <c r="BQ931" i="34"/>
  <c r="BP931" i="34"/>
  <c r="BO931" i="34"/>
  <c r="BN931" i="34"/>
  <c r="BM931" i="34"/>
  <c r="BL931" i="34"/>
  <c r="BK931" i="34"/>
  <c r="BJ931" i="34"/>
  <c r="BI931" i="34"/>
  <c r="BH931" i="34"/>
  <c r="BG931" i="34"/>
  <c r="BF931" i="34"/>
  <c r="BE931" i="34"/>
  <c r="BD931" i="34"/>
  <c r="BC931" i="34"/>
  <c r="AZ931" i="34"/>
  <c r="AY931" i="34"/>
  <c r="AX931" i="34"/>
  <c r="AW931" i="34"/>
  <c r="AV931" i="34"/>
  <c r="AU931" i="34"/>
  <c r="AT931" i="34"/>
  <c r="AS931" i="34"/>
  <c r="AR931" i="34"/>
  <c r="AQ931" i="34"/>
  <c r="AP931" i="34"/>
  <c r="AO931" i="34"/>
  <c r="AN931" i="34"/>
  <c r="AM931" i="34"/>
  <c r="AL931" i="34"/>
  <c r="AK931" i="34"/>
  <c r="AJ931" i="34"/>
  <c r="AI931" i="34"/>
  <c r="AH931" i="34"/>
  <c r="AG931" i="34"/>
  <c r="AF931" i="34"/>
  <c r="AE931" i="34"/>
  <c r="AD931" i="34"/>
  <c r="AC931" i="34"/>
  <c r="AB931" i="34"/>
  <c r="AA931" i="34"/>
  <c r="Z931" i="34"/>
  <c r="Y931" i="34"/>
  <c r="X931" i="34"/>
  <c r="W931" i="34"/>
  <c r="V931" i="34"/>
  <c r="U931" i="34"/>
  <c r="T931" i="34"/>
  <c r="S931" i="34"/>
  <c r="R931" i="34"/>
  <c r="Q931" i="34"/>
  <c r="P931" i="34"/>
  <c r="O931" i="34"/>
  <c r="N931" i="34"/>
  <c r="M931" i="34"/>
  <c r="L931" i="34"/>
  <c r="K931" i="34"/>
  <c r="J931" i="34"/>
  <c r="I931" i="34"/>
  <c r="BY930" i="34"/>
  <c r="BX930" i="34"/>
  <c r="BW930" i="34"/>
  <c r="BV930" i="34"/>
  <c r="BU930" i="34"/>
  <c r="BT930" i="34"/>
  <c r="BS930" i="34"/>
  <c r="BR930" i="34"/>
  <c r="BQ930" i="34"/>
  <c r="BP930" i="34"/>
  <c r="BO930" i="34"/>
  <c r="BN930" i="34"/>
  <c r="BM930" i="34"/>
  <c r="BL930" i="34"/>
  <c r="BK930" i="34"/>
  <c r="BJ930" i="34"/>
  <c r="BI930" i="34"/>
  <c r="BH930" i="34"/>
  <c r="BG930" i="34"/>
  <c r="BF930" i="34"/>
  <c r="BE930" i="34"/>
  <c r="BD930" i="34"/>
  <c r="BC930" i="34"/>
  <c r="AZ930" i="34"/>
  <c r="AY930" i="34"/>
  <c r="AX930" i="34"/>
  <c r="AW930" i="34"/>
  <c r="AV930" i="34"/>
  <c r="AU930" i="34"/>
  <c r="AT930" i="34"/>
  <c r="AS930" i="34"/>
  <c r="AR930" i="34"/>
  <c r="AQ930" i="34"/>
  <c r="AP930" i="34"/>
  <c r="AO930" i="34"/>
  <c r="AN930" i="34"/>
  <c r="AM930" i="34"/>
  <c r="AL930" i="34"/>
  <c r="AK930" i="34"/>
  <c r="AJ930" i="34"/>
  <c r="AI930" i="34"/>
  <c r="AH930" i="34"/>
  <c r="AG930" i="34"/>
  <c r="AF930" i="34"/>
  <c r="AE930" i="34"/>
  <c r="AD930" i="34"/>
  <c r="AC930" i="34"/>
  <c r="AB930" i="34"/>
  <c r="AA930" i="34"/>
  <c r="Z930" i="34"/>
  <c r="Y930" i="34"/>
  <c r="X930" i="34"/>
  <c r="W930" i="34"/>
  <c r="V930" i="34"/>
  <c r="U930" i="34"/>
  <c r="T930" i="34"/>
  <c r="S930" i="34"/>
  <c r="R930" i="34"/>
  <c r="Q930" i="34"/>
  <c r="P930" i="34"/>
  <c r="O930" i="34"/>
  <c r="N930" i="34"/>
  <c r="M930" i="34"/>
  <c r="L930" i="34"/>
  <c r="K930" i="34"/>
  <c r="J930" i="34"/>
  <c r="I930" i="34"/>
  <c r="BM929" i="34"/>
  <c r="BL929" i="34"/>
  <c r="BK929" i="34"/>
  <c r="BJ929" i="34"/>
  <c r="BI929" i="34"/>
  <c r="BH929" i="34"/>
  <c r="BG929" i="34"/>
  <c r="BF929" i="34"/>
  <c r="BE929" i="34"/>
  <c r="AC929" i="34"/>
  <c r="AB929" i="34"/>
  <c r="AA929" i="34"/>
  <c r="Z929" i="34"/>
  <c r="Y929" i="34"/>
  <c r="X929" i="34"/>
  <c r="V929" i="34"/>
  <c r="U929" i="34"/>
  <c r="T929" i="34"/>
  <c r="S929" i="34"/>
  <c r="R929" i="34"/>
  <c r="Q929" i="34"/>
  <c r="P929" i="34"/>
  <c r="O929" i="34"/>
  <c r="N929" i="34"/>
  <c r="M929" i="34"/>
  <c r="L929" i="34"/>
  <c r="K929" i="34"/>
  <c r="J929" i="34"/>
  <c r="I929" i="34"/>
  <c r="BY928" i="34"/>
  <c r="BX928" i="34"/>
  <c r="BW928" i="34"/>
  <c r="BV928" i="34"/>
  <c r="BU928" i="34"/>
  <c r="BT928" i="34"/>
  <c r="BS928" i="34"/>
  <c r="BR928" i="34"/>
  <c r="BQ928" i="34"/>
  <c r="BP928" i="34"/>
  <c r="BO928" i="34"/>
  <c r="BN928" i="34"/>
  <c r="BM928" i="34"/>
  <c r="BL928" i="34"/>
  <c r="BK928" i="34"/>
  <c r="BJ928" i="34"/>
  <c r="BI928" i="34"/>
  <c r="BH928" i="34"/>
  <c r="BG928" i="34"/>
  <c r="BF928" i="34"/>
  <c r="BE928" i="34"/>
  <c r="Z928" i="34"/>
  <c r="Y928" i="34"/>
  <c r="X928" i="34"/>
  <c r="V928" i="34"/>
  <c r="U928" i="34"/>
  <c r="T928" i="34"/>
  <c r="S928" i="34"/>
  <c r="R928" i="34"/>
  <c r="Q928" i="34"/>
  <c r="P928" i="34"/>
  <c r="O928" i="34"/>
  <c r="N928" i="34"/>
  <c r="M928" i="34"/>
  <c r="L928" i="34"/>
  <c r="K928" i="34"/>
  <c r="J928" i="34"/>
  <c r="I928" i="34"/>
  <c r="BM927" i="34"/>
  <c r="BL927" i="34"/>
  <c r="BK927" i="34"/>
  <c r="BJ927" i="34"/>
  <c r="BI927" i="34"/>
  <c r="BH927" i="34"/>
  <c r="BG927" i="34"/>
  <c r="BF927" i="34"/>
  <c r="BE927" i="34"/>
  <c r="Z927" i="34"/>
  <c r="Y927" i="34"/>
  <c r="X927" i="34"/>
  <c r="V927" i="34"/>
  <c r="U927" i="34"/>
  <c r="T927" i="34"/>
  <c r="S927" i="34"/>
  <c r="R927" i="34"/>
  <c r="Q927" i="34"/>
  <c r="P927" i="34"/>
  <c r="O927" i="34"/>
  <c r="N927" i="34"/>
  <c r="M927" i="34"/>
  <c r="L927" i="34"/>
  <c r="K927" i="34"/>
  <c r="J927" i="34"/>
  <c r="I927" i="34"/>
  <c r="BM926" i="34"/>
  <c r="BL926" i="34"/>
  <c r="BK926" i="34"/>
  <c r="BJ926" i="34"/>
  <c r="BI926" i="34"/>
  <c r="BH926" i="34"/>
  <c r="BG926" i="34"/>
  <c r="BF926" i="34"/>
  <c r="BE926" i="34"/>
  <c r="Z926" i="34"/>
  <c r="Y926" i="34"/>
  <c r="X926" i="34"/>
  <c r="V926" i="34"/>
  <c r="U926" i="34"/>
  <c r="T926" i="34"/>
  <c r="S926" i="34"/>
  <c r="R926" i="34"/>
  <c r="Q926" i="34"/>
  <c r="P926" i="34"/>
  <c r="O926" i="34"/>
  <c r="N926" i="34"/>
  <c r="M926" i="34"/>
  <c r="L926" i="34"/>
  <c r="K926" i="34"/>
  <c r="J926" i="34"/>
  <c r="I926" i="34"/>
  <c r="BL925" i="34"/>
  <c r="BK925" i="34"/>
  <c r="BJ925" i="34"/>
  <c r="BI925" i="34"/>
  <c r="BH925" i="34"/>
  <c r="BG925" i="34"/>
  <c r="BF925" i="34"/>
  <c r="BE925" i="34"/>
  <c r="AI925" i="34"/>
  <c r="AH925" i="34"/>
  <c r="AG925" i="34"/>
  <c r="AF925" i="34"/>
  <c r="AE925" i="34"/>
  <c r="AD925" i="34"/>
  <c r="Z925" i="34"/>
  <c r="Y925" i="34"/>
  <c r="X925" i="34"/>
  <c r="V925" i="34"/>
  <c r="U925" i="34"/>
  <c r="T925" i="34"/>
  <c r="S925" i="34"/>
  <c r="R925" i="34"/>
  <c r="Q925" i="34"/>
  <c r="P925" i="34"/>
  <c r="O925" i="34"/>
  <c r="N925" i="34"/>
  <c r="M925" i="34"/>
  <c r="L925" i="34"/>
  <c r="K925" i="34"/>
  <c r="J925" i="34"/>
  <c r="I925" i="34"/>
  <c r="BY924" i="34"/>
  <c r="BX924" i="34"/>
  <c r="BW924" i="34"/>
  <c r="BV924" i="34"/>
  <c r="BU924" i="34"/>
  <c r="BT924" i="34"/>
  <c r="BS924" i="34"/>
  <c r="BR924" i="34"/>
  <c r="BQ924" i="34"/>
  <c r="BP924" i="34"/>
  <c r="BO924" i="34"/>
  <c r="BN924" i="34"/>
  <c r="BM924" i="34"/>
  <c r="BL924" i="34"/>
  <c r="BK924" i="34"/>
  <c r="BJ924" i="34"/>
  <c r="BI924" i="34"/>
  <c r="BH924" i="34"/>
  <c r="BG924" i="34"/>
  <c r="BF924" i="34"/>
  <c r="BE924" i="34"/>
  <c r="BD924" i="34"/>
  <c r="BC924" i="34"/>
  <c r="AZ924" i="34"/>
  <c r="AY924" i="34"/>
  <c r="AX924" i="34"/>
  <c r="AW924" i="34"/>
  <c r="AV924" i="34"/>
  <c r="AU924" i="34"/>
  <c r="AT924" i="34"/>
  <c r="AS924" i="34"/>
  <c r="AR924" i="34"/>
  <c r="AQ924" i="34"/>
  <c r="AP924" i="34"/>
  <c r="AO924" i="34"/>
  <c r="AN924" i="34"/>
  <c r="AM924" i="34"/>
  <c r="AL924" i="34"/>
  <c r="AK924" i="34"/>
  <c r="AJ924" i="34"/>
  <c r="AI924" i="34"/>
  <c r="AH924" i="34"/>
  <c r="AG924" i="34"/>
  <c r="AF924" i="34"/>
  <c r="AE924" i="34"/>
  <c r="AD924" i="34"/>
  <c r="AC924" i="34"/>
  <c r="AB924" i="34"/>
  <c r="AA924" i="34"/>
  <c r="Z924" i="34"/>
  <c r="Y924" i="34"/>
  <c r="X924" i="34"/>
  <c r="W924" i="34"/>
  <c r="V924" i="34"/>
  <c r="U924" i="34"/>
  <c r="T924" i="34"/>
  <c r="S924" i="34"/>
  <c r="R924" i="34"/>
  <c r="Q924" i="34"/>
  <c r="P924" i="34"/>
  <c r="O924" i="34"/>
  <c r="N924" i="34"/>
  <c r="M924" i="34"/>
  <c r="L924" i="34"/>
  <c r="K924" i="34"/>
  <c r="J924" i="34"/>
  <c r="I924" i="34"/>
  <c r="BY923" i="34"/>
  <c r="BX923" i="34"/>
  <c r="BW923" i="34"/>
  <c r="BV923" i="34"/>
  <c r="BU923" i="34"/>
  <c r="BT923" i="34"/>
  <c r="BS923" i="34"/>
  <c r="BR923" i="34"/>
  <c r="BQ923" i="34"/>
  <c r="BP923" i="34"/>
  <c r="BO923" i="34"/>
  <c r="BN923" i="34"/>
  <c r="BM923" i="34"/>
  <c r="BL923" i="34"/>
  <c r="BK923" i="34"/>
  <c r="BJ923" i="34"/>
  <c r="BI923" i="34"/>
  <c r="BH923" i="34"/>
  <c r="BG923" i="34"/>
  <c r="BF923" i="34"/>
  <c r="BE923" i="34"/>
  <c r="BD923" i="34"/>
  <c r="BC923" i="34"/>
  <c r="AZ923" i="34"/>
  <c r="AY923" i="34"/>
  <c r="AX923" i="34"/>
  <c r="AW923" i="34"/>
  <c r="AV923" i="34"/>
  <c r="AU923" i="34"/>
  <c r="AT923" i="34"/>
  <c r="AS923" i="34"/>
  <c r="AR923" i="34"/>
  <c r="AQ923" i="34"/>
  <c r="AP923" i="34"/>
  <c r="AO923" i="34"/>
  <c r="AN923" i="34"/>
  <c r="AL923" i="34"/>
  <c r="AK923" i="34"/>
  <c r="AJ923" i="34"/>
  <c r="AI923" i="34"/>
  <c r="AH923" i="34"/>
  <c r="AG923" i="34"/>
  <c r="AF923" i="34"/>
  <c r="AE923" i="34"/>
  <c r="AD923" i="34"/>
  <c r="AC923" i="34"/>
  <c r="AB923" i="34"/>
  <c r="AA923" i="34"/>
  <c r="Z923" i="34"/>
  <c r="Y923" i="34"/>
  <c r="X923" i="34"/>
  <c r="W923" i="34"/>
  <c r="V923" i="34"/>
  <c r="U923" i="34"/>
  <c r="T923" i="34"/>
  <c r="S923" i="34"/>
  <c r="R923" i="34"/>
  <c r="Q923" i="34"/>
  <c r="P923" i="34"/>
  <c r="O923" i="34"/>
  <c r="N923" i="34"/>
  <c r="M923" i="34"/>
  <c r="L923" i="34"/>
  <c r="K923" i="34"/>
  <c r="J923" i="34"/>
  <c r="I923" i="34"/>
  <c r="BM922" i="34"/>
  <c r="BL922" i="34"/>
  <c r="BK922" i="34"/>
  <c r="BJ922" i="34"/>
  <c r="BI922" i="34"/>
  <c r="BH922" i="34"/>
  <c r="BG922" i="34"/>
  <c r="BF922" i="34"/>
  <c r="BE922" i="34"/>
  <c r="Z922" i="34"/>
  <c r="Y922" i="34"/>
  <c r="X922" i="34"/>
  <c r="V922" i="34"/>
  <c r="U922" i="34"/>
  <c r="T922" i="34"/>
  <c r="S922" i="34"/>
  <c r="R922" i="34"/>
  <c r="Q922" i="34"/>
  <c r="P922" i="34"/>
  <c r="O922" i="34"/>
  <c r="N922" i="34"/>
  <c r="M922" i="34"/>
  <c r="L922" i="34"/>
  <c r="K922" i="34"/>
  <c r="J922" i="34"/>
  <c r="I922" i="34"/>
  <c r="BY921" i="34"/>
  <c r="BX921" i="34"/>
  <c r="BW921" i="34"/>
  <c r="BV921" i="34"/>
  <c r="BU921" i="34"/>
  <c r="BT921" i="34"/>
  <c r="BS921" i="34"/>
  <c r="BR921" i="34"/>
  <c r="BQ921" i="34"/>
  <c r="BP921" i="34"/>
  <c r="BO921" i="34"/>
  <c r="BN921" i="34"/>
  <c r="BM921" i="34"/>
  <c r="BL921" i="34"/>
  <c r="BK921" i="34"/>
  <c r="BJ921" i="34"/>
  <c r="BI921" i="34"/>
  <c r="BH921" i="34"/>
  <c r="BG921" i="34"/>
  <c r="BF921" i="34"/>
  <c r="BE921" i="34"/>
  <c r="Z921" i="34"/>
  <c r="Y921" i="34"/>
  <c r="X921" i="34"/>
  <c r="V921" i="34"/>
  <c r="U921" i="34"/>
  <c r="T921" i="34"/>
  <c r="S921" i="34"/>
  <c r="R921" i="34"/>
  <c r="Q921" i="34"/>
  <c r="P921" i="34"/>
  <c r="O921" i="34"/>
  <c r="N921" i="34"/>
  <c r="M921" i="34"/>
  <c r="L921" i="34"/>
  <c r="K921" i="34"/>
  <c r="J921" i="34"/>
  <c r="I921" i="34"/>
  <c r="BM920" i="34"/>
  <c r="BL920" i="34"/>
  <c r="BK920" i="34"/>
  <c r="BJ920" i="34"/>
  <c r="BI920" i="34"/>
  <c r="BH920" i="34"/>
  <c r="BG920" i="34"/>
  <c r="BF920" i="34"/>
  <c r="BE920" i="34"/>
  <c r="Z920" i="34"/>
  <c r="Y920" i="34"/>
  <c r="X920" i="34"/>
  <c r="V920" i="34"/>
  <c r="U920" i="34"/>
  <c r="T920" i="34"/>
  <c r="S920" i="34"/>
  <c r="R920" i="34"/>
  <c r="Q920" i="34"/>
  <c r="P920" i="34"/>
  <c r="O920" i="34"/>
  <c r="N920" i="34"/>
  <c r="M920" i="34"/>
  <c r="L920" i="34"/>
  <c r="K920" i="34"/>
  <c r="J920" i="34"/>
  <c r="I920" i="34"/>
  <c r="BM919" i="34"/>
  <c r="BL919" i="34"/>
  <c r="BK919" i="34"/>
  <c r="BJ919" i="34"/>
  <c r="BI919" i="34"/>
  <c r="BH919" i="34"/>
  <c r="BG919" i="34"/>
  <c r="BF919" i="34"/>
  <c r="BE919" i="34"/>
  <c r="Z919" i="34"/>
  <c r="Y919" i="34"/>
  <c r="X919" i="34"/>
  <c r="V919" i="34"/>
  <c r="U919" i="34"/>
  <c r="T919" i="34"/>
  <c r="S919" i="34"/>
  <c r="R919" i="34"/>
  <c r="Q919" i="34"/>
  <c r="P919" i="34"/>
  <c r="O919" i="34"/>
  <c r="N919" i="34"/>
  <c r="M919" i="34"/>
  <c r="L919" i="34"/>
  <c r="K919" i="34"/>
  <c r="J919" i="34"/>
  <c r="I919" i="34"/>
  <c r="BL918" i="34"/>
  <c r="BK918" i="34"/>
  <c r="BJ918" i="34"/>
  <c r="BI918" i="34"/>
  <c r="BH918" i="34"/>
  <c r="BG918" i="34"/>
  <c r="BF918" i="34"/>
  <c r="BE918" i="34"/>
  <c r="Z918" i="34"/>
  <c r="Y918" i="34"/>
  <c r="X918" i="34"/>
  <c r="V918" i="34"/>
  <c r="U918" i="34"/>
  <c r="T918" i="34"/>
  <c r="S918" i="34"/>
  <c r="R918" i="34"/>
  <c r="Q918" i="34"/>
  <c r="P918" i="34"/>
  <c r="O918" i="34"/>
  <c r="N918" i="34"/>
  <c r="M918" i="34"/>
  <c r="L918" i="34"/>
  <c r="K918" i="34"/>
  <c r="J918" i="34"/>
  <c r="I918" i="34"/>
  <c r="BY917" i="34"/>
  <c r="BX917" i="34"/>
  <c r="BW917" i="34"/>
  <c r="BV917" i="34"/>
  <c r="BU917" i="34"/>
  <c r="BT917" i="34"/>
  <c r="BS917" i="34"/>
  <c r="BR917" i="34"/>
  <c r="BQ917" i="34"/>
  <c r="BP917" i="34"/>
  <c r="BO917" i="34"/>
  <c r="BN917" i="34"/>
  <c r="BM917" i="34"/>
  <c r="BL917" i="34"/>
  <c r="BK917" i="34"/>
  <c r="BJ917" i="34"/>
  <c r="BI917" i="34"/>
  <c r="BH917" i="34"/>
  <c r="BG917" i="34"/>
  <c r="BF917" i="34"/>
  <c r="BE917" i="34"/>
  <c r="BD917" i="34"/>
  <c r="BC917" i="34"/>
  <c r="AZ917" i="34"/>
  <c r="AY917" i="34"/>
  <c r="AX917" i="34"/>
  <c r="AW917" i="34"/>
  <c r="AV917" i="34"/>
  <c r="AU917" i="34"/>
  <c r="AT917" i="34"/>
  <c r="AS917" i="34"/>
  <c r="AR917" i="34"/>
  <c r="AQ917" i="34"/>
  <c r="AP917" i="34"/>
  <c r="AO917" i="34"/>
  <c r="AN917" i="34"/>
  <c r="AM917" i="34"/>
  <c r="AL917" i="34"/>
  <c r="AK917" i="34"/>
  <c r="AJ917" i="34"/>
  <c r="AI917" i="34"/>
  <c r="AH917" i="34"/>
  <c r="AG917" i="34"/>
  <c r="AF917" i="34"/>
  <c r="AE917" i="34"/>
  <c r="AD917" i="34"/>
  <c r="AC917" i="34"/>
  <c r="AB917" i="34"/>
  <c r="AA917" i="34"/>
  <c r="Z917" i="34"/>
  <c r="Y917" i="34"/>
  <c r="X917" i="34"/>
  <c r="W917" i="34"/>
  <c r="V917" i="34"/>
  <c r="U917" i="34"/>
  <c r="T917" i="34"/>
  <c r="S917" i="34"/>
  <c r="R917" i="34"/>
  <c r="Q917" i="34"/>
  <c r="P917" i="34"/>
  <c r="O917" i="34"/>
  <c r="N917" i="34"/>
  <c r="M917" i="34"/>
  <c r="L917" i="34"/>
  <c r="K917" i="34"/>
  <c r="J917" i="34"/>
  <c r="I917" i="34"/>
  <c r="BY916" i="34"/>
  <c r="BX916" i="34"/>
  <c r="BW916" i="34"/>
  <c r="BV916" i="34"/>
  <c r="BU916" i="34"/>
  <c r="BT916" i="34"/>
  <c r="BS916" i="34"/>
  <c r="BR916" i="34"/>
  <c r="BQ916" i="34"/>
  <c r="BP916" i="34"/>
  <c r="BO916" i="34"/>
  <c r="BN916" i="34"/>
  <c r="BM916" i="34"/>
  <c r="BL916" i="34"/>
  <c r="BK916" i="34"/>
  <c r="BJ916" i="34"/>
  <c r="BI916" i="34"/>
  <c r="BH916" i="34"/>
  <c r="BG916" i="34"/>
  <c r="BF916" i="34"/>
  <c r="BE916" i="34"/>
  <c r="BD916" i="34"/>
  <c r="BC916" i="34"/>
  <c r="AZ916" i="34"/>
  <c r="AY916" i="34"/>
  <c r="AX916" i="34"/>
  <c r="AW916" i="34"/>
  <c r="AV916" i="34"/>
  <c r="AU916" i="34"/>
  <c r="AT916" i="34"/>
  <c r="AS916" i="34"/>
  <c r="AR916" i="34"/>
  <c r="AQ916" i="34"/>
  <c r="AP916" i="34"/>
  <c r="AO916" i="34"/>
  <c r="AN916" i="34"/>
  <c r="AM916" i="34"/>
  <c r="AL916" i="34"/>
  <c r="AK916" i="34"/>
  <c r="AJ916" i="34"/>
  <c r="AI916" i="34"/>
  <c r="AH916" i="34"/>
  <c r="AG916" i="34"/>
  <c r="AF916" i="34"/>
  <c r="AE916" i="34"/>
  <c r="AD916" i="34"/>
  <c r="AC916" i="34"/>
  <c r="AB916" i="34"/>
  <c r="AA916" i="34"/>
  <c r="Z916" i="34"/>
  <c r="Y916" i="34"/>
  <c r="X916" i="34"/>
  <c r="W916" i="34"/>
  <c r="V916" i="34"/>
  <c r="U916" i="34"/>
  <c r="T916" i="34"/>
  <c r="S916" i="34"/>
  <c r="R916" i="34"/>
  <c r="Q916" i="34"/>
  <c r="P916" i="34"/>
  <c r="O916" i="34"/>
  <c r="N916" i="34"/>
  <c r="M916" i="34"/>
  <c r="L916" i="34"/>
  <c r="K916" i="34"/>
  <c r="J916" i="34"/>
  <c r="I916" i="34"/>
  <c r="BY915" i="34"/>
  <c r="BX915" i="34"/>
  <c r="BW915" i="34"/>
  <c r="BV915" i="34"/>
  <c r="BU915" i="34"/>
  <c r="BT915" i="34"/>
  <c r="BS915" i="34"/>
  <c r="BR915" i="34"/>
  <c r="BQ915" i="34"/>
  <c r="BP915" i="34"/>
  <c r="BO915" i="34"/>
  <c r="BN915" i="34"/>
  <c r="BM915" i="34"/>
  <c r="BL915" i="34"/>
  <c r="BK915" i="34"/>
  <c r="BJ915" i="34"/>
  <c r="BI915" i="34"/>
  <c r="BH915" i="34"/>
  <c r="BG915" i="34"/>
  <c r="BF915" i="34"/>
  <c r="BE915" i="34"/>
  <c r="BD915" i="34"/>
  <c r="BC915" i="34"/>
  <c r="AZ915" i="34"/>
  <c r="AY915" i="34"/>
  <c r="AX915" i="34"/>
  <c r="AW915" i="34"/>
  <c r="AV915" i="34"/>
  <c r="AU915" i="34"/>
  <c r="AT915" i="34"/>
  <c r="AS915" i="34"/>
  <c r="AR915" i="34"/>
  <c r="AQ915" i="34"/>
  <c r="AP915" i="34"/>
  <c r="AO915" i="34"/>
  <c r="AN915" i="34"/>
  <c r="AM915" i="34"/>
  <c r="AL915" i="34"/>
  <c r="AK915" i="34"/>
  <c r="AJ915" i="34"/>
  <c r="AI915" i="34"/>
  <c r="AH915" i="34"/>
  <c r="AG915" i="34"/>
  <c r="AF915" i="34"/>
  <c r="AE915" i="34"/>
  <c r="AD915" i="34"/>
  <c r="AC915" i="34"/>
  <c r="AB915" i="34"/>
  <c r="AA915" i="34"/>
  <c r="Z915" i="34"/>
  <c r="Y915" i="34"/>
  <c r="X915" i="34"/>
  <c r="W915" i="34"/>
  <c r="V915" i="34"/>
  <c r="U915" i="34"/>
  <c r="T915" i="34"/>
  <c r="S915" i="34"/>
  <c r="R915" i="34"/>
  <c r="Q915" i="34"/>
  <c r="P915" i="34"/>
  <c r="O915" i="34"/>
  <c r="N915" i="34"/>
  <c r="M915" i="34"/>
  <c r="L915" i="34"/>
  <c r="K915" i="34"/>
  <c r="J915" i="34"/>
  <c r="I915" i="34"/>
  <c r="BY914" i="34"/>
  <c r="BX914" i="34"/>
  <c r="BW914" i="34"/>
  <c r="BV914" i="34"/>
  <c r="BU914" i="34"/>
  <c r="BT914" i="34"/>
  <c r="BS914" i="34"/>
  <c r="BR914" i="34"/>
  <c r="BQ914" i="34"/>
  <c r="BP914" i="34"/>
  <c r="BO914" i="34"/>
  <c r="BN914" i="34"/>
  <c r="BM914" i="34"/>
  <c r="BL914" i="34"/>
  <c r="BK914" i="34"/>
  <c r="BJ914" i="34"/>
  <c r="BI914" i="34"/>
  <c r="BH914" i="34"/>
  <c r="BG914" i="34"/>
  <c r="BF914" i="34"/>
  <c r="BE914" i="34"/>
  <c r="BD914" i="34"/>
  <c r="BC914" i="34"/>
  <c r="AZ914" i="34"/>
  <c r="AY914" i="34"/>
  <c r="AX914" i="34"/>
  <c r="AW914" i="34"/>
  <c r="AV914" i="34"/>
  <c r="AU914" i="34"/>
  <c r="AT914" i="34"/>
  <c r="AS914" i="34"/>
  <c r="AR914" i="34"/>
  <c r="AQ914" i="34"/>
  <c r="AP914" i="34"/>
  <c r="AO914" i="34"/>
  <c r="AN914" i="34"/>
  <c r="AM914" i="34"/>
  <c r="AL914" i="34"/>
  <c r="AK914" i="34"/>
  <c r="AJ914" i="34"/>
  <c r="AI914" i="34"/>
  <c r="AH914" i="34"/>
  <c r="AG914" i="34"/>
  <c r="AF914" i="34"/>
  <c r="AE914" i="34"/>
  <c r="AD914" i="34"/>
  <c r="AC914" i="34"/>
  <c r="AB914" i="34"/>
  <c r="AA914" i="34"/>
  <c r="Z914" i="34"/>
  <c r="Y914" i="34"/>
  <c r="X914" i="34"/>
  <c r="W914" i="34"/>
  <c r="V914" i="34"/>
  <c r="U914" i="34"/>
  <c r="T914" i="34"/>
  <c r="S914" i="34"/>
  <c r="R914" i="34"/>
  <c r="Q914" i="34"/>
  <c r="P914" i="34"/>
  <c r="O914" i="34"/>
  <c r="N914" i="34"/>
  <c r="M914" i="34"/>
  <c r="L914" i="34"/>
  <c r="K914" i="34"/>
  <c r="J914" i="34"/>
  <c r="I914" i="34"/>
  <c r="BY913" i="34"/>
  <c r="BX913" i="34"/>
  <c r="BW913" i="34"/>
  <c r="BV913" i="34"/>
  <c r="BU913" i="34"/>
  <c r="BT913" i="34"/>
  <c r="BS913" i="34"/>
  <c r="BR913" i="34"/>
  <c r="BQ913" i="34"/>
  <c r="BP913" i="34"/>
  <c r="BO913" i="34"/>
  <c r="BN913" i="34"/>
  <c r="BM913" i="34"/>
  <c r="BL913" i="34"/>
  <c r="BK913" i="34"/>
  <c r="BJ913" i="34"/>
  <c r="BI913" i="34"/>
  <c r="BH913" i="34"/>
  <c r="BG913" i="34"/>
  <c r="BF913" i="34"/>
  <c r="BE913" i="34"/>
  <c r="BD913" i="34"/>
  <c r="BC913" i="34"/>
  <c r="AZ913" i="34"/>
  <c r="AY913" i="34"/>
  <c r="AX913" i="34"/>
  <c r="AW913" i="34"/>
  <c r="AV913" i="34"/>
  <c r="AU913" i="34"/>
  <c r="AT913" i="34"/>
  <c r="AS913" i="34"/>
  <c r="AR913" i="34"/>
  <c r="AQ913" i="34"/>
  <c r="AP913" i="34"/>
  <c r="AO913" i="34"/>
  <c r="AN913" i="34"/>
  <c r="AM913" i="34"/>
  <c r="AL913" i="34"/>
  <c r="AK913" i="34"/>
  <c r="AJ913" i="34"/>
  <c r="AI913" i="34"/>
  <c r="AH913" i="34"/>
  <c r="AG913" i="34"/>
  <c r="AF913" i="34"/>
  <c r="AE913" i="34"/>
  <c r="AD913" i="34"/>
  <c r="AC913" i="34"/>
  <c r="AB913" i="34"/>
  <c r="AA913" i="34"/>
  <c r="Z913" i="34"/>
  <c r="Y913" i="34"/>
  <c r="X913" i="34"/>
  <c r="W913" i="34"/>
  <c r="V913" i="34"/>
  <c r="U913" i="34"/>
  <c r="T913" i="34"/>
  <c r="S913" i="34"/>
  <c r="R913" i="34"/>
  <c r="Q913" i="34"/>
  <c r="P913" i="34"/>
  <c r="O913" i="34"/>
  <c r="N913" i="34"/>
  <c r="M913" i="34"/>
  <c r="L913" i="34"/>
  <c r="K913" i="34"/>
  <c r="J913" i="34"/>
  <c r="I913" i="34"/>
  <c r="BY912" i="34"/>
  <c r="BX912" i="34"/>
  <c r="BW912" i="34"/>
  <c r="BV912" i="34"/>
  <c r="BU912" i="34"/>
  <c r="BT912" i="34"/>
  <c r="BS912" i="34"/>
  <c r="BR912" i="34"/>
  <c r="BQ912" i="34"/>
  <c r="BP912" i="34"/>
  <c r="BO912" i="34"/>
  <c r="BN912" i="34"/>
  <c r="BK912" i="34"/>
  <c r="BJ912" i="34"/>
  <c r="BI912" i="34"/>
  <c r="BH912" i="34"/>
  <c r="BG912" i="34"/>
  <c r="BF912" i="34"/>
  <c r="BE912" i="34"/>
  <c r="BD912" i="34"/>
  <c r="BC912" i="34"/>
  <c r="AZ912" i="34"/>
  <c r="AY912" i="34"/>
  <c r="AX912" i="34"/>
  <c r="AW912" i="34"/>
  <c r="AV912" i="34"/>
  <c r="AU912" i="34"/>
  <c r="AT912" i="34"/>
  <c r="AS912" i="34"/>
  <c r="AR912" i="34"/>
  <c r="AQ912" i="34"/>
  <c r="AP912" i="34"/>
  <c r="AO912" i="34"/>
  <c r="AN912" i="34"/>
  <c r="AM912" i="34"/>
  <c r="AL912" i="34"/>
  <c r="AK912" i="34"/>
  <c r="AJ912" i="34"/>
  <c r="AI912" i="34"/>
  <c r="AH912" i="34"/>
  <c r="AG912" i="34"/>
  <c r="AF912" i="34"/>
  <c r="AE912" i="34"/>
  <c r="AD912" i="34"/>
  <c r="AC912" i="34"/>
  <c r="AB912" i="34"/>
  <c r="AA912" i="34"/>
  <c r="Z912" i="34"/>
  <c r="Y912" i="34"/>
  <c r="X912" i="34"/>
  <c r="W912" i="34"/>
  <c r="V912" i="34"/>
  <c r="U912" i="34"/>
  <c r="T912" i="34"/>
  <c r="S912" i="34"/>
  <c r="R912" i="34"/>
  <c r="Q912" i="34"/>
  <c r="P912" i="34"/>
  <c r="O912" i="34"/>
  <c r="N912" i="34"/>
  <c r="M912" i="34"/>
  <c r="L912" i="34"/>
  <c r="K912" i="34"/>
  <c r="J912" i="34"/>
  <c r="I912" i="34"/>
  <c r="BY911" i="34"/>
  <c r="BX911" i="34"/>
  <c r="BW911" i="34"/>
  <c r="BV911" i="34"/>
  <c r="BU911" i="34"/>
  <c r="BT911" i="34"/>
  <c r="BS911" i="34"/>
  <c r="BR911" i="34"/>
  <c r="BQ911" i="34"/>
  <c r="BP911" i="34"/>
  <c r="BO911" i="34"/>
  <c r="BN911" i="34"/>
  <c r="BM911" i="34"/>
  <c r="BL911" i="34"/>
  <c r="BK911" i="34"/>
  <c r="BJ911" i="34"/>
  <c r="BI911" i="34"/>
  <c r="BH911" i="34"/>
  <c r="BG911" i="34"/>
  <c r="BF911" i="34"/>
  <c r="BE911" i="34"/>
  <c r="BD911" i="34"/>
  <c r="BC911" i="34"/>
  <c r="AZ911" i="34"/>
  <c r="AY911" i="34"/>
  <c r="AX911" i="34"/>
  <c r="AW911" i="34"/>
  <c r="AV911" i="34"/>
  <c r="AU911" i="34"/>
  <c r="AT911" i="34"/>
  <c r="AS911" i="34"/>
  <c r="AR911" i="34"/>
  <c r="AQ911" i="34"/>
  <c r="AP911" i="34"/>
  <c r="AO911" i="34"/>
  <c r="AN911" i="34"/>
  <c r="AM911" i="34"/>
  <c r="AL911" i="34"/>
  <c r="AK911" i="34"/>
  <c r="AJ911" i="34"/>
  <c r="AI911" i="34"/>
  <c r="AH911" i="34"/>
  <c r="AG911" i="34"/>
  <c r="AF911" i="34"/>
  <c r="AE911" i="34"/>
  <c r="AD911" i="34"/>
  <c r="AC911" i="34"/>
  <c r="AB911" i="34"/>
  <c r="AA911" i="34"/>
  <c r="Z911" i="34"/>
  <c r="Y911" i="34"/>
  <c r="X911" i="34"/>
  <c r="W911" i="34"/>
  <c r="V911" i="34"/>
  <c r="U911" i="34"/>
  <c r="T911" i="34"/>
  <c r="S911" i="34"/>
  <c r="R911" i="34"/>
  <c r="Q911" i="34"/>
  <c r="P911" i="34"/>
  <c r="O911" i="34"/>
  <c r="N911" i="34"/>
  <c r="M911" i="34"/>
  <c r="L911" i="34"/>
  <c r="K911" i="34"/>
  <c r="J911" i="34"/>
  <c r="I911" i="34"/>
  <c r="BY910" i="34"/>
  <c r="BX910" i="34"/>
  <c r="BW910" i="34"/>
  <c r="BV910" i="34"/>
  <c r="BU910" i="34"/>
  <c r="BT910" i="34"/>
  <c r="BS910" i="34"/>
  <c r="BR910" i="34"/>
  <c r="BQ910" i="34"/>
  <c r="BP910" i="34"/>
  <c r="BO910" i="34"/>
  <c r="BN910" i="34"/>
  <c r="BK910" i="34"/>
  <c r="BJ910" i="34"/>
  <c r="BI910" i="34"/>
  <c r="BH910" i="34"/>
  <c r="BG910" i="34"/>
  <c r="BF910" i="34"/>
  <c r="BE910" i="34"/>
  <c r="BD910" i="34"/>
  <c r="BC910" i="34"/>
  <c r="AZ910" i="34"/>
  <c r="AY910" i="34"/>
  <c r="AX910" i="34"/>
  <c r="AW910" i="34"/>
  <c r="AV910" i="34"/>
  <c r="AU910" i="34"/>
  <c r="AT910" i="34"/>
  <c r="AS910" i="34"/>
  <c r="AR910" i="34"/>
  <c r="AQ910" i="34"/>
  <c r="AP910" i="34"/>
  <c r="AO910" i="34"/>
  <c r="AN910" i="34"/>
  <c r="AM910" i="34"/>
  <c r="AL910" i="34"/>
  <c r="AK910" i="34"/>
  <c r="AJ910" i="34"/>
  <c r="AI910" i="34"/>
  <c r="AH910" i="34"/>
  <c r="AG910" i="34"/>
  <c r="AF910" i="34"/>
  <c r="AE910" i="34"/>
  <c r="AD910" i="34"/>
  <c r="AC910" i="34"/>
  <c r="AB910" i="34"/>
  <c r="AA910" i="34"/>
  <c r="Z910" i="34"/>
  <c r="Y910" i="34"/>
  <c r="X910" i="34"/>
  <c r="W910" i="34"/>
  <c r="V910" i="34"/>
  <c r="U910" i="34"/>
  <c r="T910" i="34"/>
  <c r="S910" i="34"/>
  <c r="R910" i="34"/>
  <c r="Q910" i="34"/>
  <c r="P910" i="34"/>
  <c r="O910" i="34"/>
  <c r="N910" i="34"/>
  <c r="M910" i="34"/>
  <c r="L910" i="34"/>
  <c r="K910" i="34"/>
  <c r="J910" i="34"/>
  <c r="I910" i="34"/>
  <c r="BY909" i="34"/>
  <c r="BX909" i="34"/>
  <c r="BW909" i="34"/>
  <c r="BV909" i="34"/>
  <c r="BU909" i="34"/>
  <c r="BT909" i="34"/>
  <c r="BS909" i="34"/>
  <c r="BR909" i="34"/>
  <c r="BQ909" i="34"/>
  <c r="BP909" i="34"/>
  <c r="BO909" i="34"/>
  <c r="BN909" i="34"/>
  <c r="BM909" i="34"/>
  <c r="BL909" i="34"/>
  <c r="BK909" i="34"/>
  <c r="BJ909" i="34"/>
  <c r="BI909" i="34"/>
  <c r="BH909" i="34"/>
  <c r="BG909" i="34"/>
  <c r="BF909" i="34"/>
  <c r="BE909" i="34"/>
  <c r="BD909" i="34"/>
  <c r="BC909" i="34"/>
  <c r="AZ909" i="34"/>
  <c r="AY909" i="34"/>
  <c r="AX909" i="34"/>
  <c r="AW909" i="34"/>
  <c r="AV909" i="34"/>
  <c r="AU909" i="34"/>
  <c r="AT909" i="34"/>
  <c r="AS909" i="34"/>
  <c r="AR909" i="34"/>
  <c r="AQ909" i="34"/>
  <c r="AP909" i="34"/>
  <c r="AO909" i="34"/>
  <c r="AN909" i="34"/>
  <c r="AM909" i="34"/>
  <c r="AL909" i="34"/>
  <c r="AK909" i="34"/>
  <c r="AJ909" i="34"/>
  <c r="AI909" i="34"/>
  <c r="AH909" i="34"/>
  <c r="AG909" i="34"/>
  <c r="AF909" i="34"/>
  <c r="AE909" i="34"/>
  <c r="AD909" i="34"/>
  <c r="AC909" i="34"/>
  <c r="AB909" i="34"/>
  <c r="AA909" i="34"/>
  <c r="Z909" i="34"/>
  <c r="Y909" i="34"/>
  <c r="X909" i="34"/>
  <c r="W909" i="34"/>
  <c r="V909" i="34"/>
  <c r="U909" i="34"/>
  <c r="T909" i="34"/>
  <c r="S909" i="34"/>
  <c r="R909" i="34"/>
  <c r="Q909" i="34"/>
  <c r="P909" i="34"/>
  <c r="O909" i="34"/>
  <c r="N909" i="34"/>
  <c r="M909" i="34"/>
  <c r="L909" i="34"/>
  <c r="K909" i="34"/>
  <c r="J909" i="34"/>
  <c r="I909" i="34"/>
  <c r="BY908" i="34"/>
  <c r="BX908" i="34"/>
  <c r="BW908" i="34"/>
  <c r="BV908" i="34"/>
  <c r="BU908" i="34"/>
  <c r="BT908" i="34"/>
  <c r="BS908" i="34"/>
  <c r="BR908" i="34"/>
  <c r="BQ908" i="34"/>
  <c r="BP908" i="34"/>
  <c r="BO908" i="34"/>
  <c r="BN908" i="34"/>
  <c r="BK908" i="34"/>
  <c r="BJ908" i="34"/>
  <c r="BI908" i="34"/>
  <c r="BH908" i="34"/>
  <c r="BG908" i="34"/>
  <c r="BF908" i="34"/>
  <c r="BE908" i="34"/>
  <c r="BD908" i="34"/>
  <c r="BC908" i="34"/>
  <c r="AZ908" i="34"/>
  <c r="AY908" i="34"/>
  <c r="AX908" i="34"/>
  <c r="AW908" i="34"/>
  <c r="AV908" i="34"/>
  <c r="AU908" i="34"/>
  <c r="AT908" i="34"/>
  <c r="AS908" i="34"/>
  <c r="AR908" i="34"/>
  <c r="AQ908" i="34"/>
  <c r="AP908" i="34"/>
  <c r="AO908" i="34"/>
  <c r="AN908" i="34"/>
  <c r="AM908" i="34"/>
  <c r="AL908" i="34"/>
  <c r="AK908" i="34"/>
  <c r="AJ908" i="34"/>
  <c r="AI908" i="34"/>
  <c r="AH908" i="34"/>
  <c r="AG908" i="34"/>
  <c r="AF908" i="34"/>
  <c r="AE908" i="34"/>
  <c r="AD908" i="34"/>
  <c r="AC908" i="34"/>
  <c r="AB908" i="34"/>
  <c r="AA908" i="34"/>
  <c r="Z908" i="34"/>
  <c r="Y908" i="34"/>
  <c r="X908" i="34"/>
  <c r="W908" i="34"/>
  <c r="V908" i="34"/>
  <c r="U908" i="34"/>
  <c r="T908" i="34"/>
  <c r="S908" i="34"/>
  <c r="R908" i="34"/>
  <c r="Q908" i="34"/>
  <c r="P908" i="34"/>
  <c r="O908" i="34"/>
  <c r="N908" i="34"/>
  <c r="M908" i="34"/>
  <c r="L908" i="34"/>
  <c r="K908" i="34"/>
  <c r="J908" i="34"/>
  <c r="I908" i="34"/>
  <c r="BY907" i="34"/>
  <c r="BX907" i="34"/>
  <c r="BW907" i="34"/>
  <c r="BV907" i="34"/>
  <c r="BU907" i="34"/>
  <c r="BT907" i="34"/>
  <c r="BS907" i="34"/>
  <c r="BR907" i="34"/>
  <c r="BQ907" i="34"/>
  <c r="BP907" i="34"/>
  <c r="BO907" i="34"/>
  <c r="BN907" i="34"/>
  <c r="BM907" i="34"/>
  <c r="BL907" i="34"/>
  <c r="BK907" i="34"/>
  <c r="BJ907" i="34"/>
  <c r="BI907" i="34"/>
  <c r="BH907" i="34"/>
  <c r="BG907" i="34"/>
  <c r="BF907" i="34"/>
  <c r="BE907" i="34"/>
  <c r="X907" i="34"/>
  <c r="W907" i="34"/>
  <c r="V907" i="34"/>
  <c r="U907" i="34"/>
  <c r="T907" i="34"/>
  <c r="S907" i="34"/>
  <c r="R907" i="34"/>
  <c r="Q907" i="34"/>
  <c r="P907" i="34"/>
  <c r="O907" i="34"/>
  <c r="N907" i="34"/>
  <c r="M907" i="34"/>
  <c r="L907" i="34"/>
  <c r="K907" i="34"/>
  <c r="J907" i="34"/>
  <c r="I907" i="34"/>
  <c r="BY906" i="34"/>
  <c r="BX906" i="34"/>
  <c r="BW906" i="34"/>
  <c r="BV906" i="34"/>
  <c r="BU906" i="34"/>
  <c r="BT906" i="34"/>
  <c r="BS906" i="34"/>
  <c r="BR906" i="34"/>
  <c r="BQ906" i="34"/>
  <c r="BP906" i="34"/>
  <c r="BO906" i="34"/>
  <c r="BN906" i="34"/>
  <c r="BK906" i="34"/>
  <c r="BJ906" i="34"/>
  <c r="BI906" i="34"/>
  <c r="BH906" i="34"/>
  <c r="BG906" i="34"/>
  <c r="BF906" i="34"/>
  <c r="BE906" i="34"/>
  <c r="BD906" i="34"/>
  <c r="BC906" i="34"/>
  <c r="AZ906" i="34"/>
  <c r="AY906" i="34"/>
  <c r="AX906" i="34"/>
  <c r="AW906" i="34"/>
  <c r="AV906" i="34"/>
  <c r="AU906" i="34"/>
  <c r="AT906" i="34"/>
  <c r="AS906" i="34"/>
  <c r="AR906" i="34"/>
  <c r="AQ906" i="34"/>
  <c r="AP906" i="34"/>
  <c r="AO906" i="34"/>
  <c r="AN906" i="34"/>
  <c r="AM906" i="34"/>
  <c r="AL906" i="34"/>
  <c r="AK906" i="34"/>
  <c r="AJ906" i="34"/>
  <c r="AI906" i="34"/>
  <c r="AH906" i="34"/>
  <c r="AG906" i="34"/>
  <c r="AB906" i="34"/>
  <c r="AA906" i="34"/>
  <c r="Z906" i="34"/>
  <c r="Y906" i="34"/>
  <c r="X906" i="34"/>
  <c r="W906" i="34"/>
  <c r="V906" i="34"/>
  <c r="U906" i="34"/>
  <c r="T906" i="34"/>
  <c r="S906" i="34"/>
  <c r="R906" i="34"/>
  <c r="Q906" i="34"/>
  <c r="P906" i="34"/>
  <c r="O906" i="34"/>
  <c r="N906" i="34"/>
  <c r="M906" i="34"/>
  <c r="L906" i="34"/>
  <c r="K906" i="34"/>
  <c r="J906" i="34"/>
  <c r="I906" i="34"/>
  <c r="BY905" i="34"/>
  <c r="BX905" i="34"/>
  <c r="BW905" i="34"/>
  <c r="BV905" i="34"/>
  <c r="BU905" i="34"/>
  <c r="BT905" i="34"/>
  <c r="BS905" i="34"/>
  <c r="BR905" i="34"/>
  <c r="BQ905" i="34"/>
  <c r="BP905" i="34"/>
  <c r="BO905" i="34"/>
  <c r="BN905" i="34"/>
  <c r="BM905" i="34"/>
  <c r="BL905" i="34"/>
  <c r="BK905" i="34"/>
  <c r="BJ905" i="34"/>
  <c r="BI905" i="34"/>
  <c r="BH905" i="34"/>
  <c r="BG905" i="34"/>
  <c r="BF905" i="34"/>
  <c r="BE905" i="34"/>
  <c r="BD905" i="34"/>
  <c r="BC905" i="34"/>
  <c r="AZ905" i="34"/>
  <c r="AY905" i="34"/>
  <c r="AX905" i="34"/>
  <c r="AW905" i="34"/>
  <c r="AV905" i="34"/>
  <c r="AU905" i="34"/>
  <c r="AT905" i="34"/>
  <c r="AS905" i="34"/>
  <c r="AR905" i="34"/>
  <c r="AQ905" i="34"/>
  <c r="AP905" i="34"/>
  <c r="AO905" i="34"/>
  <c r="AN905" i="34"/>
  <c r="AM905" i="34"/>
  <c r="AL905" i="34"/>
  <c r="AK905" i="34"/>
  <c r="AJ905" i="34"/>
  <c r="AI905" i="34"/>
  <c r="AH905" i="34"/>
  <c r="AG905" i="34"/>
  <c r="AF905" i="34"/>
  <c r="AE905" i="34"/>
  <c r="AD905" i="34"/>
  <c r="AC905" i="34"/>
  <c r="AB905" i="34"/>
  <c r="AA905" i="34"/>
  <c r="Z905" i="34"/>
  <c r="Y905" i="34"/>
  <c r="X905" i="34"/>
  <c r="W905" i="34"/>
  <c r="V905" i="34"/>
  <c r="U905" i="34"/>
  <c r="T905" i="34"/>
  <c r="S905" i="34"/>
  <c r="R905" i="34"/>
  <c r="Q905" i="34"/>
  <c r="P905" i="34"/>
  <c r="O905" i="34"/>
  <c r="N905" i="34"/>
  <c r="M905" i="34"/>
  <c r="L905" i="34"/>
  <c r="K905" i="34"/>
  <c r="J905" i="34"/>
  <c r="I905" i="34"/>
  <c r="BL904" i="34"/>
  <c r="BK904" i="34"/>
  <c r="BJ904" i="34"/>
  <c r="BI904" i="34"/>
  <c r="BH904" i="34"/>
  <c r="BG904" i="34"/>
  <c r="BF904" i="34"/>
  <c r="BE904" i="34"/>
  <c r="T904" i="34"/>
  <c r="S904" i="34"/>
  <c r="R904" i="34"/>
  <c r="Q904" i="34"/>
  <c r="P904" i="34"/>
  <c r="O904" i="34"/>
  <c r="N904" i="34"/>
  <c r="M904" i="34"/>
  <c r="L904" i="34"/>
  <c r="K904" i="34"/>
  <c r="J904" i="34"/>
  <c r="I904" i="34"/>
  <c r="BY903" i="34"/>
  <c r="BX903" i="34"/>
  <c r="BW903" i="34"/>
  <c r="BV903" i="34"/>
  <c r="BU903" i="34"/>
  <c r="BT903" i="34"/>
  <c r="BS903" i="34"/>
  <c r="BR903" i="34"/>
  <c r="BQ903" i="34"/>
  <c r="BP903" i="34"/>
  <c r="BO903" i="34"/>
  <c r="BN903" i="34"/>
  <c r="BM903" i="34"/>
  <c r="BL903" i="34"/>
  <c r="BK903" i="34"/>
  <c r="BJ903" i="34"/>
  <c r="BI903" i="34"/>
  <c r="BH903" i="34"/>
  <c r="BG903" i="34"/>
  <c r="BF903" i="34"/>
  <c r="BE903" i="34"/>
  <c r="BD903" i="34"/>
  <c r="BC903" i="34"/>
  <c r="AZ903" i="34"/>
  <c r="AY903" i="34"/>
  <c r="AX903" i="34"/>
  <c r="AW903" i="34"/>
  <c r="AV903" i="34"/>
  <c r="AU903" i="34"/>
  <c r="AT903" i="34"/>
  <c r="AS903" i="34"/>
  <c r="AR903" i="34"/>
  <c r="AQ903" i="34"/>
  <c r="AP903" i="34"/>
  <c r="AO903" i="34"/>
  <c r="AN903" i="34"/>
  <c r="AM903" i="34"/>
  <c r="AL903" i="34"/>
  <c r="AK903" i="34"/>
  <c r="AJ903" i="34"/>
  <c r="AI903" i="34"/>
  <c r="AH903" i="34"/>
  <c r="AG903" i="34"/>
  <c r="AF903" i="34"/>
  <c r="AE903" i="34"/>
  <c r="AD903" i="34"/>
  <c r="AC903" i="34"/>
  <c r="AB903" i="34"/>
  <c r="AA903" i="34"/>
  <c r="Z903" i="34"/>
  <c r="Y903" i="34"/>
  <c r="X903" i="34"/>
  <c r="W903" i="34"/>
  <c r="V903" i="34"/>
  <c r="U903" i="34"/>
  <c r="T903" i="34"/>
  <c r="S903" i="34"/>
  <c r="R903" i="34"/>
  <c r="Q903" i="34"/>
  <c r="P903" i="34"/>
  <c r="O903" i="34"/>
  <c r="N903" i="34"/>
  <c r="M903" i="34"/>
  <c r="L903" i="34"/>
  <c r="K903" i="34"/>
  <c r="J903" i="34"/>
  <c r="I903" i="34"/>
  <c r="BO902" i="34"/>
  <c r="BN902" i="34"/>
  <c r="BM902" i="34"/>
  <c r="BL902" i="34"/>
  <c r="BK902" i="34"/>
  <c r="BJ902" i="34"/>
  <c r="BI902" i="34"/>
  <c r="BH902" i="34"/>
  <c r="BG902" i="34"/>
  <c r="BF902" i="34"/>
  <c r="BE902" i="34"/>
  <c r="AB902" i="34"/>
  <c r="AA902" i="34"/>
  <c r="Z902" i="34"/>
  <c r="Y902" i="34"/>
  <c r="X902" i="34"/>
  <c r="W902" i="34"/>
  <c r="V902" i="34"/>
  <c r="U902" i="34"/>
  <c r="T902" i="34"/>
  <c r="S902" i="34"/>
  <c r="R902" i="34"/>
  <c r="Q902" i="34"/>
  <c r="P902" i="34"/>
  <c r="O902" i="34"/>
  <c r="N902" i="34"/>
  <c r="M902" i="34"/>
  <c r="L902" i="34"/>
  <c r="K902" i="34"/>
  <c r="J902" i="34"/>
  <c r="I902" i="34"/>
  <c r="BM901" i="34"/>
  <c r="BL901" i="34"/>
  <c r="BK901" i="34"/>
  <c r="BJ901" i="34"/>
  <c r="BI901" i="34"/>
  <c r="BH901" i="34"/>
  <c r="BG901" i="34"/>
  <c r="BF901" i="34"/>
  <c r="BE901" i="34"/>
  <c r="X901" i="34"/>
  <c r="W901" i="34"/>
  <c r="V901" i="34"/>
  <c r="U901" i="34"/>
  <c r="T901" i="34"/>
  <c r="S901" i="34"/>
  <c r="R901" i="34"/>
  <c r="Q901" i="34"/>
  <c r="P901" i="34"/>
  <c r="O901" i="34"/>
  <c r="N901" i="34"/>
  <c r="M901" i="34"/>
  <c r="L901" i="34"/>
  <c r="K901" i="34"/>
  <c r="J901" i="34"/>
  <c r="I901" i="34"/>
  <c r="BL900" i="34"/>
  <c r="BK900" i="34"/>
  <c r="BJ900" i="34"/>
  <c r="BI900" i="34"/>
  <c r="BH900" i="34"/>
  <c r="BG900" i="34"/>
  <c r="BF900" i="34"/>
  <c r="BE900" i="34"/>
  <c r="T900" i="34"/>
  <c r="S900" i="34"/>
  <c r="R900" i="34"/>
  <c r="Q900" i="34"/>
  <c r="P900" i="34"/>
  <c r="O900" i="34"/>
  <c r="N900" i="34"/>
  <c r="M900" i="34"/>
  <c r="L900" i="34"/>
  <c r="K900" i="34"/>
  <c r="J900" i="34"/>
  <c r="I900" i="34"/>
  <c r="BY899" i="34"/>
  <c r="BX899" i="34"/>
  <c r="BW899" i="34"/>
  <c r="BV899" i="34"/>
  <c r="BU899" i="34"/>
  <c r="BT899" i="34"/>
  <c r="BS899" i="34"/>
  <c r="BR899" i="34"/>
  <c r="BQ899" i="34"/>
  <c r="BP899" i="34"/>
  <c r="BO899" i="34"/>
  <c r="BN899" i="34"/>
  <c r="BM899" i="34"/>
  <c r="BL899" i="34"/>
  <c r="BK899" i="34"/>
  <c r="BJ899" i="34"/>
  <c r="BI899" i="34"/>
  <c r="BH899" i="34"/>
  <c r="BG899" i="34"/>
  <c r="BF899" i="34"/>
  <c r="BE899" i="34"/>
  <c r="BD899" i="34"/>
  <c r="BC899" i="34"/>
  <c r="AZ899" i="34"/>
  <c r="AY899" i="34"/>
  <c r="AX899" i="34"/>
  <c r="AW899" i="34"/>
  <c r="AV899" i="34"/>
  <c r="AU899" i="34"/>
  <c r="AT899" i="34"/>
  <c r="AS899" i="34"/>
  <c r="AR899" i="34"/>
  <c r="AQ899" i="34"/>
  <c r="AP899" i="34"/>
  <c r="AO899" i="34"/>
  <c r="AN899" i="34"/>
  <c r="AM899" i="34"/>
  <c r="AL899" i="34"/>
  <c r="AK899" i="34"/>
  <c r="AJ899" i="34"/>
  <c r="AI899" i="34"/>
  <c r="AH899" i="34"/>
  <c r="AG899" i="34"/>
  <c r="AF899" i="34"/>
  <c r="AE899" i="34"/>
  <c r="AD899" i="34"/>
  <c r="AC899" i="34"/>
  <c r="AB899" i="34"/>
  <c r="AA899" i="34"/>
  <c r="Z899" i="34"/>
  <c r="Y899" i="34"/>
  <c r="X899" i="34"/>
  <c r="W899" i="34"/>
  <c r="V899" i="34"/>
  <c r="U899" i="34"/>
  <c r="T899" i="34"/>
  <c r="S899" i="34"/>
  <c r="R899" i="34"/>
  <c r="Q899" i="34"/>
  <c r="P899" i="34"/>
  <c r="O899" i="34"/>
  <c r="N899" i="34"/>
  <c r="M899" i="34"/>
  <c r="L899" i="34"/>
  <c r="K899" i="34"/>
  <c r="J899" i="34"/>
  <c r="I899" i="34"/>
  <c r="BM898" i="34"/>
  <c r="BL898" i="34"/>
  <c r="BK898" i="34"/>
  <c r="BJ898" i="34"/>
  <c r="BI898" i="34"/>
  <c r="BH898" i="34"/>
  <c r="BG898" i="34"/>
  <c r="BF898" i="34"/>
  <c r="BE898" i="34"/>
  <c r="X898" i="34"/>
  <c r="W898" i="34"/>
  <c r="V898" i="34"/>
  <c r="U898" i="34"/>
  <c r="T898" i="34"/>
  <c r="S898" i="34"/>
  <c r="R898" i="34"/>
  <c r="Q898" i="34"/>
  <c r="P898" i="34"/>
  <c r="O898" i="34"/>
  <c r="N898" i="34"/>
  <c r="M898" i="34"/>
  <c r="L898" i="34"/>
  <c r="K898" i="34"/>
  <c r="J898" i="34"/>
  <c r="I898" i="34"/>
  <c r="BK897" i="34"/>
  <c r="BJ897" i="34"/>
  <c r="BI897" i="34"/>
  <c r="BH897" i="34"/>
  <c r="BG897" i="34"/>
  <c r="BF897" i="34"/>
  <c r="BE897" i="34"/>
  <c r="T897" i="34"/>
  <c r="S897" i="34"/>
  <c r="R897" i="34"/>
  <c r="Q897" i="34"/>
  <c r="P897" i="34"/>
  <c r="O897" i="34"/>
  <c r="N897" i="34"/>
  <c r="M897" i="34"/>
  <c r="L897" i="34"/>
  <c r="K897" i="34"/>
  <c r="J897" i="34"/>
  <c r="I897" i="34"/>
  <c r="BY896" i="34"/>
  <c r="BX896" i="34"/>
  <c r="BW896" i="34"/>
  <c r="BV896" i="34"/>
  <c r="BU896" i="34"/>
  <c r="BT896" i="34"/>
  <c r="BS896" i="34"/>
  <c r="BR896" i="34"/>
  <c r="BQ896" i="34"/>
  <c r="BP896" i="34"/>
  <c r="BO896" i="34"/>
  <c r="BN896" i="34"/>
  <c r="BM896" i="34"/>
  <c r="BL896" i="34"/>
  <c r="BK896" i="34"/>
  <c r="BJ896" i="34"/>
  <c r="BI896" i="34"/>
  <c r="BH896" i="34"/>
  <c r="BG896" i="34"/>
  <c r="BF896" i="34"/>
  <c r="BE896" i="34"/>
  <c r="BD896" i="34"/>
  <c r="BC896" i="34"/>
  <c r="AZ896" i="34"/>
  <c r="AY896" i="34"/>
  <c r="AX896" i="34"/>
  <c r="AW896" i="34"/>
  <c r="AV896" i="34"/>
  <c r="AU896" i="34"/>
  <c r="AT896" i="34"/>
  <c r="AS896" i="34"/>
  <c r="AR896" i="34"/>
  <c r="AQ896" i="34"/>
  <c r="AP896" i="34"/>
  <c r="AO896" i="34"/>
  <c r="AN896" i="34"/>
  <c r="AM896" i="34"/>
  <c r="AL896" i="34"/>
  <c r="AK896" i="34"/>
  <c r="AJ896" i="34"/>
  <c r="AI896" i="34"/>
  <c r="AH896" i="34"/>
  <c r="AG896" i="34"/>
  <c r="AF896" i="34"/>
  <c r="AE896" i="34"/>
  <c r="AD896" i="34"/>
  <c r="AC896" i="34"/>
  <c r="AB896" i="34"/>
  <c r="AA896" i="34"/>
  <c r="Z896" i="34"/>
  <c r="Y896" i="34"/>
  <c r="X896" i="34"/>
  <c r="W896" i="34"/>
  <c r="V896" i="34"/>
  <c r="U896" i="34"/>
  <c r="T896" i="34"/>
  <c r="S896" i="34"/>
  <c r="R896" i="34"/>
  <c r="Q896" i="34"/>
  <c r="P896" i="34"/>
  <c r="O896" i="34"/>
  <c r="N896" i="34"/>
  <c r="M896" i="34"/>
  <c r="L896" i="34"/>
  <c r="K896" i="34"/>
  <c r="J896" i="34"/>
  <c r="I896" i="34"/>
  <c r="BY895" i="34"/>
  <c r="BX895" i="34"/>
  <c r="BW895" i="34"/>
  <c r="BV895" i="34"/>
  <c r="BU895" i="34"/>
  <c r="BT895" i="34"/>
  <c r="BS895" i="34"/>
  <c r="BR895" i="34"/>
  <c r="BQ895" i="34"/>
  <c r="BP895" i="34"/>
  <c r="BO895" i="34"/>
  <c r="BN895" i="34"/>
  <c r="BM895" i="34"/>
  <c r="BL895" i="34"/>
  <c r="BK895" i="34"/>
  <c r="BJ895" i="34"/>
  <c r="BI895" i="34"/>
  <c r="BH895" i="34"/>
  <c r="BG895" i="34"/>
  <c r="BF895" i="34"/>
  <c r="BE895" i="34"/>
  <c r="BD895" i="34"/>
  <c r="BC895" i="34"/>
  <c r="AZ895" i="34"/>
  <c r="AY895" i="34"/>
  <c r="AX895" i="34"/>
  <c r="AW895" i="34"/>
  <c r="AV895" i="34"/>
  <c r="AU895" i="34"/>
  <c r="AT895" i="34"/>
  <c r="AS895" i="34"/>
  <c r="AR895" i="34"/>
  <c r="AQ895" i="34"/>
  <c r="AP895" i="34"/>
  <c r="AO895" i="34"/>
  <c r="AN895" i="34"/>
  <c r="AM895" i="34"/>
  <c r="AL895" i="34"/>
  <c r="AK895" i="34"/>
  <c r="AJ895" i="34"/>
  <c r="AI895" i="34"/>
  <c r="AH895" i="34"/>
  <c r="AG895" i="34"/>
  <c r="AF895" i="34"/>
  <c r="AE895" i="34"/>
  <c r="AD895" i="34"/>
  <c r="AC895" i="34"/>
  <c r="AB895" i="34"/>
  <c r="AA895" i="34"/>
  <c r="Z895" i="34"/>
  <c r="Y895" i="34"/>
  <c r="X895" i="34"/>
  <c r="W895" i="34"/>
  <c r="V895" i="34"/>
  <c r="U895" i="34"/>
  <c r="T895" i="34"/>
  <c r="S895" i="34"/>
  <c r="R895" i="34"/>
  <c r="Q895" i="34"/>
  <c r="P895" i="34"/>
  <c r="O895" i="34"/>
  <c r="N895" i="34"/>
  <c r="M895" i="34"/>
  <c r="L895" i="34"/>
  <c r="K895" i="34"/>
  <c r="J895" i="34"/>
  <c r="I895" i="34"/>
  <c r="BY894" i="34"/>
  <c r="BX894" i="34"/>
  <c r="BW894" i="34"/>
  <c r="BV894" i="34"/>
  <c r="BU894" i="34"/>
  <c r="BT894" i="34"/>
  <c r="BS894" i="34"/>
  <c r="BR894" i="34"/>
  <c r="BQ894" i="34"/>
  <c r="BP894" i="34"/>
  <c r="BO894" i="34"/>
  <c r="BN894" i="34"/>
  <c r="BM894" i="34"/>
  <c r="BL894" i="34"/>
  <c r="BK894" i="34"/>
  <c r="BJ894" i="34"/>
  <c r="BI894" i="34"/>
  <c r="BH894" i="34"/>
  <c r="BG894" i="34"/>
  <c r="BF894" i="34"/>
  <c r="BE894" i="34"/>
  <c r="AB894" i="34"/>
  <c r="AA894" i="34"/>
  <c r="Z894" i="34"/>
  <c r="Y894" i="34"/>
  <c r="X894" i="34"/>
  <c r="W894" i="34"/>
  <c r="V894" i="34"/>
  <c r="U894" i="34"/>
  <c r="T894" i="34"/>
  <c r="S894" i="34"/>
  <c r="R894" i="34"/>
  <c r="Q894" i="34"/>
  <c r="P894" i="34"/>
  <c r="O894" i="34"/>
  <c r="N894" i="34"/>
  <c r="M894" i="34"/>
  <c r="L894" i="34"/>
  <c r="K894" i="34"/>
  <c r="J894" i="34"/>
  <c r="I894" i="34"/>
  <c r="BL893" i="34"/>
  <c r="BK893" i="34"/>
  <c r="BJ893" i="34"/>
  <c r="BI893" i="34"/>
  <c r="BH893" i="34"/>
  <c r="BG893" i="34"/>
  <c r="BF893" i="34"/>
  <c r="BE893" i="34"/>
  <c r="X893" i="34"/>
  <c r="W893" i="34"/>
  <c r="V893" i="34"/>
  <c r="U893" i="34"/>
  <c r="T893" i="34"/>
  <c r="S893" i="34"/>
  <c r="R893" i="34"/>
  <c r="Q893" i="34"/>
  <c r="P893" i="34"/>
  <c r="O893" i="34"/>
  <c r="N893" i="34"/>
  <c r="M893" i="34"/>
  <c r="L893" i="34"/>
  <c r="K893" i="34"/>
  <c r="J893" i="34"/>
  <c r="I893" i="34"/>
  <c r="BL892" i="34"/>
  <c r="BK892" i="34"/>
  <c r="BJ892" i="34"/>
  <c r="BI892" i="34"/>
  <c r="BH892" i="34"/>
  <c r="BG892" i="34"/>
  <c r="BF892" i="34"/>
  <c r="BE892" i="34"/>
  <c r="X892" i="34"/>
  <c r="W892" i="34"/>
  <c r="V892" i="34"/>
  <c r="U892" i="34"/>
  <c r="T892" i="34"/>
  <c r="S892" i="34"/>
  <c r="R892" i="34"/>
  <c r="Q892" i="34"/>
  <c r="P892" i="34"/>
  <c r="O892" i="34"/>
  <c r="N892" i="34"/>
  <c r="M892" i="34"/>
  <c r="L892" i="34"/>
  <c r="K892" i="34"/>
  <c r="J892" i="34"/>
  <c r="I892" i="34"/>
  <c r="BK891" i="34"/>
  <c r="BJ891" i="34"/>
  <c r="BI891" i="34"/>
  <c r="BH891" i="34"/>
  <c r="BG891" i="34"/>
  <c r="BF891" i="34"/>
  <c r="BE891" i="34"/>
  <c r="T891" i="34"/>
  <c r="S891" i="34"/>
  <c r="R891" i="34"/>
  <c r="Q891" i="34"/>
  <c r="P891" i="34"/>
  <c r="O891" i="34"/>
  <c r="N891" i="34"/>
  <c r="M891" i="34"/>
  <c r="L891" i="34"/>
  <c r="K891" i="34"/>
  <c r="J891" i="34"/>
  <c r="I891" i="34"/>
  <c r="BY890" i="34"/>
  <c r="BX890" i="34"/>
  <c r="BW890" i="34"/>
  <c r="BV890" i="34"/>
  <c r="BU890" i="34"/>
  <c r="BT890" i="34"/>
  <c r="BS890" i="34"/>
  <c r="BR890" i="34"/>
  <c r="BQ890" i="34"/>
  <c r="BP890" i="34"/>
  <c r="BO890" i="34"/>
  <c r="BN890" i="34"/>
  <c r="BM890" i="34"/>
  <c r="BL890" i="34"/>
  <c r="BK890" i="34"/>
  <c r="BJ890" i="34"/>
  <c r="BI890" i="34"/>
  <c r="BH890" i="34"/>
  <c r="BG890" i="34"/>
  <c r="BF890" i="34"/>
  <c r="BE890" i="34"/>
  <c r="BD890" i="34"/>
  <c r="BC890" i="34"/>
  <c r="AZ890" i="34"/>
  <c r="AY890" i="34"/>
  <c r="AX890" i="34"/>
  <c r="AW890" i="34"/>
  <c r="AV890" i="34"/>
  <c r="AU890" i="34"/>
  <c r="AT890" i="34"/>
  <c r="AS890" i="34"/>
  <c r="AR890" i="34"/>
  <c r="AQ890" i="34"/>
  <c r="AP890" i="34"/>
  <c r="AO890" i="34"/>
  <c r="AN890" i="34"/>
  <c r="AM890" i="34"/>
  <c r="AL890" i="34"/>
  <c r="AK890" i="34"/>
  <c r="AJ890" i="34"/>
  <c r="AI890" i="34"/>
  <c r="AH890" i="34"/>
  <c r="AG890" i="34"/>
  <c r="AF890" i="34"/>
  <c r="AE890" i="34"/>
  <c r="AD890" i="34"/>
  <c r="AC890" i="34"/>
  <c r="AB890" i="34"/>
  <c r="AA890" i="34"/>
  <c r="Z890" i="34"/>
  <c r="Y890" i="34"/>
  <c r="X890" i="34"/>
  <c r="W890" i="34"/>
  <c r="V890" i="34"/>
  <c r="U890" i="34"/>
  <c r="T890" i="34"/>
  <c r="S890" i="34"/>
  <c r="R890" i="34"/>
  <c r="Q890" i="34"/>
  <c r="P890" i="34"/>
  <c r="O890" i="34"/>
  <c r="N890" i="34"/>
  <c r="M890" i="34"/>
  <c r="L890" i="34"/>
  <c r="K890" i="34"/>
  <c r="J890" i="34"/>
  <c r="I890" i="34"/>
  <c r="BY889" i="34"/>
  <c r="BX889" i="34"/>
  <c r="BW889" i="34"/>
  <c r="BV889" i="34"/>
  <c r="BU889" i="34"/>
  <c r="BT889" i="34"/>
  <c r="BS889" i="34"/>
  <c r="BR889" i="34"/>
  <c r="BQ889" i="34"/>
  <c r="BP889" i="34"/>
  <c r="BO889" i="34"/>
  <c r="BN889" i="34"/>
  <c r="BM889" i="34"/>
  <c r="BL889" i="34"/>
  <c r="BK889" i="34"/>
  <c r="BJ889" i="34"/>
  <c r="BI889" i="34"/>
  <c r="BH889" i="34"/>
  <c r="BG889" i="34"/>
  <c r="BF889" i="34"/>
  <c r="BE889" i="34"/>
  <c r="BD889" i="34"/>
  <c r="BC889" i="34"/>
  <c r="AZ889" i="34"/>
  <c r="AY889" i="34"/>
  <c r="AX889" i="34"/>
  <c r="AW889" i="34"/>
  <c r="AV889" i="34"/>
  <c r="AU889" i="34"/>
  <c r="AT889" i="34"/>
  <c r="AS889" i="34"/>
  <c r="AR889" i="34"/>
  <c r="AQ889" i="34"/>
  <c r="AP889" i="34"/>
  <c r="AO889" i="34"/>
  <c r="AN889" i="34"/>
  <c r="AM889" i="34"/>
  <c r="AL889" i="34"/>
  <c r="AK889" i="34"/>
  <c r="AJ889" i="34"/>
  <c r="AI889" i="34"/>
  <c r="AH889" i="34"/>
  <c r="AG889" i="34"/>
  <c r="AF889" i="34"/>
  <c r="AE889" i="34"/>
  <c r="AD889" i="34"/>
  <c r="AC889" i="34"/>
  <c r="AB889" i="34"/>
  <c r="AA889" i="34"/>
  <c r="Z889" i="34"/>
  <c r="Y889" i="34"/>
  <c r="X889" i="34"/>
  <c r="W889" i="34"/>
  <c r="V889" i="34"/>
  <c r="U889" i="34"/>
  <c r="T889" i="34"/>
  <c r="S889" i="34"/>
  <c r="R889" i="34"/>
  <c r="Q889" i="34"/>
  <c r="P889" i="34"/>
  <c r="O889" i="34"/>
  <c r="N889" i="34"/>
  <c r="M889" i="34"/>
  <c r="L889" i="34"/>
  <c r="K889" i="34"/>
  <c r="J889" i="34"/>
  <c r="I889" i="34"/>
  <c r="BY886" i="34"/>
  <c r="BX886" i="34"/>
  <c r="BW886" i="34"/>
  <c r="BV886" i="34"/>
  <c r="BU886" i="34"/>
  <c r="BT886" i="34"/>
  <c r="BS886" i="34"/>
  <c r="BR886" i="34"/>
  <c r="BQ886" i="34"/>
  <c r="BP886" i="34"/>
  <c r="BO886" i="34"/>
  <c r="BN886" i="34"/>
  <c r="BM886" i="34"/>
  <c r="BL886" i="34"/>
  <c r="BK886" i="34"/>
  <c r="BJ886" i="34"/>
  <c r="BI886" i="34"/>
  <c r="BH886" i="34"/>
  <c r="BG886" i="34"/>
  <c r="BF886" i="34"/>
  <c r="BE886" i="34"/>
  <c r="BD886" i="34"/>
  <c r="BC886" i="34"/>
  <c r="AZ886" i="34"/>
  <c r="AY886" i="34"/>
  <c r="AX886" i="34"/>
  <c r="AW886" i="34"/>
  <c r="AV886" i="34"/>
  <c r="AU886" i="34"/>
  <c r="AT886" i="34"/>
  <c r="AS886" i="34"/>
  <c r="AR886" i="34"/>
  <c r="AQ886" i="34"/>
  <c r="AP886" i="34"/>
  <c r="AO886" i="34"/>
  <c r="AN886" i="34"/>
  <c r="AM886" i="34"/>
  <c r="AL886" i="34"/>
  <c r="AK886" i="34"/>
  <c r="AJ886" i="34"/>
  <c r="AI886" i="34"/>
  <c r="AH886" i="34"/>
  <c r="AG886" i="34"/>
  <c r="AF886" i="34"/>
  <c r="AE886" i="34"/>
  <c r="AD886" i="34"/>
  <c r="AC886" i="34"/>
  <c r="AB886" i="34"/>
  <c r="AA886" i="34"/>
  <c r="Z886" i="34"/>
  <c r="Y886" i="34"/>
  <c r="X886" i="34"/>
  <c r="W886" i="34"/>
  <c r="V886" i="34"/>
  <c r="U886" i="34"/>
  <c r="T886" i="34"/>
  <c r="S886" i="34"/>
  <c r="R886" i="34"/>
  <c r="Q886" i="34"/>
  <c r="P886" i="34"/>
  <c r="O886" i="34"/>
  <c r="N886" i="34"/>
  <c r="M886" i="34"/>
  <c r="L886" i="34"/>
  <c r="K886" i="34"/>
  <c r="J886" i="34"/>
  <c r="I886" i="34"/>
  <c r="BL885" i="34"/>
  <c r="BK885" i="34"/>
  <c r="BJ885" i="34"/>
  <c r="BI885" i="34"/>
  <c r="BH885" i="34"/>
  <c r="BG885" i="34"/>
  <c r="BF885" i="34"/>
  <c r="BE885" i="34"/>
  <c r="Y885" i="34"/>
  <c r="X885" i="34"/>
  <c r="W885" i="34"/>
  <c r="V885" i="34"/>
  <c r="U885" i="34"/>
  <c r="T885" i="34"/>
  <c r="S885" i="34"/>
  <c r="R885" i="34"/>
  <c r="Q885" i="34"/>
  <c r="P885" i="34"/>
  <c r="O885" i="34"/>
  <c r="N885" i="34"/>
  <c r="M885" i="34"/>
  <c r="L885" i="34"/>
  <c r="K885" i="34"/>
  <c r="J885" i="34"/>
  <c r="I885" i="34"/>
  <c r="BK884" i="34"/>
  <c r="BJ884" i="34"/>
  <c r="BI884" i="34"/>
  <c r="BH884" i="34"/>
  <c r="BG884" i="34"/>
  <c r="BF884" i="34"/>
  <c r="BE884" i="34"/>
  <c r="T884" i="34"/>
  <c r="S884" i="34"/>
  <c r="R884" i="34"/>
  <c r="Q884" i="34"/>
  <c r="P884" i="34"/>
  <c r="O884" i="34"/>
  <c r="N884" i="34"/>
  <c r="M884" i="34"/>
  <c r="L884" i="34"/>
  <c r="K884" i="34"/>
  <c r="J884" i="34"/>
  <c r="I884" i="34"/>
  <c r="BY883" i="34"/>
  <c r="BX883" i="34"/>
  <c r="BW883" i="34"/>
  <c r="BV883" i="34"/>
  <c r="BU883" i="34"/>
  <c r="BT883" i="34"/>
  <c r="BS883" i="34"/>
  <c r="BR883" i="34"/>
  <c r="BQ883" i="34"/>
  <c r="BP883" i="34"/>
  <c r="BO883" i="34"/>
  <c r="BN883" i="34"/>
  <c r="BM883" i="34"/>
  <c r="BL883" i="34"/>
  <c r="BK883" i="34"/>
  <c r="BJ883" i="34"/>
  <c r="BI883" i="34"/>
  <c r="BH883" i="34"/>
  <c r="BG883" i="34"/>
  <c r="BF883" i="34"/>
  <c r="BE883" i="34"/>
  <c r="BD883" i="34"/>
  <c r="BC883" i="34"/>
  <c r="AZ883" i="34"/>
  <c r="AY883" i="34"/>
  <c r="AX883" i="34"/>
  <c r="AW883" i="34"/>
  <c r="AV883" i="34"/>
  <c r="AU883" i="34"/>
  <c r="AT883" i="34"/>
  <c r="AS883" i="34"/>
  <c r="AR883" i="34"/>
  <c r="AQ883" i="34"/>
  <c r="AP883" i="34"/>
  <c r="AO883" i="34"/>
  <c r="AN883" i="34"/>
  <c r="AM883" i="34"/>
  <c r="AL883" i="34"/>
  <c r="AK883" i="34"/>
  <c r="AJ883" i="34"/>
  <c r="AI883" i="34"/>
  <c r="AH883" i="34"/>
  <c r="AG883" i="34"/>
  <c r="AF883" i="34"/>
  <c r="AE883" i="34"/>
  <c r="AD883" i="34"/>
  <c r="AC883" i="34"/>
  <c r="AB883" i="34"/>
  <c r="AA883" i="34"/>
  <c r="Z883" i="34"/>
  <c r="Y883" i="34"/>
  <c r="X883" i="34"/>
  <c r="W883" i="34"/>
  <c r="V883" i="34"/>
  <c r="U883" i="34"/>
  <c r="T883" i="34"/>
  <c r="S883" i="34"/>
  <c r="R883" i="34"/>
  <c r="Q883" i="34"/>
  <c r="P883" i="34"/>
  <c r="O883" i="34"/>
  <c r="N883" i="34"/>
  <c r="M883" i="34"/>
  <c r="L883" i="34"/>
  <c r="K883" i="34"/>
  <c r="J883" i="34"/>
  <c r="I883" i="34"/>
  <c r="BY882" i="34"/>
  <c r="BX882" i="34"/>
  <c r="BW882" i="34"/>
  <c r="BV882" i="34"/>
  <c r="BU882" i="34"/>
  <c r="BT882" i="34"/>
  <c r="BS882" i="34"/>
  <c r="BR882" i="34"/>
  <c r="BQ882" i="34"/>
  <c r="BP882" i="34"/>
  <c r="BO882" i="34"/>
  <c r="BN882" i="34"/>
  <c r="BM882" i="34"/>
  <c r="BL882" i="34"/>
  <c r="BK882" i="34"/>
  <c r="BJ882" i="34"/>
  <c r="BI882" i="34"/>
  <c r="BH882" i="34"/>
  <c r="BG882" i="34"/>
  <c r="BF882" i="34"/>
  <c r="BE882" i="34"/>
  <c r="BD882" i="34"/>
  <c r="BC882" i="34"/>
  <c r="AZ882" i="34"/>
  <c r="AY882" i="34"/>
  <c r="AX882" i="34"/>
  <c r="AW882" i="34"/>
  <c r="AV882" i="34"/>
  <c r="AU882" i="34"/>
  <c r="AT882" i="34"/>
  <c r="AS882" i="34"/>
  <c r="AR882" i="34"/>
  <c r="AQ882" i="34"/>
  <c r="AP882" i="34"/>
  <c r="AO882" i="34"/>
  <c r="AN882" i="34"/>
  <c r="AM882" i="34"/>
  <c r="AL882" i="34"/>
  <c r="AK882" i="34"/>
  <c r="AI882" i="34"/>
  <c r="AH882" i="34"/>
  <c r="AF882" i="34"/>
  <c r="AE882" i="34"/>
  <c r="AD882" i="34"/>
  <c r="AC882" i="34"/>
  <c r="AB882" i="34"/>
  <c r="AA882" i="34"/>
  <c r="Z882" i="34"/>
  <c r="Y882" i="34"/>
  <c r="X882" i="34"/>
  <c r="W882" i="34"/>
  <c r="V882" i="34"/>
  <c r="U882" i="34"/>
  <c r="T882" i="34"/>
  <c r="S882" i="34"/>
  <c r="R882" i="34"/>
  <c r="Q882" i="34"/>
  <c r="P882" i="34"/>
  <c r="O882" i="34"/>
  <c r="N882" i="34"/>
  <c r="M882" i="34"/>
  <c r="L882" i="34"/>
  <c r="K882" i="34"/>
  <c r="J882" i="34"/>
  <c r="I882" i="34"/>
  <c r="BY881" i="34"/>
  <c r="BX881" i="34"/>
  <c r="BW881" i="34"/>
  <c r="BV881" i="34"/>
  <c r="BU881" i="34"/>
  <c r="BT881" i="34"/>
  <c r="BS881" i="34"/>
  <c r="BR881" i="34"/>
  <c r="BQ881" i="34"/>
  <c r="BP881" i="34"/>
  <c r="BO881" i="34"/>
  <c r="BN881" i="34"/>
  <c r="BM881" i="34"/>
  <c r="BJ881" i="34"/>
  <c r="BI881" i="34"/>
  <c r="BH881" i="34"/>
  <c r="BG881" i="34"/>
  <c r="BF881" i="34"/>
  <c r="BE881" i="34"/>
  <c r="BD881" i="34"/>
  <c r="BC881" i="34"/>
  <c r="AZ881" i="34"/>
  <c r="AY881" i="34"/>
  <c r="AX881" i="34"/>
  <c r="AW881" i="34"/>
  <c r="AV881" i="34"/>
  <c r="AU881" i="34"/>
  <c r="AT881" i="34"/>
  <c r="AS881" i="34"/>
  <c r="AR881" i="34"/>
  <c r="AQ881" i="34"/>
  <c r="AP881" i="34"/>
  <c r="AO881" i="34"/>
  <c r="AN881" i="34"/>
  <c r="AM881" i="34"/>
  <c r="AL881" i="34"/>
  <c r="AK881" i="34"/>
  <c r="AJ881" i="34"/>
  <c r="AI881" i="34"/>
  <c r="AH881" i="34"/>
  <c r="AG881" i="34"/>
  <c r="U881" i="34"/>
  <c r="T881" i="34"/>
  <c r="S881" i="34"/>
  <c r="R881" i="34"/>
  <c r="Q881" i="34"/>
  <c r="P881" i="34"/>
  <c r="O881" i="34"/>
  <c r="N881" i="34"/>
  <c r="M881" i="34"/>
  <c r="L881" i="34"/>
  <c r="K881" i="34"/>
  <c r="J881" i="34"/>
  <c r="I881" i="34"/>
  <c r="BY880" i="34"/>
  <c r="BX880" i="34"/>
  <c r="BW880" i="34"/>
  <c r="BV880" i="34"/>
  <c r="BU880" i="34"/>
  <c r="BT880" i="34"/>
  <c r="BS880" i="34"/>
  <c r="BR880" i="34"/>
  <c r="BQ880" i="34"/>
  <c r="BP880" i="34"/>
  <c r="BO880" i="34"/>
  <c r="BN880" i="34"/>
  <c r="BM880" i="34"/>
  <c r="BL880" i="34"/>
  <c r="BK880" i="34"/>
  <c r="BJ880" i="34"/>
  <c r="BI880" i="34"/>
  <c r="BH880" i="34"/>
  <c r="BG880" i="34"/>
  <c r="BF880" i="34"/>
  <c r="BE880" i="34"/>
  <c r="BD880" i="34"/>
  <c r="BC880" i="34"/>
  <c r="AZ880" i="34"/>
  <c r="AY880" i="34"/>
  <c r="AX880" i="34"/>
  <c r="AW880" i="34"/>
  <c r="AV880" i="34"/>
  <c r="AU880" i="34"/>
  <c r="AT880" i="34"/>
  <c r="AS880" i="34"/>
  <c r="AR880" i="34"/>
  <c r="AQ880" i="34"/>
  <c r="AP880" i="34"/>
  <c r="AO880" i="34"/>
  <c r="AN880" i="34"/>
  <c r="AM880" i="34"/>
  <c r="AL880" i="34"/>
  <c r="AK880" i="34"/>
  <c r="AJ880" i="34"/>
  <c r="AI880" i="34"/>
  <c r="AH880" i="34"/>
  <c r="AG880" i="34"/>
  <c r="AF880" i="34"/>
  <c r="AE880" i="34"/>
  <c r="AD880" i="34"/>
  <c r="AC880" i="34"/>
  <c r="AB880" i="34"/>
  <c r="AA880" i="34"/>
  <c r="Z880" i="34"/>
  <c r="Y880" i="34"/>
  <c r="X880" i="34"/>
  <c r="W880" i="34"/>
  <c r="V880" i="34"/>
  <c r="U880" i="34"/>
  <c r="T880" i="34"/>
  <c r="S880" i="34"/>
  <c r="R880" i="34"/>
  <c r="Q880" i="34"/>
  <c r="P880" i="34"/>
  <c r="O880" i="34"/>
  <c r="N880" i="34"/>
  <c r="M880" i="34"/>
  <c r="L880" i="34"/>
  <c r="K880" i="34"/>
  <c r="J880" i="34"/>
  <c r="I880" i="34"/>
  <c r="BL879" i="34"/>
  <c r="BK879" i="34"/>
  <c r="BJ879" i="34"/>
  <c r="BI879" i="34"/>
  <c r="BH879" i="34"/>
  <c r="BG879" i="34"/>
  <c r="BF879" i="34"/>
  <c r="BE879" i="34"/>
  <c r="X879" i="34"/>
  <c r="W879" i="34"/>
  <c r="V879" i="34"/>
  <c r="U879" i="34"/>
  <c r="T879" i="34"/>
  <c r="S879" i="34"/>
  <c r="R879" i="34"/>
  <c r="Q879" i="34"/>
  <c r="P879" i="34"/>
  <c r="O879" i="34"/>
  <c r="N879" i="34"/>
  <c r="M879" i="34"/>
  <c r="L879" i="34"/>
  <c r="K879" i="34"/>
  <c r="J879" i="34"/>
  <c r="I879" i="34"/>
  <c r="BL878" i="34"/>
  <c r="BK878" i="34"/>
  <c r="BJ878" i="34"/>
  <c r="BI878" i="34"/>
  <c r="BH878" i="34"/>
  <c r="BG878" i="34"/>
  <c r="BF878" i="34"/>
  <c r="BE878" i="34"/>
  <c r="X878" i="34"/>
  <c r="W878" i="34"/>
  <c r="V878" i="34"/>
  <c r="U878" i="34"/>
  <c r="T878" i="34"/>
  <c r="S878" i="34"/>
  <c r="R878" i="34"/>
  <c r="Q878" i="34"/>
  <c r="P878" i="34"/>
  <c r="O878" i="34"/>
  <c r="N878" i="34"/>
  <c r="M878" i="34"/>
  <c r="L878" i="34"/>
  <c r="K878" i="34"/>
  <c r="J878" i="34"/>
  <c r="I878" i="34"/>
  <c r="BK877" i="34"/>
  <c r="BJ877" i="34"/>
  <c r="BI877" i="34"/>
  <c r="BH877" i="34"/>
  <c r="BG877" i="34"/>
  <c r="BF877" i="34"/>
  <c r="BE877" i="34"/>
  <c r="T877" i="34"/>
  <c r="S877" i="34"/>
  <c r="R877" i="34"/>
  <c r="Q877" i="34"/>
  <c r="P877" i="34"/>
  <c r="O877" i="34"/>
  <c r="N877" i="34"/>
  <c r="M877" i="34"/>
  <c r="L877" i="34"/>
  <c r="K877" i="34"/>
  <c r="J877" i="34"/>
  <c r="I877" i="34"/>
  <c r="BY876" i="34"/>
  <c r="BX876" i="34"/>
  <c r="BW876" i="34"/>
  <c r="BV876" i="34"/>
  <c r="BU876" i="34"/>
  <c r="BT876" i="34"/>
  <c r="BS876" i="34"/>
  <c r="BR876" i="34"/>
  <c r="BQ876" i="34"/>
  <c r="BP876" i="34"/>
  <c r="BO876" i="34"/>
  <c r="BN876" i="34"/>
  <c r="BM876" i="34"/>
  <c r="BL876" i="34"/>
  <c r="BK876" i="34"/>
  <c r="BJ876" i="34"/>
  <c r="BI876" i="34"/>
  <c r="BH876" i="34"/>
  <c r="BG876" i="34"/>
  <c r="BF876" i="34"/>
  <c r="BE876" i="34"/>
  <c r="BD876" i="34"/>
  <c r="BC876" i="34"/>
  <c r="AZ876" i="34"/>
  <c r="AY876" i="34"/>
  <c r="AX876" i="34"/>
  <c r="AW876" i="34"/>
  <c r="AV876" i="34"/>
  <c r="AU876" i="34"/>
  <c r="AT876" i="34"/>
  <c r="AS876" i="34"/>
  <c r="AR876" i="34"/>
  <c r="AQ876" i="34"/>
  <c r="AP876" i="34"/>
  <c r="AO876" i="34"/>
  <c r="AN876" i="34"/>
  <c r="AM876" i="34"/>
  <c r="AL876" i="34"/>
  <c r="AK876" i="34"/>
  <c r="AJ876" i="34"/>
  <c r="AI876" i="34"/>
  <c r="AH876" i="34"/>
  <c r="AG876" i="34"/>
  <c r="AF876" i="34"/>
  <c r="AE876" i="34"/>
  <c r="AD876" i="34"/>
  <c r="AC876" i="34"/>
  <c r="AB876" i="34"/>
  <c r="AA876" i="34"/>
  <c r="Z876" i="34"/>
  <c r="Y876" i="34"/>
  <c r="X876" i="34"/>
  <c r="W876" i="34"/>
  <c r="V876" i="34"/>
  <c r="U876" i="34"/>
  <c r="T876" i="34"/>
  <c r="S876" i="34"/>
  <c r="R876" i="34"/>
  <c r="Q876" i="34"/>
  <c r="P876" i="34"/>
  <c r="O876" i="34"/>
  <c r="N876" i="34"/>
  <c r="M876" i="34"/>
  <c r="L876" i="34"/>
  <c r="K876" i="34"/>
  <c r="J876" i="34"/>
  <c r="I876" i="34"/>
  <c r="BY875" i="34"/>
  <c r="BX875" i="34"/>
  <c r="BW875" i="34"/>
  <c r="BV875" i="34"/>
  <c r="BU875" i="34"/>
  <c r="BT875" i="34"/>
  <c r="BS875" i="34"/>
  <c r="BR875" i="34"/>
  <c r="BQ875" i="34"/>
  <c r="BP875" i="34"/>
  <c r="BO875" i="34"/>
  <c r="BN875" i="34"/>
  <c r="BM875" i="34"/>
  <c r="BL875" i="34"/>
  <c r="BK875" i="34"/>
  <c r="BJ875" i="34"/>
  <c r="BI875" i="34"/>
  <c r="BH875" i="34"/>
  <c r="BG875" i="34"/>
  <c r="BF875" i="34"/>
  <c r="BE875" i="34"/>
  <c r="BD875" i="34"/>
  <c r="BC875" i="34"/>
  <c r="AZ875" i="34"/>
  <c r="AY875" i="34"/>
  <c r="AX875" i="34"/>
  <c r="AW875" i="34"/>
  <c r="AV875" i="34"/>
  <c r="AU875" i="34"/>
  <c r="AT875" i="34"/>
  <c r="AS875" i="34"/>
  <c r="AR875" i="34"/>
  <c r="AQ875" i="34"/>
  <c r="AP875" i="34"/>
  <c r="AO875" i="34"/>
  <c r="AN875" i="34"/>
  <c r="AM875" i="34"/>
  <c r="AL875" i="34"/>
  <c r="AK875" i="34"/>
  <c r="AJ875" i="34"/>
  <c r="AI875" i="34"/>
  <c r="AH875" i="34"/>
  <c r="AG875" i="34"/>
  <c r="AF875" i="34"/>
  <c r="AE875" i="34"/>
  <c r="AD875" i="34"/>
  <c r="AB875" i="34"/>
  <c r="AA875" i="34"/>
  <c r="Z875" i="34"/>
  <c r="Y875" i="34"/>
  <c r="X875" i="34"/>
  <c r="W875" i="34"/>
  <c r="V875" i="34"/>
  <c r="U875" i="34"/>
  <c r="T875" i="34"/>
  <c r="S875" i="34"/>
  <c r="R875" i="34"/>
  <c r="Q875" i="34"/>
  <c r="P875" i="34"/>
  <c r="O875" i="34"/>
  <c r="N875" i="34"/>
  <c r="M875" i="34"/>
  <c r="L875" i="34"/>
  <c r="K875" i="34"/>
  <c r="J875" i="34"/>
  <c r="I875" i="34"/>
  <c r="BY874" i="34"/>
  <c r="BX874" i="34"/>
  <c r="BW874" i="34"/>
  <c r="BV874" i="34"/>
  <c r="BU874" i="34"/>
  <c r="BT874" i="34"/>
  <c r="BS874" i="34"/>
  <c r="BR874" i="34"/>
  <c r="BQ874" i="34"/>
  <c r="BP874" i="34"/>
  <c r="BO874" i="34"/>
  <c r="BN874" i="34"/>
  <c r="BM874" i="34"/>
  <c r="BL874" i="34"/>
  <c r="BK874" i="34"/>
  <c r="BJ874" i="34"/>
  <c r="BI874" i="34"/>
  <c r="BH874" i="34"/>
  <c r="BG874" i="34"/>
  <c r="BF874" i="34"/>
  <c r="BE874" i="34"/>
  <c r="BD874" i="34"/>
  <c r="BC874" i="34"/>
  <c r="AZ874" i="34"/>
  <c r="AY874" i="34"/>
  <c r="AX874" i="34"/>
  <c r="AW874" i="34"/>
  <c r="AV874" i="34"/>
  <c r="AU874" i="34"/>
  <c r="AT874" i="34"/>
  <c r="AS874" i="34"/>
  <c r="AR874" i="34"/>
  <c r="AQ874" i="34"/>
  <c r="AP874" i="34"/>
  <c r="AO874" i="34"/>
  <c r="AN874" i="34"/>
  <c r="AM874" i="34"/>
  <c r="AL874" i="34"/>
  <c r="AK874" i="34"/>
  <c r="AJ874" i="34"/>
  <c r="AI874" i="34"/>
  <c r="AH874" i="34"/>
  <c r="AG874" i="34"/>
  <c r="AF874" i="34"/>
  <c r="AE874" i="34"/>
  <c r="AD874" i="34"/>
  <c r="AC874" i="34"/>
  <c r="AB874" i="34"/>
  <c r="AA874" i="34"/>
  <c r="Z874" i="34"/>
  <c r="Y874" i="34"/>
  <c r="X874" i="34"/>
  <c r="W874" i="34"/>
  <c r="V874" i="34"/>
  <c r="U874" i="34"/>
  <c r="T874" i="34"/>
  <c r="S874" i="34"/>
  <c r="R874" i="34"/>
  <c r="Q874" i="34"/>
  <c r="P874" i="34"/>
  <c r="O874" i="34"/>
  <c r="N874" i="34"/>
  <c r="M874" i="34"/>
  <c r="L874" i="34"/>
  <c r="K874" i="34"/>
  <c r="J874" i="34"/>
  <c r="I874" i="34"/>
  <c r="BL873" i="34"/>
  <c r="BK873" i="34"/>
  <c r="BJ873" i="34"/>
  <c r="BI873" i="34"/>
  <c r="BH873" i="34"/>
  <c r="BG873" i="34"/>
  <c r="BF873" i="34"/>
  <c r="BE873" i="34"/>
  <c r="AL873" i="34"/>
  <c r="AK873" i="34"/>
  <c r="AI873" i="34"/>
  <c r="AH873" i="34"/>
  <c r="AF873" i="34"/>
  <c r="AE873" i="34"/>
  <c r="AD873" i="34"/>
  <c r="AC873" i="34"/>
  <c r="AB873" i="34"/>
  <c r="AA873" i="34"/>
  <c r="Z873" i="34"/>
  <c r="Y873" i="34"/>
  <c r="X873" i="34"/>
  <c r="W873" i="34"/>
  <c r="V873" i="34"/>
  <c r="U873" i="34"/>
  <c r="T873" i="34"/>
  <c r="S873" i="34"/>
  <c r="R873" i="34"/>
  <c r="Q873" i="34"/>
  <c r="P873" i="34"/>
  <c r="O873" i="34"/>
  <c r="N873" i="34"/>
  <c r="M873" i="34"/>
  <c r="L873" i="34"/>
  <c r="K873" i="34"/>
  <c r="J873" i="34"/>
  <c r="I873" i="34"/>
  <c r="BJ872" i="34"/>
  <c r="BI872" i="34"/>
  <c r="BH872" i="34"/>
  <c r="BG872" i="34"/>
  <c r="BF872" i="34"/>
  <c r="BE872" i="34"/>
  <c r="AL872" i="34"/>
  <c r="AK872" i="34"/>
  <c r="AJ872" i="34"/>
  <c r="AI872" i="34"/>
  <c r="AH872" i="34"/>
  <c r="AG872" i="34"/>
  <c r="AF872" i="34"/>
  <c r="T872" i="34"/>
  <c r="S872" i="34"/>
  <c r="R872" i="34"/>
  <c r="Q872" i="34"/>
  <c r="P872" i="34"/>
  <c r="O872" i="34"/>
  <c r="N872" i="34"/>
  <c r="M872" i="34"/>
  <c r="L872" i="34"/>
  <c r="K872" i="34"/>
  <c r="J872" i="34"/>
  <c r="I872" i="34"/>
  <c r="BY871" i="34"/>
  <c r="BX871" i="34"/>
  <c r="BW871" i="34"/>
  <c r="BV871" i="34"/>
  <c r="BU871" i="34"/>
  <c r="BT871" i="34"/>
  <c r="BS871" i="34"/>
  <c r="BR871" i="34"/>
  <c r="BQ871" i="34"/>
  <c r="BP871" i="34"/>
  <c r="BO871" i="34"/>
  <c r="BN871" i="34"/>
  <c r="BM871" i="34"/>
  <c r="BL871" i="34"/>
  <c r="BK871" i="34"/>
  <c r="BJ871" i="34"/>
  <c r="BI871" i="34"/>
  <c r="BH871" i="34"/>
  <c r="BG871" i="34"/>
  <c r="BF871" i="34"/>
  <c r="BE871" i="34"/>
  <c r="BD871" i="34"/>
  <c r="BC871" i="34"/>
  <c r="AZ871" i="34"/>
  <c r="AY871" i="34"/>
  <c r="AX871" i="34"/>
  <c r="AW871" i="34"/>
  <c r="AV871" i="34"/>
  <c r="AU871" i="34"/>
  <c r="AT871" i="34"/>
  <c r="AS871" i="34"/>
  <c r="AR871" i="34"/>
  <c r="AQ871" i="34"/>
  <c r="AP871" i="34"/>
  <c r="AO871" i="34"/>
  <c r="AN871" i="34"/>
  <c r="AM871" i="34"/>
  <c r="AL871" i="34"/>
  <c r="AK871" i="34"/>
  <c r="AJ871" i="34"/>
  <c r="AI871" i="34"/>
  <c r="AH871" i="34"/>
  <c r="AG871" i="34"/>
  <c r="AF871" i="34"/>
  <c r="AE871" i="34"/>
  <c r="AD871" i="34"/>
  <c r="AC871" i="34"/>
  <c r="AB871" i="34"/>
  <c r="AA871" i="34"/>
  <c r="Z871" i="34"/>
  <c r="Y871" i="34"/>
  <c r="X871" i="34"/>
  <c r="W871" i="34"/>
  <c r="V871" i="34"/>
  <c r="U871" i="34"/>
  <c r="T871" i="34"/>
  <c r="S871" i="34"/>
  <c r="R871" i="34"/>
  <c r="Q871" i="34"/>
  <c r="P871" i="34"/>
  <c r="O871" i="34"/>
  <c r="N871" i="34"/>
  <c r="M871" i="34"/>
  <c r="L871" i="34"/>
  <c r="K871" i="34"/>
  <c r="J871" i="34"/>
  <c r="I871" i="34"/>
  <c r="BY870" i="34"/>
  <c r="BX870" i="34"/>
  <c r="BW870" i="34"/>
  <c r="BV870" i="34"/>
  <c r="BU870" i="34"/>
  <c r="BT870" i="34"/>
  <c r="BS870" i="34"/>
  <c r="BR870" i="34"/>
  <c r="BQ870" i="34"/>
  <c r="BP870" i="34"/>
  <c r="BO870" i="34"/>
  <c r="BN870" i="34"/>
  <c r="BM870" i="34"/>
  <c r="BL870" i="34"/>
  <c r="BK870" i="34"/>
  <c r="BJ870" i="34"/>
  <c r="BI870" i="34"/>
  <c r="BH870" i="34"/>
  <c r="BG870" i="34"/>
  <c r="BF870" i="34"/>
  <c r="BE870" i="34"/>
  <c r="BD870" i="34"/>
  <c r="BC870" i="34"/>
  <c r="AZ870" i="34"/>
  <c r="AY870" i="34"/>
  <c r="AX870" i="34"/>
  <c r="AW870" i="34"/>
  <c r="AV870" i="34"/>
  <c r="AU870" i="34"/>
  <c r="AT870" i="34"/>
  <c r="AS870" i="34"/>
  <c r="AR870" i="34"/>
  <c r="AQ870" i="34"/>
  <c r="AP870" i="34"/>
  <c r="AO870" i="34"/>
  <c r="AN870" i="34"/>
  <c r="AM870" i="34"/>
  <c r="AL870" i="34"/>
  <c r="AK870" i="34"/>
  <c r="AJ870" i="34"/>
  <c r="AI870" i="34"/>
  <c r="AH870" i="34"/>
  <c r="AG870" i="34"/>
  <c r="AF870" i="34"/>
  <c r="AE870" i="34"/>
  <c r="AD870" i="34"/>
  <c r="AC870" i="34"/>
  <c r="AB870" i="34"/>
  <c r="AA870" i="34"/>
  <c r="Z870" i="34"/>
  <c r="Y870" i="34"/>
  <c r="X870" i="34"/>
  <c r="W870" i="34"/>
  <c r="V870" i="34"/>
  <c r="U870" i="34"/>
  <c r="T870" i="34"/>
  <c r="S870" i="34"/>
  <c r="R870" i="34"/>
  <c r="Q870" i="34"/>
  <c r="P870" i="34"/>
  <c r="O870" i="34"/>
  <c r="N870" i="34"/>
  <c r="M870" i="34"/>
  <c r="L870" i="34"/>
  <c r="K870" i="34"/>
  <c r="J870" i="34"/>
  <c r="I870" i="34"/>
  <c r="BY868" i="34"/>
  <c r="BX868" i="34"/>
  <c r="BW868" i="34"/>
  <c r="BV868" i="34"/>
  <c r="BU868" i="34"/>
  <c r="BT868" i="34"/>
  <c r="BS868" i="34"/>
  <c r="BR868" i="34"/>
  <c r="BQ868" i="34"/>
  <c r="BP868" i="34"/>
  <c r="BO868" i="34"/>
  <c r="BN868" i="34"/>
  <c r="BM868" i="34"/>
  <c r="BL868" i="34"/>
  <c r="BK868" i="34"/>
  <c r="BJ868" i="34"/>
  <c r="BI868" i="34"/>
  <c r="BH868" i="34"/>
  <c r="BG868" i="34"/>
  <c r="BF868" i="34"/>
  <c r="BE868" i="34"/>
  <c r="BD868" i="34"/>
  <c r="BC868" i="34"/>
  <c r="AZ868" i="34"/>
  <c r="AY868" i="34"/>
  <c r="AX868" i="34"/>
  <c r="AW868" i="34"/>
  <c r="AV868" i="34"/>
  <c r="AU868" i="34"/>
  <c r="AT868" i="34"/>
  <c r="AS868" i="34"/>
  <c r="AR868" i="34"/>
  <c r="AQ868" i="34"/>
  <c r="AP868" i="34"/>
  <c r="AO868" i="34"/>
  <c r="AN868" i="34"/>
  <c r="AM868" i="34"/>
  <c r="AL868" i="34"/>
  <c r="AK868" i="34"/>
  <c r="AJ868" i="34"/>
  <c r="AI868" i="34"/>
  <c r="AH868" i="34"/>
  <c r="AG868" i="34"/>
  <c r="AF868" i="34"/>
  <c r="AE868" i="34"/>
  <c r="AD868" i="34"/>
  <c r="AC868" i="34"/>
  <c r="AB868" i="34"/>
  <c r="AA868" i="34"/>
  <c r="Z868" i="34"/>
  <c r="Y868" i="34"/>
  <c r="X868" i="34"/>
  <c r="W868" i="34"/>
  <c r="V868" i="34"/>
  <c r="U868" i="34"/>
  <c r="T868" i="34"/>
  <c r="S868" i="34"/>
  <c r="R868" i="34"/>
  <c r="Q868" i="34"/>
  <c r="P868" i="34"/>
  <c r="O868" i="34"/>
  <c r="N868" i="34"/>
  <c r="M868" i="34"/>
  <c r="L868" i="34"/>
  <c r="K868" i="34"/>
  <c r="J868" i="34"/>
  <c r="I868" i="34"/>
  <c r="BY867" i="34"/>
  <c r="BX867" i="34"/>
  <c r="BW867" i="34"/>
  <c r="BV867" i="34"/>
  <c r="BU867" i="34"/>
  <c r="BT867" i="34"/>
  <c r="BS867" i="34"/>
  <c r="BR867" i="34"/>
  <c r="BQ867" i="34"/>
  <c r="BP867" i="34"/>
  <c r="BO867" i="34"/>
  <c r="BN867" i="34"/>
  <c r="BM867" i="34"/>
  <c r="BL867" i="34"/>
  <c r="BK867" i="34"/>
  <c r="BJ867" i="34"/>
  <c r="BI867" i="34"/>
  <c r="BH867" i="34"/>
  <c r="BG867" i="34"/>
  <c r="BF867" i="34"/>
  <c r="BE867" i="34"/>
  <c r="BD867" i="34"/>
  <c r="BC867" i="34"/>
  <c r="AZ867" i="34"/>
  <c r="AY867" i="34"/>
  <c r="AX867" i="34"/>
  <c r="AW867" i="34"/>
  <c r="AV867" i="34"/>
  <c r="AU867" i="34"/>
  <c r="AT867" i="34"/>
  <c r="AS867" i="34"/>
  <c r="AR867" i="34"/>
  <c r="AQ867" i="34"/>
  <c r="AP867" i="34"/>
  <c r="AO867" i="34"/>
  <c r="AN867" i="34"/>
  <c r="AM867" i="34"/>
  <c r="AL867" i="34"/>
  <c r="AK867" i="34"/>
  <c r="AI867" i="34"/>
  <c r="AH867" i="34"/>
  <c r="AG867" i="34"/>
  <c r="AE867" i="34"/>
  <c r="AD867" i="34"/>
  <c r="AC867" i="34"/>
  <c r="AB867" i="34"/>
  <c r="AA867" i="34"/>
  <c r="Z867" i="34"/>
  <c r="Y867" i="34"/>
  <c r="X867" i="34"/>
  <c r="W867" i="34"/>
  <c r="V867" i="34"/>
  <c r="U867" i="34"/>
  <c r="T867" i="34"/>
  <c r="S867" i="34"/>
  <c r="R867" i="34"/>
  <c r="Q867" i="34"/>
  <c r="P867" i="34"/>
  <c r="O867" i="34"/>
  <c r="N867" i="34"/>
  <c r="M867" i="34"/>
  <c r="L867" i="34"/>
  <c r="K867" i="34"/>
  <c r="J867" i="34"/>
  <c r="I867" i="34"/>
  <c r="BY866" i="34"/>
  <c r="BX866" i="34"/>
  <c r="BW866" i="34"/>
  <c r="BV866" i="34"/>
  <c r="BU866" i="34"/>
  <c r="BT866" i="34"/>
  <c r="BS866" i="34"/>
  <c r="BR866" i="34"/>
  <c r="BQ866" i="34"/>
  <c r="BP866" i="34"/>
  <c r="BO866" i="34"/>
  <c r="BN866" i="34"/>
  <c r="BM866" i="34"/>
  <c r="BJ866" i="34"/>
  <c r="BI866" i="34"/>
  <c r="BH866" i="34"/>
  <c r="BG866" i="34"/>
  <c r="BF866" i="34"/>
  <c r="BE866" i="34"/>
  <c r="BD866" i="34"/>
  <c r="BC866" i="34"/>
  <c r="AZ866" i="34"/>
  <c r="AY866" i="34"/>
  <c r="AX866" i="34"/>
  <c r="AW866" i="34"/>
  <c r="AV866" i="34"/>
  <c r="AU866" i="34"/>
  <c r="AT866" i="34"/>
  <c r="AS866" i="34"/>
  <c r="AR866" i="34"/>
  <c r="AQ866" i="34"/>
  <c r="AP866" i="34"/>
  <c r="AO866" i="34"/>
  <c r="AN866" i="34"/>
  <c r="AM866" i="34"/>
  <c r="AL866" i="34"/>
  <c r="AK866" i="34"/>
  <c r="AJ866" i="34"/>
  <c r="AI866" i="34"/>
  <c r="AH866" i="34"/>
  <c r="AG866" i="34"/>
  <c r="T866" i="34"/>
  <c r="S866" i="34"/>
  <c r="R866" i="34"/>
  <c r="Q866" i="34"/>
  <c r="P866" i="34"/>
  <c r="O866" i="34"/>
  <c r="N866" i="34"/>
  <c r="M866" i="34"/>
  <c r="L866" i="34"/>
  <c r="K866" i="34"/>
  <c r="J866" i="34"/>
  <c r="I866" i="34"/>
  <c r="BY865" i="34"/>
  <c r="BX865" i="34"/>
  <c r="BW865" i="34"/>
  <c r="BV865" i="34"/>
  <c r="BU865" i="34"/>
  <c r="BT865" i="34"/>
  <c r="BS865" i="34"/>
  <c r="BR865" i="34"/>
  <c r="BQ865" i="34"/>
  <c r="BP865" i="34"/>
  <c r="BO865" i="34"/>
  <c r="BN865" i="34"/>
  <c r="BM865" i="34"/>
  <c r="BL865" i="34"/>
  <c r="BK865" i="34"/>
  <c r="BJ865" i="34"/>
  <c r="BI865" i="34"/>
  <c r="BH865" i="34"/>
  <c r="BG865" i="34"/>
  <c r="BF865" i="34"/>
  <c r="BE865" i="34"/>
  <c r="BD865" i="34"/>
  <c r="BC865" i="34"/>
  <c r="AZ865" i="34"/>
  <c r="AY865" i="34"/>
  <c r="AX865" i="34"/>
  <c r="AW865" i="34"/>
  <c r="AV865" i="34"/>
  <c r="AU865" i="34"/>
  <c r="AT865" i="34"/>
  <c r="AS865" i="34"/>
  <c r="AR865" i="34"/>
  <c r="AQ865" i="34"/>
  <c r="AP865" i="34"/>
  <c r="AO865" i="34"/>
  <c r="AN865" i="34"/>
  <c r="AM865" i="34"/>
  <c r="AL865" i="34"/>
  <c r="AK865" i="34"/>
  <c r="AJ865" i="34"/>
  <c r="AI865" i="34"/>
  <c r="AH865" i="34"/>
  <c r="AG865" i="34"/>
  <c r="AF865" i="34"/>
  <c r="AE865" i="34"/>
  <c r="AD865" i="34"/>
  <c r="AC865" i="34"/>
  <c r="AB865" i="34"/>
  <c r="AA865" i="34"/>
  <c r="Z865" i="34"/>
  <c r="Y865" i="34"/>
  <c r="X865" i="34"/>
  <c r="W865" i="34"/>
  <c r="V865" i="34"/>
  <c r="U865" i="34"/>
  <c r="T865" i="34"/>
  <c r="S865" i="34"/>
  <c r="R865" i="34"/>
  <c r="Q865" i="34"/>
  <c r="P865" i="34"/>
  <c r="O865" i="34"/>
  <c r="N865" i="34"/>
  <c r="M865" i="34"/>
  <c r="L865" i="34"/>
  <c r="K865" i="34"/>
  <c r="J865" i="34"/>
  <c r="I865" i="34"/>
  <c r="BL864" i="34"/>
  <c r="BK864" i="34"/>
  <c r="BJ864" i="34"/>
  <c r="BI864" i="34"/>
  <c r="BH864" i="34"/>
  <c r="BG864" i="34"/>
  <c r="BF864" i="34"/>
  <c r="BE864" i="34"/>
  <c r="X864" i="34"/>
  <c r="W864" i="34"/>
  <c r="V864" i="34"/>
  <c r="U864" i="34"/>
  <c r="T864" i="34"/>
  <c r="S864" i="34"/>
  <c r="R864" i="34"/>
  <c r="Q864" i="34"/>
  <c r="P864" i="34"/>
  <c r="O864" i="34"/>
  <c r="N864" i="34"/>
  <c r="M864" i="34"/>
  <c r="L864" i="34"/>
  <c r="K864" i="34"/>
  <c r="J864" i="34"/>
  <c r="I864" i="34"/>
  <c r="BL863" i="34"/>
  <c r="BK863" i="34"/>
  <c r="BJ863" i="34"/>
  <c r="BI863" i="34"/>
  <c r="BH863" i="34"/>
  <c r="BG863" i="34"/>
  <c r="BF863" i="34"/>
  <c r="BE863" i="34"/>
  <c r="X863" i="34"/>
  <c r="W863" i="34"/>
  <c r="V863" i="34"/>
  <c r="U863" i="34"/>
  <c r="T863" i="34"/>
  <c r="S863" i="34"/>
  <c r="R863" i="34"/>
  <c r="Q863" i="34"/>
  <c r="P863" i="34"/>
  <c r="O863" i="34"/>
  <c r="N863" i="34"/>
  <c r="M863" i="34"/>
  <c r="L863" i="34"/>
  <c r="K863" i="34"/>
  <c r="J863" i="34"/>
  <c r="I863" i="34"/>
  <c r="BK862" i="34"/>
  <c r="BJ862" i="34"/>
  <c r="BI862" i="34"/>
  <c r="BH862" i="34"/>
  <c r="BG862" i="34"/>
  <c r="BF862" i="34"/>
  <c r="BE862" i="34"/>
  <c r="T862" i="34"/>
  <c r="S862" i="34"/>
  <c r="R862" i="34"/>
  <c r="Q862" i="34"/>
  <c r="P862" i="34"/>
  <c r="O862" i="34"/>
  <c r="N862" i="34"/>
  <c r="M862" i="34"/>
  <c r="L862" i="34"/>
  <c r="K862" i="34"/>
  <c r="J862" i="34"/>
  <c r="I862" i="34"/>
  <c r="BY861" i="34"/>
  <c r="BX861" i="34"/>
  <c r="BW861" i="34"/>
  <c r="BV861" i="34"/>
  <c r="BU861" i="34"/>
  <c r="BT861" i="34"/>
  <c r="BS861" i="34"/>
  <c r="BR861" i="34"/>
  <c r="BQ861" i="34"/>
  <c r="BP861" i="34"/>
  <c r="BO861" i="34"/>
  <c r="BN861" i="34"/>
  <c r="BM861" i="34"/>
  <c r="BL861" i="34"/>
  <c r="BK861" i="34"/>
  <c r="BJ861" i="34"/>
  <c r="BI861" i="34"/>
  <c r="BH861" i="34"/>
  <c r="BG861" i="34"/>
  <c r="BF861" i="34"/>
  <c r="BE861" i="34"/>
  <c r="BD861" i="34"/>
  <c r="BC861" i="34"/>
  <c r="AZ861" i="34"/>
  <c r="AY861" i="34"/>
  <c r="AX861" i="34"/>
  <c r="AW861" i="34"/>
  <c r="AV861" i="34"/>
  <c r="AU861" i="34"/>
  <c r="AT861" i="34"/>
  <c r="AS861" i="34"/>
  <c r="AR861" i="34"/>
  <c r="AQ861" i="34"/>
  <c r="AP861" i="34"/>
  <c r="AO861" i="34"/>
  <c r="AN861" i="34"/>
  <c r="AM861" i="34"/>
  <c r="AL861" i="34"/>
  <c r="AK861" i="34"/>
  <c r="AJ861" i="34"/>
  <c r="AI861" i="34"/>
  <c r="AH861" i="34"/>
  <c r="AG861" i="34"/>
  <c r="AF861" i="34"/>
  <c r="AE861" i="34"/>
  <c r="AD861" i="34"/>
  <c r="AC861" i="34"/>
  <c r="AB861" i="34"/>
  <c r="AA861" i="34"/>
  <c r="Z861" i="34"/>
  <c r="Y861" i="34"/>
  <c r="X861" i="34"/>
  <c r="W861" i="34"/>
  <c r="V861" i="34"/>
  <c r="U861" i="34"/>
  <c r="T861" i="34"/>
  <c r="S861" i="34"/>
  <c r="R861" i="34"/>
  <c r="Q861" i="34"/>
  <c r="P861" i="34"/>
  <c r="O861" i="34"/>
  <c r="N861" i="34"/>
  <c r="M861" i="34"/>
  <c r="L861" i="34"/>
  <c r="K861" i="34"/>
  <c r="J861" i="34"/>
  <c r="I861" i="34"/>
  <c r="BY860" i="34"/>
  <c r="BX860" i="34"/>
  <c r="BW860" i="34"/>
  <c r="BV860" i="34"/>
  <c r="BU860" i="34"/>
  <c r="BT860" i="34"/>
  <c r="BS860" i="34"/>
  <c r="BR860" i="34"/>
  <c r="BQ860" i="34"/>
  <c r="BP860" i="34"/>
  <c r="BO860" i="34"/>
  <c r="BN860" i="34"/>
  <c r="BM860" i="34"/>
  <c r="BL860" i="34"/>
  <c r="BK860" i="34"/>
  <c r="BJ860" i="34"/>
  <c r="BI860" i="34"/>
  <c r="BH860" i="34"/>
  <c r="BG860" i="34"/>
  <c r="BF860" i="34"/>
  <c r="BE860" i="34"/>
  <c r="BD860" i="34"/>
  <c r="BC860" i="34"/>
  <c r="AZ860" i="34"/>
  <c r="AY860" i="34"/>
  <c r="AX860" i="34"/>
  <c r="AW860" i="34"/>
  <c r="AV860" i="34"/>
  <c r="AU860" i="34"/>
  <c r="AT860" i="34"/>
  <c r="AS860" i="34"/>
  <c r="AR860" i="34"/>
  <c r="AQ860" i="34"/>
  <c r="AP860" i="34"/>
  <c r="AO860" i="34"/>
  <c r="AN860" i="34"/>
  <c r="AM860" i="34"/>
  <c r="AL860" i="34"/>
  <c r="AK860" i="34"/>
  <c r="AJ860" i="34"/>
  <c r="AI860" i="34"/>
  <c r="AH860" i="34"/>
  <c r="AG860" i="34"/>
  <c r="AF860" i="34"/>
  <c r="AE860" i="34"/>
  <c r="AD860" i="34"/>
  <c r="AC860" i="34"/>
  <c r="AB860" i="34"/>
  <c r="AA860" i="34"/>
  <c r="Z860" i="34"/>
  <c r="Y860" i="34"/>
  <c r="X860" i="34"/>
  <c r="W860" i="34"/>
  <c r="V860" i="34"/>
  <c r="U860" i="34"/>
  <c r="T860" i="34"/>
  <c r="S860" i="34"/>
  <c r="R860" i="34"/>
  <c r="Q860" i="34"/>
  <c r="P860" i="34"/>
  <c r="O860" i="34"/>
  <c r="N860" i="34"/>
  <c r="M860" i="34"/>
  <c r="L860" i="34"/>
  <c r="K860" i="34"/>
  <c r="J860" i="34"/>
  <c r="I860" i="34"/>
  <c r="BY859" i="34"/>
  <c r="BX859" i="34"/>
  <c r="BW859" i="34"/>
  <c r="BV859" i="34"/>
  <c r="BU859" i="34"/>
  <c r="BT859" i="34"/>
  <c r="BS859" i="34"/>
  <c r="BR859" i="34"/>
  <c r="BQ859" i="34"/>
  <c r="BP859" i="34"/>
  <c r="BO859" i="34"/>
  <c r="BN859" i="34"/>
  <c r="BM859" i="34"/>
  <c r="BL859" i="34"/>
  <c r="BK859" i="34"/>
  <c r="BJ859" i="34"/>
  <c r="BI859" i="34"/>
  <c r="BH859" i="34"/>
  <c r="BG859" i="34"/>
  <c r="BF859" i="34"/>
  <c r="BE859" i="34"/>
  <c r="BD859" i="34"/>
  <c r="BC859" i="34"/>
  <c r="AZ859" i="34"/>
  <c r="AY859" i="34"/>
  <c r="AX859" i="34"/>
  <c r="AW859" i="34"/>
  <c r="AV859" i="34"/>
  <c r="AU859" i="34"/>
  <c r="AT859" i="34"/>
  <c r="AS859" i="34"/>
  <c r="AR859" i="34"/>
  <c r="AQ859" i="34"/>
  <c r="AP859" i="34"/>
  <c r="AO859" i="34"/>
  <c r="AN859" i="34"/>
  <c r="AM859" i="34"/>
  <c r="AL859" i="34"/>
  <c r="AK859" i="34"/>
  <c r="AJ859" i="34"/>
  <c r="AI859" i="34"/>
  <c r="AH859" i="34"/>
  <c r="AG859" i="34"/>
  <c r="AF859" i="34"/>
  <c r="AE859" i="34"/>
  <c r="AD859" i="34"/>
  <c r="AC859" i="34"/>
  <c r="AB859" i="34"/>
  <c r="AA859" i="34"/>
  <c r="Z859" i="34"/>
  <c r="Y859" i="34"/>
  <c r="X859" i="34"/>
  <c r="W859" i="34"/>
  <c r="V859" i="34"/>
  <c r="U859" i="34"/>
  <c r="T859" i="34"/>
  <c r="S859" i="34"/>
  <c r="R859" i="34"/>
  <c r="Q859" i="34"/>
  <c r="P859" i="34"/>
  <c r="O859" i="34"/>
  <c r="N859" i="34"/>
  <c r="M859" i="34"/>
  <c r="L859" i="34"/>
  <c r="K859" i="34"/>
  <c r="J859" i="34"/>
  <c r="I859" i="34"/>
  <c r="BL858" i="34"/>
  <c r="BK858" i="34"/>
  <c r="BJ858" i="34"/>
  <c r="BI858" i="34"/>
  <c r="BH858" i="34"/>
  <c r="BG858" i="34"/>
  <c r="BF858" i="34"/>
  <c r="BE858" i="34"/>
  <c r="AL858" i="34"/>
  <c r="AK858" i="34"/>
  <c r="AI858" i="34"/>
  <c r="AH858" i="34"/>
  <c r="AF858" i="34"/>
  <c r="AE858" i="34"/>
  <c r="AD858" i="34"/>
  <c r="AC858" i="34"/>
  <c r="AB858" i="34"/>
  <c r="AA858" i="34"/>
  <c r="Z858" i="34"/>
  <c r="Y858" i="34"/>
  <c r="X858" i="34"/>
  <c r="W858" i="34"/>
  <c r="V858" i="34"/>
  <c r="U858" i="34"/>
  <c r="T858" i="34"/>
  <c r="S858" i="34"/>
  <c r="R858" i="34"/>
  <c r="Q858" i="34"/>
  <c r="P858" i="34"/>
  <c r="O858" i="34"/>
  <c r="N858" i="34"/>
  <c r="M858" i="34"/>
  <c r="L858" i="34"/>
  <c r="K858" i="34"/>
  <c r="J858" i="34"/>
  <c r="I858" i="34"/>
  <c r="BJ857" i="34"/>
  <c r="BI857" i="34"/>
  <c r="BH857" i="34"/>
  <c r="BG857" i="34"/>
  <c r="BF857" i="34"/>
  <c r="BE857" i="34"/>
  <c r="AL857" i="34"/>
  <c r="AK857" i="34"/>
  <c r="AJ857" i="34"/>
  <c r="AI857" i="34"/>
  <c r="AH857" i="34"/>
  <c r="AG857" i="34"/>
  <c r="T857" i="34"/>
  <c r="S857" i="34"/>
  <c r="R857" i="34"/>
  <c r="Q857" i="34"/>
  <c r="P857" i="34"/>
  <c r="O857" i="34"/>
  <c r="N857" i="34"/>
  <c r="M857" i="34"/>
  <c r="L857" i="34"/>
  <c r="K857" i="34"/>
  <c r="J857" i="34"/>
  <c r="I857" i="34"/>
  <c r="BY856" i="34"/>
  <c r="BX856" i="34"/>
  <c r="BW856" i="34"/>
  <c r="BV856" i="34"/>
  <c r="BU856" i="34"/>
  <c r="BT856" i="34"/>
  <c r="BS856" i="34"/>
  <c r="BR856" i="34"/>
  <c r="BQ856" i="34"/>
  <c r="BP856" i="34"/>
  <c r="BO856" i="34"/>
  <c r="BN856" i="34"/>
  <c r="BM856" i="34"/>
  <c r="BL856" i="34"/>
  <c r="BK856" i="34"/>
  <c r="BJ856" i="34"/>
  <c r="BI856" i="34"/>
  <c r="BH856" i="34"/>
  <c r="BG856" i="34"/>
  <c r="BF856" i="34"/>
  <c r="BE856" i="34"/>
  <c r="BD856" i="34"/>
  <c r="BC856" i="34"/>
  <c r="AZ856" i="34"/>
  <c r="AY856" i="34"/>
  <c r="AX856" i="34"/>
  <c r="AW856" i="34"/>
  <c r="AV856" i="34"/>
  <c r="AU856" i="34"/>
  <c r="AT856" i="34"/>
  <c r="AS856" i="34"/>
  <c r="AR856" i="34"/>
  <c r="AQ856" i="34"/>
  <c r="AP856" i="34"/>
  <c r="AO856" i="34"/>
  <c r="AN856" i="34"/>
  <c r="AM856" i="34"/>
  <c r="AL856" i="34"/>
  <c r="AK856" i="34"/>
  <c r="AJ856" i="34"/>
  <c r="AI856" i="34"/>
  <c r="AH856" i="34"/>
  <c r="AG856" i="34"/>
  <c r="AF856" i="34"/>
  <c r="AE856" i="34"/>
  <c r="AD856" i="34"/>
  <c r="AC856" i="34"/>
  <c r="AB856" i="34"/>
  <c r="AA856" i="34"/>
  <c r="Z856" i="34"/>
  <c r="Y856" i="34"/>
  <c r="X856" i="34"/>
  <c r="W856" i="34"/>
  <c r="V856" i="34"/>
  <c r="U856" i="34"/>
  <c r="T856" i="34"/>
  <c r="S856" i="34"/>
  <c r="R856" i="34"/>
  <c r="Q856" i="34"/>
  <c r="P856" i="34"/>
  <c r="O856" i="34"/>
  <c r="N856" i="34"/>
  <c r="M856" i="34"/>
  <c r="L856" i="34"/>
  <c r="K856" i="34"/>
  <c r="J856" i="34"/>
  <c r="I856" i="34"/>
  <c r="BY855" i="34"/>
  <c r="BX855" i="34"/>
  <c r="BW855" i="34"/>
  <c r="BV855" i="34"/>
  <c r="BU855" i="34"/>
  <c r="BT855" i="34"/>
  <c r="BS855" i="34"/>
  <c r="BR855" i="34"/>
  <c r="BQ855" i="34"/>
  <c r="BP855" i="34"/>
  <c r="BO855" i="34"/>
  <c r="BN855" i="34"/>
  <c r="BM855" i="34"/>
  <c r="BL855" i="34"/>
  <c r="BK855" i="34"/>
  <c r="BJ855" i="34"/>
  <c r="BI855" i="34"/>
  <c r="BH855" i="34"/>
  <c r="BG855" i="34"/>
  <c r="BF855" i="34"/>
  <c r="BE855" i="34"/>
  <c r="BD855" i="34"/>
  <c r="BC855" i="34"/>
  <c r="AZ855" i="34"/>
  <c r="AY855" i="34"/>
  <c r="AX855" i="34"/>
  <c r="AW855" i="34"/>
  <c r="AV855" i="34"/>
  <c r="AU855" i="34"/>
  <c r="AT855" i="34"/>
  <c r="AS855" i="34"/>
  <c r="AR855" i="34"/>
  <c r="AQ855" i="34"/>
  <c r="AP855" i="34"/>
  <c r="AO855" i="34"/>
  <c r="AN855" i="34"/>
  <c r="AM855" i="34"/>
  <c r="AL855" i="34"/>
  <c r="AK855" i="34"/>
  <c r="AJ855" i="34"/>
  <c r="AI855" i="34"/>
  <c r="AH855" i="34"/>
  <c r="AG855" i="34"/>
  <c r="AF855" i="34"/>
  <c r="AE855" i="34"/>
  <c r="AD855" i="34"/>
  <c r="AC855" i="34"/>
  <c r="AB855" i="34"/>
  <c r="AA855" i="34"/>
  <c r="Z855" i="34"/>
  <c r="Y855" i="34"/>
  <c r="X855" i="34"/>
  <c r="W855" i="34"/>
  <c r="V855" i="34"/>
  <c r="U855" i="34"/>
  <c r="T855" i="34"/>
  <c r="S855" i="34"/>
  <c r="R855" i="34"/>
  <c r="Q855" i="34"/>
  <c r="P855" i="34"/>
  <c r="O855" i="34"/>
  <c r="N855" i="34"/>
  <c r="M855" i="34"/>
  <c r="L855" i="34"/>
  <c r="K855" i="34"/>
  <c r="J855" i="34"/>
  <c r="I855" i="34"/>
  <c r="BY853" i="34"/>
  <c r="BX853" i="34"/>
  <c r="BW853" i="34"/>
  <c r="BV853" i="34"/>
  <c r="BU853" i="34"/>
  <c r="BT853" i="34"/>
  <c r="BS853" i="34"/>
  <c r="BR853" i="34"/>
  <c r="BQ853" i="34"/>
  <c r="BP853" i="34"/>
  <c r="BO853" i="34"/>
  <c r="BN853" i="34"/>
  <c r="BM853" i="34"/>
  <c r="BL853" i="34"/>
  <c r="BK853" i="34"/>
  <c r="BJ853" i="34"/>
  <c r="BI853" i="34"/>
  <c r="BH853" i="34"/>
  <c r="BG853" i="34"/>
  <c r="BF853" i="34"/>
  <c r="BE853" i="34"/>
  <c r="BD853" i="34"/>
  <c r="BC853" i="34"/>
  <c r="AZ853" i="34"/>
  <c r="AY853" i="34"/>
  <c r="AX853" i="34"/>
  <c r="AW853" i="34"/>
  <c r="AV853" i="34"/>
  <c r="AU853" i="34"/>
  <c r="AT853" i="34"/>
  <c r="AS853" i="34"/>
  <c r="AR853" i="34"/>
  <c r="AQ853" i="34"/>
  <c r="AP853" i="34"/>
  <c r="AO853" i="34"/>
  <c r="AN853" i="34"/>
  <c r="AM853" i="34"/>
  <c r="AL853" i="34"/>
  <c r="AK853" i="34"/>
  <c r="AJ853" i="34"/>
  <c r="AI853" i="34"/>
  <c r="AH853" i="34"/>
  <c r="AG853" i="34"/>
  <c r="AF853" i="34"/>
  <c r="AE853" i="34"/>
  <c r="AD853" i="34"/>
  <c r="AC853" i="34"/>
  <c r="AB853" i="34"/>
  <c r="AA853" i="34"/>
  <c r="Z853" i="34"/>
  <c r="Y853" i="34"/>
  <c r="X853" i="34"/>
  <c r="W853" i="34"/>
  <c r="V853" i="34"/>
  <c r="U853" i="34"/>
  <c r="T853" i="34"/>
  <c r="S853" i="34"/>
  <c r="R853" i="34"/>
  <c r="Q853" i="34"/>
  <c r="P853" i="34"/>
  <c r="O853" i="34"/>
  <c r="N853" i="34"/>
  <c r="M853" i="34"/>
  <c r="L853" i="34"/>
  <c r="K853" i="34"/>
  <c r="J853" i="34"/>
  <c r="I853" i="34"/>
  <c r="BY852" i="34"/>
  <c r="BX852" i="34"/>
  <c r="BW852" i="34"/>
  <c r="BV852" i="34"/>
  <c r="BU852" i="34"/>
  <c r="BT852" i="34"/>
  <c r="BS852" i="34"/>
  <c r="BR852" i="34"/>
  <c r="BQ852" i="34"/>
  <c r="BP852" i="34"/>
  <c r="BO852" i="34"/>
  <c r="BN852" i="34"/>
  <c r="BM852" i="34"/>
  <c r="BL852" i="34"/>
  <c r="BK852" i="34"/>
  <c r="BJ852" i="34"/>
  <c r="BI852" i="34"/>
  <c r="BH852" i="34"/>
  <c r="BG852" i="34"/>
  <c r="BF852" i="34"/>
  <c r="BE852" i="34"/>
  <c r="BD852" i="34"/>
  <c r="BC852" i="34"/>
  <c r="AZ852" i="34"/>
  <c r="AY852" i="34"/>
  <c r="AX852" i="34"/>
  <c r="AW852" i="34"/>
  <c r="AV852" i="34"/>
  <c r="AU852" i="34"/>
  <c r="AT852" i="34"/>
  <c r="AS852" i="34"/>
  <c r="AR852" i="34"/>
  <c r="AQ852" i="34"/>
  <c r="AP852" i="34"/>
  <c r="AO852" i="34"/>
  <c r="AN852" i="34"/>
  <c r="AM852" i="34"/>
  <c r="AL852" i="34"/>
  <c r="AK852" i="34"/>
  <c r="AI852" i="34"/>
  <c r="AH852" i="34"/>
  <c r="AG852" i="34"/>
  <c r="AF852" i="34"/>
  <c r="AE852" i="34"/>
  <c r="AD852" i="34"/>
  <c r="AC852" i="34"/>
  <c r="AB852" i="34"/>
  <c r="AA852" i="34"/>
  <c r="Z852" i="34"/>
  <c r="Y852" i="34"/>
  <c r="X852" i="34"/>
  <c r="W852" i="34"/>
  <c r="V852" i="34"/>
  <c r="U852" i="34"/>
  <c r="T852" i="34"/>
  <c r="S852" i="34"/>
  <c r="R852" i="34"/>
  <c r="Q852" i="34"/>
  <c r="P852" i="34"/>
  <c r="O852" i="34"/>
  <c r="N852" i="34"/>
  <c r="M852" i="34"/>
  <c r="L852" i="34"/>
  <c r="K852" i="34"/>
  <c r="J852" i="34"/>
  <c r="I852" i="34"/>
  <c r="BY851" i="34"/>
  <c r="BX851" i="34"/>
  <c r="BW851" i="34"/>
  <c r="BV851" i="34"/>
  <c r="BU851" i="34"/>
  <c r="BT851" i="34"/>
  <c r="BS851" i="34"/>
  <c r="BR851" i="34"/>
  <c r="BQ851" i="34"/>
  <c r="BP851" i="34"/>
  <c r="BO851" i="34"/>
  <c r="BN851" i="34"/>
  <c r="BM851" i="34"/>
  <c r="BJ851" i="34"/>
  <c r="BI851" i="34"/>
  <c r="BH851" i="34"/>
  <c r="BG851" i="34"/>
  <c r="BF851" i="34"/>
  <c r="BE851" i="34"/>
  <c r="BD851" i="34"/>
  <c r="BC851" i="34"/>
  <c r="AZ851" i="34"/>
  <c r="AY851" i="34"/>
  <c r="AX851" i="34"/>
  <c r="AW851" i="34"/>
  <c r="AV851" i="34"/>
  <c r="AU851" i="34"/>
  <c r="AT851" i="34"/>
  <c r="AS851" i="34"/>
  <c r="AR851" i="34"/>
  <c r="AQ851" i="34"/>
  <c r="AP851" i="34"/>
  <c r="AO851" i="34"/>
  <c r="AN851" i="34"/>
  <c r="AM851" i="34"/>
  <c r="AL851" i="34"/>
  <c r="AK851" i="34"/>
  <c r="AJ851" i="34"/>
  <c r="AI851" i="34"/>
  <c r="AH851" i="34"/>
  <c r="AG851" i="34"/>
  <c r="AF851" i="34"/>
  <c r="T851" i="34"/>
  <c r="S851" i="34"/>
  <c r="R851" i="34"/>
  <c r="Q851" i="34"/>
  <c r="P851" i="34"/>
  <c r="O851" i="34"/>
  <c r="N851" i="34"/>
  <c r="M851" i="34"/>
  <c r="L851" i="34"/>
  <c r="K851" i="34"/>
  <c r="J851" i="34"/>
  <c r="I851" i="34"/>
  <c r="BY850" i="34"/>
  <c r="BX850" i="34"/>
  <c r="BW850" i="34"/>
  <c r="BV850" i="34"/>
  <c r="BU850" i="34"/>
  <c r="BT850" i="34"/>
  <c r="BS850" i="34"/>
  <c r="BR850" i="34"/>
  <c r="BQ850" i="34"/>
  <c r="BP850" i="34"/>
  <c r="BO850" i="34"/>
  <c r="BN850" i="34"/>
  <c r="BM850" i="34"/>
  <c r="BL850" i="34"/>
  <c r="BK850" i="34"/>
  <c r="BJ850" i="34"/>
  <c r="BI850" i="34"/>
  <c r="BH850" i="34"/>
  <c r="BG850" i="34"/>
  <c r="BF850" i="34"/>
  <c r="BE850" i="34"/>
  <c r="BD850" i="34"/>
  <c r="BC850" i="34"/>
  <c r="AZ850" i="34"/>
  <c r="AY850" i="34"/>
  <c r="AX850" i="34"/>
  <c r="AW850" i="34"/>
  <c r="AV850" i="34"/>
  <c r="AU850" i="34"/>
  <c r="AT850" i="34"/>
  <c r="AS850" i="34"/>
  <c r="AR850" i="34"/>
  <c r="AQ850" i="34"/>
  <c r="AP850" i="34"/>
  <c r="AO850" i="34"/>
  <c r="AN850" i="34"/>
  <c r="AM850" i="34"/>
  <c r="AL850" i="34"/>
  <c r="AK850" i="34"/>
  <c r="AJ850" i="34"/>
  <c r="AI850" i="34"/>
  <c r="AH850" i="34"/>
  <c r="AG850" i="34"/>
  <c r="AF850" i="34"/>
  <c r="AE850" i="34"/>
  <c r="AD850" i="34"/>
  <c r="AC850" i="34"/>
  <c r="AB850" i="34"/>
  <c r="AA850" i="34"/>
  <c r="Z850" i="34"/>
  <c r="Y850" i="34"/>
  <c r="X850" i="34"/>
  <c r="W850" i="34"/>
  <c r="V850" i="34"/>
  <c r="U850" i="34"/>
  <c r="T850" i="34"/>
  <c r="S850" i="34"/>
  <c r="R850" i="34"/>
  <c r="Q850" i="34"/>
  <c r="P850" i="34"/>
  <c r="O850" i="34"/>
  <c r="N850" i="34"/>
  <c r="M850" i="34"/>
  <c r="L850" i="34"/>
  <c r="K850" i="34"/>
  <c r="J850" i="34"/>
  <c r="I850" i="34"/>
  <c r="BL849" i="34"/>
  <c r="BK849" i="34"/>
  <c r="BJ849" i="34"/>
  <c r="BI849" i="34"/>
  <c r="BH849" i="34"/>
  <c r="BG849" i="34"/>
  <c r="BF849" i="34"/>
  <c r="BE849" i="34"/>
  <c r="X849" i="34"/>
  <c r="W849" i="34"/>
  <c r="V849" i="34"/>
  <c r="U849" i="34"/>
  <c r="T849" i="34"/>
  <c r="S849" i="34"/>
  <c r="R849" i="34"/>
  <c r="Q849" i="34"/>
  <c r="P849" i="34"/>
  <c r="O849" i="34"/>
  <c r="N849" i="34"/>
  <c r="M849" i="34"/>
  <c r="L849" i="34"/>
  <c r="K849" i="34"/>
  <c r="J849" i="34"/>
  <c r="I849" i="34"/>
  <c r="BL848" i="34"/>
  <c r="BK848" i="34"/>
  <c r="BJ848" i="34"/>
  <c r="BI848" i="34"/>
  <c r="BH848" i="34"/>
  <c r="BG848" i="34"/>
  <c r="BF848" i="34"/>
  <c r="BE848" i="34"/>
  <c r="X848" i="34"/>
  <c r="W848" i="34"/>
  <c r="V848" i="34"/>
  <c r="U848" i="34"/>
  <c r="T848" i="34"/>
  <c r="S848" i="34"/>
  <c r="R848" i="34"/>
  <c r="Q848" i="34"/>
  <c r="P848" i="34"/>
  <c r="O848" i="34"/>
  <c r="N848" i="34"/>
  <c r="M848" i="34"/>
  <c r="L848" i="34"/>
  <c r="K848" i="34"/>
  <c r="J848" i="34"/>
  <c r="I848" i="34"/>
  <c r="BK847" i="34"/>
  <c r="BJ847" i="34"/>
  <c r="BI847" i="34"/>
  <c r="BH847" i="34"/>
  <c r="BG847" i="34"/>
  <c r="BF847" i="34"/>
  <c r="BE847" i="34"/>
  <c r="T847" i="34"/>
  <c r="S847" i="34"/>
  <c r="R847" i="34"/>
  <c r="Q847" i="34"/>
  <c r="P847" i="34"/>
  <c r="O847" i="34"/>
  <c r="N847" i="34"/>
  <c r="M847" i="34"/>
  <c r="L847" i="34"/>
  <c r="K847" i="34"/>
  <c r="J847" i="34"/>
  <c r="I847" i="34"/>
  <c r="BY846" i="34"/>
  <c r="BX846" i="34"/>
  <c r="BW846" i="34"/>
  <c r="BV846" i="34"/>
  <c r="BU846" i="34"/>
  <c r="BT846" i="34"/>
  <c r="BS846" i="34"/>
  <c r="BR846" i="34"/>
  <c r="BQ846" i="34"/>
  <c r="BP846" i="34"/>
  <c r="BO846" i="34"/>
  <c r="BN846" i="34"/>
  <c r="BM846" i="34"/>
  <c r="BL846" i="34"/>
  <c r="BK846" i="34"/>
  <c r="BJ846" i="34"/>
  <c r="BI846" i="34"/>
  <c r="BH846" i="34"/>
  <c r="BG846" i="34"/>
  <c r="BF846" i="34"/>
  <c r="BE846" i="34"/>
  <c r="BD846" i="34"/>
  <c r="BC846" i="34"/>
  <c r="AZ846" i="34"/>
  <c r="AY846" i="34"/>
  <c r="AX846" i="34"/>
  <c r="AW846" i="34"/>
  <c r="AV846" i="34"/>
  <c r="AU846" i="34"/>
  <c r="AT846" i="34"/>
  <c r="AS846" i="34"/>
  <c r="AR846" i="34"/>
  <c r="AQ846" i="34"/>
  <c r="AP846" i="34"/>
  <c r="AO846" i="34"/>
  <c r="AN846" i="34"/>
  <c r="AM846" i="34"/>
  <c r="AL846" i="34"/>
  <c r="AK846" i="34"/>
  <c r="AJ846" i="34"/>
  <c r="AI846" i="34"/>
  <c r="AH846" i="34"/>
  <c r="AG846" i="34"/>
  <c r="AF846" i="34"/>
  <c r="AE846" i="34"/>
  <c r="AD846" i="34"/>
  <c r="AB846" i="34"/>
  <c r="AA846" i="34"/>
  <c r="Z846" i="34"/>
  <c r="Y846" i="34"/>
  <c r="X846" i="34"/>
  <c r="W846" i="34"/>
  <c r="V846" i="34"/>
  <c r="U846" i="34"/>
  <c r="T846" i="34"/>
  <c r="S846" i="34"/>
  <c r="R846" i="34"/>
  <c r="Q846" i="34"/>
  <c r="P846" i="34"/>
  <c r="O846" i="34"/>
  <c r="N846" i="34"/>
  <c r="M846" i="34"/>
  <c r="L846" i="34"/>
  <c r="K846" i="34"/>
  <c r="J846" i="34"/>
  <c r="I846" i="34"/>
  <c r="BY845" i="34"/>
  <c r="BX845" i="34"/>
  <c r="BW845" i="34"/>
  <c r="BV845" i="34"/>
  <c r="BU845" i="34"/>
  <c r="BT845" i="34"/>
  <c r="BS845" i="34"/>
  <c r="BR845" i="34"/>
  <c r="BQ845" i="34"/>
  <c r="BP845" i="34"/>
  <c r="BO845" i="34"/>
  <c r="BN845" i="34"/>
  <c r="BM845" i="34"/>
  <c r="BL845" i="34"/>
  <c r="BK845" i="34"/>
  <c r="BJ845" i="34"/>
  <c r="BI845" i="34"/>
  <c r="BH845" i="34"/>
  <c r="BG845" i="34"/>
  <c r="BF845" i="34"/>
  <c r="BE845" i="34"/>
  <c r="BD845" i="34"/>
  <c r="BC845" i="34"/>
  <c r="AZ845" i="34"/>
  <c r="AY845" i="34"/>
  <c r="AX845" i="34"/>
  <c r="AW845" i="34"/>
  <c r="AV845" i="34"/>
  <c r="AU845" i="34"/>
  <c r="AT845" i="34"/>
  <c r="AS845" i="34"/>
  <c r="AR845" i="34"/>
  <c r="AQ845" i="34"/>
  <c r="AP845" i="34"/>
  <c r="AO845" i="34"/>
  <c r="AN845" i="34"/>
  <c r="AM845" i="34"/>
  <c r="AL845" i="34"/>
  <c r="AK845" i="34"/>
  <c r="AJ845" i="34"/>
  <c r="AI845" i="34"/>
  <c r="AH845" i="34"/>
  <c r="AG845" i="34"/>
  <c r="AF845" i="34"/>
  <c r="AE845" i="34"/>
  <c r="AD845" i="34"/>
  <c r="AC845" i="34"/>
  <c r="AB845" i="34"/>
  <c r="AA845" i="34"/>
  <c r="Z845" i="34"/>
  <c r="Y845" i="34"/>
  <c r="X845" i="34"/>
  <c r="W845" i="34"/>
  <c r="V845" i="34"/>
  <c r="U845" i="34"/>
  <c r="T845" i="34"/>
  <c r="S845" i="34"/>
  <c r="R845" i="34"/>
  <c r="Q845" i="34"/>
  <c r="P845" i="34"/>
  <c r="O845" i="34"/>
  <c r="N845" i="34"/>
  <c r="M845" i="34"/>
  <c r="L845" i="34"/>
  <c r="K845" i="34"/>
  <c r="J845" i="34"/>
  <c r="I845" i="34"/>
  <c r="BY844" i="34"/>
  <c r="BX844" i="34"/>
  <c r="BW844" i="34"/>
  <c r="BV844" i="34"/>
  <c r="BU844" i="34"/>
  <c r="BT844" i="34"/>
  <c r="BS844" i="34"/>
  <c r="BR844" i="34"/>
  <c r="BQ844" i="34"/>
  <c r="BP844" i="34"/>
  <c r="BO844" i="34"/>
  <c r="BN844" i="34"/>
  <c r="BM844" i="34"/>
  <c r="BL844" i="34"/>
  <c r="BK844" i="34"/>
  <c r="BJ844" i="34"/>
  <c r="BI844" i="34"/>
  <c r="BH844" i="34"/>
  <c r="BG844" i="34"/>
  <c r="BF844" i="34"/>
  <c r="BE844" i="34"/>
  <c r="BD844" i="34"/>
  <c r="BC844" i="34"/>
  <c r="AZ844" i="34"/>
  <c r="AY844" i="34"/>
  <c r="AX844" i="34"/>
  <c r="AW844" i="34"/>
  <c r="AV844" i="34"/>
  <c r="AU844" i="34"/>
  <c r="AT844" i="34"/>
  <c r="AS844" i="34"/>
  <c r="AR844" i="34"/>
  <c r="AQ844" i="34"/>
  <c r="AP844" i="34"/>
  <c r="AO844" i="34"/>
  <c r="AN844" i="34"/>
  <c r="AM844" i="34"/>
  <c r="AL844" i="34"/>
  <c r="AK844" i="34"/>
  <c r="AJ844" i="34"/>
  <c r="AI844" i="34"/>
  <c r="AH844" i="34"/>
  <c r="AG844" i="34"/>
  <c r="AF844" i="34"/>
  <c r="AE844" i="34"/>
  <c r="AD844" i="34"/>
  <c r="AC844" i="34"/>
  <c r="AB844" i="34"/>
  <c r="AA844" i="34"/>
  <c r="Z844" i="34"/>
  <c r="Y844" i="34"/>
  <c r="X844" i="34"/>
  <c r="W844" i="34"/>
  <c r="V844" i="34"/>
  <c r="U844" i="34"/>
  <c r="T844" i="34"/>
  <c r="S844" i="34"/>
  <c r="R844" i="34"/>
  <c r="Q844" i="34"/>
  <c r="P844" i="34"/>
  <c r="O844" i="34"/>
  <c r="N844" i="34"/>
  <c r="M844" i="34"/>
  <c r="L844" i="34"/>
  <c r="K844" i="34"/>
  <c r="J844" i="34"/>
  <c r="I844" i="34"/>
  <c r="BL843" i="34"/>
  <c r="BK843" i="34"/>
  <c r="BJ843" i="34"/>
  <c r="BI843" i="34"/>
  <c r="BH843" i="34"/>
  <c r="BG843" i="34"/>
  <c r="BF843" i="34"/>
  <c r="BE843" i="34"/>
  <c r="AL843" i="34"/>
  <c r="AK843" i="34"/>
  <c r="AI843" i="34"/>
  <c r="AH843" i="34"/>
  <c r="AE843" i="34"/>
  <c r="AD843" i="34"/>
  <c r="AC843" i="34"/>
  <c r="AB843" i="34"/>
  <c r="AA843" i="34"/>
  <c r="Z843" i="34"/>
  <c r="Y843" i="34"/>
  <c r="X843" i="34"/>
  <c r="W843" i="34"/>
  <c r="V843" i="34"/>
  <c r="U843" i="34"/>
  <c r="T843" i="34"/>
  <c r="S843" i="34"/>
  <c r="R843" i="34"/>
  <c r="Q843" i="34"/>
  <c r="P843" i="34"/>
  <c r="O843" i="34"/>
  <c r="N843" i="34"/>
  <c r="M843" i="34"/>
  <c r="L843" i="34"/>
  <c r="K843" i="34"/>
  <c r="J843" i="34"/>
  <c r="I843" i="34"/>
  <c r="BJ842" i="34"/>
  <c r="BI842" i="34"/>
  <c r="BH842" i="34"/>
  <c r="BG842" i="34"/>
  <c r="BF842" i="34"/>
  <c r="BE842" i="34"/>
  <c r="AL842" i="34"/>
  <c r="AK842" i="34"/>
  <c r="AJ842" i="34"/>
  <c r="AI842" i="34"/>
  <c r="AH842" i="34"/>
  <c r="AG842" i="34"/>
  <c r="T842" i="34"/>
  <c r="S842" i="34"/>
  <c r="R842" i="34"/>
  <c r="Q842" i="34"/>
  <c r="P842" i="34"/>
  <c r="O842" i="34"/>
  <c r="N842" i="34"/>
  <c r="M842" i="34"/>
  <c r="L842" i="34"/>
  <c r="K842" i="34"/>
  <c r="J842" i="34"/>
  <c r="I842" i="34"/>
  <c r="BY841" i="34"/>
  <c r="BX841" i="34"/>
  <c r="BW841" i="34"/>
  <c r="BV841" i="34"/>
  <c r="BU841" i="34"/>
  <c r="BT841" i="34"/>
  <c r="BS841" i="34"/>
  <c r="BR841" i="34"/>
  <c r="BQ841" i="34"/>
  <c r="BP841" i="34"/>
  <c r="BO841" i="34"/>
  <c r="BN841" i="34"/>
  <c r="BM841" i="34"/>
  <c r="BL841" i="34"/>
  <c r="BK841" i="34"/>
  <c r="BJ841" i="34"/>
  <c r="BI841" i="34"/>
  <c r="BH841" i="34"/>
  <c r="BG841" i="34"/>
  <c r="BF841" i="34"/>
  <c r="BE841" i="34"/>
  <c r="BD841" i="34"/>
  <c r="BC841" i="34"/>
  <c r="AZ841" i="34"/>
  <c r="AY841" i="34"/>
  <c r="AX841" i="34"/>
  <c r="AW841" i="34"/>
  <c r="AV841" i="34"/>
  <c r="AU841" i="34"/>
  <c r="AT841" i="34"/>
  <c r="AS841" i="34"/>
  <c r="AR841" i="34"/>
  <c r="AQ841" i="34"/>
  <c r="AP841" i="34"/>
  <c r="AO841" i="34"/>
  <c r="AN841" i="34"/>
  <c r="AM841" i="34"/>
  <c r="AL841" i="34"/>
  <c r="AK841" i="34"/>
  <c r="AJ841" i="34"/>
  <c r="AI841" i="34"/>
  <c r="AH841" i="34"/>
  <c r="AG841" i="34"/>
  <c r="AF841" i="34"/>
  <c r="AE841" i="34"/>
  <c r="AD841" i="34"/>
  <c r="AC841" i="34"/>
  <c r="AB841" i="34"/>
  <c r="AA841" i="34"/>
  <c r="Z841" i="34"/>
  <c r="Y841" i="34"/>
  <c r="X841" i="34"/>
  <c r="W841" i="34"/>
  <c r="V841" i="34"/>
  <c r="U841" i="34"/>
  <c r="T841" i="34"/>
  <c r="S841" i="34"/>
  <c r="R841" i="34"/>
  <c r="Q841" i="34"/>
  <c r="P841" i="34"/>
  <c r="O841" i="34"/>
  <c r="N841" i="34"/>
  <c r="M841" i="34"/>
  <c r="L841" i="34"/>
  <c r="K841" i="34"/>
  <c r="J841" i="34"/>
  <c r="I841" i="34"/>
  <c r="BY840" i="34"/>
  <c r="BX840" i="34"/>
  <c r="BW840" i="34"/>
  <c r="BV840" i="34"/>
  <c r="BU840" i="34"/>
  <c r="BT840" i="34"/>
  <c r="BS840" i="34"/>
  <c r="BR840" i="34"/>
  <c r="BQ840" i="34"/>
  <c r="BP840" i="34"/>
  <c r="BO840" i="34"/>
  <c r="BN840" i="34"/>
  <c r="BM840" i="34"/>
  <c r="BL840" i="34"/>
  <c r="BK840" i="34"/>
  <c r="BJ840" i="34"/>
  <c r="BI840" i="34"/>
  <c r="BH840" i="34"/>
  <c r="BG840" i="34"/>
  <c r="BF840" i="34"/>
  <c r="BE840" i="34"/>
  <c r="BD840" i="34"/>
  <c r="BC840" i="34"/>
  <c r="AZ840" i="34"/>
  <c r="AY840" i="34"/>
  <c r="AX840" i="34"/>
  <c r="AW840" i="34"/>
  <c r="AV840" i="34"/>
  <c r="AU840" i="34"/>
  <c r="AT840" i="34"/>
  <c r="AS840" i="34"/>
  <c r="AR840" i="34"/>
  <c r="AQ840" i="34"/>
  <c r="AP840" i="34"/>
  <c r="AO840" i="34"/>
  <c r="AN840" i="34"/>
  <c r="AM840" i="34"/>
  <c r="AL840" i="34"/>
  <c r="AK840" i="34"/>
  <c r="AJ840" i="34"/>
  <c r="AI840" i="34"/>
  <c r="AH840" i="34"/>
  <c r="AG840" i="34"/>
  <c r="AF840" i="34"/>
  <c r="AE840" i="34"/>
  <c r="AD840" i="34"/>
  <c r="AC840" i="34"/>
  <c r="AB840" i="34"/>
  <c r="AA840" i="34"/>
  <c r="Z840" i="34"/>
  <c r="Y840" i="34"/>
  <c r="X840" i="34"/>
  <c r="W840" i="34"/>
  <c r="V840" i="34"/>
  <c r="U840" i="34"/>
  <c r="T840" i="34"/>
  <c r="S840" i="34"/>
  <c r="R840" i="34"/>
  <c r="Q840" i="34"/>
  <c r="P840" i="34"/>
  <c r="O840" i="34"/>
  <c r="N840" i="34"/>
  <c r="M840" i="34"/>
  <c r="L840" i="34"/>
  <c r="K840" i="34"/>
  <c r="J840" i="34"/>
  <c r="I840" i="34"/>
  <c r="BY839" i="34"/>
  <c r="BX839" i="34"/>
  <c r="BW839" i="34"/>
  <c r="BV839" i="34"/>
  <c r="BU839" i="34"/>
  <c r="BT839" i="34"/>
  <c r="BS839" i="34"/>
  <c r="BR839" i="34"/>
  <c r="BQ839" i="34"/>
  <c r="BP839" i="34"/>
  <c r="BO839" i="34"/>
  <c r="BN839" i="34"/>
  <c r="BM839" i="34"/>
  <c r="BL839" i="34"/>
  <c r="BK839" i="34"/>
  <c r="BJ839" i="34"/>
  <c r="BI839" i="34"/>
  <c r="BH839" i="34"/>
  <c r="BG839" i="34"/>
  <c r="BF839" i="34"/>
  <c r="BE839" i="34"/>
  <c r="BD839" i="34"/>
  <c r="BC839" i="34"/>
  <c r="AZ839" i="34"/>
  <c r="AY839" i="34"/>
  <c r="AX839" i="34"/>
  <c r="AW839" i="34"/>
  <c r="AV839" i="34"/>
  <c r="AU839" i="34"/>
  <c r="AT839" i="34"/>
  <c r="AS839" i="34"/>
  <c r="AR839" i="34"/>
  <c r="AQ839" i="34"/>
  <c r="AP839" i="34"/>
  <c r="AO839" i="34"/>
  <c r="AN839" i="34"/>
  <c r="AM839" i="34"/>
  <c r="AL839" i="34"/>
  <c r="AK839" i="34"/>
  <c r="AJ839" i="34"/>
  <c r="AI839" i="34"/>
  <c r="AH839" i="34"/>
  <c r="AG839" i="34"/>
  <c r="AF839" i="34"/>
  <c r="AE839" i="34"/>
  <c r="AD839" i="34"/>
  <c r="AC839" i="34"/>
  <c r="AB839" i="34"/>
  <c r="AA839" i="34"/>
  <c r="Z839" i="34"/>
  <c r="Y839" i="34"/>
  <c r="X839" i="34"/>
  <c r="W839" i="34"/>
  <c r="V839" i="34"/>
  <c r="U839" i="34"/>
  <c r="T839" i="34"/>
  <c r="S839" i="34"/>
  <c r="R839" i="34"/>
  <c r="Q839" i="34"/>
  <c r="P839" i="34"/>
  <c r="O839" i="34"/>
  <c r="N839" i="34"/>
  <c r="M839" i="34"/>
  <c r="L839" i="34"/>
  <c r="K839" i="34"/>
  <c r="J839" i="34"/>
  <c r="I839" i="34"/>
  <c r="BY838" i="34"/>
  <c r="BX838" i="34"/>
  <c r="BW838" i="34"/>
  <c r="BV838" i="34"/>
  <c r="BU838" i="34"/>
  <c r="BT838" i="34"/>
  <c r="BS838" i="34"/>
  <c r="BR838" i="34"/>
  <c r="BQ838" i="34"/>
  <c r="BP838" i="34"/>
  <c r="BO838" i="34"/>
  <c r="BN838" i="34"/>
  <c r="BM838" i="34"/>
  <c r="BL838" i="34"/>
  <c r="BK838" i="34"/>
  <c r="BJ838" i="34"/>
  <c r="BI838" i="34"/>
  <c r="BH838" i="34"/>
  <c r="BG838" i="34"/>
  <c r="BF838" i="34"/>
  <c r="BE838" i="34"/>
  <c r="BD838" i="34"/>
  <c r="BC838" i="34"/>
  <c r="AZ838" i="34"/>
  <c r="AY838" i="34"/>
  <c r="AX838" i="34"/>
  <c r="AW838" i="34"/>
  <c r="AV838" i="34"/>
  <c r="AU838" i="34"/>
  <c r="AT838" i="34"/>
  <c r="AS838" i="34"/>
  <c r="AR838" i="34"/>
  <c r="AQ838" i="34"/>
  <c r="AP838" i="34"/>
  <c r="AO838" i="34"/>
  <c r="AN838" i="34"/>
  <c r="AM838" i="34"/>
  <c r="AL838" i="34"/>
  <c r="AK838" i="34"/>
  <c r="AJ838" i="34"/>
  <c r="AI838" i="34"/>
  <c r="AH838" i="34"/>
  <c r="AG838" i="34"/>
  <c r="AF838" i="34"/>
  <c r="AE838" i="34"/>
  <c r="AD838" i="34"/>
  <c r="AC838" i="34"/>
  <c r="AB838" i="34"/>
  <c r="AA838" i="34"/>
  <c r="Z838" i="34"/>
  <c r="Y838" i="34"/>
  <c r="X838" i="34"/>
  <c r="W838" i="34"/>
  <c r="V838" i="34"/>
  <c r="U838" i="34"/>
  <c r="T838" i="34"/>
  <c r="S838" i="34"/>
  <c r="R838" i="34"/>
  <c r="Q838" i="34"/>
  <c r="P838" i="34"/>
  <c r="O838" i="34"/>
  <c r="N838" i="34"/>
  <c r="M838" i="34"/>
  <c r="L838" i="34"/>
  <c r="K838" i="34"/>
  <c r="J838" i="34"/>
  <c r="I838" i="34"/>
  <c r="BY837" i="34"/>
  <c r="BX837" i="34"/>
  <c r="BW837" i="34"/>
  <c r="BV837" i="34"/>
  <c r="BU837" i="34"/>
  <c r="BT837" i="34"/>
  <c r="BS837" i="34"/>
  <c r="BR837" i="34"/>
  <c r="BQ837" i="34"/>
  <c r="BP837" i="34"/>
  <c r="BO837" i="34"/>
  <c r="BN837" i="34"/>
  <c r="BM837" i="34"/>
  <c r="BL837" i="34"/>
  <c r="BK837" i="34"/>
  <c r="BJ837" i="34"/>
  <c r="BI837" i="34"/>
  <c r="BH837" i="34"/>
  <c r="BG837" i="34"/>
  <c r="BF837" i="34"/>
  <c r="BE837" i="34"/>
  <c r="BD837" i="34"/>
  <c r="BC837" i="34"/>
  <c r="AZ837" i="34"/>
  <c r="AY837" i="34"/>
  <c r="AX837" i="34"/>
  <c r="AW837" i="34"/>
  <c r="AV837" i="34"/>
  <c r="AU837" i="34"/>
  <c r="AT837" i="34"/>
  <c r="AS837" i="34"/>
  <c r="AR837" i="34"/>
  <c r="AQ837" i="34"/>
  <c r="AP837" i="34"/>
  <c r="AO837" i="34"/>
  <c r="AN837" i="34"/>
  <c r="AM837" i="34"/>
  <c r="AL837" i="34"/>
  <c r="AK837" i="34"/>
  <c r="AJ837" i="34"/>
  <c r="AI837" i="34"/>
  <c r="AH837" i="34"/>
  <c r="AG837" i="34"/>
  <c r="AF837" i="34"/>
  <c r="AE837" i="34"/>
  <c r="AD837" i="34"/>
  <c r="AC837" i="34"/>
  <c r="AB837" i="34"/>
  <c r="AA837" i="34"/>
  <c r="Z837" i="34"/>
  <c r="Y837" i="34"/>
  <c r="X837" i="34"/>
  <c r="W837" i="34"/>
  <c r="V837" i="34"/>
  <c r="U837" i="34"/>
  <c r="T837" i="34"/>
  <c r="S837" i="34"/>
  <c r="R837" i="34"/>
  <c r="Q837" i="34"/>
  <c r="P837" i="34"/>
  <c r="O837" i="34"/>
  <c r="N837" i="34"/>
  <c r="M837" i="34"/>
  <c r="L837" i="34"/>
  <c r="K837" i="34"/>
  <c r="J837" i="34"/>
  <c r="I837" i="34"/>
  <c r="BY832" i="34"/>
  <c r="BX832" i="34"/>
  <c r="BW832" i="34"/>
  <c r="BV832" i="34"/>
  <c r="BU832" i="34"/>
  <c r="BT832" i="34"/>
  <c r="BS832" i="34"/>
  <c r="BR832" i="34"/>
  <c r="BQ832" i="34"/>
  <c r="BP832" i="34"/>
  <c r="BO832" i="34"/>
  <c r="BN832" i="34"/>
  <c r="BM832" i="34"/>
  <c r="BL832" i="34"/>
  <c r="BK832" i="34"/>
  <c r="BJ832" i="34"/>
  <c r="BI832" i="34"/>
  <c r="BH832" i="34"/>
  <c r="BG832" i="34"/>
  <c r="BF832" i="34"/>
  <c r="BE832" i="34"/>
  <c r="BD832" i="34"/>
  <c r="BC832" i="34"/>
  <c r="AZ832" i="34"/>
  <c r="AY832" i="34"/>
  <c r="AX832" i="34"/>
  <c r="AW832" i="34"/>
  <c r="AV832" i="34"/>
  <c r="AU832" i="34"/>
  <c r="AT832" i="34"/>
  <c r="AS832" i="34"/>
  <c r="AR832" i="34"/>
  <c r="AQ832" i="34"/>
  <c r="AP832" i="34"/>
  <c r="AO832" i="34"/>
  <c r="AN832" i="34"/>
  <c r="AM832" i="34"/>
  <c r="AL832" i="34"/>
  <c r="AK832" i="34"/>
  <c r="AJ832" i="34"/>
  <c r="AI832" i="34"/>
  <c r="AH832" i="34"/>
  <c r="AG832" i="34"/>
  <c r="AF832" i="34"/>
  <c r="AE832" i="34"/>
  <c r="AD832" i="34"/>
  <c r="AC832" i="34"/>
  <c r="AB832" i="34"/>
  <c r="AA832" i="34"/>
  <c r="Z832" i="34"/>
  <c r="Y832" i="34"/>
  <c r="X832" i="34"/>
  <c r="W832" i="34"/>
  <c r="V832" i="34"/>
  <c r="U832" i="34"/>
  <c r="T832" i="34"/>
  <c r="S832" i="34"/>
  <c r="R832" i="34"/>
  <c r="Q832" i="34"/>
  <c r="P832" i="34"/>
  <c r="O832" i="34"/>
  <c r="N832" i="34"/>
  <c r="M832" i="34"/>
  <c r="L832" i="34"/>
  <c r="K832" i="34"/>
  <c r="J832" i="34"/>
  <c r="I832" i="34"/>
  <c r="BY831" i="34"/>
  <c r="BX831" i="34"/>
  <c r="BW831" i="34"/>
  <c r="BV831" i="34"/>
  <c r="BU831" i="34"/>
  <c r="BT831" i="34"/>
  <c r="BS831" i="34"/>
  <c r="BR831" i="34"/>
  <c r="BQ831" i="34"/>
  <c r="BP831" i="34"/>
  <c r="BO831" i="34"/>
  <c r="BN831" i="34"/>
  <c r="BM831" i="34"/>
  <c r="BL831" i="34"/>
  <c r="BK831" i="34"/>
  <c r="BJ831" i="34"/>
  <c r="BI831" i="34"/>
  <c r="BH831" i="34"/>
  <c r="BG831" i="34"/>
  <c r="BF831" i="34"/>
  <c r="BE831" i="34"/>
  <c r="BD831" i="34"/>
  <c r="BC831" i="34"/>
  <c r="AZ831" i="34"/>
  <c r="AY831" i="34"/>
  <c r="AX831" i="34"/>
  <c r="AW831" i="34"/>
  <c r="AV831" i="34"/>
  <c r="AU831" i="34"/>
  <c r="AT831" i="34"/>
  <c r="AS831" i="34"/>
  <c r="AR831" i="34"/>
  <c r="AQ831" i="34"/>
  <c r="AP831" i="34"/>
  <c r="AO831" i="34"/>
  <c r="AN831" i="34"/>
  <c r="AM831" i="34"/>
  <c r="AL831" i="34"/>
  <c r="AD831" i="34"/>
  <c r="AC831" i="34"/>
  <c r="AB831" i="34"/>
  <c r="AA831" i="34"/>
  <c r="Z831" i="34"/>
  <c r="Y831" i="34"/>
  <c r="X831" i="34"/>
  <c r="W831" i="34"/>
  <c r="V831" i="34"/>
  <c r="U831" i="34"/>
  <c r="T831" i="34"/>
  <c r="S831" i="34"/>
  <c r="R831" i="34"/>
  <c r="Q831" i="34"/>
  <c r="P831" i="34"/>
  <c r="O831" i="34"/>
  <c r="N831" i="34"/>
  <c r="M831" i="34"/>
  <c r="L831" i="34"/>
  <c r="K831" i="34"/>
  <c r="J831" i="34"/>
  <c r="I831" i="34"/>
  <c r="BY830" i="34"/>
  <c r="BX830" i="34"/>
  <c r="BW830" i="34"/>
  <c r="BV830" i="34"/>
  <c r="BU830" i="34"/>
  <c r="BT830" i="34"/>
  <c r="BS830" i="34"/>
  <c r="BR830" i="34"/>
  <c r="BQ830" i="34"/>
  <c r="BP830" i="34"/>
  <c r="BO830" i="34"/>
  <c r="BN830" i="34"/>
  <c r="BM830" i="34"/>
  <c r="BL830" i="34"/>
  <c r="BK830" i="34"/>
  <c r="BJ830" i="34"/>
  <c r="BI830" i="34"/>
  <c r="BH830" i="34"/>
  <c r="BG830" i="34"/>
  <c r="BF830" i="34"/>
  <c r="BE830" i="34"/>
  <c r="BD830" i="34"/>
  <c r="BC830" i="34"/>
  <c r="AZ830" i="34"/>
  <c r="AY830" i="34"/>
  <c r="AX830" i="34"/>
  <c r="AW830" i="34"/>
  <c r="AV830" i="34"/>
  <c r="AU830" i="34"/>
  <c r="AT830" i="34"/>
  <c r="AS830" i="34"/>
  <c r="AR830" i="34"/>
  <c r="AQ830" i="34"/>
  <c r="AP830" i="34"/>
  <c r="AO830" i="34"/>
  <c r="AN830" i="34"/>
  <c r="AM830" i="34"/>
  <c r="AL830" i="34"/>
  <c r="AD830" i="34"/>
  <c r="AC830" i="34"/>
  <c r="AB830" i="34"/>
  <c r="AA830" i="34"/>
  <c r="Z830" i="34"/>
  <c r="Y830" i="34"/>
  <c r="X830" i="34"/>
  <c r="W830" i="34"/>
  <c r="V830" i="34"/>
  <c r="U830" i="34"/>
  <c r="T830" i="34"/>
  <c r="S830" i="34"/>
  <c r="R830" i="34"/>
  <c r="Q830" i="34"/>
  <c r="P830" i="34"/>
  <c r="O830" i="34"/>
  <c r="N830" i="34"/>
  <c r="M830" i="34"/>
  <c r="L830" i="34"/>
  <c r="K830" i="34"/>
  <c r="J830" i="34"/>
  <c r="I830" i="34"/>
  <c r="BY829" i="34"/>
  <c r="BX829" i="34"/>
  <c r="BW829" i="34"/>
  <c r="BV829" i="34"/>
  <c r="BU829" i="34"/>
  <c r="BT829" i="34"/>
  <c r="BS829" i="34"/>
  <c r="BR829" i="34"/>
  <c r="BQ829" i="34"/>
  <c r="BP829" i="34"/>
  <c r="BO829" i="34"/>
  <c r="BN829" i="34"/>
  <c r="BM829" i="34"/>
  <c r="BL829" i="34"/>
  <c r="BK829" i="34"/>
  <c r="BJ829" i="34"/>
  <c r="BI829" i="34"/>
  <c r="BH829" i="34"/>
  <c r="BG829" i="34"/>
  <c r="BF829" i="34"/>
  <c r="BE829" i="34"/>
  <c r="BD829" i="34"/>
  <c r="BC829" i="34"/>
  <c r="AZ829" i="34"/>
  <c r="AY829" i="34"/>
  <c r="AX829" i="34"/>
  <c r="AW829" i="34"/>
  <c r="AV829" i="34"/>
  <c r="AU829" i="34"/>
  <c r="AT829" i="34"/>
  <c r="AS829" i="34"/>
  <c r="AR829" i="34"/>
  <c r="AQ829" i="34"/>
  <c r="AP829" i="34"/>
  <c r="AO829" i="34"/>
  <c r="AN829" i="34"/>
  <c r="AM829" i="34"/>
  <c r="AL829" i="34"/>
  <c r="AK829" i="34"/>
  <c r="AJ829" i="34"/>
  <c r="AI829" i="34"/>
  <c r="AH829" i="34"/>
  <c r="AG829" i="34"/>
  <c r="AF829" i="34"/>
  <c r="AE829" i="34"/>
  <c r="AC829" i="34"/>
  <c r="AB829" i="34"/>
  <c r="AA829" i="34"/>
  <c r="Z829" i="34"/>
  <c r="Y829" i="34"/>
  <c r="X829" i="34"/>
  <c r="W829" i="34"/>
  <c r="V829" i="34"/>
  <c r="U829" i="34"/>
  <c r="T829" i="34"/>
  <c r="S829" i="34"/>
  <c r="R829" i="34"/>
  <c r="Q829" i="34"/>
  <c r="P829" i="34"/>
  <c r="O829" i="34"/>
  <c r="N829" i="34"/>
  <c r="M829" i="34"/>
  <c r="L829" i="34"/>
  <c r="K829" i="34"/>
  <c r="J829" i="34"/>
  <c r="I829" i="34"/>
  <c r="BY828" i="34"/>
  <c r="BX828" i="34"/>
  <c r="BW828" i="34"/>
  <c r="BV828" i="34"/>
  <c r="BU828" i="34"/>
  <c r="BT828" i="34"/>
  <c r="BS828" i="34"/>
  <c r="BR828" i="34"/>
  <c r="BQ828" i="34"/>
  <c r="BP828" i="34"/>
  <c r="BO828" i="34"/>
  <c r="BN828" i="34"/>
  <c r="BM828" i="34"/>
  <c r="BL828" i="34"/>
  <c r="BK828" i="34"/>
  <c r="BJ828" i="34"/>
  <c r="BI828" i="34"/>
  <c r="BH828" i="34"/>
  <c r="BG828" i="34"/>
  <c r="BF828" i="34"/>
  <c r="BE828" i="34"/>
  <c r="BD828" i="34"/>
  <c r="BC828" i="34"/>
  <c r="AZ828" i="34"/>
  <c r="AY828" i="34"/>
  <c r="AX828" i="34"/>
  <c r="AW828" i="34"/>
  <c r="AV828" i="34"/>
  <c r="AU828" i="34"/>
  <c r="AT828" i="34"/>
  <c r="AS828" i="34"/>
  <c r="AR828" i="34"/>
  <c r="AQ828" i="34"/>
  <c r="AP828" i="34"/>
  <c r="AO828" i="34"/>
  <c r="AN828" i="34"/>
  <c r="AM828" i="34"/>
  <c r="AL828" i="34"/>
  <c r="AK828" i="34"/>
  <c r="AJ828" i="34"/>
  <c r="AI828" i="34"/>
  <c r="AH828" i="34"/>
  <c r="AG828" i="34"/>
  <c r="AF828" i="34"/>
  <c r="AE828" i="34"/>
  <c r="AD828" i="34"/>
  <c r="AC828" i="34"/>
  <c r="AB828" i="34"/>
  <c r="AA828" i="34"/>
  <c r="Z828" i="34"/>
  <c r="Y828" i="34"/>
  <c r="X828" i="34"/>
  <c r="W828" i="34"/>
  <c r="V828" i="34"/>
  <c r="U828" i="34"/>
  <c r="T828" i="34"/>
  <c r="S828" i="34"/>
  <c r="R828" i="34"/>
  <c r="Q828" i="34"/>
  <c r="P828" i="34"/>
  <c r="O828" i="34"/>
  <c r="N828" i="34"/>
  <c r="M828" i="34"/>
  <c r="L828" i="34"/>
  <c r="K828" i="34"/>
  <c r="J828" i="34"/>
  <c r="I828" i="34"/>
  <c r="BY827" i="34"/>
  <c r="BX827" i="34"/>
  <c r="BW827" i="34"/>
  <c r="BV827" i="34"/>
  <c r="BU827" i="34"/>
  <c r="BT827" i="34"/>
  <c r="BS827" i="34"/>
  <c r="BR827" i="34"/>
  <c r="BQ827" i="34"/>
  <c r="BP827" i="34"/>
  <c r="BO827" i="34"/>
  <c r="BN827" i="34"/>
  <c r="BM827" i="34"/>
  <c r="BL827" i="34"/>
  <c r="BK827" i="34"/>
  <c r="BJ827" i="34"/>
  <c r="BI827" i="34"/>
  <c r="BH827" i="34"/>
  <c r="BG827" i="34"/>
  <c r="BF827" i="34"/>
  <c r="BE827" i="34"/>
  <c r="BD827" i="34"/>
  <c r="BC827" i="34"/>
  <c r="AZ827" i="34"/>
  <c r="AY827" i="34"/>
  <c r="AX827" i="34"/>
  <c r="AW827" i="34"/>
  <c r="AV827" i="34"/>
  <c r="AU827" i="34"/>
  <c r="AT827" i="34"/>
  <c r="AS827" i="34"/>
  <c r="AR827" i="34"/>
  <c r="AQ827" i="34"/>
  <c r="AP827" i="34"/>
  <c r="AO827" i="34"/>
  <c r="AN827" i="34"/>
  <c r="AM827" i="34"/>
  <c r="AL827" i="34"/>
  <c r="AK827" i="34"/>
  <c r="AJ827" i="34"/>
  <c r="AI827" i="34"/>
  <c r="AH827" i="34"/>
  <c r="AG827" i="34"/>
  <c r="AF827" i="34"/>
  <c r="AE827" i="34"/>
  <c r="AD827" i="34"/>
  <c r="AC827" i="34"/>
  <c r="AB827" i="34"/>
  <c r="AA827" i="34"/>
  <c r="Z827" i="34"/>
  <c r="Y827" i="34"/>
  <c r="X827" i="34"/>
  <c r="W827" i="34"/>
  <c r="V827" i="34"/>
  <c r="U827" i="34"/>
  <c r="T827" i="34"/>
  <c r="S827" i="34"/>
  <c r="R827" i="34"/>
  <c r="Q827" i="34"/>
  <c r="P827" i="34"/>
  <c r="O827" i="34"/>
  <c r="N827" i="34"/>
  <c r="M827" i="34"/>
  <c r="L827" i="34"/>
  <c r="K827" i="34"/>
  <c r="J827" i="34"/>
  <c r="I827" i="34"/>
  <c r="BY826" i="34"/>
  <c r="BX826" i="34"/>
  <c r="BW826" i="34"/>
  <c r="BV826" i="34"/>
  <c r="BU826" i="34"/>
  <c r="BT826" i="34"/>
  <c r="BS826" i="34"/>
  <c r="BR826" i="34"/>
  <c r="BQ826" i="34"/>
  <c r="BP826" i="34"/>
  <c r="BO826" i="34"/>
  <c r="BN826" i="34"/>
  <c r="BM826" i="34"/>
  <c r="BL826" i="34"/>
  <c r="BK826" i="34"/>
  <c r="BJ826" i="34"/>
  <c r="BI826" i="34"/>
  <c r="BH826" i="34"/>
  <c r="BG826" i="34"/>
  <c r="BF826" i="34"/>
  <c r="BE826" i="34"/>
  <c r="BD826" i="34"/>
  <c r="BC826" i="34"/>
  <c r="AZ826" i="34"/>
  <c r="AY826" i="34"/>
  <c r="AX826" i="34"/>
  <c r="AW826" i="34"/>
  <c r="AV826" i="34"/>
  <c r="AU826" i="34"/>
  <c r="AT826" i="34"/>
  <c r="AS826" i="34"/>
  <c r="AR826" i="34"/>
  <c r="AQ826" i="34"/>
  <c r="AP826" i="34"/>
  <c r="AO826" i="34"/>
  <c r="AN826" i="34"/>
  <c r="AM826" i="34"/>
  <c r="AL826" i="34"/>
  <c r="AK826" i="34"/>
  <c r="AJ826" i="34"/>
  <c r="AI826" i="34"/>
  <c r="AH826" i="34"/>
  <c r="AG826" i="34"/>
  <c r="AF826" i="34"/>
  <c r="AE826" i="34"/>
  <c r="AD826" i="34"/>
  <c r="AC826" i="34"/>
  <c r="AB826" i="34"/>
  <c r="AA826" i="34"/>
  <c r="Z826" i="34"/>
  <c r="Y826" i="34"/>
  <c r="X826" i="34"/>
  <c r="W826" i="34"/>
  <c r="V826" i="34"/>
  <c r="U826" i="34"/>
  <c r="T826" i="34"/>
  <c r="S826" i="34"/>
  <c r="R826" i="34"/>
  <c r="Q826" i="34"/>
  <c r="P826" i="34"/>
  <c r="O826" i="34"/>
  <c r="N826" i="34"/>
  <c r="M826" i="34"/>
  <c r="L826" i="34"/>
  <c r="K826" i="34"/>
  <c r="J826" i="34"/>
  <c r="I826" i="34"/>
  <c r="BY825" i="34"/>
  <c r="BX825" i="34"/>
  <c r="BW825" i="34"/>
  <c r="BV825" i="34"/>
  <c r="BU825" i="34"/>
  <c r="BT825" i="34"/>
  <c r="BS825" i="34"/>
  <c r="BR825" i="34"/>
  <c r="BQ825" i="34"/>
  <c r="BP825" i="34"/>
  <c r="BO825" i="34"/>
  <c r="BN825" i="34"/>
  <c r="BM825" i="34"/>
  <c r="BL825" i="34"/>
  <c r="BK825" i="34"/>
  <c r="BJ825" i="34"/>
  <c r="BI825" i="34"/>
  <c r="BH825" i="34"/>
  <c r="BG825" i="34"/>
  <c r="BF825" i="34"/>
  <c r="BE825" i="34"/>
  <c r="BD825" i="34"/>
  <c r="BC825" i="34"/>
  <c r="AZ825" i="34"/>
  <c r="AY825" i="34"/>
  <c r="AX825" i="34"/>
  <c r="AW825" i="34"/>
  <c r="AV825" i="34"/>
  <c r="AU825" i="34"/>
  <c r="AT825" i="34"/>
  <c r="AS825" i="34"/>
  <c r="AR825" i="34"/>
  <c r="AQ825" i="34"/>
  <c r="AP825" i="34"/>
  <c r="AO825" i="34"/>
  <c r="AN825" i="34"/>
  <c r="AM825" i="34"/>
  <c r="AL825" i="34"/>
  <c r="AK825" i="34"/>
  <c r="AJ825" i="34"/>
  <c r="AI825" i="34"/>
  <c r="AH825" i="34"/>
  <c r="AG825" i="34"/>
  <c r="W825" i="34"/>
  <c r="V825" i="34"/>
  <c r="U825" i="34"/>
  <c r="T825" i="34"/>
  <c r="S825" i="34"/>
  <c r="R825" i="34"/>
  <c r="Q825" i="34"/>
  <c r="P825" i="34"/>
  <c r="O825" i="34"/>
  <c r="N825" i="34"/>
  <c r="M825" i="34"/>
  <c r="L825" i="34"/>
  <c r="K825" i="34"/>
  <c r="J825" i="34"/>
  <c r="I825" i="34"/>
  <c r="BY824" i="34"/>
  <c r="BX824" i="34"/>
  <c r="BW824" i="34"/>
  <c r="BV824" i="34"/>
  <c r="BU824" i="34"/>
  <c r="BT824" i="34"/>
  <c r="BS824" i="34"/>
  <c r="BR824" i="34"/>
  <c r="BQ824" i="34"/>
  <c r="BP824" i="34"/>
  <c r="BO824" i="34"/>
  <c r="BN824" i="34"/>
  <c r="BM824" i="34"/>
  <c r="BL824" i="34"/>
  <c r="BK824" i="34"/>
  <c r="BJ824" i="34"/>
  <c r="BI824" i="34"/>
  <c r="BH824" i="34"/>
  <c r="BG824" i="34"/>
  <c r="BF824" i="34"/>
  <c r="BE824" i="34"/>
  <c r="BD824" i="34"/>
  <c r="BC824" i="34"/>
  <c r="AZ824" i="34"/>
  <c r="AY824" i="34"/>
  <c r="AX824" i="34"/>
  <c r="AW824" i="34"/>
  <c r="AV824" i="34"/>
  <c r="AU824" i="34"/>
  <c r="AT824" i="34"/>
  <c r="AS824" i="34"/>
  <c r="AR824" i="34"/>
  <c r="AQ824" i="34"/>
  <c r="AP824" i="34"/>
  <c r="AO824" i="34"/>
  <c r="AN824" i="34"/>
  <c r="AM824" i="34"/>
  <c r="AL824" i="34"/>
  <c r="AK824" i="34"/>
  <c r="AJ824" i="34"/>
  <c r="AI824" i="34"/>
  <c r="AH824" i="34"/>
  <c r="AG824" i="34"/>
  <c r="W824" i="34"/>
  <c r="V824" i="34"/>
  <c r="U824" i="34"/>
  <c r="T824" i="34"/>
  <c r="S824" i="34"/>
  <c r="R824" i="34"/>
  <c r="Q824" i="34"/>
  <c r="P824" i="34"/>
  <c r="O824" i="34"/>
  <c r="N824" i="34"/>
  <c r="M824" i="34"/>
  <c r="L824" i="34"/>
  <c r="K824" i="34"/>
  <c r="J824" i="34"/>
  <c r="I824" i="34"/>
  <c r="BY823" i="34"/>
  <c r="BX823" i="34"/>
  <c r="BW823" i="34"/>
  <c r="BV823" i="34"/>
  <c r="BU823" i="34"/>
  <c r="BT823" i="34"/>
  <c r="BS823" i="34"/>
  <c r="BR823" i="34"/>
  <c r="BQ823" i="34"/>
  <c r="BP823" i="34"/>
  <c r="BO823" i="34"/>
  <c r="BN823" i="34"/>
  <c r="BM823" i="34"/>
  <c r="BL823" i="34"/>
  <c r="BK823" i="34"/>
  <c r="BJ823" i="34"/>
  <c r="BI823" i="34"/>
  <c r="BH823" i="34"/>
  <c r="BG823" i="34"/>
  <c r="BF823" i="34"/>
  <c r="BE823" i="34"/>
  <c r="BD823" i="34"/>
  <c r="BC823" i="34"/>
  <c r="AZ823" i="34"/>
  <c r="AY823" i="34"/>
  <c r="AX823" i="34"/>
  <c r="AW823" i="34"/>
  <c r="AV823" i="34"/>
  <c r="AU823" i="34"/>
  <c r="AT823" i="34"/>
  <c r="AS823" i="34"/>
  <c r="AR823" i="34"/>
  <c r="AQ823" i="34"/>
  <c r="AP823" i="34"/>
  <c r="AO823" i="34"/>
  <c r="AN823" i="34"/>
  <c r="AM823" i="34"/>
  <c r="AL823" i="34"/>
  <c r="AK823" i="34"/>
  <c r="AJ823" i="34"/>
  <c r="AI823" i="34"/>
  <c r="AH823" i="34"/>
  <c r="AG823" i="34"/>
  <c r="Z823" i="34"/>
  <c r="Y823" i="34"/>
  <c r="X823" i="34"/>
  <c r="W823" i="34"/>
  <c r="V823" i="34"/>
  <c r="U823" i="34"/>
  <c r="T823" i="34"/>
  <c r="S823" i="34"/>
  <c r="R823" i="34"/>
  <c r="Q823" i="34"/>
  <c r="P823" i="34"/>
  <c r="O823" i="34"/>
  <c r="N823" i="34"/>
  <c r="M823" i="34"/>
  <c r="L823" i="34"/>
  <c r="K823" i="34"/>
  <c r="J823" i="34"/>
  <c r="I823" i="34"/>
  <c r="BY822" i="34"/>
  <c r="BX822" i="34"/>
  <c r="BW822" i="34"/>
  <c r="BV822" i="34"/>
  <c r="BU822" i="34"/>
  <c r="BT822" i="34"/>
  <c r="BS822" i="34"/>
  <c r="BR822" i="34"/>
  <c r="BQ822" i="34"/>
  <c r="BP822" i="34"/>
  <c r="BO822" i="34"/>
  <c r="BN822" i="34"/>
  <c r="BM822" i="34"/>
  <c r="BL822" i="34"/>
  <c r="BK822" i="34"/>
  <c r="BJ822" i="34"/>
  <c r="BI822" i="34"/>
  <c r="BH822" i="34"/>
  <c r="BG822" i="34"/>
  <c r="BF822" i="34"/>
  <c r="BE822" i="34"/>
  <c r="BD822" i="34"/>
  <c r="BC822" i="34"/>
  <c r="AZ822" i="34"/>
  <c r="AY822" i="34"/>
  <c r="AX822" i="34"/>
  <c r="AW822" i="34"/>
  <c r="AV822" i="34"/>
  <c r="AU822" i="34"/>
  <c r="AT822" i="34"/>
  <c r="AS822" i="34"/>
  <c r="AR822" i="34"/>
  <c r="AQ822" i="34"/>
  <c r="AP822" i="34"/>
  <c r="AO822" i="34"/>
  <c r="AN822" i="34"/>
  <c r="AM822" i="34"/>
  <c r="AL822" i="34"/>
  <c r="AK822" i="34"/>
  <c r="AJ822" i="34"/>
  <c r="AI822" i="34"/>
  <c r="AH822" i="34"/>
  <c r="AG822" i="34"/>
  <c r="AD822" i="34"/>
  <c r="AC822" i="34"/>
  <c r="AB822" i="34"/>
  <c r="AA822" i="34"/>
  <c r="Z822" i="34"/>
  <c r="Y822" i="34"/>
  <c r="X822" i="34"/>
  <c r="W822" i="34"/>
  <c r="V822" i="34"/>
  <c r="U822" i="34"/>
  <c r="T822" i="34"/>
  <c r="S822" i="34"/>
  <c r="R822" i="34"/>
  <c r="Q822" i="34"/>
  <c r="P822" i="34"/>
  <c r="O822" i="34"/>
  <c r="N822" i="34"/>
  <c r="M822" i="34"/>
  <c r="L822" i="34"/>
  <c r="K822" i="34"/>
  <c r="J822" i="34"/>
  <c r="I822" i="34"/>
  <c r="BY821" i="34"/>
  <c r="BX821" i="34"/>
  <c r="BW821" i="34"/>
  <c r="BV821" i="34"/>
  <c r="BU821" i="34"/>
  <c r="BT821" i="34"/>
  <c r="BS821" i="34"/>
  <c r="BR821" i="34"/>
  <c r="BQ821" i="34"/>
  <c r="BP821" i="34"/>
  <c r="BO821" i="34"/>
  <c r="BN821" i="34"/>
  <c r="BM821" i="34"/>
  <c r="BL821" i="34"/>
  <c r="BK821" i="34"/>
  <c r="BJ821" i="34"/>
  <c r="BI821" i="34"/>
  <c r="BH821" i="34"/>
  <c r="BG821" i="34"/>
  <c r="BF821" i="34"/>
  <c r="BE821" i="34"/>
  <c r="BD821" i="34"/>
  <c r="BC821" i="34"/>
  <c r="AZ821" i="34"/>
  <c r="AY821" i="34"/>
  <c r="AX821" i="34"/>
  <c r="AW821" i="34"/>
  <c r="AV821" i="34"/>
  <c r="AU821" i="34"/>
  <c r="AT821" i="34"/>
  <c r="AS821" i="34"/>
  <c r="AR821" i="34"/>
  <c r="AQ821" i="34"/>
  <c r="AP821" i="34"/>
  <c r="AO821" i="34"/>
  <c r="AN821" i="34"/>
  <c r="AM821" i="34"/>
  <c r="AL821" i="34"/>
  <c r="AK821" i="34"/>
  <c r="AJ821" i="34"/>
  <c r="AI821" i="34"/>
  <c r="AH821" i="34"/>
  <c r="AG821" i="34"/>
  <c r="Z821" i="34"/>
  <c r="Y821" i="34"/>
  <c r="X821" i="34"/>
  <c r="W821" i="34"/>
  <c r="V821" i="34"/>
  <c r="U821" i="34"/>
  <c r="T821" i="34"/>
  <c r="S821" i="34"/>
  <c r="R821" i="34"/>
  <c r="Q821" i="34"/>
  <c r="P821" i="34"/>
  <c r="O821" i="34"/>
  <c r="N821" i="34"/>
  <c r="M821" i="34"/>
  <c r="L821" i="34"/>
  <c r="K821" i="34"/>
  <c r="J821" i="34"/>
  <c r="I821" i="34"/>
  <c r="BY820" i="34"/>
  <c r="BX820" i="34"/>
  <c r="BW820" i="34"/>
  <c r="BV820" i="34"/>
  <c r="BU820" i="34"/>
  <c r="BT820" i="34"/>
  <c r="BS820" i="34"/>
  <c r="BR820" i="34"/>
  <c r="BQ820" i="34"/>
  <c r="BP820" i="34"/>
  <c r="BO820" i="34"/>
  <c r="BN820" i="34"/>
  <c r="BM820" i="34"/>
  <c r="BL820" i="34"/>
  <c r="BK820" i="34"/>
  <c r="BJ820" i="34"/>
  <c r="BI820" i="34"/>
  <c r="BH820" i="34"/>
  <c r="BG820" i="34"/>
  <c r="BF820" i="34"/>
  <c r="BE820" i="34"/>
  <c r="BD820" i="34"/>
  <c r="BC820" i="34"/>
  <c r="AZ820" i="34"/>
  <c r="AY820" i="34"/>
  <c r="AX820" i="34"/>
  <c r="AW820" i="34"/>
  <c r="AV820" i="34"/>
  <c r="AU820" i="34"/>
  <c r="AT820" i="34"/>
  <c r="AS820" i="34"/>
  <c r="AR820" i="34"/>
  <c r="AQ820" i="34"/>
  <c r="AP820" i="34"/>
  <c r="AO820" i="34"/>
  <c r="AN820" i="34"/>
  <c r="AM820" i="34"/>
  <c r="AL820" i="34"/>
  <c r="AK820" i="34"/>
  <c r="AJ820" i="34"/>
  <c r="AI820" i="34"/>
  <c r="AH820" i="34"/>
  <c r="AG820" i="34"/>
  <c r="V820" i="34"/>
  <c r="U820" i="34"/>
  <c r="T820" i="34"/>
  <c r="S820" i="34"/>
  <c r="R820" i="34"/>
  <c r="Q820" i="34"/>
  <c r="P820" i="34"/>
  <c r="O820" i="34"/>
  <c r="N820" i="34"/>
  <c r="M820" i="34"/>
  <c r="L820" i="34"/>
  <c r="K820" i="34"/>
  <c r="J820" i="34"/>
  <c r="I820" i="34"/>
  <c r="BY819" i="34"/>
  <c r="BX819" i="34"/>
  <c r="BW819" i="34"/>
  <c r="BV819" i="34"/>
  <c r="BU819" i="34"/>
  <c r="BT819" i="34"/>
  <c r="BS819" i="34"/>
  <c r="BR819" i="34"/>
  <c r="BQ819" i="34"/>
  <c r="BP819" i="34"/>
  <c r="BO819" i="34"/>
  <c r="BN819" i="34"/>
  <c r="BM819" i="34"/>
  <c r="BL819" i="34"/>
  <c r="BK819" i="34"/>
  <c r="BJ819" i="34"/>
  <c r="BI819" i="34"/>
  <c r="BH819" i="34"/>
  <c r="BG819" i="34"/>
  <c r="BF819" i="34"/>
  <c r="BE819" i="34"/>
  <c r="BD819" i="34"/>
  <c r="BC819" i="34"/>
  <c r="AZ819" i="34"/>
  <c r="AY819" i="34"/>
  <c r="AX819" i="34"/>
  <c r="AW819" i="34"/>
  <c r="AV819" i="34"/>
  <c r="AU819" i="34"/>
  <c r="AT819" i="34"/>
  <c r="AS819" i="34"/>
  <c r="AR819" i="34"/>
  <c r="AQ819" i="34"/>
  <c r="AP819" i="34"/>
  <c r="AO819" i="34"/>
  <c r="AN819" i="34"/>
  <c r="AM819" i="34"/>
  <c r="AL819" i="34"/>
  <c r="AK819" i="34"/>
  <c r="AJ819" i="34"/>
  <c r="AI819" i="34"/>
  <c r="AH819" i="34"/>
  <c r="AG819" i="34"/>
  <c r="AF819" i="34"/>
  <c r="AE819" i="34"/>
  <c r="AD819" i="34"/>
  <c r="AC819" i="34"/>
  <c r="AB819" i="34"/>
  <c r="AA819" i="34"/>
  <c r="Z819" i="34"/>
  <c r="Y819" i="34"/>
  <c r="X819" i="34"/>
  <c r="W819" i="34"/>
  <c r="V819" i="34"/>
  <c r="U819" i="34"/>
  <c r="T819" i="34"/>
  <c r="S819" i="34"/>
  <c r="R819" i="34"/>
  <c r="Q819" i="34"/>
  <c r="P819" i="34"/>
  <c r="O819" i="34"/>
  <c r="N819" i="34"/>
  <c r="M819" i="34"/>
  <c r="L819" i="34"/>
  <c r="K819" i="34"/>
  <c r="J819" i="34"/>
  <c r="I819" i="34"/>
  <c r="BY818" i="34"/>
  <c r="BX818" i="34"/>
  <c r="BW818" i="34"/>
  <c r="BV818" i="34"/>
  <c r="BU818" i="34"/>
  <c r="BT818" i="34"/>
  <c r="BS818" i="34"/>
  <c r="BR818" i="34"/>
  <c r="BQ818" i="34"/>
  <c r="BP818" i="34"/>
  <c r="BE818" i="34"/>
  <c r="L818" i="34"/>
  <c r="K818" i="34"/>
  <c r="J818" i="34"/>
  <c r="I818" i="34"/>
  <c r="BY817" i="34"/>
  <c r="BX817" i="34"/>
  <c r="BW817" i="34"/>
  <c r="BV817" i="34"/>
  <c r="BU817" i="34"/>
  <c r="BT817" i="34"/>
  <c r="BS817" i="34"/>
  <c r="BR817" i="34"/>
  <c r="BQ817" i="34"/>
  <c r="BP817" i="34"/>
  <c r="BO817" i="34"/>
  <c r="BN817" i="34"/>
  <c r="BM817" i="34"/>
  <c r="BL817" i="34"/>
  <c r="BK817" i="34"/>
  <c r="BJ817" i="34"/>
  <c r="BI817" i="34"/>
  <c r="BH817" i="34"/>
  <c r="BG817" i="34"/>
  <c r="BF817" i="34"/>
  <c r="BE817" i="34"/>
  <c r="BD817" i="34"/>
  <c r="BC817" i="34"/>
  <c r="AZ817" i="34"/>
  <c r="AY817" i="34"/>
  <c r="AX817" i="34"/>
  <c r="AW817" i="34"/>
  <c r="AV817" i="34"/>
  <c r="AU817" i="34"/>
  <c r="AT817" i="34"/>
  <c r="AS817" i="34"/>
  <c r="AR817" i="34"/>
  <c r="AQ817" i="34"/>
  <c r="AP817" i="34"/>
  <c r="AO817" i="34"/>
  <c r="AN817" i="34"/>
  <c r="AM817" i="34"/>
  <c r="AL817" i="34"/>
  <c r="AK817" i="34"/>
  <c r="AJ817" i="34"/>
  <c r="AI817" i="34"/>
  <c r="AH817" i="34"/>
  <c r="AG817" i="34"/>
  <c r="AF817" i="34"/>
  <c r="AE817" i="34"/>
  <c r="AD817" i="34"/>
  <c r="AC817" i="34"/>
  <c r="AB817" i="34"/>
  <c r="AA817" i="34"/>
  <c r="Z817" i="34"/>
  <c r="Y817" i="34"/>
  <c r="X817" i="34"/>
  <c r="W817" i="34"/>
  <c r="V817" i="34"/>
  <c r="U817" i="34"/>
  <c r="T817" i="34"/>
  <c r="S817" i="34"/>
  <c r="R817" i="34"/>
  <c r="Q817" i="34"/>
  <c r="P817" i="34"/>
  <c r="O817" i="34"/>
  <c r="N817" i="34"/>
  <c r="M817" i="34"/>
  <c r="L817" i="34"/>
  <c r="K817" i="34"/>
  <c r="J817" i="34"/>
  <c r="I817" i="34"/>
  <c r="BY816" i="34"/>
  <c r="BX816" i="34"/>
  <c r="BW816" i="34"/>
  <c r="BV816" i="34"/>
  <c r="BU816" i="34"/>
  <c r="BT816" i="34"/>
  <c r="BS816" i="34"/>
  <c r="BR816" i="34"/>
  <c r="BQ816" i="34"/>
  <c r="BP816" i="34"/>
  <c r="BK816" i="34"/>
  <c r="BJ816" i="34"/>
  <c r="BI816" i="34"/>
  <c r="BH816" i="34"/>
  <c r="BG816" i="34"/>
  <c r="BF816" i="34"/>
  <c r="BE816" i="34"/>
  <c r="AB816" i="34"/>
  <c r="AA816" i="34"/>
  <c r="Z816" i="34"/>
  <c r="Y816" i="34"/>
  <c r="X816" i="34"/>
  <c r="W816" i="34"/>
  <c r="V816" i="34"/>
  <c r="U816" i="34"/>
  <c r="T816" i="34"/>
  <c r="S816" i="34"/>
  <c r="R816" i="34"/>
  <c r="Q816" i="34"/>
  <c r="P816" i="34"/>
  <c r="O816" i="34"/>
  <c r="N816" i="34"/>
  <c r="M816" i="34"/>
  <c r="L816" i="34"/>
  <c r="K816" i="34"/>
  <c r="J816" i="34"/>
  <c r="I816" i="34"/>
  <c r="BY815" i="34"/>
  <c r="BX815" i="34"/>
  <c r="BW815" i="34"/>
  <c r="BV815" i="34"/>
  <c r="BU815" i="34"/>
  <c r="BT815" i="34"/>
  <c r="BS815" i="34"/>
  <c r="BR815" i="34"/>
  <c r="BQ815" i="34"/>
  <c r="BP815" i="34"/>
  <c r="BK815" i="34"/>
  <c r="BJ815" i="34"/>
  <c r="BI815" i="34"/>
  <c r="BH815" i="34"/>
  <c r="BG815" i="34"/>
  <c r="BF815" i="34"/>
  <c r="BE815" i="34"/>
  <c r="X815" i="34"/>
  <c r="W815" i="34"/>
  <c r="V815" i="34"/>
  <c r="U815" i="34"/>
  <c r="T815" i="34"/>
  <c r="S815" i="34"/>
  <c r="R815" i="34"/>
  <c r="Q815" i="34"/>
  <c r="P815" i="34"/>
  <c r="O815" i="34"/>
  <c r="N815" i="34"/>
  <c r="M815" i="34"/>
  <c r="L815" i="34"/>
  <c r="K815" i="34"/>
  <c r="J815" i="34"/>
  <c r="I815" i="34"/>
  <c r="BY814" i="34"/>
  <c r="BX814" i="34"/>
  <c r="BW814" i="34"/>
  <c r="BV814" i="34"/>
  <c r="BU814" i="34"/>
  <c r="BT814" i="34"/>
  <c r="BS814" i="34"/>
  <c r="BR814" i="34"/>
  <c r="BQ814" i="34"/>
  <c r="BP814" i="34"/>
  <c r="BJ814" i="34"/>
  <c r="BI814" i="34"/>
  <c r="BH814" i="34"/>
  <c r="BG814" i="34"/>
  <c r="BF814" i="34"/>
  <c r="BE814" i="34"/>
  <c r="T814" i="34"/>
  <c r="S814" i="34"/>
  <c r="R814" i="34"/>
  <c r="Q814" i="34"/>
  <c r="P814" i="34"/>
  <c r="O814" i="34"/>
  <c r="N814" i="34"/>
  <c r="M814" i="34"/>
  <c r="L814" i="34"/>
  <c r="K814" i="34"/>
  <c r="J814" i="34"/>
  <c r="I814" i="34"/>
  <c r="BY813" i="34"/>
  <c r="BX813" i="34"/>
  <c r="BW813" i="34"/>
  <c r="BV813" i="34"/>
  <c r="BU813" i="34"/>
  <c r="BT813" i="34"/>
  <c r="BS813" i="34"/>
  <c r="BR813" i="34"/>
  <c r="BQ813" i="34"/>
  <c r="BP813" i="34"/>
  <c r="BO813" i="34"/>
  <c r="BN813" i="34"/>
  <c r="BM813" i="34"/>
  <c r="BL813" i="34"/>
  <c r="BK813" i="34"/>
  <c r="BJ813" i="34"/>
  <c r="BI813" i="34"/>
  <c r="BH813" i="34"/>
  <c r="BG813" i="34"/>
  <c r="BF813" i="34"/>
  <c r="BE813" i="34"/>
  <c r="BD813" i="34"/>
  <c r="BC813" i="34"/>
  <c r="AZ813" i="34"/>
  <c r="AY813" i="34"/>
  <c r="AX813" i="34"/>
  <c r="AW813" i="34"/>
  <c r="AV813" i="34"/>
  <c r="AU813" i="34"/>
  <c r="AT813" i="34"/>
  <c r="AS813" i="34"/>
  <c r="AR813" i="34"/>
  <c r="AQ813" i="34"/>
  <c r="AP813" i="34"/>
  <c r="AO813" i="34"/>
  <c r="AN813" i="34"/>
  <c r="AM813" i="34"/>
  <c r="AL813" i="34"/>
  <c r="AK813" i="34"/>
  <c r="AJ813" i="34"/>
  <c r="AI813" i="34"/>
  <c r="AH813" i="34"/>
  <c r="AG813" i="34"/>
  <c r="AF813" i="34"/>
  <c r="AE813" i="34"/>
  <c r="AD813" i="34"/>
  <c r="AC813" i="34"/>
  <c r="AB813" i="34"/>
  <c r="AA813" i="34"/>
  <c r="Z813" i="34"/>
  <c r="Y813" i="34"/>
  <c r="X813" i="34"/>
  <c r="W813" i="34"/>
  <c r="V813" i="34"/>
  <c r="U813" i="34"/>
  <c r="T813" i="34"/>
  <c r="S813" i="34"/>
  <c r="R813" i="34"/>
  <c r="Q813" i="34"/>
  <c r="P813" i="34"/>
  <c r="O813" i="34"/>
  <c r="N813" i="34"/>
  <c r="M813" i="34"/>
  <c r="L813" i="34"/>
  <c r="K813" i="34"/>
  <c r="J813" i="34"/>
  <c r="I813" i="34"/>
  <c r="BY812" i="34"/>
  <c r="BX812" i="34"/>
  <c r="BW812" i="34"/>
  <c r="BV812" i="34"/>
  <c r="BU812" i="34"/>
  <c r="BT812" i="34"/>
  <c r="BS812" i="34"/>
  <c r="BR812" i="34"/>
  <c r="BQ812" i="34"/>
  <c r="BP812" i="34"/>
  <c r="BO812" i="34"/>
  <c r="BN812" i="34"/>
  <c r="BM812" i="34"/>
  <c r="BL812" i="34"/>
  <c r="BK812" i="34"/>
  <c r="BJ812" i="34"/>
  <c r="BI812" i="34"/>
  <c r="BH812" i="34"/>
  <c r="BG812" i="34"/>
  <c r="BF812" i="34"/>
  <c r="BE812" i="34"/>
  <c r="M812" i="34"/>
  <c r="L812" i="34"/>
  <c r="K812" i="34"/>
  <c r="J812" i="34"/>
  <c r="I812" i="34"/>
  <c r="BY811" i="34"/>
  <c r="BX811" i="34"/>
  <c r="BW811" i="34"/>
  <c r="BV811" i="34"/>
  <c r="BU811" i="34"/>
  <c r="BT811" i="34"/>
  <c r="BS811" i="34"/>
  <c r="BR811" i="34"/>
  <c r="BQ811" i="34"/>
  <c r="BP811" i="34"/>
  <c r="BH811" i="34"/>
  <c r="BG811" i="34"/>
  <c r="BF811" i="34"/>
  <c r="BE811" i="34"/>
  <c r="P811" i="34"/>
  <c r="O811" i="34"/>
  <c r="N811" i="34"/>
  <c r="M811" i="34"/>
  <c r="L811" i="34"/>
  <c r="K811" i="34"/>
  <c r="J811" i="34"/>
  <c r="I811" i="34"/>
  <c r="BY810" i="34"/>
  <c r="BX810" i="34"/>
  <c r="BW810" i="34"/>
  <c r="BV810" i="34"/>
  <c r="BU810" i="34"/>
  <c r="BT810" i="34"/>
  <c r="BS810" i="34"/>
  <c r="BR810" i="34"/>
  <c r="BQ810" i="34"/>
  <c r="BP810" i="34"/>
  <c r="BO810" i="34"/>
  <c r="BN810" i="34"/>
  <c r="BM810" i="34"/>
  <c r="BL810" i="34"/>
  <c r="BK810" i="34"/>
  <c r="BJ810" i="34"/>
  <c r="BI810" i="34"/>
  <c r="BH810" i="34"/>
  <c r="BG810" i="34"/>
  <c r="BF810" i="34"/>
  <c r="BE810" i="34"/>
  <c r="L810" i="34"/>
  <c r="K810" i="34"/>
  <c r="J810" i="34"/>
  <c r="I810" i="34"/>
  <c r="BY809" i="34"/>
  <c r="BX809" i="34"/>
  <c r="BW809" i="34"/>
  <c r="BV809" i="34"/>
  <c r="BU809" i="34"/>
  <c r="BT809" i="34"/>
  <c r="BS809" i="34"/>
  <c r="BR809" i="34"/>
  <c r="BQ809" i="34"/>
  <c r="BP809" i="34"/>
  <c r="BG809" i="34"/>
  <c r="BF809" i="34"/>
  <c r="BE809" i="34"/>
  <c r="L809" i="34"/>
  <c r="K809" i="34"/>
  <c r="J809" i="34"/>
  <c r="I809" i="34"/>
  <c r="BY808" i="34"/>
  <c r="BX808" i="34"/>
  <c r="BW808" i="34"/>
  <c r="BV808" i="34"/>
  <c r="BU808" i="34"/>
  <c r="BT808" i="34"/>
  <c r="BS808" i="34"/>
  <c r="BR808" i="34"/>
  <c r="BQ808" i="34"/>
  <c r="BP808" i="34"/>
  <c r="BG808" i="34"/>
  <c r="BF808" i="34"/>
  <c r="BE808" i="34"/>
  <c r="L808" i="34"/>
  <c r="K808" i="34"/>
  <c r="J808" i="34"/>
  <c r="I808" i="34"/>
  <c r="BY807" i="34"/>
  <c r="BX807" i="34"/>
  <c r="BW807" i="34"/>
  <c r="BV807" i="34"/>
  <c r="BU807" i="34"/>
  <c r="BT807" i="34"/>
  <c r="BS807" i="34"/>
  <c r="BR807" i="34"/>
  <c r="BQ807" i="34"/>
  <c r="BP807" i="34"/>
  <c r="BO807" i="34"/>
  <c r="BN807" i="34"/>
  <c r="BM807" i="34"/>
  <c r="BL807" i="34"/>
  <c r="BK807" i="34"/>
  <c r="BJ807" i="34"/>
  <c r="BI807" i="34"/>
  <c r="BH807" i="34"/>
  <c r="BG807" i="34"/>
  <c r="BF807" i="34"/>
  <c r="BE807" i="34"/>
  <c r="BD807" i="34"/>
  <c r="BC807" i="34"/>
  <c r="AZ807" i="34"/>
  <c r="AY807" i="34"/>
  <c r="AX807" i="34"/>
  <c r="AW807" i="34"/>
  <c r="AV807" i="34"/>
  <c r="AU807" i="34"/>
  <c r="AT807" i="34"/>
  <c r="AS807" i="34"/>
  <c r="AR807" i="34"/>
  <c r="AQ807" i="34"/>
  <c r="AP807" i="34"/>
  <c r="AO807" i="34"/>
  <c r="AN807" i="34"/>
  <c r="AM807" i="34"/>
  <c r="AL807" i="34"/>
  <c r="AK807" i="34"/>
  <c r="AJ807" i="34"/>
  <c r="AI807" i="34"/>
  <c r="AH807" i="34"/>
  <c r="AG807" i="34"/>
  <c r="AF807" i="34"/>
  <c r="AE807" i="34"/>
  <c r="AD807" i="34"/>
  <c r="AC807" i="34"/>
  <c r="AB807" i="34"/>
  <c r="AA807" i="34"/>
  <c r="Z807" i="34"/>
  <c r="Y807" i="34"/>
  <c r="X807" i="34"/>
  <c r="W807" i="34"/>
  <c r="V807" i="34"/>
  <c r="U807" i="34"/>
  <c r="T807" i="34"/>
  <c r="S807" i="34"/>
  <c r="R807" i="34"/>
  <c r="Q807" i="34"/>
  <c r="P807" i="34"/>
  <c r="O807" i="34"/>
  <c r="N807" i="34"/>
  <c r="M807" i="34"/>
  <c r="L807" i="34"/>
  <c r="K807" i="34"/>
  <c r="J807" i="34"/>
  <c r="I807" i="34"/>
  <c r="BY806" i="34"/>
  <c r="BX806" i="34"/>
  <c r="BW806" i="34"/>
  <c r="BV806" i="34"/>
  <c r="BU806" i="34"/>
  <c r="BT806" i="34"/>
  <c r="BS806" i="34"/>
  <c r="BR806" i="34"/>
  <c r="BQ806" i="34"/>
  <c r="BP806" i="34"/>
  <c r="BO806" i="34"/>
  <c r="BN806" i="34"/>
  <c r="BM806" i="34"/>
  <c r="BL806" i="34"/>
  <c r="BK806" i="34"/>
  <c r="BJ806" i="34"/>
  <c r="BI806" i="34"/>
  <c r="BH806" i="34"/>
  <c r="BG806" i="34"/>
  <c r="BF806" i="34"/>
  <c r="BE806" i="34"/>
  <c r="BD806" i="34"/>
  <c r="BC806" i="34"/>
  <c r="AZ806" i="34"/>
  <c r="AY806" i="34"/>
  <c r="AX806" i="34"/>
  <c r="AW806" i="34"/>
  <c r="AV806" i="34"/>
  <c r="AU806" i="34"/>
  <c r="AT806" i="34"/>
  <c r="AS806" i="34"/>
  <c r="AR806" i="34"/>
  <c r="AQ806" i="34"/>
  <c r="AP806" i="34"/>
  <c r="AO806" i="34"/>
  <c r="AN806" i="34"/>
  <c r="AM806" i="34"/>
  <c r="AL806" i="34"/>
  <c r="AK806" i="34"/>
  <c r="AJ806" i="34"/>
  <c r="AI806" i="34"/>
  <c r="AH806" i="34"/>
  <c r="AG806" i="34"/>
  <c r="AF806" i="34"/>
  <c r="AE806" i="34"/>
  <c r="AD806" i="34"/>
  <c r="AC806" i="34"/>
  <c r="AB806" i="34"/>
  <c r="AA806" i="34"/>
  <c r="Z806" i="34"/>
  <c r="Y806" i="34"/>
  <c r="X806" i="34"/>
  <c r="W806" i="34"/>
  <c r="V806" i="34"/>
  <c r="U806" i="34"/>
  <c r="T806" i="34"/>
  <c r="S806" i="34"/>
  <c r="R806" i="34"/>
  <c r="Q806" i="34"/>
  <c r="P806" i="34"/>
  <c r="O806" i="34"/>
  <c r="N806" i="34"/>
  <c r="M806" i="34"/>
  <c r="L806" i="34"/>
  <c r="K806" i="34"/>
  <c r="J806" i="34"/>
  <c r="I806" i="34"/>
  <c r="BY805" i="34"/>
  <c r="BX805" i="34"/>
  <c r="BW805" i="34"/>
  <c r="BV805" i="34"/>
  <c r="BU805" i="34"/>
  <c r="BT805" i="34"/>
  <c r="BS805" i="34"/>
  <c r="BR805" i="34"/>
  <c r="BQ805" i="34"/>
  <c r="BP805" i="34"/>
  <c r="BO805" i="34"/>
  <c r="BN805" i="34"/>
  <c r="BM805" i="34"/>
  <c r="BL805" i="34"/>
  <c r="BK805" i="34"/>
  <c r="BJ805" i="34"/>
  <c r="BI805" i="34"/>
  <c r="BH805" i="34"/>
  <c r="BG805" i="34"/>
  <c r="BF805" i="34"/>
  <c r="BE805" i="34"/>
  <c r="L805" i="34"/>
  <c r="K805" i="34"/>
  <c r="J805" i="34"/>
  <c r="I805" i="34"/>
  <c r="BY804" i="34"/>
  <c r="BX804" i="34"/>
  <c r="BW804" i="34"/>
  <c r="BV804" i="34"/>
  <c r="BU804" i="34"/>
  <c r="BT804" i="34"/>
  <c r="BS804" i="34"/>
  <c r="BR804" i="34"/>
  <c r="BQ804" i="34"/>
  <c r="BP804" i="34"/>
  <c r="BG804" i="34"/>
  <c r="BF804" i="34"/>
  <c r="BE804" i="34"/>
  <c r="L804" i="34"/>
  <c r="K804" i="34"/>
  <c r="J804" i="34"/>
  <c r="I804" i="34"/>
  <c r="BY803" i="34"/>
  <c r="BX803" i="34"/>
  <c r="BW803" i="34"/>
  <c r="BV803" i="34"/>
  <c r="BU803" i="34"/>
  <c r="BT803" i="34"/>
  <c r="BS803" i="34"/>
  <c r="BR803" i="34"/>
  <c r="BQ803" i="34"/>
  <c r="BP803" i="34"/>
  <c r="BH803" i="34"/>
  <c r="BG803" i="34"/>
  <c r="BF803" i="34"/>
  <c r="BE803" i="34"/>
  <c r="P803" i="34"/>
  <c r="O803" i="34"/>
  <c r="N803" i="34"/>
  <c r="M803" i="34"/>
  <c r="L803" i="34"/>
  <c r="K803" i="34"/>
  <c r="J803" i="34"/>
  <c r="I803" i="34"/>
  <c r="BY802" i="34"/>
  <c r="BX802" i="34"/>
  <c r="BW802" i="34"/>
  <c r="BV802" i="34"/>
  <c r="BU802" i="34"/>
  <c r="BT802" i="34"/>
  <c r="BS802" i="34"/>
  <c r="BR802" i="34"/>
  <c r="BQ802" i="34"/>
  <c r="BP802" i="34"/>
  <c r="BO802" i="34"/>
  <c r="BN802" i="34"/>
  <c r="BM802" i="34"/>
  <c r="BL802" i="34"/>
  <c r="BK802" i="34"/>
  <c r="BJ802" i="34"/>
  <c r="BI802" i="34"/>
  <c r="BH802" i="34"/>
  <c r="BG802" i="34"/>
  <c r="BF802" i="34"/>
  <c r="BE802" i="34"/>
  <c r="BD802" i="34"/>
  <c r="BC802" i="34"/>
  <c r="AZ802" i="34"/>
  <c r="AY802" i="34"/>
  <c r="AX802" i="34"/>
  <c r="AW802" i="34"/>
  <c r="AV802" i="34"/>
  <c r="AU802" i="34"/>
  <c r="AT802" i="34"/>
  <c r="AS802" i="34"/>
  <c r="AR802" i="34"/>
  <c r="AQ802" i="34"/>
  <c r="AP802" i="34"/>
  <c r="AO802" i="34"/>
  <c r="AN802" i="34"/>
  <c r="AM802" i="34"/>
  <c r="AL802" i="34"/>
  <c r="AK802" i="34"/>
  <c r="AJ802" i="34"/>
  <c r="AI802" i="34"/>
  <c r="AH802" i="34"/>
  <c r="AG802" i="34"/>
  <c r="M802" i="34"/>
  <c r="L802" i="34"/>
  <c r="K802" i="34"/>
  <c r="J802" i="34"/>
  <c r="I802" i="34"/>
  <c r="BY801" i="34"/>
  <c r="BX801" i="34"/>
  <c r="BW801" i="34"/>
  <c r="BV801" i="34"/>
  <c r="BU801" i="34"/>
  <c r="BT801" i="34"/>
  <c r="BS801" i="34"/>
  <c r="BR801" i="34"/>
  <c r="BQ801" i="34"/>
  <c r="BP801" i="34"/>
  <c r="BI801" i="34"/>
  <c r="BH801" i="34"/>
  <c r="BG801" i="34"/>
  <c r="BF801" i="34"/>
  <c r="BE801" i="34"/>
  <c r="AF801" i="34"/>
  <c r="AE801" i="34"/>
  <c r="AD801" i="34"/>
  <c r="AC801" i="34"/>
  <c r="AB801" i="34"/>
  <c r="AA801" i="34"/>
  <c r="Z801" i="34"/>
  <c r="Y801" i="34"/>
  <c r="X801" i="34"/>
  <c r="W801" i="34"/>
  <c r="V801" i="34"/>
  <c r="U801" i="34"/>
  <c r="T801" i="34"/>
  <c r="S801" i="34"/>
  <c r="R801" i="34"/>
  <c r="Q801" i="34"/>
  <c r="P801" i="34"/>
  <c r="O801" i="34"/>
  <c r="N801" i="34"/>
  <c r="M801" i="34"/>
  <c r="L801" i="34"/>
  <c r="K801" i="34"/>
  <c r="J801" i="34"/>
  <c r="I801" i="34"/>
  <c r="BY800" i="34"/>
  <c r="BX800" i="34"/>
  <c r="BW800" i="34"/>
  <c r="BV800" i="34"/>
  <c r="BU800" i="34"/>
  <c r="BT800" i="34"/>
  <c r="BS800" i="34"/>
  <c r="BR800" i="34"/>
  <c r="BQ800" i="34"/>
  <c r="BP800" i="34"/>
  <c r="BO800" i="34"/>
  <c r="BN800" i="34"/>
  <c r="BM800" i="34"/>
  <c r="BL800" i="34"/>
  <c r="BK800" i="34"/>
  <c r="BJ800" i="34"/>
  <c r="BI800" i="34"/>
  <c r="BH800" i="34"/>
  <c r="BG800" i="34"/>
  <c r="BF800" i="34"/>
  <c r="BE800" i="34"/>
  <c r="BD800" i="34"/>
  <c r="BC800" i="34"/>
  <c r="AZ800" i="34"/>
  <c r="AY800" i="34"/>
  <c r="AX800" i="34"/>
  <c r="AW800" i="34"/>
  <c r="AV800" i="34"/>
  <c r="AU800" i="34"/>
  <c r="AT800" i="34"/>
  <c r="AS800" i="34"/>
  <c r="AR800" i="34"/>
  <c r="AQ800" i="34"/>
  <c r="AP800" i="34"/>
  <c r="AO800" i="34"/>
  <c r="AN800" i="34"/>
  <c r="AM800" i="34"/>
  <c r="AL800" i="34"/>
  <c r="AK800" i="34"/>
  <c r="AJ800" i="34"/>
  <c r="AI800" i="34"/>
  <c r="AH800" i="34"/>
  <c r="AG800" i="34"/>
  <c r="AF800" i="34"/>
  <c r="AE800" i="34"/>
  <c r="AD800" i="34"/>
  <c r="AC800" i="34"/>
  <c r="AB800" i="34"/>
  <c r="AA800" i="34"/>
  <c r="Z800" i="34"/>
  <c r="Y800" i="34"/>
  <c r="X800" i="34"/>
  <c r="W800" i="34"/>
  <c r="V800" i="34"/>
  <c r="U800" i="34"/>
  <c r="T800" i="34"/>
  <c r="S800" i="34"/>
  <c r="R800" i="34"/>
  <c r="Q800" i="34"/>
  <c r="P800" i="34"/>
  <c r="O800" i="34"/>
  <c r="N800" i="34"/>
  <c r="M800" i="34"/>
  <c r="L800" i="34"/>
  <c r="K800" i="34"/>
  <c r="J800" i="34"/>
  <c r="I800" i="34"/>
  <c r="BY799" i="34"/>
  <c r="BX799" i="34"/>
  <c r="BW799" i="34"/>
  <c r="BV799" i="34"/>
  <c r="BU799" i="34"/>
  <c r="BT799" i="34"/>
  <c r="BS799" i="34"/>
  <c r="BR799" i="34"/>
  <c r="BQ799" i="34"/>
  <c r="BP799" i="34"/>
  <c r="BO799" i="34"/>
  <c r="BN799" i="34"/>
  <c r="BM799" i="34"/>
  <c r="BL799" i="34"/>
  <c r="BK799" i="34"/>
  <c r="BJ799" i="34"/>
  <c r="BI799" i="34"/>
  <c r="BH799" i="34"/>
  <c r="BG799" i="34"/>
  <c r="BF799" i="34"/>
  <c r="BE799" i="34"/>
  <c r="BD799" i="34"/>
  <c r="BC799" i="34"/>
  <c r="AZ799" i="34"/>
  <c r="AY799" i="34"/>
  <c r="AX799" i="34"/>
  <c r="AW799" i="34"/>
  <c r="AV799" i="34"/>
  <c r="AU799" i="34"/>
  <c r="AT799" i="34"/>
  <c r="AS799" i="34"/>
  <c r="AR799" i="34"/>
  <c r="AQ799" i="34"/>
  <c r="AP799" i="34"/>
  <c r="AO799" i="34"/>
  <c r="AN799" i="34"/>
  <c r="AM799" i="34"/>
  <c r="AL799" i="34"/>
  <c r="AK799" i="34"/>
  <c r="AJ799" i="34"/>
  <c r="AI799" i="34"/>
  <c r="AH799" i="34"/>
  <c r="AG799" i="34"/>
  <c r="AF799" i="34"/>
  <c r="AE799" i="34"/>
  <c r="AD799" i="34"/>
  <c r="AC799" i="34"/>
  <c r="AB799" i="34"/>
  <c r="AA799" i="34"/>
  <c r="Z799" i="34"/>
  <c r="Y799" i="34"/>
  <c r="X799" i="34"/>
  <c r="W799" i="34"/>
  <c r="V799" i="34"/>
  <c r="U799" i="34"/>
  <c r="T799" i="34"/>
  <c r="S799" i="34"/>
  <c r="R799" i="34"/>
  <c r="Q799" i="34"/>
  <c r="P799" i="34"/>
  <c r="O799" i="34"/>
  <c r="N799" i="34"/>
  <c r="M799" i="34"/>
  <c r="L799" i="34"/>
  <c r="K799" i="34"/>
  <c r="J799" i="34"/>
  <c r="I799" i="34"/>
  <c r="BJ796" i="34"/>
  <c r="BI796" i="34"/>
  <c r="BH796" i="34"/>
  <c r="BG796" i="34"/>
  <c r="BF796" i="34"/>
  <c r="BE796" i="34"/>
  <c r="P796" i="34"/>
  <c r="O796" i="34"/>
  <c r="N796" i="34"/>
  <c r="M796" i="34"/>
  <c r="L796" i="34"/>
  <c r="K796" i="34"/>
  <c r="J796" i="34"/>
  <c r="I796" i="34"/>
  <c r="BJ795" i="34"/>
  <c r="BI795" i="34"/>
  <c r="BH795" i="34"/>
  <c r="BG795" i="34"/>
  <c r="BF795" i="34"/>
  <c r="BE795" i="34"/>
  <c r="P795" i="34"/>
  <c r="O795" i="34"/>
  <c r="N795" i="34"/>
  <c r="M795" i="34"/>
  <c r="L795" i="34"/>
  <c r="K795" i="34"/>
  <c r="J795" i="34"/>
  <c r="I795" i="34"/>
  <c r="BJ794" i="34"/>
  <c r="BI794" i="34"/>
  <c r="BH794" i="34"/>
  <c r="BG794" i="34"/>
  <c r="BF794" i="34"/>
  <c r="BE794" i="34"/>
  <c r="P794" i="34"/>
  <c r="O794" i="34"/>
  <c r="N794" i="34"/>
  <c r="M794" i="34"/>
  <c r="L794" i="34"/>
  <c r="K794" i="34"/>
  <c r="J794" i="34"/>
  <c r="I794" i="34"/>
  <c r="BI793" i="34"/>
  <c r="BH793" i="34"/>
  <c r="BG793" i="34"/>
  <c r="BF793" i="34"/>
  <c r="BE793" i="34"/>
  <c r="L793" i="34"/>
  <c r="K793" i="34"/>
  <c r="J793" i="34"/>
  <c r="I793" i="34"/>
  <c r="BJ792" i="34"/>
  <c r="BI792" i="34"/>
  <c r="BH792" i="34"/>
  <c r="BG792" i="34"/>
  <c r="BF792" i="34"/>
  <c r="BE792" i="34"/>
  <c r="AI792" i="34"/>
  <c r="AH792" i="34"/>
  <c r="AG792" i="34"/>
  <c r="AF792" i="34"/>
  <c r="AE792" i="34"/>
  <c r="AD792" i="34"/>
  <c r="AC792" i="34"/>
  <c r="AB792" i="34"/>
  <c r="AA792" i="34"/>
  <c r="Z792" i="34"/>
  <c r="Y792" i="34"/>
  <c r="X792" i="34"/>
  <c r="W792" i="34"/>
  <c r="V792" i="34"/>
  <c r="U792" i="34"/>
  <c r="T792" i="34"/>
  <c r="S792" i="34"/>
  <c r="R792" i="34"/>
  <c r="Q792" i="34"/>
  <c r="P792" i="34"/>
  <c r="O792" i="34"/>
  <c r="N792" i="34"/>
  <c r="M792" i="34"/>
  <c r="L792" i="34"/>
  <c r="K792" i="34"/>
  <c r="J792" i="34"/>
  <c r="I792" i="34"/>
  <c r="BY789" i="34"/>
  <c r="BX789" i="34"/>
  <c r="BW789" i="34"/>
  <c r="BV789" i="34"/>
  <c r="BU789" i="34"/>
  <c r="BT789" i="34"/>
  <c r="BS789" i="34"/>
  <c r="BR789" i="34"/>
  <c r="BQ789" i="34"/>
  <c r="BP789" i="34"/>
  <c r="BO789" i="34"/>
  <c r="BN789" i="34"/>
  <c r="BM789" i="34"/>
  <c r="BL789" i="34"/>
  <c r="BK789" i="34"/>
  <c r="BJ789" i="34"/>
  <c r="BI789" i="34"/>
  <c r="BH789" i="34"/>
  <c r="BG789" i="34"/>
  <c r="BF789" i="34"/>
  <c r="BE789" i="34"/>
  <c r="BD789" i="34"/>
  <c r="BC789" i="34"/>
  <c r="AZ789" i="34"/>
  <c r="AY789" i="34"/>
  <c r="AX789" i="34"/>
  <c r="AW789" i="34"/>
  <c r="AV789" i="34"/>
  <c r="AU789" i="34"/>
  <c r="AT789" i="34"/>
  <c r="AS789" i="34"/>
  <c r="AR789" i="34"/>
  <c r="AQ789" i="34"/>
  <c r="AP789" i="34"/>
  <c r="AO789" i="34"/>
  <c r="AN789" i="34"/>
  <c r="AM789" i="34"/>
  <c r="AL789" i="34"/>
  <c r="AK789" i="34"/>
  <c r="AJ789" i="34"/>
  <c r="AI789" i="34"/>
  <c r="AH789" i="34"/>
  <c r="AG789" i="34"/>
  <c r="AF789" i="34"/>
  <c r="AE789" i="34"/>
  <c r="AD789" i="34"/>
  <c r="AC789" i="34"/>
  <c r="AB789" i="34"/>
  <c r="AA789" i="34"/>
  <c r="Z789" i="34"/>
  <c r="Y789" i="34"/>
  <c r="X789" i="34"/>
  <c r="W789" i="34"/>
  <c r="V789" i="34"/>
  <c r="U789" i="34"/>
  <c r="T789" i="34"/>
  <c r="S789" i="34"/>
  <c r="R789" i="34"/>
  <c r="Q789" i="34"/>
  <c r="P789" i="34"/>
  <c r="O789" i="34"/>
  <c r="N789" i="34"/>
  <c r="M789" i="34"/>
  <c r="L789" i="34"/>
  <c r="K789" i="34"/>
  <c r="J789" i="34"/>
  <c r="I789" i="34"/>
  <c r="BY788" i="34"/>
  <c r="BX788" i="34"/>
  <c r="BW788" i="34"/>
  <c r="BV788" i="34"/>
  <c r="BU788" i="34"/>
  <c r="BT788" i="34"/>
  <c r="BS788" i="34"/>
  <c r="BR788" i="34"/>
  <c r="BQ788" i="34"/>
  <c r="BP788" i="34"/>
  <c r="BO788" i="34"/>
  <c r="BN788" i="34"/>
  <c r="BM788" i="34"/>
  <c r="BL788" i="34"/>
  <c r="BK788" i="34"/>
  <c r="BJ788" i="34"/>
  <c r="BI788" i="34"/>
  <c r="BH788" i="34"/>
  <c r="BG788" i="34"/>
  <c r="BF788" i="34"/>
  <c r="BE788" i="34"/>
  <c r="U788" i="34"/>
  <c r="T788" i="34"/>
  <c r="S788" i="34"/>
  <c r="R788" i="34"/>
  <c r="Q788" i="34"/>
  <c r="P788" i="34"/>
  <c r="O788" i="34"/>
  <c r="N788" i="34"/>
  <c r="M788" i="34"/>
  <c r="L788" i="34"/>
  <c r="K788" i="34"/>
  <c r="J788" i="34"/>
  <c r="I788" i="34"/>
  <c r="BL787" i="34"/>
  <c r="BK787" i="34"/>
  <c r="BJ787" i="34"/>
  <c r="BI787" i="34"/>
  <c r="BH787" i="34"/>
  <c r="BG787" i="34"/>
  <c r="BF787" i="34"/>
  <c r="BE787" i="34"/>
  <c r="X787" i="34"/>
  <c r="W787" i="34"/>
  <c r="V787" i="34"/>
  <c r="U787" i="34"/>
  <c r="T787" i="34"/>
  <c r="S787" i="34"/>
  <c r="R787" i="34"/>
  <c r="Q787" i="34"/>
  <c r="P787" i="34"/>
  <c r="O787" i="34"/>
  <c r="N787" i="34"/>
  <c r="M787" i="34"/>
  <c r="L787" i="34"/>
  <c r="K787" i="34"/>
  <c r="J787" i="34"/>
  <c r="I787" i="34"/>
  <c r="BY786" i="34"/>
  <c r="BX786" i="34"/>
  <c r="BW786" i="34"/>
  <c r="BV786" i="34"/>
  <c r="BU786" i="34"/>
  <c r="BT786" i="34"/>
  <c r="BS786" i="34"/>
  <c r="BR786" i="34"/>
  <c r="BQ786" i="34"/>
  <c r="BP786" i="34"/>
  <c r="BO786" i="34"/>
  <c r="BN786" i="34"/>
  <c r="BM786" i="34"/>
  <c r="BL786" i="34"/>
  <c r="BK786" i="34"/>
  <c r="BJ786" i="34"/>
  <c r="BI786" i="34"/>
  <c r="BH786" i="34"/>
  <c r="BG786" i="34"/>
  <c r="BF786" i="34"/>
  <c r="BE786" i="34"/>
  <c r="V786" i="34"/>
  <c r="U786" i="34"/>
  <c r="T786" i="34"/>
  <c r="S786" i="34"/>
  <c r="R786" i="34"/>
  <c r="Q786" i="34"/>
  <c r="P786" i="34"/>
  <c r="O786" i="34"/>
  <c r="N786" i="34"/>
  <c r="M786" i="34"/>
  <c r="L786" i="34"/>
  <c r="K786" i="34"/>
  <c r="J786" i="34"/>
  <c r="I786" i="34"/>
  <c r="BM785" i="34"/>
  <c r="BL785" i="34"/>
  <c r="BK785" i="34"/>
  <c r="BJ785" i="34"/>
  <c r="BI785" i="34"/>
  <c r="BH785" i="34"/>
  <c r="BG785" i="34"/>
  <c r="BF785" i="34"/>
  <c r="BE785" i="34"/>
  <c r="AB785" i="34"/>
  <c r="AA785" i="34"/>
  <c r="Z785" i="34"/>
  <c r="Y785" i="34"/>
  <c r="X785" i="34"/>
  <c r="W785" i="34"/>
  <c r="V785" i="34"/>
  <c r="U785" i="34"/>
  <c r="T785" i="34"/>
  <c r="S785" i="34"/>
  <c r="R785" i="34"/>
  <c r="Q785" i="34"/>
  <c r="P785" i="34"/>
  <c r="O785" i="34"/>
  <c r="N785" i="34"/>
  <c r="M785" i="34"/>
  <c r="L785" i="34"/>
  <c r="K785" i="34"/>
  <c r="J785" i="34"/>
  <c r="I785" i="34"/>
  <c r="BL784" i="34"/>
  <c r="BK784" i="34"/>
  <c r="BJ784" i="34"/>
  <c r="BI784" i="34"/>
  <c r="BH784" i="34"/>
  <c r="BG784" i="34"/>
  <c r="BF784" i="34"/>
  <c r="BE784" i="34"/>
  <c r="Y784" i="34"/>
  <c r="X784" i="34"/>
  <c r="W784" i="34"/>
  <c r="V784" i="34"/>
  <c r="U784" i="34"/>
  <c r="T784" i="34"/>
  <c r="S784" i="34"/>
  <c r="R784" i="34"/>
  <c r="Q784" i="34"/>
  <c r="P784" i="34"/>
  <c r="O784" i="34"/>
  <c r="N784" i="34"/>
  <c r="M784" i="34"/>
  <c r="L784" i="34"/>
  <c r="K784" i="34"/>
  <c r="J784" i="34"/>
  <c r="I784" i="34"/>
  <c r="BK783" i="34"/>
  <c r="BJ783" i="34"/>
  <c r="BI783" i="34"/>
  <c r="BH783" i="34"/>
  <c r="BG783" i="34"/>
  <c r="BF783" i="34"/>
  <c r="BE783" i="34"/>
  <c r="T783" i="34"/>
  <c r="S783" i="34"/>
  <c r="R783" i="34"/>
  <c r="Q783" i="34"/>
  <c r="P783" i="34"/>
  <c r="O783" i="34"/>
  <c r="N783" i="34"/>
  <c r="M783" i="34"/>
  <c r="L783" i="34"/>
  <c r="K783" i="34"/>
  <c r="J783" i="34"/>
  <c r="I783" i="34"/>
  <c r="BY782" i="34"/>
  <c r="BX782" i="34"/>
  <c r="BW782" i="34"/>
  <c r="BV782" i="34"/>
  <c r="BU782" i="34"/>
  <c r="BT782" i="34"/>
  <c r="BS782" i="34"/>
  <c r="BR782" i="34"/>
  <c r="BQ782" i="34"/>
  <c r="BP782" i="34"/>
  <c r="BO782" i="34"/>
  <c r="BN782" i="34"/>
  <c r="BM782" i="34"/>
  <c r="BL782" i="34"/>
  <c r="BK782" i="34"/>
  <c r="BJ782" i="34"/>
  <c r="BI782" i="34"/>
  <c r="BH782" i="34"/>
  <c r="BG782" i="34"/>
  <c r="BF782" i="34"/>
  <c r="BE782" i="34"/>
  <c r="U782" i="34"/>
  <c r="T782" i="34"/>
  <c r="S782" i="34"/>
  <c r="R782" i="34"/>
  <c r="Q782" i="34"/>
  <c r="P782" i="34"/>
  <c r="O782" i="34"/>
  <c r="N782" i="34"/>
  <c r="M782" i="34"/>
  <c r="L782" i="34"/>
  <c r="K782" i="34"/>
  <c r="J782" i="34"/>
  <c r="I782" i="34"/>
  <c r="BY781" i="34"/>
  <c r="BX781" i="34"/>
  <c r="BW781" i="34"/>
  <c r="BV781" i="34"/>
  <c r="BU781" i="34"/>
  <c r="BT781" i="34"/>
  <c r="BS781" i="34"/>
  <c r="BR781" i="34"/>
  <c r="BQ781" i="34"/>
  <c r="BP781" i="34"/>
  <c r="BO781" i="34"/>
  <c r="BN781" i="34"/>
  <c r="BM781" i="34"/>
  <c r="BL781" i="34"/>
  <c r="BK781" i="34"/>
  <c r="BJ781" i="34"/>
  <c r="BI781" i="34"/>
  <c r="BH781" i="34"/>
  <c r="BG781" i="34"/>
  <c r="BF781" i="34"/>
  <c r="BE781" i="34"/>
  <c r="U781" i="34"/>
  <c r="T781" i="34"/>
  <c r="S781" i="34"/>
  <c r="R781" i="34"/>
  <c r="Q781" i="34"/>
  <c r="P781" i="34"/>
  <c r="O781" i="34"/>
  <c r="N781" i="34"/>
  <c r="M781" i="34"/>
  <c r="L781" i="34"/>
  <c r="K781" i="34"/>
  <c r="J781" i="34"/>
  <c r="I781" i="34"/>
  <c r="BK780" i="34"/>
  <c r="BJ780" i="34"/>
  <c r="BI780" i="34"/>
  <c r="BH780" i="34"/>
  <c r="BG780" i="34"/>
  <c r="BF780" i="34"/>
  <c r="BE780" i="34"/>
  <c r="T780" i="34"/>
  <c r="S780" i="34"/>
  <c r="R780" i="34"/>
  <c r="Q780" i="34"/>
  <c r="P780" i="34"/>
  <c r="O780" i="34"/>
  <c r="N780" i="34"/>
  <c r="M780" i="34"/>
  <c r="L780" i="34"/>
  <c r="K780" i="34"/>
  <c r="J780" i="34"/>
  <c r="I780" i="34"/>
  <c r="BY779" i="34"/>
  <c r="BX779" i="34"/>
  <c r="BW779" i="34"/>
  <c r="BV779" i="34"/>
  <c r="BU779" i="34"/>
  <c r="BT779" i="34"/>
  <c r="BS779" i="34"/>
  <c r="BR779" i="34"/>
  <c r="BQ779" i="34"/>
  <c r="BO779" i="34"/>
  <c r="BN779" i="34"/>
  <c r="BM779" i="34"/>
  <c r="BL779" i="34"/>
  <c r="BK779" i="34"/>
  <c r="BJ779" i="34"/>
  <c r="BI779" i="34"/>
  <c r="BH779" i="34"/>
  <c r="BG779" i="34"/>
  <c r="BF779" i="34"/>
  <c r="BE779" i="34"/>
  <c r="BD779" i="34"/>
  <c r="BC779" i="34"/>
  <c r="AZ779" i="34"/>
  <c r="AY779" i="34"/>
  <c r="AX779" i="34"/>
  <c r="AW779" i="34"/>
  <c r="AV779" i="34"/>
  <c r="AU779" i="34"/>
  <c r="AT779" i="34"/>
  <c r="AS779" i="34"/>
  <c r="AR779" i="34"/>
  <c r="AQ779" i="34"/>
  <c r="AP779" i="34"/>
  <c r="AO779" i="34"/>
  <c r="AN779" i="34"/>
  <c r="AM779" i="34"/>
  <c r="AL779" i="34"/>
  <c r="AK779" i="34"/>
  <c r="AJ779" i="34"/>
  <c r="AI779" i="34"/>
  <c r="AH779" i="34"/>
  <c r="AG779" i="34"/>
  <c r="AF779" i="34"/>
  <c r="AE779" i="34"/>
  <c r="AD779" i="34"/>
  <c r="AC779" i="34"/>
  <c r="AB779" i="34"/>
  <c r="AA779" i="34"/>
  <c r="Z779" i="34"/>
  <c r="Y779" i="34"/>
  <c r="X779" i="34"/>
  <c r="W779" i="34"/>
  <c r="V779" i="34"/>
  <c r="U779" i="34"/>
  <c r="T779" i="34"/>
  <c r="S779" i="34"/>
  <c r="R779" i="34"/>
  <c r="Q779" i="34"/>
  <c r="P779" i="34"/>
  <c r="O779" i="34"/>
  <c r="N779" i="34"/>
  <c r="M779" i="34"/>
  <c r="L779" i="34"/>
  <c r="K779" i="34"/>
  <c r="J779" i="34"/>
  <c r="I779" i="34"/>
  <c r="BE778" i="34"/>
  <c r="T778" i="34"/>
  <c r="S778" i="34"/>
  <c r="R778" i="34"/>
  <c r="Q778" i="34"/>
  <c r="P778" i="34"/>
  <c r="O778" i="34"/>
  <c r="N778" i="34"/>
  <c r="M778" i="34"/>
  <c r="L778" i="34"/>
  <c r="K778" i="34"/>
  <c r="J778" i="34"/>
  <c r="I778" i="34"/>
  <c r="BY777" i="34"/>
  <c r="BX777" i="34"/>
  <c r="BW777" i="34"/>
  <c r="BV777" i="34"/>
  <c r="BU777" i="34"/>
  <c r="BT777" i="34"/>
  <c r="BS777" i="34"/>
  <c r="BR777" i="34"/>
  <c r="BQ777" i="34"/>
  <c r="BP777" i="34"/>
  <c r="BO777" i="34"/>
  <c r="BN777" i="34"/>
  <c r="BM777" i="34"/>
  <c r="BL777" i="34"/>
  <c r="BK777" i="34"/>
  <c r="BJ777" i="34"/>
  <c r="BI777" i="34"/>
  <c r="BH777" i="34"/>
  <c r="BG777" i="34"/>
  <c r="BF777" i="34"/>
  <c r="BE777" i="34"/>
  <c r="BD777" i="34"/>
  <c r="BC777" i="34"/>
  <c r="AZ777" i="34"/>
  <c r="AY777" i="34"/>
  <c r="AX777" i="34"/>
  <c r="AW777" i="34"/>
  <c r="AV777" i="34"/>
  <c r="AU777" i="34"/>
  <c r="AT777" i="34"/>
  <c r="AS777" i="34"/>
  <c r="AR777" i="34"/>
  <c r="AQ777" i="34"/>
  <c r="AP777" i="34"/>
  <c r="AO777" i="34"/>
  <c r="AN777" i="34"/>
  <c r="AM777" i="34"/>
  <c r="AL777" i="34"/>
  <c r="AK777" i="34"/>
  <c r="AJ777" i="34"/>
  <c r="AI777" i="34"/>
  <c r="AH777" i="34"/>
  <c r="AG777" i="34"/>
  <c r="AF777" i="34"/>
  <c r="AE777" i="34"/>
  <c r="AC777" i="34"/>
  <c r="AB777" i="34"/>
  <c r="AA777" i="34"/>
  <c r="Z777" i="34"/>
  <c r="Y777" i="34"/>
  <c r="X777" i="34"/>
  <c r="W777" i="34"/>
  <c r="V777" i="34"/>
  <c r="U777" i="34"/>
  <c r="T777" i="34"/>
  <c r="S777" i="34"/>
  <c r="R777" i="34"/>
  <c r="Q777" i="34"/>
  <c r="P777" i="34"/>
  <c r="O777" i="34"/>
  <c r="N777" i="34"/>
  <c r="M777" i="34"/>
  <c r="L777" i="34"/>
  <c r="K777" i="34"/>
  <c r="J777" i="34"/>
  <c r="I777" i="34"/>
  <c r="BY775" i="34"/>
  <c r="BX775" i="34"/>
  <c r="BW775" i="34"/>
  <c r="BV775" i="34"/>
  <c r="BU775" i="34"/>
  <c r="BT775" i="34"/>
  <c r="BS775" i="34"/>
  <c r="BR775" i="34"/>
  <c r="BQ775" i="34"/>
  <c r="BP775" i="34"/>
  <c r="BO775" i="34"/>
  <c r="BN775" i="34"/>
  <c r="BM775" i="34"/>
  <c r="BL775" i="34"/>
  <c r="BK775" i="34"/>
  <c r="BJ775" i="34"/>
  <c r="BI775" i="34"/>
  <c r="BH775" i="34"/>
  <c r="BG775" i="34"/>
  <c r="BF775" i="34"/>
  <c r="BE775" i="34"/>
  <c r="BD775" i="34"/>
  <c r="BC775" i="34"/>
  <c r="AZ775" i="34"/>
  <c r="AY775" i="34"/>
  <c r="AX775" i="34"/>
  <c r="AW775" i="34"/>
  <c r="AV775" i="34"/>
  <c r="AU775" i="34"/>
  <c r="AT775" i="34"/>
  <c r="AS775" i="34"/>
  <c r="AR775" i="34"/>
  <c r="AQ775" i="34"/>
  <c r="AP775" i="34"/>
  <c r="AO775" i="34"/>
  <c r="AN775" i="34"/>
  <c r="AM775" i="34"/>
  <c r="AL775" i="34"/>
  <c r="AK775" i="34"/>
  <c r="AJ775" i="34"/>
  <c r="AI775" i="34"/>
  <c r="AH775" i="34"/>
  <c r="AG775" i="34"/>
  <c r="AF775" i="34"/>
  <c r="AE775" i="34"/>
  <c r="AD775" i="34"/>
  <c r="AC775" i="34"/>
  <c r="AB775" i="34"/>
  <c r="AA775" i="34"/>
  <c r="Z775" i="34"/>
  <c r="Y775" i="34"/>
  <c r="X775" i="34"/>
  <c r="W775" i="34"/>
  <c r="V775" i="34"/>
  <c r="U775" i="34"/>
  <c r="T775" i="34"/>
  <c r="S775" i="34"/>
  <c r="R775" i="34"/>
  <c r="Q775" i="34"/>
  <c r="P775" i="34"/>
  <c r="O775" i="34"/>
  <c r="N775" i="34"/>
  <c r="M775" i="34"/>
  <c r="L775" i="34"/>
  <c r="K775" i="34"/>
  <c r="J775" i="34"/>
  <c r="I775" i="34"/>
  <c r="BN773" i="34"/>
  <c r="BM773" i="34"/>
  <c r="BL773" i="34"/>
  <c r="BK773" i="34"/>
  <c r="BJ773" i="34"/>
  <c r="BI773" i="34"/>
  <c r="BH773" i="34"/>
  <c r="BG773" i="34"/>
  <c r="BF773" i="34"/>
  <c r="BE773" i="34"/>
  <c r="BD773" i="34"/>
  <c r="BC773" i="34"/>
  <c r="AZ773" i="34"/>
  <c r="AY773" i="34"/>
  <c r="AX773" i="34"/>
  <c r="AW773" i="34"/>
  <c r="AV773" i="34"/>
  <c r="AU773" i="34"/>
  <c r="AT773" i="34"/>
  <c r="AS773" i="34"/>
  <c r="AR773" i="34"/>
  <c r="AQ773" i="34"/>
  <c r="AP773" i="34"/>
  <c r="AO773" i="34"/>
  <c r="AN773" i="34"/>
  <c r="AM773" i="34"/>
  <c r="AL773" i="34"/>
  <c r="AK773" i="34"/>
  <c r="AJ773" i="34"/>
  <c r="AI773" i="34"/>
  <c r="AG773" i="34"/>
  <c r="AF773" i="34"/>
  <c r="AE773" i="34"/>
  <c r="AD773" i="34"/>
  <c r="AC773" i="34"/>
  <c r="AB773" i="34"/>
  <c r="AA773" i="34"/>
  <c r="Z773" i="34"/>
  <c r="Y773" i="34"/>
  <c r="X773" i="34"/>
  <c r="W773" i="34"/>
  <c r="V773" i="34"/>
  <c r="U773" i="34"/>
  <c r="T773" i="34"/>
  <c r="S773" i="34"/>
  <c r="R773" i="34"/>
  <c r="Q773" i="34"/>
  <c r="P773" i="34"/>
  <c r="O773" i="34"/>
  <c r="N773" i="34"/>
  <c r="M773" i="34"/>
  <c r="L773" i="34"/>
  <c r="K773" i="34"/>
  <c r="J773" i="34"/>
  <c r="I773" i="34"/>
  <c r="BM772" i="34"/>
  <c r="BL772" i="34"/>
  <c r="BK772" i="34"/>
  <c r="BJ772" i="34"/>
  <c r="BI772" i="34"/>
  <c r="BH772" i="34"/>
  <c r="BG772" i="34"/>
  <c r="BF772" i="34"/>
  <c r="BE772" i="34"/>
  <c r="BD772" i="34"/>
  <c r="BC772" i="34"/>
  <c r="AZ772" i="34"/>
  <c r="AY772" i="34"/>
  <c r="AX772" i="34"/>
  <c r="AW772" i="34"/>
  <c r="AV772" i="34"/>
  <c r="AU772" i="34"/>
  <c r="AT772" i="34"/>
  <c r="AS772" i="34"/>
  <c r="AR772" i="34"/>
  <c r="AQ772" i="34"/>
  <c r="AP772" i="34"/>
  <c r="AO772" i="34"/>
  <c r="AN772" i="34"/>
  <c r="AM772" i="34"/>
  <c r="AL772" i="34"/>
  <c r="AK772" i="34"/>
  <c r="AJ772" i="34"/>
  <c r="AI772" i="34"/>
  <c r="AH772" i="34"/>
  <c r="AG772" i="34"/>
  <c r="AF772" i="34"/>
  <c r="AE772" i="34"/>
  <c r="AD772" i="34"/>
  <c r="AC772" i="34"/>
  <c r="AB772" i="34"/>
  <c r="AA772" i="34"/>
  <c r="Z772" i="34"/>
  <c r="Y772" i="34"/>
  <c r="X772" i="34"/>
  <c r="W772" i="34"/>
  <c r="V772" i="34"/>
  <c r="U772" i="34"/>
  <c r="T772" i="34"/>
  <c r="S772" i="34"/>
  <c r="R772" i="34"/>
  <c r="Q772" i="34"/>
  <c r="P772" i="34"/>
  <c r="O772" i="34"/>
  <c r="N772" i="34"/>
  <c r="M772" i="34"/>
  <c r="L772" i="34"/>
  <c r="K772" i="34"/>
  <c r="J772" i="34"/>
  <c r="I772" i="34"/>
  <c r="BM771" i="34"/>
  <c r="BL771" i="34"/>
  <c r="BK771" i="34"/>
  <c r="BJ771" i="34"/>
  <c r="BI771" i="34"/>
  <c r="BH771" i="34"/>
  <c r="BG771" i="34"/>
  <c r="BF771" i="34"/>
  <c r="BE771" i="34"/>
  <c r="BD771" i="34"/>
  <c r="BC771" i="34"/>
  <c r="AZ771" i="34"/>
  <c r="AY771" i="34"/>
  <c r="AX771" i="34"/>
  <c r="AW771" i="34"/>
  <c r="AV771" i="34"/>
  <c r="AU771" i="34"/>
  <c r="AT771" i="34"/>
  <c r="AS771" i="34"/>
  <c r="X771" i="34"/>
  <c r="W771" i="34"/>
  <c r="V771" i="34"/>
  <c r="U771" i="34"/>
  <c r="T771" i="34"/>
  <c r="S771" i="34"/>
  <c r="R771" i="34"/>
  <c r="Q771" i="34"/>
  <c r="P771" i="34"/>
  <c r="O771" i="34"/>
  <c r="N771" i="34"/>
  <c r="M771" i="34"/>
  <c r="L771" i="34"/>
  <c r="K771" i="34"/>
  <c r="J771" i="34"/>
  <c r="I771" i="34"/>
  <c r="BY770" i="34"/>
  <c r="BX770" i="34"/>
  <c r="BW770" i="34"/>
  <c r="BV770" i="34"/>
  <c r="BU770" i="34"/>
  <c r="BT770" i="34"/>
  <c r="BS770" i="34"/>
  <c r="BR770" i="34"/>
  <c r="BQ770" i="34"/>
  <c r="BP770" i="34"/>
  <c r="BO770" i="34"/>
  <c r="BN770" i="34"/>
  <c r="BM770" i="34"/>
  <c r="BL770" i="34"/>
  <c r="BK770" i="34"/>
  <c r="BJ770" i="34"/>
  <c r="BI770" i="34"/>
  <c r="BH770" i="34"/>
  <c r="BG770" i="34"/>
  <c r="BF770" i="34"/>
  <c r="BE770" i="34"/>
  <c r="BD770" i="34"/>
  <c r="BC770" i="34"/>
  <c r="AZ770" i="34"/>
  <c r="AY770" i="34"/>
  <c r="AX770" i="34"/>
  <c r="AW770" i="34"/>
  <c r="AV770" i="34"/>
  <c r="AU770" i="34"/>
  <c r="AT770" i="34"/>
  <c r="AS770" i="34"/>
  <c r="AR770" i="34"/>
  <c r="AQ770" i="34"/>
  <c r="AP770" i="34"/>
  <c r="AO770" i="34"/>
  <c r="AN770" i="34"/>
  <c r="AM770" i="34"/>
  <c r="AL770" i="34"/>
  <c r="AK770" i="34"/>
  <c r="AJ770" i="34"/>
  <c r="AI770" i="34"/>
  <c r="AH770" i="34"/>
  <c r="AG770" i="34"/>
  <c r="AF770" i="34"/>
  <c r="AE770" i="34"/>
  <c r="AD770" i="34"/>
  <c r="AC770" i="34"/>
  <c r="AB770" i="34"/>
  <c r="AA770" i="34"/>
  <c r="Z770" i="34"/>
  <c r="Y770" i="34"/>
  <c r="X770" i="34"/>
  <c r="W770" i="34"/>
  <c r="V770" i="34"/>
  <c r="U770" i="34"/>
  <c r="T770" i="34"/>
  <c r="S770" i="34"/>
  <c r="R770" i="34"/>
  <c r="Q770" i="34"/>
  <c r="P770" i="34"/>
  <c r="O770" i="34"/>
  <c r="N770" i="34"/>
  <c r="M770" i="34"/>
  <c r="L770" i="34"/>
  <c r="K770" i="34"/>
  <c r="J770" i="34"/>
  <c r="I770" i="34"/>
  <c r="BY761" i="34"/>
  <c r="BX761" i="34"/>
  <c r="BW761" i="34"/>
  <c r="BV761" i="34"/>
  <c r="BU761" i="34"/>
  <c r="BT761" i="34"/>
  <c r="BS761" i="34"/>
  <c r="BR761" i="34"/>
  <c r="BQ761" i="34"/>
  <c r="BP761" i="34"/>
  <c r="BO761" i="34"/>
  <c r="BN761" i="34"/>
  <c r="BM761" i="34"/>
  <c r="BL761" i="34"/>
  <c r="BK761" i="34"/>
  <c r="BJ761" i="34"/>
  <c r="BI761" i="34"/>
  <c r="BH761" i="34"/>
  <c r="BG761" i="34"/>
  <c r="BF761" i="34"/>
  <c r="BE761" i="34"/>
  <c r="BD761" i="34"/>
  <c r="BC761" i="34"/>
  <c r="AZ761" i="34"/>
  <c r="AY761" i="34"/>
  <c r="AX761" i="34"/>
  <c r="AW761" i="34"/>
  <c r="AV761" i="34"/>
  <c r="AU761" i="34"/>
  <c r="AT761" i="34"/>
  <c r="AS761" i="34"/>
  <c r="AR761" i="34"/>
  <c r="AQ761" i="34"/>
  <c r="AP761" i="34"/>
  <c r="AO761" i="34"/>
  <c r="AN761" i="34"/>
  <c r="AM761" i="34"/>
  <c r="AL761" i="34"/>
  <c r="AK761" i="34"/>
  <c r="AJ761" i="34"/>
  <c r="AI761" i="34"/>
  <c r="AH761" i="34"/>
  <c r="AG761" i="34"/>
  <c r="AF761" i="34"/>
  <c r="AE761" i="34"/>
  <c r="AD761" i="34"/>
  <c r="AC761" i="34"/>
  <c r="AB761" i="34"/>
  <c r="AA761" i="34"/>
  <c r="Z761" i="34"/>
  <c r="Y761" i="34"/>
  <c r="X761" i="34"/>
  <c r="W761" i="34"/>
  <c r="V761" i="34"/>
  <c r="U761" i="34"/>
  <c r="T761" i="34"/>
  <c r="S761" i="34"/>
  <c r="R761" i="34"/>
  <c r="Q761" i="34"/>
  <c r="P761" i="34"/>
  <c r="O761" i="34"/>
  <c r="N761" i="34"/>
  <c r="M761" i="34"/>
  <c r="L761" i="34"/>
  <c r="K761" i="34"/>
  <c r="J761" i="34"/>
  <c r="I761" i="34"/>
  <c r="BY760" i="34"/>
  <c r="BX760" i="34"/>
  <c r="BW760" i="34"/>
  <c r="BV760" i="34"/>
  <c r="BU760" i="34"/>
  <c r="BM760" i="34"/>
  <c r="BL760" i="34"/>
  <c r="BK760" i="34"/>
  <c r="BJ760" i="34"/>
  <c r="BI760" i="34"/>
  <c r="BH760" i="34"/>
  <c r="BG760" i="34"/>
  <c r="BF760" i="34"/>
  <c r="BE760" i="34"/>
  <c r="AB760" i="34"/>
  <c r="AA760" i="34"/>
  <c r="Z760" i="34"/>
  <c r="Y760" i="34"/>
  <c r="X760" i="34"/>
  <c r="W760" i="34"/>
  <c r="V760" i="34"/>
  <c r="U760" i="34"/>
  <c r="T760" i="34"/>
  <c r="S760" i="34"/>
  <c r="R760" i="34"/>
  <c r="Q760" i="34"/>
  <c r="P760" i="34"/>
  <c r="O760" i="34"/>
  <c r="N760" i="34"/>
  <c r="M760" i="34"/>
  <c r="L760" i="34"/>
  <c r="K760" i="34"/>
  <c r="J760" i="34"/>
  <c r="I760" i="34"/>
  <c r="BY759" i="34"/>
  <c r="BX759" i="34"/>
  <c r="BW759" i="34"/>
  <c r="BV759" i="34"/>
  <c r="BU759" i="34"/>
  <c r="BL759" i="34"/>
  <c r="BK759" i="34"/>
  <c r="BJ759" i="34"/>
  <c r="BI759" i="34"/>
  <c r="BH759" i="34"/>
  <c r="BG759" i="34"/>
  <c r="BF759" i="34"/>
  <c r="BE759" i="34"/>
  <c r="X759" i="34"/>
  <c r="W759" i="34"/>
  <c r="V759" i="34"/>
  <c r="U759" i="34"/>
  <c r="T759" i="34"/>
  <c r="S759" i="34"/>
  <c r="R759" i="34"/>
  <c r="Q759" i="34"/>
  <c r="P759" i="34"/>
  <c r="O759" i="34"/>
  <c r="N759" i="34"/>
  <c r="M759" i="34"/>
  <c r="L759" i="34"/>
  <c r="K759" i="34"/>
  <c r="J759" i="34"/>
  <c r="I759" i="34"/>
  <c r="BY758" i="34"/>
  <c r="BX758" i="34"/>
  <c r="BW758" i="34"/>
  <c r="BV758" i="34"/>
  <c r="BU758" i="34"/>
  <c r="BT758" i="34"/>
  <c r="BS758" i="34"/>
  <c r="BR758" i="34"/>
  <c r="BQ758" i="34"/>
  <c r="BP758" i="34"/>
  <c r="BO758" i="34"/>
  <c r="BN758" i="34"/>
  <c r="BM758" i="34"/>
  <c r="BL758" i="34"/>
  <c r="BK758" i="34"/>
  <c r="BJ758" i="34"/>
  <c r="BI758" i="34"/>
  <c r="BH758" i="34"/>
  <c r="BG758" i="34"/>
  <c r="BF758" i="34"/>
  <c r="BE758" i="34"/>
  <c r="Y758" i="34"/>
  <c r="X758" i="34"/>
  <c r="W758" i="34"/>
  <c r="V758" i="34"/>
  <c r="U758" i="34"/>
  <c r="T758" i="34"/>
  <c r="S758" i="34"/>
  <c r="R758" i="34"/>
  <c r="Q758" i="34"/>
  <c r="P758" i="34"/>
  <c r="O758" i="34"/>
  <c r="N758" i="34"/>
  <c r="M758" i="34"/>
  <c r="L758" i="34"/>
  <c r="K758" i="34"/>
  <c r="J758" i="34"/>
  <c r="I758" i="34"/>
  <c r="BM757" i="34"/>
  <c r="BL757" i="34"/>
  <c r="BK757" i="34"/>
  <c r="BJ757" i="34"/>
  <c r="BI757" i="34"/>
  <c r="BH757" i="34"/>
  <c r="BG757" i="34"/>
  <c r="BF757" i="34"/>
  <c r="BE757" i="34"/>
  <c r="AB757" i="34"/>
  <c r="AA757" i="34"/>
  <c r="Z757" i="34"/>
  <c r="Y757" i="34"/>
  <c r="X757" i="34"/>
  <c r="W757" i="34"/>
  <c r="V757" i="34"/>
  <c r="U757" i="34"/>
  <c r="T757" i="34"/>
  <c r="S757" i="34"/>
  <c r="R757" i="34"/>
  <c r="Q757" i="34"/>
  <c r="P757" i="34"/>
  <c r="O757" i="34"/>
  <c r="N757" i="34"/>
  <c r="M757" i="34"/>
  <c r="L757" i="34"/>
  <c r="K757" i="34"/>
  <c r="J757" i="34"/>
  <c r="I757" i="34"/>
  <c r="BM756" i="34"/>
  <c r="BL756" i="34"/>
  <c r="BK756" i="34"/>
  <c r="BJ756" i="34"/>
  <c r="BI756" i="34"/>
  <c r="BH756" i="34"/>
  <c r="BG756" i="34"/>
  <c r="BF756" i="34"/>
  <c r="BE756" i="34"/>
  <c r="AB756" i="34"/>
  <c r="AA756" i="34"/>
  <c r="Z756" i="34"/>
  <c r="Y756" i="34"/>
  <c r="X756" i="34"/>
  <c r="W756" i="34"/>
  <c r="V756" i="34"/>
  <c r="U756" i="34"/>
  <c r="T756" i="34"/>
  <c r="S756" i="34"/>
  <c r="R756" i="34"/>
  <c r="Q756" i="34"/>
  <c r="P756" i="34"/>
  <c r="O756" i="34"/>
  <c r="N756" i="34"/>
  <c r="M756" i="34"/>
  <c r="L756" i="34"/>
  <c r="K756" i="34"/>
  <c r="J756" i="34"/>
  <c r="I756" i="34"/>
  <c r="BY755" i="34"/>
  <c r="BX755" i="34"/>
  <c r="BW755" i="34"/>
  <c r="BV755" i="34"/>
  <c r="BU755" i="34"/>
  <c r="BT755" i="34"/>
  <c r="BS755" i="34"/>
  <c r="BR755" i="34"/>
  <c r="BQ755" i="34"/>
  <c r="BP755" i="34"/>
  <c r="BO755" i="34"/>
  <c r="BN755" i="34"/>
  <c r="BM755" i="34"/>
  <c r="BL755" i="34"/>
  <c r="BK755" i="34"/>
  <c r="BJ755" i="34"/>
  <c r="BI755" i="34"/>
  <c r="BH755" i="34"/>
  <c r="BG755" i="34"/>
  <c r="BF755" i="34"/>
  <c r="BE755" i="34"/>
  <c r="AV755" i="34"/>
  <c r="AU755" i="34"/>
  <c r="AT755" i="34"/>
  <c r="AS755" i="34"/>
  <c r="AR755" i="34"/>
  <c r="AQ755" i="34"/>
  <c r="AP755" i="34"/>
  <c r="X755" i="34"/>
  <c r="W755" i="34"/>
  <c r="V755" i="34"/>
  <c r="U755" i="34"/>
  <c r="T755" i="34"/>
  <c r="S755" i="34"/>
  <c r="R755" i="34"/>
  <c r="Q755" i="34"/>
  <c r="P755" i="34"/>
  <c r="O755" i="34"/>
  <c r="N755" i="34"/>
  <c r="M755" i="34"/>
  <c r="L755" i="34"/>
  <c r="K755" i="34"/>
  <c r="J755" i="34"/>
  <c r="I755" i="34"/>
  <c r="BK754" i="34"/>
  <c r="BJ754" i="34"/>
  <c r="BI754" i="34"/>
  <c r="BH754" i="34"/>
  <c r="BG754" i="34"/>
  <c r="BF754" i="34"/>
  <c r="BE754" i="34"/>
  <c r="AI754" i="34"/>
  <c r="AH754" i="34"/>
  <c r="AG754" i="34"/>
  <c r="AF754" i="34"/>
  <c r="AE754" i="34"/>
  <c r="AD754" i="34"/>
  <c r="AC754" i="34"/>
  <c r="AB754" i="34"/>
  <c r="AA754" i="34"/>
  <c r="Z754" i="34"/>
  <c r="Y754" i="34"/>
  <c r="W754" i="34"/>
  <c r="V754" i="34"/>
  <c r="U754" i="34"/>
  <c r="T754" i="34"/>
  <c r="S754" i="34"/>
  <c r="R754" i="34"/>
  <c r="Q754" i="34"/>
  <c r="P754" i="34"/>
  <c r="O754" i="34"/>
  <c r="N754" i="34"/>
  <c r="M754" i="34"/>
  <c r="L754" i="34"/>
  <c r="K754" i="34"/>
  <c r="J754" i="34"/>
  <c r="I754" i="34"/>
  <c r="BY753" i="34"/>
  <c r="BX753" i="34"/>
  <c r="BW753" i="34"/>
  <c r="BV753" i="34"/>
  <c r="BU753" i="34"/>
  <c r="BT753" i="34"/>
  <c r="BS753" i="34"/>
  <c r="BR753" i="34"/>
  <c r="BQ753" i="34"/>
  <c r="BP753" i="34"/>
  <c r="BO753" i="34"/>
  <c r="BN753" i="34"/>
  <c r="BM753" i="34"/>
  <c r="BL753" i="34"/>
  <c r="BK753" i="34"/>
  <c r="BJ753" i="34"/>
  <c r="BI753" i="34"/>
  <c r="BH753" i="34"/>
  <c r="BG753" i="34"/>
  <c r="BF753" i="34"/>
  <c r="BE753" i="34"/>
  <c r="BD753" i="34"/>
  <c r="AZ753" i="34"/>
  <c r="AW753" i="34"/>
  <c r="AR753" i="34"/>
  <c r="AQ753" i="34"/>
  <c r="AP753" i="34"/>
  <c r="AO753" i="34"/>
  <c r="AN753" i="34"/>
  <c r="AM753" i="34"/>
  <c r="AL753" i="34"/>
  <c r="AK753" i="34"/>
  <c r="AJ753" i="34"/>
  <c r="AI753" i="34"/>
  <c r="AH753" i="34"/>
  <c r="AG753" i="34"/>
  <c r="AF753" i="34"/>
  <c r="AE753" i="34"/>
  <c r="AD753" i="34"/>
  <c r="AC753" i="34"/>
  <c r="AB753" i="34"/>
  <c r="AA753" i="34"/>
  <c r="Z753" i="34"/>
  <c r="Y753" i="34"/>
  <c r="X753" i="34"/>
  <c r="W753" i="34"/>
  <c r="V753" i="34"/>
  <c r="U753" i="34"/>
  <c r="T753" i="34"/>
  <c r="S753" i="34"/>
  <c r="R753" i="34"/>
  <c r="Q753" i="34"/>
  <c r="P753" i="34"/>
  <c r="O753" i="34"/>
  <c r="N753" i="34"/>
  <c r="M753" i="34"/>
  <c r="L753" i="34"/>
  <c r="K753" i="34"/>
  <c r="J753" i="34"/>
  <c r="I753" i="34"/>
  <c r="BY752" i="34"/>
  <c r="BX752" i="34"/>
  <c r="BW752" i="34"/>
  <c r="BV752" i="34"/>
  <c r="BU752" i="34"/>
  <c r="BT752" i="34"/>
  <c r="BS752" i="34"/>
  <c r="BR752" i="34"/>
  <c r="BQ752" i="34"/>
  <c r="BP752" i="34"/>
  <c r="BO752" i="34"/>
  <c r="BN752" i="34"/>
  <c r="BM752" i="34"/>
  <c r="BL752" i="34"/>
  <c r="BK752" i="34"/>
  <c r="BJ752" i="34"/>
  <c r="BI752" i="34"/>
  <c r="BH752" i="34"/>
  <c r="BG752" i="34"/>
  <c r="BF752" i="34"/>
  <c r="BE752" i="34"/>
  <c r="Z752" i="34"/>
  <c r="Y752" i="34"/>
  <c r="X752" i="34"/>
  <c r="W752" i="34"/>
  <c r="V752" i="34"/>
  <c r="U752" i="34"/>
  <c r="T752" i="34"/>
  <c r="S752" i="34"/>
  <c r="R752" i="34"/>
  <c r="Q752" i="34"/>
  <c r="P752" i="34"/>
  <c r="O752" i="34"/>
  <c r="N752" i="34"/>
  <c r="M752" i="34"/>
  <c r="L752" i="34"/>
  <c r="K752" i="34"/>
  <c r="J752" i="34"/>
  <c r="I752" i="34"/>
  <c r="BY751" i="34"/>
  <c r="BX751" i="34"/>
  <c r="BW751" i="34"/>
  <c r="BV751" i="34"/>
  <c r="BU751" i="34"/>
  <c r="BT751" i="34"/>
  <c r="BS751" i="34"/>
  <c r="BR751" i="34"/>
  <c r="BQ751" i="34"/>
  <c r="BP751" i="34"/>
  <c r="BO751" i="34"/>
  <c r="BN751" i="34"/>
  <c r="BM751" i="34"/>
  <c r="BL751" i="34"/>
  <c r="BK751" i="34"/>
  <c r="BJ751" i="34"/>
  <c r="BI751" i="34"/>
  <c r="BH751" i="34"/>
  <c r="BG751" i="34"/>
  <c r="BF751" i="34"/>
  <c r="BE751" i="34"/>
  <c r="Y751" i="34"/>
  <c r="X751" i="34"/>
  <c r="W751" i="34"/>
  <c r="V751" i="34"/>
  <c r="U751" i="34"/>
  <c r="T751" i="34"/>
  <c r="S751" i="34"/>
  <c r="R751" i="34"/>
  <c r="Q751" i="34"/>
  <c r="P751" i="34"/>
  <c r="O751" i="34"/>
  <c r="N751" i="34"/>
  <c r="M751" i="34"/>
  <c r="L751" i="34"/>
  <c r="K751" i="34"/>
  <c r="J751" i="34"/>
  <c r="I751" i="34"/>
  <c r="BK750" i="34"/>
  <c r="BJ750" i="34"/>
  <c r="BI750" i="34"/>
  <c r="BH750" i="34"/>
  <c r="BG750" i="34"/>
  <c r="BF750" i="34"/>
  <c r="BE750" i="34"/>
  <c r="AB750" i="34"/>
  <c r="AA750" i="34"/>
  <c r="Z750" i="34"/>
  <c r="Y750" i="34"/>
  <c r="X750" i="34"/>
  <c r="W750" i="34"/>
  <c r="V750" i="34"/>
  <c r="U750" i="34"/>
  <c r="T750" i="34"/>
  <c r="S750" i="34"/>
  <c r="R750" i="34"/>
  <c r="Q750" i="34"/>
  <c r="P750" i="34"/>
  <c r="O750" i="34"/>
  <c r="N750" i="34"/>
  <c r="M750" i="34"/>
  <c r="L750" i="34"/>
  <c r="K750" i="34"/>
  <c r="J750" i="34"/>
  <c r="I750" i="34"/>
  <c r="BY749" i="34"/>
  <c r="BX749" i="34"/>
  <c r="BW749" i="34"/>
  <c r="BV749" i="34"/>
  <c r="BU749" i="34"/>
  <c r="BT749" i="34"/>
  <c r="BS749" i="34"/>
  <c r="BR749" i="34"/>
  <c r="BQ749" i="34"/>
  <c r="BP749" i="34"/>
  <c r="BO749" i="34"/>
  <c r="BN749" i="34"/>
  <c r="BM749" i="34"/>
  <c r="BL749" i="34"/>
  <c r="BK749" i="34"/>
  <c r="BJ749" i="34"/>
  <c r="BI749" i="34"/>
  <c r="BH749" i="34"/>
  <c r="BG749" i="34"/>
  <c r="BF749" i="34"/>
  <c r="BE749" i="34"/>
  <c r="AG749" i="34"/>
  <c r="AF749" i="34"/>
  <c r="AE749" i="34"/>
  <c r="AD749" i="34"/>
  <c r="AC749" i="34"/>
  <c r="AB749" i="34"/>
  <c r="AA749" i="34"/>
  <c r="Z749" i="34"/>
  <c r="Y749" i="34"/>
  <c r="X749" i="34"/>
  <c r="W749" i="34"/>
  <c r="V749" i="34"/>
  <c r="U749" i="34"/>
  <c r="T749" i="34"/>
  <c r="S749" i="34"/>
  <c r="R749" i="34"/>
  <c r="Q749" i="34"/>
  <c r="P749" i="34"/>
  <c r="O749" i="34"/>
  <c r="N749" i="34"/>
  <c r="M749" i="34"/>
  <c r="L749" i="34"/>
  <c r="K749" i="34"/>
  <c r="J749" i="34"/>
  <c r="I749" i="34"/>
  <c r="BY748" i="34"/>
  <c r="BX748" i="34"/>
  <c r="BW748" i="34"/>
  <c r="BV748" i="34"/>
  <c r="BU748" i="34"/>
  <c r="BT748" i="34"/>
  <c r="BS748" i="34"/>
  <c r="BR748" i="34"/>
  <c r="BQ748" i="34"/>
  <c r="BP748" i="34"/>
  <c r="BO748" i="34"/>
  <c r="BN748" i="34"/>
  <c r="BM748" i="34"/>
  <c r="BL748" i="34"/>
  <c r="BK748" i="34"/>
  <c r="BJ748" i="34"/>
  <c r="BI748" i="34"/>
  <c r="BH748" i="34"/>
  <c r="BG748" i="34"/>
  <c r="BE748" i="34"/>
  <c r="AB748" i="34"/>
  <c r="AA748" i="34"/>
  <c r="Z748" i="34"/>
  <c r="Y748" i="34"/>
  <c r="X748" i="34"/>
  <c r="W748" i="34"/>
  <c r="V748" i="34"/>
  <c r="U748" i="34"/>
  <c r="T748" i="34"/>
  <c r="S748" i="34"/>
  <c r="R748" i="34"/>
  <c r="Q748" i="34"/>
  <c r="P748" i="34"/>
  <c r="O748" i="34"/>
  <c r="N748" i="34"/>
  <c r="M748" i="34"/>
  <c r="L748" i="34"/>
  <c r="K748" i="34"/>
  <c r="J748" i="34"/>
  <c r="I748" i="34"/>
  <c r="BY747" i="34"/>
  <c r="BX747" i="34"/>
  <c r="BW747" i="34"/>
  <c r="BV747" i="34"/>
  <c r="BU747" i="34"/>
  <c r="BT747" i="34"/>
  <c r="BS747" i="34"/>
  <c r="BR747" i="34"/>
  <c r="BQ747" i="34"/>
  <c r="BP747" i="34"/>
  <c r="BO747" i="34"/>
  <c r="BN747" i="34"/>
  <c r="BM747" i="34"/>
  <c r="BL747" i="34"/>
  <c r="BK747" i="34"/>
  <c r="BJ747" i="34"/>
  <c r="BI747" i="34"/>
  <c r="BH747" i="34"/>
  <c r="BG747" i="34"/>
  <c r="BF747" i="34"/>
  <c r="BE747" i="34"/>
  <c r="X747" i="34"/>
  <c r="W747" i="34"/>
  <c r="V747" i="34"/>
  <c r="U747" i="34"/>
  <c r="T747" i="34"/>
  <c r="S747" i="34"/>
  <c r="R747" i="34"/>
  <c r="Q747" i="34"/>
  <c r="P747" i="34"/>
  <c r="O747" i="34"/>
  <c r="N747" i="34"/>
  <c r="M747" i="34"/>
  <c r="L747" i="34"/>
  <c r="K747" i="34"/>
  <c r="J747" i="34"/>
  <c r="I747" i="34"/>
  <c r="BY746" i="34"/>
  <c r="BX746" i="34"/>
  <c r="BW746" i="34"/>
  <c r="BV746" i="34"/>
  <c r="BU746" i="34"/>
  <c r="BT746" i="34"/>
  <c r="BS746" i="34"/>
  <c r="BR746" i="34"/>
  <c r="BQ746" i="34"/>
  <c r="BP746" i="34"/>
  <c r="BO746" i="34"/>
  <c r="BN746" i="34"/>
  <c r="BM746" i="34"/>
  <c r="BL746" i="34"/>
  <c r="BK746" i="34"/>
  <c r="BJ746" i="34"/>
  <c r="BI746" i="34"/>
  <c r="BH746" i="34"/>
  <c r="BG746" i="34"/>
  <c r="BF746" i="34"/>
  <c r="BE746" i="34"/>
  <c r="BD746" i="34"/>
  <c r="BC746" i="34"/>
  <c r="AZ746" i="34"/>
  <c r="AY746" i="34"/>
  <c r="AX746" i="34"/>
  <c r="AW746" i="34"/>
  <c r="AV746" i="34"/>
  <c r="AU746" i="34"/>
  <c r="AT746" i="34"/>
  <c r="AS746" i="34"/>
  <c r="AR746" i="34"/>
  <c r="AQ746" i="34"/>
  <c r="AP746" i="34"/>
  <c r="AO746" i="34"/>
  <c r="AN746" i="34"/>
  <c r="AM746" i="34"/>
  <c r="AL746" i="34"/>
  <c r="AK746" i="34"/>
  <c r="AJ746" i="34"/>
  <c r="AI746" i="34"/>
  <c r="AH746" i="34"/>
  <c r="AF746" i="34"/>
  <c r="AE746" i="34"/>
  <c r="AD746" i="34"/>
  <c r="AC746" i="34"/>
  <c r="AB746" i="34"/>
  <c r="AA746" i="34"/>
  <c r="Z746" i="34"/>
  <c r="Y746" i="34"/>
  <c r="X746" i="34"/>
  <c r="W746" i="34"/>
  <c r="V746" i="34"/>
  <c r="U746" i="34"/>
  <c r="T746" i="34"/>
  <c r="S746" i="34"/>
  <c r="R746" i="34"/>
  <c r="Q746" i="34"/>
  <c r="P746" i="34"/>
  <c r="O746" i="34"/>
  <c r="N746" i="34"/>
  <c r="M746" i="34"/>
  <c r="L746" i="34"/>
  <c r="K746" i="34"/>
  <c r="J746" i="34"/>
  <c r="I746" i="34"/>
  <c r="BY745" i="34"/>
  <c r="BX745" i="34"/>
  <c r="BW745" i="34"/>
  <c r="BV745" i="34"/>
  <c r="BU745" i="34"/>
  <c r="BT745" i="34"/>
  <c r="BS745" i="34"/>
  <c r="BR745" i="34"/>
  <c r="BP745" i="34"/>
  <c r="BO745" i="34"/>
  <c r="BN745" i="34"/>
  <c r="BM745" i="34"/>
  <c r="BL745" i="34"/>
  <c r="BK745" i="34"/>
  <c r="BJ745" i="34"/>
  <c r="BI745" i="34"/>
  <c r="BH745" i="34"/>
  <c r="BG745" i="34"/>
  <c r="BF745" i="34"/>
  <c r="BE745" i="34"/>
  <c r="U745" i="34"/>
  <c r="T745" i="34"/>
  <c r="S745" i="34"/>
  <c r="R745" i="34"/>
  <c r="Q745" i="34"/>
  <c r="P745" i="34"/>
  <c r="O745" i="34"/>
  <c r="N745" i="34"/>
  <c r="M745" i="34"/>
  <c r="L745" i="34"/>
  <c r="K745" i="34"/>
  <c r="J745" i="34"/>
  <c r="I745" i="34"/>
  <c r="BL744" i="34"/>
  <c r="BK744" i="34"/>
  <c r="BJ744" i="34"/>
  <c r="BI744" i="34"/>
  <c r="BH744" i="34"/>
  <c r="BG744" i="34"/>
  <c r="BF744" i="34"/>
  <c r="BE744" i="34"/>
  <c r="AB744" i="34"/>
  <c r="AA744" i="34"/>
  <c r="Z744" i="34"/>
  <c r="Y744" i="34"/>
  <c r="X744" i="34"/>
  <c r="W744" i="34"/>
  <c r="V744" i="34"/>
  <c r="U744" i="34"/>
  <c r="T744" i="34"/>
  <c r="S744" i="34"/>
  <c r="R744" i="34"/>
  <c r="Q744" i="34"/>
  <c r="P744" i="34"/>
  <c r="O744" i="34"/>
  <c r="N744" i="34"/>
  <c r="M744" i="34"/>
  <c r="L744" i="34"/>
  <c r="K744" i="34"/>
  <c r="J744" i="34"/>
  <c r="I744" i="34"/>
  <c r="BL743" i="34"/>
  <c r="BK743" i="34"/>
  <c r="BJ743" i="34"/>
  <c r="BI743" i="34"/>
  <c r="BH743" i="34"/>
  <c r="BF743" i="34"/>
  <c r="BE743" i="34"/>
  <c r="BC743" i="34"/>
  <c r="AZ743" i="34"/>
  <c r="AY743" i="34"/>
  <c r="AX743" i="34"/>
  <c r="AW743" i="34"/>
  <c r="AV743" i="34"/>
  <c r="AU743" i="34"/>
  <c r="AT743" i="34"/>
  <c r="AS743" i="34"/>
  <c r="AR743" i="34"/>
  <c r="AQ743" i="34"/>
  <c r="AP743" i="34"/>
  <c r="U743" i="34"/>
  <c r="T743" i="34"/>
  <c r="S743" i="34"/>
  <c r="R743" i="34"/>
  <c r="Q743" i="34"/>
  <c r="P743" i="34"/>
  <c r="O743" i="34"/>
  <c r="N743" i="34"/>
  <c r="M743" i="34"/>
  <c r="L743" i="34"/>
  <c r="K743" i="34"/>
  <c r="J743" i="34"/>
  <c r="I743" i="34"/>
  <c r="BK742" i="34"/>
  <c r="BJ742" i="34"/>
  <c r="BI742" i="34"/>
  <c r="BH742" i="34"/>
  <c r="BG742" i="34"/>
  <c r="BF742" i="34"/>
  <c r="BE742" i="34"/>
  <c r="AI742" i="34"/>
  <c r="AH742" i="34"/>
  <c r="AG742" i="34"/>
  <c r="AF742" i="34"/>
  <c r="AE742" i="34"/>
  <c r="AD742" i="34"/>
  <c r="AC742" i="34"/>
  <c r="AB742" i="34"/>
  <c r="AA742" i="34"/>
  <c r="Z742" i="34"/>
  <c r="Y742" i="34"/>
  <c r="T742" i="34"/>
  <c r="S742" i="34"/>
  <c r="R742" i="34"/>
  <c r="Q742" i="34"/>
  <c r="P742" i="34"/>
  <c r="O742" i="34"/>
  <c r="N742" i="34"/>
  <c r="M742" i="34"/>
  <c r="L742" i="34"/>
  <c r="K742" i="34"/>
  <c r="J742" i="34"/>
  <c r="I742" i="34"/>
  <c r="BY741" i="34"/>
  <c r="BX741" i="34"/>
  <c r="BW741" i="34"/>
  <c r="BV741" i="34"/>
  <c r="BU741" i="34"/>
  <c r="BT741" i="34"/>
  <c r="BS741" i="34"/>
  <c r="BR741" i="34"/>
  <c r="BQ741" i="34"/>
  <c r="BP741" i="34"/>
  <c r="BO741" i="34"/>
  <c r="BN741" i="34"/>
  <c r="BM741" i="34"/>
  <c r="BL741" i="34"/>
  <c r="BK741" i="34"/>
  <c r="BJ741" i="34"/>
  <c r="BI741" i="34"/>
  <c r="BH741" i="34"/>
  <c r="BG741" i="34"/>
  <c r="BF741" i="34"/>
  <c r="BE741" i="34"/>
  <c r="BD741" i="34"/>
  <c r="BC741" i="34"/>
  <c r="AZ741" i="34"/>
  <c r="AY741" i="34"/>
  <c r="AX741" i="34"/>
  <c r="AW741" i="34"/>
  <c r="AV741" i="34"/>
  <c r="AU741" i="34"/>
  <c r="AT741" i="34"/>
  <c r="AS741" i="34"/>
  <c r="AR741" i="34"/>
  <c r="AQ741" i="34"/>
  <c r="AP741" i="34"/>
  <c r="AO741" i="34"/>
  <c r="AN741" i="34"/>
  <c r="AM741" i="34"/>
  <c r="AL741" i="34"/>
  <c r="AK741" i="34"/>
  <c r="AJ741" i="34"/>
  <c r="AI741" i="34"/>
  <c r="AH741" i="34"/>
  <c r="AG741" i="34"/>
  <c r="AF741" i="34"/>
  <c r="AE741" i="34"/>
  <c r="AD741" i="34"/>
  <c r="AC741" i="34"/>
  <c r="AB741" i="34"/>
  <c r="AA741" i="34"/>
  <c r="Z741" i="34"/>
  <c r="Y741" i="34"/>
  <c r="X741" i="34"/>
  <c r="W741" i="34"/>
  <c r="V741" i="34"/>
  <c r="U741" i="34"/>
  <c r="T741" i="34"/>
  <c r="S741" i="34"/>
  <c r="R741" i="34"/>
  <c r="Q741" i="34"/>
  <c r="P741" i="34"/>
  <c r="O741" i="34"/>
  <c r="N741" i="34"/>
  <c r="M741" i="34"/>
  <c r="L741" i="34"/>
  <c r="K741" i="34"/>
  <c r="J741" i="34"/>
  <c r="I741" i="34"/>
  <c r="BY740" i="34"/>
  <c r="BX740" i="34"/>
  <c r="BW740" i="34"/>
  <c r="BV740" i="34"/>
  <c r="BU740" i="34"/>
  <c r="BT740" i="34"/>
  <c r="BS740" i="34"/>
  <c r="BR740" i="34"/>
  <c r="BQ740" i="34"/>
  <c r="BP740" i="34"/>
  <c r="BO740" i="34"/>
  <c r="BN740" i="34"/>
  <c r="BM740" i="34"/>
  <c r="BL740" i="34"/>
  <c r="BK740" i="34"/>
  <c r="BJ740" i="34"/>
  <c r="BI740" i="34"/>
  <c r="BH740" i="34"/>
  <c r="BG740" i="34"/>
  <c r="BF740" i="34"/>
  <c r="BE740" i="34"/>
  <c r="BD740" i="34"/>
  <c r="BC740" i="34"/>
  <c r="AZ740" i="34"/>
  <c r="AY740" i="34"/>
  <c r="AX740" i="34"/>
  <c r="AW740" i="34"/>
  <c r="AV740" i="34"/>
  <c r="AU740" i="34"/>
  <c r="AT740" i="34"/>
  <c r="AS740" i="34"/>
  <c r="AR740" i="34"/>
  <c r="AQ740" i="34"/>
  <c r="AP740" i="34"/>
  <c r="AO740" i="34"/>
  <c r="AN740" i="34"/>
  <c r="AK740" i="34"/>
  <c r="AJ740" i="34"/>
  <c r="AI740" i="34"/>
  <c r="AG740" i="34"/>
  <c r="AF740" i="34"/>
  <c r="AE740" i="34"/>
  <c r="AC740" i="34"/>
  <c r="AB740" i="34"/>
  <c r="AA740" i="34"/>
  <c r="Z740" i="34"/>
  <c r="Y740" i="34"/>
  <c r="X740" i="34"/>
  <c r="W740" i="34"/>
  <c r="V740" i="34"/>
  <c r="U740" i="34"/>
  <c r="T740" i="34"/>
  <c r="S740" i="34"/>
  <c r="R740" i="34"/>
  <c r="Q740" i="34"/>
  <c r="P740" i="34"/>
  <c r="O740" i="34"/>
  <c r="N740" i="34"/>
  <c r="M740" i="34"/>
  <c r="L740" i="34"/>
  <c r="K740" i="34"/>
  <c r="J740" i="34"/>
  <c r="I740" i="34"/>
  <c r="BY739" i="34"/>
  <c r="BX739" i="34"/>
  <c r="BW739" i="34"/>
  <c r="BV739" i="34"/>
  <c r="BU739" i="34"/>
  <c r="BT739" i="34"/>
  <c r="BS739" i="34"/>
  <c r="BR739" i="34"/>
  <c r="BQ739" i="34"/>
  <c r="BP739" i="34"/>
  <c r="BO739" i="34"/>
  <c r="BN739" i="34"/>
  <c r="BM739" i="34"/>
  <c r="BL739" i="34"/>
  <c r="BK739" i="34"/>
  <c r="BJ739" i="34"/>
  <c r="BI739" i="34"/>
  <c r="BH739" i="34"/>
  <c r="BG739" i="34"/>
  <c r="BF739" i="34"/>
  <c r="BE739" i="34"/>
  <c r="X739" i="34"/>
  <c r="W739" i="34"/>
  <c r="V739" i="34"/>
  <c r="U739" i="34"/>
  <c r="T739" i="34"/>
  <c r="S739" i="34"/>
  <c r="R739" i="34"/>
  <c r="Q739" i="34"/>
  <c r="P739" i="34"/>
  <c r="O739" i="34"/>
  <c r="N739" i="34"/>
  <c r="M739" i="34"/>
  <c r="L739" i="34"/>
  <c r="K739" i="34"/>
  <c r="J739" i="34"/>
  <c r="I739" i="34"/>
  <c r="BN738" i="34"/>
  <c r="BM738" i="34"/>
  <c r="BL738" i="34"/>
  <c r="BK738" i="34"/>
  <c r="BJ738" i="34"/>
  <c r="BI738" i="34"/>
  <c r="BH738" i="34"/>
  <c r="BG738" i="34"/>
  <c r="BF738" i="34"/>
  <c r="BE738" i="34"/>
  <c r="X738" i="34"/>
  <c r="W738" i="34"/>
  <c r="V738" i="34"/>
  <c r="U738" i="34"/>
  <c r="T738" i="34"/>
  <c r="S738" i="34"/>
  <c r="R738" i="34"/>
  <c r="Q738" i="34"/>
  <c r="P738" i="34"/>
  <c r="O738" i="34"/>
  <c r="N738" i="34"/>
  <c r="M738" i="34"/>
  <c r="L738" i="34"/>
  <c r="K738" i="34"/>
  <c r="J738" i="34"/>
  <c r="I738" i="34"/>
  <c r="BY737" i="34"/>
  <c r="BX737" i="34"/>
  <c r="BW737" i="34"/>
  <c r="BV737" i="34"/>
  <c r="BU737" i="34"/>
  <c r="BT737" i="34"/>
  <c r="BS737" i="34"/>
  <c r="BR737" i="34"/>
  <c r="BQ737" i="34"/>
  <c r="BP737" i="34"/>
  <c r="BO737" i="34"/>
  <c r="BN737" i="34"/>
  <c r="BM737" i="34"/>
  <c r="BL737" i="34"/>
  <c r="BK737" i="34"/>
  <c r="BJ737" i="34"/>
  <c r="BI737" i="34"/>
  <c r="BH737" i="34"/>
  <c r="BG737" i="34"/>
  <c r="BF737" i="34"/>
  <c r="BE737" i="34"/>
  <c r="X737" i="34"/>
  <c r="W737" i="34"/>
  <c r="V737" i="34"/>
  <c r="U737" i="34"/>
  <c r="T737" i="34"/>
  <c r="S737" i="34"/>
  <c r="R737" i="34"/>
  <c r="Q737" i="34"/>
  <c r="P737" i="34"/>
  <c r="O737" i="34"/>
  <c r="N737" i="34"/>
  <c r="M737" i="34"/>
  <c r="L737" i="34"/>
  <c r="K737" i="34"/>
  <c r="J737" i="34"/>
  <c r="I737" i="34"/>
  <c r="BM736" i="34"/>
  <c r="BL736" i="34"/>
  <c r="BK736" i="34"/>
  <c r="BJ736" i="34"/>
  <c r="BI736" i="34"/>
  <c r="BH736" i="34"/>
  <c r="BG736" i="34"/>
  <c r="BF736" i="34"/>
  <c r="BE736" i="34"/>
  <c r="X736" i="34"/>
  <c r="W736" i="34"/>
  <c r="V736" i="34"/>
  <c r="U736" i="34"/>
  <c r="T736" i="34"/>
  <c r="S736" i="34"/>
  <c r="R736" i="34"/>
  <c r="Q736" i="34"/>
  <c r="P736" i="34"/>
  <c r="O736" i="34"/>
  <c r="N736" i="34"/>
  <c r="M736" i="34"/>
  <c r="L736" i="34"/>
  <c r="K736" i="34"/>
  <c r="J736" i="34"/>
  <c r="I736" i="34"/>
  <c r="X735" i="34"/>
  <c r="W735" i="34"/>
  <c r="V735" i="34"/>
  <c r="U735" i="34"/>
  <c r="T735" i="34"/>
  <c r="S735" i="34"/>
  <c r="R735" i="34"/>
  <c r="Q735" i="34"/>
  <c r="P735" i="34"/>
  <c r="O735" i="34"/>
  <c r="N735" i="34"/>
  <c r="M735" i="34"/>
  <c r="L735" i="34"/>
  <c r="K735" i="34"/>
  <c r="J735" i="34"/>
  <c r="I735" i="34"/>
  <c r="BY734" i="34"/>
  <c r="BX734" i="34"/>
  <c r="BW734" i="34"/>
  <c r="BV734" i="34"/>
  <c r="BU734" i="34"/>
  <c r="BT734" i="34"/>
  <c r="BS734" i="34"/>
  <c r="BR734" i="34"/>
  <c r="BQ734" i="34"/>
  <c r="BP734" i="34"/>
  <c r="BO734" i="34"/>
  <c r="BN734" i="34"/>
  <c r="BM734" i="34"/>
  <c r="BL734" i="34"/>
  <c r="BK734" i="34"/>
  <c r="BJ734" i="34"/>
  <c r="BI734" i="34"/>
  <c r="BH734" i="34"/>
  <c r="BG734" i="34"/>
  <c r="BF734" i="34"/>
  <c r="BE734" i="34"/>
  <c r="BD734" i="34"/>
  <c r="BC734" i="34"/>
  <c r="AZ734" i="34"/>
  <c r="AY734" i="34"/>
  <c r="AX734" i="34"/>
  <c r="AW734" i="34"/>
  <c r="AV734" i="34"/>
  <c r="AU734" i="34"/>
  <c r="AS734" i="34"/>
  <c r="AR734" i="34"/>
  <c r="AQ734" i="34"/>
  <c r="AP734" i="34"/>
  <c r="AO734" i="34"/>
  <c r="AN734" i="34"/>
  <c r="AM734" i="34"/>
  <c r="AL734" i="34"/>
  <c r="AK734" i="34"/>
  <c r="AJ734" i="34"/>
  <c r="AI734" i="34"/>
  <c r="AH734" i="34"/>
  <c r="AG734" i="34"/>
  <c r="AF734" i="34"/>
  <c r="AE734" i="34"/>
  <c r="AD734" i="34"/>
  <c r="AC734" i="34"/>
  <c r="AB734" i="34"/>
  <c r="AA734" i="34"/>
  <c r="Z734" i="34"/>
  <c r="Y734" i="34"/>
  <c r="X734" i="34"/>
  <c r="W734" i="34"/>
  <c r="V734" i="34"/>
  <c r="U734" i="34"/>
  <c r="T734" i="34"/>
  <c r="S734" i="34"/>
  <c r="R734" i="34"/>
  <c r="Q734" i="34"/>
  <c r="P734" i="34"/>
  <c r="O734" i="34"/>
  <c r="N734" i="34"/>
  <c r="M734" i="34"/>
  <c r="L734" i="34"/>
  <c r="K734" i="34"/>
  <c r="J734" i="34"/>
  <c r="I734" i="34"/>
  <c r="BY733" i="34"/>
  <c r="BX733" i="34"/>
  <c r="BW733" i="34"/>
  <c r="BV733" i="34"/>
  <c r="BU733" i="34"/>
  <c r="BT733" i="34"/>
  <c r="BS733" i="34"/>
  <c r="BR733" i="34"/>
  <c r="BQ733" i="34"/>
  <c r="BP733" i="34"/>
  <c r="BO733" i="34"/>
  <c r="BN733" i="34"/>
  <c r="BM733" i="34"/>
  <c r="BL733" i="34"/>
  <c r="BK733" i="34"/>
  <c r="BJ733" i="34"/>
  <c r="BI733" i="34"/>
  <c r="BH733" i="34"/>
  <c r="BG733" i="34"/>
  <c r="BF733" i="34"/>
  <c r="BE733" i="34"/>
  <c r="M733" i="34"/>
  <c r="L733" i="34"/>
  <c r="K733" i="34"/>
  <c r="J733" i="34"/>
  <c r="I733" i="34"/>
  <c r="BY732" i="34"/>
  <c r="BX732" i="34"/>
  <c r="BW732" i="34"/>
  <c r="BV732" i="34"/>
  <c r="BU732" i="34"/>
  <c r="BH732" i="34"/>
  <c r="BG732" i="34"/>
  <c r="BF732" i="34"/>
  <c r="BE732" i="34"/>
  <c r="BD732" i="34"/>
  <c r="BC732" i="34"/>
  <c r="AZ732" i="34"/>
  <c r="AY732" i="34"/>
  <c r="AX732" i="34"/>
  <c r="AW732" i="34"/>
  <c r="AV732" i="34"/>
  <c r="AU732" i="34"/>
  <c r="AT732" i="34"/>
  <c r="AS732" i="34"/>
  <c r="AR732" i="34"/>
  <c r="AQ732" i="34"/>
  <c r="AP732" i="34"/>
  <c r="P732" i="34"/>
  <c r="O732" i="34"/>
  <c r="N732" i="34"/>
  <c r="M732" i="34"/>
  <c r="L732" i="34"/>
  <c r="K732" i="34"/>
  <c r="J732" i="34"/>
  <c r="I732" i="34"/>
  <c r="BG731" i="34"/>
  <c r="BF731" i="34"/>
  <c r="BE731" i="34"/>
  <c r="L731" i="34"/>
  <c r="K731" i="34"/>
  <c r="J731" i="34"/>
  <c r="I731" i="34"/>
  <c r="BY730" i="34"/>
  <c r="BX730" i="34"/>
  <c r="BW730" i="34"/>
  <c r="BV730" i="34"/>
  <c r="BU730" i="34"/>
  <c r="BT730" i="34"/>
  <c r="BS730" i="34"/>
  <c r="BR730" i="34"/>
  <c r="BQ730" i="34"/>
  <c r="BP730" i="34"/>
  <c r="BO730" i="34"/>
  <c r="BN730" i="34"/>
  <c r="BM730" i="34"/>
  <c r="BL730" i="34"/>
  <c r="BK730" i="34"/>
  <c r="BJ730" i="34"/>
  <c r="BI730" i="34"/>
  <c r="BH730" i="34"/>
  <c r="BG730" i="34"/>
  <c r="BF730" i="34"/>
  <c r="BE730" i="34"/>
  <c r="M730" i="34"/>
  <c r="L730" i="34"/>
  <c r="K730" i="34"/>
  <c r="J730" i="34"/>
  <c r="I730" i="34"/>
  <c r="BN729" i="34"/>
  <c r="BM729" i="34"/>
  <c r="BL729" i="34"/>
  <c r="BK729" i="34"/>
  <c r="BJ729" i="34"/>
  <c r="BI729" i="34"/>
  <c r="BH729" i="34"/>
  <c r="BG729" i="34"/>
  <c r="BF729" i="34"/>
  <c r="BE729" i="34"/>
  <c r="T729" i="34"/>
  <c r="S729" i="34"/>
  <c r="R729" i="34"/>
  <c r="Q729" i="34"/>
  <c r="P729" i="34"/>
  <c r="O729" i="34"/>
  <c r="N729" i="34"/>
  <c r="M729" i="34"/>
  <c r="L729" i="34"/>
  <c r="K729" i="34"/>
  <c r="J729" i="34"/>
  <c r="I729" i="34"/>
  <c r="BG728" i="34"/>
  <c r="BF728" i="34"/>
  <c r="BE728" i="34"/>
  <c r="L728" i="34"/>
  <c r="K728" i="34"/>
  <c r="J728" i="34"/>
  <c r="I728" i="34"/>
  <c r="BG727" i="34"/>
  <c r="BF727" i="34"/>
  <c r="BE727" i="34"/>
  <c r="L727" i="34"/>
  <c r="K727" i="34"/>
  <c r="J727" i="34"/>
  <c r="I727" i="34"/>
  <c r="BY726" i="34"/>
  <c r="BX726" i="34"/>
  <c r="BW726" i="34"/>
  <c r="BV726" i="34"/>
  <c r="BU726" i="34"/>
  <c r="BT726" i="34"/>
  <c r="BS726" i="34"/>
  <c r="BR726" i="34"/>
  <c r="BQ726" i="34"/>
  <c r="BP726" i="34"/>
  <c r="BO726" i="34"/>
  <c r="BN726" i="34"/>
  <c r="BM726" i="34"/>
  <c r="BL726" i="34"/>
  <c r="BK726" i="34"/>
  <c r="BJ726" i="34"/>
  <c r="BI726" i="34"/>
  <c r="BH726" i="34"/>
  <c r="BG726" i="34"/>
  <c r="BF726" i="34"/>
  <c r="BE726" i="34"/>
  <c r="BD726" i="34"/>
  <c r="BC726" i="34"/>
  <c r="AZ726" i="34"/>
  <c r="AY726" i="34"/>
  <c r="AX726" i="34"/>
  <c r="AW726" i="34"/>
  <c r="AV726" i="34"/>
  <c r="AU726" i="34"/>
  <c r="AT726" i="34"/>
  <c r="AS726" i="34"/>
  <c r="AR726" i="34"/>
  <c r="AQ726" i="34"/>
  <c r="AP726" i="34"/>
  <c r="AN726" i="34"/>
  <c r="AM726" i="34"/>
  <c r="AL726" i="34"/>
  <c r="AK726" i="34"/>
  <c r="AJ726" i="34"/>
  <c r="AI726" i="34"/>
  <c r="AH726" i="34"/>
  <c r="AG726" i="34"/>
  <c r="AF726" i="34"/>
  <c r="AE726" i="34"/>
  <c r="AD726" i="34"/>
  <c r="AC726" i="34"/>
  <c r="AB726" i="34"/>
  <c r="AA726" i="34"/>
  <c r="Z726" i="34"/>
  <c r="Y726" i="34"/>
  <c r="X726" i="34"/>
  <c r="W726" i="34"/>
  <c r="V726" i="34"/>
  <c r="U726" i="34"/>
  <c r="T726" i="34"/>
  <c r="S726" i="34"/>
  <c r="R726" i="34"/>
  <c r="Q726" i="34"/>
  <c r="P726" i="34"/>
  <c r="O726" i="34"/>
  <c r="N726" i="34"/>
  <c r="M726" i="34"/>
  <c r="L726" i="34"/>
  <c r="K726" i="34"/>
  <c r="J726" i="34"/>
  <c r="I726" i="34"/>
  <c r="BY725" i="34"/>
  <c r="BX725" i="34"/>
  <c r="BW725" i="34"/>
  <c r="BV725" i="34"/>
  <c r="BU725" i="34"/>
  <c r="BT725" i="34"/>
  <c r="BS725" i="34"/>
  <c r="BR725" i="34"/>
  <c r="BQ725" i="34"/>
  <c r="BP725" i="34"/>
  <c r="BO725" i="34"/>
  <c r="BN725" i="34"/>
  <c r="BM725" i="34"/>
  <c r="BL725" i="34"/>
  <c r="BK725" i="34"/>
  <c r="BJ725" i="34"/>
  <c r="BI725" i="34"/>
  <c r="BH725" i="34"/>
  <c r="BG725" i="34"/>
  <c r="BF725" i="34"/>
  <c r="BE725" i="34"/>
  <c r="BD725" i="34"/>
  <c r="BC725" i="34"/>
  <c r="AZ725" i="34"/>
  <c r="AY725" i="34"/>
  <c r="AX725" i="34"/>
  <c r="AW725" i="34"/>
  <c r="AV725" i="34"/>
  <c r="AU725" i="34"/>
  <c r="AT725" i="34"/>
  <c r="AS725" i="34"/>
  <c r="AR725" i="34"/>
  <c r="AQ725" i="34"/>
  <c r="AP725" i="34"/>
  <c r="AO725" i="34"/>
  <c r="AN725" i="34"/>
  <c r="AM725" i="34"/>
  <c r="AL725" i="34"/>
  <c r="AK725" i="34"/>
  <c r="AJ725" i="34"/>
  <c r="AI725" i="34"/>
  <c r="AH725" i="34"/>
  <c r="AG725" i="34"/>
  <c r="AF725" i="34"/>
  <c r="AE725" i="34"/>
  <c r="AD725" i="34"/>
  <c r="AC725" i="34"/>
  <c r="AB725" i="34"/>
  <c r="AA725" i="34"/>
  <c r="Z725" i="34"/>
  <c r="Y725" i="34"/>
  <c r="X725" i="34"/>
  <c r="W725" i="34"/>
  <c r="V725" i="34"/>
  <c r="U725" i="34"/>
  <c r="T725" i="34"/>
  <c r="S725" i="34"/>
  <c r="R725" i="34"/>
  <c r="Q725" i="34"/>
  <c r="P725" i="34"/>
  <c r="O725" i="34"/>
  <c r="N725" i="34"/>
  <c r="M725" i="34"/>
  <c r="L725" i="34"/>
  <c r="K725" i="34"/>
  <c r="J725" i="34"/>
  <c r="I725" i="34"/>
  <c r="AR724" i="34"/>
  <c r="AQ724" i="34"/>
  <c r="AP724" i="34"/>
  <c r="AO724" i="34"/>
  <c r="AN724" i="34"/>
  <c r="AM724" i="34"/>
  <c r="AL724" i="34"/>
  <c r="AK724" i="34"/>
  <c r="AJ724" i="34"/>
  <c r="AI724" i="34"/>
  <c r="AH724" i="34"/>
  <c r="AG724" i="34"/>
  <c r="AF724" i="34"/>
  <c r="AE724" i="34"/>
  <c r="AD724" i="34"/>
  <c r="AC724" i="34"/>
  <c r="AB724" i="34"/>
  <c r="AA724" i="34"/>
  <c r="Z724" i="34"/>
  <c r="Y724" i="34"/>
  <c r="X724" i="34"/>
  <c r="W724" i="34"/>
  <c r="V724" i="34"/>
  <c r="U724" i="34"/>
  <c r="T724" i="34"/>
  <c r="S724" i="34"/>
  <c r="R724" i="34"/>
  <c r="Q724" i="34"/>
  <c r="P724" i="34"/>
  <c r="O724" i="34"/>
  <c r="N724" i="34"/>
  <c r="M724" i="34"/>
  <c r="L724" i="34"/>
  <c r="K724" i="34"/>
  <c r="J724" i="34"/>
  <c r="I724" i="34"/>
  <c r="BY724" i="34"/>
  <c r="BX724" i="34"/>
  <c r="BW724" i="34"/>
  <c r="BV724" i="34"/>
  <c r="BU724" i="34"/>
  <c r="BT724" i="34"/>
  <c r="BS724" i="34"/>
  <c r="BR724" i="34"/>
  <c r="BQ724" i="34"/>
  <c r="BP724" i="34"/>
  <c r="BO724" i="34"/>
  <c r="BN724" i="34"/>
  <c r="BM724" i="34"/>
  <c r="BL724" i="34"/>
  <c r="BK724" i="34"/>
  <c r="BJ724" i="34"/>
  <c r="BI724" i="34"/>
  <c r="BH724" i="34"/>
  <c r="BG724" i="34"/>
  <c r="BF724" i="34"/>
  <c r="BE724" i="34"/>
  <c r="BD724" i="34"/>
  <c r="BC724" i="34"/>
  <c r="AZ724" i="34"/>
  <c r="AY724" i="34"/>
  <c r="AX724" i="34"/>
  <c r="AW724" i="34"/>
  <c r="AV724" i="34"/>
  <c r="AU724" i="34"/>
  <c r="AT724" i="34"/>
  <c r="BY723" i="34"/>
  <c r="BX723" i="34"/>
  <c r="BW723" i="34"/>
  <c r="BV723" i="34"/>
  <c r="BU723" i="34"/>
  <c r="BT723" i="34"/>
  <c r="BS723" i="34"/>
  <c r="BR723" i="34"/>
  <c r="BQ723" i="34"/>
  <c r="BP723" i="34"/>
  <c r="BO723" i="34"/>
  <c r="BN723" i="34"/>
  <c r="BM723" i="34"/>
  <c r="BL723" i="34"/>
  <c r="BK723" i="34"/>
  <c r="BJ723" i="34"/>
  <c r="BI723" i="34"/>
  <c r="BH723" i="34"/>
  <c r="BG723" i="34"/>
  <c r="BF723" i="34"/>
  <c r="BE723" i="34"/>
  <c r="BD723" i="34"/>
  <c r="BC723" i="34"/>
  <c r="AZ723" i="34"/>
  <c r="AY723" i="34"/>
  <c r="AX723" i="34"/>
  <c r="AW723" i="34"/>
  <c r="AV723" i="34"/>
  <c r="AU723" i="34"/>
  <c r="AT723" i="34"/>
  <c r="BY722" i="34"/>
  <c r="BX722" i="34"/>
  <c r="BW722" i="34"/>
  <c r="BV722" i="34"/>
  <c r="BU722" i="34"/>
  <c r="BT722" i="34"/>
  <c r="BS722" i="34"/>
  <c r="BR722" i="34"/>
  <c r="BQ722" i="34"/>
  <c r="BP722" i="34"/>
  <c r="BO722" i="34"/>
  <c r="BN722" i="34"/>
  <c r="BM722" i="34"/>
  <c r="BL722" i="34"/>
  <c r="BK722" i="34"/>
  <c r="BJ722" i="34"/>
  <c r="BI722" i="34"/>
  <c r="BH722" i="34"/>
  <c r="BG722" i="34"/>
  <c r="BF722" i="34"/>
  <c r="BE722" i="34"/>
  <c r="BM721" i="34"/>
  <c r="BL721" i="34"/>
  <c r="BK721" i="34"/>
  <c r="BJ721" i="34"/>
  <c r="BI721" i="34"/>
  <c r="BH721" i="34"/>
  <c r="BG721" i="34"/>
  <c r="BF721" i="34"/>
  <c r="BE721" i="34"/>
  <c r="BY720" i="34"/>
  <c r="BX720" i="34"/>
  <c r="BW720" i="34"/>
  <c r="BV720" i="34"/>
  <c r="BU720" i="34"/>
  <c r="BM720" i="34"/>
  <c r="BL720" i="34"/>
  <c r="BK720" i="34"/>
  <c r="BJ720" i="34"/>
  <c r="BI720" i="34"/>
  <c r="BH720" i="34"/>
  <c r="BG720" i="34"/>
  <c r="BF720" i="34"/>
  <c r="BE720" i="34"/>
  <c r="BD720" i="34"/>
  <c r="BC720" i="34"/>
  <c r="AZ720" i="34"/>
  <c r="AY720" i="34"/>
  <c r="AX720" i="34"/>
  <c r="AW720" i="34"/>
  <c r="AV720" i="34"/>
  <c r="AU720" i="34"/>
  <c r="AT720" i="34"/>
  <c r="BY719" i="34"/>
  <c r="BX719" i="34"/>
  <c r="BW719" i="34"/>
  <c r="BV719" i="34"/>
  <c r="BU719" i="34"/>
  <c r="BT719" i="34"/>
  <c r="BS719" i="34"/>
  <c r="BR719" i="34"/>
  <c r="BQ719" i="34"/>
  <c r="BP719" i="34"/>
  <c r="BO719" i="34"/>
  <c r="BN719" i="34"/>
  <c r="BM719" i="34"/>
  <c r="BL719" i="34"/>
  <c r="BK719" i="34"/>
  <c r="BJ719" i="34"/>
  <c r="BI719" i="34"/>
  <c r="BH719" i="34"/>
  <c r="BG719" i="34"/>
  <c r="BF719" i="34"/>
  <c r="BE719" i="34"/>
  <c r="BM718" i="34"/>
  <c r="BL718" i="34"/>
  <c r="BK718" i="34"/>
  <c r="BJ718" i="34"/>
  <c r="BI718" i="34"/>
  <c r="BH718" i="34"/>
  <c r="BG718" i="34"/>
  <c r="BF718" i="34"/>
  <c r="BE718" i="34"/>
  <c r="BL717" i="34"/>
  <c r="BK717" i="34"/>
  <c r="BJ717" i="34"/>
  <c r="BI717" i="34"/>
  <c r="BH717" i="34"/>
  <c r="BG717" i="34"/>
  <c r="BF717" i="34"/>
  <c r="BE717" i="34"/>
  <c r="BY716" i="34"/>
  <c r="BX716" i="34"/>
  <c r="BW716" i="34"/>
  <c r="BV716" i="34"/>
  <c r="BU716" i="34"/>
  <c r="BT716" i="34"/>
  <c r="BS716" i="34"/>
  <c r="BR716" i="34"/>
  <c r="BQ716" i="34"/>
  <c r="BP716" i="34"/>
  <c r="BO716" i="34"/>
  <c r="BN716" i="34"/>
  <c r="BM716" i="34"/>
  <c r="BL716" i="34"/>
  <c r="BK716" i="34"/>
  <c r="BJ716" i="34"/>
  <c r="BI716" i="34"/>
  <c r="BH716" i="34"/>
  <c r="BG716" i="34"/>
  <c r="BF716" i="34"/>
  <c r="BE716" i="34"/>
  <c r="BD716" i="34"/>
  <c r="BC716" i="34"/>
  <c r="AZ716" i="34"/>
  <c r="AY716" i="34"/>
  <c r="AX716" i="34"/>
  <c r="AW716" i="34"/>
  <c r="AV716" i="34"/>
  <c r="AU716" i="34"/>
  <c r="AT716" i="34"/>
  <c r="BY715" i="34"/>
  <c r="BX715" i="34"/>
  <c r="BW715" i="34"/>
  <c r="BV715" i="34"/>
  <c r="BU715" i="34"/>
  <c r="BT715" i="34"/>
  <c r="BS715" i="34"/>
  <c r="BR715" i="34"/>
  <c r="BQ715" i="34"/>
  <c r="BP715" i="34"/>
  <c r="BO715" i="34"/>
  <c r="BN715" i="34"/>
  <c r="BM715" i="34"/>
  <c r="BL715" i="34"/>
  <c r="BK715" i="34"/>
  <c r="BJ715" i="34"/>
  <c r="BI715" i="34"/>
  <c r="BH715" i="34"/>
  <c r="BG715" i="34"/>
  <c r="BF715" i="34"/>
  <c r="BE715" i="34"/>
  <c r="BD715" i="34"/>
  <c r="BC715" i="34"/>
  <c r="AZ715" i="34"/>
  <c r="AY715" i="34"/>
  <c r="AX715" i="34"/>
  <c r="AW715" i="34"/>
  <c r="AV715" i="34"/>
  <c r="AU715" i="34"/>
  <c r="AT715" i="34"/>
  <c r="BY714" i="34"/>
  <c r="BX714" i="34"/>
  <c r="BW714" i="34"/>
  <c r="BV714" i="34"/>
  <c r="BU714" i="34"/>
  <c r="BT714" i="34"/>
  <c r="BS714" i="34"/>
  <c r="BR714" i="34"/>
  <c r="BQ714" i="34"/>
  <c r="BP714" i="34"/>
  <c r="BO714" i="34"/>
  <c r="BN714" i="34"/>
  <c r="BM714" i="34"/>
  <c r="BL714" i="34"/>
  <c r="BK714" i="34"/>
  <c r="BJ714" i="34"/>
  <c r="BI714" i="34"/>
  <c r="BH714" i="34"/>
  <c r="BG714" i="34"/>
  <c r="BF714" i="34"/>
  <c r="BE714" i="34"/>
  <c r="BM713" i="34"/>
  <c r="BL713" i="34"/>
  <c r="BK713" i="34"/>
  <c r="BJ713" i="34"/>
  <c r="BI713" i="34"/>
  <c r="BH713" i="34"/>
  <c r="BG713" i="34"/>
  <c r="BF713" i="34"/>
  <c r="BE713" i="34"/>
  <c r="BM712" i="34"/>
  <c r="BL712" i="34"/>
  <c r="BK712" i="34"/>
  <c r="BJ712" i="34"/>
  <c r="BI712" i="34"/>
  <c r="BH712" i="34"/>
  <c r="BG712" i="34"/>
  <c r="BF712" i="34"/>
  <c r="BE712" i="34"/>
  <c r="BY711" i="34"/>
  <c r="BX711" i="34"/>
  <c r="BW711" i="34"/>
  <c r="BV711" i="34"/>
  <c r="BU711" i="34"/>
  <c r="BT711" i="34"/>
  <c r="BS711" i="34"/>
  <c r="BR711" i="34"/>
  <c r="BQ711" i="34"/>
  <c r="BP711" i="34"/>
  <c r="BO711" i="34"/>
  <c r="BN711" i="34"/>
  <c r="BM711" i="34"/>
  <c r="BL711" i="34"/>
  <c r="BK711" i="34"/>
  <c r="BJ711" i="34"/>
  <c r="BI711" i="34"/>
  <c r="BH711" i="34"/>
  <c r="BG711" i="34"/>
  <c r="BF711" i="34"/>
  <c r="BE711" i="34"/>
  <c r="BM710" i="34"/>
  <c r="BL710" i="34"/>
  <c r="BK710" i="34"/>
  <c r="BJ710" i="34"/>
  <c r="BI710" i="34"/>
  <c r="BH710" i="34"/>
  <c r="BG710" i="34"/>
  <c r="BF710" i="34"/>
  <c r="BE710" i="34"/>
  <c r="BL709" i="34"/>
  <c r="BK709" i="34"/>
  <c r="BJ709" i="34"/>
  <c r="BI709" i="34"/>
  <c r="BH709" i="34"/>
  <c r="BG709" i="34"/>
  <c r="BF709" i="34"/>
  <c r="BE709" i="34"/>
  <c r="BY708" i="34"/>
  <c r="BX708" i="34"/>
  <c r="BW708" i="34"/>
  <c r="BV708" i="34"/>
  <c r="BU708" i="34"/>
  <c r="BT708" i="34"/>
  <c r="BS708" i="34"/>
  <c r="BR708" i="34"/>
  <c r="BQ708" i="34"/>
  <c r="BP708" i="34"/>
  <c r="BO708" i="34"/>
  <c r="BN708" i="34"/>
  <c r="BM708" i="34"/>
  <c r="BL708" i="34"/>
  <c r="BK708" i="34"/>
  <c r="BJ708" i="34"/>
  <c r="BI708" i="34"/>
  <c r="BH708" i="34"/>
  <c r="BG708" i="34"/>
  <c r="BF708" i="34"/>
  <c r="BE708" i="34"/>
  <c r="BD708" i="34"/>
  <c r="BC708" i="34"/>
  <c r="AZ708" i="34"/>
  <c r="AY708" i="34"/>
  <c r="AX708" i="34"/>
  <c r="AW708" i="34"/>
  <c r="AV708" i="34"/>
  <c r="AU708" i="34"/>
  <c r="AT708" i="34"/>
  <c r="BY707" i="34"/>
  <c r="BX707" i="34"/>
  <c r="BW707" i="34"/>
  <c r="BV707" i="34"/>
  <c r="BU707" i="34"/>
  <c r="BT707" i="34"/>
  <c r="BS707" i="34"/>
  <c r="BR707" i="34"/>
  <c r="BQ707" i="34"/>
  <c r="BP707" i="34"/>
  <c r="BO707" i="34"/>
  <c r="BN707" i="34"/>
  <c r="BM707" i="34"/>
  <c r="BL707" i="34"/>
  <c r="BK707" i="34"/>
  <c r="BJ707" i="34"/>
  <c r="BI707" i="34"/>
  <c r="BH707" i="34"/>
  <c r="BG707" i="34"/>
  <c r="BF707" i="34"/>
  <c r="BE707" i="34"/>
  <c r="BD707" i="34"/>
  <c r="BC707" i="34"/>
  <c r="AZ707" i="34"/>
  <c r="AY707" i="34"/>
  <c r="AX707" i="34"/>
  <c r="AW707" i="34"/>
  <c r="AV707" i="34"/>
  <c r="AU707" i="34"/>
  <c r="AT707" i="34"/>
  <c r="BY706" i="34"/>
  <c r="BX706" i="34"/>
  <c r="BW706" i="34"/>
  <c r="BV706" i="34"/>
  <c r="BU706" i="34"/>
  <c r="BT706" i="34"/>
  <c r="BS706" i="34"/>
  <c r="BR706" i="34"/>
  <c r="BQ706" i="34"/>
  <c r="BP706" i="34"/>
  <c r="BO706" i="34"/>
  <c r="BN706" i="34"/>
  <c r="BM706" i="34"/>
  <c r="BL706" i="34"/>
  <c r="BK706" i="34"/>
  <c r="BJ706" i="34"/>
  <c r="BI706" i="34"/>
  <c r="BH706" i="34"/>
  <c r="BG706" i="34"/>
  <c r="BF706" i="34"/>
  <c r="BE706" i="34"/>
  <c r="BD706" i="34"/>
  <c r="BC706" i="34"/>
  <c r="AZ706" i="34"/>
  <c r="AY706" i="34"/>
  <c r="AX706" i="34"/>
  <c r="AW706" i="34"/>
  <c r="AV706" i="34"/>
  <c r="AU706" i="34"/>
  <c r="AT706" i="34"/>
  <c r="BY705" i="34"/>
  <c r="BX705" i="34"/>
  <c r="BW705" i="34"/>
  <c r="BV705" i="34"/>
  <c r="BU705" i="34"/>
  <c r="BT705" i="34"/>
  <c r="BS705" i="34"/>
  <c r="BR705" i="34"/>
  <c r="BQ705" i="34"/>
  <c r="BP705" i="34"/>
  <c r="BO705" i="34"/>
  <c r="BN705" i="34"/>
  <c r="BM705" i="34"/>
  <c r="BL705" i="34"/>
  <c r="BK705" i="34"/>
  <c r="BJ705" i="34"/>
  <c r="BI705" i="34"/>
  <c r="BH705" i="34"/>
  <c r="BG705" i="34"/>
  <c r="BF705" i="34"/>
  <c r="BE705" i="34"/>
  <c r="BD705" i="34"/>
  <c r="BC705" i="34"/>
  <c r="AZ705" i="34"/>
  <c r="AY705" i="34"/>
  <c r="AX705" i="34"/>
  <c r="AW705" i="34"/>
  <c r="AV705" i="34"/>
  <c r="AU705" i="34"/>
  <c r="AT705" i="34"/>
  <c r="BN704" i="34"/>
  <c r="BM704" i="34"/>
  <c r="BL704" i="34"/>
  <c r="BK704" i="34"/>
  <c r="BJ704" i="34"/>
  <c r="BI704" i="34"/>
  <c r="BH704" i="34"/>
  <c r="BG704" i="34"/>
  <c r="BF704" i="34"/>
  <c r="BE704" i="34"/>
  <c r="BN703" i="34"/>
  <c r="BM703" i="34"/>
  <c r="BL703" i="34"/>
  <c r="BK703" i="34"/>
  <c r="BJ703" i="34"/>
  <c r="BI703" i="34"/>
  <c r="BH703" i="34"/>
  <c r="BG703" i="34"/>
  <c r="BF703" i="34"/>
  <c r="BE703" i="34"/>
  <c r="BN702" i="34"/>
  <c r="BM702" i="34"/>
  <c r="BL702" i="34"/>
  <c r="BK702" i="34"/>
  <c r="BJ702" i="34"/>
  <c r="BI702" i="34"/>
  <c r="BH702" i="34"/>
  <c r="BG702" i="34"/>
  <c r="BF702" i="34"/>
  <c r="BE702" i="34"/>
  <c r="BY700" i="34"/>
  <c r="BX700" i="34"/>
  <c r="BW700" i="34"/>
  <c r="BV700" i="34"/>
  <c r="BU700" i="34"/>
  <c r="BT700" i="34"/>
  <c r="BS700" i="34"/>
  <c r="BR700" i="34"/>
  <c r="BQ700" i="34"/>
  <c r="BP700" i="34"/>
  <c r="BO700" i="34"/>
  <c r="BN700" i="34"/>
  <c r="BM700" i="34"/>
  <c r="BL700" i="34"/>
  <c r="BK700" i="34"/>
  <c r="BJ700" i="34"/>
  <c r="BI700" i="34"/>
  <c r="BH700" i="34"/>
  <c r="BG700" i="34"/>
  <c r="BF700" i="34"/>
  <c r="BE700" i="34"/>
  <c r="BF699" i="34"/>
  <c r="BE699" i="34"/>
  <c r="BE698" i="34"/>
  <c r="BY697" i="34"/>
  <c r="BX697" i="34"/>
  <c r="BW697" i="34"/>
  <c r="BV697" i="34"/>
  <c r="BU697" i="34"/>
  <c r="BT697" i="34"/>
  <c r="BS697" i="34"/>
  <c r="BR697" i="34"/>
  <c r="BQ697" i="34"/>
  <c r="BP697" i="34"/>
  <c r="BO697" i="34"/>
  <c r="BN697" i="34"/>
  <c r="BM697" i="34"/>
  <c r="BL697" i="34"/>
  <c r="BK697" i="34"/>
  <c r="BJ697" i="34"/>
  <c r="BI697" i="34"/>
  <c r="BH697" i="34"/>
  <c r="BG697" i="34"/>
  <c r="BF697" i="34"/>
  <c r="BE697" i="34"/>
  <c r="BD697" i="34"/>
  <c r="BC697" i="34"/>
  <c r="AZ697" i="34"/>
  <c r="AY697" i="34"/>
  <c r="AX697" i="34"/>
  <c r="AW697" i="34"/>
  <c r="AV697" i="34"/>
  <c r="AU697" i="34"/>
  <c r="AT697" i="34"/>
  <c r="BY696" i="34"/>
  <c r="BX696" i="34"/>
  <c r="BW696" i="34"/>
  <c r="BV696" i="34"/>
  <c r="BU696" i="34"/>
  <c r="BT696" i="34"/>
  <c r="BS696" i="34"/>
  <c r="BR696" i="34"/>
  <c r="BQ696" i="34"/>
  <c r="BP696" i="34"/>
  <c r="BO696" i="34"/>
  <c r="BN696" i="34"/>
  <c r="BM696" i="34"/>
  <c r="BL696" i="34"/>
  <c r="BK696" i="34"/>
  <c r="BJ696" i="34"/>
  <c r="BI696" i="34"/>
  <c r="BH696" i="34"/>
  <c r="BG696" i="34"/>
  <c r="BF696" i="34"/>
  <c r="BE696" i="34"/>
  <c r="BD696" i="34"/>
  <c r="BC696" i="34"/>
  <c r="AZ696" i="34"/>
  <c r="AY696" i="34"/>
  <c r="AX696" i="34"/>
  <c r="AW696" i="34"/>
  <c r="AV696" i="34"/>
  <c r="AU696" i="34"/>
  <c r="AT696" i="34"/>
  <c r="BY695" i="34"/>
  <c r="BX695" i="34"/>
  <c r="BW695" i="34"/>
  <c r="BV695" i="34"/>
  <c r="BU695" i="34"/>
  <c r="BT695" i="34"/>
  <c r="BS695" i="34"/>
  <c r="BR695" i="34"/>
  <c r="BQ695" i="34"/>
  <c r="BP695" i="34"/>
  <c r="BO695" i="34"/>
  <c r="BN695" i="34"/>
  <c r="BM695" i="34"/>
  <c r="BL695" i="34"/>
  <c r="BK695" i="34"/>
  <c r="BJ695" i="34"/>
  <c r="BI695" i="34"/>
  <c r="BH695" i="34"/>
  <c r="BG695" i="34"/>
  <c r="BF695" i="34"/>
  <c r="BE695" i="34"/>
  <c r="BD695" i="34"/>
  <c r="BC695" i="34"/>
  <c r="AZ695" i="34"/>
  <c r="AY695" i="34"/>
  <c r="AX695" i="34"/>
  <c r="AW695" i="34"/>
  <c r="AV695" i="34"/>
  <c r="AU695" i="34"/>
  <c r="AT695" i="34"/>
  <c r="BY694" i="34"/>
  <c r="BX694" i="34"/>
  <c r="BW694" i="34"/>
  <c r="BV694" i="34"/>
  <c r="BU694" i="34"/>
  <c r="BT694" i="34"/>
  <c r="BS694" i="34"/>
  <c r="BR694" i="34"/>
  <c r="BQ694" i="34"/>
  <c r="BP694" i="34"/>
  <c r="BO694" i="34"/>
  <c r="BN694" i="34"/>
  <c r="BM694" i="34"/>
  <c r="BL694" i="34"/>
  <c r="BK694" i="34"/>
  <c r="BJ694" i="34"/>
  <c r="BI694" i="34"/>
  <c r="BH694" i="34"/>
  <c r="BG694" i="34"/>
  <c r="BF694" i="34"/>
  <c r="BE694" i="34"/>
  <c r="BD694" i="34"/>
  <c r="BC694" i="34"/>
  <c r="AZ694" i="34"/>
  <c r="AY694" i="34"/>
  <c r="AX694" i="34"/>
  <c r="AW694" i="34"/>
  <c r="AV694" i="34"/>
  <c r="AU694" i="34"/>
  <c r="AT694" i="34"/>
  <c r="BY693" i="34"/>
  <c r="BX693" i="34"/>
  <c r="BW693" i="34"/>
  <c r="BV693" i="34"/>
  <c r="BU693" i="34"/>
  <c r="BT693" i="34"/>
  <c r="BS693" i="34"/>
  <c r="BR693" i="34"/>
  <c r="BQ693" i="34"/>
  <c r="BP693" i="34"/>
  <c r="BO693" i="34"/>
  <c r="BN693" i="34"/>
  <c r="BM693" i="34"/>
  <c r="BL693" i="34"/>
  <c r="BK693" i="34"/>
  <c r="BJ693" i="34"/>
  <c r="BI693" i="34"/>
  <c r="BH693" i="34"/>
  <c r="BG693" i="34"/>
  <c r="BF693" i="34"/>
  <c r="BE693" i="34"/>
  <c r="BD693" i="34"/>
  <c r="BC693" i="34"/>
  <c r="AZ693" i="34"/>
  <c r="AY693" i="34"/>
  <c r="AX693" i="34"/>
  <c r="AW693" i="34"/>
  <c r="AV693" i="34"/>
  <c r="AU693" i="34"/>
  <c r="AT693" i="34"/>
  <c r="AS723" i="34"/>
  <c r="AR723" i="34"/>
  <c r="AQ723" i="34"/>
  <c r="AP723" i="34"/>
  <c r="AO723" i="34"/>
  <c r="AN723" i="34"/>
  <c r="AM723" i="34"/>
  <c r="AL723" i="34"/>
  <c r="AK723" i="34"/>
  <c r="AJ723" i="34"/>
  <c r="AI723" i="34"/>
  <c r="AH723" i="34"/>
  <c r="AG723" i="34"/>
  <c r="AF723" i="34"/>
  <c r="AE723" i="34"/>
  <c r="AD723" i="34"/>
  <c r="AC723" i="34"/>
  <c r="AB723" i="34"/>
  <c r="AA723" i="34"/>
  <c r="Z723" i="34"/>
  <c r="Y723" i="34"/>
  <c r="X723" i="34"/>
  <c r="W723" i="34"/>
  <c r="V723" i="34"/>
  <c r="U723" i="34"/>
  <c r="T723" i="34"/>
  <c r="S723" i="34"/>
  <c r="R723" i="34"/>
  <c r="Q723" i="34"/>
  <c r="P723" i="34"/>
  <c r="O723" i="34"/>
  <c r="N723" i="34"/>
  <c r="M723" i="34"/>
  <c r="L723" i="34"/>
  <c r="K723" i="34"/>
  <c r="J723" i="34"/>
  <c r="I723" i="34"/>
  <c r="Z722" i="34"/>
  <c r="Y722" i="34"/>
  <c r="X722" i="34"/>
  <c r="W722" i="34"/>
  <c r="V722" i="34"/>
  <c r="U722" i="34"/>
  <c r="T722" i="34"/>
  <c r="S722" i="34"/>
  <c r="R722" i="34"/>
  <c r="Q722" i="34"/>
  <c r="P722" i="34"/>
  <c r="O722" i="34"/>
  <c r="N722" i="34"/>
  <c r="M722" i="34"/>
  <c r="L722" i="34"/>
  <c r="K722" i="34"/>
  <c r="J722" i="34"/>
  <c r="I722" i="34"/>
  <c r="AC721" i="34"/>
  <c r="AB721" i="34"/>
  <c r="AA721" i="34"/>
  <c r="Z721" i="34"/>
  <c r="Y721" i="34"/>
  <c r="X721" i="34"/>
  <c r="W721" i="34"/>
  <c r="V721" i="34"/>
  <c r="U721" i="34"/>
  <c r="T721" i="34"/>
  <c r="S721" i="34"/>
  <c r="R721" i="34"/>
  <c r="Q721" i="34"/>
  <c r="P721" i="34"/>
  <c r="O721" i="34"/>
  <c r="N721" i="34"/>
  <c r="M721" i="34"/>
  <c r="L721" i="34"/>
  <c r="K721" i="34"/>
  <c r="J721" i="34"/>
  <c r="I721" i="34"/>
  <c r="AS720" i="34"/>
  <c r="AR720" i="34"/>
  <c r="AQ720" i="34"/>
  <c r="AP720" i="34"/>
  <c r="AF720" i="34"/>
  <c r="AE720" i="34"/>
  <c r="AD720" i="34"/>
  <c r="AC720" i="34"/>
  <c r="AB720" i="34"/>
  <c r="AA720" i="34"/>
  <c r="Z720" i="34"/>
  <c r="Y720" i="34"/>
  <c r="X720" i="34"/>
  <c r="W720" i="34"/>
  <c r="V720" i="34"/>
  <c r="U720" i="34"/>
  <c r="T720" i="34"/>
  <c r="S720" i="34"/>
  <c r="R720" i="34"/>
  <c r="Q720" i="34"/>
  <c r="P720" i="34"/>
  <c r="O720" i="34"/>
  <c r="N720" i="34"/>
  <c r="M720" i="34"/>
  <c r="L720" i="34"/>
  <c r="K720" i="34"/>
  <c r="J720" i="34"/>
  <c r="I720" i="34"/>
  <c r="Y719" i="34"/>
  <c r="X719" i="34"/>
  <c r="W719" i="34"/>
  <c r="V719" i="34"/>
  <c r="U719" i="34"/>
  <c r="T719" i="34"/>
  <c r="S719" i="34"/>
  <c r="R719" i="34"/>
  <c r="Q719" i="34"/>
  <c r="P719" i="34"/>
  <c r="O719" i="34"/>
  <c r="N719" i="34"/>
  <c r="M719" i="34"/>
  <c r="L719" i="34"/>
  <c r="K719" i="34"/>
  <c r="J719" i="34"/>
  <c r="I719" i="34"/>
  <c r="Y718" i="34"/>
  <c r="X718" i="34"/>
  <c r="W718" i="34"/>
  <c r="V718" i="34"/>
  <c r="U718" i="34"/>
  <c r="T718" i="34"/>
  <c r="S718" i="34"/>
  <c r="R718" i="34"/>
  <c r="Q718" i="34"/>
  <c r="P718" i="34"/>
  <c r="O718" i="34"/>
  <c r="N718" i="34"/>
  <c r="M718" i="34"/>
  <c r="L718" i="34"/>
  <c r="K718" i="34"/>
  <c r="J718" i="34"/>
  <c r="I718" i="34"/>
  <c r="AI717" i="34"/>
  <c r="AH717" i="34"/>
  <c r="AG717" i="34"/>
  <c r="X717" i="34"/>
  <c r="W717" i="34"/>
  <c r="V717" i="34"/>
  <c r="U717" i="34"/>
  <c r="T717" i="34"/>
  <c r="S717" i="34"/>
  <c r="R717" i="34"/>
  <c r="Q717" i="34"/>
  <c r="P717" i="34"/>
  <c r="O717" i="34"/>
  <c r="N717" i="34"/>
  <c r="M717" i="34"/>
  <c r="L717" i="34"/>
  <c r="K717" i="34"/>
  <c r="J717" i="34"/>
  <c r="I717" i="34"/>
  <c r="AS716" i="34"/>
  <c r="AR716" i="34"/>
  <c r="AQ716" i="34"/>
  <c r="AP716" i="34"/>
  <c r="AO716" i="34"/>
  <c r="AN716" i="34"/>
  <c r="AM716" i="34"/>
  <c r="AL716" i="34"/>
  <c r="AK716" i="34"/>
  <c r="AJ716" i="34"/>
  <c r="AI716" i="34"/>
  <c r="AH716" i="34"/>
  <c r="AG716" i="34"/>
  <c r="AF716" i="34"/>
  <c r="AE716" i="34"/>
  <c r="AD716" i="34"/>
  <c r="AC716" i="34"/>
  <c r="AB716" i="34"/>
  <c r="AA716" i="34"/>
  <c r="Z716" i="34"/>
  <c r="Y716" i="34"/>
  <c r="X716" i="34"/>
  <c r="W716" i="34"/>
  <c r="V716" i="34"/>
  <c r="U716" i="34"/>
  <c r="T716" i="34"/>
  <c r="S716" i="34"/>
  <c r="R716" i="34"/>
  <c r="Q716" i="34"/>
  <c r="P716" i="34"/>
  <c r="O716" i="34"/>
  <c r="N716" i="34"/>
  <c r="M716" i="34"/>
  <c r="L716" i="34"/>
  <c r="K716" i="34"/>
  <c r="J716" i="34"/>
  <c r="I716" i="34"/>
  <c r="AS715" i="34"/>
  <c r="AR715" i="34"/>
  <c r="AQ715" i="34"/>
  <c r="AP715" i="34"/>
  <c r="AO715" i="34"/>
  <c r="AN715" i="34"/>
  <c r="AM715" i="34"/>
  <c r="AL715" i="34"/>
  <c r="AK715" i="34"/>
  <c r="AJ715" i="34"/>
  <c r="AI715" i="34"/>
  <c r="AH715" i="34"/>
  <c r="AG715" i="34"/>
  <c r="AF715" i="34"/>
  <c r="AE715" i="34"/>
  <c r="AD715" i="34"/>
  <c r="AC715" i="34"/>
  <c r="AB715" i="34"/>
  <c r="AA715" i="34"/>
  <c r="Z715" i="34"/>
  <c r="Y715" i="34"/>
  <c r="X715" i="34"/>
  <c r="W715" i="34"/>
  <c r="V715" i="34"/>
  <c r="U715" i="34"/>
  <c r="T715" i="34"/>
  <c r="S715" i="34"/>
  <c r="R715" i="34"/>
  <c r="Q715" i="34"/>
  <c r="P715" i="34"/>
  <c r="O715" i="34"/>
  <c r="N715" i="34"/>
  <c r="M715" i="34"/>
  <c r="L715" i="34"/>
  <c r="K715" i="34"/>
  <c r="J715" i="34"/>
  <c r="I715" i="34"/>
  <c r="Z714" i="34"/>
  <c r="Y714" i="34"/>
  <c r="X714" i="34"/>
  <c r="W714" i="34"/>
  <c r="V714" i="34"/>
  <c r="U714" i="34"/>
  <c r="T714" i="34"/>
  <c r="S714" i="34"/>
  <c r="R714" i="34"/>
  <c r="Q714" i="34"/>
  <c r="P714" i="34"/>
  <c r="O714" i="34"/>
  <c r="N714" i="34"/>
  <c r="M714" i="34"/>
  <c r="L714" i="34"/>
  <c r="K714" i="34"/>
  <c r="J714" i="34"/>
  <c r="I714" i="34"/>
  <c r="X713" i="34"/>
  <c r="W713" i="34"/>
  <c r="V713" i="34"/>
  <c r="U713" i="34"/>
  <c r="T713" i="34"/>
  <c r="S713" i="34"/>
  <c r="R713" i="34"/>
  <c r="Q713" i="34"/>
  <c r="P713" i="34"/>
  <c r="O713" i="34"/>
  <c r="N713" i="34"/>
  <c r="M713" i="34"/>
  <c r="L713" i="34"/>
  <c r="K713" i="34"/>
  <c r="J713" i="34"/>
  <c r="I713" i="34"/>
  <c r="Y712" i="34"/>
  <c r="X712" i="34"/>
  <c r="W712" i="34"/>
  <c r="V712" i="34"/>
  <c r="U712" i="34"/>
  <c r="T712" i="34"/>
  <c r="S712" i="34"/>
  <c r="R712" i="34"/>
  <c r="Q712" i="34"/>
  <c r="P712" i="34"/>
  <c r="O712" i="34"/>
  <c r="N712" i="34"/>
  <c r="M712" i="34"/>
  <c r="L712" i="34"/>
  <c r="K712" i="34"/>
  <c r="J712" i="34"/>
  <c r="I712" i="34"/>
  <c r="Y711" i="34"/>
  <c r="X711" i="34"/>
  <c r="W711" i="34"/>
  <c r="V711" i="34"/>
  <c r="U711" i="34"/>
  <c r="T711" i="34"/>
  <c r="S711" i="34"/>
  <c r="R711" i="34"/>
  <c r="Q711" i="34"/>
  <c r="P711" i="34"/>
  <c r="O711" i="34"/>
  <c r="N711" i="34"/>
  <c r="M711" i="34"/>
  <c r="L711" i="34"/>
  <c r="K711" i="34"/>
  <c r="J711" i="34"/>
  <c r="I711" i="34"/>
  <c r="Y710" i="34"/>
  <c r="X710" i="34"/>
  <c r="W710" i="34"/>
  <c r="V710" i="34"/>
  <c r="U710" i="34"/>
  <c r="T710" i="34"/>
  <c r="S710" i="34"/>
  <c r="R710" i="34"/>
  <c r="Q710" i="34"/>
  <c r="P710" i="34"/>
  <c r="O710" i="34"/>
  <c r="N710" i="34"/>
  <c r="M710" i="34"/>
  <c r="L710" i="34"/>
  <c r="K710" i="34"/>
  <c r="J710" i="34"/>
  <c r="I710" i="34"/>
  <c r="X709" i="34"/>
  <c r="W709" i="34"/>
  <c r="V709" i="34"/>
  <c r="U709" i="34"/>
  <c r="T709" i="34"/>
  <c r="S709" i="34"/>
  <c r="R709" i="34"/>
  <c r="Q709" i="34"/>
  <c r="P709" i="34"/>
  <c r="O709" i="34"/>
  <c r="N709" i="34"/>
  <c r="M709" i="34"/>
  <c r="L709" i="34"/>
  <c r="K709" i="34"/>
  <c r="J709" i="34"/>
  <c r="I709" i="34"/>
  <c r="AS708" i="34"/>
  <c r="AR708" i="34"/>
  <c r="AQ708" i="34"/>
  <c r="AP708" i="34"/>
  <c r="AO708" i="34"/>
  <c r="AN708" i="34"/>
  <c r="AM708" i="34"/>
  <c r="AL708" i="34"/>
  <c r="AK708" i="34"/>
  <c r="AJ708" i="34"/>
  <c r="AI708" i="34"/>
  <c r="AH708" i="34"/>
  <c r="AG708" i="34"/>
  <c r="AF708" i="34"/>
  <c r="AE708" i="34"/>
  <c r="AD708" i="34"/>
  <c r="AC708" i="34"/>
  <c r="AB708" i="34"/>
  <c r="AA708" i="34"/>
  <c r="Z708" i="34"/>
  <c r="Y708" i="34"/>
  <c r="X708" i="34"/>
  <c r="W708" i="34"/>
  <c r="V708" i="34"/>
  <c r="U708" i="34"/>
  <c r="T708" i="34"/>
  <c r="S708" i="34"/>
  <c r="R708" i="34"/>
  <c r="Q708" i="34"/>
  <c r="P708" i="34"/>
  <c r="O708" i="34"/>
  <c r="N708" i="34"/>
  <c r="M708" i="34"/>
  <c r="L708" i="34"/>
  <c r="K708" i="34"/>
  <c r="J708" i="34"/>
  <c r="I708" i="34"/>
  <c r="AS707" i="34"/>
  <c r="AR707" i="34"/>
  <c r="AQ707" i="34"/>
  <c r="AP707" i="34"/>
  <c r="AO707" i="34"/>
  <c r="AN707" i="34"/>
  <c r="AM707" i="34"/>
  <c r="AL707" i="34"/>
  <c r="AK707" i="34"/>
  <c r="AJ707" i="34"/>
  <c r="AI707" i="34"/>
  <c r="AH707" i="34"/>
  <c r="AG707" i="34"/>
  <c r="AF707" i="34"/>
  <c r="AE707" i="34"/>
  <c r="AD707" i="34"/>
  <c r="AC707" i="34"/>
  <c r="AB707" i="34"/>
  <c r="AA707" i="34"/>
  <c r="Z707" i="34"/>
  <c r="Y707" i="34"/>
  <c r="X707" i="34"/>
  <c r="W707" i="34"/>
  <c r="V707" i="34"/>
  <c r="U707" i="34"/>
  <c r="T707" i="34"/>
  <c r="S707" i="34"/>
  <c r="R707" i="34"/>
  <c r="Q707" i="34"/>
  <c r="P707" i="34"/>
  <c r="O707" i="34"/>
  <c r="N707" i="34"/>
  <c r="M707" i="34"/>
  <c r="L707" i="34"/>
  <c r="K707" i="34"/>
  <c r="J707" i="34"/>
  <c r="I707" i="34"/>
  <c r="AS706" i="34"/>
  <c r="AR706" i="34"/>
  <c r="AQ706" i="34"/>
  <c r="AP706" i="34"/>
  <c r="AO706" i="34"/>
  <c r="AN706" i="34"/>
  <c r="AM706" i="34"/>
  <c r="AL706" i="34"/>
  <c r="AK706" i="34"/>
  <c r="AJ706" i="34"/>
  <c r="AI706" i="34"/>
  <c r="AH706" i="34"/>
  <c r="AG706" i="34"/>
  <c r="AF706" i="34"/>
  <c r="AE706" i="34"/>
  <c r="AD706" i="34"/>
  <c r="AC706" i="34"/>
  <c r="AB706" i="34"/>
  <c r="AA706" i="34"/>
  <c r="Z706" i="34"/>
  <c r="Y706" i="34"/>
  <c r="X706" i="34"/>
  <c r="W706" i="34"/>
  <c r="V706" i="34"/>
  <c r="U706" i="34"/>
  <c r="T706" i="34"/>
  <c r="S706" i="34"/>
  <c r="R706" i="34"/>
  <c r="Q706" i="34"/>
  <c r="P706" i="34"/>
  <c r="O706" i="34"/>
  <c r="N706" i="34"/>
  <c r="M706" i="34"/>
  <c r="L706" i="34"/>
  <c r="K706" i="34"/>
  <c r="J706" i="34"/>
  <c r="I706" i="34"/>
  <c r="AS705" i="34"/>
  <c r="AR705" i="34"/>
  <c r="AQ705" i="34"/>
  <c r="AP705" i="34"/>
  <c r="AO705" i="34"/>
  <c r="AN705" i="34"/>
  <c r="AM705" i="34"/>
  <c r="AL705" i="34"/>
  <c r="AK705" i="34"/>
  <c r="AJ705" i="34"/>
  <c r="AI705" i="34"/>
  <c r="AH705" i="34"/>
  <c r="AG705" i="34"/>
  <c r="AF705" i="34"/>
  <c r="AE705" i="34"/>
  <c r="AD705" i="34"/>
  <c r="AC705" i="34"/>
  <c r="AB705" i="34"/>
  <c r="AA705" i="34"/>
  <c r="Z705" i="34"/>
  <c r="Y705" i="34"/>
  <c r="X705" i="34"/>
  <c r="W705" i="34"/>
  <c r="V705" i="34"/>
  <c r="U705" i="34"/>
  <c r="T705" i="34"/>
  <c r="S705" i="34"/>
  <c r="R705" i="34"/>
  <c r="Q705" i="34"/>
  <c r="P705" i="34"/>
  <c r="O705" i="34"/>
  <c r="N705" i="34"/>
  <c r="M705" i="34"/>
  <c r="L705" i="34"/>
  <c r="K705" i="34"/>
  <c r="J705" i="34"/>
  <c r="I705" i="34"/>
  <c r="AF704" i="34"/>
  <c r="AC704" i="34"/>
  <c r="AB704" i="34"/>
  <c r="AA704" i="34"/>
  <c r="Z704" i="34"/>
  <c r="Y704" i="34"/>
  <c r="X704" i="34"/>
  <c r="W704" i="34"/>
  <c r="V704" i="34"/>
  <c r="U704" i="34"/>
  <c r="T704" i="34"/>
  <c r="S704" i="34"/>
  <c r="R704" i="34"/>
  <c r="Q704" i="34"/>
  <c r="P704" i="34"/>
  <c r="O704" i="34"/>
  <c r="N704" i="34"/>
  <c r="M704" i="34"/>
  <c r="L704" i="34"/>
  <c r="K704" i="34"/>
  <c r="J704" i="34"/>
  <c r="I704" i="34"/>
  <c r="AF703" i="34"/>
  <c r="AE703" i="34"/>
  <c r="AD703" i="34"/>
  <c r="AC703" i="34"/>
  <c r="AB703" i="34"/>
  <c r="AA703" i="34"/>
  <c r="Z703" i="34"/>
  <c r="Y703" i="34"/>
  <c r="X703" i="34"/>
  <c r="W703" i="34"/>
  <c r="V703" i="34"/>
  <c r="U703" i="34"/>
  <c r="T703" i="34"/>
  <c r="S703" i="34"/>
  <c r="R703" i="34"/>
  <c r="Q703" i="34"/>
  <c r="P703" i="34"/>
  <c r="O703" i="34"/>
  <c r="N703" i="34"/>
  <c r="M703" i="34"/>
  <c r="L703" i="34"/>
  <c r="K703" i="34"/>
  <c r="J703" i="34"/>
  <c r="I703" i="34"/>
  <c r="AF702" i="34"/>
  <c r="AE702" i="34"/>
  <c r="AD702" i="34"/>
  <c r="AC702" i="34"/>
  <c r="AB702" i="34"/>
  <c r="AA702" i="34"/>
  <c r="Z702" i="34"/>
  <c r="Y702" i="34"/>
  <c r="X702" i="34"/>
  <c r="W702" i="34"/>
  <c r="V702" i="34"/>
  <c r="U702" i="34"/>
  <c r="T702" i="34"/>
  <c r="S702" i="34"/>
  <c r="R702" i="34"/>
  <c r="Q702" i="34"/>
  <c r="P702" i="34"/>
  <c r="O702" i="34"/>
  <c r="N702" i="34"/>
  <c r="M702" i="34"/>
  <c r="L702" i="34"/>
  <c r="K702" i="34"/>
  <c r="J702" i="34"/>
  <c r="I702" i="34"/>
  <c r="M700" i="34"/>
  <c r="L700" i="34"/>
  <c r="K700" i="34"/>
  <c r="J700" i="34"/>
  <c r="I700" i="34"/>
  <c r="M699" i="34"/>
  <c r="L699" i="34"/>
  <c r="K699" i="34"/>
  <c r="J699" i="34"/>
  <c r="I699" i="34"/>
  <c r="L698" i="34"/>
  <c r="K698" i="34"/>
  <c r="J698" i="34"/>
  <c r="I698" i="34"/>
  <c r="AS697" i="34"/>
  <c r="AR697" i="34"/>
  <c r="AQ697" i="34"/>
  <c r="AP697" i="34"/>
  <c r="AO697" i="34"/>
  <c r="AN697" i="34"/>
  <c r="AM697" i="34"/>
  <c r="AL697" i="34"/>
  <c r="AK697" i="34"/>
  <c r="AJ697" i="34"/>
  <c r="AI697" i="34"/>
  <c r="AH697" i="34"/>
  <c r="AG697" i="34"/>
  <c r="AF697" i="34"/>
  <c r="AE697" i="34"/>
  <c r="AD697" i="34"/>
  <c r="AC697" i="34"/>
  <c r="AB697" i="34"/>
  <c r="AA697" i="34"/>
  <c r="Z697" i="34"/>
  <c r="Y697" i="34"/>
  <c r="X697" i="34"/>
  <c r="W697" i="34"/>
  <c r="V697" i="34"/>
  <c r="U697" i="34"/>
  <c r="T697" i="34"/>
  <c r="S697" i="34"/>
  <c r="R697" i="34"/>
  <c r="Q697" i="34"/>
  <c r="P697" i="34"/>
  <c r="O697" i="34"/>
  <c r="N697" i="34"/>
  <c r="M697" i="34"/>
  <c r="L697" i="34"/>
  <c r="K697" i="34"/>
  <c r="J697" i="34"/>
  <c r="I697" i="34"/>
  <c r="AS696" i="34"/>
  <c r="AR696" i="34"/>
  <c r="AQ696" i="34"/>
  <c r="AP696" i="34"/>
  <c r="AO696" i="34"/>
  <c r="AN696" i="34"/>
  <c r="AM696" i="34"/>
  <c r="AL696" i="34"/>
  <c r="AK696" i="34"/>
  <c r="AJ696" i="34"/>
  <c r="AI696" i="34"/>
  <c r="AH696" i="34"/>
  <c r="AG696" i="34"/>
  <c r="AF696" i="34"/>
  <c r="AE696" i="34"/>
  <c r="AD696" i="34"/>
  <c r="AC696" i="34"/>
  <c r="AB696" i="34"/>
  <c r="AA696" i="34"/>
  <c r="Z696" i="34"/>
  <c r="Y696" i="34"/>
  <c r="X696" i="34"/>
  <c r="W696" i="34"/>
  <c r="V696" i="34"/>
  <c r="U696" i="34"/>
  <c r="T696" i="34"/>
  <c r="S696" i="34"/>
  <c r="R696" i="34"/>
  <c r="Q696" i="34"/>
  <c r="P696" i="34"/>
  <c r="O696" i="34"/>
  <c r="N696" i="34"/>
  <c r="M696" i="34"/>
  <c r="L696" i="34"/>
  <c r="K696" i="34"/>
  <c r="J696" i="34"/>
  <c r="I696" i="34"/>
  <c r="AS695" i="34"/>
  <c r="AR695" i="34"/>
  <c r="AQ695" i="34"/>
  <c r="AP695" i="34"/>
  <c r="AO695" i="34"/>
  <c r="AN695" i="34"/>
  <c r="AM695" i="34"/>
  <c r="AL695" i="34"/>
  <c r="AK695" i="34"/>
  <c r="AJ695" i="34"/>
  <c r="AI695" i="34"/>
  <c r="AH695" i="34"/>
  <c r="AG695" i="34"/>
  <c r="AF695" i="34"/>
  <c r="AE695" i="34"/>
  <c r="AD695" i="34"/>
  <c r="AC695" i="34"/>
  <c r="AB695" i="34"/>
  <c r="AA695" i="34"/>
  <c r="Z695" i="34"/>
  <c r="Y695" i="34"/>
  <c r="X695" i="34"/>
  <c r="W695" i="34"/>
  <c r="V695" i="34"/>
  <c r="U695" i="34"/>
  <c r="T695" i="34"/>
  <c r="S695" i="34"/>
  <c r="R695" i="34"/>
  <c r="Q695" i="34"/>
  <c r="P695" i="34"/>
  <c r="O695" i="34"/>
  <c r="N695" i="34"/>
  <c r="M695" i="34"/>
  <c r="L695" i="34"/>
  <c r="K695" i="34"/>
  <c r="J695" i="34"/>
  <c r="I695" i="34"/>
  <c r="AS694" i="34"/>
  <c r="AR694" i="34"/>
  <c r="AQ694" i="34"/>
  <c r="AP694" i="34"/>
  <c r="AO694" i="34"/>
  <c r="AN694" i="34"/>
  <c r="AM694" i="34"/>
  <c r="AL694" i="34"/>
  <c r="AK694" i="34"/>
  <c r="AJ694" i="34"/>
  <c r="AI694" i="34"/>
  <c r="AH694" i="34"/>
  <c r="AG694" i="34"/>
  <c r="AF694" i="34"/>
  <c r="AE694" i="34"/>
  <c r="AD694" i="34"/>
  <c r="AC694" i="34"/>
  <c r="AB694" i="34"/>
  <c r="AA694" i="34"/>
  <c r="Z694" i="34"/>
  <c r="Y694" i="34"/>
  <c r="X694" i="34"/>
  <c r="W694" i="34"/>
  <c r="V694" i="34"/>
  <c r="U694" i="34"/>
  <c r="T694" i="34"/>
  <c r="S694" i="34"/>
  <c r="R694" i="34"/>
  <c r="Q694" i="34"/>
  <c r="P694" i="34"/>
  <c r="O694" i="34"/>
  <c r="N694" i="34"/>
  <c r="M694" i="34"/>
  <c r="L694" i="34"/>
  <c r="K694" i="34"/>
  <c r="J694" i="34"/>
  <c r="I694" i="34"/>
  <c r="AS693" i="34"/>
  <c r="AR693" i="34"/>
  <c r="AQ693" i="34"/>
  <c r="AP693" i="34"/>
  <c r="AO693" i="34"/>
  <c r="AN693" i="34"/>
  <c r="AM693" i="34"/>
  <c r="AL693" i="34"/>
  <c r="AK693" i="34"/>
  <c r="AJ693" i="34"/>
  <c r="AI693" i="34"/>
  <c r="AH693" i="34"/>
  <c r="AG693" i="34"/>
  <c r="AF693" i="34"/>
  <c r="AE693" i="34"/>
  <c r="AD693" i="34"/>
  <c r="AC693" i="34"/>
  <c r="AB693" i="34"/>
  <c r="AA693" i="34"/>
  <c r="Z693" i="34"/>
  <c r="Y693" i="34"/>
  <c r="X693" i="34"/>
  <c r="W693" i="34"/>
  <c r="V693" i="34"/>
  <c r="U693" i="34"/>
  <c r="T693" i="34"/>
  <c r="S693" i="34"/>
  <c r="R693" i="34"/>
  <c r="Q693" i="34"/>
  <c r="P693" i="34"/>
  <c r="O693" i="34"/>
  <c r="N693" i="34"/>
  <c r="M693" i="34"/>
  <c r="L693" i="34"/>
  <c r="K693" i="34"/>
  <c r="J693" i="34"/>
  <c r="I693" i="34"/>
  <c r="I692" i="34"/>
  <c r="I691" i="34"/>
  <c r="I690" i="34"/>
  <c r="I689" i="34"/>
  <c r="AZ692" i="34"/>
  <c r="AY692" i="34"/>
  <c r="AX692" i="34"/>
  <c r="AW692" i="34"/>
  <c r="AV692" i="34"/>
  <c r="AU692" i="34"/>
  <c r="AT692" i="34"/>
  <c r="AS692" i="34"/>
  <c r="AR692" i="34"/>
  <c r="AQ692" i="34"/>
  <c r="AP692" i="34"/>
  <c r="AO692" i="34"/>
  <c r="AN692" i="34"/>
  <c r="AM692" i="34"/>
  <c r="AL692" i="34"/>
  <c r="AZ691" i="34"/>
  <c r="AY691" i="34"/>
  <c r="AX691" i="34"/>
  <c r="AW691" i="34"/>
  <c r="AV691" i="34"/>
  <c r="AU691" i="34"/>
  <c r="AT691" i="34"/>
  <c r="AS691" i="34"/>
  <c r="AR691" i="34"/>
  <c r="AQ691" i="34"/>
  <c r="AP691" i="34"/>
  <c r="AO691" i="34"/>
  <c r="AN691" i="34"/>
  <c r="AM691" i="34"/>
  <c r="AL691" i="34"/>
  <c r="AP690" i="34"/>
  <c r="AO690" i="34"/>
  <c r="AN690" i="34"/>
  <c r="AM690" i="34"/>
  <c r="AL690" i="34"/>
  <c r="AP689" i="34"/>
  <c r="AO689" i="34"/>
  <c r="AN689" i="34"/>
  <c r="AM689" i="34"/>
  <c r="AL689" i="34"/>
  <c r="AJ692" i="34"/>
  <c r="AI692" i="34"/>
  <c r="AH692" i="34"/>
  <c r="AG692" i="34"/>
  <c r="AF692" i="34"/>
  <c r="AE692" i="34"/>
  <c r="AD692" i="34"/>
  <c r="AC692" i="34"/>
  <c r="AB692" i="34"/>
  <c r="AA692" i="34"/>
  <c r="Z692" i="34"/>
  <c r="Y692" i="34"/>
  <c r="X692" i="34"/>
  <c r="W692" i="34"/>
  <c r="V692" i="34"/>
  <c r="U692" i="34"/>
  <c r="T692" i="34"/>
  <c r="S692" i="34"/>
  <c r="R692" i="34"/>
  <c r="Q692" i="34"/>
  <c r="P692" i="34"/>
  <c r="O692" i="34"/>
  <c r="N692" i="34"/>
  <c r="M692" i="34"/>
  <c r="P691" i="34"/>
  <c r="O691" i="34"/>
  <c r="N691" i="34"/>
  <c r="M691" i="34"/>
  <c r="P690" i="34"/>
  <c r="O690" i="34"/>
  <c r="N690" i="34"/>
  <c r="M690" i="34"/>
  <c r="P689" i="34"/>
  <c r="O689" i="34"/>
  <c r="N689" i="34"/>
  <c r="M689" i="34"/>
  <c r="I686" i="34"/>
  <c r="I685" i="34"/>
  <c r="I684" i="34"/>
  <c r="I683" i="34"/>
  <c r="I682" i="34"/>
  <c r="I681" i="34"/>
  <c r="I680" i="34"/>
  <c r="I679" i="34"/>
  <c r="I678" i="34"/>
  <c r="I677" i="34"/>
  <c r="I676" i="34"/>
  <c r="I675" i="34"/>
  <c r="I674" i="34"/>
  <c r="I673" i="34"/>
  <c r="I672" i="34"/>
  <c r="I671" i="34"/>
  <c r="I670" i="34"/>
  <c r="I669" i="34"/>
  <c r="I668" i="34"/>
  <c r="I667" i="34"/>
  <c r="I666" i="34"/>
  <c r="I665" i="34"/>
  <c r="I664" i="34"/>
  <c r="I663" i="34"/>
  <c r="I662" i="34"/>
  <c r="I661" i="34"/>
  <c r="I660" i="34"/>
  <c r="I659" i="34"/>
  <c r="I658" i="34"/>
  <c r="I657" i="34"/>
  <c r="I656" i="34"/>
  <c r="I655" i="34"/>
  <c r="I654" i="34"/>
  <c r="I653" i="34"/>
  <c r="I652" i="34"/>
  <c r="I651" i="34"/>
  <c r="I650" i="34"/>
  <c r="I649" i="34"/>
  <c r="I648" i="34"/>
  <c r="I647" i="34"/>
  <c r="I646" i="34"/>
  <c r="I645" i="34"/>
  <c r="I644" i="34"/>
  <c r="I643" i="34"/>
  <c r="I642" i="34"/>
  <c r="I641" i="34"/>
  <c r="I640" i="34"/>
  <c r="I639" i="34"/>
  <c r="I638" i="34"/>
  <c r="I637" i="34"/>
  <c r="I636" i="34"/>
  <c r="I635" i="34"/>
  <c r="I634" i="34"/>
  <c r="I633" i="34"/>
  <c r="I632" i="34"/>
  <c r="I631" i="34"/>
  <c r="I630" i="34"/>
  <c r="I629" i="34"/>
  <c r="I628" i="34"/>
  <c r="I627" i="34"/>
  <c r="I626" i="34"/>
  <c r="I625" i="34"/>
  <c r="AZ686" i="34"/>
  <c r="AY686" i="34"/>
  <c r="AX686" i="34"/>
  <c r="AW686" i="34"/>
  <c r="AV686" i="34"/>
  <c r="AU686" i="34"/>
  <c r="AT686" i="34"/>
  <c r="AS686" i="34"/>
  <c r="AR686" i="34"/>
  <c r="AQ686" i="34"/>
  <c r="AP686" i="34"/>
  <c r="AO686" i="34"/>
  <c r="AN686" i="34"/>
  <c r="AM686" i="34"/>
  <c r="AL686" i="34"/>
  <c r="AQ685" i="34"/>
  <c r="AP685" i="34"/>
  <c r="AO685" i="34"/>
  <c r="AN685" i="34"/>
  <c r="AM685" i="34"/>
  <c r="AL685" i="34"/>
  <c r="AQ684" i="34"/>
  <c r="AP684" i="34"/>
  <c r="AO684" i="34"/>
  <c r="AN684" i="34"/>
  <c r="AM684" i="34"/>
  <c r="AL684" i="34"/>
  <c r="AP683" i="34"/>
  <c r="AO683" i="34"/>
  <c r="AN683" i="34"/>
  <c r="AM683" i="34"/>
  <c r="AL683" i="34"/>
  <c r="AZ682" i="34"/>
  <c r="AY682" i="34"/>
  <c r="AX682" i="34"/>
  <c r="AW682" i="34"/>
  <c r="AV682" i="34"/>
  <c r="AU682" i="34"/>
  <c r="AT682" i="34"/>
  <c r="AS682" i="34"/>
  <c r="AR682" i="34"/>
  <c r="AQ682" i="34"/>
  <c r="AP682" i="34"/>
  <c r="AO682" i="34"/>
  <c r="AN682" i="34"/>
  <c r="AM682" i="34"/>
  <c r="AL682" i="34"/>
  <c r="AZ681" i="34"/>
  <c r="AY681" i="34"/>
  <c r="AX681" i="34"/>
  <c r="AW681" i="34"/>
  <c r="AV681" i="34"/>
  <c r="AU681" i="34"/>
  <c r="AT681" i="34"/>
  <c r="AS681" i="34"/>
  <c r="AR681" i="34"/>
  <c r="AQ681" i="34"/>
  <c r="AP681" i="34"/>
  <c r="AO681" i="34"/>
  <c r="AN681" i="34"/>
  <c r="AM681" i="34"/>
  <c r="AL681" i="34"/>
  <c r="AZ675" i="34"/>
  <c r="AY675" i="34"/>
  <c r="AX675" i="34"/>
  <c r="AW675" i="34"/>
  <c r="AV675" i="34"/>
  <c r="AU675" i="34"/>
  <c r="AT675" i="34"/>
  <c r="AS675" i="34"/>
  <c r="AR675" i="34"/>
  <c r="AQ675" i="34"/>
  <c r="AP675" i="34"/>
  <c r="AO675" i="34"/>
  <c r="AN675" i="34"/>
  <c r="AM675" i="34"/>
  <c r="AL675" i="34"/>
  <c r="AZ674" i="34"/>
  <c r="AY674" i="34"/>
  <c r="AX674" i="34"/>
  <c r="AW674" i="34"/>
  <c r="AV674" i="34"/>
  <c r="AU674" i="34"/>
  <c r="AT674" i="34"/>
  <c r="AS674" i="34"/>
  <c r="AR674" i="34"/>
  <c r="AQ674" i="34"/>
  <c r="AP674" i="34"/>
  <c r="AO674" i="34"/>
  <c r="AN674" i="34"/>
  <c r="AM674" i="34"/>
  <c r="AL674" i="34"/>
  <c r="AO672" i="34"/>
  <c r="AN672" i="34"/>
  <c r="AM672" i="34"/>
  <c r="AL672" i="34"/>
  <c r="AO671" i="34"/>
  <c r="AN671" i="34"/>
  <c r="AM671" i="34"/>
  <c r="AL671" i="34"/>
  <c r="AO670" i="34"/>
  <c r="AN670" i="34"/>
  <c r="AM670" i="34"/>
  <c r="AL670" i="34"/>
  <c r="AO669" i="34"/>
  <c r="AN669" i="34"/>
  <c r="AM669" i="34"/>
  <c r="AL669" i="34"/>
  <c r="AO668" i="34"/>
  <c r="AN668" i="34"/>
  <c r="AM668" i="34"/>
  <c r="AL668" i="34"/>
  <c r="AZ667" i="34"/>
  <c r="AY667" i="34"/>
  <c r="AX667" i="34"/>
  <c r="AW667" i="34"/>
  <c r="AV667" i="34"/>
  <c r="AU667" i="34"/>
  <c r="AT667" i="34"/>
  <c r="AS667" i="34"/>
  <c r="AR667" i="34"/>
  <c r="AQ667" i="34"/>
  <c r="AP667" i="34"/>
  <c r="AO667" i="34"/>
  <c r="AN667" i="34"/>
  <c r="AM667" i="34"/>
  <c r="AL667" i="34"/>
  <c r="AZ666" i="34"/>
  <c r="AY666" i="34"/>
  <c r="AX666" i="34"/>
  <c r="AW666" i="34"/>
  <c r="AV666" i="34"/>
  <c r="AU666" i="34"/>
  <c r="AT666" i="34"/>
  <c r="AS666" i="34"/>
  <c r="AR666" i="34"/>
  <c r="AQ666" i="34"/>
  <c r="AP666" i="34"/>
  <c r="AO666" i="34"/>
  <c r="AN666" i="34"/>
  <c r="AM666" i="34"/>
  <c r="AL666" i="34"/>
  <c r="AO665" i="34"/>
  <c r="AN665" i="34"/>
  <c r="AM665" i="34"/>
  <c r="AL665" i="34"/>
  <c r="AO664" i="34"/>
  <c r="AN664" i="34"/>
  <c r="AM664" i="34"/>
  <c r="AL664" i="34"/>
  <c r="AO663" i="34"/>
  <c r="AN663" i="34"/>
  <c r="AM663" i="34"/>
  <c r="AL663" i="34"/>
  <c r="AO662" i="34"/>
  <c r="AN662" i="34"/>
  <c r="AM662" i="34"/>
  <c r="AL662" i="34"/>
  <c r="AO661" i="34"/>
  <c r="AN661" i="34"/>
  <c r="AM661" i="34"/>
  <c r="AL661" i="34"/>
  <c r="AO660" i="34"/>
  <c r="AN660" i="34"/>
  <c r="AM660" i="34"/>
  <c r="AL660" i="34"/>
  <c r="AZ658" i="34"/>
  <c r="AY658" i="34"/>
  <c r="AX658" i="34"/>
  <c r="AW658" i="34"/>
  <c r="AV658" i="34"/>
  <c r="AU658" i="34"/>
  <c r="AT658" i="34"/>
  <c r="AS658" i="34"/>
  <c r="AR658" i="34"/>
  <c r="AQ658" i="34"/>
  <c r="AP658" i="34"/>
  <c r="AO658" i="34"/>
  <c r="AN658" i="34"/>
  <c r="AM658" i="34"/>
  <c r="AL658" i="34"/>
  <c r="AZ657" i="34"/>
  <c r="AY657" i="34"/>
  <c r="AX657" i="34"/>
  <c r="AW657" i="34"/>
  <c r="AV657" i="34"/>
  <c r="AU657" i="34"/>
  <c r="AT657" i="34"/>
  <c r="AS657" i="34"/>
  <c r="AR657" i="34"/>
  <c r="AQ657" i="34"/>
  <c r="AP657" i="34"/>
  <c r="AO657" i="34"/>
  <c r="AN657" i="34"/>
  <c r="AM657" i="34"/>
  <c r="AL657" i="34"/>
  <c r="AZ656" i="34"/>
  <c r="AY656" i="34"/>
  <c r="AX656" i="34"/>
  <c r="AW656" i="34"/>
  <c r="AV656" i="34"/>
  <c r="AU656" i="34"/>
  <c r="AT656" i="34"/>
  <c r="AS656" i="34"/>
  <c r="AR656" i="34"/>
  <c r="AQ656" i="34"/>
  <c r="AP656" i="34"/>
  <c r="AO656" i="34"/>
  <c r="AN656" i="34"/>
  <c r="AM656" i="34"/>
  <c r="AL656" i="34"/>
  <c r="AZ655" i="34"/>
  <c r="AY655" i="34"/>
  <c r="AX655" i="34"/>
  <c r="AW655" i="34"/>
  <c r="AV655" i="34"/>
  <c r="AU655" i="34"/>
  <c r="AT655" i="34"/>
  <c r="AS655" i="34"/>
  <c r="AR655" i="34"/>
  <c r="AQ655" i="34"/>
  <c r="AP655" i="34"/>
  <c r="AO655" i="34"/>
  <c r="AN655" i="34"/>
  <c r="AM655" i="34"/>
  <c r="AL655" i="34"/>
  <c r="AZ654" i="34"/>
  <c r="AY654" i="34"/>
  <c r="AX654" i="34"/>
  <c r="AW654" i="34"/>
  <c r="AV654" i="34"/>
  <c r="AU654" i="34"/>
  <c r="AT654" i="34"/>
  <c r="AS654" i="34"/>
  <c r="AR654" i="34"/>
  <c r="AQ654" i="34"/>
  <c r="AP654" i="34"/>
  <c r="AO654" i="34"/>
  <c r="AN654" i="34"/>
  <c r="AM654" i="34"/>
  <c r="AL654" i="34"/>
  <c r="AZ653" i="34"/>
  <c r="AY653" i="34"/>
  <c r="AX653" i="34"/>
  <c r="AW653" i="34"/>
  <c r="AV653" i="34"/>
  <c r="AU653" i="34"/>
  <c r="AT653" i="34"/>
  <c r="AS653" i="34"/>
  <c r="AR653" i="34"/>
  <c r="AQ653" i="34"/>
  <c r="AP653" i="34"/>
  <c r="AO653" i="34"/>
  <c r="AN653" i="34"/>
  <c r="AM653" i="34"/>
  <c r="AL653" i="34"/>
  <c r="AM652" i="34"/>
  <c r="AL652" i="34"/>
  <c r="AZ651" i="34"/>
  <c r="AY651" i="34"/>
  <c r="AX651" i="34"/>
  <c r="AW651" i="34"/>
  <c r="AV651" i="34"/>
  <c r="AU651" i="34"/>
  <c r="AT651" i="34"/>
  <c r="AS651" i="34"/>
  <c r="AR651" i="34"/>
  <c r="AQ651" i="34"/>
  <c r="AP651" i="34"/>
  <c r="AO651" i="34"/>
  <c r="AN651" i="34"/>
  <c r="AM651" i="34"/>
  <c r="AL651" i="34"/>
  <c r="AM650" i="34"/>
  <c r="AL650" i="34"/>
  <c r="AZ649" i="34"/>
  <c r="AY649" i="34"/>
  <c r="AX649" i="34"/>
  <c r="AW649" i="34"/>
  <c r="AV649" i="34"/>
  <c r="AU649" i="34"/>
  <c r="AT649" i="34"/>
  <c r="AS649" i="34"/>
  <c r="AR649" i="34"/>
  <c r="AQ649" i="34"/>
  <c r="AP649" i="34"/>
  <c r="AO649" i="34"/>
  <c r="AN649" i="34"/>
  <c r="AM649" i="34"/>
  <c r="AL649" i="34"/>
  <c r="AL648" i="34"/>
  <c r="AL647" i="34"/>
  <c r="AL646" i="34"/>
  <c r="AZ644" i="34"/>
  <c r="AY644" i="34"/>
  <c r="AX644" i="34"/>
  <c r="AW644" i="34"/>
  <c r="AV644" i="34"/>
  <c r="AU644" i="34"/>
  <c r="AT644" i="34"/>
  <c r="AS644" i="34"/>
  <c r="AR644" i="34"/>
  <c r="AQ644" i="34"/>
  <c r="AP644" i="34"/>
  <c r="AO644" i="34"/>
  <c r="AN644" i="34"/>
  <c r="AM644" i="34"/>
  <c r="AL644" i="34"/>
  <c r="AZ643" i="34"/>
  <c r="AY643" i="34"/>
  <c r="AX643" i="34"/>
  <c r="AW643" i="34"/>
  <c r="AV643" i="34"/>
  <c r="AU643" i="34"/>
  <c r="AT643" i="34"/>
  <c r="AS643" i="34"/>
  <c r="AR643" i="34"/>
  <c r="AQ643" i="34"/>
  <c r="AP643" i="34"/>
  <c r="AO643" i="34"/>
  <c r="AN643" i="34"/>
  <c r="AM643" i="34"/>
  <c r="AL643" i="34"/>
  <c r="AZ642" i="34"/>
  <c r="AY642" i="34"/>
  <c r="AX642" i="34"/>
  <c r="AW642" i="34"/>
  <c r="AV642" i="34"/>
  <c r="AU642" i="34"/>
  <c r="AT642" i="34"/>
  <c r="AS642" i="34"/>
  <c r="AR642" i="34"/>
  <c r="AQ642" i="34"/>
  <c r="AP642" i="34"/>
  <c r="AO642" i="34"/>
  <c r="AN642" i="34"/>
  <c r="AM642" i="34"/>
  <c r="AL642" i="34"/>
  <c r="AM641" i="34"/>
  <c r="AL641" i="34"/>
  <c r="AZ640" i="34"/>
  <c r="AY640" i="34"/>
  <c r="AX640" i="34"/>
  <c r="AW640" i="34"/>
  <c r="AV640" i="34"/>
  <c r="AU640" i="34"/>
  <c r="AT640" i="34"/>
  <c r="AS640" i="34"/>
  <c r="AR640" i="34"/>
  <c r="AQ640" i="34"/>
  <c r="AP640" i="34"/>
  <c r="AO640" i="34"/>
  <c r="AN640" i="34"/>
  <c r="AM640" i="34"/>
  <c r="AL640" i="34"/>
  <c r="AM639" i="34"/>
  <c r="AL639" i="34"/>
  <c r="AZ638" i="34"/>
  <c r="AY638" i="34"/>
  <c r="AX638" i="34"/>
  <c r="AW638" i="34"/>
  <c r="AV638" i="34"/>
  <c r="AU638" i="34"/>
  <c r="AT638" i="34"/>
  <c r="AS638" i="34"/>
  <c r="AR638" i="34"/>
  <c r="AQ638" i="34"/>
  <c r="AP638" i="34"/>
  <c r="AO638" i="34"/>
  <c r="AN638" i="34"/>
  <c r="AM638" i="34"/>
  <c r="AL638" i="34"/>
  <c r="AL637" i="34"/>
  <c r="AL636" i="34"/>
  <c r="AL635" i="34"/>
  <c r="AP634" i="34"/>
  <c r="AO634" i="34"/>
  <c r="AN634" i="34"/>
  <c r="AM634" i="34"/>
  <c r="AL634" i="34"/>
  <c r="AZ633" i="34"/>
  <c r="AY633" i="34"/>
  <c r="AX633" i="34"/>
  <c r="AW633" i="34"/>
  <c r="AV633" i="34"/>
  <c r="AU633" i="34"/>
  <c r="AT633" i="34"/>
  <c r="AS633" i="34"/>
  <c r="AR633" i="34"/>
  <c r="AQ633" i="34"/>
  <c r="AP633" i="34"/>
  <c r="AO633" i="34"/>
  <c r="AN633" i="34"/>
  <c r="AM633" i="34"/>
  <c r="AL633" i="34"/>
  <c r="AZ632" i="34"/>
  <c r="AY632" i="34"/>
  <c r="AX632" i="34"/>
  <c r="AW632" i="34"/>
  <c r="AV632" i="34"/>
  <c r="AU632" i="34"/>
  <c r="AT632" i="34"/>
  <c r="AS632" i="34"/>
  <c r="AR632" i="34"/>
  <c r="AQ632" i="34"/>
  <c r="AP632" i="34"/>
  <c r="AO632" i="34"/>
  <c r="AN632" i="34"/>
  <c r="AM632" i="34"/>
  <c r="AL632" i="34"/>
  <c r="AM631" i="34"/>
  <c r="AL631" i="34"/>
  <c r="AZ630" i="34"/>
  <c r="AY630" i="34"/>
  <c r="AX630" i="34"/>
  <c r="AW630" i="34"/>
  <c r="AV630" i="34"/>
  <c r="AU630" i="34"/>
  <c r="AT630" i="34"/>
  <c r="AS630" i="34"/>
  <c r="AR630" i="34"/>
  <c r="AQ630" i="34"/>
  <c r="AP630" i="34"/>
  <c r="AO630" i="34"/>
  <c r="AN630" i="34"/>
  <c r="AM630" i="34"/>
  <c r="AL630" i="34"/>
  <c r="AM629" i="34"/>
  <c r="AL629" i="34"/>
  <c r="AZ628" i="34"/>
  <c r="AY628" i="34"/>
  <c r="AX628" i="34"/>
  <c r="AW628" i="34"/>
  <c r="AV628" i="34"/>
  <c r="AU628" i="34"/>
  <c r="AT628" i="34"/>
  <c r="AS628" i="34"/>
  <c r="AR628" i="34"/>
  <c r="AQ628" i="34"/>
  <c r="AP628" i="34"/>
  <c r="AO628" i="34"/>
  <c r="AN628" i="34"/>
  <c r="AM628" i="34"/>
  <c r="AL628" i="34"/>
  <c r="AL627" i="34"/>
  <c r="AL626" i="34"/>
  <c r="AL625" i="34"/>
  <c r="Q686" i="34"/>
  <c r="P686" i="34"/>
  <c r="O686" i="34"/>
  <c r="N686" i="34"/>
  <c r="M686" i="34"/>
  <c r="Q685" i="34"/>
  <c r="P685" i="34"/>
  <c r="O685" i="34"/>
  <c r="N685" i="34"/>
  <c r="M685" i="34"/>
  <c r="Q684" i="34"/>
  <c r="P684" i="34"/>
  <c r="O684" i="34"/>
  <c r="N684" i="34"/>
  <c r="M684" i="34"/>
  <c r="AJ683" i="34"/>
  <c r="AI683" i="34"/>
  <c r="AH683" i="34"/>
  <c r="AG683" i="34"/>
  <c r="AF683" i="34"/>
  <c r="AE683" i="34"/>
  <c r="AD683" i="34"/>
  <c r="AC683" i="34"/>
  <c r="AB683" i="34"/>
  <c r="AA683" i="34"/>
  <c r="Z683" i="34"/>
  <c r="Y683" i="34"/>
  <c r="X683" i="34"/>
  <c r="W683" i="34"/>
  <c r="V683" i="34"/>
  <c r="U683" i="34"/>
  <c r="T683" i="34"/>
  <c r="P683" i="34"/>
  <c r="O683" i="34"/>
  <c r="N683" i="34"/>
  <c r="M683" i="34"/>
  <c r="AJ682" i="34"/>
  <c r="AI682" i="34"/>
  <c r="AH682" i="34"/>
  <c r="AG682" i="34"/>
  <c r="AF682" i="34"/>
  <c r="AE682" i="34"/>
  <c r="AD682" i="34"/>
  <c r="AC682" i="34"/>
  <c r="AB682" i="34"/>
  <c r="AA682" i="34"/>
  <c r="Z682" i="34"/>
  <c r="Y682" i="34"/>
  <c r="X682" i="34"/>
  <c r="W682" i="34"/>
  <c r="V682" i="34"/>
  <c r="U682" i="34"/>
  <c r="T682" i="34"/>
  <c r="S682" i="34"/>
  <c r="R682" i="34"/>
  <c r="Q682" i="34"/>
  <c r="P682" i="34"/>
  <c r="O682" i="34"/>
  <c r="N682" i="34"/>
  <c r="M682" i="34"/>
  <c r="AJ681" i="34"/>
  <c r="AI681" i="34"/>
  <c r="AH681" i="34"/>
  <c r="AG681" i="34"/>
  <c r="AF681" i="34"/>
  <c r="AE681" i="34"/>
  <c r="AD681" i="34"/>
  <c r="AC681" i="34"/>
  <c r="AB681" i="34"/>
  <c r="AA681" i="34"/>
  <c r="Z681" i="34"/>
  <c r="Y681" i="34"/>
  <c r="X681" i="34"/>
  <c r="W681" i="34"/>
  <c r="V681" i="34"/>
  <c r="U681" i="34"/>
  <c r="T681" i="34"/>
  <c r="S681" i="34"/>
  <c r="R681" i="34"/>
  <c r="Q681" i="34"/>
  <c r="P681" i="34"/>
  <c r="O681" i="34"/>
  <c r="N681" i="34"/>
  <c r="M681" i="34"/>
  <c r="AJ675" i="34"/>
  <c r="AI675" i="34"/>
  <c r="AH675" i="34"/>
  <c r="AG675" i="34"/>
  <c r="AF675" i="34"/>
  <c r="AE675" i="34"/>
  <c r="AD675" i="34"/>
  <c r="AC675" i="34"/>
  <c r="AB675" i="34"/>
  <c r="AA675" i="34"/>
  <c r="Z675" i="34"/>
  <c r="Y675" i="34"/>
  <c r="X675" i="34"/>
  <c r="W675" i="34"/>
  <c r="V675" i="34"/>
  <c r="U675" i="34"/>
  <c r="T675" i="34"/>
  <c r="S675" i="34"/>
  <c r="R675" i="34"/>
  <c r="Q675" i="34"/>
  <c r="P675" i="34"/>
  <c r="O675" i="34"/>
  <c r="N675" i="34"/>
  <c r="M675" i="34"/>
  <c r="AJ674" i="34"/>
  <c r="AI674" i="34"/>
  <c r="AH674" i="34"/>
  <c r="AG674" i="34"/>
  <c r="AF674" i="34"/>
  <c r="AE674" i="34"/>
  <c r="AD674" i="34"/>
  <c r="AC674" i="34"/>
  <c r="AB674" i="34"/>
  <c r="AA674" i="34"/>
  <c r="Z674" i="34"/>
  <c r="Y674" i="34"/>
  <c r="X674" i="34"/>
  <c r="W674" i="34"/>
  <c r="V674" i="34"/>
  <c r="U674" i="34"/>
  <c r="T674" i="34"/>
  <c r="S674" i="34"/>
  <c r="R674" i="34"/>
  <c r="Q674" i="34"/>
  <c r="P674" i="34"/>
  <c r="O674" i="34"/>
  <c r="N674" i="34"/>
  <c r="M674" i="34"/>
  <c r="AJ672" i="34"/>
  <c r="AI672" i="34"/>
  <c r="AH672" i="34"/>
  <c r="AG672" i="34"/>
  <c r="AF672" i="34"/>
  <c r="AE672" i="34"/>
  <c r="AD672" i="34"/>
  <c r="AC672" i="34"/>
  <c r="AB672" i="34"/>
  <c r="AA672" i="34"/>
  <c r="Z672" i="34"/>
  <c r="Y672" i="34"/>
  <c r="X672" i="34"/>
  <c r="W672" i="34"/>
  <c r="V672" i="34"/>
  <c r="U672" i="34"/>
  <c r="T672" i="34"/>
  <c r="S672" i="34"/>
  <c r="R672" i="34"/>
  <c r="Q672" i="34"/>
  <c r="P672" i="34"/>
  <c r="O672" i="34"/>
  <c r="N672" i="34"/>
  <c r="M672" i="34"/>
  <c r="AI671" i="34"/>
  <c r="AH671" i="34"/>
  <c r="AG671" i="34"/>
  <c r="AF671" i="34"/>
  <c r="AE671" i="34"/>
  <c r="AD671" i="34"/>
  <c r="AC671" i="34"/>
  <c r="AB671" i="34"/>
  <c r="AA671" i="34"/>
  <c r="Z671" i="34"/>
  <c r="Y671" i="34"/>
  <c r="X671" i="34"/>
  <c r="W671" i="34"/>
  <c r="V671" i="34"/>
  <c r="T671" i="34"/>
  <c r="S671" i="34"/>
  <c r="R671" i="34"/>
  <c r="Q671" i="34"/>
  <c r="P671" i="34"/>
  <c r="O671" i="34"/>
  <c r="N671" i="34"/>
  <c r="M671" i="34"/>
  <c r="AI670" i="34"/>
  <c r="AH670" i="34"/>
  <c r="AG670" i="34"/>
  <c r="AF670" i="34"/>
  <c r="AE670" i="34"/>
  <c r="AD670" i="34"/>
  <c r="AC670" i="34"/>
  <c r="AB670" i="34"/>
  <c r="AA670" i="34"/>
  <c r="Z670" i="34"/>
  <c r="Y670" i="34"/>
  <c r="X670" i="34"/>
  <c r="W670" i="34"/>
  <c r="V670" i="34"/>
  <c r="U670" i="34"/>
  <c r="T670" i="34"/>
  <c r="S670" i="34"/>
  <c r="R670" i="34"/>
  <c r="Q670" i="34"/>
  <c r="P670" i="34"/>
  <c r="O670" i="34"/>
  <c r="N670" i="34"/>
  <c r="M670" i="34"/>
  <c r="AI669" i="34"/>
  <c r="AH669" i="34"/>
  <c r="AG669" i="34"/>
  <c r="AF669" i="34"/>
  <c r="AE669" i="34"/>
  <c r="AD669" i="34"/>
  <c r="AC669" i="34"/>
  <c r="AB669" i="34"/>
  <c r="AA669" i="34"/>
  <c r="Z669" i="34"/>
  <c r="Y669" i="34"/>
  <c r="X669" i="34"/>
  <c r="W669" i="34"/>
  <c r="V669" i="34"/>
  <c r="U669" i="34"/>
  <c r="T669" i="34"/>
  <c r="S669" i="34"/>
  <c r="R669" i="34"/>
  <c r="Q669" i="34"/>
  <c r="P669" i="34"/>
  <c r="O669" i="34"/>
  <c r="N669" i="34"/>
  <c r="M669" i="34"/>
  <c r="AI668" i="34"/>
  <c r="AH668" i="34"/>
  <c r="AG668" i="34"/>
  <c r="AF668" i="34"/>
  <c r="AE668" i="34"/>
  <c r="AD668" i="34"/>
  <c r="AC668" i="34"/>
  <c r="AB668" i="34"/>
  <c r="AA668" i="34"/>
  <c r="Z668" i="34"/>
  <c r="Y668" i="34"/>
  <c r="X668" i="34"/>
  <c r="W668" i="34"/>
  <c r="V668" i="34"/>
  <c r="U668" i="34"/>
  <c r="T668" i="34"/>
  <c r="S668" i="34"/>
  <c r="R668" i="34"/>
  <c r="Q668" i="34"/>
  <c r="P668" i="34"/>
  <c r="O668" i="34"/>
  <c r="N668" i="34"/>
  <c r="M668" i="34"/>
  <c r="AJ667" i="34"/>
  <c r="AI667" i="34"/>
  <c r="AH667" i="34"/>
  <c r="AG667" i="34"/>
  <c r="AF667" i="34"/>
  <c r="AE667" i="34"/>
  <c r="AD667" i="34"/>
  <c r="AC667" i="34"/>
  <c r="AB667" i="34"/>
  <c r="AA667" i="34"/>
  <c r="Z667" i="34"/>
  <c r="Y667" i="34"/>
  <c r="X667" i="34"/>
  <c r="W667" i="34"/>
  <c r="V667" i="34"/>
  <c r="U667" i="34"/>
  <c r="T667" i="34"/>
  <c r="S667" i="34"/>
  <c r="R667" i="34"/>
  <c r="Q667" i="34"/>
  <c r="P667" i="34"/>
  <c r="O667" i="34"/>
  <c r="N667" i="34"/>
  <c r="M667" i="34"/>
  <c r="AJ666" i="34"/>
  <c r="AI666" i="34"/>
  <c r="AH666" i="34"/>
  <c r="AG666" i="34"/>
  <c r="AF666" i="34"/>
  <c r="AE666" i="34"/>
  <c r="AD666" i="34"/>
  <c r="AC666" i="34"/>
  <c r="AB666" i="34"/>
  <c r="AA666" i="34"/>
  <c r="Z666" i="34"/>
  <c r="Y666" i="34"/>
  <c r="X666" i="34"/>
  <c r="W666" i="34"/>
  <c r="V666" i="34"/>
  <c r="U666" i="34"/>
  <c r="T666" i="34"/>
  <c r="S666" i="34"/>
  <c r="R666" i="34"/>
  <c r="Q666" i="34"/>
  <c r="P666" i="34"/>
  <c r="O666" i="34"/>
  <c r="N666" i="34"/>
  <c r="M666" i="34"/>
  <c r="AI665" i="34"/>
  <c r="AH665" i="34"/>
  <c r="AG665" i="34"/>
  <c r="AF665" i="34"/>
  <c r="AE665" i="34"/>
  <c r="AD665" i="34"/>
  <c r="AC665" i="34"/>
  <c r="AB665" i="34"/>
  <c r="AA665" i="34"/>
  <c r="Z665" i="34"/>
  <c r="Y665" i="34"/>
  <c r="X665" i="34"/>
  <c r="W665" i="34"/>
  <c r="V665" i="34"/>
  <c r="U665" i="34"/>
  <c r="T665" i="34"/>
  <c r="S665" i="34"/>
  <c r="R665" i="34"/>
  <c r="Q665" i="34"/>
  <c r="P665" i="34"/>
  <c r="O665" i="34"/>
  <c r="N665" i="34"/>
  <c r="M665" i="34"/>
  <c r="AJ664" i="34"/>
  <c r="AI664" i="34"/>
  <c r="AH664" i="34"/>
  <c r="AG664" i="34"/>
  <c r="AF664" i="34"/>
  <c r="AE664" i="34"/>
  <c r="AD664" i="34"/>
  <c r="AC664" i="34"/>
  <c r="AB664" i="34"/>
  <c r="AA664" i="34"/>
  <c r="Z664" i="34"/>
  <c r="Y664" i="34"/>
  <c r="X664" i="34"/>
  <c r="W664" i="34"/>
  <c r="V664" i="34"/>
  <c r="U664" i="34"/>
  <c r="T664" i="34"/>
  <c r="S664" i="34"/>
  <c r="R664" i="34"/>
  <c r="Q664" i="34"/>
  <c r="P664" i="34"/>
  <c r="O664" i="34"/>
  <c r="N664" i="34"/>
  <c r="M664" i="34"/>
  <c r="AI663" i="34"/>
  <c r="AH663" i="34"/>
  <c r="AG663" i="34"/>
  <c r="AF663" i="34"/>
  <c r="AE663" i="34"/>
  <c r="AD663" i="34"/>
  <c r="AC663" i="34"/>
  <c r="AB663" i="34"/>
  <c r="AA663" i="34"/>
  <c r="Z663" i="34"/>
  <c r="Y663" i="34"/>
  <c r="X663" i="34"/>
  <c r="W663" i="34"/>
  <c r="V663" i="34"/>
  <c r="S663" i="34"/>
  <c r="R663" i="34"/>
  <c r="Q663" i="34"/>
  <c r="P663" i="34"/>
  <c r="O663" i="34"/>
  <c r="N663" i="34"/>
  <c r="AI662" i="34"/>
  <c r="AH662" i="34"/>
  <c r="AG662" i="34"/>
  <c r="AF662" i="34"/>
  <c r="AE662" i="34"/>
  <c r="AD662" i="34"/>
  <c r="AC662" i="34"/>
  <c r="AB662" i="34"/>
  <c r="AA662" i="34"/>
  <c r="Z662" i="34"/>
  <c r="Y662" i="34"/>
  <c r="X662" i="34"/>
  <c r="W662" i="34"/>
  <c r="V662" i="34"/>
  <c r="U662" i="34"/>
  <c r="T662" i="34"/>
  <c r="S662" i="34"/>
  <c r="R662" i="34"/>
  <c r="Q662" i="34"/>
  <c r="P662" i="34"/>
  <c r="O662" i="34"/>
  <c r="N662" i="34"/>
  <c r="M662" i="34"/>
  <c r="AI661" i="34"/>
  <c r="AH661" i="34"/>
  <c r="AG661" i="34"/>
  <c r="AF661" i="34"/>
  <c r="AE661" i="34"/>
  <c r="AD661" i="34"/>
  <c r="AC661" i="34"/>
  <c r="AB661" i="34"/>
  <c r="AA661" i="34"/>
  <c r="Z661" i="34"/>
  <c r="Y661" i="34"/>
  <c r="X661" i="34"/>
  <c r="W661" i="34"/>
  <c r="V661" i="34"/>
  <c r="U661" i="34"/>
  <c r="T661" i="34"/>
  <c r="S661" i="34"/>
  <c r="R661" i="34"/>
  <c r="Q661" i="34"/>
  <c r="P661" i="34"/>
  <c r="O661" i="34"/>
  <c r="N661" i="34"/>
  <c r="M661" i="34"/>
  <c r="AI660" i="34"/>
  <c r="AH660" i="34"/>
  <c r="AG660" i="34"/>
  <c r="AF660" i="34"/>
  <c r="AE660" i="34"/>
  <c r="AD660" i="34"/>
  <c r="AC660" i="34"/>
  <c r="AB660" i="34"/>
  <c r="AA660" i="34"/>
  <c r="Z660" i="34"/>
  <c r="Y660" i="34"/>
  <c r="X660" i="34"/>
  <c r="W660" i="34"/>
  <c r="V660" i="34"/>
  <c r="U660" i="34"/>
  <c r="T660" i="34"/>
  <c r="S660" i="34"/>
  <c r="R660" i="34"/>
  <c r="Q660" i="34"/>
  <c r="P660" i="34"/>
  <c r="O660" i="34"/>
  <c r="N660" i="34"/>
  <c r="M660" i="34"/>
  <c r="AJ658" i="34"/>
  <c r="AI658" i="34"/>
  <c r="AH658" i="34"/>
  <c r="AG658" i="34"/>
  <c r="AF658" i="34"/>
  <c r="AE658" i="34"/>
  <c r="AD658" i="34"/>
  <c r="AC658" i="34"/>
  <c r="AB658" i="34"/>
  <c r="AA658" i="34"/>
  <c r="Z658" i="34"/>
  <c r="Y658" i="34"/>
  <c r="X658" i="34"/>
  <c r="W658" i="34"/>
  <c r="V658" i="34"/>
  <c r="U658" i="34"/>
  <c r="T658" i="34"/>
  <c r="S658" i="34"/>
  <c r="R658" i="34"/>
  <c r="Q658" i="34"/>
  <c r="P658" i="34"/>
  <c r="O658" i="34"/>
  <c r="N658" i="34"/>
  <c r="M658" i="34"/>
  <c r="AJ657" i="34"/>
  <c r="AI657" i="34"/>
  <c r="AH657" i="34"/>
  <c r="AG657" i="34"/>
  <c r="AF657" i="34"/>
  <c r="AE657" i="34"/>
  <c r="AD657" i="34"/>
  <c r="AC657" i="34"/>
  <c r="AB657" i="34"/>
  <c r="AA657" i="34"/>
  <c r="Z657" i="34"/>
  <c r="Y657" i="34"/>
  <c r="X657" i="34"/>
  <c r="W657" i="34"/>
  <c r="V657" i="34"/>
  <c r="U657" i="34"/>
  <c r="T657" i="34"/>
  <c r="S657" i="34"/>
  <c r="R657" i="34"/>
  <c r="Q657" i="34"/>
  <c r="P657" i="34"/>
  <c r="O657" i="34"/>
  <c r="N657" i="34"/>
  <c r="M657" i="34"/>
  <c r="AJ656" i="34"/>
  <c r="AI656" i="34"/>
  <c r="AH656" i="34"/>
  <c r="AG656" i="34"/>
  <c r="AF656" i="34"/>
  <c r="AE656" i="34"/>
  <c r="AD656" i="34"/>
  <c r="AC656" i="34"/>
  <c r="AB656" i="34"/>
  <c r="AA656" i="34"/>
  <c r="Z656" i="34"/>
  <c r="Y656" i="34"/>
  <c r="X656" i="34"/>
  <c r="W656" i="34"/>
  <c r="V656" i="34"/>
  <c r="U656" i="34"/>
  <c r="T656" i="34"/>
  <c r="S656" i="34"/>
  <c r="R656" i="34"/>
  <c r="Q656" i="34"/>
  <c r="P656" i="34"/>
  <c r="O656" i="34"/>
  <c r="N656" i="34"/>
  <c r="M656" i="34"/>
  <c r="AJ655" i="34"/>
  <c r="AI655" i="34"/>
  <c r="AH655" i="34"/>
  <c r="AG655" i="34"/>
  <c r="AF655" i="34"/>
  <c r="AE655" i="34"/>
  <c r="AD655" i="34"/>
  <c r="AC655" i="34"/>
  <c r="AB655" i="34"/>
  <c r="AA655" i="34"/>
  <c r="Z655" i="34"/>
  <c r="Y655" i="34"/>
  <c r="X655" i="34"/>
  <c r="W655" i="34"/>
  <c r="V655" i="34"/>
  <c r="U655" i="34"/>
  <c r="T655" i="34"/>
  <c r="S655" i="34"/>
  <c r="R655" i="34"/>
  <c r="Q655" i="34"/>
  <c r="P655" i="34"/>
  <c r="O655" i="34"/>
  <c r="N655" i="34"/>
  <c r="M655" i="34"/>
  <c r="AJ654" i="34"/>
  <c r="AI654" i="34"/>
  <c r="AH654" i="34"/>
  <c r="AG654" i="34"/>
  <c r="AF654" i="34"/>
  <c r="AE654" i="34"/>
  <c r="AD654" i="34"/>
  <c r="AC654" i="34"/>
  <c r="AB654" i="34"/>
  <c r="AA654" i="34"/>
  <c r="Z654" i="34"/>
  <c r="Y654" i="34"/>
  <c r="X654" i="34"/>
  <c r="W654" i="34"/>
  <c r="V654" i="34"/>
  <c r="U654" i="34"/>
  <c r="T654" i="34"/>
  <c r="S654" i="34"/>
  <c r="R654" i="34"/>
  <c r="Q654" i="34"/>
  <c r="P654" i="34"/>
  <c r="O654" i="34"/>
  <c r="N654" i="34"/>
  <c r="M654" i="34"/>
  <c r="M653" i="34"/>
  <c r="P652" i="34"/>
  <c r="O652" i="34"/>
  <c r="N652" i="34"/>
  <c r="M652" i="34"/>
  <c r="M651" i="34"/>
  <c r="P650" i="34"/>
  <c r="O650" i="34"/>
  <c r="N650" i="34"/>
  <c r="M650" i="34"/>
  <c r="X645" i="34"/>
  <c r="W645" i="34"/>
  <c r="V645" i="34"/>
  <c r="U645" i="34"/>
  <c r="T645" i="34"/>
  <c r="S645" i="34"/>
  <c r="R645" i="34"/>
  <c r="Q645" i="34"/>
  <c r="P645" i="34"/>
  <c r="O645" i="34"/>
  <c r="N645" i="34"/>
  <c r="M645" i="34"/>
  <c r="AJ644" i="34"/>
  <c r="AI644" i="34"/>
  <c r="AH644" i="34"/>
  <c r="AG644" i="34"/>
  <c r="AF644" i="34"/>
  <c r="AE644" i="34"/>
  <c r="AD644" i="34"/>
  <c r="AC644" i="34"/>
  <c r="AB644" i="34"/>
  <c r="AA644" i="34"/>
  <c r="Z644" i="34"/>
  <c r="Y644" i="34"/>
  <c r="X644" i="34"/>
  <c r="W644" i="34"/>
  <c r="V644" i="34"/>
  <c r="U644" i="34"/>
  <c r="T644" i="34"/>
  <c r="S644" i="34"/>
  <c r="R644" i="34"/>
  <c r="Q644" i="34"/>
  <c r="P644" i="34"/>
  <c r="O644" i="34"/>
  <c r="N644" i="34"/>
  <c r="M644" i="34"/>
  <c r="AJ643" i="34"/>
  <c r="AI643" i="34"/>
  <c r="AH643" i="34"/>
  <c r="AG643" i="34"/>
  <c r="AF643" i="34"/>
  <c r="AE643" i="34"/>
  <c r="AD643" i="34"/>
  <c r="AC643" i="34"/>
  <c r="AB643" i="34"/>
  <c r="AA643" i="34"/>
  <c r="Z643" i="34"/>
  <c r="Y643" i="34"/>
  <c r="X643" i="34"/>
  <c r="W643" i="34"/>
  <c r="V643" i="34"/>
  <c r="U643" i="34"/>
  <c r="T643" i="34"/>
  <c r="S643" i="34"/>
  <c r="R643" i="34"/>
  <c r="Q643" i="34"/>
  <c r="P643" i="34"/>
  <c r="O643" i="34"/>
  <c r="N643" i="34"/>
  <c r="M643" i="34"/>
  <c r="M642" i="34"/>
  <c r="P641" i="34"/>
  <c r="O641" i="34"/>
  <c r="N641" i="34"/>
  <c r="M641" i="34"/>
  <c r="M640" i="34"/>
  <c r="P639" i="34"/>
  <c r="O639" i="34"/>
  <c r="N639" i="34"/>
  <c r="M639" i="34"/>
  <c r="AJ633" i="34"/>
  <c r="AI633" i="34"/>
  <c r="AH633" i="34"/>
  <c r="AG633" i="34"/>
  <c r="AF633" i="34"/>
  <c r="AE633" i="34"/>
  <c r="AD633" i="34"/>
  <c r="AC633" i="34"/>
  <c r="AB633" i="34"/>
  <c r="AA633" i="34"/>
  <c r="Z633" i="34"/>
  <c r="Y633" i="34"/>
  <c r="X633" i="34"/>
  <c r="W633" i="34"/>
  <c r="V633" i="34"/>
  <c r="U633" i="34"/>
  <c r="T633" i="34"/>
  <c r="S633" i="34"/>
  <c r="R633" i="34"/>
  <c r="Q633" i="34"/>
  <c r="P633" i="34"/>
  <c r="O633" i="34"/>
  <c r="N633" i="34"/>
  <c r="M633" i="34"/>
  <c r="M632" i="34"/>
  <c r="P631" i="34"/>
  <c r="O631" i="34"/>
  <c r="N631" i="34"/>
  <c r="M631" i="34"/>
  <c r="M630" i="34"/>
  <c r="P629" i="34"/>
  <c r="O629" i="34"/>
  <c r="N629" i="34"/>
  <c r="M629" i="34"/>
  <c r="AS623" i="34"/>
  <c r="AR623" i="34"/>
  <c r="AQ623" i="34"/>
  <c r="AP623" i="34"/>
  <c r="AO623" i="34"/>
  <c r="AN623" i="34"/>
  <c r="AM623" i="34"/>
  <c r="AL623" i="34"/>
  <c r="AJ623" i="34"/>
  <c r="AI623" i="34"/>
  <c r="AH623" i="34"/>
  <c r="AG623" i="34"/>
  <c r="AF623" i="34"/>
  <c r="AE623" i="34"/>
  <c r="AD623" i="34"/>
  <c r="AC623" i="34"/>
  <c r="AB623" i="34"/>
  <c r="AA623" i="34"/>
  <c r="Z623" i="34"/>
  <c r="Y623" i="34"/>
  <c r="X623" i="34"/>
  <c r="W623" i="34"/>
  <c r="V623" i="34"/>
  <c r="U623" i="34"/>
  <c r="T623" i="34"/>
  <c r="S623" i="34"/>
  <c r="R623" i="34"/>
  <c r="Q623" i="34"/>
  <c r="P623" i="34"/>
  <c r="O623" i="34"/>
  <c r="N623" i="34"/>
  <c r="M623" i="34"/>
  <c r="I623" i="34"/>
  <c r="I620" i="34"/>
  <c r="I619" i="34"/>
  <c r="I618" i="34"/>
  <c r="I617" i="34"/>
  <c r="I616" i="34"/>
  <c r="I615" i="34"/>
  <c r="I614" i="34"/>
  <c r="I613" i="34"/>
  <c r="I612" i="34"/>
  <c r="I611" i="34"/>
  <c r="I610" i="34"/>
  <c r="I609" i="34"/>
  <c r="I608" i="34"/>
  <c r="I607" i="34"/>
  <c r="I606" i="34"/>
  <c r="I605" i="34"/>
  <c r="I604" i="34"/>
  <c r="I603" i="34"/>
  <c r="I602" i="34"/>
  <c r="I601" i="34"/>
  <c r="I600" i="34"/>
  <c r="M620" i="34"/>
  <c r="P619" i="34"/>
  <c r="O619" i="34"/>
  <c r="N619" i="34"/>
  <c r="M619" i="34"/>
  <c r="AJ614" i="34"/>
  <c r="AI614" i="34"/>
  <c r="AH614" i="34"/>
  <c r="AG614" i="34"/>
  <c r="AF614" i="34"/>
  <c r="AE614" i="34"/>
  <c r="AD614" i="34"/>
  <c r="AC614" i="34"/>
  <c r="AB614" i="34"/>
  <c r="AA614" i="34"/>
  <c r="Z614" i="34"/>
  <c r="Y614" i="34"/>
  <c r="X614" i="34"/>
  <c r="W614" i="34"/>
  <c r="V614" i="34"/>
  <c r="U614" i="34"/>
  <c r="T614" i="34"/>
  <c r="S614" i="34"/>
  <c r="R614" i="34"/>
  <c r="Q614" i="34"/>
  <c r="P614" i="34"/>
  <c r="O614" i="34"/>
  <c r="N614" i="34"/>
  <c r="M614" i="34"/>
  <c r="AG613" i="34"/>
  <c r="AF613" i="34"/>
  <c r="AE613" i="34"/>
  <c r="AD613" i="34"/>
  <c r="AC613" i="34"/>
  <c r="AB613" i="34"/>
  <c r="AA613" i="34"/>
  <c r="Z613" i="34"/>
  <c r="Y613" i="34"/>
  <c r="X613" i="34"/>
  <c r="W613" i="34"/>
  <c r="V613" i="34"/>
  <c r="U613" i="34"/>
  <c r="T613" i="34"/>
  <c r="S613" i="34"/>
  <c r="R613" i="34"/>
  <c r="Q613" i="34"/>
  <c r="P613" i="34"/>
  <c r="O613" i="34"/>
  <c r="N613" i="34"/>
  <c r="M613" i="34"/>
  <c r="AZ620" i="34"/>
  <c r="AY620" i="34"/>
  <c r="AX620" i="34"/>
  <c r="AW620" i="34"/>
  <c r="AV620" i="34"/>
  <c r="AU620" i="34"/>
  <c r="AT620" i="34"/>
  <c r="AS620" i="34"/>
  <c r="AR620" i="34"/>
  <c r="AQ620" i="34"/>
  <c r="AP620" i="34"/>
  <c r="AO620" i="34"/>
  <c r="AN620" i="34"/>
  <c r="AM620" i="34"/>
  <c r="AL620" i="34"/>
  <c r="AM619" i="34"/>
  <c r="AL619" i="34"/>
  <c r="AZ618" i="34"/>
  <c r="AY618" i="34"/>
  <c r="AX618" i="34"/>
  <c r="AW618" i="34"/>
  <c r="AV618" i="34"/>
  <c r="AU618" i="34"/>
  <c r="AT618" i="34"/>
  <c r="AS618" i="34"/>
  <c r="AR618" i="34"/>
  <c r="AQ618" i="34"/>
  <c r="AP618" i="34"/>
  <c r="AO618" i="34"/>
  <c r="AN618" i="34"/>
  <c r="AM618" i="34"/>
  <c r="AL618" i="34"/>
  <c r="AL617" i="34"/>
  <c r="AL616" i="34"/>
  <c r="AL615" i="34"/>
  <c r="AZ614" i="34"/>
  <c r="AY614" i="34"/>
  <c r="AX614" i="34"/>
  <c r="AW614" i="34"/>
  <c r="AV614" i="34"/>
  <c r="AU614" i="34"/>
  <c r="AT614" i="34"/>
  <c r="AS614" i="34"/>
  <c r="AR614" i="34"/>
  <c r="AQ614" i="34"/>
  <c r="AP614" i="34"/>
  <c r="AO614" i="34"/>
  <c r="AN614" i="34"/>
  <c r="AM614" i="34"/>
  <c r="AL614" i="34"/>
  <c r="AZ613" i="34"/>
  <c r="AY613" i="34"/>
  <c r="AX613" i="34"/>
  <c r="AW613" i="34"/>
  <c r="AV613" i="34"/>
  <c r="AU613" i="34"/>
  <c r="AT613" i="34"/>
  <c r="AS613" i="34"/>
  <c r="AR613" i="34"/>
  <c r="AQ613" i="34"/>
  <c r="AP613" i="34"/>
  <c r="AO613" i="34"/>
  <c r="AN613" i="34"/>
  <c r="AM613" i="34"/>
  <c r="AL613" i="34"/>
  <c r="AZ612" i="34"/>
  <c r="AY612" i="34"/>
  <c r="AX612" i="34"/>
  <c r="AW612" i="34"/>
  <c r="AV612" i="34"/>
  <c r="AU612" i="34"/>
  <c r="AT612" i="34"/>
  <c r="AS612" i="34"/>
  <c r="AR612" i="34"/>
  <c r="AQ612" i="34"/>
  <c r="AP612" i="34"/>
  <c r="AO612" i="34"/>
  <c r="AN612" i="34"/>
  <c r="AM612" i="34"/>
  <c r="AL612" i="34"/>
  <c r="AM611" i="34"/>
  <c r="AL611" i="34"/>
  <c r="AL610" i="34"/>
  <c r="AZ609" i="34"/>
  <c r="AY609" i="34"/>
  <c r="AX609" i="34"/>
  <c r="AW609" i="34"/>
  <c r="AV609" i="34"/>
  <c r="AU609" i="34"/>
  <c r="AT609" i="34"/>
  <c r="AS609" i="34"/>
  <c r="AR609" i="34"/>
  <c r="AQ609" i="34"/>
  <c r="AP609" i="34"/>
  <c r="AO609" i="34"/>
  <c r="AN609" i="34"/>
  <c r="AM609" i="34"/>
  <c r="AL609" i="34"/>
  <c r="AZ608" i="34"/>
  <c r="AY608" i="34"/>
  <c r="AX608" i="34"/>
  <c r="AW608" i="34"/>
  <c r="AV608" i="34"/>
  <c r="AU608" i="34"/>
  <c r="AT608" i="34"/>
  <c r="AS608" i="34"/>
  <c r="AR608" i="34"/>
  <c r="AQ608" i="34"/>
  <c r="AP608" i="34"/>
  <c r="AO608" i="34"/>
  <c r="AN608" i="34"/>
  <c r="AM608" i="34"/>
  <c r="AL608" i="34"/>
  <c r="AM607" i="34"/>
  <c r="AL607" i="34"/>
  <c r="AZ606" i="34"/>
  <c r="AY606" i="34"/>
  <c r="AX606" i="34"/>
  <c r="AW606" i="34"/>
  <c r="AV606" i="34"/>
  <c r="AU606" i="34"/>
  <c r="AT606" i="34"/>
  <c r="AS606" i="34"/>
  <c r="AR606" i="34"/>
  <c r="AQ606" i="34"/>
  <c r="AP606" i="34"/>
  <c r="AO606" i="34"/>
  <c r="AN606" i="34"/>
  <c r="AM606" i="34"/>
  <c r="AL606" i="34"/>
  <c r="AL605" i="34"/>
  <c r="AL604" i="34"/>
  <c r="AZ603" i="34"/>
  <c r="AY603" i="34"/>
  <c r="AX603" i="34"/>
  <c r="AW603" i="34"/>
  <c r="AV603" i="34"/>
  <c r="AU603" i="34"/>
  <c r="AT603" i="34"/>
  <c r="AS603" i="34"/>
  <c r="AR603" i="34"/>
  <c r="AQ603" i="34"/>
  <c r="AP603" i="34"/>
  <c r="AO603" i="34"/>
  <c r="AN603" i="34"/>
  <c r="AM603" i="34"/>
  <c r="AL603" i="34"/>
  <c r="AZ602" i="34"/>
  <c r="AY602" i="34"/>
  <c r="AX602" i="34"/>
  <c r="AW602" i="34"/>
  <c r="AV602" i="34"/>
  <c r="AU602" i="34"/>
  <c r="AT602" i="34"/>
  <c r="AS602" i="34"/>
  <c r="AR602" i="34"/>
  <c r="AQ602" i="34"/>
  <c r="AP602" i="34"/>
  <c r="AO602" i="34"/>
  <c r="AN602" i="34"/>
  <c r="AM602" i="34"/>
  <c r="AL602" i="34"/>
  <c r="AZ601" i="34"/>
  <c r="AY601" i="34"/>
  <c r="AX601" i="34"/>
  <c r="AW601" i="34"/>
  <c r="AV601" i="34"/>
  <c r="AU601" i="34"/>
  <c r="AT601" i="34"/>
  <c r="AS601" i="34"/>
  <c r="AR601" i="34"/>
  <c r="AQ601" i="34"/>
  <c r="AP601" i="34"/>
  <c r="AO601" i="34"/>
  <c r="AN601" i="34"/>
  <c r="AM601" i="34"/>
  <c r="AL601" i="34"/>
  <c r="AZ600" i="34"/>
  <c r="AY600" i="34"/>
  <c r="AX600" i="34"/>
  <c r="AW600" i="34"/>
  <c r="AV600" i="34"/>
  <c r="AU600" i="34"/>
  <c r="AT600" i="34"/>
  <c r="AS600" i="34"/>
  <c r="AR600" i="34"/>
  <c r="AQ600" i="34"/>
  <c r="AP600" i="34"/>
  <c r="AO600" i="34"/>
  <c r="AN600" i="34"/>
  <c r="AM600" i="34"/>
  <c r="AL600" i="34"/>
  <c r="AJ613" i="34"/>
  <c r="AI613" i="34"/>
  <c r="AJ609" i="34"/>
  <c r="AI609" i="34"/>
  <c r="AJ603" i="34"/>
  <c r="AI603" i="34"/>
  <c r="AJ602" i="34"/>
  <c r="AI602" i="34"/>
  <c r="AJ601" i="34"/>
  <c r="AI601" i="34"/>
  <c r="AJ600" i="34"/>
  <c r="AI600" i="34"/>
  <c r="M612" i="34"/>
  <c r="P611" i="34"/>
  <c r="O611" i="34"/>
  <c r="N611" i="34"/>
  <c r="M611" i="34"/>
  <c r="AH609" i="34"/>
  <c r="AG609" i="34"/>
  <c r="AF609" i="34"/>
  <c r="AE609" i="34"/>
  <c r="AD609" i="34"/>
  <c r="AC609" i="34"/>
  <c r="AB609" i="34"/>
  <c r="AA609" i="34"/>
  <c r="Z609" i="34"/>
  <c r="Y609" i="34"/>
  <c r="X609" i="34"/>
  <c r="W609" i="34"/>
  <c r="V609" i="34"/>
  <c r="U609" i="34"/>
  <c r="T609" i="34"/>
  <c r="S609" i="34"/>
  <c r="R609" i="34"/>
  <c r="Q609" i="34"/>
  <c r="P609" i="34"/>
  <c r="O609" i="34"/>
  <c r="N609" i="34"/>
  <c r="M609" i="34"/>
  <c r="M608" i="34"/>
  <c r="P607" i="34"/>
  <c r="O607" i="34"/>
  <c r="N607" i="34"/>
  <c r="M607" i="34"/>
  <c r="AH603" i="34"/>
  <c r="AG603" i="34"/>
  <c r="AF603" i="34"/>
  <c r="AE603" i="34"/>
  <c r="AD603" i="34"/>
  <c r="AC603" i="34"/>
  <c r="AB603" i="34"/>
  <c r="AA603" i="34"/>
  <c r="Z603" i="34"/>
  <c r="Y603" i="34"/>
  <c r="X603" i="34"/>
  <c r="W603" i="34"/>
  <c r="V603" i="34"/>
  <c r="U603" i="34"/>
  <c r="T603" i="34"/>
  <c r="S603" i="34"/>
  <c r="R603" i="34"/>
  <c r="Q603" i="34"/>
  <c r="P603" i="34"/>
  <c r="O603" i="34"/>
  <c r="N603" i="34"/>
  <c r="M603" i="34"/>
  <c r="AH602" i="34"/>
  <c r="AG602" i="34"/>
  <c r="AF602" i="34"/>
  <c r="AE602" i="34"/>
  <c r="AD602" i="34"/>
  <c r="AC602" i="34"/>
  <c r="AB602" i="34"/>
  <c r="AA602" i="34"/>
  <c r="Z602" i="34"/>
  <c r="Y602" i="34"/>
  <c r="X602" i="34"/>
  <c r="W602" i="34"/>
  <c r="V602" i="34"/>
  <c r="U602" i="34"/>
  <c r="T602" i="34"/>
  <c r="S602" i="34"/>
  <c r="R602" i="34"/>
  <c r="Q602" i="34"/>
  <c r="P602" i="34"/>
  <c r="O602" i="34"/>
  <c r="N602" i="34"/>
  <c r="M602" i="34"/>
  <c r="AH601" i="34"/>
  <c r="AG601" i="34"/>
  <c r="AF601" i="34"/>
  <c r="AE601" i="34"/>
  <c r="AD601" i="34"/>
  <c r="AC601" i="34"/>
  <c r="AB601" i="34"/>
  <c r="AA601" i="34"/>
  <c r="Z601" i="34"/>
  <c r="Y601" i="34"/>
  <c r="X601" i="34"/>
  <c r="W601" i="34"/>
  <c r="V601" i="34"/>
  <c r="U601" i="34"/>
  <c r="T601" i="34"/>
  <c r="S601" i="34"/>
  <c r="R601" i="34"/>
  <c r="Q601" i="34"/>
  <c r="P601" i="34"/>
  <c r="O601" i="34"/>
  <c r="N601" i="34"/>
  <c r="M601" i="34"/>
  <c r="AH600" i="34"/>
  <c r="AG600" i="34"/>
  <c r="AF600" i="34"/>
  <c r="AE600" i="34"/>
  <c r="AD600" i="34"/>
  <c r="AC600" i="34"/>
  <c r="AB600" i="34"/>
  <c r="AA600" i="34"/>
  <c r="Z600" i="34"/>
  <c r="Y600" i="34"/>
  <c r="X600" i="34"/>
  <c r="W600" i="34"/>
  <c r="V600" i="34"/>
  <c r="U600" i="34"/>
  <c r="T600" i="34"/>
  <c r="S600" i="34"/>
  <c r="R600" i="34"/>
  <c r="Q600" i="34"/>
  <c r="P600" i="34"/>
  <c r="O600" i="34"/>
  <c r="N600" i="34"/>
  <c r="M600" i="34"/>
  <c r="I587" i="34"/>
  <c r="I586" i="34"/>
  <c r="I585" i="34"/>
  <c r="I584" i="34"/>
  <c r="I583" i="34"/>
  <c r="I582" i="34"/>
  <c r="I581" i="34"/>
  <c r="I580" i="34"/>
  <c r="I579" i="34"/>
  <c r="I578" i="34"/>
  <c r="I577" i="34"/>
  <c r="AZ587" i="34"/>
  <c r="AY587" i="34"/>
  <c r="AX587" i="34"/>
  <c r="AW587" i="34"/>
  <c r="AV587" i="34"/>
  <c r="AU587" i="34"/>
  <c r="AT587" i="34"/>
  <c r="AS587" i="34"/>
  <c r="AR587" i="34"/>
  <c r="AQ587" i="34"/>
  <c r="AP587" i="34"/>
  <c r="AO587" i="34"/>
  <c r="AN587" i="34"/>
  <c r="AM587" i="34"/>
  <c r="AL587" i="34"/>
  <c r="AZ586" i="34"/>
  <c r="AY586" i="34"/>
  <c r="AX586" i="34"/>
  <c r="AW586" i="34"/>
  <c r="AV586" i="34"/>
  <c r="AU586" i="34"/>
  <c r="AT586" i="34"/>
  <c r="AS586" i="34"/>
  <c r="AR586" i="34"/>
  <c r="AQ586" i="34"/>
  <c r="AP586" i="34"/>
  <c r="AO586" i="34"/>
  <c r="AN586" i="34"/>
  <c r="AM586" i="34"/>
  <c r="AL586" i="34"/>
  <c r="AN585" i="34"/>
  <c r="AM585" i="34"/>
  <c r="AL585" i="34"/>
  <c r="AN584" i="34"/>
  <c r="AM584" i="34"/>
  <c r="AL584" i="34"/>
  <c r="AN583" i="34"/>
  <c r="AM583" i="34"/>
  <c r="AL583" i="34"/>
  <c r="AN582" i="34"/>
  <c r="AM582" i="34"/>
  <c r="AL582" i="34"/>
  <c r="AZ581" i="34"/>
  <c r="AY581" i="34"/>
  <c r="AX581" i="34"/>
  <c r="AW581" i="34"/>
  <c r="AV581" i="34"/>
  <c r="AU581" i="34"/>
  <c r="AT581" i="34"/>
  <c r="AS581" i="34"/>
  <c r="AR581" i="34"/>
  <c r="AQ581" i="34"/>
  <c r="AP581" i="34"/>
  <c r="AO581" i="34"/>
  <c r="AN581" i="34"/>
  <c r="AM581" i="34"/>
  <c r="AL581" i="34"/>
  <c r="AZ580" i="34"/>
  <c r="AY580" i="34"/>
  <c r="AX580" i="34"/>
  <c r="AW580" i="34"/>
  <c r="AV580" i="34"/>
  <c r="AU580" i="34"/>
  <c r="AT580" i="34"/>
  <c r="AS580" i="34"/>
  <c r="AR580" i="34"/>
  <c r="AQ580" i="34"/>
  <c r="AP580" i="34"/>
  <c r="AO580" i="34"/>
  <c r="AN580" i="34"/>
  <c r="AM580" i="34"/>
  <c r="AL580" i="34"/>
  <c r="AZ579" i="34"/>
  <c r="AY579" i="34"/>
  <c r="AX579" i="34"/>
  <c r="AW579" i="34"/>
  <c r="AV579" i="34"/>
  <c r="AU579" i="34"/>
  <c r="AT579" i="34"/>
  <c r="AS579" i="34"/>
  <c r="AR579" i="34"/>
  <c r="AQ579" i="34"/>
  <c r="AP579" i="34"/>
  <c r="AO579" i="34"/>
  <c r="AN579" i="34"/>
  <c r="AM579" i="34"/>
  <c r="AL579" i="34"/>
  <c r="AJ587" i="34"/>
  <c r="AI587" i="34"/>
  <c r="AH587" i="34"/>
  <c r="AG587" i="34"/>
  <c r="AF587" i="34"/>
  <c r="AE587" i="34"/>
  <c r="AD587" i="34"/>
  <c r="AC587" i="34"/>
  <c r="AB587" i="34"/>
  <c r="AA587" i="34"/>
  <c r="Z587" i="34"/>
  <c r="Y587" i="34"/>
  <c r="X587" i="34"/>
  <c r="W587" i="34"/>
  <c r="V587" i="34"/>
  <c r="U587" i="34"/>
  <c r="T587" i="34"/>
  <c r="S587" i="34"/>
  <c r="R587" i="34"/>
  <c r="Q587" i="34"/>
  <c r="P587" i="34"/>
  <c r="O587" i="34"/>
  <c r="N587" i="34"/>
  <c r="M587" i="34"/>
  <c r="P584" i="34"/>
  <c r="O584" i="34"/>
  <c r="N584" i="34"/>
  <c r="M584" i="34"/>
  <c r="P583" i="34"/>
  <c r="O583" i="34"/>
  <c r="N583" i="34"/>
  <c r="M583" i="34"/>
  <c r="P582" i="34"/>
  <c r="O582" i="34"/>
  <c r="N582" i="34"/>
  <c r="M582" i="34"/>
  <c r="AJ581" i="34"/>
  <c r="AI581" i="34"/>
  <c r="AH581" i="34"/>
  <c r="AG581" i="34"/>
  <c r="AF581" i="34"/>
  <c r="AE581" i="34"/>
  <c r="AD581" i="34"/>
  <c r="AC581" i="34"/>
  <c r="AB581" i="34"/>
  <c r="AA581" i="34"/>
  <c r="Z581" i="34"/>
  <c r="Y581" i="34"/>
  <c r="X581" i="34"/>
  <c r="W581" i="34"/>
  <c r="V581" i="34"/>
  <c r="U581" i="34"/>
  <c r="T581" i="34"/>
  <c r="S581" i="34"/>
  <c r="R581" i="34"/>
  <c r="Q581" i="34"/>
  <c r="P581" i="34"/>
  <c r="O581" i="34"/>
  <c r="N581" i="34"/>
  <c r="M581" i="34"/>
  <c r="AJ580" i="34"/>
  <c r="AI580" i="34"/>
  <c r="AH580" i="34"/>
  <c r="AG580" i="34"/>
  <c r="AF580" i="34"/>
  <c r="AE580" i="34"/>
  <c r="AD580" i="34"/>
  <c r="AC580" i="34"/>
  <c r="AB580" i="34"/>
  <c r="AA580" i="34"/>
  <c r="Z580" i="34"/>
  <c r="Y580" i="34"/>
  <c r="X580" i="34"/>
  <c r="W580" i="34"/>
  <c r="V580" i="34"/>
  <c r="U580" i="34"/>
  <c r="T580" i="34"/>
  <c r="S580" i="34"/>
  <c r="R580" i="34"/>
  <c r="Q580" i="34"/>
  <c r="P580" i="34"/>
  <c r="O580" i="34"/>
  <c r="N580" i="34"/>
  <c r="M580" i="34"/>
  <c r="I573" i="34"/>
  <c r="I572" i="34"/>
  <c r="I571" i="34"/>
  <c r="I570" i="34"/>
  <c r="I569" i="34"/>
  <c r="I568" i="34"/>
  <c r="I567" i="34"/>
  <c r="I566" i="34"/>
  <c r="I565" i="34"/>
  <c r="I564" i="34"/>
  <c r="I563" i="34"/>
  <c r="I562" i="34"/>
  <c r="I561" i="34"/>
  <c r="I560" i="34"/>
  <c r="I559" i="34"/>
  <c r="I558" i="34"/>
  <c r="I557" i="34"/>
  <c r="I556" i="34"/>
  <c r="I555" i="34"/>
  <c r="I554" i="34"/>
  <c r="I553" i="34"/>
  <c r="I552" i="34"/>
  <c r="I551" i="34"/>
  <c r="I550" i="34"/>
  <c r="I549" i="34"/>
  <c r="I548" i="34"/>
  <c r="I547" i="34"/>
  <c r="I545" i="34"/>
  <c r="I544" i="34"/>
  <c r="I543" i="34"/>
  <c r="I542" i="34"/>
  <c r="I541" i="34"/>
  <c r="I540" i="34"/>
  <c r="I539" i="34"/>
  <c r="I538" i="34"/>
  <c r="I537" i="34"/>
  <c r="I536" i="34"/>
  <c r="I535" i="34"/>
  <c r="I534" i="34"/>
  <c r="I533" i="34"/>
  <c r="I532" i="34"/>
  <c r="I531" i="34"/>
  <c r="I530" i="34"/>
  <c r="I529" i="34"/>
  <c r="I528" i="34"/>
  <c r="I527" i="34"/>
  <c r="I526" i="34"/>
  <c r="I525" i="34"/>
  <c r="I524" i="34"/>
  <c r="I523" i="34"/>
  <c r="I522" i="34"/>
  <c r="I521" i="34"/>
  <c r="I520" i="34"/>
  <c r="I519" i="34"/>
  <c r="I518" i="34"/>
  <c r="I517" i="34"/>
  <c r="I516" i="34"/>
  <c r="I515" i="34"/>
  <c r="AM573" i="34"/>
  <c r="AL573" i="34"/>
  <c r="AZ572" i="34"/>
  <c r="AY572" i="34"/>
  <c r="AX572" i="34"/>
  <c r="AW572" i="34"/>
  <c r="AV572" i="34"/>
  <c r="AU572" i="34"/>
  <c r="AT572" i="34"/>
  <c r="AS572" i="34"/>
  <c r="AR572" i="34"/>
  <c r="AQ572" i="34"/>
  <c r="AP572" i="34"/>
  <c r="AO572" i="34"/>
  <c r="AN572" i="34"/>
  <c r="AM572" i="34"/>
  <c r="AL572" i="34"/>
  <c r="AM571" i="34"/>
  <c r="AL571" i="34"/>
  <c r="AM570" i="34"/>
  <c r="AL570" i="34"/>
  <c r="AZ569" i="34"/>
  <c r="AY569" i="34"/>
  <c r="AX569" i="34"/>
  <c r="AW569" i="34"/>
  <c r="AV569" i="34"/>
  <c r="AU569" i="34"/>
  <c r="AT569" i="34"/>
  <c r="AS569" i="34"/>
  <c r="AR569" i="34"/>
  <c r="AQ569" i="34"/>
  <c r="AP569" i="34"/>
  <c r="AO569" i="34"/>
  <c r="AN569" i="34"/>
  <c r="AM569" i="34"/>
  <c r="AL569" i="34"/>
  <c r="AZ568" i="34"/>
  <c r="AY568" i="34"/>
  <c r="AX568" i="34"/>
  <c r="AW568" i="34"/>
  <c r="AV568" i="34"/>
  <c r="AU568" i="34"/>
  <c r="AT568" i="34"/>
  <c r="AS568" i="34"/>
  <c r="AR568" i="34"/>
  <c r="AQ568" i="34"/>
  <c r="AP568" i="34"/>
  <c r="AO568" i="34"/>
  <c r="AN568" i="34"/>
  <c r="AM568" i="34"/>
  <c r="AL568" i="34"/>
  <c r="AM567" i="34"/>
  <c r="AL567" i="34"/>
  <c r="AN566" i="34"/>
  <c r="AM566" i="34"/>
  <c r="AL566" i="34"/>
  <c r="AT565" i="34"/>
  <c r="AS565" i="34"/>
  <c r="AR565" i="34"/>
  <c r="AQ565" i="34"/>
  <c r="AP565" i="34"/>
  <c r="AO565" i="34"/>
  <c r="AN565" i="34"/>
  <c r="AM565" i="34"/>
  <c r="AL565" i="34"/>
  <c r="AO564" i="34"/>
  <c r="AN564" i="34"/>
  <c r="AM564" i="34"/>
  <c r="AL564" i="34"/>
  <c r="AZ563" i="34"/>
  <c r="AY563" i="34"/>
  <c r="AX563" i="34"/>
  <c r="AW563" i="34"/>
  <c r="AV563" i="34"/>
  <c r="AU563" i="34"/>
  <c r="AT563" i="34"/>
  <c r="AS563" i="34"/>
  <c r="AR563" i="34"/>
  <c r="AQ563" i="34"/>
  <c r="AP563" i="34"/>
  <c r="AO563" i="34"/>
  <c r="AN563" i="34"/>
  <c r="AM563" i="34"/>
  <c r="AL563" i="34"/>
  <c r="AZ562" i="34"/>
  <c r="AY562" i="34"/>
  <c r="AX562" i="34"/>
  <c r="AW562" i="34"/>
  <c r="AV562" i="34"/>
  <c r="AU562" i="34"/>
  <c r="AT562" i="34"/>
  <c r="AS562" i="34"/>
  <c r="AR562" i="34"/>
  <c r="AQ562" i="34"/>
  <c r="AP562" i="34"/>
  <c r="AO562" i="34"/>
  <c r="AN562" i="34"/>
  <c r="AM562" i="34"/>
  <c r="AL562" i="34"/>
  <c r="AZ561" i="34"/>
  <c r="AY561" i="34"/>
  <c r="AX561" i="34"/>
  <c r="AW561" i="34"/>
  <c r="AV561" i="34"/>
  <c r="AU561" i="34"/>
  <c r="AT561" i="34"/>
  <c r="AS561" i="34"/>
  <c r="AR561" i="34"/>
  <c r="AQ561" i="34"/>
  <c r="AP561" i="34"/>
  <c r="AO561" i="34"/>
  <c r="AN561" i="34"/>
  <c r="AM561" i="34"/>
  <c r="AL561" i="34"/>
  <c r="AZ560" i="34"/>
  <c r="AY560" i="34"/>
  <c r="AX560" i="34"/>
  <c r="AW560" i="34"/>
  <c r="AV560" i="34"/>
  <c r="AU560" i="34"/>
  <c r="AT560" i="34"/>
  <c r="AS560" i="34"/>
  <c r="AR560" i="34"/>
  <c r="AQ560" i="34"/>
  <c r="AP560" i="34"/>
  <c r="AO560" i="34"/>
  <c r="AN560" i="34"/>
  <c r="AM560" i="34"/>
  <c r="AL560" i="34"/>
  <c r="AR559" i="34"/>
  <c r="AQ559" i="34"/>
  <c r="AP559" i="34"/>
  <c r="AO559" i="34"/>
  <c r="AN559" i="34"/>
  <c r="AM559" i="34"/>
  <c r="AL559" i="34"/>
  <c r="AZ558" i="34"/>
  <c r="AY558" i="34"/>
  <c r="AX558" i="34"/>
  <c r="AW558" i="34"/>
  <c r="AV558" i="34"/>
  <c r="AU558" i="34"/>
  <c r="AT558" i="34"/>
  <c r="AS558" i="34"/>
  <c r="AR558" i="34"/>
  <c r="AQ558" i="34"/>
  <c r="AP558" i="34"/>
  <c r="AO558" i="34"/>
  <c r="AN558" i="34"/>
  <c r="AM558" i="34"/>
  <c r="AL558" i="34"/>
  <c r="AS557" i="34"/>
  <c r="AR557" i="34"/>
  <c r="AQ557" i="34"/>
  <c r="AP557" i="34"/>
  <c r="AO557" i="34"/>
  <c r="AN557" i="34"/>
  <c r="AM557" i="34"/>
  <c r="AL557" i="34"/>
  <c r="AR556" i="34"/>
  <c r="AQ556" i="34"/>
  <c r="AP556" i="34"/>
  <c r="AO556" i="34"/>
  <c r="AN556" i="34"/>
  <c r="AM556" i="34"/>
  <c r="AL556" i="34"/>
  <c r="AZ555" i="34"/>
  <c r="AY555" i="34"/>
  <c r="AX555" i="34"/>
  <c r="AW555" i="34"/>
  <c r="AV555" i="34"/>
  <c r="AU555" i="34"/>
  <c r="AT555" i="34"/>
  <c r="AS555" i="34"/>
  <c r="AR555" i="34"/>
  <c r="AQ555" i="34"/>
  <c r="AP555" i="34"/>
  <c r="AO555" i="34"/>
  <c r="AN555" i="34"/>
  <c r="AM555" i="34"/>
  <c r="AL555" i="34"/>
  <c r="AZ554" i="34"/>
  <c r="AY554" i="34"/>
  <c r="AX554" i="34"/>
  <c r="AW554" i="34"/>
  <c r="AV554" i="34"/>
  <c r="AU554" i="34"/>
  <c r="AT554" i="34"/>
  <c r="AS554" i="34"/>
  <c r="AR554" i="34"/>
  <c r="AQ554" i="34"/>
  <c r="AP554" i="34"/>
  <c r="AO554" i="34"/>
  <c r="AN554" i="34"/>
  <c r="AM554" i="34"/>
  <c r="AL554" i="34"/>
  <c r="AR553" i="34"/>
  <c r="AQ553" i="34"/>
  <c r="AP553" i="34"/>
  <c r="AO553" i="34"/>
  <c r="AN553" i="34"/>
  <c r="AM553" i="34"/>
  <c r="AL553" i="34"/>
  <c r="AZ552" i="34"/>
  <c r="AY552" i="34"/>
  <c r="AX552" i="34"/>
  <c r="AW552" i="34"/>
  <c r="AV552" i="34"/>
  <c r="AU552" i="34"/>
  <c r="AT552" i="34"/>
  <c r="AS552" i="34"/>
  <c r="AR552" i="34"/>
  <c r="AQ552" i="34"/>
  <c r="AP552" i="34"/>
  <c r="AO552" i="34"/>
  <c r="AN552" i="34"/>
  <c r="AM552" i="34"/>
  <c r="AL552" i="34"/>
  <c r="AS551" i="34"/>
  <c r="AR551" i="34"/>
  <c r="AQ551" i="34"/>
  <c r="AP551" i="34"/>
  <c r="AO551" i="34"/>
  <c r="AN551" i="34"/>
  <c r="AM551" i="34"/>
  <c r="AL551" i="34"/>
  <c r="AR550" i="34"/>
  <c r="AQ550" i="34"/>
  <c r="AP550" i="34"/>
  <c r="AO550" i="34"/>
  <c r="AN550" i="34"/>
  <c r="AM550" i="34"/>
  <c r="AL550" i="34"/>
  <c r="AZ549" i="34"/>
  <c r="AY549" i="34"/>
  <c r="AX549" i="34"/>
  <c r="AW549" i="34"/>
  <c r="AV549" i="34"/>
  <c r="AU549" i="34"/>
  <c r="AT549" i="34"/>
  <c r="AS549" i="34"/>
  <c r="AR549" i="34"/>
  <c r="AQ549" i="34"/>
  <c r="AP549" i="34"/>
  <c r="AO549" i="34"/>
  <c r="AN549" i="34"/>
  <c r="AM549" i="34"/>
  <c r="AL549" i="34"/>
  <c r="AZ548" i="34"/>
  <c r="AY548" i="34"/>
  <c r="AX548" i="34"/>
  <c r="AW548" i="34"/>
  <c r="AV548" i="34"/>
  <c r="AU548" i="34"/>
  <c r="AT548" i="34"/>
  <c r="AS548" i="34"/>
  <c r="AR548" i="34"/>
  <c r="AQ548" i="34"/>
  <c r="AP548" i="34"/>
  <c r="AO548" i="34"/>
  <c r="AN548" i="34"/>
  <c r="AM548" i="34"/>
  <c r="AL548" i="34"/>
  <c r="AZ547" i="34"/>
  <c r="AY547" i="34"/>
  <c r="AX547" i="34"/>
  <c r="AW547" i="34"/>
  <c r="AV547" i="34"/>
  <c r="AU547" i="34"/>
  <c r="AT547" i="34"/>
  <c r="AS547" i="34"/>
  <c r="AR547" i="34"/>
  <c r="AQ547" i="34"/>
  <c r="AP547" i="34"/>
  <c r="AO547" i="34"/>
  <c r="AN547" i="34"/>
  <c r="AM547" i="34"/>
  <c r="AL547" i="34"/>
  <c r="AZ545" i="34"/>
  <c r="AY545" i="34"/>
  <c r="AX545" i="34"/>
  <c r="AW545" i="34"/>
  <c r="AV545" i="34"/>
  <c r="AU545" i="34"/>
  <c r="AT545" i="34"/>
  <c r="AS545" i="34"/>
  <c r="AR545" i="34"/>
  <c r="AQ545" i="34"/>
  <c r="AP545" i="34"/>
  <c r="AO545" i="34"/>
  <c r="AN545" i="34"/>
  <c r="AM545" i="34"/>
  <c r="AL545" i="34"/>
  <c r="AM544" i="34"/>
  <c r="AL544" i="34"/>
  <c r="AM543" i="34"/>
  <c r="AL543" i="34"/>
  <c r="AZ542" i="34"/>
  <c r="AY542" i="34"/>
  <c r="AX542" i="34"/>
  <c r="AW542" i="34"/>
  <c r="AV542" i="34"/>
  <c r="AU542" i="34"/>
  <c r="AT542" i="34"/>
  <c r="AS542" i="34"/>
  <c r="AR542" i="34"/>
  <c r="AQ542" i="34"/>
  <c r="AP542" i="34"/>
  <c r="AO542" i="34"/>
  <c r="AN542" i="34"/>
  <c r="AM542" i="34"/>
  <c r="AL542" i="34"/>
  <c r="AZ541" i="34"/>
  <c r="AY541" i="34"/>
  <c r="AX541" i="34"/>
  <c r="AW541" i="34"/>
  <c r="AV541" i="34"/>
  <c r="AU541" i="34"/>
  <c r="AT541" i="34"/>
  <c r="AS541" i="34"/>
  <c r="AR541" i="34"/>
  <c r="AQ541" i="34"/>
  <c r="AP541" i="34"/>
  <c r="AO541" i="34"/>
  <c r="AN541" i="34"/>
  <c r="AM541" i="34"/>
  <c r="AL541" i="34"/>
  <c r="AM540" i="34"/>
  <c r="AL540" i="34"/>
  <c r="AM539" i="34"/>
  <c r="AL539" i="34"/>
  <c r="AZ538" i="34"/>
  <c r="AY538" i="34"/>
  <c r="AX538" i="34"/>
  <c r="AW538" i="34"/>
  <c r="AV538" i="34"/>
  <c r="AU538" i="34"/>
  <c r="AT538" i="34"/>
  <c r="AS538" i="34"/>
  <c r="AR538" i="34"/>
  <c r="AQ538" i="34"/>
  <c r="AP538" i="34"/>
  <c r="AO538" i="34"/>
  <c r="AN538" i="34"/>
  <c r="AM538" i="34"/>
  <c r="AL538" i="34"/>
  <c r="AP537" i="34"/>
  <c r="AO537" i="34"/>
  <c r="AN537" i="34"/>
  <c r="AM537" i="34"/>
  <c r="AL537" i="34"/>
  <c r="AZ536" i="34"/>
  <c r="AY536" i="34"/>
  <c r="AX536" i="34"/>
  <c r="AW536" i="34"/>
  <c r="AV536" i="34"/>
  <c r="AU536" i="34"/>
  <c r="AT536" i="34"/>
  <c r="AS536" i="34"/>
  <c r="AR536" i="34"/>
  <c r="AQ536" i="34"/>
  <c r="AP536" i="34"/>
  <c r="AO536" i="34"/>
  <c r="AN536" i="34"/>
  <c r="AM536" i="34"/>
  <c r="AL536" i="34"/>
  <c r="AP535" i="34"/>
  <c r="AO535" i="34"/>
  <c r="AN535" i="34"/>
  <c r="AM535" i="34"/>
  <c r="AL535" i="34"/>
  <c r="AP534" i="34"/>
  <c r="AO534" i="34"/>
  <c r="AN534" i="34"/>
  <c r="AM534" i="34"/>
  <c r="AL534" i="34"/>
  <c r="AZ533" i="34"/>
  <c r="AY533" i="34"/>
  <c r="AX533" i="34"/>
  <c r="AW533" i="34"/>
  <c r="AV533" i="34"/>
  <c r="AU533" i="34"/>
  <c r="AT533" i="34"/>
  <c r="AS533" i="34"/>
  <c r="AR533" i="34"/>
  <c r="AQ533" i="34"/>
  <c r="AP533" i="34"/>
  <c r="AO533" i="34"/>
  <c r="AN533" i="34"/>
  <c r="AM533" i="34"/>
  <c r="AL533" i="34"/>
  <c r="AP532" i="34"/>
  <c r="AO532" i="34"/>
  <c r="AN532" i="34"/>
  <c r="AM532" i="34"/>
  <c r="AL532" i="34"/>
  <c r="AZ531" i="34"/>
  <c r="AY531" i="34"/>
  <c r="AX531" i="34"/>
  <c r="AW531" i="34"/>
  <c r="AV531" i="34"/>
  <c r="AU531" i="34"/>
  <c r="AT531" i="34"/>
  <c r="AS531" i="34"/>
  <c r="AR531" i="34"/>
  <c r="AQ531" i="34"/>
  <c r="AP531" i="34"/>
  <c r="AO531" i="34"/>
  <c r="AN531" i="34"/>
  <c r="AM531" i="34"/>
  <c r="AL531" i="34"/>
  <c r="AP530" i="34"/>
  <c r="AO530" i="34"/>
  <c r="AN530" i="34"/>
  <c r="AM530" i="34"/>
  <c r="AL530" i="34"/>
  <c r="AP529" i="34"/>
  <c r="AO529" i="34"/>
  <c r="AN529" i="34"/>
  <c r="AM529" i="34"/>
  <c r="AL529" i="34"/>
  <c r="AZ528" i="34"/>
  <c r="AY528" i="34"/>
  <c r="AX528" i="34"/>
  <c r="AW528" i="34"/>
  <c r="AV528" i="34"/>
  <c r="AU528" i="34"/>
  <c r="AT528" i="34"/>
  <c r="AS528" i="34"/>
  <c r="AR528" i="34"/>
  <c r="AQ528" i="34"/>
  <c r="AP528" i="34"/>
  <c r="AO528" i="34"/>
  <c r="AN528" i="34"/>
  <c r="AM528" i="34"/>
  <c r="AL528" i="34"/>
  <c r="AP527" i="34"/>
  <c r="AO527" i="34"/>
  <c r="AN527" i="34"/>
  <c r="AM527" i="34"/>
  <c r="AL527" i="34"/>
  <c r="AZ526" i="34"/>
  <c r="AY526" i="34"/>
  <c r="AX526" i="34"/>
  <c r="AW526" i="34"/>
  <c r="AV526" i="34"/>
  <c r="AU526" i="34"/>
  <c r="AT526" i="34"/>
  <c r="AS526" i="34"/>
  <c r="AR526" i="34"/>
  <c r="AQ526" i="34"/>
  <c r="AP526" i="34"/>
  <c r="AO526" i="34"/>
  <c r="AN526" i="34"/>
  <c r="AM526" i="34"/>
  <c r="AL526" i="34"/>
  <c r="AP525" i="34"/>
  <c r="AO525" i="34"/>
  <c r="AN525" i="34"/>
  <c r="AM525" i="34"/>
  <c r="AL525" i="34"/>
  <c r="AP524" i="34"/>
  <c r="AO524" i="34"/>
  <c r="AN524" i="34"/>
  <c r="AM524" i="34"/>
  <c r="AL524" i="34"/>
  <c r="AZ523" i="34"/>
  <c r="AY523" i="34"/>
  <c r="AX523" i="34"/>
  <c r="AW523" i="34"/>
  <c r="AV523" i="34"/>
  <c r="AU523" i="34"/>
  <c r="AT523" i="34"/>
  <c r="AS523" i="34"/>
  <c r="AR523" i="34"/>
  <c r="AQ523" i="34"/>
  <c r="AP523" i="34"/>
  <c r="AO523" i="34"/>
  <c r="AN523" i="34"/>
  <c r="AM523" i="34"/>
  <c r="AL523" i="34"/>
  <c r="AZ522" i="34"/>
  <c r="AY522" i="34"/>
  <c r="AX522" i="34"/>
  <c r="AW522" i="34"/>
  <c r="AV522" i="34"/>
  <c r="AU522" i="34"/>
  <c r="AT522" i="34"/>
  <c r="AS522" i="34"/>
  <c r="AR522" i="34"/>
  <c r="AQ522" i="34"/>
  <c r="AP522" i="34"/>
  <c r="AO522" i="34"/>
  <c r="AN522" i="34"/>
  <c r="AM522" i="34"/>
  <c r="AL522" i="34"/>
  <c r="AN521" i="34"/>
  <c r="AM521" i="34"/>
  <c r="AL521" i="34"/>
  <c r="AL520" i="34"/>
  <c r="AZ519" i="34"/>
  <c r="AY519" i="34"/>
  <c r="AX519" i="34"/>
  <c r="AW519" i="34"/>
  <c r="AV519" i="34"/>
  <c r="AU519" i="34"/>
  <c r="AT519" i="34"/>
  <c r="AS519" i="34"/>
  <c r="AR519" i="34"/>
  <c r="AQ519" i="34"/>
  <c r="AP519" i="34"/>
  <c r="AO519" i="34"/>
  <c r="AN519" i="34"/>
  <c r="AM519" i="34"/>
  <c r="AL519" i="34"/>
  <c r="AO518" i="34"/>
  <c r="AN518" i="34"/>
  <c r="AM518" i="34"/>
  <c r="AL518" i="34"/>
  <c r="AZ517" i="34"/>
  <c r="AY517" i="34"/>
  <c r="AX517" i="34"/>
  <c r="AW517" i="34"/>
  <c r="AV517" i="34"/>
  <c r="AU517" i="34"/>
  <c r="AT517" i="34"/>
  <c r="AS517" i="34"/>
  <c r="AR517" i="34"/>
  <c r="AQ517" i="34"/>
  <c r="AP517" i="34"/>
  <c r="AO517" i="34"/>
  <c r="AN517" i="34"/>
  <c r="AM517" i="34"/>
  <c r="AL517" i="34"/>
  <c r="AZ516" i="34"/>
  <c r="AY516" i="34"/>
  <c r="AX516" i="34"/>
  <c r="AW516" i="34"/>
  <c r="AV516" i="34"/>
  <c r="AU516" i="34"/>
  <c r="AT516" i="34"/>
  <c r="AS516" i="34"/>
  <c r="AR516" i="34"/>
  <c r="AQ516" i="34"/>
  <c r="AP516" i="34"/>
  <c r="AO516" i="34"/>
  <c r="AN516" i="34"/>
  <c r="AM516" i="34"/>
  <c r="AL516" i="34"/>
  <c r="AZ515" i="34"/>
  <c r="AY515" i="34"/>
  <c r="AX515" i="34"/>
  <c r="AW515" i="34"/>
  <c r="AV515" i="34"/>
  <c r="AU515" i="34"/>
  <c r="AT515" i="34"/>
  <c r="AS515" i="34"/>
  <c r="AR515" i="34"/>
  <c r="AQ515" i="34"/>
  <c r="AP515" i="34"/>
  <c r="AO515" i="34"/>
  <c r="AN515" i="34"/>
  <c r="AM515" i="34"/>
  <c r="AL515" i="34"/>
  <c r="AJ569" i="34"/>
  <c r="AI569" i="34"/>
  <c r="AH569" i="34"/>
  <c r="AG569" i="34"/>
  <c r="AF569" i="34"/>
  <c r="AE569" i="34"/>
  <c r="AD569" i="34"/>
  <c r="AC569" i="34"/>
  <c r="AB569" i="34"/>
  <c r="AA569" i="34"/>
  <c r="Z569" i="34"/>
  <c r="Y569" i="34"/>
  <c r="X569" i="34"/>
  <c r="W569" i="34"/>
  <c r="V569" i="34"/>
  <c r="U569" i="34"/>
  <c r="T569" i="34"/>
  <c r="S569" i="34"/>
  <c r="R569" i="34"/>
  <c r="Q569" i="34"/>
  <c r="P569" i="34"/>
  <c r="O569" i="34"/>
  <c r="N569" i="34"/>
  <c r="M569" i="34"/>
  <c r="Z566" i="34"/>
  <c r="Y566" i="34"/>
  <c r="X566" i="34"/>
  <c r="V566" i="34"/>
  <c r="U566" i="34"/>
  <c r="T566" i="34"/>
  <c r="S566" i="34"/>
  <c r="R566" i="34"/>
  <c r="Q566" i="34"/>
  <c r="P566" i="34"/>
  <c r="O566" i="34"/>
  <c r="N566" i="34"/>
  <c r="M566" i="34"/>
  <c r="M565" i="34"/>
  <c r="AF564" i="34"/>
  <c r="AE564" i="34"/>
  <c r="AD564" i="34"/>
  <c r="AC564" i="34"/>
  <c r="AB564" i="34"/>
  <c r="AA564" i="34"/>
  <c r="Z564" i="34"/>
  <c r="Y564" i="34"/>
  <c r="X564" i="34"/>
  <c r="W564" i="34"/>
  <c r="V564" i="34"/>
  <c r="U564" i="34"/>
  <c r="T564" i="34"/>
  <c r="S564" i="34"/>
  <c r="R564" i="34"/>
  <c r="Q564" i="34"/>
  <c r="P564" i="34"/>
  <c r="O564" i="34"/>
  <c r="N564" i="34"/>
  <c r="M564" i="34"/>
  <c r="AJ563" i="34"/>
  <c r="AI563" i="34"/>
  <c r="AH563" i="34"/>
  <c r="AG563" i="34"/>
  <c r="AF563" i="34"/>
  <c r="AE563" i="34"/>
  <c r="AD563" i="34"/>
  <c r="AC563" i="34"/>
  <c r="AB563" i="34"/>
  <c r="AA563" i="34"/>
  <c r="Z563" i="34"/>
  <c r="Y563" i="34"/>
  <c r="X563" i="34"/>
  <c r="W563" i="34"/>
  <c r="V563" i="34"/>
  <c r="U563" i="34"/>
  <c r="T563" i="34"/>
  <c r="S563" i="34"/>
  <c r="R563" i="34"/>
  <c r="Q563" i="34"/>
  <c r="P563" i="34"/>
  <c r="O563" i="34"/>
  <c r="N563" i="34"/>
  <c r="M563" i="34"/>
  <c r="AJ562" i="34"/>
  <c r="AI562" i="34"/>
  <c r="AH562" i="34"/>
  <c r="AG562" i="34"/>
  <c r="AF562" i="34"/>
  <c r="AE562" i="34"/>
  <c r="AD562" i="34"/>
  <c r="AC562" i="34"/>
  <c r="AB562" i="34"/>
  <c r="AA562" i="34"/>
  <c r="Z562" i="34"/>
  <c r="Y562" i="34"/>
  <c r="X562" i="34"/>
  <c r="W562" i="34"/>
  <c r="V562" i="34"/>
  <c r="U562" i="34"/>
  <c r="T562" i="34"/>
  <c r="S562" i="34"/>
  <c r="R562" i="34"/>
  <c r="Q562" i="34"/>
  <c r="P562" i="34"/>
  <c r="O562" i="34"/>
  <c r="N562" i="34"/>
  <c r="M562" i="34"/>
  <c r="AJ561" i="34"/>
  <c r="AI561" i="34"/>
  <c r="AH561" i="34"/>
  <c r="AG561" i="34"/>
  <c r="AF561" i="34"/>
  <c r="AE561" i="34"/>
  <c r="AD561" i="34"/>
  <c r="AC561" i="34"/>
  <c r="AB561" i="34"/>
  <c r="AA561" i="34"/>
  <c r="Z561" i="34"/>
  <c r="Y561" i="34"/>
  <c r="X561" i="34"/>
  <c r="W561" i="34"/>
  <c r="V561" i="34"/>
  <c r="U561" i="34"/>
  <c r="T561" i="34"/>
  <c r="S561" i="34"/>
  <c r="R561" i="34"/>
  <c r="Q561" i="34"/>
  <c r="P561" i="34"/>
  <c r="O561" i="34"/>
  <c r="N561" i="34"/>
  <c r="M561" i="34"/>
  <c r="AJ560" i="34"/>
  <c r="AI560" i="34"/>
  <c r="AH560" i="34"/>
  <c r="AG560" i="34"/>
  <c r="AF560" i="34"/>
  <c r="AE560" i="34"/>
  <c r="AD560" i="34"/>
  <c r="AC560" i="34"/>
  <c r="AB560" i="34"/>
  <c r="AA560" i="34"/>
  <c r="Z560" i="34"/>
  <c r="Y560" i="34"/>
  <c r="X560" i="34"/>
  <c r="W560" i="34"/>
  <c r="V560" i="34"/>
  <c r="U560" i="34"/>
  <c r="T560" i="34"/>
  <c r="S560" i="34"/>
  <c r="R560" i="34"/>
  <c r="Q560" i="34"/>
  <c r="P560" i="34"/>
  <c r="O560" i="34"/>
  <c r="N560" i="34"/>
  <c r="M560" i="34"/>
  <c r="AA559" i="34"/>
  <c r="Z559" i="34"/>
  <c r="Y559" i="34"/>
  <c r="X559" i="34"/>
  <c r="W559" i="34"/>
  <c r="V559" i="34"/>
  <c r="U559" i="34"/>
  <c r="T559" i="34"/>
  <c r="S559" i="34"/>
  <c r="R559" i="34"/>
  <c r="Q559" i="34"/>
  <c r="P559" i="34"/>
  <c r="O559" i="34"/>
  <c r="N559" i="34"/>
  <c r="M559" i="34"/>
  <c r="Z558" i="34"/>
  <c r="Y558" i="34"/>
  <c r="X558" i="34"/>
  <c r="W558" i="34"/>
  <c r="V558" i="34"/>
  <c r="U558" i="34"/>
  <c r="T558" i="34"/>
  <c r="S558" i="34"/>
  <c r="R558" i="34"/>
  <c r="Q558" i="34"/>
  <c r="P558" i="34"/>
  <c r="O558" i="34"/>
  <c r="N558" i="34"/>
  <c r="M558" i="34"/>
  <c r="Z557" i="34"/>
  <c r="Y557" i="34"/>
  <c r="X557" i="34"/>
  <c r="W557" i="34"/>
  <c r="V557" i="34"/>
  <c r="U557" i="34"/>
  <c r="T557" i="34"/>
  <c r="S557" i="34"/>
  <c r="R557" i="34"/>
  <c r="Q557" i="34"/>
  <c r="P557" i="34"/>
  <c r="O557" i="34"/>
  <c r="N557" i="34"/>
  <c r="M557" i="34"/>
  <c r="AG556" i="34"/>
  <c r="Z556" i="34"/>
  <c r="Y556" i="34"/>
  <c r="X556" i="34"/>
  <c r="W556" i="34"/>
  <c r="V556" i="34"/>
  <c r="U556" i="34"/>
  <c r="T556" i="34"/>
  <c r="S556" i="34"/>
  <c r="R556" i="34"/>
  <c r="Q556" i="34"/>
  <c r="P556" i="34"/>
  <c r="O556" i="34"/>
  <c r="N556" i="34"/>
  <c r="M556" i="34"/>
  <c r="AJ555" i="34"/>
  <c r="AI555" i="34"/>
  <c r="AH555" i="34"/>
  <c r="AG555" i="34"/>
  <c r="AF555" i="34"/>
  <c r="AE555" i="34"/>
  <c r="AD555" i="34"/>
  <c r="AC555" i="34"/>
  <c r="AB555" i="34"/>
  <c r="AA555" i="34"/>
  <c r="Z555" i="34"/>
  <c r="Y555" i="34"/>
  <c r="X555" i="34"/>
  <c r="W555" i="34"/>
  <c r="V555" i="34"/>
  <c r="U555" i="34"/>
  <c r="T555" i="34"/>
  <c r="S555" i="34"/>
  <c r="R555" i="34"/>
  <c r="Q555" i="34"/>
  <c r="P555" i="34"/>
  <c r="O555" i="34"/>
  <c r="N555" i="34"/>
  <c r="M555" i="34"/>
  <c r="AJ554" i="34"/>
  <c r="AI554" i="34"/>
  <c r="AH554" i="34"/>
  <c r="AG554" i="34"/>
  <c r="AF554" i="34"/>
  <c r="AE554" i="34"/>
  <c r="AD554" i="34"/>
  <c r="AC554" i="34"/>
  <c r="AB554" i="34"/>
  <c r="AA554" i="34"/>
  <c r="Z554" i="34"/>
  <c r="Y554" i="34"/>
  <c r="X554" i="34"/>
  <c r="W554" i="34"/>
  <c r="V554" i="34"/>
  <c r="U554" i="34"/>
  <c r="T554" i="34"/>
  <c r="S554" i="34"/>
  <c r="R554" i="34"/>
  <c r="Q554" i="34"/>
  <c r="P554" i="34"/>
  <c r="O554" i="34"/>
  <c r="N554" i="34"/>
  <c r="M554" i="34"/>
  <c r="Z553" i="34"/>
  <c r="Y553" i="34"/>
  <c r="X553" i="34"/>
  <c r="W553" i="34"/>
  <c r="V553" i="34"/>
  <c r="U553" i="34"/>
  <c r="T553" i="34"/>
  <c r="S553" i="34"/>
  <c r="R553" i="34"/>
  <c r="Q553" i="34"/>
  <c r="P553" i="34"/>
  <c r="O553" i="34"/>
  <c r="N553" i="34"/>
  <c r="M553" i="34"/>
  <c r="Z552" i="34"/>
  <c r="Y552" i="34"/>
  <c r="X552" i="34"/>
  <c r="W552" i="34"/>
  <c r="V552" i="34"/>
  <c r="U552" i="34"/>
  <c r="T552" i="34"/>
  <c r="S552" i="34"/>
  <c r="R552" i="34"/>
  <c r="Q552" i="34"/>
  <c r="P552" i="34"/>
  <c r="O552" i="34"/>
  <c r="N552" i="34"/>
  <c r="M552" i="34"/>
  <c r="Z551" i="34"/>
  <c r="Y551" i="34"/>
  <c r="X551" i="34"/>
  <c r="W551" i="34"/>
  <c r="V551" i="34"/>
  <c r="U551" i="34"/>
  <c r="T551" i="34"/>
  <c r="S551" i="34"/>
  <c r="R551" i="34"/>
  <c r="Q551" i="34"/>
  <c r="P551" i="34"/>
  <c r="O551" i="34"/>
  <c r="N551" i="34"/>
  <c r="M551" i="34"/>
  <c r="Z550" i="34"/>
  <c r="Y550" i="34"/>
  <c r="X550" i="34"/>
  <c r="W550" i="34"/>
  <c r="V550" i="34"/>
  <c r="U550" i="34"/>
  <c r="T550" i="34"/>
  <c r="S550" i="34"/>
  <c r="R550" i="34"/>
  <c r="Q550" i="34"/>
  <c r="P550" i="34"/>
  <c r="O550" i="34"/>
  <c r="N550" i="34"/>
  <c r="M550" i="34"/>
  <c r="AJ549" i="34"/>
  <c r="AI549" i="34"/>
  <c r="AH549" i="34"/>
  <c r="AG549" i="34"/>
  <c r="AF549" i="34"/>
  <c r="AE549" i="34"/>
  <c r="AD549" i="34"/>
  <c r="AC549" i="34"/>
  <c r="AB549" i="34"/>
  <c r="AA549" i="34"/>
  <c r="Z549" i="34"/>
  <c r="Y549" i="34"/>
  <c r="X549" i="34"/>
  <c r="W549" i="34"/>
  <c r="V549" i="34"/>
  <c r="U549" i="34"/>
  <c r="T549" i="34"/>
  <c r="S549" i="34"/>
  <c r="R549" i="34"/>
  <c r="Q549" i="34"/>
  <c r="P549" i="34"/>
  <c r="O549" i="34"/>
  <c r="N549" i="34"/>
  <c r="M549" i="34"/>
  <c r="AJ548" i="34"/>
  <c r="AI548" i="34"/>
  <c r="AH548" i="34"/>
  <c r="AG548" i="34"/>
  <c r="AF548" i="34"/>
  <c r="AE548" i="34"/>
  <c r="AD548" i="34"/>
  <c r="AC548" i="34"/>
  <c r="AB548" i="34"/>
  <c r="AA548" i="34"/>
  <c r="Z548" i="34"/>
  <c r="Y548" i="34"/>
  <c r="X548" i="34"/>
  <c r="W548" i="34"/>
  <c r="V548" i="34"/>
  <c r="U548" i="34"/>
  <c r="T548" i="34"/>
  <c r="S548" i="34"/>
  <c r="R548" i="34"/>
  <c r="Q548" i="34"/>
  <c r="P548" i="34"/>
  <c r="O548" i="34"/>
  <c r="N548" i="34"/>
  <c r="M548" i="34"/>
  <c r="AJ547" i="34"/>
  <c r="AI547" i="34"/>
  <c r="AH547" i="34"/>
  <c r="AG547" i="34"/>
  <c r="AF547" i="34"/>
  <c r="AE547" i="34"/>
  <c r="AD547" i="34"/>
  <c r="AC547" i="34"/>
  <c r="AB547" i="34"/>
  <c r="AA547" i="34"/>
  <c r="Z547" i="34"/>
  <c r="Y547" i="34"/>
  <c r="X547" i="34"/>
  <c r="W547" i="34"/>
  <c r="V547" i="34"/>
  <c r="U547" i="34"/>
  <c r="T547" i="34"/>
  <c r="S547" i="34"/>
  <c r="R547" i="34"/>
  <c r="Q547" i="34"/>
  <c r="P547" i="34"/>
  <c r="O547" i="34"/>
  <c r="N547" i="34"/>
  <c r="M547" i="34"/>
  <c r="AJ542" i="34"/>
  <c r="AI542" i="34"/>
  <c r="AH542" i="34"/>
  <c r="AG542" i="34"/>
  <c r="AF542" i="34"/>
  <c r="AE542" i="34"/>
  <c r="AD542" i="34"/>
  <c r="AC542" i="34"/>
  <c r="AB542" i="34"/>
  <c r="AA542" i="34"/>
  <c r="Z542" i="34"/>
  <c r="Y542" i="34"/>
  <c r="X542" i="34"/>
  <c r="W542" i="34"/>
  <c r="V542" i="34"/>
  <c r="U542" i="34"/>
  <c r="T542" i="34"/>
  <c r="S542" i="34"/>
  <c r="R542" i="34"/>
  <c r="Q542" i="34"/>
  <c r="P542" i="34"/>
  <c r="O542" i="34"/>
  <c r="N542" i="34"/>
  <c r="M542" i="34"/>
  <c r="S541" i="34"/>
  <c r="R541" i="34"/>
  <c r="Q541" i="34"/>
  <c r="P541" i="34"/>
  <c r="O541" i="34"/>
  <c r="N541" i="34"/>
  <c r="M541" i="34"/>
  <c r="S540" i="34"/>
  <c r="R540" i="34"/>
  <c r="Q540" i="34"/>
  <c r="P540" i="34"/>
  <c r="O540" i="34"/>
  <c r="N540" i="34"/>
  <c r="M540" i="34"/>
  <c r="S539" i="34"/>
  <c r="R539" i="34"/>
  <c r="Q539" i="34"/>
  <c r="O539" i="34"/>
  <c r="N539" i="34"/>
  <c r="M539" i="34"/>
  <c r="AJ538" i="34"/>
  <c r="AI538" i="34"/>
  <c r="AH538" i="34"/>
  <c r="AG538" i="34"/>
  <c r="AF538" i="34"/>
  <c r="AE538" i="34"/>
  <c r="AD538" i="34"/>
  <c r="AC538" i="34"/>
  <c r="AB538" i="34"/>
  <c r="AA538" i="34"/>
  <c r="Z538" i="34"/>
  <c r="Y538" i="34"/>
  <c r="X538" i="34"/>
  <c r="W538" i="34"/>
  <c r="V538" i="34"/>
  <c r="U538" i="34"/>
  <c r="T538" i="34"/>
  <c r="S538" i="34"/>
  <c r="R538" i="34"/>
  <c r="Q538" i="34"/>
  <c r="P538" i="34"/>
  <c r="O538" i="34"/>
  <c r="N538" i="34"/>
  <c r="M538" i="34"/>
  <c r="S537" i="34"/>
  <c r="R537" i="34"/>
  <c r="Q537" i="34"/>
  <c r="P537" i="34"/>
  <c r="O537" i="34"/>
  <c r="N537" i="34"/>
  <c r="M537" i="34"/>
  <c r="S536" i="34"/>
  <c r="R536" i="34"/>
  <c r="Q536" i="34"/>
  <c r="P536" i="34"/>
  <c r="O536" i="34"/>
  <c r="N536" i="34"/>
  <c r="M536" i="34"/>
  <c r="S535" i="34"/>
  <c r="R535" i="34"/>
  <c r="Q535" i="34"/>
  <c r="P535" i="34"/>
  <c r="O535" i="34"/>
  <c r="N535" i="34"/>
  <c r="M535" i="34"/>
  <c r="S534" i="34"/>
  <c r="R534" i="34"/>
  <c r="Q534" i="34"/>
  <c r="P534" i="34"/>
  <c r="O534" i="34"/>
  <c r="N534" i="34"/>
  <c r="M534" i="34"/>
  <c r="AJ533" i="34"/>
  <c r="AI533" i="34"/>
  <c r="AH533" i="34"/>
  <c r="AG533" i="34"/>
  <c r="AF533" i="34"/>
  <c r="AE533" i="34"/>
  <c r="AD533" i="34"/>
  <c r="AC533" i="34"/>
  <c r="AB533" i="34"/>
  <c r="AA533" i="34"/>
  <c r="Z533" i="34"/>
  <c r="Y533" i="34"/>
  <c r="X533" i="34"/>
  <c r="W533" i="34"/>
  <c r="V533" i="34"/>
  <c r="U533" i="34"/>
  <c r="T533" i="34"/>
  <c r="S533" i="34"/>
  <c r="R533" i="34"/>
  <c r="Q533" i="34"/>
  <c r="P533" i="34"/>
  <c r="O533" i="34"/>
  <c r="N533" i="34"/>
  <c r="M533" i="34"/>
  <c r="S532" i="34"/>
  <c r="R532" i="34"/>
  <c r="Q532" i="34"/>
  <c r="P532" i="34"/>
  <c r="O532" i="34"/>
  <c r="N532" i="34"/>
  <c r="M532" i="34"/>
  <c r="S531" i="34"/>
  <c r="R531" i="34"/>
  <c r="Q531" i="34"/>
  <c r="P531" i="34"/>
  <c r="O531" i="34"/>
  <c r="N531" i="34"/>
  <c r="M531" i="34"/>
  <c r="S530" i="34"/>
  <c r="R530" i="34"/>
  <c r="Q530" i="34"/>
  <c r="P530" i="34"/>
  <c r="O530" i="34"/>
  <c r="N530" i="34"/>
  <c r="M530" i="34"/>
  <c r="AE529" i="34"/>
  <c r="AD529" i="34"/>
  <c r="AC529" i="34"/>
  <c r="AB529" i="34"/>
  <c r="AA529" i="34"/>
  <c r="Z529" i="34"/>
  <c r="Y529" i="34"/>
  <c r="X529" i="34"/>
  <c r="W529" i="34"/>
  <c r="V529" i="34"/>
  <c r="U529" i="34"/>
  <c r="T529" i="34"/>
  <c r="S529" i="34"/>
  <c r="R529" i="34"/>
  <c r="Q529" i="34"/>
  <c r="P529" i="34"/>
  <c r="O529" i="34"/>
  <c r="N529" i="34"/>
  <c r="M529" i="34"/>
  <c r="AJ528" i="34"/>
  <c r="AI528" i="34"/>
  <c r="AH528" i="34"/>
  <c r="AG528" i="34"/>
  <c r="AF528" i="34"/>
  <c r="AE528" i="34"/>
  <c r="AD528" i="34"/>
  <c r="AC528" i="34"/>
  <c r="AB528" i="34"/>
  <c r="AA528" i="34"/>
  <c r="Z528" i="34"/>
  <c r="Y528" i="34"/>
  <c r="X528" i="34"/>
  <c r="W528" i="34"/>
  <c r="V528" i="34"/>
  <c r="U528" i="34"/>
  <c r="T528" i="34"/>
  <c r="S528" i="34"/>
  <c r="R528" i="34"/>
  <c r="Q528" i="34"/>
  <c r="P528" i="34"/>
  <c r="O528" i="34"/>
  <c r="N528" i="34"/>
  <c r="M528" i="34"/>
  <c r="S527" i="34"/>
  <c r="R527" i="34"/>
  <c r="Q527" i="34"/>
  <c r="P527" i="34"/>
  <c r="O527" i="34"/>
  <c r="N527" i="34"/>
  <c r="M527" i="34"/>
  <c r="S526" i="34"/>
  <c r="R526" i="34"/>
  <c r="Q526" i="34"/>
  <c r="P526" i="34"/>
  <c r="O526" i="34"/>
  <c r="N526" i="34"/>
  <c r="M526" i="34"/>
  <c r="S525" i="34"/>
  <c r="R525" i="34"/>
  <c r="Q525" i="34"/>
  <c r="P525" i="34"/>
  <c r="O525" i="34"/>
  <c r="N525" i="34"/>
  <c r="M525" i="34"/>
  <c r="W524" i="34"/>
  <c r="V524" i="34"/>
  <c r="U524" i="34"/>
  <c r="T524" i="34"/>
  <c r="S524" i="34"/>
  <c r="R524" i="34"/>
  <c r="Q524" i="34"/>
  <c r="P524" i="34"/>
  <c r="O524" i="34"/>
  <c r="N524" i="34"/>
  <c r="M524" i="34"/>
  <c r="AJ523" i="34"/>
  <c r="AI523" i="34"/>
  <c r="AH523" i="34"/>
  <c r="AG523" i="34"/>
  <c r="AF523" i="34"/>
  <c r="AE523" i="34"/>
  <c r="AD523" i="34"/>
  <c r="AC523" i="34"/>
  <c r="AB523" i="34"/>
  <c r="AA523" i="34"/>
  <c r="Z523" i="34"/>
  <c r="Y523" i="34"/>
  <c r="X523" i="34"/>
  <c r="W523" i="34"/>
  <c r="V523" i="34"/>
  <c r="U523" i="34"/>
  <c r="T523" i="34"/>
  <c r="S523" i="34"/>
  <c r="R523" i="34"/>
  <c r="Q523" i="34"/>
  <c r="P523" i="34"/>
  <c r="O523" i="34"/>
  <c r="N523" i="34"/>
  <c r="M523" i="34"/>
  <c r="Z520" i="34"/>
  <c r="Y520" i="34"/>
  <c r="X520" i="34"/>
  <c r="V520" i="34"/>
  <c r="U520" i="34"/>
  <c r="T520" i="34"/>
  <c r="S520" i="34"/>
  <c r="R520" i="34"/>
  <c r="Q520" i="34"/>
  <c r="P520" i="34"/>
  <c r="O520" i="34"/>
  <c r="N520" i="34"/>
  <c r="M520" i="34"/>
  <c r="M519" i="34"/>
  <c r="AF518" i="34"/>
  <c r="AE518" i="34"/>
  <c r="AD518" i="34"/>
  <c r="AC518" i="34"/>
  <c r="AB518" i="34"/>
  <c r="AA518" i="34"/>
  <c r="Z518" i="34"/>
  <c r="Y518" i="34"/>
  <c r="X518" i="34"/>
  <c r="W518" i="34"/>
  <c r="V518" i="34"/>
  <c r="U518" i="34"/>
  <c r="T518" i="34"/>
  <c r="S518" i="34"/>
  <c r="R518" i="34"/>
  <c r="Q518" i="34"/>
  <c r="P518" i="34"/>
  <c r="O518" i="34"/>
  <c r="N518" i="34"/>
  <c r="M518" i="34"/>
  <c r="AJ517" i="34"/>
  <c r="AI517" i="34"/>
  <c r="AH517" i="34"/>
  <c r="AG517" i="34"/>
  <c r="AF517" i="34"/>
  <c r="AE517" i="34"/>
  <c r="AD517" i="34"/>
  <c r="AC517" i="34"/>
  <c r="AB517" i="34"/>
  <c r="AA517" i="34"/>
  <c r="Z517" i="34"/>
  <c r="Y517" i="34"/>
  <c r="X517" i="34"/>
  <c r="W517" i="34"/>
  <c r="V517" i="34"/>
  <c r="U517" i="34"/>
  <c r="T517" i="34"/>
  <c r="S517" i="34"/>
  <c r="R517" i="34"/>
  <c r="Q517" i="34"/>
  <c r="P517" i="34"/>
  <c r="O517" i="34"/>
  <c r="N517" i="34"/>
  <c r="M517" i="34"/>
  <c r="AJ516" i="34"/>
  <c r="AI516" i="34"/>
  <c r="AH516" i="34"/>
  <c r="AG516" i="34"/>
  <c r="AF516" i="34"/>
  <c r="AE516" i="34"/>
  <c r="AD516" i="34"/>
  <c r="AC516" i="34"/>
  <c r="AB516" i="34"/>
  <c r="AA516" i="34"/>
  <c r="Z516" i="34"/>
  <c r="Y516" i="34"/>
  <c r="X516" i="34"/>
  <c r="W516" i="34"/>
  <c r="V516" i="34"/>
  <c r="U516" i="34"/>
  <c r="T516" i="34"/>
  <c r="S516" i="34"/>
  <c r="R516" i="34"/>
  <c r="Q516" i="34"/>
  <c r="P516" i="34"/>
  <c r="O516" i="34"/>
  <c r="N516" i="34"/>
  <c r="M516" i="34"/>
  <c r="AJ515" i="34"/>
  <c r="AI515" i="34"/>
  <c r="AH515" i="34"/>
  <c r="AG515" i="34"/>
  <c r="AF515" i="34"/>
  <c r="AE515" i="34"/>
  <c r="AD515" i="34"/>
  <c r="AC515" i="34"/>
  <c r="AB515" i="34"/>
  <c r="AA515" i="34"/>
  <c r="Z515" i="34"/>
  <c r="Y515" i="34"/>
  <c r="X515" i="34"/>
  <c r="W515" i="34"/>
  <c r="V515" i="34"/>
  <c r="U515" i="34"/>
  <c r="T515" i="34"/>
  <c r="S515" i="34"/>
  <c r="R515" i="34"/>
  <c r="Q515" i="34"/>
  <c r="P515" i="34"/>
  <c r="O515" i="34"/>
  <c r="N515" i="34"/>
  <c r="M515" i="34"/>
  <c r="I512" i="34"/>
  <c r="I511" i="34"/>
  <c r="AZ512" i="34"/>
  <c r="AY512" i="34"/>
  <c r="AX512" i="34"/>
  <c r="AW512" i="34"/>
  <c r="AV512" i="34"/>
  <c r="AU512" i="34"/>
  <c r="AT512" i="34"/>
  <c r="AS512" i="34"/>
  <c r="AR512" i="34"/>
  <c r="AQ512" i="34"/>
  <c r="AP512" i="34"/>
  <c r="AO512" i="34"/>
  <c r="AN512" i="34"/>
  <c r="AM512" i="34"/>
  <c r="AL512" i="34"/>
  <c r="AZ511" i="34"/>
  <c r="AY511" i="34"/>
  <c r="AX511" i="34"/>
  <c r="AW511" i="34"/>
  <c r="AV511" i="34"/>
  <c r="AU511" i="34"/>
  <c r="AT511" i="34"/>
  <c r="AS511" i="34"/>
  <c r="AR511" i="34"/>
  <c r="AQ511" i="34"/>
  <c r="AP511" i="34"/>
  <c r="AO511" i="34"/>
  <c r="AN511" i="34"/>
  <c r="AM511" i="34"/>
  <c r="AL511" i="34"/>
  <c r="AJ512" i="34"/>
  <c r="AI512" i="34"/>
  <c r="AH512" i="34"/>
  <c r="AG512" i="34"/>
  <c r="AF512" i="34"/>
  <c r="AE512" i="34"/>
  <c r="AD512" i="34"/>
  <c r="AC512" i="34"/>
  <c r="AB512" i="34"/>
  <c r="AA512" i="34"/>
  <c r="Z512" i="34"/>
  <c r="Y512" i="34"/>
  <c r="X512" i="34"/>
  <c r="W512" i="34"/>
  <c r="V512" i="34"/>
  <c r="U512" i="34"/>
  <c r="T512" i="34"/>
  <c r="S512" i="34"/>
  <c r="R512" i="34"/>
  <c r="Q512" i="34"/>
  <c r="P512" i="34"/>
  <c r="O512" i="34"/>
  <c r="N512" i="34"/>
  <c r="M512" i="34"/>
  <c r="AJ511" i="34"/>
  <c r="AI511" i="34"/>
  <c r="AH511" i="34"/>
  <c r="AG511" i="34"/>
  <c r="AF511" i="34"/>
  <c r="AE511" i="34"/>
  <c r="AD511" i="34"/>
  <c r="AC511" i="34"/>
  <c r="AB511" i="34"/>
  <c r="AA511" i="34"/>
  <c r="Z511" i="34"/>
  <c r="Y511" i="34"/>
  <c r="X511" i="34"/>
  <c r="W511" i="34"/>
  <c r="V511" i="34"/>
  <c r="U511" i="34"/>
  <c r="T511" i="34"/>
  <c r="S511" i="34"/>
  <c r="R511" i="34"/>
  <c r="Q511" i="34"/>
  <c r="P511" i="34"/>
  <c r="O511" i="34"/>
  <c r="N511" i="34"/>
  <c r="M511" i="34"/>
  <c r="I503" i="34"/>
  <c r="I502" i="34"/>
  <c r="I501" i="34"/>
  <c r="I500" i="34"/>
  <c r="I499" i="34"/>
  <c r="I498" i="34"/>
  <c r="I497" i="34"/>
  <c r="I496" i="34"/>
  <c r="I495" i="34"/>
  <c r="I494" i="34"/>
  <c r="I493" i="34"/>
  <c r="I492" i="34"/>
  <c r="I491" i="34"/>
  <c r="I490" i="34"/>
  <c r="I489" i="34"/>
  <c r="I488" i="34"/>
  <c r="I487" i="34"/>
  <c r="I486" i="34"/>
  <c r="I485" i="34"/>
  <c r="I484" i="34"/>
  <c r="I483" i="34"/>
  <c r="I482" i="34"/>
  <c r="I481" i="34"/>
  <c r="I480" i="34"/>
  <c r="I479" i="34"/>
  <c r="I478" i="34"/>
  <c r="I477" i="34"/>
  <c r="I476" i="34"/>
  <c r="I475" i="34"/>
  <c r="I474" i="34"/>
  <c r="I473" i="34"/>
  <c r="I472" i="34"/>
  <c r="I471" i="34"/>
  <c r="I470" i="34"/>
  <c r="I469" i="34"/>
  <c r="I468" i="34"/>
  <c r="I467" i="34"/>
  <c r="I466" i="34"/>
  <c r="I465" i="34"/>
  <c r="I464" i="34"/>
  <c r="I463" i="34"/>
  <c r="I462" i="34"/>
  <c r="I461" i="34"/>
  <c r="I460" i="34"/>
  <c r="I459" i="34"/>
  <c r="I458" i="34"/>
  <c r="I457" i="34"/>
  <c r="I456" i="34"/>
  <c r="I454" i="34"/>
  <c r="AM503" i="34"/>
  <c r="AL503" i="34"/>
  <c r="AZ502" i="34"/>
  <c r="AY502" i="34"/>
  <c r="AX502" i="34"/>
  <c r="AW502" i="34"/>
  <c r="AV502" i="34"/>
  <c r="AU502" i="34"/>
  <c r="AT502" i="34"/>
  <c r="AS502" i="34"/>
  <c r="AR502" i="34"/>
  <c r="AQ502" i="34"/>
  <c r="AP502" i="34"/>
  <c r="AO502" i="34"/>
  <c r="AN502" i="34"/>
  <c r="AM502" i="34"/>
  <c r="AL502" i="34"/>
  <c r="AM501" i="34"/>
  <c r="AL501" i="34"/>
  <c r="AL500" i="34"/>
  <c r="AZ499" i="34"/>
  <c r="AY499" i="34"/>
  <c r="AX499" i="34"/>
  <c r="AW499" i="34"/>
  <c r="AV499" i="34"/>
  <c r="AU499" i="34"/>
  <c r="AT499" i="34"/>
  <c r="AS499" i="34"/>
  <c r="AR499" i="34"/>
  <c r="AQ499" i="34"/>
  <c r="AP499" i="34"/>
  <c r="AO499" i="34"/>
  <c r="AN499" i="34"/>
  <c r="AM499" i="34"/>
  <c r="AL499" i="34"/>
  <c r="AM498" i="34"/>
  <c r="AL498" i="34"/>
  <c r="AS497" i="34"/>
  <c r="AR497" i="34"/>
  <c r="AQ497" i="34"/>
  <c r="AP497" i="34"/>
  <c r="AO497" i="34"/>
  <c r="AN497" i="34"/>
  <c r="AM497" i="34"/>
  <c r="AL497" i="34"/>
  <c r="AZ496" i="34"/>
  <c r="AY496" i="34"/>
  <c r="AX496" i="34"/>
  <c r="AW496" i="34"/>
  <c r="AV496" i="34"/>
  <c r="AU496" i="34"/>
  <c r="AT496" i="34"/>
  <c r="AS496" i="34"/>
  <c r="AR496" i="34"/>
  <c r="AQ496" i="34"/>
  <c r="AP496" i="34"/>
  <c r="AO496" i="34"/>
  <c r="AN496" i="34"/>
  <c r="AM496" i="34"/>
  <c r="AL496" i="34"/>
  <c r="AZ495" i="34"/>
  <c r="AY495" i="34"/>
  <c r="AX495" i="34"/>
  <c r="AW495" i="34"/>
  <c r="AV495" i="34"/>
  <c r="AU495" i="34"/>
  <c r="AT495" i="34"/>
  <c r="AS495" i="34"/>
  <c r="AR495" i="34"/>
  <c r="AQ495" i="34"/>
  <c r="AP495" i="34"/>
  <c r="AO495" i="34"/>
  <c r="AN495" i="34"/>
  <c r="AM495" i="34"/>
  <c r="AL495" i="34"/>
  <c r="AZ494" i="34"/>
  <c r="AY494" i="34"/>
  <c r="AX494" i="34"/>
  <c r="AW494" i="34"/>
  <c r="AV494" i="34"/>
  <c r="AU494" i="34"/>
  <c r="AT494" i="34"/>
  <c r="AS494" i="34"/>
  <c r="AR494" i="34"/>
  <c r="AQ494" i="34"/>
  <c r="AP494" i="34"/>
  <c r="AO494" i="34"/>
  <c r="AN494" i="34"/>
  <c r="AM494" i="34"/>
  <c r="AL494" i="34"/>
  <c r="AQ493" i="34"/>
  <c r="AP493" i="34"/>
  <c r="AO493" i="34"/>
  <c r="AN493" i="34"/>
  <c r="AM493" i="34"/>
  <c r="AL493" i="34"/>
  <c r="AP492" i="34"/>
  <c r="AO492" i="34"/>
  <c r="AN492" i="34"/>
  <c r="AM492" i="34"/>
  <c r="AL492" i="34"/>
  <c r="AZ491" i="34"/>
  <c r="AY491" i="34"/>
  <c r="AX491" i="34"/>
  <c r="AW491" i="34"/>
  <c r="AV491" i="34"/>
  <c r="AU491" i="34"/>
  <c r="AT491" i="34"/>
  <c r="AS491" i="34"/>
  <c r="AR491" i="34"/>
  <c r="AQ491" i="34"/>
  <c r="AP491" i="34"/>
  <c r="AO491" i="34"/>
  <c r="AN491" i="34"/>
  <c r="AM491" i="34"/>
  <c r="AL491" i="34"/>
  <c r="AP490" i="34"/>
  <c r="AO490" i="34"/>
  <c r="AN490" i="34"/>
  <c r="AM490" i="34"/>
  <c r="AL490" i="34"/>
  <c r="AQ489" i="34"/>
  <c r="AP489" i="34"/>
  <c r="AO489" i="34"/>
  <c r="AN489" i="34"/>
  <c r="AM489" i="34"/>
  <c r="AL489" i="34"/>
  <c r="AZ488" i="34"/>
  <c r="AY488" i="34"/>
  <c r="AX488" i="34"/>
  <c r="AW488" i="34"/>
  <c r="AV488" i="34"/>
  <c r="AU488" i="34"/>
  <c r="AR488" i="34"/>
  <c r="AQ488" i="34"/>
  <c r="AP488" i="34"/>
  <c r="AO488" i="34"/>
  <c r="AN488" i="34"/>
  <c r="AM488" i="34"/>
  <c r="AL488" i="34"/>
  <c r="AP487" i="34"/>
  <c r="AO487" i="34"/>
  <c r="AN487" i="34"/>
  <c r="AM487" i="34"/>
  <c r="AL487" i="34"/>
  <c r="AZ486" i="34"/>
  <c r="AY486" i="34"/>
  <c r="AX486" i="34"/>
  <c r="AW486" i="34"/>
  <c r="AV486" i="34"/>
  <c r="AU486" i="34"/>
  <c r="AT486" i="34"/>
  <c r="AS486" i="34"/>
  <c r="AR486" i="34"/>
  <c r="AQ486" i="34"/>
  <c r="AP486" i="34"/>
  <c r="AO486" i="34"/>
  <c r="AN486" i="34"/>
  <c r="AM486" i="34"/>
  <c r="AL486" i="34"/>
  <c r="AZ485" i="34"/>
  <c r="AY485" i="34"/>
  <c r="AX485" i="34"/>
  <c r="AW485" i="34"/>
  <c r="AV485" i="34"/>
  <c r="AU485" i="34"/>
  <c r="AT485" i="34"/>
  <c r="AS485" i="34"/>
  <c r="AR485" i="34"/>
  <c r="AQ485" i="34"/>
  <c r="AP485" i="34"/>
  <c r="AO485" i="34"/>
  <c r="AN485" i="34"/>
  <c r="AM485" i="34"/>
  <c r="AL485" i="34"/>
  <c r="AR484" i="34"/>
  <c r="AQ484" i="34"/>
  <c r="AP484" i="34"/>
  <c r="AO484" i="34"/>
  <c r="AN484" i="34"/>
  <c r="AM484" i="34"/>
  <c r="AL484" i="34"/>
  <c r="AQ483" i="34"/>
  <c r="AP483" i="34"/>
  <c r="AO483" i="34"/>
  <c r="AN483" i="34"/>
  <c r="AM483" i="34"/>
  <c r="AL483" i="34"/>
  <c r="AQ482" i="34"/>
  <c r="AP482" i="34"/>
  <c r="AO482" i="34"/>
  <c r="AN482" i="34"/>
  <c r="AM482" i="34"/>
  <c r="AL482" i="34"/>
  <c r="AZ481" i="34"/>
  <c r="AY481" i="34"/>
  <c r="AX481" i="34"/>
  <c r="AW481" i="34"/>
  <c r="AV481" i="34"/>
  <c r="AU481" i="34"/>
  <c r="AT481" i="34"/>
  <c r="AS481" i="34"/>
  <c r="AR481" i="34"/>
  <c r="AQ481" i="34"/>
  <c r="AP481" i="34"/>
  <c r="AO481" i="34"/>
  <c r="AN481" i="34"/>
  <c r="AM481" i="34"/>
  <c r="AL481" i="34"/>
  <c r="AQ480" i="34"/>
  <c r="AP480" i="34"/>
  <c r="AO480" i="34"/>
  <c r="AN480" i="34"/>
  <c r="AM480" i="34"/>
  <c r="AL480" i="34"/>
  <c r="AP479" i="34"/>
  <c r="AO479" i="34"/>
  <c r="AN479" i="34"/>
  <c r="AM479" i="34"/>
  <c r="AL479" i="34"/>
  <c r="AZ478" i="34"/>
  <c r="AY478" i="34"/>
  <c r="AX478" i="34"/>
  <c r="AW478" i="34"/>
  <c r="AV478" i="34"/>
  <c r="AU478" i="34"/>
  <c r="AT478" i="34"/>
  <c r="AS478" i="34"/>
  <c r="AR478" i="34"/>
  <c r="AQ478" i="34"/>
  <c r="AP478" i="34"/>
  <c r="AO478" i="34"/>
  <c r="AN478" i="34"/>
  <c r="AM478" i="34"/>
  <c r="AL478" i="34"/>
  <c r="AZ477" i="34"/>
  <c r="AY477" i="34"/>
  <c r="AX477" i="34"/>
  <c r="AW477" i="34"/>
  <c r="AV477" i="34"/>
  <c r="AU477" i="34"/>
  <c r="AT477" i="34"/>
  <c r="AS477" i="34"/>
  <c r="AR477" i="34"/>
  <c r="AQ477" i="34"/>
  <c r="AP477" i="34"/>
  <c r="AO477" i="34"/>
  <c r="AN477" i="34"/>
  <c r="AM477" i="34"/>
  <c r="AL477" i="34"/>
  <c r="AQ476" i="34"/>
  <c r="AP476" i="34"/>
  <c r="AO476" i="34"/>
  <c r="AN476" i="34"/>
  <c r="AM476" i="34"/>
  <c r="AL476" i="34"/>
  <c r="AZ475" i="34"/>
  <c r="AY475" i="34"/>
  <c r="AX475" i="34"/>
  <c r="AW475" i="34"/>
  <c r="AV475" i="34"/>
  <c r="AU475" i="34"/>
  <c r="AT475" i="34"/>
  <c r="AS475" i="34"/>
  <c r="AR475" i="34"/>
  <c r="AQ475" i="34"/>
  <c r="AP475" i="34"/>
  <c r="AO475" i="34"/>
  <c r="AN475" i="34"/>
  <c r="AM475" i="34"/>
  <c r="AL475" i="34"/>
  <c r="AR474" i="34"/>
  <c r="AQ474" i="34"/>
  <c r="AP474" i="34"/>
  <c r="AO474" i="34"/>
  <c r="AN474" i="34"/>
  <c r="AM474" i="34"/>
  <c r="AL474" i="34"/>
  <c r="AR473" i="34"/>
  <c r="AQ473" i="34"/>
  <c r="AP473" i="34"/>
  <c r="AO473" i="34"/>
  <c r="AN473" i="34"/>
  <c r="AM473" i="34"/>
  <c r="AL473" i="34"/>
  <c r="AZ472" i="34"/>
  <c r="AY472" i="34"/>
  <c r="AX472" i="34"/>
  <c r="AW472" i="34"/>
  <c r="AV472" i="34"/>
  <c r="AU472" i="34"/>
  <c r="AT472" i="34"/>
  <c r="AS472" i="34"/>
  <c r="AR472" i="34"/>
  <c r="AQ472" i="34"/>
  <c r="AP472" i="34"/>
  <c r="AO472" i="34"/>
  <c r="AN472" i="34"/>
  <c r="AM472" i="34"/>
  <c r="AL472" i="34"/>
  <c r="AQ471" i="34"/>
  <c r="AP471" i="34"/>
  <c r="AO471" i="34"/>
  <c r="AN471" i="34"/>
  <c r="AM471" i="34"/>
  <c r="AL471" i="34"/>
  <c r="AZ470" i="34"/>
  <c r="AY470" i="34"/>
  <c r="AX470" i="34"/>
  <c r="AW470" i="34"/>
  <c r="AV470" i="34"/>
  <c r="AU470" i="34"/>
  <c r="AT470" i="34"/>
  <c r="AS470" i="34"/>
  <c r="AR470" i="34"/>
  <c r="AQ470" i="34"/>
  <c r="AP470" i="34"/>
  <c r="AO470" i="34"/>
  <c r="AN470" i="34"/>
  <c r="AM470" i="34"/>
  <c r="AL470" i="34"/>
  <c r="AZ469" i="34"/>
  <c r="AY469" i="34"/>
  <c r="AX469" i="34"/>
  <c r="AW469" i="34"/>
  <c r="AV469" i="34"/>
  <c r="AU469" i="34"/>
  <c r="AT469" i="34"/>
  <c r="AS469" i="34"/>
  <c r="AR469" i="34"/>
  <c r="AQ469" i="34"/>
  <c r="AP469" i="34"/>
  <c r="AO469" i="34"/>
  <c r="AN469" i="34"/>
  <c r="AM469" i="34"/>
  <c r="AL469" i="34"/>
  <c r="AQ468" i="34"/>
  <c r="AP468" i="34"/>
  <c r="AO468" i="34"/>
  <c r="AN468" i="34"/>
  <c r="AM468" i="34"/>
  <c r="AL468" i="34"/>
  <c r="AZ467" i="34"/>
  <c r="AY467" i="34"/>
  <c r="AX467" i="34"/>
  <c r="AW467" i="34"/>
  <c r="AV467" i="34"/>
  <c r="AU467" i="34"/>
  <c r="AT467" i="34"/>
  <c r="AS467" i="34"/>
  <c r="AR467" i="34"/>
  <c r="AQ467" i="34"/>
  <c r="AP467" i="34"/>
  <c r="AO467" i="34"/>
  <c r="AN467" i="34"/>
  <c r="AM467" i="34"/>
  <c r="AL467" i="34"/>
  <c r="AR466" i="34"/>
  <c r="AQ466" i="34"/>
  <c r="AP466" i="34"/>
  <c r="AO466" i="34"/>
  <c r="AN466" i="34"/>
  <c r="AM466" i="34"/>
  <c r="AL466" i="34"/>
  <c r="AR465" i="34"/>
  <c r="AQ465" i="34"/>
  <c r="AP465" i="34"/>
  <c r="AO465" i="34"/>
  <c r="AN465" i="34"/>
  <c r="AM465" i="34"/>
  <c r="AL465" i="34"/>
  <c r="AZ464" i="34"/>
  <c r="AY464" i="34"/>
  <c r="AX464" i="34"/>
  <c r="AW464" i="34"/>
  <c r="AV464" i="34"/>
  <c r="AU464" i="34"/>
  <c r="AT464" i="34"/>
  <c r="AS464" i="34"/>
  <c r="AR464" i="34"/>
  <c r="AQ464" i="34"/>
  <c r="AP464" i="34"/>
  <c r="AO464" i="34"/>
  <c r="AN464" i="34"/>
  <c r="AM464" i="34"/>
  <c r="AL464" i="34"/>
  <c r="AQ463" i="34"/>
  <c r="AP463" i="34"/>
  <c r="AO463" i="34"/>
  <c r="AN463" i="34"/>
  <c r="AM463" i="34"/>
  <c r="AL463" i="34"/>
  <c r="AZ462" i="34"/>
  <c r="AY462" i="34"/>
  <c r="AX462" i="34"/>
  <c r="AW462" i="34"/>
  <c r="AV462" i="34"/>
  <c r="AU462" i="34"/>
  <c r="AT462" i="34"/>
  <c r="AS462" i="34"/>
  <c r="AR462" i="34"/>
  <c r="AQ462" i="34"/>
  <c r="AP462" i="34"/>
  <c r="AO462" i="34"/>
  <c r="AN462" i="34"/>
  <c r="AM462" i="34"/>
  <c r="AL462" i="34"/>
  <c r="AZ461" i="34"/>
  <c r="AY461" i="34"/>
  <c r="AX461" i="34"/>
  <c r="AW461" i="34"/>
  <c r="AV461" i="34"/>
  <c r="AU461" i="34"/>
  <c r="AT461" i="34"/>
  <c r="AS461" i="34"/>
  <c r="AR461" i="34"/>
  <c r="AQ461" i="34"/>
  <c r="AP461" i="34"/>
  <c r="AO461" i="34"/>
  <c r="AN461" i="34"/>
  <c r="AM461" i="34"/>
  <c r="AL461" i="34"/>
  <c r="AZ460" i="34"/>
  <c r="AY460" i="34"/>
  <c r="AX460" i="34"/>
  <c r="AW460" i="34"/>
  <c r="AV460" i="34"/>
  <c r="AU460" i="34"/>
  <c r="AT460" i="34"/>
  <c r="AS460" i="34"/>
  <c r="AR460" i="34"/>
  <c r="AQ460" i="34"/>
  <c r="AP460" i="34"/>
  <c r="AO460" i="34"/>
  <c r="AN460" i="34"/>
  <c r="AM460" i="34"/>
  <c r="AL460" i="34"/>
  <c r="AL459" i="34"/>
  <c r="AZ458" i="34"/>
  <c r="AY458" i="34"/>
  <c r="AX458" i="34"/>
  <c r="AW458" i="34"/>
  <c r="AV458" i="34"/>
  <c r="AU458" i="34"/>
  <c r="AT458" i="34"/>
  <c r="AS458" i="34"/>
  <c r="AR458" i="34"/>
  <c r="AQ458" i="34"/>
  <c r="AP458" i="34"/>
  <c r="AO458" i="34"/>
  <c r="AN458" i="34"/>
  <c r="AM458" i="34"/>
  <c r="AL458" i="34"/>
  <c r="AL457" i="34"/>
  <c r="AO456" i="34"/>
  <c r="AN456" i="34"/>
  <c r="AM456" i="34"/>
  <c r="AL456" i="34"/>
  <c r="AZ454" i="34"/>
  <c r="AY454" i="34"/>
  <c r="AX454" i="34"/>
  <c r="AW454" i="34"/>
  <c r="AV454" i="34"/>
  <c r="AU454" i="34"/>
  <c r="AT454" i="34"/>
  <c r="AS454" i="34"/>
  <c r="AR454" i="34"/>
  <c r="AQ454" i="34"/>
  <c r="AP454" i="34"/>
  <c r="AO454" i="34"/>
  <c r="AN454" i="34"/>
  <c r="AM454" i="34"/>
  <c r="AL454" i="34"/>
  <c r="P500" i="34"/>
  <c r="O500" i="34"/>
  <c r="N500" i="34"/>
  <c r="M500" i="34"/>
  <c r="M499" i="34"/>
  <c r="AF497" i="34"/>
  <c r="AE497" i="34"/>
  <c r="AD497" i="34"/>
  <c r="AC497" i="34"/>
  <c r="AB497" i="34"/>
  <c r="AA497" i="34"/>
  <c r="Z497" i="34"/>
  <c r="Y497" i="34"/>
  <c r="X497" i="34"/>
  <c r="W497" i="34"/>
  <c r="V497" i="34"/>
  <c r="U497" i="34"/>
  <c r="T497" i="34"/>
  <c r="S497" i="34"/>
  <c r="R497" i="34"/>
  <c r="Q497" i="34"/>
  <c r="P497" i="34"/>
  <c r="O497" i="34"/>
  <c r="N497" i="34"/>
  <c r="M497" i="34"/>
  <c r="AJ496" i="34"/>
  <c r="AI496" i="34"/>
  <c r="AH496" i="34"/>
  <c r="AG496" i="34"/>
  <c r="AF496" i="34"/>
  <c r="AE496" i="34"/>
  <c r="AD496" i="34"/>
  <c r="AC496" i="34"/>
  <c r="AB496" i="34"/>
  <c r="AA496" i="34"/>
  <c r="Z496" i="34"/>
  <c r="Y496" i="34"/>
  <c r="X496" i="34"/>
  <c r="W496" i="34"/>
  <c r="V496" i="34"/>
  <c r="U496" i="34"/>
  <c r="T496" i="34"/>
  <c r="S496" i="34"/>
  <c r="R496" i="34"/>
  <c r="Q496" i="34"/>
  <c r="P496" i="34"/>
  <c r="O496" i="34"/>
  <c r="N496" i="34"/>
  <c r="M496" i="34"/>
  <c r="AJ495" i="34"/>
  <c r="AI495" i="34"/>
  <c r="AH495" i="34"/>
  <c r="AG495" i="34"/>
  <c r="AF495" i="34"/>
  <c r="AE495" i="34"/>
  <c r="AD495" i="34"/>
  <c r="AC495" i="34"/>
  <c r="AB495" i="34"/>
  <c r="AA495" i="34"/>
  <c r="Z495" i="34"/>
  <c r="Y495" i="34"/>
  <c r="X495" i="34"/>
  <c r="W495" i="34"/>
  <c r="V495" i="34"/>
  <c r="U495" i="34"/>
  <c r="T495" i="34"/>
  <c r="S495" i="34"/>
  <c r="R495" i="34"/>
  <c r="Q495" i="34"/>
  <c r="P495" i="34"/>
  <c r="O495" i="34"/>
  <c r="N495" i="34"/>
  <c r="M495" i="34"/>
  <c r="AJ494" i="34"/>
  <c r="AI494" i="34"/>
  <c r="AH494" i="34"/>
  <c r="AG494" i="34"/>
  <c r="AF494" i="34"/>
  <c r="AE494" i="34"/>
  <c r="AD494" i="34"/>
  <c r="AC494" i="34"/>
  <c r="AB494" i="34"/>
  <c r="AA494" i="34"/>
  <c r="Z494" i="34"/>
  <c r="Y494" i="34"/>
  <c r="X494" i="34"/>
  <c r="W494" i="34"/>
  <c r="V494" i="34"/>
  <c r="U494" i="34"/>
  <c r="T494" i="34"/>
  <c r="S494" i="34"/>
  <c r="R494" i="34"/>
  <c r="Q494" i="34"/>
  <c r="P494" i="34"/>
  <c r="O494" i="34"/>
  <c r="N494" i="34"/>
  <c r="M494" i="34"/>
  <c r="P493" i="34"/>
  <c r="O493" i="34"/>
  <c r="N493" i="34"/>
  <c r="M493" i="34"/>
  <c r="P492" i="34"/>
  <c r="O492" i="34"/>
  <c r="N492" i="34"/>
  <c r="M492" i="34"/>
  <c r="P491" i="34"/>
  <c r="O491" i="34"/>
  <c r="N491" i="34"/>
  <c r="M491" i="34"/>
  <c r="P490" i="34"/>
  <c r="O490" i="34"/>
  <c r="N490" i="34"/>
  <c r="M490" i="34"/>
  <c r="Z489" i="34"/>
  <c r="Y489" i="34"/>
  <c r="X489" i="34"/>
  <c r="V489" i="34"/>
  <c r="U489" i="34"/>
  <c r="T489" i="34"/>
  <c r="S489" i="34"/>
  <c r="R489" i="34"/>
  <c r="Q489" i="34"/>
  <c r="P489" i="34"/>
  <c r="O489" i="34"/>
  <c r="N489" i="34"/>
  <c r="M489" i="34"/>
  <c r="Q488" i="34"/>
  <c r="P488" i="34"/>
  <c r="O488" i="34"/>
  <c r="N488" i="34"/>
  <c r="M488" i="34"/>
  <c r="AI487" i="34"/>
  <c r="AH487" i="34"/>
  <c r="AG487" i="34"/>
  <c r="AF487" i="34"/>
  <c r="AE487" i="34"/>
  <c r="AD487" i="34"/>
  <c r="AC487" i="34"/>
  <c r="AB487" i="34"/>
  <c r="AA487" i="34"/>
  <c r="Z487" i="34"/>
  <c r="Y487" i="34"/>
  <c r="X487" i="34"/>
  <c r="W487" i="34"/>
  <c r="V487" i="34"/>
  <c r="U487" i="34"/>
  <c r="T487" i="34"/>
  <c r="P487" i="34"/>
  <c r="O487" i="34"/>
  <c r="N487" i="34"/>
  <c r="M487" i="34"/>
  <c r="AJ486" i="34"/>
  <c r="AI486" i="34"/>
  <c r="AH486" i="34"/>
  <c r="AG486" i="34"/>
  <c r="AF486" i="34"/>
  <c r="AE486" i="34"/>
  <c r="AD486" i="34"/>
  <c r="AC486" i="34"/>
  <c r="AB486" i="34"/>
  <c r="AA486" i="34"/>
  <c r="Z486" i="34"/>
  <c r="Y486" i="34"/>
  <c r="X486" i="34"/>
  <c r="W486" i="34"/>
  <c r="V486" i="34"/>
  <c r="U486" i="34"/>
  <c r="T486" i="34"/>
  <c r="S486" i="34"/>
  <c r="R486" i="34"/>
  <c r="Q486" i="34"/>
  <c r="P486" i="34"/>
  <c r="O486" i="34"/>
  <c r="N486" i="34"/>
  <c r="M486" i="34"/>
  <c r="U485" i="34"/>
  <c r="T485" i="34"/>
  <c r="S485" i="34"/>
  <c r="R485" i="34"/>
  <c r="Q485" i="34"/>
  <c r="P485" i="34"/>
  <c r="O485" i="34"/>
  <c r="N485" i="34"/>
  <c r="M485" i="34"/>
  <c r="X484" i="34"/>
  <c r="W484" i="34"/>
  <c r="V484" i="34"/>
  <c r="U484" i="34"/>
  <c r="T484" i="34"/>
  <c r="S484" i="34"/>
  <c r="R484" i="34"/>
  <c r="Q484" i="34"/>
  <c r="P484" i="34"/>
  <c r="O484" i="34"/>
  <c r="N484" i="34"/>
  <c r="M484" i="34"/>
  <c r="P483" i="34"/>
  <c r="O483" i="34"/>
  <c r="N483" i="34"/>
  <c r="M483" i="34"/>
  <c r="P482" i="34"/>
  <c r="O482" i="34"/>
  <c r="N482" i="34"/>
  <c r="M482" i="34"/>
  <c r="P481" i="34"/>
  <c r="O481" i="34"/>
  <c r="N481" i="34"/>
  <c r="M481" i="34"/>
  <c r="P480" i="34"/>
  <c r="O480" i="34"/>
  <c r="N480" i="34"/>
  <c r="M480" i="34"/>
  <c r="P479" i="34"/>
  <c r="O479" i="34"/>
  <c r="N479" i="34"/>
  <c r="M479" i="34"/>
  <c r="AJ478" i="34"/>
  <c r="AI478" i="34"/>
  <c r="AH478" i="34"/>
  <c r="AG478" i="34"/>
  <c r="AF478" i="34"/>
  <c r="AE478" i="34"/>
  <c r="AD478" i="34"/>
  <c r="AC478" i="34"/>
  <c r="AB478" i="34"/>
  <c r="AA478" i="34"/>
  <c r="Z478" i="34"/>
  <c r="Y478" i="34"/>
  <c r="X478" i="34"/>
  <c r="W478" i="34"/>
  <c r="V478" i="34"/>
  <c r="U478" i="34"/>
  <c r="T478" i="34"/>
  <c r="S478" i="34"/>
  <c r="R478" i="34"/>
  <c r="Q478" i="34"/>
  <c r="P478" i="34"/>
  <c r="O478" i="34"/>
  <c r="N478" i="34"/>
  <c r="M478" i="34"/>
  <c r="AJ477" i="34"/>
  <c r="AI477" i="34"/>
  <c r="AH477" i="34"/>
  <c r="AG477" i="34"/>
  <c r="AF477" i="34"/>
  <c r="AE477" i="34"/>
  <c r="AD477" i="34"/>
  <c r="AC477" i="34"/>
  <c r="AB477" i="34"/>
  <c r="AA477" i="34"/>
  <c r="Z477" i="34"/>
  <c r="Y477" i="34"/>
  <c r="X477" i="34"/>
  <c r="W477" i="34"/>
  <c r="V477" i="34"/>
  <c r="U477" i="34"/>
  <c r="T477" i="34"/>
  <c r="S477" i="34"/>
  <c r="R477" i="34"/>
  <c r="Q477" i="34"/>
  <c r="P477" i="34"/>
  <c r="O477" i="34"/>
  <c r="N477" i="34"/>
  <c r="M477" i="34"/>
  <c r="AA476" i="34"/>
  <c r="Z476" i="34"/>
  <c r="X476" i="34"/>
  <c r="W476" i="34"/>
  <c r="V476" i="34"/>
  <c r="P476" i="34"/>
  <c r="O476" i="34"/>
  <c r="N476" i="34"/>
  <c r="M476" i="34"/>
  <c r="P475" i="34"/>
  <c r="O475" i="34"/>
  <c r="N475" i="34"/>
  <c r="M475" i="34"/>
  <c r="P474" i="34"/>
  <c r="O474" i="34"/>
  <c r="N474" i="34"/>
  <c r="M474" i="34"/>
  <c r="T473" i="34"/>
  <c r="S473" i="34"/>
  <c r="R473" i="34"/>
  <c r="Q473" i="34"/>
  <c r="P473" i="34"/>
  <c r="O473" i="34"/>
  <c r="N473" i="34"/>
  <c r="M473" i="34"/>
  <c r="Q472" i="34"/>
  <c r="P472" i="34"/>
  <c r="O472" i="34"/>
  <c r="N472" i="34"/>
  <c r="M472" i="34"/>
  <c r="AI471" i="34"/>
  <c r="AH471" i="34"/>
  <c r="AG471" i="34"/>
  <c r="AF471" i="34"/>
  <c r="AE471" i="34"/>
  <c r="AD471" i="34"/>
  <c r="AC471" i="34"/>
  <c r="AB471" i="34"/>
  <c r="AA471" i="34"/>
  <c r="Z471" i="34"/>
  <c r="Y471" i="34"/>
  <c r="P471" i="34"/>
  <c r="O471" i="34"/>
  <c r="N471" i="34"/>
  <c r="M471" i="34"/>
  <c r="AJ470" i="34"/>
  <c r="AI470" i="34"/>
  <c r="AH470" i="34"/>
  <c r="AG470" i="34"/>
  <c r="AF470" i="34"/>
  <c r="AE470" i="34"/>
  <c r="AD470" i="34"/>
  <c r="AC470" i="34"/>
  <c r="AB470" i="34"/>
  <c r="AA470" i="34"/>
  <c r="Z470" i="34"/>
  <c r="Y470" i="34"/>
  <c r="X470" i="34"/>
  <c r="W470" i="34"/>
  <c r="V470" i="34"/>
  <c r="U470" i="34"/>
  <c r="T470" i="34"/>
  <c r="S470" i="34"/>
  <c r="R470" i="34"/>
  <c r="Q470" i="34"/>
  <c r="P470" i="34"/>
  <c r="O470" i="34"/>
  <c r="N470" i="34"/>
  <c r="M470" i="34"/>
  <c r="AJ469" i="34"/>
  <c r="AI469" i="34"/>
  <c r="AH469" i="34"/>
  <c r="AG469" i="34"/>
  <c r="AF469" i="34"/>
  <c r="AE469" i="34"/>
  <c r="AD469" i="34"/>
  <c r="AC469" i="34"/>
  <c r="AB469" i="34"/>
  <c r="AA469" i="34"/>
  <c r="Z469" i="34"/>
  <c r="Y469" i="34"/>
  <c r="X469" i="34"/>
  <c r="W469" i="34"/>
  <c r="V469" i="34"/>
  <c r="U469" i="34"/>
  <c r="T469" i="34"/>
  <c r="S469" i="34"/>
  <c r="R469" i="34"/>
  <c r="Q469" i="34"/>
  <c r="P469" i="34"/>
  <c r="O469" i="34"/>
  <c r="N469" i="34"/>
  <c r="M469" i="34"/>
  <c r="P468" i="34"/>
  <c r="O468" i="34"/>
  <c r="N468" i="34"/>
  <c r="M468" i="34"/>
  <c r="P467" i="34"/>
  <c r="O467" i="34"/>
  <c r="N467" i="34"/>
  <c r="M467" i="34"/>
  <c r="P466" i="34"/>
  <c r="O466" i="34"/>
  <c r="N466" i="34"/>
  <c r="M466" i="34"/>
  <c r="T465" i="34"/>
  <c r="S465" i="34"/>
  <c r="R465" i="34"/>
  <c r="Q465" i="34"/>
  <c r="P465" i="34"/>
  <c r="O465" i="34"/>
  <c r="N465" i="34"/>
  <c r="M465" i="34"/>
  <c r="Q464" i="34"/>
  <c r="P464" i="34"/>
  <c r="O464" i="34"/>
  <c r="N464" i="34"/>
  <c r="M464" i="34"/>
  <c r="AI463" i="34"/>
  <c r="AH463" i="34"/>
  <c r="AG463" i="34"/>
  <c r="AF463" i="34"/>
  <c r="AE463" i="34"/>
  <c r="AD463" i="34"/>
  <c r="AC463" i="34"/>
  <c r="AB463" i="34"/>
  <c r="AA463" i="34"/>
  <c r="Z463" i="34"/>
  <c r="Y463" i="34"/>
  <c r="P463" i="34"/>
  <c r="O463" i="34"/>
  <c r="N463" i="34"/>
  <c r="M463" i="34"/>
  <c r="AJ462" i="34"/>
  <c r="AI462" i="34"/>
  <c r="AH462" i="34"/>
  <c r="AG462" i="34"/>
  <c r="AF462" i="34"/>
  <c r="AE462" i="34"/>
  <c r="AD462" i="34"/>
  <c r="AC462" i="34"/>
  <c r="AB462" i="34"/>
  <c r="AA462" i="34"/>
  <c r="Z462" i="34"/>
  <c r="Y462" i="34"/>
  <c r="X462" i="34"/>
  <c r="W462" i="34"/>
  <c r="V462" i="34"/>
  <c r="U462" i="34"/>
  <c r="T462" i="34"/>
  <c r="S462" i="34"/>
  <c r="R462" i="34"/>
  <c r="Q462" i="34"/>
  <c r="P462" i="34"/>
  <c r="O462" i="34"/>
  <c r="N462" i="34"/>
  <c r="M462" i="34"/>
  <c r="AJ461" i="34"/>
  <c r="AI461" i="34"/>
  <c r="AH461" i="34"/>
  <c r="AG461" i="34"/>
  <c r="AF461" i="34"/>
  <c r="AE461" i="34"/>
  <c r="AD461" i="34"/>
  <c r="AC461" i="34"/>
  <c r="AB461" i="34"/>
  <c r="AA461" i="34"/>
  <c r="Z461" i="34"/>
  <c r="Y461" i="34"/>
  <c r="X461" i="34"/>
  <c r="W461" i="34"/>
  <c r="V461" i="34"/>
  <c r="U461" i="34"/>
  <c r="T461" i="34"/>
  <c r="S461" i="34"/>
  <c r="R461" i="34"/>
  <c r="Q461" i="34"/>
  <c r="P461" i="34"/>
  <c r="O461" i="34"/>
  <c r="N461" i="34"/>
  <c r="M461" i="34"/>
  <c r="M460" i="34"/>
  <c r="P459" i="34"/>
  <c r="O459" i="34"/>
  <c r="N459" i="34"/>
  <c r="M459" i="34"/>
  <c r="P457" i="34"/>
  <c r="O457" i="34"/>
  <c r="N457" i="34"/>
  <c r="M457" i="34"/>
  <c r="AE456" i="34"/>
  <c r="AD456" i="34"/>
  <c r="AC456" i="34"/>
  <c r="AB456" i="34"/>
  <c r="AA456" i="34"/>
  <c r="Z456" i="34"/>
  <c r="Y456" i="34"/>
  <c r="X456" i="34"/>
  <c r="W456" i="34"/>
  <c r="V456" i="34"/>
  <c r="U456" i="34"/>
  <c r="T456" i="34"/>
  <c r="S456" i="34"/>
  <c r="R456" i="34"/>
  <c r="Q456" i="34"/>
  <c r="P456" i="34"/>
  <c r="O456" i="34"/>
  <c r="N456" i="34"/>
  <c r="M456" i="34"/>
  <c r="AJ454" i="34"/>
  <c r="AI454" i="34"/>
  <c r="AH454" i="34"/>
  <c r="AG454" i="34"/>
  <c r="AF454" i="34"/>
  <c r="AE454" i="34"/>
  <c r="AD454" i="34"/>
  <c r="AC454" i="34"/>
  <c r="AB454" i="34"/>
  <c r="AA454" i="34"/>
  <c r="Z454" i="34"/>
  <c r="Y454" i="34"/>
  <c r="X454" i="34"/>
  <c r="W454" i="34"/>
  <c r="V454" i="34"/>
  <c r="U454" i="34"/>
  <c r="T454" i="34"/>
  <c r="S454" i="34"/>
  <c r="R454" i="34"/>
  <c r="Q454" i="34"/>
  <c r="P454" i="34"/>
  <c r="O454" i="34"/>
  <c r="N454" i="34"/>
  <c r="M454" i="34"/>
  <c r="AZ451" i="34"/>
  <c r="AY451" i="34"/>
  <c r="AX451" i="34"/>
  <c r="AW451" i="34"/>
  <c r="AV451" i="34"/>
  <c r="AU451" i="34"/>
  <c r="AT451" i="34"/>
  <c r="AS451" i="34"/>
  <c r="AR451" i="34"/>
  <c r="AQ451" i="34"/>
  <c r="AP451" i="34"/>
  <c r="AO451" i="34"/>
  <c r="AN451" i="34"/>
  <c r="AM451" i="34"/>
  <c r="AL451" i="34"/>
  <c r="AS450" i="34"/>
  <c r="AR450" i="34"/>
  <c r="AQ450" i="34"/>
  <c r="AP450" i="34"/>
  <c r="AO450" i="34"/>
  <c r="AN450" i="34"/>
  <c r="AM450" i="34"/>
  <c r="AL450" i="34"/>
  <c r="AZ449" i="34"/>
  <c r="AY449" i="34"/>
  <c r="AX449" i="34"/>
  <c r="AW449" i="34"/>
  <c r="AV449" i="34"/>
  <c r="AU449" i="34"/>
  <c r="AT449" i="34"/>
  <c r="AS449" i="34"/>
  <c r="AR449" i="34"/>
  <c r="AQ449" i="34"/>
  <c r="AP449" i="34"/>
  <c r="AO449" i="34"/>
  <c r="AN449" i="34"/>
  <c r="AM449" i="34"/>
  <c r="AL449" i="34"/>
  <c r="AS448" i="34"/>
  <c r="AR448" i="34"/>
  <c r="AQ448" i="34"/>
  <c r="AP448" i="34"/>
  <c r="AO448" i="34"/>
  <c r="AN448" i="34"/>
  <c r="AM448" i="34"/>
  <c r="AL448" i="34"/>
  <c r="AS447" i="34"/>
  <c r="AR447" i="34"/>
  <c r="AQ447" i="34"/>
  <c r="AP447" i="34"/>
  <c r="AO447" i="34"/>
  <c r="AN447" i="34"/>
  <c r="AM447" i="34"/>
  <c r="AL447" i="34"/>
  <c r="AR446" i="34"/>
  <c r="AQ446" i="34"/>
  <c r="AP446" i="34"/>
  <c r="AO446" i="34"/>
  <c r="AN446" i="34"/>
  <c r="AM446" i="34"/>
  <c r="AL446" i="34"/>
  <c r="AZ445" i="34"/>
  <c r="AY445" i="34"/>
  <c r="AX445" i="34"/>
  <c r="AW445" i="34"/>
  <c r="AV445" i="34"/>
  <c r="AU445" i="34"/>
  <c r="AT445" i="34"/>
  <c r="AS445" i="34"/>
  <c r="AR445" i="34"/>
  <c r="AQ445" i="34"/>
  <c r="AP445" i="34"/>
  <c r="AO445" i="34"/>
  <c r="AN445" i="34"/>
  <c r="AM445" i="34"/>
  <c r="AL445" i="34"/>
  <c r="AZ444" i="34"/>
  <c r="AY444" i="34"/>
  <c r="AX444" i="34"/>
  <c r="AW444" i="34"/>
  <c r="AV444" i="34"/>
  <c r="AU444" i="34"/>
  <c r="AT444" i="34"/>
  <c r="AS444" i="34"/>
  <c r="AR444" i="34"/>
  <c r="AQ444" i="34"/>
  <c r="AP444" i="34"/>
  <c r="AO444" i="34"/>
  <c r="AN444" i="34"/>
  <c r="AM444" i="34"/>
  <c r="AL444" i="34"/>
  <c r="AS443" i="34"/>
  <c r="AR443" i="34"/>
  <c r="AQ443" i="34"/>
  <c r="AP443" i="34"/>
  <c r="AO443" i="34"/>
  <c r="AN443" i="34"/>
  <c r="AM443" i="34"/>
  <c r="AL443" i="34"/>
  <c r="AZ442" i="34"/>
  <c r="AY442" i="34"/>
  <c r="AX442" i="34"/>
  <c r="AW442" i="34"/>
  <c r="AV442" i="34"/>
  <c r="AU442" i="34"/>
  <c r="AT442" i="34"/>
  <c r="AS442" i="34"/>
  <c r="AR442" i="34"/>
  <c r="AQ442" i="34"/>
  <c r="AP442" i="34"/>
  <c r="AO442" i="34"/>
  <c r="AN442" i="34"/>
  <c r="AM442" i="34"/>
  <c r="AL442" i="34"/>
  <c r="AS441" i="34"/>
  <c r="AR441" i="34"/>
  <c r="AQ441" i="34"/>
  <c r="AP441" i="34"/>
  <c r="AO441" i="34"/>
  <c r="AN441" i="34"/>
  <c r="AM441" i="34"/>
  <c r="AL441" i="34"/>
  <c r="AS440" i="34"/>
  <c r="AR440" i="34"/>
  <c r="AQ440" i="34"/>
  <c r="AP440" i="34"/>
  <c r="AO440" i="34"/>
  <c r="AN440" i="34"/>
  <c r="AM440" i="34"/>
  <c r="AL440" i="34"/>
  <c r="AR439" i="34"/>
  <c r="AQ439" i="34"/>
  <c r="AP439" i="34"/>
  <c r="AO439" i="34"/>
  <c r="AN439" i="34"/>
  <c r="AM439" i="34"/>
  <c r="AL439" i="34"/>
  <c r="AZ438" i="34"/>
  <c r="AY438" i="34"/>
  <c r="AX438" i="34"/>
  <c r="AW438" i="34"/>
  <c r="AV438" i="34"/>
  <c r="AU438" i="34"/>
  <c r="AT438" i="34"/>
  <c r="AS438" i="34"/>
  <c r="AR438" i="34"/>
  <c r="AQ438" i="34"/>
  <c r="AP438" i="34"/>
  <c r="AO438" i="34"/>
  <c r="AN438" i="34"/>
  <c r="AM438" i="34"/>
  <c r="AL438" i="34"/>
  <c r="AZ437" i="34"/>
  <c r="AY437" i="34"/>
  <c r="AX437" i="34"/>
  <c r="AW437" i="34"/>
  <c r="AV437" i="34"/>
  <c r="AU437" i="34"/>
  <c r="AT437" i="34"/>
  <c r="AS437" i="34"/>
  <c r="AR437" i="34"/>
  <c r="AQ437" i="34"/>
  <c r="AP437" i="34"/>
  <c r="AO437" i="34"/>
  <c r="AN437" i="34"/>
  <c r="AM437" i="34"/>
  <c r="AL437" i="34"/>
  <c r="AZ436" i="34"/>
  <c r="AY436" i="34"/>
  <c r="AX436" i="34"/>
  <c r="AW436" i="34"/>
  <c r="AV436" i="34"/>
  <c r="AU436" i="34"/>
  <c r="AT436" i="34"/>
  <c r="AS436" i="34"/>
  <c r="AR436" i="34"/>
  <c r="AQ436" i="34"/>
  <c r="AP436" i="34"/>
  <c r="AO436" i="34"/>
  <c r="AN436" i="34"/>
  <c r="AM436" i="34"/>
  <c r="AL436" i="34"/>
  <c r="AZ435" i="34"/>
  <c r="AY435" i="34"/>
  <c r="AX435" i="34"/>
  <c r="AW435" i="34"/>
  <c r="AV435" i="34"/>
  <c r="AU435" i="34"/>
  <c r="AT435" i="34"/>
  <c r="AS435" i="34"/>
  <c r="AR435" i="34"/>
  <c r="AQ435" i="34"/>
  <c r="AP435" i="34"/>
  <c r="AO435" i="34"/>
  <c r="AN435" i="34"/>
  <c r="AM435" i="34"/>
  <c r="AL435" i="34"/>
  <c r="AN434" i="34"/>
  <c r="AM434" i="34"/>
  <c r="AL434" i="34"/>
  <c r="AZ433" i="34"/>
  <c r="AY433" i="34"/>
  <c r="AX433" i="34"/>
  <c r="AW433" i="34"/>
  <c r="AV433" i="34"/>
  <c r="AU433" i="34"/>
  <c r="AT433" i="34"/>
  <c r="AS433" i="34"/>
  <c r="AR433" i="34"/>
  <c r="AQ433" i="34"/>
  <c r="AP433" i="34"/>
  <c r="AO433" i="34"/>
  <c r="AN433" i="34"/>
  <c r="AM433" i="34"/>
  <c r="AL433" i="34"/>
  <c r="AM432" i="34"/>
  <c r="AL432" i="34"/>
  <c r="AM431" i="34"/>
  <c r="AL431" i="34"/>
  <c r="AJ451" i="34"/>
  <c r="AI451" i="34"/>
  <c r="AH451" i="34"/>
  <c r="AG451" i="34"/>
  <c r="AF451" i="34"/>
  <c r="AE451" i="34"/>
  <c r="AD451" i="34"/>
  <c r="AC451" i="34"/>
  <c r="AB451" i="34"/>
  <c r="AA451" i="34"/>
  <c r="Z451" i="34"/>
  <c r="Y451" i="34"/>
  <c r="X451" i="34"/>
  <c r="W451" i="34"/>
  <c r="V451" i="34"/>
  <c r="U451" i="34"/>
  <c r="T451" i="34"/>
  <c r="S451" i="34"/>
  <c r="R451" i="34"/>
  <c r="Q451" i="34"/>
  <c r="P451" i="34"/>
  <c r="O451" i="34"/>
  <c r="N451" i="34"/>
  <c r="M451" i="34"/>
  <c r="AC450" i="34"/>
  <c r="AB450" i="34"/>
  <c r="AA450" i="34"/>
  <c r="Z450" i="34"/>
  <c r="Y450" i="34"/>
  <c r="X450" i="34"/>
  <c r="V450" i="34"/>
  <c r="U450" i="34"/>
  <c r="T450" i="34"/>
  <c r="S450" i="34"/>
  <c r="R450" i="34"/>
  <c r="Q450" i="34"/>
  <c r="P450" i="34"/>
  <c r="O450" i="34"/>
  <c r="N450" i="34"/>
  <c r="M450" i="34"/>
  <c r="Z449" i="34"/>
  <c r="Y449" i="34"/>
  <c r="X449" i="34"/>
  <c r="V449" i="34"/>
  <c r="U449" i="34"/>
  <c r="T449" i="34"/>
  <c r="S449" i="34"/>
  <c r="R449" i="34"/>
  <c r="Q449" i="34"/>
  <c r="P449" i="34"/>
  <c r="O449" i="34"/>
  <c r="N449" i="34"/>
  <c r="M449" i="34"/>
  <c r="Z448" i="34"/>
  <c r="Y448" i="34"/>
  <c r="X448" i="34"/>
  <c r="V448" i="34"/>
  <c r="U448" i="34"/>
  <c r="T448" i="34"/>
  <c r="S448" i="34"/>
  <c r="R448" i="34"/>
  <c r="Q448" i="34"/>
  <c r="P448" i="34"/>
  <c r="O448" i="34"/>
  <c r="N448" i="34"/>
  <c r="M448" i="34"/>
  <c r="Z447" i="34"/>
  <c r="Y447" i="34"/>
  <c r="X447" i="34"/>
  <c r="V447" i="34"/>
  <c r="U447" i="34"/>
  <c r="T447" i="34"/>
  <c r="S447" i="34"/>
  <c r="R447" i="34"/>
  <c r="Q447" i="34"/>
  <c r="P447" i="34"/>
  <c r="O447" i="34"/>
  <c r="N447" i="34"/>
  <c r="M447" i="34"/>
  <c r="AI446" i="34"/>
  <c r="AH446" i="34"/>
  <c r="AG446" i="34"/>
  <c r="AF446" i="34"/>
  <c r="AE446" i="34"/>
  <c r="AD446" i="34"/>
  <c r="Z446" i="34"/>
  <c r="Y446" i="34"/>
  <c r="X446" i="34"/>
  <c r="V446" i="34"/>
  <c r="U446" i="34"/>
  <c r="T446" i="34"/>
  <c r="S446" i="34"/>
  <c r="R446" i="34"/>
  <c r="Q446" i="34"/>
  <c r="P446" i="34"/>
  <c r="O446" i="34"/>
  <c r="N446" i="34"/>
  <c r="M446" i="34"/>
  <c r="AJ445" i="34"/>
  <c r="AI445" i="34"/>
  <c r="AH445" i="34"/>
  <c r="AG445" i="34"/>
  <c r="AF445" i="34"/>
  <c r="AE445" i="34"/>
  <c r="AD445" i="34"/>
  <c r="AC445" i="34"/>
  <c r="AB445" i="34"/>
  <c r="AA445" i="34"/>
  <c r="Z445" i="34"/>
  <c r="Y445" i="34"/>
  <c r="X445" i="34"/>
  <c r="W445" i="34"/>
  <c r="V445" i="34"/>
  <c r="U445" i="34"/>
  <c r="T445" i="34"/>
  <c r="S445" i="34"/>
  <c r="R445" i="34"/>
  <c r="Q445" i="34"/>
  <c r="P445" i="34"/>
  <c r="O445" i="34"/>
  <c r="N445" i="34"/>
  <c r="M445" i="34"/>
  <c r="AJ444" i="34"/>
  <c r="AI444" i="34"/>
  <c r="AH444" i="34"/>
  <c r="AG444" i="34"/>
  <c r="AF444" i="34"/>
  <c r="AE444" i="34"/>
  <c r="AD444" i="34"/>
  <c r="AC444" i="34"/>
  <c r="AB444" i="34"/>
  <c r="AA444" i="34"/>
  <c r="Z444" i="34"/>
  <c r="Y444" i="34"/>
  <c r="X444" i="34"/>
  <c r="W444" i="34"/>
  <c r="V444" i="34"/>
  <c r="U444" i="34"/>
  <c r="T444" i="34"/>
  <c r="S444" i="34"/>
  <c r="R444" i="34"/>
  <c r="Q444" i="34"/>
  <c r="P444" i="34"/>
  <c r="O444" i="34"/>
  <c r="N444" i="34"/>
  <c r="M444" i="34"/>
  <c r="Z443" i="34"/>
  <c r="Y443" i="34"/>
  <c r="X443" i="34"/>
  <c r="V443" i="34"/>
  <c r="U443" i="34"/>
  <c r="T443" i="34"/>
  <c r="S443" i="34"/>
  <c r="R443" i="34"/>
  <c r="Q443" i="34"/>
  <c r="P443" i="34"/>
  <c r="O443" i="34"/>
  <c r="N443" i="34"/>
  <c r="M443" i="34"/>
  <c r="Z442" i="34"/>
  <c r="Y442" i="34"/>
  <c r="X442" i="34"/>
  <c r="V442" i="34"/>
  <c r="U442" i="34"/>
  <c r="T442" i="34"/>
  <c r="S442" i="34"/>
  <c r="R442" i="34"/>
  <c r="Q442" i="34"/>
  <c r="P442" i="34"/>
  <c r="O442" i="34"/>
  <c r="N442" i="34"/>
  <c r="M442" i="34"/>
  <c r="Z441" i="34"/>
  <c r="Y441" i="34"/>
  <c r="X441" i="34"/>
  <c r="V441" i="34"/>
  <c r="U441" i="34"/>
  <c r="T441" i="34"/>
  <c r="S441" i="34"/>
  <c r="R441" i="34"/>
  <c r="Q441" i="34"/>
  <c r="P441" i="34"/>
  <c r="O441" i="34"/>
  <c r="N441" i="34"/>
  <c r="M441" i="34"/>
  <c r="Z440" i="34"/>
  <c r="Y440" i="34"/>
  <c r="X440" i="34"/>
  <c r="V440" i="34"/>
  <c r="U440" i="34"/>
  <c r="T440" i="34"/>
  <c r="S440" i="34"/>
  <c r="R440" i="34"/>
  <c r="Q440" i="34"/>
  <c r="P440" i="34"/>
  <c r="O440" i="34"/>
  <c r="N440" i="34"/>
  <c r="M440" i="34"/>
  <c r="Z439" i="34"/>
  <c r="Y439" i="34"/>
  <c r="X439" i="34"/>
  <c r="V439" i="34"/>
  <c r="U439" i="34"/>
  <c r="T439" i="34"/>
  <c r="S439" i="34"/>
  <c r="R439" i="34"/>
  <c r="Q439" i="34"/>
  <c r="P439" i="34"/>
  <c r="O439" i="34"/>
  <c r="N439" i="34"/>
  <c r="M439" i="34"/>
  <c r="AJ438" i="34"/>
  <c r="AI438" i="34"/>
  <c r="AH438" i="34"/>
  <c r="AG438" i="34"/>
  <c r="AF438" i="34"/>
  <c r="AE438" i="34"/>
  <c r="AD438" i="34"/>
  <c r="AC438" i="34"/>
  <c r="AB438" i="34"/>
  <c r="AA438" i="34"/>
  <c r="Z438" i="34"/>
  <c r="Y438" i="34"/>
  <c r="X438" i="34"/>
  <c r="W438" i="34"/>
  <c r="V438" i="34"/>
  <c r="U438" i="34"/>
  <c r="T438" i="34"/>
  <c r="S438" i="34"/>
  <c r="R438" i="34"/>
  <c r="Q438" i="34"/>
  <c r="P438" i="34"/>
  <c r="O438" i="34"/>
  <c r="N438" i="34"/>
  <c r="M438" i="34"/>
  <c r="AJ437" i="34"/>
  <c r="AI437" i="34"/>
  <c r="AH437" i="34"/>
  <c r="AG437" i="34"/>
  <c r="AF437" i="34"/>
  <c r="AE437" i="34"/>
  <c r="AD437" i="34"/>
  <c r="AC437" i="34"/>
  <c r="AB437" i="34"/>
  <c r="AA437" i="34"/>
  <c r="Z437" i="34"/>
  <c r="Y437" i="34"/>
  <c r="X437" i="34"/>
  <c r="W437" i="34"/>
  <c r="V437" i="34"/>
  <c r="U437" i="34"/>
  <c r="T437" i="34"/>
  <c r="S437" i="34"/>
  <c r="R437" i="34"/>
  <c r="Q437" i="34"/>
  <c r="P437" i="34"/>
  <c r="O437" i="34"/>
  <c r="N437" i="34"/>
  <c r="M437" i="34"/>
  <c r="AJ436" i="34"/>
  <c r="AI436" i="34"/>
  <c r="AH436" i="34"/>
  <c r="AG436" i="34"/>
  <c r="AF436" i="34"/>
  <c r="AE436" i="34"/>
  <c r="AD436" i="34"/>
  <c r="AC436" i="34"/>
  <c r="AB436" i="34"/>
  <c r="AA436" i="34"/>
  <c r="Z436" i="34"/>
  <c r="Y436" i="34"/>
  <c r="X436" i="34"/>
  <c r="W436" i="34"/>
  <c r="V436" i="34"/>
  <c r="U436" i="34"/>
  <c r="T436" i="34"/>
  <c r="S436" i="34"/>
  <c r="R436" i="34"/>
  <c r="Q436" i="34"/>
  <c r="P436" i="34"/>
  <c r="O436" i="34"/>
  <c r="N436" i="34"/>
  <c r="M436" i="34"/>
  <c r="M435" i="34"/>
  <c r="P434" i="34"/>
  <c r="O434" i="34"/>
  <c r="N434" i="34"/>
  <c r="M434" i="34"/>
  <c r="I451" i="34"/>
  <c r="I450" i="34"/>
  <c r="I449" i="34"/>
  <c r="I448" i="34"/>
  <c r="I447" i="34"/>
  <c r="I446" i="34"/>
  <c r="I445" i="34"/>
  <c r="I444" i="34"/>
  <c r="I443" i="34"/>
  <c r="I442" i="34"/>
  <c r="I441" i="34"/>
  <c r="I440" i="34"/>
  <c r="I439" i="34"/>
  <c r="I438" i="34"/>
  <c r="I437" i="34"/>
  <c r="I436" i="34"/>
  <c r="I435" i="34"/>
  <c r="I434" i="34"/>
  <c r="I433" i="34"/>
  <c r="I432" i="34"/>
  <c r="I431" i="34"/>
  <c r="I424" i="34"/>
  <c r="I423" i="34"/>
  <c r="I422" i="34"/>
  <c r="I421" i="34"/>
  <c r="I420" i="34"/>
  <c r="I419" i="34"/>
  <c r="I418" i="34"/>
  <c r="I417" i="34"/>
  <c r="I416" i="34"/>
  <c r="I415" i="34"/>
  <c r="I414" i="34"/>
  <c r="I412" i="34"/>
  <c r="I411" i="34"/>
  <c r="I410" i="34"/>
  <c r="I409" i="34"/>
  <c r="I408" i="34"/>
  <c r="I407" i="34"/>
  <c r="I406" i="34"/>
  <c r="I405" i="34"/>
  <c r="I404" i="34"/>
  <c r="I403" i="34"/>
  <c r="I402" i="34"/>
  <c r="I401" i="34"/>
  <c r="I400" i="34"/>
  <c r="I399" i="34"/>
  <c r="I398" i="34"/>
  <c r="I397" i="34"/>
  <c r="I396" i="34"/>
  <c r="I395" i="34"/>
  <c r="I394" i="34"/>
  <c r="I393" i="34"/>
  <c r="I392" i="34"/>
  <c r="I391" i="34"/>
  <c r="I390" i="34"/>
  <c r="I389" i="34"/>
  <c r="I388" i="34"/>
  <c r="I387" i="34"/>
  <c r="I386" i="34"/>
  <c r="I385" i="34"/>
  <c r="I384" i="34"/>
  <c r="I383" i="34"/>
  <c r="I382" i="34"/>
  <c r="I381" i="34"/>
  <c r="I380" i="34"/>
  <c r="AZ424" i="34"/>
  <c r="AY424" i="34"/>
  <c r="AX424" i="34"/>
  <c r="AW424" i="34"/>
  <c r="AV424" i="34"/>
  <c r="AU424" i="34"/>
  <c r="AT424" i="34"/>
  <c r="AS424" i="34"/>
  <c r="AR424" i="34"/>
  <c r="AQ424" i="34"/>
  <c r="AP424" i="34"/>
  <c r="AO424" i="34"/>
  <c r="AN424" i="34"/>
  <c r="AM424" i="34"/>
  <c r="AL424" i="34"/>
  <c r="AZ423" i="34"/>
  <c r="AY423" i="34"/>
  <c r="AX423" i="34"/>
  <c r="AW423" i="34"/>
  <c r="AV423" i="34"/>
  <c r="AU423" i="34"/>
  <c r="AT423" i="34"/>
  <c r="AS423" i="34"/>
  <c r="AR423" i="34"/>
  <c r="AQ423" i="34"/>
  <c r="AP423" i="34"/>
  <c r="AO423" i="34"/>
  <c r="AN423" i="34"/>
  <c r="AM423" i="34"/>
  <c r="AL423" i="34"/>
  <c r="AZ422" i="34"/>
  <c r="AY422" i="34"/>
  <c r="AX422" i="34"/>
  <c r="AN422" i="34"/>
  <c r="AM422" i="34"/>
  <c r="AL422" i="34"/>
  <c r="AM421" i="34"/>
  <c r="AL421" i="34"/>
  <c r="AZ420" i="34"/>
  <c r="AY420" i="34"/>
  <c r="AX420" i="34"/>
  <c r="AW420" i="34"/>
  <c r="AV420" i="34"/>
  <c r="AU420" i="34"/>
  <c r="AT420" i="34"/>
  <c r="AS420" i="34"/>
  <c r="AR420" i="34"/>
  <c r="AQ420" i="34"/>
  <c r="AP420" i="34"/>
  <c r="AO420" i="34"/>
  <c r="AN420" i="34"/>
  <c r="AM420" i="34"/>
  <c r="AL420" i="34"/>
  <c r="AM419" i="34"/>
  <c r="AL419" i="34"/>
  <c r="AM418" i="34"/>
  <c r="AL418" i="34"/>
  <c r="AZ417" i="34"/>
  <c r="AY417" i="34"/>
  <c r="AX417" i="34"/>
  <c r="AW417" i="34"/>
  <c r="AV417" i="34"/>
  <c r="AU417" i="34"/>
  <c r="AT417" i="34"/>
  <c r="AS417" i="34"/>
  <c r="AR417" i="34"/>
  <c r="AQ417" i="34"/>
  <c r="AP417" i="34"/>
  <c r="AO417" i="34"/>
  <c r="AN417" i="34"/>
  <c r="AM417" i="34"/>
  <c r="AL417" i="34"/>
  <c r="AZ416" i="34"/>
  <c r="AY416" i="34"/>
  <c r="AX416" i="34"/>
  <c r="AW416" i="34"/>
  <c r="AV416" i="34"/>
  <c r="AU416" i="34"/>
  <c r="AT416" i="34"/>
  <c r="AS416" i="34"/>
  <c r="AR416" i="34"/>
  <c r="AQ416" i="34"/>
  <c r="AP416" i="34"/>
  <c r="AO416" i="34"/>
  <c r="AN416" i="34"/>
  <c r="AM416" i="34"/>
  <c r="AL416" i="34"/>
  <c r="AZ415" i="34"/>
  <c r="AY415" i="34"/>
  <c r="AX415" i="34"/>
  <c r="AW415" i="34"/>
  <c r="AV415" i="34"/>
  <c r="AU415" i="34"/>
  <c r="AT415" i="34"/>
  <c r="AS415" i="34"/>
  <c r="AR415" i="34"/>
  <c r="AQ415" i="34"/>
  <c r="AP415" i="34"/>
  <c r="AO415" i="34"/>
  <c r="AN415" i="34"/>
  <c r="AM415" i="34"/>
  <c r="AL415" i="34"/>
  <c r="AZ414" i="34"/>
  <c r="AY414" i="34"/>
  <c r="AX414" i="34"/>
  <c r="AW414" i="34"/>
  <c r="AV414" i="34"/>
  <c r="AU414" i="34"/>
  <c r="AT414" i="34"/>
  <c r="AS414" i="34"/>
  <c r="AR414" i="34"/>
  <c r="AQ414" i="34"/>
  <c r="AP414" i="34"/>
  <c r="AO414" i="34"/>
  <c r="AN414" i="34"/>
  <c r="AM414" i="34"/>
  <c r="AL414" i="34"/>
  <c r="AZ411" i="34"/>
  <c r="AY411" i="34"/>
  <c r="AX411" i="34"/>
  <c r="AW411" i="34"/>
  <c r="AV411" i="34"/>
  <c r="AU411" i="34"/>
  <c r="AT411" i="34"/>
  <c r="AS411" i="34"/>
  <c r="AR411" i="34"/>
  <c r="AQ411" i="34"/>
  <c r="AP411" i="34"/>
  <c r="AO411" i="34"/>
  <c r="AN411" i="34"/>
  <c r="AM411" i="34"/>
  <c r="AL411" i="34"/>
  <c r="AO409" i="34"/>
  <c r="AN409" i="34"/>
  <c r="AM409" i="34"/>
  <c r="AL409" i="34"/>
  <c r="AZ408" i="34"/>
  <c r="AY408" i="34"/>
  <c r="AX408" i="34"/>
  <c r="AW408" i="34"/>
  <c r="AV408" i="34"/>
  <c r="AU408" i="34"/>
  <c r="AT408" i="34"/>
  <c r="AS408" i="34"/>
  <c r="AR408" i="34"/>
  <c r="AQ408" i="34"/>
  <c r="AP408" i="34"/>
  <c r="AO408" i="34"/>
  <c r="AN408" i="34"/>
  <c r="AM408" i="34"/>
  <c r="AL408" i="34"/>
  <c r="AZ406" i="34"/>
  <c r="AY406" i="34"/>
  <c r="AX406" i="34"/>
  <c r="AW406" i="34"/>
  <c r="AV406" i="34"/>
  <c r="AU406" i="34"/>
  <c r="AT406" i="34"/>
  <c r="AS406" i="34"/>
  <c r="AR406" i="34"/>
  <c r="AQ406" i="34"/>
  <c r="AP406" i="34"/>
  <c r="AO406" i="34"/>
  <c r="AN406" i="34"/>
  <c r="AM406" i="34"/>
  <c r="AL406" i="34"/>
  <c r="AL404" i="34"/>
  <c r="AZ403" i="34"/>
  <c r="AY403" i="34"/>
  <c r="AX403" i="34"/>
  <c r="AW403" i="34"/>
  <c r="AV403" i="34"/>
  <c r="AU403" i="34"/>
  <c r="AT403" i="34"/>
  <c r="AS403" i="34"/>
  <c r="AR403" i="34"/>
  <c r="AQ403" i="34"/>
  <c r="AP403" i="34"/>
  <c r="AO403" i="34"/>
  <c r="AN403" i="34"/>
  <c r="AM403" i="34"/>
  <c r="AL403" i="34"/>
  <c r="AO402" i="34"/>
  <c r="AN402" i="34"/>
  <c r="AM402" i="34"/>
  <c r="AL402" i="34"/>
  <c r="AZ401" i="34"/>
  <c r="AY401" i="34"/>
  <c r="AX401" i="34"/>
  <c r="AW401" i="34"/>
  <c r="AV401" i="34"/>
  <c r="AU401" i="34"/>
  <c r="AT401" i="34"/>
  <c r="AS401" i="34"/>
  <c r="AR401" i="34"/>
  <c r="AQ401" i="34"/>
  <c r="AP401" i="34"/>
  <c r="AO401" i="34"/>
  <c r="AN401" i="34"/>
  <c r="AM401" i="34"/>
  <c r="AL401" i="34"/>
  <c r="AZ400" i="34"/>
  <c r="AY400" i="34"/>
  <c r="AX400" i="34"/>
  <c r="AW400" i="34"/>
  <c r="AV400" i="34"/>
  <c r="AU400" i="34"/>
  <c r="AT400" i="34"/>
  <c r="AS400" i="34"/>
  <c r="AR400" i="34"/>
  <c r="AQ400" i="34"/>
  <c r="AP400" i="34"/>
  <c r="AO400" i="34"/>
  <c r="AN400" i="34"/>
  <c r="AM400" i="34"/>
  <c r="AL400" i="34"/>
  <c r="AL398" i="34"/>
  <c r="AZ397" i="34"/>
  <c r="AY397" i="34"/>
  <c r="AX397" i="34"/>
  <c r="AW397" i="34"/>
  <c r="AV397" i="34"/>
  <c r="AU397" i="34"/>
  <c r="AT397" i="34"/>
  <c r="AS397" i="34"/>
  <c r="AR397" i="34"/>
  <c r="AQ397" i="34"/>
  <c r="AP397" i="34"/>
  <c r="AO397" i="34"/>
  <c r="AN397" i="34"/>
  <c r="AM397" i="34"/>
  <c r="AL397" i="34"/>
  <c r="AZ395" i="34"/>
  <c r="AY395" i="34"/>
  <c r="AX395" i="34"/>
  <c r="AW395" i="34"/>
  <c r="AV395" i="34"/>
  <c r="AU395" i="34"/>
  <c r="AT395" i="34"/>
  <c r="AS395" i="34"/>
  <c r="AR395" i="34"/>
  <c r="AQ395" i="34"/>
  <c r="AP395" i="34"/>
  <c r="AO395" i="34"/>
  <c r="AN395" i="34"/>
  <c r="AM395" i="34"/>
  <c r="AL395" i="34"/>
  <c r="AZ394" i="34"/>
  <c r="AY394" i="34"/>
  <c r="AX394" i="34"/>
  <c r="AW394" i="34"/>
  <c r="AV394" i="34"/>
  <c r="AU394" i="34"/>
  <c r="AT394" i="34"/>
  <c r="AS394" i="34"/>
  <c r="AR394" i="34"/>
  <c r="AQ394" i="34"/>
  <c r="AP394" i="34"/>
  <c r="AO394" i="34"/>
  <c r="AN394" i="34"/>
  <c r="AM394" i="34"/>
  <c r="AL394" i="34"/>
  <c r="AZ393" i="34"/>
  <c r="AY393" i="34"/>
  <c r="AX393" i="34"/>
  <c r="AW393" i="34"/>
  <c r="AV393" i="34"/>
  <c r="AU393" i="34"/>
  <c r="AT393" i="34"/>
  <c r="AS393" i="34"/>
  <c r="AR393" i="34"/>
  <c r="AQ393" i="34"/>
  <c r="AP393" i="34"/>
  <c r="AO393" i="34"/>
  <c r="AN393" i="34"/>
  <c r="AM393" i="34"/>
  <c r="AL393" i="34"/>
  <c r="AZ392" i="34"/>
  <c r="AY392" i="34"/>
  <c r="AX392" i="34"/>
  <c r="AW392" i="34"/>
  <c r="AV392" i="34"/>
  <c r="AU392" i="34"/>
  <c r="AT392" i="34"/>
  <c r="AS392" i="34"/>
  <c r="AR392" i="34"/>
  <c r="AQ392" i="34"/>
  <c r="AP392" i="34"/>
  <c r="AO392" i="34"/>
  <c r="AN392" i="34"/>
  <c r="AM392" i="34"/>
  <c r="AL392" i="34"/>
  <c r="AU391" i="34"/>
  <c r="AT391" i="34"/>
  <c r="AS391" i="34"/>
  <c r="AR391" i="34"/>
  <c r="AQ391" i="34"/>
  <c r="AP391" i="34"/>
  <c r="AO391" i="34"/>
  <c r="AN391" i="34"/>
  <c r="AM391" i="34"/>
  <c r="AL391" i="34"/>
  <c r="AS390" i="34"/>
  <c r="AR390" i="34"/>
  <c r="AQ390" i="34"/>
  <c r="AP390" i="34"/>
  <c r="AO390" i="34"/>
  <c r="AN390" i="34"/>
  <c r="AM390" i="34"/>
  <c r="AL390" i="34"/>
  <c r="AR389" i="34"/>
  <c r="AQ389" i="34"/>
  <c r="AP389" i="34"/>
  <c r="AO389" i="34"/>
  <c r="AN389" i="34"/>
  <c r="AM389" i="34"/>
  <c r="AL389" i="34"/>
  <c r="AZ388" i="34"/>
  <c r="AY388" i="34"/>
  <c r="AX388" i="34"/>
  <c r="AW388" i="34"/>
  <c r="AV388" i="34"/>
  <c r="AU388" i="34"/>
  <c r="AT388" i="34"/>
  <c r="AS388" i="34"/>
  <c r="AR388" i="34"/>
  <c r="AQ388" i="34"/>
  <c r="AP388" i="34"/>
  <c r="AO388" i="34"/>
  <c r="AN388" i="34"/>
  <c r="AM388" i="34"/>
  <c r="AL388" i="34"/>
  <c r="AS387" i="34"/>
  <c r="AR387" i="34"/>
  <c r="AQ387" i="34"/>
  <c r="AP387" i="34"/>
  <c r="AO387" i="34"/>
  <c r="AN387" i="34"/>
  <c r="AM387" i="34"/>
  <c r="AL387" i="34"/>
  <c r="AQ386" i="34"/>
  <c r="AP386" i="34"/>
  <c r="AO386" i="34"/>
  <c r="AN386" i="34"/>
  <c r="AM386" i="34"/>
  <c r="AL386" i="34"/>
  <c r="AZ385" i="34"/>
  <c r="AY385" i="34"/>
  <c r="AX385" i="34"/>
  <c r="AW385" i="34"/>
  <c r="AV385" i="34"/>
  <c r="AU385" i="34"/>
  <c r="AT385" i="34"/>
  <c r="AS385" i="34"/>
  <c r="AR385" i="34"/>
  <c r="AQ385" i="34"/>
  <c r="AP385" i="34"/>
  <c r="AO385" i="34"/>
  <c r="AN385" i="34"/>
  <c r="AM385" i="34"/>
  <c r="AL385" i="34"/>
  <c r="AZ384" i="34"/>
  <c r="AY384" i="34"/>
  <c r="AX384" i="34"/>
  <c r="AW384" i="34"/>
  <c r="AV384" i="34"/>
  <c r="AU384" i="34"/>
  <c r="AT384" i="34"/>
  <c r="AS384" i="34"/>
  <c r="AR384" i="34"/>
  <c r="AQ384" i="34"/>
  <c r="AP384" i="34"/>
  <c r="AO384" i="34"/>
  <c r="AN384" i="34"/>
  <c r="AM384" i="34"/>
  <c r="AL384" i="34"/>
  <c r="AR383" i="34"/>
  <c r="AQ383" i="34"/>
  <c r="AP383" i="34"/>
  <c r="AO383" i="34"/>
  <c r="AN383" i="34"/>
  <c r="AM383" i="34"/>
  <c r="AL383" i="34"/>
  <c r="AQ382" i="34"/>
  <c r="AP382" i="34"/>
  <c r="AO382" i="34"/>
  <c r="AN382" i="34"/>
  <c r="AM382" i="34"/>
  <c r="AL382" i="34"/>
  <c r="AZ381" i="34"/>
  <c r="AY381" i="34"/>
  <c r="AX381" i="34"/>
  <c r="AW381" i="34"/>
  <c r="AV381" i="34"/>
  <c r="AU381" i="34"/>
  <c r="AT381" i="34"/>
  <c r="AS381" i="34"/>
  <c r="AR381" i="34"/>
  <c r="AQ381" i="34"/>
  <c r="AP381" i="34"/>
  <c r="AO381" i="34"/>
  <c r="AN381" i="34"/>
  <c r="AM381" i="34"/>
  <c r="AL381" i="34"/>
  <c r="AZ380" i="34"/>
  <c r="AY380" i="34"/>
  <c r="AX380" i="34"/>
  <c r="AW380" i="34"/>
  <c r="AV380" i="34"/>
  <c r="AU380" i="34"/>
  <c r="AT380" i="34"/>
  <c r="AS380" i="34"/>
  <c r="AR380" i="34"/>
  <c r="AQ380" i="34"/>
  <c r="AP380" i="34"/>
  <c r="AO380" i="34"/>
  <c r="AN380" i="34"/>
  <c r="AM380" i="34"/>
  <c r="AL380" i="34"/>
  <c r="AJ424" i="34"/>
  <c r="AI424" i="34"/>
  <c r="AH424" i="34"/>
  <c r="AG424" i="34"/>
  <c r="AF424" i="34"/>
  <c r="AE424" i="34"/>
  <c r="AD424" i="34"/>
  <c r="AC424" i="34"/>
  <c r="AB424" i="34"/>
  <c r="AA424" i="34"/>
  <c r="Z424" i="34"/>
  <c r="Y424" i="34"/>
  <c r="X424" i="34"/>
  <c r="W424" i="34"/>
  <c r="V424" i="34"/>
  <c r="U424" i="34"/>
  <c r="T424" i="34"/>
  <c r="S424" i="34"/>
  <c r="R424" i="34"/>
  <c r="Q424" i="34"/>
  <c r="P424" i="34"/>
  <c r="O424" i="34"/>
  <c r="N424" i="34"/>
  <c r="M424" i="34"/>
  <c r="P423" i="34"/>
  <c r="O423" i="34"/>
  <c r="N423" i="34"/>
  <c r="M423" i="34"/>
  <c r="P422" i="34"/>
  <c r="O422" i="34"/>
  <c r="N422" i="34"/>
  <c r="M422" i="34"/>
  <c r="AI418" i="34"/>
  <c r="AH418" i="34"/>
  <c r="AG418" i="34"/>
  <c r="AJ417" i="34"/>
  <c r="AI417" i="34"/>
  <c r="AH417" i="34"/>
  <c r="AG417" i="34"/>
  <c r="AF417" i="34"/>
  <c r="AE417" i="34"/>
  <c r="AD417" i="34"/>
  <c r="AC417" i="34"/>
  <c r="AB417" i="34"/>
  <c r="AA417" i="34"/>
  <c r="Z417" i="34"/>
  <c r="Y417" i="34"/>
  <c r="X417" i="34"/>
  <c r="W417" i="34"/>
  <c r="V417" i="34"/>
  <c r="U417" i="34"/>
  <c r="T417" i="34"/>
  <c r="S417" i="34"/>
  <c r="R417" i="34"/>
  <c r="Q417" i="34"/>
  <c r="P417" i="34"/>
  <c r="O417" i="34"/>
  <c r="N417" i="34"/>
  <c r="M417" i="34"/>
  <c r="AJ416" i="34"/>
  <c r="AI416" i="34"/>
  <c r="AH416" i="34"/>
  <c r="AG416" i="34"/>
  <c r="AF416" i="34"/>
  <c r="AE416" i="34"/>
  <c r="AD416" i="34"/>
  <c r="AC416" i="34"/>
  <c r="AB416" i="34"/>
  <c r="AA416" i="34"/>
  <c r="Z416" i="34"/>
  <c r="Y416" i="34"/>
  <c r="X416" i="34"/>
  <c r="W416" i="34"/>
  <c r="V416" i="34"/>
  <c r="U416" i="34"/>
  <c r="T416" i="34"/>
  <c r="S416" i="34"/>
  <c r="R416" i="34"/>
  <c r="Q416" i="34"/>
  <c r="P416" i="34"/>
  <c r="O416" i="34"/>
  <c r="N416" i="34"/>
  <c r="M416" i="34"/>
  <c r="AJ415" i="34"/>
  <c r="AI415" i="34"/>
  <c r="AH415" i="34"/>
  <c r="AG415" i="34"/>
  <c r="AF415" i="34"/>
  <c r="AE415" i="34"/>
  <c r="AD415" i="34"/>
  <c r="AC415" i="34"/>
  <c r="AB415" i="34"/>
  <c r="AA415" i="34"/>
  <c r="Z415" i="34"/>
  <c r="Y415" i="34"/>
  <c r="X415" i="34"/>
  <c r="W415" i="34"/>
  <c r="V415" i="34"/>
  <c r="U415" i="34"/>
  <c r="T415" i="34"/>
  <c r="S415" i="34"/>
  <c r="R415" i="34"/>
  <c r="Q415" i="34"/>
  <c r="P415" i="34"/>
  <c r="O415" i="34"/>
  <c r="N415" i="34"/>
  <c r="M415" i="34"/>
  <c r="AJ414" i="34"/>
  <c r="AI414" i="34"/>
  <c r="AH414" i="34"/>
  <c r="AG414" i="34"/>
  <c r="AF414" i="34"/>
  <c r="AE414" i="34"/>
  <c r="AD414" i="34"/>
  <c r="AC414" i="34"/>
  <c r="AB414" i="34"/>
  <c r="AA414" i="34"/>
  <c r="Z414" i="34"/>
  <c r="Y414" i="34"/>
  <c r="X414" i="34"/>
  <c r="W414" i="34"/>
  <c r="V414" i="34"/>
  <c r="U414" i="34"/>
  <c r="T414" i="34"/>
  <c r="S414" i="34"/>
  <c r="R414" i="34"/>
  <c r="Q414" i="34"/>
  <c r="P414" i="34"/>
  <c r="O414" i="34"/>
  <c r="N414" i="34"/>
  <c r="M414" i="34"/>
  <c r="S412" i="34"/>
  <c r="R412" i="34"/>
  <c r="Q412" i="34"/>
  <c r="O412" i="34"/>
  <c r="N412" i="34"/>
  <c r="M412" i="34"/>
  <c r="S411" i="34"/>
  <c r="R411" i="34"/>
  <c r="Q411" i="34"/>
  <c r="P411" i="34"/>
  <c r="O411" i="34"/>
  <c r="N411" i="34"/>
  <c r="M411" i="34"/>
  <c r="S410" i="34"/>
  <c r="R410" i="34"/>
  <c r="Q410" i="34"/>
  <c r="P410" i="34"/>
  <c r="O410" i="34"/>
  <c r="N410" i="34"/>
  <c r="M410" i="34"/>
  <c r="AE409" i="34"/>
  <c r="AD409" i="34"/>
  <c r="AC409" i="34"/>
  <c r="AA409" i="34"/>
  <c r="Y409" i="34"/>
  <c r="X409" i="34"/>
  <c r="W409" i="34"/>
  <c r="V409" i="34"/>
  <c r="U409" i="34"/>
  <c r="T409" i="34"/>
  <c r="S409" i="34"/>
  <c r="R409" i="34"/>
  <c r="Q409" i="34"/>
  <c r="P409" i="34"/>
  <c r="O409" i="34"/>
  <c r="N409" i="34"/>
  <c r="M409" i="34"/>
  <c r="AJ408" i="34"/>
  <c r="AI408" i="34"/>
  <c r="AH408" i="34"/>
  <c r="AG408" i="34"/>
  <c r="AF408" i="34"/>
  <c r="AE408" i="34"/>
  <c r="AD408" i="34"/>
  <c r="AC408" i="34"/>
  <c r="AB408" i="34"/>
  <c r="AA408" i="34"/>
  <c r="Z408" i="34"/>
  <c r="Y408" i="34"/>
  <c r="X408" i="34"/>
  <c r="W408" i="34"/>
  <c r="V408" i="34"/>
  <c r="U408" i="34"/>
  <c r="T408" i="34"/>
  <c r="S408" i="34"/>
  <c r="R408" i="34"/>
  <c r="Q408" i="34"/>
  <c r="P408" i="34"/>
  <c r="O408" i="34"/>
  <c r="N408" i="34"/>
  <c r="M408" i="34"/>
  <c r="S407" i="34"/>
  <c r="R407" i="34"/>
  <c r="Q407" i="34"/>
  <c r="O407" i="34"/>
  <c r="N407" i="34"/>
  <c r="M407" i="34"/>
  <c r="S406" i="34"/>
  <c r="R406" i="34"/>
  <c r="Q406" i="34"/>
  <c r="P406" i="34"/>
  <c r="O406" i="34"/>
  <c r="N406" i="34"/>
  <c r="M406" i="34"/>
  <c r="S405" i="34"/>
  <c r="R405" i="34"/>
  <c r="Q405" i="34"/>
  <c r="P405" i="34"/>
  <c r="O405" i="34"/>
  <c r="N405" i="34"/>
  <c r="M405" i="34"/>
  <c r="AJ404" i="34"/>
  <c r="AI404" i="34"/>
  <c r="AH404" i="34"/>
  <c r="AG404" i="34"/>
  <c r="AF404" i="34"/>
  <c r="AE404" i="34"/>
  <c r="AD404" i="34"/>
  <c r="AC404" i="34"/>
  <c r="AB404" i="34"/>
  <c r="AA404" i="34"/>
  <c r="Z404" i="34"/>
  <c r="Y404" i="34"/>
  <c r="X404" i="34"/>
  <c r="W404" i="34"/>
  <c r="V404" i="34"/>
  <c r="U404" i="34"/>
  <c r="T404" i="34"/>
  <c r="S404" i="34"/>
  <c r="R404" i="34"/>
  <c r="Q404" i="34"/>
  <c r="P404" i="34"/>
  <c r="O404" i="34"/>
  <c r="N404" i="34"/>
  <c r="M404" i="34"/>
  <c r="T403" i="34"/>
  <c r="S403" i="34"/>
  <c r="R403" i="34"/>
  <c r="Q403" i="34"/>
  <c r="P403" i="34"/>
  <c r="O403" i="34"/>
  <c r="N403" i="34"/>
  <c r="M403" i="34"/>
  <c r="AE402" i="34"/>
  <c r="AD402" i="34"/>
  <c r="AB402" i="34"/>
  <c r="AA402" i="34"/>
  <c r="Y402" i="34"/>
  <c r="X402" i="34"/>
  <c r="W402" i="34"/>
  <c r="V402" i="34"/>
  <c r="U402" i="34"/>
  <c r="T402" i="34"/>
  <c r="S402" i="34"/>
  <c r="R402" i="34"/>
  <c r="Q402" i="34"/>
  <c r="P402" i="34"/>
  <c r="O402" i="34"/>
  <c r="N402" i="34"/>
  <c r="M402" i="34"/>
  <c r="AJ401" i="34"/>
  <c r="AI401" i="34"/>
  <c r="AH401" i="34"/>
  <c r="AG401" i="34"/>
  <c r="AF401" i="34"/>
  <c r="AE401" i="34"/>
  <c r="AD401" i="34"/>
  <c r="AC401" i="34"/>
  <c r="AB401" i="34"/>
  <c r="AA401" i="34"/>
  <c r="Z401" i="34"/>
  <c r="Y401" i="34"/>
  <c r="X401" i="34"/>
  <c r="W401" i="34"/>
  <c r="V401" i="34"/>
  <c r="U401" i="34"/>
  <c r="T401" i="34"/>
  <c r="S401" i="34"/>
  <c r="R401" i="34"/>
  <c r="Q401" i="34"/>
  <c r="P401" i="34"/>
  <c r="O401" i="34"/>
  <c r="N401" i="34"/>
  <c r="M401" i="34"/>
  <c r="S400" i="34"/>
  <c r="R400" i="34"/>
  <c r="Q400" i="34"/>
  <c r="P400" i="34"/>
  <c r="O400" i="34"/>
  <c r="N400" i="34"/>
  <c r="M400" i="34"/>
  <c r="S399" i="34"/>
  <c r="R399" i="34"/>
  <c r="Q399" i="34"/>
  <c r="P399" i="34"/>
  <c r="O399" i="34"/>
  <c r="N399" i="34"/>
  <c r="M399" i="34"/>
  <c r="Z398" i="34"/>
  <c r="Y398" i="34"/>
  <c r="X398" i="34"/>
  <c r="V398" i="34"/>
  <c r="U398" i="34"/>
  <c r="T398" i="34"/>
  <c r="S398" i="34"/>
  <c r="R398" i="34"/>
  <c r="Q398" i="34"/>
  <c r="P398" i="34"/>
  <c r="O398" i="34"/>
  <c r="N398" i="34"/>
  <c r="M398" i="34"/>
  <c r="AJ397" i="34"/>
  <c r="AI397" i="34"/>
  <c r="AH397" i="34"/>
  <c r="AG397" i="34"/>
  <c r="AF397" i="34"/>
  <c r="T397" i="34"/>
  <c r="S397" i="34"/>
  <c r="R397" i="34"/>
  <c r="Q397" i="34"/>
  <c r="P397" i="34"/>
  <c r="O397" i="34"/>
  <c r="N397" i="34"/>
  <c r="M397" i="34"/>
  <c r="AC396" i="34"/>
  <c r="S396" i="34"/>
  <c r="R396" i="34"/>
  <c r="Q396" i="34"/>
  <c r="O396" i="34"/>
  <c r="N396" i="34"/>
  <c r="M396" i="34"/>
  <c r="AJ395" i="34"/>
  <c r="AI395" i="34"/>
  <c r="AH395" i="34"/>
  <c r="AG395" i="34"/>
  <c r="AF395" i="34"/>
  <c r="AE395" i="34"/>
  <c r="AD395" i="34"/>
  <c r="AC395" i="34"/>
  <c r="AB395" i="34"/>
  <c r="AA395" i="34"/>
  <c r="Z395" i="34"/>
  <c r="Y395" i="34"/>
  <c r="X395" i="34"/>
  <c r="W395" i="34"/>
  <c r="V395" i="34"/>
  <c r="U395" i="34"/>
  <c r="T395" i="34"/>
  <c r="S395" i="34"/>
  <c r="R395" i="34"/>
  <c r="Q395" i="34"/>
  <c r="P395" i="34"/>
  <c r="O395" i="34"/>
  <c r="N395" i="34"/>
  <c r="M395" i="34"/>
  <c r="AJ394" i="34"/>
  <c r="AI394" i="34"/>
  <c r="AH394" i="34"/>
  <c r="AG394" i="34"/>
  <c r="AF394" i="34"/>
  <c r="AE394" i="34"/>
  <c r="AD394" i="34"/>
  <c r="AC394" i="34"/>
  <c r="AB394" i="34"/>
  <c r="AA394" i="34"/>
  <c r="Z394" i="34"/>
  <c r="Y394" i="34"/>
  <c r="X394" i="34"/>
  <c r="W394" i="34"/>
  <c r="V394" i="34"/>
  <c r="U394" i="34"/>
  <c r="T394" i="34"/>
  <c r="S394" i="34"/>
  <c r="R394" i="34"/>
  <c r="Q394" i="34"/>
  <c r="P394" i="34"/>
  <c r="O394" i="34"/>
  <c r="N394" i="34"/>
  <c r="M394" i="34"/>
  <c r="AJ393" i="34"/>
  <c r="AI393" i="34"/>
  <c r="AH393" i="34"/>
  <c r="AG393" i="34"/>
  <c r="AF393" i="34"/>
  <c r="AE393" i="34"/>
  <c r="AD393" i="34"/>
  <c r="AC393" i="34"/>
  <c r="AB393" i="34"/>
  <c r="AA393" i="34"/>
  <c r="Z393" i="34"/>
  <c r="Y393" i="34"/>
  <c r="X393" i="34"/>
  <c r="W393" i="34"/>
  <c r="V393" i="34"/>
  <c r="U393" i="34"/>
  <c r="T393" i="34"/>
  <c r="S393" i="34"/>
  <c r="R393" i="34"/>
  <c r="Q393" i="34"/>
  <c r="P393" i="34"/>
  <c r="O393" i="34"/>
  <c r="N393" i="34"/>
  <c r="M393" i="34"/>
  <c r="AJ392" i="34"/>
  <c r="AI392" i="34"/>
  <c r="AH392" i="34"/>
  <c r="AG392" i="34"/>
  <c r="AF392" i="34"/>
  <c r="AE392" i="34"/>
  <c r="AD392" i="34"/>
  <c r="AC392" i="34"/>
  <c r="AB392" i="34"/>
  <c r="AA392" i="34"/>
  <c r="Z392" i="34"/>
  <c r="Y392" i="34"/>
  <c r="X392" i="34"/>
  <c r="W392" i="34"/>
  <c r="V392" i="34"/>
  <c r="U392" i="34"/>
  <c r="T392" i="34"/>
  <c r="S392" i="34"/>
  <c r="R392" i="34"/>
  <c r="Q392" i="34"/>
  <c r="P392" i="34"/>
  <c r="O392" i="34"/>
  <c r="N392" i="34"/>
  <c r="M392" i="34"/>
  <c r="AB391" i="34"/>
  <c r="AA391" i="34"/>
  <c r="Z391" i="34"/>
  <c r="Y391" i="34"/>
  <c r="X391" i="34"/>
  <c r="W391" i="34"/>
  <c r="V391" i="34"/>
  <c r="U391" i="34"/>
  <c r="T391" i="34"/>
  <c r="S391" i="34"/>
  <c r="R391" i="34"/>
  <c r="Q391" i="34"/>
  <c r="P391" i="34"/>
  <c r="O391" i="34"/>
  <c r="N391" i="34"/>
  <c r="M391" i="34"/>
  <c r="X390" i="34"/>
  <c r="W390" i="34"/>
  <c r="V390" i="34"/>
  <c r="U390" i="34"/>
  <c r="T390" i="34"/>
  <c r="S390" i="34"/>
  <c r="R390" i="34"/>
  <c r="Q390" i="34"/>
  <c r="P390" i="34"/>
  <c r="O390" i="34"/>
  <c r="N390" i="34"/>
  <c r="M390" i="34"/>
  <c r="T389" i="34"/>
  <c r="S389" i="34"/>
  <c r="R389" i="34"/>
  <c r="Q389" i="34"/>
  <c r="P389" i="34"/>
  <c r="O389" i="34"/>
  <c r="N389" i="34"/>
  <c r="M389" i="34"/>
  <c r="AJ388" i="34"/>
  <c r="AI388" i="34"/>
  <c r="AH388" i="34"/>
  <c r="AG388" i="34"/>
  <c r="AF388" i="34"/>
  <c r="AE388" i="34"/>
  <c r="AD388" i="34"/>
  <c r="AC388" i="34"/>
  <c r="AB388" i="34"/>
  <c r="AA388" i="34"/>
  <c r="Z388" i="34"/>
  <c r="Y388" i="34"/>
  <c r="X388" i="34"/>
  <c r="W388" i="34"/>
  <c r="V388" i="34"/>
  <c r="U388" i="34"/>
  <c r="T388" i="34"/>
  <c r="S388" i="34"/>
  <c r="R388" i="34"/>
  <c r="Q388" i="34"/>
  <c r="P388" i="34"/>
  <c r="O388" i="34"/>
  <c r="N388" i="34"/>
  <c r="M388" i="34"/>
  <c r="X387" i="34"/>
  <c r="W387" i="34"/>
  <c r="V387" i="34"/>
  <c r="U387" i="34"/>
  <c r="T387" i="34"/>
  <c r="S387" i="34"/>
  <c r="R387" i="34"/>
  <c r="Q387" i="34"/>
  <c r="P387" i="34"/>
  <c r="O387" i="34"/>
  <c r="N387" i="34"/>
  <c r="M387" i="34"/>
  <c r="T386" i="34"/>
  <c r="S386" i="34"/>
  <c r="R386" i="34"/>
  <c r="Q386" i="34"/>
  <c r="P386" i="34"/>
  <c r="O386" i="34"/>
  <c r="N386" i="34"/>
  <c r="M386" i="34"/>
  <c r="AJ385" i="34"/>
  <c r="AI385" i="34"/>
  <c r="AH385" i="34"/>
  <c r="AG385" i="34"/>
  <c r="AF385" i="34"/>
  <c r="AE385" i="34"/>
  <c r="AD385" i="34"/>
  <c r="AC385" i="34"/>
  <c r="AB385" i="34"/>
  <c r="AA385" i="34"/>
  <c r="Z385" i="34"/>
  <c r="Y385" i="34"/>
  <c r="X385" i="34"/>
  <c r="W385" i="34"/>
  <c r="V385" i="34"/>
  <c r="U385" i="34"/>
  <c r="T385" i="34"/>
  <c r="S385" i="34"/>
  <c r="R385" i="34"/>
  <c r="Q385" i="34"/>
  <c r="P385" i="34"/>
  <c r="O385" i="34"/>
  <c r="N385" i="34"/>
  <c r="M385" i="34"/>
  <c r="AB384" i="34"/>
  <c r="AA384" i="34"/>
  <c r="Z384" i="34"/>
  <c r="Y384" i="34"/>
  <c r="X384" i="34"/>
  <c r="W384" i="34"/>
  <c r="V384" i="34"/>
  <c r="U384" i="34"/>
  <c r="T384" i="34"/>
  <c r="S384" i="34"/>
  <c r="R384" i="34"/>
  <c r="Q384" i="34"/>
  <c r="P384" i="34"/>
  <c r="O384" i="34"/>
  <c r="N384" i="34"/>
  <c r="M384" i="34"/>
  <c r="X383" i="34"/>
  <c r="W383" i="34"/>
  <c r="V383" i="34"/>
  <c r="U383" i="34"/>
  <c r="T383" i="34"/>
  <c r="S383" i="34"/>
  <c r="R383" i="34"/>
  <c r="Q383" i="34"/>
  <c r="P383" i="34"/>
  <c r="O383" i="34"/>
  <c r="N383" i="34"/>
  <c r="M383" i="34"/>
  <c r="T382" i="34"/>
  <c r="S382" i="34"/>
  <c r="R382" i="34"/>
  <c r="Q382" i="34"/>
  <c r="P382" i="34"/>
  <c r="O382" i="34"/>
  <c r="N382" i="34"/>
  <c r="M382" i="34"/>
  <c r="AJ381" i="34"/>
  <c r="AI381" i="34"/>
  <c r="AH381" i="34"/>
  <c r="AG381" i="34"/>
  <c r="AF381" i="34"/>
  <c r="AE381" i="34"/>
  <c r="AD381" i="34"/>
  <c r="AC381" i="34"/>
  <c r="AB381" i="34"/>
  <c r="AA381" i="34"/>
  <c r="Z381" i="34"/>
  <c r="Y381" i="34"/>
  <c r="X381" i="34"/>
  <c r="W381" i="34"/>
  <c r="V381" i="34"/>
  <c r="U381" i="34"/>
  <c r="T381" i="34"/>
  <c r="S381" i="34"/>
  <c r="R381" i="34"/>
  <c r="Q381" i="34"/>
  <c r="P381" i="34"/>
  <c r="O381" i="34"/>
  <c r="N381" i="34"/>
  <c r="M381" i="34"/>
  <c r="AJ380" i="34"/>
  <c r="AI380" i="34"/>
  <c r="AH380" i="34"/>
  <c r="AG380" i="34"/>
  <c r="AF380" i="34"/>
  <c r="AE380" i="34"/>
  <c r="AD380" i="34"/>
  <c r="AC380" i="34"/>
  <c r="AB380" i="34"/>
  <c r="AA380" i="34"/>
  <c r="Z380" i="34"/>
  <c r="Y380" i="34"/>
  <c r="X380" i="34"/>
  <c r="W380" i="34"/>
  <c r="V380" i="34"/>
  <c r="U380" i="34"/>
  <c r="T380" i="34"/>
  <c r="S380" i="34"/>
  <c r="R380" i="34"/>
  <c r="Q380" i="34"/>
  <c r="P380" i="34"/>
  <c r="O380" i="34"/>
  <c r="N380" i="34"/>
  <c r="M380" i="34"/>
  <c r="I378" i="34"/>
  <c r="I377" i="34"/>
  <c r="AR378" i="34"/>
  <c r="AQ378" i="34"/>
  <c r="AP378" i="34"/>
  <c r="AO378" i="34"/>
  <c r="AN378" i="34"/>
  <c r="AM378" i="34"/>
  <c r="AL378" i="34"/>
  <c r="AQ377" i="34"/>
  <c r="AP377" i="34"/>
  <c r="AO377" i="34"/>
  <c r="AN377" i="34"/>
  <c r="AM377" i="34"/>
  <c r="AL377" i="34"/>
  <c r="Y378" i="34"/>
  <c r="X378" i="34"/>
  <c r="W378" i="34"/>
  <c r="V378" i="34"/>
  <c r="U378" i="34"/>
  <c r="T378" i="34"/>
  <c r="S378" i="34"/>
  <c r="R378" i="34"/>
  <c r="Q378" i="34"/>
  <c r="P378" i="34"/>
  <c r="O378" i="34"/>
  <c r="N378" i="34"/>
  <c r="M378" i="34"/>
  <c r="T377" i="34"/>
  <c r="S377" i="34"/>
  <c r="R377" i="34"/>
  <c r="Q377" i="34"/>
  <c r="P377" i="34"/>
  <c r="O377" i="34"/>
  <c r="N377" i="34"/>
  <c r="M377" i="34"/>
  <c r="I375" i="34"/>
  <c r="I374" i="34"/>
  <c r="I373" i="34"/>
  <c r="I372" i="34"/>
  <c r="I371" i="34"/>
  <c r="I370" i="34"/>
  <c r="I369" i="34"/>
  <c r="I368" i="34"/>
  <c r="I367" i="34"/>
  <c r="I366" i="34"/>
  <c r="I364" i="34"/>
  <c r="I363" i="34"/>
  <c r="I362" i="34"/>
  <c r="I361" i="34"/>
  <c r="I360" i="34"/>
  <c r="I359" i="34"/>
  <c r="I358" i="34"/>
  <c r="I357" i="34"/>
  <c r="I356" i="34"/>
  <c r="I354" i="34"/>
  <c r="I353" i="34"/>
  <c r="I352" i="34"/>
  <c r="I351" i="34"/>
  <c r="I350" i="34"/>
  <c r="I349" i="34"/>
  <c r="I348" i="34"/>
  <c r="I347" i="34"/>
  <c r="I346" i="34"/>
  <c r="I345" i="34"/>
  <c r="I344" i="34"/>
  <c r="AZ375" i="34"/>
  <c r="AY375" i="34"/>
  <c r="AX375" i="34"/>
  <c r="AW375" i="34"/>
  <c r="AV375" i="34"/>
  <c r="AU375" i="34"/>
  <c r="AT375" i="34"/>
  <c r="AS375" i="34"/>
  <c r="AR375" i="34"/>
  <c r="AQ375" i="34"/>
  <c r="AP375" i="34"/>
  <c r="AO375" i="34"/>
  <c r="AN375" i="34"/>
  <c r="AM375" i="34"/>
  <c r="AL375" i="34"/>
  <c r="AZ374" i="34"/>
  <c r="AY374" i="34"/>
  <c r="AX374" i="34"/>
  <c r="AW374" i="34"/>
  <c r="AV374" i="34"/>
  <c r="AU374" i="34"/>
  <c r="AT374" i="34"/>
  <c r="AS374" i="34"/>
  <c r="AR374" i="34"/>
  <c r="AQ374" i="34"/>
  <c r="AP374" i="34"/>
  <c r="AO374" i="34"/>
  <c r="AN374" i="34"/>
  <c r="AM374" i="34"/>
  <c r="AL374" i="34"/>
  <c r="AZ373" i="34"/>
  <c r="AY373" i="34"/>
  <c r="AX373" i="34"/>
  <c r="AW373" i="34"/>
  <c r="AV373" i="34"/>
  <c r="AU373" i="34"/>
  <c r="AT373" i="34"/>
  <c r="AS373" i="34"/>
  <c r="AP373" i="34"/>
  <c r="AO373" i="34"/>
  <c r="AN373" i="34"/>
  <c r="AM373" i="34"/>
  <c r="AL373" i="34"/>
  <c r="AZ372" i="34"/>
  <c r="AY372" i="34"/>
  <c r="AX372" i="34"/>
  <c r="AW372" i="34"/>
  <c r="AV372" i="34"/>
  <c r="AU372" i="34"/>
  <c r="AT372" i="34"/>
  <c r="AS372" i="34"/>
  <c r="AR372" i="34"/>
  <c r="AQ372" i="34"/>
  <c r="AP372" i="34"/>
  <c r="AO372" i="34"/>
  <c r="AN372" i="34"/>
  <c r="AM372" i="34"/>
  <c r="AL372" i="34"/>
  <c r="AZ371" i="34"/>
  <c r="AY371" i="34"/>
  <c r="AX371" i="34"/>
  <c r="AW371" i="34"/>
  <c r="AV371" i="34"/>
  <c r="AU371" i="34"/>
  <c r="AT371" i="34"/>
  <c r="AS371" i="34"/>
  <c r="AR371" i="34"/>
  <c r="AQ371" i="34"/>
  <c r="AP371" i="34"/>
  <c r="AO371" i="34"/>
  <c r="AN371" i="34"/>
  <c r="AM371" i="34"/>
  <c r="AL371" i="34"/>
  <c r="AZ370" i="34"/>
  <c r="AY370" i="34"/>
  <c r="AX370" i="34"/>
  <c r="AW370" i="34"/>
  <c r="AV370" i="34"/>
  <c r="AU370" i="34"/>
  <c r="AT370" i="34"/>
  <c r="AS370" i="34"/>
  <c r="AR370" i="34"/>
  <c r="AQ370" i="34"/>
  <c r="AP370" i="34"/>
  <c r="AO370" i="34"/>
  <c r="AN370" i="34"/>
  <c r="AM370" i="34"/>
  <c r="AL370" i="34"/>
  <c r="AR369" i="34"/>
  <c r="AQ369" i="34"/>
  <c r="AP369" i="34"/>
  <c r="AO369" i="34"/>
  <c r="AN369" i="34"/>
  <c r="AM369" i="34"/>
  <c r="AL369" i="34"/>
  <c r="AP368" i="34"/>
  <c r="AO368" i="34"/>
  <c r="AN368" i="34"/>
  <c r="AM368" i="34"/>
  <c r="AL368" i="34"/>
  <c r="AZ367" i="34"/>
  <c r="AY367" i="34"/>
  <c r="AX367" i="34"/>
  <c r="AW367" i="34"/>
  <c r="AV367" i="34"/>
  <c r="AU367" i="34"/>
  <c r="AT367" i="34"/>
  <c r="AS367" i="34"/>
  <c r="AR367" i="34"/>
  <c r="AQ367" i="34"/>
  <c r="AP367" i="34"/>
  <c r="AO367" i="34"/>
  <c r="AN367" i="34"/>
  <c r="AM367" i="34"/>
  <c r="AL367" i="34"/>
  <c r="AZ366" i="34"/>
  <c r="AY366" i="34"/>
  <c r="AX366" i="34"/>
  <c r="AW366" i="34"/>
  <c r="AV366" i="34"/>
  <c r="AU366" i="34"/>
  <c r="AT366" i="34"/>
  <c r="AS366" i="34"/>
  <c r="AR366" i="34"/>
  <c r="AQ366" i="34"/>
  <c r="AP366" i="34"/>
  <c r="AO366" i="34"/>
  <c r="AN366" i="34"/>
  <c r="AM366" i="34"/>
  <c r="AL366" i="34"/>
  <c r="AZ364" i="34"/>
  <c r="AY364" i="34"/>
  <c r="AX364" i="34"/>
  <c r="AW364" i="34"/>
  <c r="AV364" i="34"/>
  <c r="AU364" i="34"/>
  <c r="AT364" i="34"/>
  <c r="AS364" i="34"/>
  <c r="AR364" i="34"/>
  <c r="AQ364" i="34"/>
  <c r="AP364" i="34"/>
  <c r="AO364" i="34"/>
  <c r="AN364" i="34"/>
  <c r="AM364" i="34"/>
  <c r="AL364" i="34"/>
  <c r="AZ363" i="34"/>
  <c r="AY363" i="34"/>
  <c r="AX363" i="34"/>
  <c r="AW363" i="34"/>
  <c r="AV363" i="34"/>
  <c r="AU363" i="34"/>
  <c r="AT363" i="34"/>
  <c r="AS363" i="34"/>
  <c r="AP363" i="34"/>
  <c r="AO363" i="34"/>
  <c r="AN363" i="34"/>
  <c r="AM363" i="34"/>
  <c r="AL363" i="34"/>
  <c r="AZ362" i="34"/>
  <c r="AY362" i="34"/>
  <c r="AX362" i="34"/>
  <c r="AW362" i="34"/>
  <c r="AV362" i="34"/>
  <c r="AU362" i="34"/>
  <c r="AT362" i="34"/>
  <c r="AS362" i="34"/>
  <c r="AR362" i="34"/>
  <c r="AQ362" i="34"/>
  <c r="AP362" i="34"/>
  <c r="AO362" i="34"/>
  <c r="AN362" i="34"/>
  <c r="AM362" i="34"/>
  <c r="AL362" i="34"/>
  <c r="AZ361" i="34"/>
  <c r="AY361" i="34"/>
  <c r="AX361" i="34"/>
  <c r="AW361" i="34"/>
  <c r="AV361" i="34"/>
  <c r="AU361" i="34"/>
  <c r="AT361" i="34"/>
  <c r="AS361" i="34"/>
  <c r="AR361" i="34"/>
  <c r="AQ361" i="34"/>
  <c r="AP361" i="34"/>
  <c r="AO361" i="34"/>
  <c r="AN361" i="34"/>
  <c r="AM361" i="34"/>
  <c r="AL361" i="34"/>
  <c r="AZ360" i="34"/>
  <c r="AY360" i="34"/>
  <c r="AX360" i="34"/>
  <c r="AW360" i="34"/>
  <c r="AV360" i="34"/>
  <c r="AU360" i="34"/>
  <c r="AT360" i="34"/>
  <c r="AS360" i="34"/>
  <c r="AR360" i="34"/>
  <c r="AQ360" i="34"/>
  <c r="AP360" i="34"/>
  <c r="AO360" i="34"/>
  <c r="AN360" i="34"/>
  <c r="AM360" i="34"/>
  <c r="AL360" i="34"/>
  <c r="AR359" i="34"/>
  <c r="AQ359" i="34"/>
  <c r="AP359" i="34"/>
  <c r="AO359" i="34"/>
  <c r="AN359" i="34"/>
  <c r="AM359" i="34"/>
  <c r="AL359" i="34"/>
  <c r="AP358" i="34"/>
  <c r="AO358" i="34"/>
  <c r="AN358" i="34"/>
  <c r="AM358" i="34"/>
  <c r="AL358" i="34"/>
  <c r="AZ357" i="34"/>
  <c r="AY357" i="34"/>
  <c r="AX357" i="34"/>
  <c r="AW357" i="34"/>
  <c r="AV357" i="34"/>
  <c r="AU357" i="34"/>
  <c r="AT357" i="34"/>
  <c r="AS357" i="34"/>
  <c r="AR357" i="34"/>
  <c r="AQ357" i="34"/>
  <c r="AP357" i="34"/>
  <c r="AO357" i="34"/>
  <c r="AN357" i="34"/>
  <c r="AM357" i="34"/>
  <c r="AL357" i="34"/>
  <c r="AZ356" i="34"/>
  <c r="AY356" i="34"/>
  <c r="AX356" i="34"/>
  <c r="AW356" i="34"/>
  <c r="AV356" i="34"/>
  <c r="AU356" i="34"/>
  <c r="AT356" i="34"/>
  <c r="AS356" i="34"/>
  <c r="AR356" i="34"/>
  <c r="AQ356" i="34"/>
  <c r="AP356" i="34"/>
  <c r="AO356" i="34"/>
  <c r="AN356" i="34"/>
  <c r="AM356" i="34"/>
  <c r="AL356" i="34"/>
  <c r="AZ354" i="34"/>
  <c r="AY354" i="34"/>
  <c r="AX354" i="34"/>
  <c r="AW354" i="34"/>
  <c r="AV354" i="34"/>
  <c r="AU354" i="34"/>
  <c r="AT354" i="34"/>
  <c r="AS354" i="34"/>
  <c r="AR354" i="34"/>
  <c r="AQ354" i="34"/>
  <c r="AP354" i="34"/>
  <c r="AO354" i="34"/>
  <c r="AN354" i="34"/>
  <c r="AM354" i="34"/>
  <c r="AL354" i="34"/>
  <c r="AZ353" i="34"/>
  <c r="AY353" i="34"/>
  <c r="AX353" i="34"/>
  <c r="AW353" i="34"/>
  <c r="AV353" i="34"/>
  <c r="AU353" i="34"/>
  <c r="AT353" i="34"/>
  <c r="AS353" i="34"/>
  <c r="AP353" i="34"/>
  <c r="AO353" i="34"/>
  <c r="AN353" i="34"/>
  <c r="AM353" i="34"/>
  <c r="AL353" i="34"/>
  <c r="AZ352" i="34"/>
  <c r="AY352" i="34"/>
  <c r="AX352" i="34"/>
  <c r="AW352" i="34"/>
  <c r="AV352" i="34"/>
  <c r="AU352" i="34"/>
  <c r="AT352" i="34"/>
  <c r="AS352" i="34"/>
  <c r="AR352" i="34"/>
  <c r="AQ352" i="34"/>
  <c r="AP352" i="34"/>
  <c r="AO352" i="34"/>
  <c r="AN352" i="34"/>
  <c r="AM352" i="34"/>
  <c r="AL352" i="34"/>
  <c r="AZ351" i="34"/>
  <c r="AY351" i="34"/>
  <c r="AX351" i="34"/>
  <c r="AW351" i="34"/>
  <c r="AV351" i="34"/>
  <c r="AU351" i="34"/>
  <c r="AT351" i="34"/>
  <c r="AS351" i="34"/>
  <c r="AR351" i="34"/>
  <c r="AQ351" i="34"/>
  <c r="AP351" i="34"/>
  <c r="AO351" i="34"/>
  <c r="AN351" i="34"/>
  <c r="AM351" i="34"/>
  <c r="AL351" i="34"/>
  <c r="AZ350" i="34"/>
  <c r="AY350" i="34"/>
  <c r="AX350" i="34"/>
  <c r="AW350" i="34"/>
  <c r="AV350" i="34"/>
  <c r="AU350" i="34"/>
  <c r="AT350" i="34"/>
  <c r="AS350" i="34"/>
  <c r="AR350" i="34"/>
  <c r="AQ350" i="34"/>
  <c r="AP350" i="34"/>
  <c r="AO350" i="34"/>
  <c r="AN350" i="34"/>
  <c r="AM350" i="34"/>
  <c r="AL350" i="34"/>
  <c r="AR349" i="34"/>
  <c r="AQ349" i="34"/>
  <c r="AP349" i="34"/>
  <c r="AO349" i="34"/>
  <c r="AN349" i="34"/>
  <c r="AM349" i="34"/>
  <c r="AL349" i="34"/>
  <c r="AP348" i="34"/>
  <c r="AO348" i="34"/>
  <c r="AN348" i="34"/>
  <c r="AM348" i="34"/>
  <c r="AL348" i="34"/>
  <c r="AZ347" i="34"/>
  <c r="AY347" i="34"/>
  <c r="AX347" i="34"/>
  <c r="AW347" i="34"/>
  <c r="AV347" i="34"/>
  <c r="AU347" i="34"/>
  <c r="AT347" i="34"/>
  <c r="AS347" i="34"/>
  <c r="AR347" i="34"/>
  <c r="AQ347" i="34"/>
  <c r="AP347" i="34"/>
  <c r="AO347" i="34"/>
  <c r="AN347" i="34"/>
  <c r="AM347" i="34"/>
  <c r="AL347" i="34"/>
  <c r="AZ346" i="34"/>
  <c r="AY346" i="34"/>
  <c r="AX346" i="34"/>
  <c r="AW346" i="34"/>
  <c r="AV346" i="34"/>
  <c r="AU346" i="34"/>
  <c r="AT346" i="34"/>
  <c r="AS346" i="34"/>
  <c r="AR346" i="34"/>
  <c r="AQ346" i="34"/>
  <c r="AP346" i="34"/>
  <c r="AO346" i="34"/>
  <c r="AN346" i="34"/>
  <c r="AM346" i="34"/>
  <c r="AL346" i="34"/>
  <c r="AZ345" i="34"/>
  <c r="AY345" i="34"/>
  <c r="AX345" i="34"/>
  <c r="AW345" i="34"/>
  <c r="AV345" i="34"/>
  <c r="AU345" i="34"/>
  <c r="AT345" i="34"/>
  <c r="AS345" i="34"/>
  <c r="AR345" i="34"/>
  <c r="AQ345" i="34"/>
  <c r="AP345" i="34"/>
  <c r="AO345" i="34"/>
  <c r="AN345" i="34"/>
  <c r="AM345" i="34"/>
  <c r="AL345" i="34"/>
  <c r="AZ344" i="34"/>
  <c r="AY344" i="34"/>
  <c r="AX344" i="34"/>
  <c r="AW344" i="34"/>
  <c r="AV344" i="34"/>
  <c r="AU344" i="34"/>
  <c r="AT344" i="34"/>
  <c r="AS344" i="34"/>
  <c r="AR344" i="34"/>
  <c r="AQ344" i="34"/>
  <c r="AP344" i="34"/>
  <c r="AO344" i="34"/>
  <c r="AN344" i="34"/>
  <c r="AM344" i="34"/>
  <c r="AL344" i="34"/>
  <c r="AJ375" i="34"/>
  <c r="AI375" i="34"/>
  <c r="AH375" i="34"/>
  <c r="AG375" i="34"/>
  <c r="AF375" i="34"/>
  <c r="AE375" i="34"/>
  <c r="AD375" i="34"/>
  <c r="AC375" i="34"/>
  <c r="AB375" i="34"/>
  <c r="AA375" i="34"/>
  <c r="Z375" i="34"/>
  <c r="Y375" i="34"/>
  <c r="X375" i="34"/>
  <c r="W375" i="34"/>
  <c r="V375" i="34"/>
  <c r="U375" i="34"/>
  <c r="T375" i="34"/>
  <c r="S375" i="34"/>
  <c r="R375" i="34"/>
  <c r="Q375" i="34"/>
  <c r="P375" i="34"/>
  <c r="O375" i="34"/>
  <c r="N375" i="34"/>
  <c r="M375" i="34"/>
  <c r="AI374" i="34"/>
  <c r="AH374" i="34"/>
  <c r="AF374" i="34"/>
  <c r="AE374" i="34"/>
  <c r="AD374" i="34"/>
  <c r="AC374" i="34"/>
  <c r="AB374" i="34"/>
  <c r="AA374" i="34"/>
  <c r="Z374" i="34"/>
  <c r="Y374" i="34"/>
  <c r="X374" i="34"/>
  <c r="W374" i="34"/>
  <c r="V374" i="34"/>
  <c r="U374" i="34"/>
  <c r="T374" i="34"/>
  <c r="S374" i="34"/>
  <c r="R374" i="34"/>
  <c r="Q374" i="34"/>
  <c r="P374" i="34"/>
  <c r="O374" i="34"/>
  <c r="N374" i="34"/>
  <c r="M374" i="34"/>
  <c r="AJ373" i="34"/>
  <c r="AI373" i="34"/>
  <c r="AH373" i="34"/>
  <c r="AG373" i="34"/>
  <c r="U373" i="34"/>
  <c r="T373" i="34"/>
  <c r="S373" i="34"/>
  <c r="R373" i="34"/>
  <c r="Q373" i="34"/>
  <c r="P373" i="34"/>
  <c r="O373" i="34"/>
  <c r="N373" i="34"/>
  <c r="M373" i="34"/>
  <c r="AJ372" i="34"/>
  <c r="AI372" i="34"/>
  <c r="AH372" i="34"/>
  <c r="AG372" i="34"/>
  <c r="AF372" i="34"/>
  <c r="AE372" i="34"/>
  <c r="AD372" i="34"/>
  <c r="AC372" i="34"/>
  <c r="AB372" i="34"/>
  <c r="AA372" i="34"/>
  <c r="Z372" i="34"/>
  <c r="Y372" i="34"/>
  <c r="X372" i="34"/>
  <c r="W372" i="34"/>
  <c r="V372" i="34"/>
  <c r="U372" i="34"/>
  <c r="T372" i="34"/>
  <c r="S372" i="34"/>
  <c r="R372" i="34"/>
  <c r="Q372" i="34"/>
  <c r="P372" i="34"/>
  <c r="O372" i="34"/>
  <c r="N372" i="34"/>
  <c r="M372" i="34"/>
  <c r="AJ371" i="34"/>
  <c r="AI371" i="34"/>
  <c r="AH371" i="34"/>
  <c r="AG371" i="34"/>
  <c r="AF371" i="34"/>
  <c r="AE371" i="34"/>
  <c r="AD371" i="34"/>
  <c r="AB371" i="34"/>
  <c r="AA371" i="34"/>
  <c r="Z371" i="34"/>
  <c r="Y371" i="34"/>
  <c r="X371" i="34"/>
  <c r="W371" i="34"/>
  <c r="V371" i="34"/>
  <c r="U371" i="34"/>
  <c r="T371" i="34"/>
  <c r="S371" i="34"/>
  <c r="R371" i="34"/>
  <c r="Q371" i="34"/>
  <c r="P371" i="34"/>
  <c r="O371" i="34"/>
  <c r="N371" i="34"/>
  <c r="M371" i="34"/>
  <c r="AJ370" i="34"/>
  <c r="AI370" i="34"/>
  <c r="AH370" i="34"/>
  <c r="AG370" i="34"/>
  <c r="AF370" i="34"/>
  <c r="AE370" i="34"/>
  <c r="AD370" i="34"/>
  <c r="AC370" i="34"/>
  <c r="AB370" i="34"/>
  <c r="AA370" i="34"/>
  <c r="Z370" i="34"/>
  <c r="Y370" i="34"/>
  <c r="X370" i="34"/>
  <c r="W370" i="34"/>
  <c r="V370" i="34"/>
  <c r="U370" i="34"/>
  <c r="T370" i="34"/>
  <c r="S370" i="34"/>
  <c r="R370" i="34"/>
  <c r="Q370" i="34"/>
  <c r="P370" i="34"/>
  <c r="O370" i="34"/>
  <c r="N370" i="34"/>
  <c r="M370" i="34"/>
  <c r="AI369" i="34"/>
  <c r="AH369" i="34"/>
  <c r="AF369" i="34"/>
  <c r="AE369" i="34"/>
  <c r="AD369" i="34"/>
  <c r="AC369" i="34"/>
  <c r="AB369" i="34"/>
  <c r="AA369" i="34"/>
  <c r="Z369" i="34"/>
  <c r="Y369" i="34"/>
  <c r="X369" i="34"/>
  <c r="W369" i="34"/>
  <c r="V369" i="34"/>
  <c r="U369" i="34"/>
  <c r="T369" i="34"/>
  <c r="S369" i="34"/>
  <c r="R369" i="34"/>
  <c r="Q369" i="34"/>
  <c r="P369" i="34"/>
  <c r="O369" i="34"/>
  <c r="N369" i="34"/>
  <c r="M369" i="34"/>
  <c r="AJ368" i="34"/>
  <c r="AI368" i="34"/>
  <c r="AH368" i="34"/>
  <c r="AG368" i="34"/>
  <c r="AF368" i="34"/>
  <c r="T368" i="34"/>
  <c r="S368" i="34"/>
  <c r="R368" i="34"/>
  <c r="Q368" i="34"/>
  <c r="P368" i="34"/>
  <c r="O368" i="34"/>
  <c r="N368" i="34"/>
  <c r="M368" i="34"/>
  <c r="AJ367" i="34"/>
  <c r="AI367" i="34"/>
  <c r="AH367" i="34"/>
  <c r="AG367" i="34"/>
  <c r="AF367" i="34"/>
  <c r="AE367" i="34"/>
  <c r="AD367" i="34"/>
  <c r="AC367" i="34"/>
  <c r="AB367" i="34"/>
  <c r="AA367" i="34"/>
  <c r="Z367" i="34"/>
  <c r="Y367" i="34"/>
  <c r="X367" i="34"/>
  <c r="W367" i="34"/>
  <c r="V367" i="34"/>
  <c r="U367" i="34"/>
  <c r="T367" i="34"/>
  <c r="S367" i="34"/>
  <c r="R367" i="34"/>
  <c r="Q367" i="34"/>
  <c r="P367" i="34"/>
  <c r="O367" i="34"/>
  <c r="N367" i="34"/>
  <c r="M367" i="34"/>
  <c r="AJ366" i="34"/>
  <c r="AI366" i="34"/>
  <c r="AH366" i="34"/>
  <c r="AG366" i="34"/>
  <c r="AF366" i="34"/>
  <c r="AE366" i="34"/>
  <c r="AD366" i="34"/>
  <c r="AC366" i="34"/>
  <c r="AB366" i="34"/>
  <c r="AA366" i="34"/>
  <c r="Z366" i="34"/>
  <c r="Y366" i="34"/>
  <c r="X366" i="34"/>
  <c r="W366" i="34"/>
  <c r="V366" i="34"/>
  <c r="U366" i="34"/>
  <c r="T366" i="34"/>
  <c r="S366" i="34"/>
  <c r="R366" i="34"/>
  <c r="Q366" i="34"/>
  <c r="P366" i="34"/>
  <c r="O366" i="34"/>
  <c r="N366" i="34"/>
  <c r="M366" i="34"/>
  <c r="AI364" i="34"/>
  <c r="AH364" i="34"/>
  <c r="AG364" i="34"/>
  <c r="AE364" i="34"/>
  <c r="AD364" i="34"/>
  <c r="AC364" i="34"/>
  <c r="AB364" i="34"/>
  <c r="AA364" i="34"/>
  <c r="Z364" i="34"/>
  <c r="Y364" i="34"/>
  <c r="X364" i="34"/>
  <c r="W364" i="34"/>
  <c r="V364" i="34"/>
  <c r="U364" i="34"/>
  <c r="T364" i="34"/>
  <c r="S364" i="34"/>
  <c r="R364" i="34"/>
  <c r="Q364" i="34"/>
  <c r="P364" i="34"/>
  <c r="O364" i="34"/>
  <c r="N364" i="34"/>
  <c r="M364" i="34"/>
  <c r="AJ363" i="34"/>
  <c r="AI363" i="34"/>
  <c r="AH363" i="34"/>
  <c r="AG363" i="34"/>
  <c r="T363" i="34"/>
  <c r="S363" i="34"/>
  <c r="R363" i="34"/>
  <c r="Q363" i="34"/>
  <c r="P363" i="34"/>
  <c r="O363" i="34"/>
  <c r="N363" i="34"/>
  <c r="M363" i="34"/>
  <c r="AJ362" i="34"/>
  <c r="AI362" i="34"/>
  <c r="AH362" i="34"/>
  <c r="AG362" i="34"/>
  <c r="AF362" i="34"/>
  <c r="AE362" i="34"/>
  <c r="AD362" i="34"/>
  <c r="AC362" i="34"/>
  <c r="AB362" i="34"/>
  <c r="AA362" i="34"/>
  <c r="Z362" i="34"/>
  <c r="Y362" i="34"/>
  <c r="X362" i="34"/>
  <c r="W362" i="34"/>
  <c r="V362" i="34"/>
  <c r="U362" i="34"/>
  <c r="T362" i="34"/>
  <c r="S362" i="34"/>
  <c r="R362" i="34"/>
  <c r="Q362" i="34"/>
  <c r="P362" i="34"/>
  <c r="O362" i="34"/>
  <c r="N362" i="34"/>
  <c r="M362" i="34"/>
  <c r="AJ361" i="34"/>
  <c r="AI361" i="34"/>
  <c r="AH361" i="34"/>
  <c r="AG361" i="34"/>
  <c r="AF361" i="34"/>
  <c r="AE361" i="34"/>
  <c r="AD361" i="34"/>
  <c r="AC361" i="34"/>
  <c r="AB361" i="34"/>
  <c r="AA361" i="34"/>
  <c r="Z361" i="34"/>
  <c r="Y361" i="34"/>
  <c r="X361" i="34"/>
  <c r="W361" i="34"/>
  <c r="V361" i="34"/>
  <c r="U361" i="34"/>
  <c r="T361" i="34"/>
  <c r="S361" i="34"/>
  <c r="R361" i="34"/>
  <c r="Q361" i="34"/>
  <c r="P361" i="34"/>
  <c r="O361" i="34"/>
  <c r="N361" i="34"/>
  <c r="M361" i="34"/>
  <c r="AJ360" i="34"/>
  <c r="AI360" i="34"/>
  <c r="AH360" i="34"/>
  <c r="AG360" i="34"/>
  <c r="AF360" i="34"/>
  <c r="AE360" i="34"/>
  <c r="AD360" i="34"/>
  <c r="AC360" i="34"/>
  <c r="AB360" i="34"/>
  <c r="AA360" i="34"/>
  <c r="Z360" i="34"/>
  <c r="Y360" i="34"/>
  <c r="X360" i="34"/>
  <c r="W360" i="34"/>
  <c r="V360" i="34"/>
  <c r="U360" i="34"/>
  <c r="T360" i="34"/>
  <c r="S360" i="34"/>
  <c r="R360" i="34"/>
  <c r="Q360" i="34"/>
  <c r="P360" i="34"/>
  <c r="O360" i="34"/>
  <c r="N360" i="34"/>
  <c r="M360" i="34"/>
  <c r="AI359" i="34"/>
  <c r="AH359" i="34"/>
  <c r="AF359" i="34"/>
  <c r="AE359" i="34"/>
  <c r="AD359" i="34"/>
  <c r="AC359" i="34"/>
  <c r="AB359" i="34"/>
  <c r="AA359" i="34"/>
  <c r="Z359" i="34"/>
  <c r="Y359" i="34"/>
  <c r="X359" i="34"/>
  <c r="W359" i="34"/>
  <c r="V359" i="34"/>
  <c r="U359" i="34"/>
  <c r="T359" i="34"/>
  <c r="S359" i="34"/>
  <c r="R359" i="34"/>
  <c r="Q359" i="34"/>
  <c r="P359" i="34"/>
  <c r="O359" i="34"/>
  <c r="N359" i="34"/>
  <c r="M359" i="34"/>
  <c r="AJ358" i="34"/>
  <c r="AI358" i="34"/>
  <c r="AH358" i="34"/>
  <c r="AG358" i="34"/>
  <c r="T358" i="34"/>
  <c r="S358" i="34"/>
  <c r="R358" i="34"/>
  <c r="Q358" i="34"/>
  <c r="P358" i="34"/>
  <c r="O358" i="34"/>
  <c r="N358" i="34"/>
  <c r="M358" i="34"/>
  <c r="AJ357" i="34"/>
  <c r="AI357" i="34"/>
  <c r="AH357" i="34"/>
  <c r="AG357" i="34"/>
  <c r="AF357" i="34"/>
  <c r="AE357" i="34"/>
  <c r="AD357" i="34"/>
  <c r="AC357" i="34"/>
  <c r="AB357" i="34"/>
  <c r="AA357" i="34"/>
  <c r="Z357" i="34"/>
  <c r="Y357" i="34"/>
  <c r="X357" i="34"/>
  <c r="W357" i="34"/>
  <c r="V357" i="34"/>
  <c r="U357" i="34"/>
  <c r="T357" i="34"/>
  <c r="S357" i="34"/>
  <c r="R357" i="34"/>
  <c r="Q357" i="34"/>
  <c r="P357" i="34"/>
  <c r="O357" i="34"/>
  <c r="N357" i="34"/>
  <c r="M357" i="34"/>
  <c r="AJ356" i="34"/>
  <c r="AI356" i="34"/>
  <c r="AH356" i="34"/>
  <c r="AG356" i="34"/>
  <c r="AF356" i="34"/>
  <c r="AE356" i="34"/>
  <c r="AD356" i="34"/>
  <c r="AC356" i="34"/>
  <c r="AB356" i="34"/>
  <c r="AA356" i="34"/>
  <c r="Z356" i="34"/>
  <c r="Y356" i="34"/>
  <c r="X356" i="34"/>
  <c r="W356" i="34"/>
  <c r="V356" i="34"/>
  <c r="U356" i="34"/>
  <c r="T356" i="34"/>
  <c r="S356" i="34"/>
  <c r="R356" i="34"/>
  <c r="Q356" i="34"/>
  <c r="P356" i="34"/>
  <c r="O356" i="34"/>
  <c r="N356" i="34"/>
  <c r="M356" i="34"/>
  <c r="AI354" i="34"/>
  <c r="AH354" i="34"/>
  <c r="AG354" i="34"/>
  <c r="AF354" i="34"/>
  <c r="AE354" i="34"/>
  <c r="AD354" i="34"/>
  <c r="AC354" i="34"/>
  <c r="AB354" i="34"/>
  <c r="AA354" i="34"/>
  <c r="Z354" i="34"/>
  <c r="Y354" i="34"/>
  <c r="X354" i="34"/>
  <c r="W354" i="34"/>
  <c r="V354" i="34"/>
  <c r="U354" i="34"/>
  <c r="T354" i="34"/>
  <c r="S354" i="34"/>
  <c r="R354" i="34"/>
  <c r="Q354" i="34"/>
  <c r="P354" i="34"/>
  <c r="O354" i="34"/>
  <c r="N354" i="34"/>
  <c r="M354" i="34"/>
  <c r="AJ353" i="34"/>
  <c r="AI353" i="34"/>
  <c r="AH353" i="34"/>
  <c r="AG353" i="34"/>
  <c r="AF353" i="34"/>
  <c r="T353" i="34"/>
  <c r="S353" i="34"/>
  <c r="R353" i="34"/>
  <c r="Q353" i="34"/>
  <c r="P353" i="34"/>
  <c r="O353" i="34"/>
  <c r="N353" i="34"/>
  <c r="M353" i="34"/>
  <c r="AJ352" i="34"/>
  <c r="AI352" i="34"/>
  <c r="AH352" i="34"/>
  <c r="AG352" i="34"/>
  <c r="AF352" i="34"/>
  <c r="AE352" i="34"/>
  <c r="AD352" i="34"/>
  <c r="AB352" i="34"/>
  <c r="AA352" i="34"/>
  <c r="Z352" i="34"/>
  <c r="Y352" i="34"/>
  <c r="X352" i="34"/>
  <c r="W352" i="34"/>
  <c r="V352" i="34"/>
  <c r="U352" i="34"/>
  <c r="T352" i="34"/>
  <c r="S352" i="34"/>
  <c r="R352" i="34"/>
  <c r="Q352" i="34"/>
  <c r="P352" i="34"/>
  <c r="O352" i="34"/>
  <c r="N352" i="34"/>
  <c r="M352" i="34"/>
  <c r="AJ351" i="34"/>
  <c r="AI351" i="34"/>
  <c r="AH351" i="34"/>
  <c r="AG351" i="34"/>
  <c r="AF351" i="34"/>
  <c r="AE351" i="34"/>
  <c r="AD351" i="34"/>
  <c r="AC351" i="34"/>
  <c r="AB351" i="34"/>
  <c r="AA351" i="34"/>
  <c r="Z351" i="34"/>
  <c r="Y351" i="34"/>
  <c r="X351" i="34"/>
  <c r="W351" i="34"/>
  <c r="V351" i="34"/>
  <c r="U351" i="34"/>
  <c r="T351" i="34"/>
  <c r="S351" i="34"/>
  <c r="R351" i="34"/>
  <c r="Q351" i="34"/>
  <c r="P351" i="34"/>
  <c r="O351" i="34"/>
  <c r="N351" i="34"/>
  <c r="M351" i="34"/>
  <c r="AJ350" i="34"/>
  <c r="AI350" i="34"/>
  <c r="AH350" i="34"/>
  <c r="AG350" i="34"/>
  <c r="AF350" i="34"/>
  <c r="AE350" i="34"/>
  <c r="AD350" i="34"/>
  <c r="AC350" i="34"/>
  <c r="AB350" i="34"/>
  <c r="AA350" i="34"/>
  <c r="Z350" i="34"/>
  <c r="Y350" i="34"/>
  <c r="X350" i="34"/>
  <c r="W350" i="34"/>
  <c r="V350" i="34"/>
  <c r="U350" i="34"/>
  <c r="T350" i="34"/>
  <c r="S350" i="34"/>
  <c r="R350" i="34"/>
  <c r="Q350" i="34"/>
  <c r="P350" i="34"/>
  <c r="O350" i="34"/>
  <c r="N350" i="34"/>
  <c r="M350" i="34"/>
  <c r="AI349" i="34"/>
  <c r="AH349" i="34"/>
  <c r="AE349" i="34"/>
  <c r="AD349" i="34"/>
  <c r="AC349" i="34"/>
  <c r="AB349" i="34"/>
  <c r="AA349" i="34"/>
  <c r="Z349" i="34"/>
  <c r="Y349" i="34"/>
  <c r="X349" i="34"/>
  <c r="W349" i="34"/>
  <c r="V349" i="34"/>
  <c r="U349" i="34"/>
  <c r="T349" i="34"/>
  <c r="S349" i="34"/>
  <c r="R349" i="34"/>
  <c r="Q349" i="34"/>
  <c r="P349" i="34"/>
  <c r="O349" i="34"/>
  <c r="N349" i="34"/>
  <c r="M349" i="34"/>
  <c r="AJ348" i="34"/>
  <c r="AI348" i="34"/>
  <c r="AH348" i="34"/>
  <c r="AG348" i="34"/>
  <c r="T348" i="34"/>
  <c r="S348" i="34"/>
  <c r="R348" i="34"/>
  <c r="Q348" i="34"/>
  <c r="P348" i="34"/>
  <c r="O348" i="34"/>
  <c r="N348" i="34"/>
  <c r="M348" i="34"/>
  <c r="AJ347" i="34"/>
  <c r="AI347" i="34"/>
  <c r="AH347" i="34"/>
  <c r="AG347" i="34"/>
  <c r="AF347" i="34"/>
  <c r="AE347" i="34"/>
  <c r="AD347" i="34"/>
  <c r="AC347" i="34"/>
  <c r="AB347" i="34"/>
  <c r="AA347" i="34"/>
  <c r="Z347" i="34"/>
  <c r="Y347" i="34"/>
  <c r="X347" i="34"/>
  <c r="W347" i="34"/>
  <c r="V347" i="34"/>
  <c r="U347" i="34"/>
  <c r="T347" i="34"/>
  <c r="S347" i="34"/>
  <c r="R347" i="34"/>
  <c r="Q347" i="34"/>
  <c r="P347" i="34"/>
  <c r="O347" i="34"/>
  <c r="N347" i="34"/>
  <c r="M347" i="34"/>
  <c r="AJ346" i="34"/>
  <c r="AI346" i="34"/>
  <c r="AH346" i="34"/>
  <c r="AG346" i="34"/>
  <c r="AF346" i="34"/>
  <c r="AE346" i="34"/>
  <c r="AD346" i="34"/>
  <c r="AC346" i="34"/>
  <c r="AB346" i="34"/>
  <c r="AA346" i="34"/>
  <c r="Z346" i="34"/>
  <c r="Y346" i="34"/>
  <c r="X346" i="34"/>
  <c r="W346" i="34"/>
  <c r="V346" i="34"/>
  <c r="U346" i="34"/>
  <c r="T346" i="34"/>
  <c r="S346" i="34"/>
  <c r="R346" i="34"/>
  <c r="Q346" i="34"/>
  <c r="P346" i="34"/>
  <c r="O346" i="34"/>
  <c r="N346" i="34"/>
  <c r="M346" i="34"/>
  <c r="AJ345" i="34"/>
  <c r="AI345" i="34"/>
  <c r="AH345" i="34"/>
  <c r="AG345" i="34"/>
  <c r="AF345" i="34"/>
  <c r="AE345" i="34"/>
  <c r="AD345" i="34"/>
  <c r="AC345" i="34"/>
  <c r="AB345" i="34"/>
  <c r="AA345" i="34"/>
  <c r="Z345" i="34"/>
  <c r="Y345" i="34"/>
  <c r="X345" i="34"/>
  <c r="W345" i="34"/>
  <c r="V345" i="34"/>
  <c r="U345" i="34"/>
  <c r="T345" i="34"/>
  <c r="S345" i="34"/>
  <c r="R345" i="34"/>
  <c r="Q345" i="34"/>
  <c r="P345" i="34"/>
  <c r="O345" i="34"/>
  <c r="N345" i="34"/>
  <c r="M345" i="34"/>
  <c r="AJ344" i="34"/>
  <c r="AI344" i="34"/>
  <c r="AH344" i="34"/>
  <c r="AG344" i="34"/>
  <c r="AF344" i="34"/>
  <c r="AE344" i="34"/>
  <c r="AD344" i="34"/>
  <c r="AC344" i="34"/>
  <c r="AB344" i="34"/>
  <c r="AA344" i="34"/>
  <c r="Z344" i="34"/>
  <c r="Y344" i="34"/>
  <c r="X344" i="34"/>
  <c r="W344" i="34"/>
  <c r="V344" i="34"/>
  <c r="U344" i="34"/>
  <c r="T344" i="34"/>
  <c r="S344" i="34"/>
  <c r="R344" i="34"/>
  <c r="Q344" i="34"/>
  <c r="P344" i="34"/>
  <c r="O344" i="34"/>
  <c r="N344" i="34"/>
  <c r="M344" i="34"/>
  <c r="I342" i="34"/>
  <c r="I341" i="34"/>
  <c r="I340" i="34"/>
  <c r="I339" i="34"/>
  <c r="I338" i="34"/>
  <c r="AP342" i="34"/>
  <c r="AO342" i="34"/>
  <c r="AN342" i="34"/>
  <c r="AM342" i="34"/>
  <c r="AL342" i="34"/>
  <c r="AP341" i="34"/>
  <c r="AO341" i="34"/>
  <c r="AN341" i="34"/>
  <c r="AM341" i="34"/>
  <c r="AL341" i="34"/>
  <c r="AP340" i="34"/>
  <c r="AO340" i="34"/>
  <c r="AN340" i="34"/>
  <c r="AM340" i="34"/>
  <c r="AL340" i="34"/>
  <c r="AO339" i="34"/>
  <c r="AN339" i="34"/>
  <c r="AM339" i="34"/>
  <c r="AL339" i="34"/>
  <c r="AP338" i="34"/>
  <c r="AO338" i="34"/>
  <c r="AN338" i="34"/>
  <c r="AM338" i="34"/>
  <c r="AL338" i="34"/>
  <c r="P342" i="34"/>
  <c r="O342" i="34"/>
  <c r="N342" i="34"/>
  <c r="M342" i="34"/>
  <c r="P341" i="34"/>
  <c r="O341" i="34"/>
  <c r="N341" i="34"/>
  <c r="M341" i="34"/>
  <c r="P340" i="34"/>
  <c r="O340" i="34"/>
  <c r="N340" i="34"/>
  <c r="M340" i="34"/>
  <c r="AI338" i="34"/>
  <c r="AH338" i="34"/>
  <c r="AG338" i="34"/>
  <c r="AF338" i="34"/>
  <c r="AE338" i="34"/>
  <c r="AD338" i="34"/>
  <c r="AC338" i="34"/>
  <c r="AB338" i="34"/>
  <c r="AA338" i="34"/>
  <c r="Z338" i="34"/>
  <c r="Y338" i="34"/>
  <c r="X338" i="34"/>
  <c r="W338" i="34"/>
  <c r="V338" i="34"/>
  <c r="U338" i="34"/>
  <c r="T338" i="34"/>
  <c r="S338" i="34"/>
  <c r="R338" i="34"/>
  <c r="Q338" i="34"/>
  <c r="P338" i="34"/>
  <c r="O338" i="34"/>
  <c r="N338" i="34"/>
  <c r="M338" i="34"/>
  <c r="I335" i="34"/>
  <c r="I334" i="34"/>
  <c r="I333" i="34"/>
  <c r="I332" i="34"/>
  <c r="I331" i="34"/>
  <c r="I330" i="34"/>
  <c r="I329" i="34"/>
  <c r="I328" i="34"/>
  <c r="I327" i="34"/>
  <c r="I326" i="34"/>
  <c r="I325" i="34"/>
  <c r="I324" i="34"/>
  <c r="AZ335" i="34"/>
  <c r="AY335" i="34"/>
  <c r="AX335" i="34"/>
  <c r="AW335" i="34"/>
  <c r="AV335" i="34"/>
  <c r="AU335" i="34"/>
  <c r="AT335" i="34"/>
  <c r="AS335" i="34"/>
  <c r="AR335" i="34"/>
  <c r="AQ335" i="34"/>
  <c r="AP335" i="34"/>
  <c r="AO335" i="34"/>
  <c r="AN335" i="34"/>
  <c r="AM335" i="34"/>
  <c r="AL335" i="34"/>
  <c r="AZ334" i="34"/>
  <c r="AY334" i="34"/>
  <c r="AX334" i="34"/>
  <c r="AW334" i="34"/>
  <c r="AV334" i="34"/>
  <c r="AN334" i="34"/>
  <c r="AM334" i="34"/>
  <c r="AL334" i="34"/>
  <c r="AZ333" i="34"/>
  <c r="AY333" i="34"/>
  <c r="AX333" i="34"/>
  <c r="AW333" i="34"/>
  <c r="AV333" i="34"/>
  <c r="AU333" i="34"/>
  <c r="AT333" i="34"/>
  <c r="AS333" i="34"/>
  <c r="AR333" i="34"/>
  <c r="AQ333" i="34"/>
  <c r="AP333" i="34"/>
  <c r="AO333" i="34"/>
  <c r="AN333" i="34"/>
  <c r="AM333" i="34"/>
  <c r="AL333" i="34"/>
  <c r="AZ332" i="34"/>
  <c r="AY332" i="34"/>
  <c r="AX332" i="34"/>
  <c r="AW332" i="34"/>
  <c r="AV332" i="34"/>
  <c r="AM332" i="34"/>
  <c r="AL332" i="34"/>
  <c r="AZ331" i="34"/>
  <c r="AY331" i="34"/>
  <c r="AX331" i="34"/>
  <c r="AW331" i="34"/>
  <c r="AV331" i="34"/>
  <c r="AM331" i="34"/>
  <c r="AL331" i="34"/>
  <c r="AZ330" i="34"/>
  <c r="AY330" i="34"/>
  <c r="AX330" i="34"/>
  <c r="AW330" i="34"/>
  <c r="AV330" i="34"/>
  <c r="AU330" i="34"/>
  <c r="AT330" i="34"/>
  <c r="AS330" i="34"/>
  <c r="AR330" i="34"/>
  <c r="AQ330" i="34"/>
  <c r="AP330" i="34"/>
  <c r="AO330" i="34"/>
  <c r="AN330" i="34"/>
  <c r="AM330" i="34"/>
  <c r="AL330" i="34"/>
  <c r="AZ329" i="34"/>
  <c r="AY329" i="34"/>
  <c r="AX329" i="34"/>
  <c r="AW329" i="34"/>
  <c r="AV329" i="34"/>
  <c r="AU329" i="34"/>
  <c r="AT329" i="34"/>
  <c r="AS329" i="34"/>
  <c r="AR329" i="34"/>
  <c r="AQ329" i="34"/>
  <c r="AP329" i="34"/>
  <c r="AO329" i="34"/>
  <c r="AN329" i="34"/>
  <c r="AM329" i="34"/>
  <c r="AL329" i="34"/>
  <c r="AZ328" i="34"/>
  <c r="AY328" i="34"/>
  <c r="AX328" i="34"/>
  <c r="AW328" i="34"/>
  <c r="AV328" i="34"/>
  <c r="AU328" i="34"/>
  <c r="AT328" i="34"/>
  <c r="AS328" i="34"/>
  <c r="AR328" i="34"/>
  <c r="AQ328" i="34"/>
  <c r="AP328" i="34"/>
  <c r="AO328" i="34"/>
  <c r="AN328" i="34"/>
  <c r="AM328" i="34"/>
  <c r="AL328" i="34"/>
  <c r="AZ327" i="34"/>
  <c r="AY327" i="34"/>
  <c r="AX327" i="34"/>
  <c r="AW327" i="34"/>
  <c r="AV327" i="34"/>
  <c r="AM327" i="34"/>
  <c r="AL327" i="34"/>
  <c r="AZ326" i="34"/>
  <c r="AY326" i="34"/>
  <c r="AX326" i="34"/>
  <c r="AW326" i="34"/>
  <c r="AV326" i="34"/>
  <c r="AN326" i="34"/>
  <c r="AM326" i="34"/>
  <c r="AL326" i="34"/>
  <c r="AZ325" i="34"/>
  <c r="AY325" i="34"/>
  <c r="AX325" i="34"/>
  <c r="AW325" i="34"/>
  <c r="AV325" i="34"/>
  <c r="AU325" i="34"/>
  <c r="AT325" i="34"/>
  <c r="AS325" i="34"/>
  <c r="AR325" i="34"/>
  <c r="AQ325" i="34"/>
  <c r="AP325" i="34"/>
  <c r="AO325" i="34"/>
  <c r="AN325" i="34"/>
  <c r="AM325" i="34"/>
  <c r="AL325" i="34"/>
  <c r="AZ324" i="34"/>
  <c r="AY324" i="34"/>
  <c r="AX324" i="34"/>
  <c r="AW324" i="34"/>
  <c r="AV324" i="34"/>
  <c r="AO324" i="34"/>
  <c r="AN324" i="34"/>
  <c r="AM324" i="34"/>
  <c r="AL324" i="34"/>
  <c r="M335" i="34"/>
  <c r="P334" i="34"/>
  <c r="O334" i="34"/>
  <c r="N334" i="34"/>
  <c r="M334" i="34"/>
  <c r="AJ330" i="34"/>
  <c r="AI330" i="34"/>
  <c r="AH330" i="34"/>
  <c r="AG330" i="34"/>
  <c r="AF330" i="34"/>
  <c r="AE330" i="34"/>
  <c r="AD330" i="34"/>
  <c r="AC330" i="34"/>
  <c r="AB330" i="34"/>
  <c r="AA330" i="34"/>
  <c r="Z330" i="34"/>
  <c r="Y330" i="34"/>
  <c r="X330" i="34"/>
  <c r="W330" i="34"/>
  <c r="V330" i="34"/>
  <c r="U330" i="34"/>
  <c r="T330" i="34"/>
  <c r="S330" i="34"/>
  <c r="R330" i="34"/>
  <c r="Q330" i="34"/>
  <c r="P330" i="34"/>
  <c r="O330" i="34"/>
  <c r="N330" i="34"/>
  <c r="M330" i="34"/>
  <c r="AJ329" i="34"/>
  <c r="AI329" i="34"/>
  <c r="AH329" i="34"/>
  <c r="AG329" i="34"/>
  <c r="AF329" i="34"/>
  <c r="AE329" i="34"/>
  <c r="AD329" i="34"/>
  <c r="AC329" i="34"/>
  <c r="AB329" i="34"/>
  <c r="AA329" i="34"/>
  <c r="Z329" i="34"/>
  <c r="Y329" i="34"/>
  <c r="X329" i="34"/>
  <c r="W329" i="34"/>
  <c r="V329" i="34"/>
  <c r="U329" i="34"/>
  <c r="T329" i="34"/>
  <c r="S329" i="34"/>
  <c r="R329" i="34"/>
  <c r="Q329" i="34"/>
  <c r="P329" i="34"/>
  <c r="O329" i="34"/>
  <c r="N329" i="34"/>
  <c r="M329" i="34"/>
  <c r="P326" i="34"/>
  <c r="O326" i="34"/>
  <c r="N326" i="34"/>
  <c r="M326" i="34"/>
  <c r="AJ325" i="34"/>
  <c r="AI325" i="34"/>
  <c r="AH325" i="34"/>
  <c r="AG325" i="34"/>
  <c r="M325" i="34"/>
  <c r="AF324" i="34"/>
  <c r="AE324" i="34"/>
  <c r="AD324" i="34"/>
  <c r="AC324" i="34"/>
  <c r="AB324" i="34"/>
  <c r="AA324" i="34"/>
  <c r="Z324" i="34"/>
  <c r="Y324" i="34"/>
  <c r="X324" i="34"/>
  <c r="W324" i="34"/>
  <c r="V324" i="34"/>
  <c r="U324" i="34"/>
  <c r="T324" i="34"/>
  <c r="S324" i="34"/>
  <c r="R324" i="34"/>
  <c r="Q324" i="34"/>
  <c r="P324" i="34"/>
  <c r="O324" i="34"/>
  <c r="N324" i="34"/>
  <c r="M324" i="34"/>
  <c r="I316" i="34"/>
  <c r="I315" i="34"/>
  <c r="I314" i="34"/>
  <c r="I313" i="34"/>
  <c r="I312" i="34"/>
  <c r="I311" i="34"/>
  <c r="I310" i="34"/>
  <c r="I309" i="34"/>
  <c r="I308" i="34"/>
  <c r="I307" i="34"/>
  <c r="I306" i="34"/>
  <c r="I305" i="34"/>
  <c r="I304" i="34"/>
  <c r="I303" i="34"/>
  <c r="I302" i="34"/>
  <c r="I301" i="34"/>
  <c r="I300" i="34"/>
  <c r="I299" i="34"/>
  <c r="I298" i="34"/>
  <c r="I297" i="34"/>
  <c r="I296" i="34"/>
  <c r="I295" i="34"/>
  <c r="I294" i="34"/>
  <c r="I293" i="34"/>
  <c r="I292" i="34"/>
  <c r="I291" i="34"/>
  <c r="I290" i="34"/>
  <c r="I289" i="34"/>
  <c r="M316" i="34"/>
  <c r="P315" i="34"/>
  <c r="O315" i="34"/>
  <c r="N315" i="34"/>
  <c r="M315" i="34"/>
  <c r="M313" i="34"/>
  <c r="AJ310" i="34"/>
  <c r="AI310" i="34"/>
  <c r="AH310" i="34"/>
  <c r="AG310" i="34"/>
  <c r="AF310" i="34"/>
  <c r="AE310" i="34"/>
  <c r="AD310" i="34"/>
  <c r="AC310" i="34"/>
  <c r="AB310" i="34"/>
  <c r="AA310" i="34"/>
  <c r="Z310" i="34"/>
  <c r="Y310" i="34"/>
  <c r="X310" i="34"/>
  <c r="W310" i="34"/>
  <c r="V310" i="34"/>
  <c r="U310" i="34"/>
  <c r="T310" i="34"/>
  <c r="S310" i="34"/>
  <c r="R310" i="34"/>
  <c r="Q310" i="34"/>
  <c r="P310" i="34"/>
  <c r="O310" i="34"/>
  <c r="N310" i="34"/>
  <c r="M310" i="34"/>
  <c r="AJ309" i="34"/>
  <c r="AI309" i="34"/>
  <c r="AH309" i="34"/>
  <c r="AG309" i="34"/>
  <c r="AF309" i="34"/>
  <c r="AE309" i="34"/>
  <c r="AD309" i="34"/>
  <c r="AC309" i="34"/>
  <c r="AB309" i="34"/>
  <c r="AA309" i="34"/>
  <c r="Z309" i="34"/>
  <c r="Y309" i="34"/>
  <c r="X309" i="34"/>
  <c r="W309" i="34"/>
  <c r="V309" i="34"/>
  <c r="U309" i="34"/>
  <c r="T309" i="34"/>
  <c r="S309" i="34"/>
  <c r="R309" i="34"/>
  <c r="Q309" i="34"/>
  <c r="P309" i="34"/>
  <c r="O309" i="34"/>
  <c r="N309" i="34"/>
  <c r="M309" i="34"/>
  <c r="AJ308" i="34"/>
  <c r="AI308" i="34"/>
  <c r="AH308" i="34"/>
  <c r="AG308" i="34"/>
  <c r="AF308" i="34"/>
  <c r="AE308" i="34"/>
  <c r="AD308" i="34"/>
  <c r="AC308" i="34"/>
  <c r="AB308" i="34"/>
  <c r="AA308" i="34"/>
  <c r="Z308" i="34"/>
  <c r="Y308" i="34"/>
  <c r="X308" i="34"/>
  <c r="W308" i="34"/>
  <c r="V308" i="34"/>
  <c r="U308" i="34"/>
  <c r="T308" i="34"/>
  <c r="S308" i="34"/>
  <c r="R308" i="34"/>
  <c r="Q308" i="34"/>
  <c r="P308" i="34"/>
  <c r="O308" i="34"/>
  <c r="N308" i="34"/>
  <c r="M308" i="34"/>
  <c r="AJ307" i="34"/>
  <c r="AI307" i="34"/>
  <c r="AH307" i="34"/>
  <c r="AG307" i="34"/>
  <c r="AF307" i="34"/>
  <c r="AE307" i="34"/>
  <c r="AD307" i="34"/>
  <c r="AC307" i="34"/>
  <c r="AB307" i="34"/>
  <c r="AA307" i="34"/>
  <c r="Z307" i="34"/>
  <c r="Y307" i="34"/>
  <c r="X307" i="34"/>
  <c r="W307" i="34"/>
  <c r="V307" i="34"/>
  <c r="U307" i="34"/>
  <c r="T307" i="34"/>
  <c r="S307" i="34"/>
  <c r="R307" i="34"/>
  <c r="Q307" i="34"/>
  <c r="P307" i="34"/>
  <c r="O307" i="34"/>
  <c r="N307" i="34"/>
  <c r="M307" i="34"/>
  <c r="Z306" i="34"/>
  <c r="Y306" i="34"/>
  <c r="X306" i="34"/>
  <c r="W306" i="34"/>
  <c r="V306" i="34"/>
  <c r="U306" i="34"/>
  <c r="T306" i="34"/>
  <c r="S306" i="34"/>
  <c r="R306" i="34"/>
  <c r="Q306" i="34"/>
  <c r="P306" i="34"/>
  <c r="O306" i="34"/>
  <c r="N306" i="34"/>
  <c r="M306" i="34"/>
  <c r="AC305" i="34"/>
  <c r="AB305" i="34"/>
  <c r="AA305" i="34"/>
  <c r="Z305" i="34"/>
  <c r="Y305" i="34"/>
  <c r="X305" i="34"/>
  <c r="W305" i="34"/>
  <c r="V305" i="34"/>
  <c r="U305" i="34"/>
  <c r="T305" i="34"/>
  <c r="S305" i="34"/>
  <c r="R305" i="34"/>
  <c r="Q305" i="34"/>
  <c r="P305" i="34"/>
  <c r="O305" i="34"/>
  <c r="N305" i="34"/>
  <c r="M305" i="34"/>
  <c r="AF304" i="34"/>
  <c r="AE304" i="34"/>
  <c r="AD304" i="34"/>
  <c r="AC304" i="34"/>
  <c r="AB304" i="34"/>
  <c r="AA304" i="34"/>
  <c r="Z304" i="34"/>
  <c r="Y304" i="34"/>
  <c r="X304" i="34"/>
  <c r="W304" i="34"/>
  <c r="V304" i="34"/>
  <c r="U304" i="34"/>
  <c r="T304" i="34"/>
  <c r="S304" i="34"/>
  <c r="R304" i="34"/>
  <c r="Q304" i="34"/>
  <c r="P304" i="34"/>
  <c r="O304" i="34"/>
  <c r="N304" i="34"/>
  <c r="M304" i="34"/>
  <c r="Y303" i="34"/>
  <c r="X303" i="34"/>
  <c r="W303" i="34"/>
  <c r="V303" i="34"/>
  <c r="U303" i="34"/>
  <c r="T303" i="34"/>
  <c r="S303" i="34"/>
  <c r="R303" i="34"/>
  <c r="Q303" i="34"/>
  <c r="P303" i="34"/>
  <c r="O303" i="34"/>
  <c r="N303" i="34"/>
  <c r="M303" i="34"/>
  <c r="Y302" i="34"/>
  <c r="X302" i="34"/>
  <c r="W302" i="34"/>
  <c r="V302" i="34"/>
  <c r="U302" i="34"/>
  <c r="T302" i="34"/>
  <c r="S302" i="34"/>
  <c r="R302" i="34"/>
  <c r="Q302" i="34"/>
  <c r="P302" i="34"/>
  <c r="O302" i="34"/>
  <c r="N302" i="34"/>
  <c r="M302" i="34"/>
  <c r="AI301" i="34"/>
  <c r="AH301" i="34"/>
  <c r="AG301" i="34"/>
  <c r="X301" i="34"/>
  <c r="W301" i="34"/>
  <c r="V301" i="34"/>
  <c r="U301" i="34"/>
  <c r="T301" i="34"/>
  <c r="S301" i="34"/>
  <c r="R301" i="34"/>
  <c r="Q301" i="34"/>
  <c r="P301" i="34"/>
  <c r="O301" i="34"/>
  <c r="N301" i="34"/>
  <c r="M301" i="34"/>
  <c r="AJ300" i="34"/>
  <c r="AI300" i="34"/>
  <c r="AH300" i="34"/>
  <c r="AG300" i="34"/>
  <c r="AF300" i="34"/>
  <c r="AE300" i="34"/>
  <c r="AD300" i="34"/>
  <c r="AC300" i="34"/>
  <c r="AB300" i="34"/>
  <c r="AA300" i="34"/>
  <c r="Z300" i="34"/>
  <c r="Y300" i="34"/>
  <c r="X300" i="34"/>
  <c r="W300" i="34"/>
  <c r="V300" i="34"/>
  <c r="U300" i="34"/>
  <c r="T300" i="34"/>
  <c r="S300" i="34"/>
  <c r="R300" i="34"/>
  <c r="Q300" i="34"/>
  <c r="P300" i="34"/>
  <c r="O300" i="34"/>
  <c r="N300" i="34"/>
  <c r="M300" i="34"/>
  <c r="AJ299" i="34"/>
  <c r="AI299" i="34"/>
  <c r="AH299" i="34"/>
  <c r="AG299" i="34"/>
  <c r="AF299" i="34"/>
  <c r="AE299" i="34"/>
  <c r="AD299" i="34"/>
  <c r="AC299" i="34"/>
  <c r="AB299" i="34"/>
  <c r="AA299" i="34"/>
  <c r="Z299" i="34"/>
  <c r="Y299" i="34"/>
  <c r="X299" i="34"/>
  <c r="W299" i="34"/>
  <c r="V299" i="34"/>
  <c r="U299" i="34"/>
  <c r="T299" i="34"/>
  <c r="S299" i="34"/>
  <c r="R299" i="34"/>
  <c r="Q299" i="34"/>
  <c r="P299" i="34"/>
  <c r="O299" i="34"/>
  <c r="N299" i="34"/>
  <c r="M299" i="34"/>
  <c r="Z298" i="34"/>
  <c r="Y298" i="34"/>
  <c r="X298" i="34"/>
  <c r="W298" i="34"/>
  <c r="V298" i="34"/>
  <c r="U298" i="34"/>
  <c r="T298" i="34"/>
  <c r="S298" i="34"/>
  <c r="R298" i="34"/>
  <c r="Q298" i="34"/>
  <c r="P298" i="34"/>
  <c r="O298" i="34"/>
  <c r="N298" i="34"/>
  <c r="M298" i="34"/>
  <c r="X297" i="34"/>
  <c r="W297" i="34"/>
  <c r="V297" i="34"/>
  <c r="U297" i="34"/>
  <c r="T297" i="34"/>
  <c r="S297" i="34"/>
  <c r="R297" i="34"/>
  <c r="Q297" i="34"/>
  <c r="P297" i="34"/>
  <c r="O297" i="34"/>
  <c r="N297" i="34"/>
  <c r="M297" i="34"/>
  <c r="Y296" i="34"/>
  <c r="X296" i="34"/>
  <c r="W296" i="34"/>
  <c r="V296" i="34"/>
  <c r="U296" i="34"/>
  <c r="T296" i="34"/>
  <c r="S296" i="34"/>
  <c r="R296" i="34"/>
  <c r="Q296" i="34"/>
  <c r="P296" i="34"/>
  <c r="O296" i="34"/>
  <c r="N296" i="34"/>
  <c r="M296" i="34"/>
  <c r="Y295" i="34"/>
  <c r="X295" i="34"/>
  <c r="W295" i="34"/>
  <c r="V295" i="34"/>
  <c r="U295" i="34"/>
  <c r="T295" i="34"/>
  <c r="S295" i="34"/>
  <c r="R295" i="34"/>
  <c r="Q295" i="34"/>
  <c r="P295" i="34"/>
  <c r="O295" i="34"/>
  <c r="N295" i="34"/>
  <c r="M295" i="34"/>
  <c r="Y294" i="34"/>
  <c r="X294" i="34"/>
  <c r="W294" i="34"/>
  <c r="V294" i="34"/>
  <c r="U294" i="34"/>
  <c r="T294" i="34"/>
  <c r="S294" i="34"/>
  <c r="R294" i="34"/>
  <c r="Q294" i="34"/>
  <c r="P294" i="34"/>
  <c r="O294" i="34"/>
  <c r="N294" i="34"/>
  <c r="M294" i="34"/>
  <c r="X293" i="34"/>
  <c r="W293" i="34"/>
  <c r="V293" i="34"/>
  <c r="U293" i="34"/>
  <c r="T293" i="34"/>
  <c r="S293" i="34"/>
  <c r="R293" i="34"/>
  <c r="Q293" i="34"/>
  <c r="P293" i="34"/>
  <c r="O293" i="34"/>
  <c r="N293" i="34"/>
  <c r="M293" i="34"/>
  <c r="AJ292" i="34"/>
  <c r="AI292" i="34"/>
  <c r="AH292" i="34"/>
  <c r="AG292" i="34"/>
  <c r="AF292" i="34"/>
  <c r="AE292" i="34"/>
  <c r="AD292" i="34"/>
  <c r="AC292" i="34"/>
  <c r="AB292" i="34"/>
  <c r="AA292" i="34"/>
  <c r="Z292" i="34"/>
  <c r="Y292" i="34"/>
  <c r="X292" i="34"/>
  <c r="W292" i="34"/>
  <c r="V292" i="34"/>
  <c r="U292" i="34"/>
  <c r="T292" i="34"/>
  <c r="S292" i="34"/>
  <c r="R292" i="34"/>
  <c r="Q292" i="34"/>
  <c r="P292" i="34"/>
  <c r="O292" i="34"/>
  <c r="N292" i="34"/>
  <c r="M292" i="34"/>
  <c r="AJ291" i="34"/>
  <c r="AI291" i="34"/>
  <c r="AH291" i="34"/>
  <c r="AG291" i="34"/>
  <c r="AF291" i="34"/>
  <c r="AE291" i="34"/>
  <c r="AD291" i="34"/>
  <c r="AC291" i="34"/>
  <c r="AB291" i="34"/>
  <c r="AA291" i="34"/>
  <c r="Z291" i="34"/>
  <c r="Y291" i="34"/>
  <c r="X291" i="34"/>
  <c r="W291" i="34"/>
  <c r="V291" i="34"/>
  <c r="U291" i="34"/>
  <c r="T291" i="34"/>
  <c r="S291" i="34"/>
  <c r="R291" i="34"/>
  <c r="Q291" i="34"/>
  <c r="P291" i="34"/>
  <c r="O291" i="34"/>
  <c r="N291" i="34"/>
  <c r="M291" i="34"/>
  <c r="AJ290" i="34"/>
  <c r="AI290" i="34"/>
  <c r="AH290" i="34"/>
  <c r="AG290" i="34"/>
  <c r="AF290" i="34"/>
  <c r="AE290" i="34"/>
  <c r="AD290" i="34"/>
  <c r="AC290" i="34"/>
  <c r="AB290" i="34"/>
  <c r="AA290" i="34"/>
  <c r="Z290" i="34"/>
  <c r="Y290" i="34"/>
  <c r="X290" i="34"/>
  <c r="W290" i="34"/>
  <c r="V290" i="34"/>
  <c r="U290" i="34"/>
  <c r="T290" i="34"/>
  <c r="S290" i="34"/>
  <c r="R290" i="34"/>
  <c r="Q290" i="34"/>
  <c r="P290" i="34"/>
  <c r="O290" i="34"/>
  <c r="N290" i="34"/>
  <c r="M290" i="34"/>
  <c r="AZ316" i="34"/>
  <c r="AY316" i="34"/>
  <c r="AX316" i="34"/>
  <c r="AW316" i="34"/>
  <c r="AV316" i="34"/>
  <c r="AU316" i="34"/>
  <c r="AT316" i="34"/>
  <c r="AS316" i="34"/>
  <c r="AR316" i="34"/>
  <c r="AQ316" i="34"/>
  <c r="AP316" i="34"/>
  <c r="AO316" i="34"/>
  <c r="AN316" i="34"/>
  <c r="AM316" i="34"/>
  <c r="AL316" i="34"/>
  <c r="AN315" i="34"/>
  <c r="AM315" i="34"/>
  <c r="AL315" i="34"/>
  <c r="AM314" i="34"/>
  <c r="AL314" i="34"/>
  <c r="AZ313" i="34"/>
  <c r="AY313" i="34"/>
  <c r="AX313" i="34"/>
  <c r="AW313" i="34"/>
  <c r="AV313" i="34"/>
  <c r="AU313" i="34"/>
  <c r="AT313" i="34"/>
  <c r="AS313" i="34"/>
  <c r="AR313" i="34"/>
  <c r="AQ313" i="34"/>
  <c r="AP313" i="34"/>
  <c r="AO313" i="34"/>
  <c r="AN313" i="34"/>
  <c r="AM313" i="34"/>
  <c r="AL313" i="34"/>
  <c r="AM312" i="34"/>
  <c r="AL312" i="34"/>
  <c r="AM311" i="34"/>
  <c r="AL311" i="34"/>
  <c r="AZ310" i="34"/>
  <c r="AY310" i="34"/>
  <c r="AX310" i="34"/>
  <c r="AW310" i="34"/>
  <c r="AV310" i="34"/>
  <c r="AU310" i="34"/>
  <c r="AT310" i="34"/>
  <c r="AS310" i="34"/>
  <c r="AR310" i="34"/>
  <c r="AQ310" i="34"/>
  <c r="AP310" i="34"/>
  <c r="AO310" i="34"/>
  <c r="AN310" i="34"/>
  <c r="AM310" i="34"/>
  <c r="AL310" i="34"/>
  <c r="AZ309" i="34"/>
  <c r="AY309" i="34"/>
  <c r="AX309" i="34"/>
  <c r="AW309" i="34"/>
  <c r="AV309" i="34"/>
  <c r="AU309" i="34"/>
  <c r="AT309" i="34"/>
  <c r="AS309" i="34"/>
  <c r="AR309" i="34"/>
  <c r="AQ309" i="34"/>
  <c r="AP309" i="34"/>
  <c r="AO309" i="34"/>
  <c r="AN309" i="34"/>
  <c r="AM309" i="34"/>
  <c r="AL309" i="34"/>
  <c r="AZ308" i="34"/>
  <c r="AY308" i="34"/>
  <c r="AX308" i="34"/>
  <c r="AW308" i="34"/>
  <c r="AV308" i="34"/>
  <c r="AU308" i="34"/>
  <c r="AT308" i="34"/>
  <c r="AS308" i="34"/>
  <c r="AR308" i="34"/>
  <c r="AQ308" i="34"/>
  <c r="AP308" i="34"/>
  <c r="AO308" i="34"/>
  <c r="AN308" i="34"/>
  <c r="AM308" i="34"/>
  <c r="AL308" i="34"/>
  <c r="AZ307" i="34"/>
  <c r="AY307" i="34"/>
  <c r="AX307" i="34"/>
  <c r="AW307" i="34"/>
  <c r="AV307" i="34"/>
  <c r="AU307" i="34"/>
  <c r="AT307" i="34"/>
  <c r="AS307" i="34"/>
  <c r="AR307" i="34"/>
  <c r="AQ307" i="34"/>
  <c r="AP307" i="34"/>
  <c r="AO307" i="34"/>
  <c r="AN307" i="34"/>
  <c r="AM307" i="34"/>
  <c r="AL307" i="34"/>
  <c r="AZ306" i="34"/>
  <c r="AY306" i="34"/>
  <c r="AX306" i="34"/>
  <c r="AW306" i="34"/>
  <c r="AV306" i="34"/>
  <c r="AU306" i="34"/>
  <c r="AT306" i="34"/>
  <c r="AS306" i="34"/>
  <c r="AR306" i="34"/>
  <c r="AQ306" i="34"/>
  <c r="AP306" i="34"/>
  <c r="AO306" i="34"/>
  <c r="AN306" i="34"/>
  <c r="AM306" i="34"/>
  <c r="AL306" i="34"/>
  <c r="AS305" i="34"/>
  <c r="AR305" i="34"/>
  <c r="AQ305" i="34"/>
  <c r="AP305" i="34"/>
  <c r="AO305" i="34"/>
  <c r="AN305" i="34"/>
  <c r="AM305" i="34"/>
  <c r="AL305" i="34"/>
  <c r="AS304" i="34"/>
  <c r="AR304" i="34"/>
  <c r="AQ304" i="34"/>
  <c r="AP304" i="34"/>
  <c r="AO304" i="34"/>
  <c r="AN304" i="34"/>
  <c r="AM304" i="34"/>
  <c r="AL304" i="34"/>
  <c r="AZ303" i="34"/>
  <c r="AY303" i="34"/>
  <c r="AX303" i="34"/>
  <c r="AW303" i="34"/>
  <c r="AV303" i="34"/>
  <c r="AU303" i="34"/>
  <c r="AT303" i="34"/>
  <c r="AS303" i="34"/>
  <c r="AR303" i="34"/>
  <c r="AQ303" i="34"/>
  <c r="AP303" i="34"/>
  <c r="AO303" i="34"/>
  <c r="AN303" i="34"/>
  <c r="AM303" i="34"/>
  <c r="AL303" i="34"/>
  <c r="AS302" i="34"/>
  <c r="AR302" i="34"/>
  <c r="AQ302" i="34"/>
  <c r="AP302" i="34"/>
  <c r="AO302" i="34"/>
  <c r="AN302" i="34"/>
  <c r="AM302" i="34"/>
  <c r="AL302" i="34"/>
  <c r="AR301" i="34"/>
  <c r="AQ301" i="34"/>
  <c r="AP301" i="34"/>
  <c r="AO301" i="34"/>
  <c r="AN301" i="34"/>
  <c r="AM301" i="34"/>
  <c r="AL301" i="34"/>
  <c r="AZ300" i="34"/>
  <c r="AY300" i="34"/>
  <c r="AX300" i="34"/>
  <c r="AW300" i="34"/>
  <c r="AV300" i="34"/>
  <c r="AU300" i="34"/>
  <c r="AT300" i="34"/>
  <c r="AS300" i="34"/>
  <c r="AR300" i="34"/>
  <c r="AQ300" i="34"/>
  <c r="AP300" i="34"/>
  <c r="AO300" i="34"/>
  <c r="AN300" i="34"/>
  <c r="AM300" i="34"/>
  <c r="AL300" i="34"/>
  <c r="AZ299" i="34"/>
  <c r="AY299" i="34"/>
  <c r="AX299" i="34"/>
  <c r="AW299" i="34"/>
  <c r="AV299" i="34"/>
  <c r="AU299" i="34"/>
  <c r="AT299" i="34"/>
  <c r="AS299" i="34"/>
  <c r="AR299" i="34"/>
  <c r="AQ299" i="34"/>
  <c r="AP299" i="34"/>
  <c r="AO299" i="34"/>
  <c r="AN299" i="34"/>
  <c r="AM299" i="34"/>
  <c r="AL299" i="34"/>
  <c r="AZ298" i="34"/>
  <c r="AY298" i="34"/>
  <c r="AX298" i="34"/>
  <c r="AW298" i="34"/>
  <c r="AV298" i="34"/>
  <c r="AU298" i="34"/>
  <c r="AT298" i="34"/>
  <c r="AS298" i="34"/>
  <c r="AR298" i="34"/>
  <c r="AQ298" i="34"/>
  <c r="AP298" i="34"/>
  <c r="AO298" i="34"/>
  <c r="AN298" i="34"/>
  <c r="AM298" i="34"/>
  <c r="AL298" i="34"/>
  <c r="AS297" i="34"/>
  <c r="AR297" i="34"/>
  <c r="AQ297" i="34"/>
  <c r="AP297" i="34"/>
  <c r="AO297" i="34"/>
  <c r="AN297" i="34"/>
  <c r="AM297" i="34"/>
  <c r="AL297" i="34"/>
  <c r="AS296" i="34"/>
  <c r="AR296" i="34"/>
  <c r="AQ296" i="34"/>
  <c r="AP296" i="34"/>
  <c r="AO296" i="34"/>
  <c r="AN296" i="34"/>
  <c r="AM296" i="34"/>
  <c r="AL296" i="34"/>
  <c r="AZ295" i="34"/>
  <c r="AY295" i="34"/>
  <c r="AX295" i="34"/>
  <c r="AW295" i="34"/>
  <c r="AV295" i="34"/>
  <c r="AU295" i="34"/>
  <c r="AT295" i="34"/>
  <c r="AS295" i="34"/>
  <c r="AR295" i="34"/>
  <c r="AQ295" i="34"/>
  <c r="AP295" i="34"/>
  <c r="AO295" i="34"/>
  <c r="AN295" i="34"/>
  <c r="AM295" i="34"/>
  <c r="AL295" i="34"/>
  <c r="AS294" i="34"/>
  <c r="AR294" i="34"/>
  <c r="AQ294" i="34"/>
  <c r="AP294" i="34"/>
  <c r="AO294" i="34"/>
  <c r="AN294" i="34"/>
  <c r="AM294" i="34"/>
  <c r="AL294" i="34"/>
  <c r="AR293" i="34"/>
  <c r="AQ293" i="34"/>
  <c r="AP293" i="34"/>
  <c r="AO293" i="34"/>
  <c r="AN293" i="34"/>
  <c r="AM293" i="34"/>
  <c r="AL293" i="34"/>
  <c r="AZ292" i="34"/>
  <c r="AY292" i="34"/>
  <c r="AX292" i="34"/>
  <c r="AW292" i="34"/>
  <c r="AV292" i="34"/>
  <c r="AU292" i="34"/>
  <c r="AT292" i="34"/>
  <c r="AS292" i="34"/>
  <c r="AR292" i="34"/>
  <c r="AQ292" i="34"/>
  <c r="AP292" i="34"/>
  <c r="AO292" i="34"/>
  <c r="AN292" i="34"/>
  <c r="AM292" i="34"/>
  <c r="AL292" i="34"/>
  <c r="AZ291" i="34"/>
  <c r="AY291" i="34"/>
  <c r="AX291" i="34"/>
  <c r="AW291" i="34"/>
  <c r="AV291" i="34"/>
  <c r="AU291" i="34"/>
  <c r="AT291" i="34"/>
  <c r="AS291" i="34"/>
  <c r="AR291" i="34"/>
  <c r="AQ291" i="34"/>
  <c r="AP291" i="34"/>
  <c r="AO291" i="34"/>
  <c r="AN291" i="34"/>
  <c r="AM291" i="34"/>
  <c r="AL291" i="34"/>
  <c r="AZ290" i="34"/>
  <c r="AY290" i="34"/>
  <c r="AX290" i="34"/>
  <c r="AW290" i="34"/>
  <c r="AV290" i="34"/>
  <c r="AU290" i="34"/>
  <c r="AT290" i="34"/>
  <c r="AS290" i="34"/>
  <c r="AR290" i="34"/>
  <c r="AQ290" i="34"/>
  <c r="AP290" i="34"/>
  <c r="AO290" i="34"/>
  <c r="AN290" i="34"/>
  <c r="AM290" i="34"/>
  <c r="AL290" i="34"/>
  <c r="AZ289" i="34"/>
  <c r="AY289" i="34"/>
  <c r="AX289" i="34"/>
  <c r="AW289" i="34"/>
  <c r="AV289" i="34"/>
  <c r="AU289" i="34"/>
  <c r="AT289" i="34"/>
  <c r="AS289" i="34"/>
  <c r="AR289" i="34"/>
  <c r="AQ289" i="34"/>
  <c r="AP289" i="34"/>
  <c r="AO289" i="34"/>
  <c r="AN289" i="34"/>
  <c r="AM289" i="34"/>
  <c r="AL289" i="34"/>
  <c r="AF289" i="34"/>
  <c r="AE289" i="34"/>
  <c r="AD289" i="34"/>
  <c r="AC289" i="34"/>
  <c r="AB289" i="34"/>
  <c r="AA289" i="34"/>
  <c r="Z289" i="34"/>
  <c r="Y289" i="34"/>
  <c r="X289" i="34"/>
  <c r="W289" i="34"/>
  <c r="V289" i="34"/>
  <c r="U289" i="34"/>
  <c r="T289" i="34"/>
  <c r="S289" i="34"/>
  <c r="R289" i="34"/>
  <c r="Q289" i="34"/>
  <c r="P289" i="34"/>
  <c r="O289" i="34"/>
  <c r="N289" i="34"/>
  <c r="M289" i="34"/>
  <c r="I277" i="34"/>
  <c r="I276" i="34"/>
  <c r="I275" i="34"/>
  <c r="I274" i="34"/>
  <c r="I273" i="34"/>
  <c r="AZ277" i="34"/>
  <c r="AY277" i="34"/>
  <c r="AX277" i="34"/>
  <c r="AW277" i="34"/>
  <c r="AV277" i="34"/>
  <c r="AU277" i="34"/>
  <c r="AT277" i="34"/>
  <c r="AS277" i="34"/>
  <c r="AR277" i="34"/>
  <c r="AQ277" i="34"/>
  <c r="AP277" i="34"/>
  <c r="AO277" i="34"/>
  <c r="AN277" i="34"/>
  <c r="AM277" i="34"/>
  <c r="AL277" i="34"/>
  <c r="AL276" i="34"/>
  <c r="AZ274" i="34"/>
  <c r="AY274" i="34"/>
  <c r="AX274" i="34"/>
  <c r="AW274" i="34"/>
  <c r="AV274" i="34"/>
  <c r="AU274" i="34"/>
  <c r="AT274" i="34"/>
  <c r="AS274" i="34"/>
  <c r="AR274" i="34"/>
  <c r="AQ274" i="34"/>
  <c r="AP274" i="34"/>
  <c r="AO274" i="34"/>
  <c r="AN274" i="34"/>
  <c r="AM274" i="34"/>
  <c r="AL274" i="34"/>
  <c r="AZ273" i="34"/>
  <c r="AY273" i="34"/>
  <c r="AX273" i="34"/>
  <c r="AW273" i="34"/>
  <c r="AV273" i="34"/>
  <c r="AU273" i="34"/>
  <c r="AT273" i="34"/>
  <c r="AS273" i="34"/>
  <c r="AR273" i="34"/>
  <c r="AQ273" i="34"/>
  <c r="AP273" i="34"/>
  <c r="AO273" i="34"/>
  <c r="AN273" i="34"/>
  <c r="AM273" i="34"/>
  <c r="AL273" i="34"/>
  <c r="M277" i="34"/>
  <c r="M276" i="34"/>
  <c r="AJ274" i="34"/>
  <c r="AI274" i="34"/>
  <c r="AH274" i="34"/>
  <c r="AG274" i="34"/>
  <c r="AF274" i="34"/>
  <c r="AE274" i="34"/>
  <c r="AD274" i="34"/>
  <c r="AC274" i="34"/>
  <c r="AB274" i="34"/>
  <c r="AA274" i="34"/>
  <c r="Z274" i="34"/>
  <c r="Y274" i="34"/>
  <c r="X274" i="34"/>
  <c r="W274" i="34"/>
  <c r="V274" i="34"/>
  <c r="U274" i="34"/>
  <c r="T274" i="34"/>
  <c r="S274" i="34"/>
  <c r="R274" i="34"/>
  <c r="Q274" i="34"/>
  <c r="P274" i="34"/>
  <c r="O274" i="34"/>
  <c r="N274" i="34"/>
  <c r="M274" i="34"/>
  <c r="AJ273" i="34"/>
  <c r="AI273" i="34"/>
  <c r="AH273" i="34"/>
  <c r="AG273" i="34"/>
  <c r="AF273" i="34"/>
  <c r="AE273" i="34"/>
  <c r="AD273" i="34"/>
  <c r="AC273" i="34"/>
  <c r="AB273" i="34"/>
  <c r="AA273" i="34"/>
  <c r="Z273" i="34"/>
  <c r="Y273" i="34"/>
  <c r="X273" i="34"/>
  <c r="W273" i="34"/>
  <c r="V273" i="34"/>
  <c r="U273" i="34"/>
  <c r="T273" i="34"/>
  <c r="S273" i="34"/>
  <c r="R273" i="34"/>
  <c r="Q273" i="34"/>
  <c r="P273" i="34"/>
  <c r="O273" i="34"/>
  <c r="N273" i="34"/>
  <c r="M273" i="34"/>
  <c r="I269" i="34"/>
  <c r="I268" i="34"/>
  <c r="I267" i="34"/>
  <c r="I266" i="34"/>
  <c r="I265" i="34"/>
  <c r="I264" i="34"/>
  <c r="I263" i="34"/>
  <c r="I262" i="34"/>
  <c r="I261" i="34"/>
  <c r="I260" i="34"/>
  <c r="I259" i="34"/>
  <c r="I258" i="34"/>
  <c r="I257" i="34"/>
  <c r="I256" i="34"/>
  <c r="I255" i="34"/>
  <c r="I254" i="34"/>
  <c r="I253" i="34"/>
  <c r="I252" i="34"/>
  <c r="I251" i="34"/>
  <c r="I250" i="34"/>
  <c r="I249" i="34"/>
  <c r="I248" i="34"/>
  <c r="I247" i="34"/>
  <c r="I246" i="34"/>
  <c r="I245" i="34"/>
  <c r="I244" i="34"/>
  <c r="I243" i="34"/>
  <c r="I242" i="34"/>
  <c r="I241" i="34"/>
  <c r="I240" i="34"/>
  <c r="I239" i="34"/>
  <c r="I238" i="34"/>
  <c r="I237" i="34"/>
  <c r="I236" i="34"/>
  <c r="I235" i="34"/>
  <c r="I234" i="34"/>
  <c r="I233" i="34"/>
  <c r="I232" i="34"/>
  <c r="I231" i="34"/>
  <c r="I230" i="34"/>
  <c r="I229" i="34"/>
  <c r="I228" i="34"/>
  <c r="I227" i="34"/>
  <c r="I226" i="34"/>
  <c r="I225" i="34"/>
  <c r="I224" i="34"/>
  <c r="I223" i="34"/>
  <c r="I222" i="34"/>
  <c r="I221" i="34"/>
  <c r="I220" i="34"/>
  <c r="I219" i="34"/>
  <c r="I218" i="34"/>
  <c r="I217" i="34"/>
  <c r="I216" i="34"/>
  <c r="I215" i="34"/>
  <c r="I214" i="34"/>
  <c r="I213" i="34"/>
  <c r="I212" i="34"/>
  <c r="I211" i="34"/>
  <c r="I210" i="34"/>
  <c r="I209" i="34"/>
  <c r="I208" i="34"/>
  <c r="I207" i="34"/>
  <c r="I206" i="34"/>
  <c r="I205" i="34"/>
  <c r="I204" i="34"/>
  <c r="I203" i="34"/>
  <c r="I202" i="34"/>
  <c r="I201" i="34"/>
  <c r="I200" i="34"/>
  <c r="I199" i="34"/>
  <c r="I198" i="34"/>
  <c r="I197" i="34"/>
  <c r="I196" i="34"/>
  <c r="I195" i="34"/>
  <c r="I194" i="34"/>
  <c r="I193" i="34"/>
  <c r="I192" i="34"/>
  <c r="I191" i="34"/>
  <c r="I190" i="34"/>
  <c r="I189" i="34"/>
  <c r="I188" i="34"/>
  <c r="I187" i="34"/>
  <c r="I186" i="34"/>
  <c r="I185" i="34"/>
  <c r="I184" i="34"/>
  <c r="I183" i="34"/>
  <c r="I182" i="34"/>
  <c r="I181" i="34"/>
  <c r="I180" i="34"/>
  <c r="I179" i="34"/>
  <c r="I178" i="34"/>
  <c r="I177" i="34"/>
  <c r="I176" i="34"/>
  <c r="I175" i="34"/>
  <c r="I174" i="34"/>
  <c r="I173" i="34"/>
  <c r="I172" i="34"/>
  <c r="I171" i="34"/>
  <c r="I170" i="34"/>
  <c r="I169" i="34"/>
  <c r="I168" i="34"/>
  <c r="I167" i="34"/>
  <c r="I166" i="34"/>
  <c r="I165" i="34"/>
  <c r="I164" i="34"/>
  <c r="I163" i="34"/>
  <c r="I162" i="34"/>
  <c r="I161" i="34"/>
  <c r="I160" i="34"/>
  <c r="I159" i="34"/>
  <c r="I158" i="34"/>
  <c r="I157" i="34"/>
  <c r="I156" i="34"/>
  <c r="I155" i="34"/>
  <c r="I154" i="34"/>
  <c r="I153" i="34"/>
  <c r="I152" i="34"/>
  <c r="I151" i="34"/>
  <c r="I150" i="34"/>
  <c r="I149" i="34"/>
  <c r="I148" i="34"/>
  <c r="I145" i="34"/>
  <c r="I144" i="34"/>
  <c r="I143" i="34"/>
  <c r="I142" i="34"/>
  <c r="I141" i="34"/>
  <c r="I140" i="34"/>
  <c r="I139" i="34"/>
  <c r="I138" i="34"/>
  <c r="I137" i="34"/>
  <c r="I136" i="34"/>
  <c r="I135" i="34"/>
  <c r="I134" i="34"/>
  <c r="I133" i="34"/>
  <c r="I132" i="34"/>
  <c r="I131" i="34"/>
  <c r="I130" i="34"/>
  <c r="I129" i="34"/>
  <c r="I128" i="34"/>
  <c r="I127" i="34"/>
  <c r="I126" i="34"/>
  <c r="I125" i="34"/>
  <c r="I124" i="34"/>
  <c r="I123" i="34"/>
  <c r="I122" i="34"/>
  <c r="I121" i="34"/>
  <c r="I120" i="34"/>
  <c r="I119" i="34"/>
  <c r="I118" i="34"/>
  <c r="I117" i="34"/>
  <c r="I116" i="34"/>
  <c r="I115" i="34"/>
  <c r="I114" i="34"/>
  <c r="I113" i="34"/>
  <c r="I112" i="34"/>
  <c r="I111" i="34"/>
  <c r="I110" i="34"/>
  <c r="I109" i="34"/>
  <c r="I108" i="34"/>
  <c r="I107" i="34"/>
  <c r="I106" i="34"/>
  <c r="I105" i="34"/>
  <c r="I104" i="34"/>
  <c r="I103" i="34"/>
  <c r="I102" i="34"/>
  <c r="I101" i="34"/>
  <c r="I100" i="34"/>
  <c r="I99" i="34"/>
  <c r="I98" i="34"/>
  <c r="I97" i="34"/>
  <c r="I96" i="34"/>
  <c r="I95" i="34"/>
  <c r="I94" i="34"/>
  <c r="I93" i="34"/>
  <c r="I92" i="34"/>
  <c r="I91" i="34"/>
  <c r="I90" i="34"/>
  <c r="I89" i="34"/>
  <c r="I88" i="34"/>
  <c r="I87" i="34"/>
  <c r="I86" i="34"/>
  <c r="I85" i="34"/>
  <c r="I84" i="34"/>
  <c r="I83" i="34"/>
  <c r="AJ269" i="34"/>
  <c r="AI269" i="34"/>
  <c r="AH269" i="34"/>
  <c r="AG269" i="34"/>
  <c r="AF269" i="34"/>
  <c r="AE269" i="34"/>
  <c r="AD269" i="34"/>
  <c r="AC269" i="34"/>
  <c r="AB269" i="34"/>
  <c r="AA269" i="34"/>
  <c r="Z269" i="34"/>
  <c r="Y269" i="34"/>
  <c r="X269" i="34"/>
  <c r="W269" i="34"/>
  <c r="V269" i="34"/>
  <c r="U269" i="34"/>
  <c r="T269" i="34"/>
  <c r="S269" i="34"/>
  <c r="R269" i="34"/>
  <c r="Q269" i="34"/>
  <c r="P269" i="34"/>
  <c r="O269" i="34"/>
  <c r="N269" i="34"/>
  <c r="M269" i="34"/>
  <c r="AJ268" i="34"/>
  <c r="AI268" i="34"/>
  <c r="AH268" i="34"/>
  <c r="AG268" i="34"/>
  <c r="AF268" i="34"/>
  <c r="AE268" i="34"/>
  <c r="AD268" i="34"/>
  <c r="AC268" i="34"/>
  <c r="AB268" i="34"/>
  <c r="AA268" i="34"/>
  <c r="Z268" i="34"/>
  <c r="Y268" i="34"/>
  <c r="X268" i="34"/>
  <c r="W268" i="34"/>
  <c r="V268" i="34"/>
  <c r="U268" i="34"/>
  <c r="T268" i="34"/>
  <c r="S268" i="34"/>
  <c r="R268" i="34"/>
  <c r="Q268" i="34"/>
  <c r="P268" i="34"/>
  <c r="O268" i="34"/>
  <c r="N268" i="34"/>
  <c r="M268" i="34"/>
  <c r="P267" i="34"/>
  <c r="O267" i="34"/>
  <c r="N267" i="34"/>
  <c r="M267" i="34"/>
  <c r="AG266" i="34"/>
  <c r="AE266" i="34"/>
  <c r="AD266" i="34"/>
  <c r="AC266" i="34"/>
  <c r="AA266" i="34"/>
  <c r="Z266" i="34"/>
  <c r="W266" i="34"/>
  <c r="V266" i="34"/>
  <c r="S266" i="34"/>
  <c r="R266" i="34"/>
  <c r="P266" i="34"/>
  <c r="O266" i="34"/>
  <c r="N266" i="34"/>
  <c r="M266" i="34"/>
  <c r="P265" i="34"/>
  <c r="O265" i="34"/>
  <c r="N265" i="34"/>
  <c r="M265" i="34"/>
  <c r="P264" i="34"/>
  <c r="O264" i="34"/>
  <c r="N264" i="34"/>
  <c r="M264" i="34"/>
  <c r="AJ263" i="34"/>
  <c r="AI263" i="34"/>
  <c r="AH263" i="34"/>
  <c r="AG263" i="34"/>
  <c r="AF263" i="34"/>
  <c r="AE263" i="34"/>
  <c r="AD263" i="34"/>
  <c r="AC263" i="34"/>
  <c r="AB263" i="34"/>
  <c r="AA263" i="34"/>
  <c r="Z263" i="34"/>
  <c r="Y263" i="34"/>
  <c r="X263" i="34"/>
  <c r="W263" i="34"/>
  <c r="V263" i="34"/>
  <c r="U263" i="34"/>
  <c r="T263" i="34"/>
  <c r="S263" i="34"/>
  <c r="R263" i="34"/>
  <c r="Q263" i="34"/>
  <c r="P263" i="34"/>
  <c r="O263" i="34"/>
  <c r="N263" i="34"/>
  <c r="M263" i="34"/>
  <c r="AJ262" i="34"/>
  <c r="AI262" i="34"/>
  <c r="AH262" i="34"/>
  <c r="AG262" i="34"/>
  <c r="AF262" i="34"/>
  <c r="AE262" i="34"/>
  <c r="AD262" i="34"/>
  <c r="AC262" i="34"/>
  <c r="AB262" i="34"/>
  <c r="AA262" i="34"/>
  <c r="Z262" i="34"/>
  <c r="Y262" i="34"/>
  <c r="X262" i="34"/>
  <c r="W262" i="34"/>
  <c r="V262" i="34"/>
  <c r="U262" i="34"/>
  <c r="T262" i="34"/>
  <c r="S262" i="34"/>
  <c r="R262" i="34"/>
  <c r="Q262" i="34"/>
  <c r="P262" i="34"/>
  <c r="O262" i="34"/>
  <c r="N262" i="34"/>
  <c r="M262" i="34"/>
  <c r="AJ261" i="34"/>
  <c r="AI261" i="34"/>
  <c r="AH261" i="34"/>
  <c r="AG261" i="34"/>
  <c r="AF261" i="34"/>
  <c r="AE261" i="34"/>
  <c r="AD261" i="34"/>
  <c r="AC261" i="34"/>
  <c r="AB261" i="34"/>
  <c r="AA261" i="34"/>
  <c r="Z261" i="34"/>
  <c r="Y261" i="34"/>
  <c r="X261" i="34"/>
  <c r="W261" i="34"/>
  <c r="V261" i="34"/>
  <c r="U261" i="34"/>
  <c r="T261" i="34"/>
  <c r="S261" i="34"/>
  <c r="R261" i="34"/>
  <c r="Q261" i="34"/>
  <c r="P261" i="34"/>
  <c r="O261" i="34"/>
  <c r="N261" i="34"/>
  <c r="M261" i="34"/>
  <c r="AJ260" i="34"/>
  <c r="AI260" i="34"/>
  <c r="AH260" i="34"/>
  <c r="AG260" i="34"/>
  <c r="AF260" i="34"/>
  <c r="AE260" i="34"/>
  <c r="AD260" i="34"/>
  <c r="AC260" i="34"/>
  <c r="AB260" i="34"/>
  <c r="AA260" i="34"/>
  <c r="Z260" i="34"/>
  <c r="Y260" i="34"/>
  <c r="X260" i="34"/>
  <c r="W260" i="34"/>
  <c r="V260" i="34"/>
  <c r="U260" i="34"/>
  <c r="T260" i="34"/>
  <c r="S260" i="34"/>
  <c r="R260" i="34"/>
  <c r="Q260" i="34"/>
  <c r="P260" i="34"/>
  <c r="O260" i="34"/>
  <c r="N260" i="34"/>
  <c r="M260" i="34"/>
  <c r="O259" i="34"/>
  <c r="N259" i="34"/>
  <c r="M259" i="34"/>
  <c r="O258" i="34"/>
  <c r="N258" i="34"/>
  <c r="M258" i="34"/>
  <c r="O257" i="34"/>
  <c r="N257" i="34"/>
  <c r="M257" i="34"/>
  <c r="N256" i="34"/>
  <c r="M256" i="34"/>
  <c r="AJ254" i="34"/>
  <c r="AI254" i="34"/>
  <c r="AH254" i="34"/>
  <c r="AG254" i="34"/>
  <c r="AF254" i="34"/>
  <c r="AE254" i="34"/>
  <c r="AD254" i="34"/>
  <c r="AC254" i="34"/>
  <c r="AB254" i="34"/>
  <c r="AA254" i="34"/>
  <c r="Z254" i="34"/>
  <c r="Y254" i="34"/>
  <c r="X254" i="34"/>
  <c r="W254" i="34"/>
  <c r="V254" i="34"/>
  <c r="U254" i="34"/>
  <c r="T254" i="34"/>
  <c r="S254" i="34"/>
  <c r="R254" i="34"/>
  <c r="Q254" i="34"/>
  <c r="P254" i="34"/>
  <c r="O254" i="34"/>
  <c r="N254" i="34"/>
  <c r="M254" i="34"/>
  <c r="AJ253" i="34"/>
  <c r="AI253" i="34"/>
  <c r="AH253" i="34"/>
  <c r="AG253" i="34"/>
  <c r="AF253" i="34"/>
  <c r="AE253" i="34"/>
  <c r="AD253" i="34"/>
  <c r="AC253" i="34"/>
  <c r="AB253" i="34"/>
  <c r="AA253" i="34"/>
  <c r="Z253" i="34"/>
  <c r="Y253" i="34"/>
  <c r="X253" i="34"/>
  <c r="W253" i="34"/>
  <c r="V253" i="34"/>
  <c r="U253" i="34"/>
  <c r="T253" i="34"/>
  <c r="S253" i="34"/>
  <c r="R253" i="34"/>
  <c r="Q253" i="34"/>
  <c r="P253" i="34"/>
  <c r="O253" i="34"/>
  <c r="N253" i="34"/>
  <c r="M253" i="34"/>
  <c r="AJ249" i="34"/>
  <c r="AI249" i="34"/>
  <c r="AH249" i="34"/>
  <c r="AG249" i="34"/>
  <c r="AF249" i="34"/>
  <c r="AE249" i="34"/>
  <c r="AD249" i="34"/>
  <c r="AC249" i="34"/>
  <c r="AB249" i="34"/>
  <c r="AA249" i="34"/>
  <c r="Z249" i="34"/>
  <c r="Y249" i="34"/>
  <c r="X249" i="34"/>
  <c r="W249" i="34"/>
  <c r="V249" i="34"/>
  <c r="U249" i="34"/>
  <c r="T249" i="34"/>
  <c r="S249" i="34"/>
  <c r="R249" i="34"/>
  <c r="Q249" i="34"/>
  <c r="P249" i="34"/>
  <c r="O249" i="34"/>
  <c r="N249" i="34"/>
  <c r="M249" i="34"/>
  <c r="T248" i="34"/>
  <c r="S248" i="34"/>
  <c r="R248" i="34"/>
  <c r="Q248" i="34"/>
  <c r="P248" i="34"/>
  <c r="O248" i="34"/>
  <c r="N248" i="34"/>
  <c r="M248" i="34"/>
  <c r="N245" i="34"/>
  <c r="M245" i="34"/>
  <c r="AJ243" i="34"/>
  <c r="AI243" i="34"/>
  <c r="AH243" i="34"/>
  <c r="AG243" i="34"/>
  <c r="AF243" i="34"/>
  <c r="AE243" i="34"/>
  <c r="AD243" i="34"/>
  <c r="AC243" i="34"/>
  <c r="AB243" i="34"/>
  <c r="AA243" i="34"/>
  <c r="Z243" i="34"/>
  <c r="Y243" i="34"/>
  <c r="X243" i="34"/>
  <c r="W243" i="34"/>
  <c r="V243" i="34"/>
  <c r="U243" i="34"/>
  <c r="T243" i="34"/>
  <c r="S243" i="34"/>
  <c r="R243" i="34"/>
  <c r="Q243" i="34"/>
  <c r="P243" i="34"/>
  <c r="O243" i="34"/>
  <c r="N243" i="34"/>
  <c r="M243" i="34"/>
  <c r="AJ242" i="34"/>
  <c r="AI242" i="34"/>
  <c r="AH242" i="34"/>
  <c r="AG242" i="34"/>
  <c r="AF242" i="34"/>
  <c r="AE242" i="34"/>
  <c r="AD242" i="34"/>
  <c r="AC242" i="34"/>
  <c r="AB242" i="34"/>
  <c r="AA242" i="34"/>
  <c r="Z242" i="34"/>
  <c r="Y242" i="34"/>
  <c r="X242" i="34"/>
  <c r="W242" i="34"/>
  <c r="V242" i="34"/>
  <c r="U242" i="34"/>
  <c r="T242" i="34"/>
  <c r="S242" i="34"/>
  <c r="R242" i="34"/>
  <c r="Q242" i="34"/>
  <c r="P242" i="34"/>
  <c r="O242" i="34"/>
  <c r="N242" i="34"/>
  <c r="M242" i="34"/>
  <c r="AJ241" i="34"/>
  <c r="AI241" i="34"/>
  <c r="AH241" i="34"/>
  <c r="AG241" i="34"/>
  <c r="AF241" i="34"/>
  <c r="AE241" i="34"/>
  <c r="AD241" i="34"/>
  <c r="AC241" i="34"/>
  <c r="AB241" i="34"/>
  <c r="AA241" i="34"/>
  <c r="Z241" i="34"/>
  <c r="Y241" i="34"/>
  <c r="X241" i="34"/>
  <c r="W241" i="34"/>
  <c r="V241" i="34"/>
  <c r="U241" i="34"/>
  <c r="T241" i="34"/>
  <c r="S241" i="34"/>
  <c r="R241" i="34"/>
  <c r="Q241" i="34"/>
  <c r="P241" i="34"/>
  <c r="O241" i="34"/>
  <c r="N241" i="34"/>
  <c r="M241" i="34"/>
  <c r="AJ240" i="34"/>
  <c r="AI240" i="34"/>
  <c r="AH240" i="34"/>
  <c r="AG240" i="34"/>
  <c r="AF240" i="34"/>
  <c r="AE240" i="34"/>
  <c r="AD240" i="34"/>
  <c r="AC240" i="34"/>
  <c r="AB240" i="34"/>
  <c r="AA240" i="34"/>
  <c r="Z240" i="34"/>
  <c r="Y240" i="34"/>
  <c r="X240" i="34"/>
  <c r="W240" i="34"/>
  <c r="V240" i="34"/>
  <c r="U240" i="34"/>
  <c r="T240" i="34"/>
  <c r="S240" i="34"/>
  <c r="R240" i="34"/>
  <c r="Q240" i="34"/>
  <c r="P240" i="34"/>
  <c r="O240" i="34"/>
  <c r="N240" i="34"/>
  <c r="M240" i="34"/>
  <c r="AJ237" i="34"/>
  <c r="AI237" i="34"/>
  <c r="AH237" i="34"/>
  <c r="AG237" i="34"/>
  <c r="AF237" i="34"/>
  <c r="AE237" i="34"/>
  <c r="AD237" i="34"/>
  <c r="AC237" i="34"/>
  <c r="AB237" i="34"/>
  <c r="AA237" i="34"/>
  <c r="Z237" i="34"/>
  <c r="Y237" i="34"/>
  <c r="X237" i="34"/>
  <c r="W237" i="34"/>
  <c r="V237" i="34"/>
  <c r="U237" i="34"/>
  <c r="T237" i="34"/>
  <c r="S237" i="34"/>
  <c r="R237" i="34"/>
  <c r="Q237" i="34"/>
  <c r="P237" i="34"/>
  <c r="O237" i="34"/>
  <c r="N237" i="34"/>
  <c r="M237" i="34"/>
  <c r="AJ232" i="34"/>
  <c r="AI232" i="34"/>
  <c r="AH232" i="34"/>
  <c r="AG232" i="34"/>
  <c r="AF232" i="34"/>
  <c r="AE232" i="34"/>
  <c r="AD232" i="34"/>
  <c r="AC232" i="34"/>
  <c r="AB232" i="34"/>
  <c r="AA232" i="34"/>
  <c r="Z232" i="34"/>
  <c r="Y232" i="34"/>
  <c r="X232" i="34"/>
  <c r="W232" i="34"/>
  <c r="V232" i="34"/>
  <c r="U232" i="34"/>
  <c r="T232" i="34"/>
  <c r="S232" i="34"/>
  <c r="R232" i="34"/>
  <c r="Q232" i="34"/>
  <c r="P232" i="34"/>
  <c r="O232" i="34"/>
  <c r="N232" i="34"/>
  <c r="M232" i="34"/>
  <c r="AJ231" i="34"/>
  <c r="AI231" i="34"/>
  <c r="AH231" i="34"/>
  <c r="AG231" i="34"/>
  <c r="AF231" i="34"/>
  <c r="AE231" i="34"/>
  <c r="AD231" i="34"/>
  <c r="AC231" i="34"/>
  <c r="AB231" i="34"/>
  <c r="AA231" i="34"/>
  <c r="Z231" i="34"/>
  <c r="Y231" i="34"/>
  <c r="X231" i="34"/>
  <c r="W231" i="34"/>
  <c r="V231" i="34"/>
  <c r="U231" i="34"/>
  <c r="T231" i="34"/>
  <c r="S231" i="34"/>
  <c r="R231" i="34"/>
  <c r="Q231" i="34"/>
  <c r="P231" i="34"/>
  <c r="O231" i="34"/>
  <c r="N231" i="34"/>
  <c r="M231" i="34"/>
  <c r="AJ230" i="34"/>
  <c r="AI230" i="34"/>
  <c r="AH230" i="34"/>
  <c r="AG230" i="34"/>
  <c r="AF230" i="34"/>
  <c r="AE230" i="34"/>
  <c r="AD230" i="34"/>
  <c r="AC230" i="34"/>
  <c r="AB230" i="34"/>
  <c r="AA230" i="34"/>
  <c r="Z230" i="34"/>
  <c r="Y230" i="34"/>
  <c r="X230" i="34"/>
  <c r="W230" i="34"/>
  <c r="V230" i="34"/>
  <c r="U230" i="34"/>
  <c r="T230" i="34"/>
  <c r="S230" i="34"/>
  <c r="R230" i="34"/>
  <c r="Q230" i="34"/>
  <c r="P230" i="34"/>
  <c r="O230" i="34"/>
  <c r="N230" i="34"/>
  <c r="M230" i="34"/>
  <c r="AJ229" i="34"/>
  <c r="AI229" i="34"/>
  <c r="AH229" i="34"/>
  <c r="AG229" i="34"/>
  <c r="AF229" i="34"/>
  <c r="AE229" i="34"/>
  <c r="AD229" i="34"/>
  <c r="AC229" i="34"/>
  <c r="AB229" i="34"/>
  <c r="AA229" i="34"/>
  <c r="Z229" i="34"/>
  <c r="Y229" i="34"/>
  <c r="X229" i="34"/>
  <c r="W229" i="34"/>
  <c r="V229" i="34"/>
  <c r="U229" i="34"/>
  <c r="T229" i="34"/>
  <c r="S229" i="34"/>
  <c r="R229" i="34"/>
  <c r="Q229" i="34"/>
  <c r="P229" i="34"/>
  <c r="O229" i="34"/>
  <c r="N229" i="34"/>
  <c r="M229" i="34"/>
  <c r="AI226" i="34"/>
  <c r="AH226" i="34"/>
  <c r="AG226" i="34"/>
  <c r="AF226" i="34"/>
  <c r="AE226" i="34"/>
  <c r="AD226" i="34"/>
  <c r="AC226" i="34"/>
  <c r="AB226" i="34"/>
  <c r="AA226" i="34"/>
  <c r="Z226" i="34"/>
  <c r="Y226" i="34"/>
  <c r="X226" i="34"/>
  <c r="U226" i="34"/>
  <c r="Q226" i="34"/>
  <c r="N226" i="34"/>
  <c r="M226" i="34"/>
  <c r="N225" i="34"/>
  <c r="M225" i="34"/>
  <c r="N224" i="34"/>
  <c r="M224" i="34"/>
  <c r="AJ223" i="34"/>
  <c r="AI223" i="34"/>
  <c r="AH223" i="34"/>
  <c r="AG223" i="34"/>
  <c r="AF223" i="34"/>
  <c r="AE223" i="34"/>
  <c r="AD223" i="34"/>
  <c r="AC223" i="34"/>
  <c r="AB223" i="34"/>
  <c r="AA223" i="34"/>
  <c r="Z223" i="34"/>
  <c r="Y223" i="34"/>
  <c r="X223" i="34"/>
  <c r="W223" i="34"/>
  <c r="V223" i="34"/>
  <c r="U223" i="34"/>
  <c r="T223" i="34"/>
  <c r="S223" i="34"/>
  <c r="R223" i="34"/>
  <c r="Q223" i="34"/>
  <c r="P223" i="34"/>
  <c r="O223" i="34"/>
  <c r="N223" i="34"/>
  <c r="M223" i="34"/>
  <c r="AG222" i="34"/>
  <c r="AC222" i="34"/>
  <c r="Y222" i="34"/>
  <c r="U222" i="34"/>
  <c r="Q222" i="34"/>
  <c r="N222" i="34"/>
  <c r="M222" i="34"/>
  <c r="AJ221" i="34"/>
  <c r="AI221" i="34"/>
  <c r="AH221" i="34"/>
  <c r="AG221" i="34"/>
  <c r="AF221" i="34"/>
  <c r="AE221" i="34"/>
  <c r="AD221" i="34"/>
  <c r="AC221" i="34"/>
  <c r="AB221" i="34"/>
  <c r="AA221" i="34"/>
  <c r="Z221" i="34"/>
  <c r="Y221" i="34"/>
  <c r="X221" i="34"/>
  <c r="W221" i="34"/>
  <c r="V221" i="34"/>
  <c r="U221" i="34"/>
  <c r="T221" i="34"/>
  <c r="S221" i="34"/>
  <c r="R221" i="34"/>
  <c r="Q221" i="34"/>
  <c r="P221" i="34"/>
  <c r="O221" i="34"/>
  <c r="N221" i="34"/>
  <c r="M221" i="34"/>
  <c r="AH219" i="34"/>
  <c r="AG219" i="34"/>
  <c r="AC219" i="34"/>
  <c r="AB219" i="34"/>
  <c r="Z219" i="34"/>
  <c r="Y219" i="34"/>
  <c r="U219" i="34"/>
  <c r="Q219" i="34"/>
  <c r="N219" i="34"/>
  <c r="M219" i="34"/>
  <c r="AG218" i="34"/>
  <c r="AC218" i="34"/>
  <c r="Y218" i="34"/>
  <c r="X218" i="34"/>
  <c r="U218" i="34"/>
  <c r="Q218" i="34"/>
  <c r="N218" i="34"/>
  <c r="M218" i="34"/>
  <c r="AG217" i="34"/>
  <c r="AC217" i="34"/>
  <c r="AB217" i="34"/>
  <c r="Z217" i="34"/>
  <c r="Y217" i="34"/>
  <c r="X217" i="34"/>
  <c r="U217" i="34"/>
  <c r="Q217" i="34"/>
  <c r="N217" i="34"/>
  <c r="M217" i="34"/>
  <c r="AG216" i="34"/>
  <c r="AC216" i="34"/>
  <c r="Y216" i="34"/>
  <c r="Q216" i="34"/>
  <c r="N216" i="34"/>
  <c r="M216" i="34"/>
  <c r="AJ215" i="34"/>
  <c r="AI215" i="34"/>
  <c r="AH215" i="34"/>
  <c r="AG215" i="34"/>
  <c r="AF215" i="34"/>
  <c r="AE215" i="34"/>
  <c r="AD215" i="34"/>
  <c r="AC215" i="34"/>
  <c r="AB215" i="34"/>
  <c r="AA215" i="34"/>
  <c r="Z215" i="34"/>
  <c r="Y215" i="34"/>
  <c r="X215" i="34"/>
  <c r="W215" i="34"/>
  <c r="V215" i="34"/>
  <c r="U215" i="34"/>
  <c r="T215" i="34"/>
  <c r="S215" i="34"/>
  <c r="R215" i="34"/>
  <c r="Q215" i="34"/>
  <c r="P215" i="34"/>
  <c r="O215" i="34"/>
  <c r="N215" i="34"/>
  <c r="M215" i="34"/>
  <c r="AJ214" i="34"/>
  <c r="AI214" i="34"/>
  <c r="AH214" i="34"/>
  <c r="AG214" i="34"/>
  <c r="AF214" i="34"/>
  <c r="AE214" i="34"/>
  <c r="AD214" i="34"/>
  <c r="AC214" i="34"/>
  <c r="AB214" i="34"/>
  <c r="AA214" i="34"/>
  <c r="Z214" i="34"/>
  <c r="Y214" i="34"/>
  <c r="X214" i="34"/>
  <c r="W214" i="34"/>
  <c r="V214" i="34"/>
  <c r="U214" i="34"/>
  <c r="T214" i="34"/>
  <c r="S214" i="34"/>
  <c r="R214" i="34"/>
  <c r="Q214" i="34"/>
  <c r="P214" i="34"/>
  <c r="O214" i="34"/>
  <c r="N214" i="34"/>
  <c r="M214" i="34"/>
  <c r="AJ213" i="34"/>
  <c r="AI213" i="34"/>
  <c r="AH213" i="34"/>
  <c r="AG213" i="34"/>
  <c r="AF213" i="34"/>
  <c r="AE213" i="34"/>
  <c r="AD213" i="34"/>
  <c r="AC213" i="34"/>
  <c r="AB213" i="34"/>
  <c r="AA213" i="34"/>
  <c r="Z213" i="34"/>
  <c r="Y213" i="34"/>
  <c r="X213" i="34"/>
  <c r="W213" i="34"/>
  <c r="V213" i="34"/>
  <c r="U213" i="34"/>
  <c r="T213" i="34"/>
  <c r="S213" i="34"/>
  <c r="R213" i="34"/>
  <c r="Q213" i="34"/>
  <c r="P213" i="34"/>
  <c r="O213" i="34"/>
  <c r="N213" i="34"/>
  <c r="M213" i="34"/>
  <c r="AG211" i="34"/>
  <c r="AC211" i="34"/>
  <c r="Y211" i="34"/>
  <c r="U211" i="34"/>
  <c r="Q211" i="34"/>
  <c r="N211" i="34"/>
  <c r="M211" i="34"/>
  <c r="AG210" i="34"/>
  <c r="AC210" i="34"/>
  <c r="Y210" i="34"/>
  <c r="U210" i="34"/>
  <c r="Q210" i="34"/>
  <c r="N210" i="34"/>
  <c r="M210" i="34"/>
  <c r="AG209" i="34"/>
  <c r="AC209" i="34"/>
  <c r="Z209" i="34"/>
  <c r="Y209" i="34"/>
  <c r="U209" i="34"/>
  <c r="Q209" i="34"/>
  <c r="N209" i="34"/>
  <c r="M209" i="34"/>
  <c r="AC208" i="34"/>
  <c r="AB208" i="34"/>
  <c r="AA208" i="34"/>
  <c r="Z208" i="34"/>
  <c r="Y208" i="34"/>
  <c r="X208" i="34"/>
  <c r="U208" i="34"/>
  <c r="Q208" i="34"/>
  <c r="N208" i="34"/>
  <c r="M208" i="34"/>
  <c r="AG207" i="34"/>
  <c r="AC207" i="34"/>
  <c r="Y207" i="34"/>
  <c r="X207" i="34"/>
  <c r="U207" i="34"/>
  <c r="Q207" i="34"/>
  <c r="N207" i="34"/>
  <c r="M207" i="34"/>
  <c r="AG206" i="34"/>
  <c r="AC206" i="34"/>
  <c r="Y206" i="34"/>
  <c r="U206" i="34"/>
  <c r="Q206" i="34"/>
  <c r="N206" i="34"/>
  <c r="M206" i="34"/>
  <c r="AJ205" i="34"/>
  <c r="AI205" i="34"/>
  <c r="AH205" i="34"/>
  <c r="AG205" i="34"/>
  <c r="AF205" i="34"/>
  <c r="AE205" i="34"/>
  <c r="AD205" i="34"/>
  <c r="AC205" i="34"/>
  <c r="AB205" i="34"/>
  <c r="AA205" i="34"/>
  <c r="Z205" i="34"/>
  <c r="Y205" i="34"/>
  <c r="X205" i="34"/>
  <c r="W205" i="34"/>
  <c r="V205" i="34"/>
  <c r="U205" i="34"/>
  <c r="T205" i="34"/>
  <c r="S205" i="34"/>
  <c r="R205" i="34"/>
  <c r="Q205" i="34"/>
  <c r="P205" i="34"/>
  <c r="O205" i="34"/>
  <c r="N205" i="34"/>
  <c r="M205" i="34"/>
  <c r="AJ204" i="34"/>
  <c r="AI204" i="34"/>
  <c r="AH204" i="34"/>
  <c r="AG204" i="34"/>
  <c r="AF204" i="34"/>
  <c r="AE204" i="34"/>
  <c r="AD204" i="34"/>
  <c r="AC204" i="34"/>
  <c r="AB204" i="34"/>
  <c r="AA204" i="34"/>
  <c r="Z204" i="34"/>
  <c r="Y204" i="34"/>
  <c r="X204" i="34"/>
  <c r="W204" i="34"/>
  <c r="V204" i="34"/>
  <c r="U204" i="34"/>
  <c r="T204" i="34"/>
  <c r="S204" i="34"/>
  <c r="R204" i="34"/>
  <c r="Q204" i="34"/>
  <c r="P204" i="34"/>
  <c r="O204" i="34"/>
  <c r="N204" i="34"/>
  <c r="M204" i="34"/>
  <c r="AJ203" i="34"/>
  <c r="AI203" i="34"/>
  <c r="AH203" i="34"/>
  <c r="AG203" i="34"/>
  <c r="AF203" i="34"/>
  <c r="AE203" i="34"/>
  <c r="AD203" i="34"/>
  <c r="AC203" i="34"/>
  <c r="AB203" i="34"/>
  <c r="AA203" i="34"/>
  <c r="Z203" i="34"/>
  <c r="Y203" i="34"/>
  <c r="X203" i="34"/>
  <c r="W203" i="34"/>
  <c r="V203" i="34"/>
  <c r="U203" i="34"/>
  <c r="T203" i="34"/>
  <c r="S203" i="34"/>
  <c r="R203" i="34"/>
  <c r="Q203" i="34"/>
  <c r="P203" i="34"/>
  <c r="O203" i="34"/>
  <c r="N203" i="34"/>
  <c r="M203" i="34"/>
  <c r="AG200" i="34"/>
  <c r="AC200" i="34"/>
  <c r="Y200" i="34"/>
  <c r="U200" i="34"/>
  <c r="Q200" i="34"/>
  <c r="N200" i="34"/>
  <c r="M200" i="34"/>
  <c r="AG199" i="34"/>
  <c r="AC199" i="34"/>
  <c r="Y199" i="34"/>
  <c r="U199" i="34"/>
  <c r="Q199" i="34"/>
  <c r="N199" i="34"/>
  <c r="M199" i="34"/>
  <c r="AG198" i="34"/>
  <c r="AC198" i="34"/>
  <c r="Y198" i="34"/>
  <c r="U198" i="34"/>
  <c r="Q198" i="34"/>
  <c r="N198" i="34"/>
  <c r="M198" i="34"/>
  <c r="AG197" i="34"/>
  <c r="AC197" i="34"/>
  <c r="Y197" i="34"/>
  <c r="U197" i="34"/>
  <c r="Q197" i="34"/>
  <c r="N197" i="34"/>
  <c r="M197" i="34"/>
  <c r="AJ196" i="34"/>
  <c r="AI196" i="34"/>
  <c r="AH196" i="34"/>
  <c r="AG196" i="34"/>
  <c r="AF196" i="34"/>
  <c r="AE196" i="34"/>
  <c r="AD196" i="34"/>
  <c r="AC196" i="34"/>
  <c r="AB196" i="34"/>
  <c r="AA196" i="34"/>
  <c r="Z196" i="34"/>
  <c r="Y196" i="34"/>
  <c r="X196" i="34"/>
  <c r="W196" i="34"/>
  <c r="V196" i="34"/>
  <c r="U196" i="34"/>
  <c r="T196" i="34"/>
  <c r="S196" i="34"/>
  <c r="R196" i="34"/>
  <c r="Q196" i="34"/>
  <c r="P196" i="34"/>
  <c r="O196" i="34"/>
  <c r="N196" i="34"/>
  <c r="M196" i="34"/>
  <c r="AJ195" i="34"/>
  <c r="AI195" i="34"/>
  <c r="AH195" i="34"/>
  <c r="AG195" i="34"/>
  <c r="AF195" i="34"/>
  <c r="AE195" i="34"/>
  <c r="AD195" i="34"/>
  <c r="AC195" i="34"/>
  <c r="AB195" i="34"/>
  <c r="AA195" i="34"/>
  <c r="Z195" i="34"/>
  <c r="Y195" i="34"/>
  <c r="X195" i="34"/>
  <c r="W195" i="34"/>
  <c r="V195" i="34"/>
  <c r="U195" i="34"/>
  <c r="T195" i="34"/>
  <c r="S195" i="34"/>
  <c r="R195" i="34"/>
  <c r="Q195" i="34"/>
  <c r="P195" i="34"/>
  <c r="O195" i="34"/>
  <c r="N195" i="34"/>
  <c r="M195" i="34"/>
  <c r="AJ194" i="34"/>
  <c r="AI194" i="34"/>
  <c r="AH194" i="34"/>
  <c r="AG194" i="34"/>
  <c r="AF194" i="34"/>
  <c r="AE194" i="34"/>
  <c r="AD194" i="34"/>
  <c r="AC194" i="34"/>
  <c r="AB194" i="34"/>
  <c r="AA194" i="34"/>
  <c r="Z194" i="34"/>
  <c r="Y194" i="34"/>
  <c r="X194" i="34"/>
  <c r="W194" i="34"/>
  <c r="V194" i="34"/>
  <c r="U194" i="34"/>
  <c r="T194" i="34"/>
  <c r="S194" i="34"/>
  <c r="R194" i="34"/>
  <c r="Q194" i="34"/>
  <c r="P194" i="34"/>
  <c r="O194" i="34"/>
  <c r="N194" i="34"/>
  <c r="M194" i="34"/>
  <c r="Y192" i="34"/>
  <c r="U192" i="34"/>
  <c r="Q192" i="34"/>
  <c r="P192" i="34"/>
  <c r="O192" i="34"/>
  <c r="N192" i="34"/>
  <c r="M192" i="34"/>
  <c r="AG191" i="34"/>
  <c r="AC191" i="34"/>
  <c r="Y191" i="34"/>
  <c r="U191" i="34"/>
  <c r="Q191" i="34"/>
  <c r="N191" i="34"/>
  <c r="M191" i="34"/>
  <c r="AG190" i="34"/>
  <c r="N190" i="34"/>
  <c r="M190" i="34"/>
  <c r="AG189" i="34"/>
  <c r="AC189" i="34"/>
  <c r="Y189" i="34"/>
  <c r="U189" i="34"/>
  <c r="Q189" i="34"/>
  <c r="N189" i="34"/>
  <c r="M189" i="34"/>
  <c r="AG188" i="34"/>
  <c r="N188" i="34"/>
  <c r="M188" i="34"/>
  <c r="AG187" i="34"/>
  <c r="N187" i="34"/>
  <c r="M187" i="34"/>
  <c r="AJ186" i="34"/>
  <c r="AI186" i="34"/>
  <c r="AH186" i="34"/>
  <c r="AG186" i="34"/>
  <c r="AF186" i="34"/>
  <c r="AE186" i="34"/>
  <c r="AD186" i="34"/>
  <c r="AC186" i="34"/>
  <c r="AB186" i="34"/>
  <c r="AA186" i="34"/>
  <c r="Z186" i="34"/>
  <c r="Y186" i="34"/>
  <c r="X186" i="34"/>
  <c r="W186" i="34"/>
  <c r="V186" i="34"/>
  <c r="U186" i="34"/>
  <c r="T186" i="34"/>
  <c r="S186" i="34"/>
  <c r="R186" i="34"/>
  <c r="Q186" i="34"/>
  <c r="P186" i="34"/>
  <c r="O186" i="34"/>
  <c r="N186" i="34"/>
  <c r="M186" i="34"/>
  <c r="AJ185" i="34"/>
  <c r="AI185" i="34"/>
  <c r="AH185" i="34"/>
  <c r="AG185" i="34"/>
  <c r="AF185" i="34"/>
  <c r="AE185" i="34"/>
  <c r="AD185" i="34"/>
  <c r="AC185" i="34"/>
  <c r="AB185" i="34"/>
  <c r="AA185" i="34"/>
  <c r="Z185" i="34"/>
  <c r="Y185" i="34"/>
  <c r="X185" i="34"/>
  <c r="W185" i="34"/>
  <c r="V185" i="34"/>
  <c r="U185" i="34"/>
  <c r="T185" i="34"/>
  <c r="S185" i="34"/>
  <c r="R185" i="34"/>
  <c r="Q185" i="34"/>
  <c r="P185" i="34"/>
  <c r="O185" i="34"/>
  <c r="N185" i="34"/>
  <c r="M185" i="34"/>
  <c r="AJ184" i="34"/>
  <c r="AI184" i="34"/>
  <c r="AH184" i="34"/>
  <c r="AG184" i="34"/>
  <c r="AF184" i="34"/>
  <c r="AE184" i="34"/>
  <c r="AD184" i="34"/>
  <c r="AC184" i="34"/>
  <c r="AB184" i="34"/>
  <c r="AA184" i="34"/>
  <c r="Z184" i="34"/>
  <c r="Y184" i="34"/>
  <c r="X184" i="34"/>
  <c r="W184" i="34"/>
  <c r="V184" i="34"/>
  <c r="U184" i="34"/>
  <c r="T184" i="34"/>
  <c r="S184" i="34"/>
  <c r="R184" i="34"/>
  <c r="Q184" i="34"/>
  <c r="P184" i="34"/>
  <c r="O184" i="34"/>
  <c r="N184" i="34"/>
  <c r="M184" i="34"/>
  <c r="AJ183" i="34"/>
  <c r="AI183" i="34"/>
  <c r="AH183" i="34"/>
  <c r="AG183" i="34"/>
  <c r="AF183" i="34"/>
  <c r="AE183" i="34"/>
  <c r="AD183" i="34"/>
  <c r="AC183" i="34"/>
  <c r="AB183" i="34"/>
  <c r="AA183" i="34"/>
  <c r="Z183" i="34"/>
  <c r="Y183" i="34"/>
  <c r="X183" i="34"/>
  <c r="W183" i="34"/>
  <c r="V183" i="34"/>
  <c r="U183" i="34"/>
  <c r="T183" i="34"/>
  <c r="S183" i="34"/>
  <c r="R183" i="34"/>
  <c r="Q183" i="34"/>
  <c r="P183" i="34"/>
  <c r="O183" i="34"/>
  <c r="N183" i="34"/>
  <c r="M183" i="34"/>
  <c r="AJ182" i="34"/>
  <c r="AI182" i="34"/>
  <c r="AH182" i="34"/>
  <c r="AG182" i="34"/>
  <c r="AF182" i="34"/>
  <c r="AE182" i="34"/>
  <c r="AD182" i="34"/>
  <c r="AC182" i="34"/>
  <c r="AB182" i="34"/>
  <c r="AA182" i="34"/>
  <c r="Z182" i="34"/>
  <c r="Y182" i="34"/>
  <c r="X182" i="34"/>
  <c r="W182" i="34"/>
  <c r="V182" i="34"/>
  <c r="U182" i="34"/>
  <c r="T182" i="34"/>
  <c r="S182" i="34"/>
  <c r="R182" i="34"/>
  <c r="Q182" i="34"/>
  <c r="P182" i="34"/>
  <c r="O182" i="34"/>
  <c r="N182" i="34"/>
  <c r="M182" i="34"/>
  <c r="AJ181" i="34"/>
  <c r="AI181" i="34"/>
  <c r="AH181" i="34"/>
  <c r="AG181" i="34"/>
  <c r="AF181" i="34"/>
  <c r="AE181" i="34"/>
  <c r="AD181" i="34"/>
  <c r="AC181" i="34"/>
  <c r="AB181" i="34"/>
  <c r="AA181" i="34"/>
  <c r="Z181" i="34"/>
  <c r="Y181" i="34"/>
  <c r="X181" i="34"/>
  <c r="W181" i="34"/>
  <c r="V181" i="34"/>
  <c r="U181" i="34"/>
  <c r="T181" i="34"/>
  <c r="S181" i="34"/>
  <c r="R181" i="34"/>
  <c r="Q181" i="34"/>
  <c r="P181" i="34"/>
  <c r="O181" i="34"/>
  <c r="N181" i="34"/>
  <c r="M181" i="34"/>
  <c r="O180" i="34"/>
  <c r="N180" i="34"/>
  <c r="M180" i="34"/>
  <c r="O179" i="34"/>
  <c r="N179" i="34"/>
  <c r="M179" i="34"/>
  <c r="O178" i="34"/>
  <c r="N178" i="34"/>
  <c r="M178" i="34"/>
  <c r="O177" i="34"/>
  <c r="N177" i="34"/>
  <c r="M177" i="34"/>
  <c r="O176" i="34"/>
  <c r="N176" i="34"/>
  <c r="M176" i="34"/>
  <c r="AJ175" i="34"/>
  <c r="AI175" i="34"/>
  <c r="AH175" i="34"/>
  <c r="AG175" i="34"/>
  <c r="AF175" i="34"/>
  <c r="AE175" i="34"/>
  <c r="AD175" i="34"/>
  <c r="AC175" i="34"/>
  <c r="AB175" i="34"/>
  <c r="AA175" i="34"/>
  <c r="Z175" i="34"/>
  <c r="Y175" i="34"/>
  <c r="X175" i="34"/>
  <c r="W175" i="34"/>
  <c r="V175" i="34"/>
  <c r="U175" i="34"/>
  <c r="T175" i="34"/>
  <c r="S175" i="34"/>
  <c r="R175" i="34"/>
  <c r="Q175" i="34"/>
  <c r="P175" i="34"/>
  <c r="O175" i="34"/>
  <c r="N175" i="34"/>
  <c r="M175" i="34"/>
  <c r="AJ174" i="34"/>
  <c r="AI174" i="34"/>
  <c r="AH174" i="34"/>
  <c r="AG174" i="34"/>
  <c r="AF174" i="34"/>
  <c r="AE174" i="34"/>
  <c r="AD174" i="34"/>
  <c r="AC174" i="34"/>
  <c r="AB174" i="34"/>
  <c r="AA174" i="34"/>
  <c r="Z174" i="34"/>
  <c r="Y174" i="34"/>
  <c r="X174" i="34"/>
  <c r="W174" i="34"/>
  <c r="V174" i="34"/>
  <c r="U174" i="34"/>
  <c r="T174" i="34"/>
  <c r="S174" i="34"/>
  <c r="R174" i="34"/>
  <c r="Q174" i="34"/>
  <c r="P174" i="34"/>
  <c r="O174" i="34"/>
  <c r="N174" i="34"/>
  <c r="M174" i="34"/>
  <c r="AJ173" i="34"/>
  <c r="AI173" i="34"/>
  <c r="AH173" i="34"/>
  <c r="AG173" i="34"/>
  <c r="AF173" i="34"/>
  <c r="AE173" i="34"/>
  <c r="AD173" i="34"/>
  <c r="AC173" i="34"/>
  <c r="AB173" i="34"/>
  <c r="AA173" i="34"/>
  <c r="Z173" i="34"/>
  <c r="Y173" i="34"/>
  <c r="X173" i="34"/>
  <c r="W173" i="34"/>
  <c r="V173" i="34"/>
  <c r="U173" i="34"/>
  <c r="T173" i="34"/>
  <c r="S173" i="34"/>
  <c r="R173" i="34"/>
  <c r="Q173" i="34"/>
  <c r="P173" i="34"/>
  <c r="O173" i="34"/>
  <c r="N173" i="34"/>
  <c r="M173" i="34"/>
  <c r="N172" i="34"/>
  <c r="M172" i="34"/>
  <c r="N171" i="34"/>
  <c r="M171" i="34"/>
  <c r="N170" i="34"/>
  <c r="M170" i="34"/>
  <c r="AI169" i="34"/>
  <c r="AH169" i="34"/>
  <c r="AG169" i="34"/>
  <c r="AF169" i="34"/>
  <c r="AE169" i="34"/>
  <c r="AD169" i="34"/>
  <c r="AC169" i="34"/>
  <c r="AB169" i="34"/>
  <c r="AA169" i="34"/>
  <c r="Z169" i="34"/>
  <c r="Y169" i="34"/>
  <c r="X169" i="34"/>
  <c r="W169" i="34"/>
  <c r="V169" i="34"/>
  <c r="U169" i="34"/>
  <c r="T169" i="34"/>
  <c r="S169" i="34"/>
  <c r="P169" i="34"/>
  <c r="N169" i="34"/>
  <c r="M169" i="34"/>
  <c r="AI168" i="34"/>
  <c r="AH168" i="34"/>
  <c r="AG168" i="34"/>
  <c r="AF168" i="34"/>
  <c r="AE168" i="34"/>
  <c r="AD168" i="34"/>
  <c r="AC168" i="34"/>
  <c r="AB168" i="34"/>
  <c r="AA168" i="34"/>
  <c r="Z168" i="34"/>
  <c r="Y168" i="34"/>
  <c r="X168" i="34"/>
  <c r="W168" i="34"/>
  <c r="V168" i="34"/>
  <c r="U168" i="34"/>
  <c r="T168" i="34"/>
  <c r="S168" i="34"/>
  <c r="R168" i="34"/>
  <c r="Q168" i="34"/>
  <c r="P168" i="34"/>
  <c r="O168" i="34"/>
  <c r="N168" i="34"/>
  <c r="M168" i="34"/>
  <c r="AI167" i="34"/>
  <c r="AH167" i="34"/>
  <c r="AG167" i="34"/>
  <c r="AF167" i="34"/>
  <c r="AE167" i="34"/>
  <c r="AD167" i="34"/>
  <c r="AC167" i="34"/>
  <c r="AB167" i="34"/>
  <c r="AA167" i="34"/>
  <c r="Z167" i="34"/>
  <c r="Y167" i="34"/>
  <c r="X167" i="34"/>
  <c r="W167" i="34"/>
  <c r="V167" i="34"/>
  <c r="U167" i="34"/>
  <c r="T167" i="34"/>
  <c r="S167" i="34"/>
  <c r="R167" i="34"/>
  <c r="Q167" i="34"/>
  <c r="P167" i="34"/>
  <c r="O167" i="34"/>
  <c r="N167" i="34"/>
  <c r="M167" i="34"/>
  <c r="AI166" i="34"/>
  <c r="AH166" i="34"/>
  <c r="AG166" i="34"/>
  <c r="AF166" i="34"/>
  <c r="AE166" i="34"/>
  <c r="AD166" i="34"/>
  <c r="AC166" i="34"/>
  <c r="AB166" i="34"/>
  <c r="AA166" i="34"/>
  <c r="Z166" i="34"/>
  <c r="Y166" i="34"/>
  <c r="X166" i="34"/>
  <c r="W166" i="34"/>
  <c r="V166" i="34"/>
  <c r="U166" i="34"/>
  <c r="T166" i="34"/>
  <c r="S166" i="34"/>
  <c r="R166" i="34"/>
  <c r="Q166" i="34"/>
  <c r="P166" i="34"/>
  <c r="O166" i="34"/>
  <c r="N166" i="34"/>
  <c r="M166" i="34"/>
  <c r="AI165" i="34"/>
  <c r="AH165" i="34"/>
  <c r="AG165" i="34"/>
  <c r="AE165" i="34"/>
  <c r="AD165" i="34"/>
  <c r="AC165" i="34"/>
  <c r="AB165" i="34"/>
  <c r="AA165" i="34"/>
  <c r="Z165" i="34"/>
  <c r="Y165" i="34"/>
  <c r="X165" i="34"/>
  <c r="W165" i="34"/>
  <c r="V165" i="34"/>
  <c r="U165" i="34"/>
  <c r="T165" i="34"/>
  <c r="S165" i="34"/>
  <c r="N165" i="34"/>
  <c r="M165" i="34"/>
  <c r="AJ164" i="34"/>
  <c r="AI164" i="34"/>
  <c r="AH164" i="34"/>
  <c r="AG164" i="34"/>
  <c r="AF164" i="34"/>
  <c r="AE164" i="34"/>
  <c r="AD164" i="34"/>
  <c r="AC164" i="34"/>
  <c r="AB164" i="34"/>
  <c r="AA164" i="34"/>
  <c r="Z164" i="34"/>
  <c r="Y164" i="34"/>
  <c r="X164" i="34"/>
  <c r="W164" i="34"/>
  <c r="V164" i="34"/>
  <c r="U164" i="34"/>
  <c r="T164" i="34"/>
  <c r="S164" i="34"/>
  <c r="R164" i="34"/>
  <c r="Q164" i="34"/>
  <c r="P164" i="34"/>
  <c r="O164" i="34"/>
  <c r="N164" i="34"/>
  <c r="M164" i="34"/>
  <c r="AJ163" i="34"/>
  <c r="AI163" i="34"/>
  <c r="AH163" i="34"/>
  <c r="AG163" i="34"/>
  <c r="AF163" i="34"/>
  <c r="AE163" i="34"/>
  <c r="AD163" i="34"/>
  <c r="AC163" i="34"/>
  <c r="AB163" i="34"/>
  <c r="AA163" i="34"/>
  <c r="Z163" i="34"/>
  <c r="Y163" i="34"/>
  <c r="X163" i="34"/>
  <c r="W163" i="34"/>
  <c r="V163" i="34"/>
  <c r="U163" i="34"/>
  <c r="T163" i="34"/>
  <c r="S163" i="34"/>
  <c r="R163" i="34"/>
  <c r="Q163" i="34"/>
  <c r="P163" i="34"/>
  <c r="O163" i="34"/>
  <c r="N163" i="34"/>
  <c r="M163" i="34"/>
  <c r="AJ162" i="34"/>
  <c r="AI162" i="34"/>
  <c r="AH162" i="34"/>
  <c r="AG162" i="34"/>
  <c r="AF162" i="34"/>
  <c r="AE162" i="34"/>
  <c r="AD162" i="34"/>
  <c r="AC162" i="34"/>
  <c r="AB162" i="34"/>
  <c r="AA162" i="34"/>
  <c r="Z162" i="34"/>
  <c r="Y162" i="34"/>
  <c r="X162" i="34"/>
  <c r="W162" i="34"/>
  <c r="V162" i="34"/>
  <c r="U162" i="34"/>
  <c r="T162" i="34"/>
  <c r="S162" i="34"/>
  <c r="R162" i="34"/>
  <c r="Q162" i="34"/>
  <c r="P162" i="34"/>
  <c r="O162" i="34"/>
  <c r="N162" i="34"/>
  <c r="M162" i="34"/>
  <c r="N161" i="34"/>
  <c r="M161" i="34"/>
  <c r="AI160" i="34"/>
  <c r="AH160" i="34"/>
  <c r="AG160" i="34"/>
  <c r="AF160" i="34"/>
  <c r="AE160" i="34"/>
  <c r="AD160" i="34"/>
  <c r="AC160" i="34"/>
  <c r="AB160" i="34"/>
  <c r="AA160" i="34"/>
  <c r="Z160" i="34"/>
  <c r="Y160" i="34"/>
  <c r="X160" i="34"/>
  <c r="W160" i="34"/>
  <c r="V160" i="34"/>
  <c r="U160" i="34"/>
  <c r="T160" i="34"/>
  <c r="S160" i="34"/>
  <c r="R160" i="34"/>
  <c r="Q160" i="34"/>
  <c r="P160" i="34"/>
  <c r="O160" i="34"/>
  <c r="N160" i="34"/>
  <c r="M160" i="34"/>
  <c r="AJ159" i="34"/>
  <c r="AI159" i="34"/>
  <c r="AH159" i="34"/>
  <c r="AG159" i="34"/>
  <c r="AF159" i="34"/>
  <c r="AE159" i="34"/>
  <c r="AD159" i="34"/>
  <c r="AC159" i="34"/>
  <c r="AB159" i="34"/>
  <c r="AA159" i="34"/>
  <c r="Z159" i="34"/>
  <c r="Y159" i="34"/>
  <c r="X159" i="34"/>
  <c r="W159" i="34"/>
  <c r="V159" i="34"/>
  <c r="U159" i="34"/>
  <c r="T159" i="34"/>
  <c r="S159" i="34"/>
  <c r="R159" i="34"/>
  <c r="Q159" i="34"/>
  <c r="P159" i="34"/>
  <c r="O159" i="34"/>
  <c r="N159" i="34"/>
  <c r="M159" i="34"/>
  <c r="N158" i="34"/>
  <c r="M158" i="34"/>
  <c r="AI157" i="34"/>
  <c r="AH157" i="34"/>
  <c r="AG157" i="34"/>
  <c r="AF157" i="34"/>
  <c r="AE157" i="34"/>
  <c r="AD157" i="34"/>
  <c r="AC157" i="34"/>
  <c r="AB157" i="34"/>
  <c r="AA157" i="34"/>
  <c r="Z157" i="34"/>
  <c r="Y157" i="34"/>
  <c r="X157" i="34"/>
  <c r="W157" i="34"/>
  <c r="V157" i="34"/>
  <c r="U157" i="34"/>
  <c r="T157" i="34"/>
  <c r="S157" i="34"/>
  <c r="R157" i="34"/>
  <c r="Q157" i="34"/>
  <c r="P157" i="34"/>
  <c r="O157" i="34"/>
  <c r="N157" i="34"/>
  <c r="M157" i="34"/>
  <c r="AI156" i="34"/>
  <c r="AH156" i="34"/>
  <c r="AG156" i="34"/>
  <c r="AF156" i="34"/>
  <c r="AE156" i="34"/>
  <c r="AD156" i="34"/>
  <c r="AC156" i="34"/>
  <c r="AB156" i="34"/>
  <c r="AA156" i="34"/>
  <c r="Z156" i="34"/>
  <c r="Y156" i="34"/>
  <c r="X156" i="34"/>
  <c r="W156" i="34"/>
  <c r="V156" i="34"/>
  <c r="U156" i="34"/>
  <c r="T156" i="34"/>
  <c r="S156" i="34"/>
  <c r="R156" i="34"/>
  <c r="Q156" i="34"/>
  <c r="P156" i="34"/>
  <c r="O156" i="34"/>
  <c r="N156" i="34"/>
  <c r="M156" i="34"/>
  <c r="AI155" i="34"/>
  <c r="AH155" i="34"/>
  <c r="AG155" i="34"/>
  <c r="AF155" i="34"/>
  <c r="AE155" i="34"/>
  <c r="AD155" i="34"/>
  <c r="AC155" i="34"/>
  <c r="AB155" i="34"/>
  <c r="AA155" i="34"/>
  <c r="Z155" i="34"/>
  <c r="Y155" i="34"/>
  <c r="X155" i="34"/>
  <c r="W155" i="34"/>
  <c r="V155" i="34"/>
  <c r="U155" i="34"/>
  <c r="T155" i="34"/>
  <c r="S155" i="34"/>
  <c r="R155" i="34"/>
  <c r="Q155" i="34"/>
  <c r="P155" i="34"/>
  <c r="O155" i="34"/>
  <c r="N155" i="34"/>
  <c r="M155" i="34"/>
  <c r="AJ154" i="34"/>
  <c r="AI154" i="34"/>
  <c r="AH154" i="34"/>
  <c r="AG154" i="34"/>
  <c r="AF154" i="34"/>
  <c r="AE154" i="34"/>
  <c r="AD154" i="34"/>
  <c r="AC154" i="34"/>
  <c r="AB154" i="34"/>
  <c r="AA154" i="34"/>
  <c r="Z154" i="34"/>
  <c r="Y154" i="34"/>
  <c r="X154" i="34"/>
  <c r="W154" i="34"/>
  <c r="V154" i="34"/>
  <c r="U154" i="34"/>
  <c r="T154" i="34"/>
  <c r="S154" i="34"/>
  <c r="R154" i="34"/>
  <c r="Q154" i="34"/>
  <c r="P154" i="34"/>
  <c r="O154" i="34"/>
  <c r="N154" i="34"/>
  <c r="M154" i="34"/>
  <c r="AJ153" i="34"/>
  <c r="AI153" i="34"/>
  <c r="AH153" i="34"/>
  <c r="AG153" i="34"/>
  <c r="AF153" i="34"/>
  <c r="AE153" i="34"/>
  <c r="AD153" i="34"/>
  <c r="AC153" i="34"/>
  <c r="AB153" i="34"/>
  <c r="AA153" i="34"/>
  <c r="Z153" i="34"/>
  <c r="Y153" i="34"/>
  <c r="X153" i="34"/>
  <c r="W153" i="34"/>
  <c r="V153" i="34"/>
  <c r="U153" i="34"/>
  <c r="T153" i="34"/>
  <c r="S153" i="34"/>
  <c r="R153" i="34"/>
  <c r="Q153" i="34"/>
  <c r="P153" i="34"/>
  <c r="O153" i="34"/>
  <c r="N153" i="34"/>
  <c r="M153" i="34"/>
  <c r="AJ152" i="34"/>
  <c r="AI152" i="34"/>
  <c r="AH152" i="34"/>
  <c r="AG152" i="34"/>
  <c r="AF152" i="34"/>
  <c r="AE152" i="34"/>
  <c r="AD152" i="34"/>
  <c r="AC152" i="34"/>
  <c r="AB152" i="34"/>
  <c r="AA152" i="34"/>
  <c r="Z152" i="34"/>
  <c r="Y152" i="34"/>
  <c r="X152" i="34"/>
  <c r="W152" i="34"/>
  <c r="V152" i="34"/>
  <c r="U152" i="34"/>
  <c r="T152" i="34"/>
  <c r="S152" i="34"/>
  <c r="R152" i="34"/>
  <c r="Q152" i="34"/>
  <c r="P152" i="34"/>
  <c r="O152" i="34"/>
  <c r="N152" i="34"/>
  <c r="M152" i="34"/>
  <c r="N151" i="34"/>
  <c r="M151" i="34"/>
  <c r="W150" i="34"/>
  <c r="V150" i="34"/>
  <c r="U150" i="34"/>
  <c r="T150" i="34"/>
  <c r="S150" i="34"/>
  <c r="R150" i="34"/>
  <c r="Q150" i="34"/>
  <c r="P150" i="34"/>
  <c r="O150" i="34"/>
  <c r="N150" i="34"/>
  <c r="M150" i="34"/>
  <c r="AI149" i="34"/>
  <c r="AH149" i="34"/>
  <c r="AG149" i="34"/>
  <c r="AF149" i="34"/>
  <c r="AE149" i="34"/>
  <c r="AD149" i="34"/>
  <c r="AC149" i="34"/>
  <c r="AB149" i="34"/>
  <c r="AA149" i="34"/>
  <c r="Z149" i="34"/>
  <c r="Y149" i="34"/>
  <c r="X149" i="34"/>
  <c r="W149" i="34"/>
  <c r="V149" i="34"/>
  <c r="U149" i="34"/>
  <c r="T149" i="34"/>
  <c r="S149" i="34"/>
  <c r="R149" i="34"/>
  <c r="Q149" i="34"/>
  <c r="P149" i="34"/>
  <c r="O149" i="34"/>
  <c r="N149" i="34"/>
  <c r="M149" i="34"/>
  <c r="AI148" i="34"/>
  <c r="AH148" i="34"/>
  <c r="AG148" i="34"/>
  <c r="AF148" i="34"/>
  <c r="AE148" i="34"/>
  <c r="AD148" i="34"/>
  <c r="AC148" i="34"/>
  <c r="AB148" i="34"/>
  <c r="AA148" i="34"/>
  <c r="Z148" i="34"/>
  <c r="Y148" i="34"/>
  <c r="X148" i="34"/>
  <c r="W148" i="34"/>
  <c r="V148" i="34"/>
  <c r="U148" i="34"/>
  <c r="T148" i="34"/>
  <c r="S148" i="34"/>
  <c r="R148" i="34"/>
  <c r="Q148" i="34"/>
  <c r="P148" i="34"/>
  <c r="O148" i="34"/>
  <c r="N148" i="34"/>
  <c r="M148" i="34"/>
  <c r="AJ145" i="34"/>
  <c r="AI145" i="34"/>
  <c r="AH145" i="34"/>
  <c r="AG145" i="34"/>
  <c r="AF145" i="34"/>
  <c r="AE145" i="34"/>
  <c r="AD145" i="34"/>
  <c r="AC145" i="34"/>
  <c r="AB145" i="34"/>
  <c r="AA145" i="34"/>
  <c r="Z145" i="34"/>
  <c r="Y145" i="34"/>
  <c r="X145" i="34"/>
  <c r="W145" i="34"/>
  <c r="V145" i="34"/>
  <c r="U145" i="34"/>
  <c r="T145" i="34"/>
  <c r="S145" i="34"/>
  <c r="R145" i="34"/>
  <c r="Q145" i="34"/>
  <c r="P145" i="34"/>
  <c r="O145" i="34"/>
  <c r="N145" i="34"/>
  <c r="M145" i="34"/>
  <c r="N144" i="34"/>
  <c r="M144" i="34"/>
  <c r="AI143" i="34"/>
  <c r="AH143" i="34"/>
  <c r="AG143" i="34"/>
  <c r="AF143" i="34"/>
  <c r="AC143" i="34"/>
  <c r="AB143" i="34"/>
  <c r="AA143" i="34"/>
  <c r="Z143" i="34"/>
  <c r="Y143" i="34"/>
  <c r="X143" i="34"/>
  <c r="W143" i="34"/>
  <c r="V143" i="34"/>
  <c r="U143" i="34"/>
  <c r="T143" i="34"/>
  <c r="S143" i="34"/>
  <c r="R143" i="34"/>
  <c r="Q143" i="34"/>
  <c r="P143" i="34"/>
  <c r="O143" i="34"/>
  <c r="N143" i="34"/>
  <c r="M143" i="34"/>
  <c r="AI142" i="34"/>
  <c r="AH142" i="34"/>
  <c r="AG142" i="34"/>
  <c r="AF142" i="34"/>
  <c r="AE142" i="34"/>
  <c r="AD142" i="34"/>
  <c r="AC142" i="34"/>
  <c r="AB142" i="34"/>
  <c r="AA142" i="34"/>
  <c r="Z142" i="34"/>
  <c r="Y142" i="34"/>
  <c r="X142" i="34"/>
  <c r="W142" i="34"/>
  <c r="V142" i="34"/>
  <c r="U142" i="34"/>
  <c r="T142" i="34"/>
  <c r="S142" i="34"/>
  <c r="R142" i="34"/>
  <c r="Q142" i="34"/>
  <c r="P142" i="34"/>
  <c r="O142" i="34"/>
  <c r="N142" i="34"/>
  <c r="M142" i="34"/>
  <c r="AI141" i="34"/>
  <c r="AH141" i="34"/>
  <c r="AG141" i="34"/>
  <c r="AE141" i="34"/>
  <c r="AD141" i="34"/>
  <c r="AC141" i="34"/>
  <c r="AB141" i="34"/>
  <c r="AA141" i="34"/>
  <c r="Z141" i="34"/>
  <c r="Y141" i="34"/>
  <c r="X141" i="34"/>
  <c r="W141" i="34"/>
  <c r="V141" i="34"/>
  <c r="U141" i="34"/>
  <c r="T141" i="34"/>
  <c r="S141" i="34"/>
  <c r="R141" i="34"/>
  <c r="Q141" i="34"/>
  <c r="P141" i="34"/>
  <c r="O141" i="34"/>
  <c r="N141" i="34"/>
  <c r="M141" i="34"/>
  <c r="Y140" i="34"/>
  <c r="W140" i="34"/>
  <c r="V140" i="34"/>
  <c r="U140" i="34"/>
  <c r="T140" i="34"/>
  <c r="S140" i="34"/>
  <c r="R140" i="34"/>
  <c r="Q140" i="34"/>
  <c r="P140" i="34"/>
  <c r="O140" i="34"/>
  <c r="N140" i="34"/>
  <c r="M140" i="34"/>
  <c r="AJ139" i="34"/>
  <c r="AI139" i="34"/>
  <c r="AH139" i="34"/>
  <c r="AG139" i="34"/>
  <c r="AF139" i="34"/>
  <c r="AE139" i="34"/>
  <c r="AD139" i="34"/>
  <c r="AC139" i="34"/>
  <c r="AB139" i="34"/>
  <c r="AA139" i="34"/>
  <c r="Z139" i="34"/>
  <c r="Y139" i="34"/>
  <c r="X139" i="34"/>
  <c r="W139" i="34"/>
  <c r="V139" i="34"/>
  <c r="U139" i="34"/>
  <c r="T139" i="34"/>
  <c r="S139" i="34"/>
  <c r="R139" i="34"/>
  <c r="Q139" i="34"/>
  <c r="P139" i="34"/>
  <c r="O139" i="34"/>
  <c r="N139" i="34"/>
  <c r="M139" i="34"/>
  <c r="AJ138" i="34"/>
  <c r="AI138" i="34"/>
  <c r="AH138" i="34"/>
  <c r="AG138" i="34"/>
  <c r="AF138" i="34"/>
  <c r="AE138" i="34"/>
  <c r="AD138" i="34"/>
  <c r="AC138" i="34"/>
  <c r="AB138" i="34"/>
  <c r="AA138" i="34"/>
  <c r="Z138" i="34"/>
  <c r="Y138" i="34"/>
  <c r="X138" i="34"/>
  <c r="W138" i="34"/>
  <c r="V138" i="34"/>
  <c r="U138" i="34"/>
  <c r="T138" i="34"/>
  <c r="S138" i="34"/>
  <c r="R138" i="34"/>
  <c r="Q138" i="34"/>
  <c r="P138" i="34"/>
  <c r="O138" i="34"/>
  <c r="N138" i="34"/>
  <c r="M138" i="34"/>
  <c r="AJ137" i="34"/>
  <c r="AI137" i="34"/>
  <c r="AH137" i="34"/>
  <c r="AG137" i="34"/>
  <c r="AF137" i="34"/>
  <c r="AE137" i="34"/>
  <c r="AD137" i="34"/>
  <c r="AC137" i="34"/>
  <c r="AB137" i="34"/>
  <c r="AA137" i="34"/>
  <c r="Z137" i="34"/>
  <c r="Y137" i="34"/>
  <c r="X137" i="34"/>
  <c r="W137" i="34"/>
  <c r="V137" i="34"/>
  <c r="U137" i="34"/>
  <c r="T137" i="34"/>
  <c r="S137" i="34"/>
  <c r="R137" i="34"/>
  <c r="Q137" i="34"/>
  <c r="P137" i="34"/>
  <c r="O137" i="34"/>
  <c r="N137" i="34"/>
  <c r="M137" i="34"/>
  <c r="AJ136" i="34"/>
  <c r="AI136" i="34"/>
  <c r="AH136" i="34"/>
  <c r="AG136" i="34"/>
  <c r="AF136" i="34"/>
  <c r="AE136" i="34"/>
  <c r="AD136" i="34"/>
  <c r="AC136" i="34"/>
  <c r="AB136" i="34"/>
  <c r="AA136" i="34"/>
  <c r="Z136" i="34"/>
  <c r="Y136" i="34"/>
  <c r="X136" i="34"/>
  <c r="W136" i="34"/>
  <c r="V136" i="34"/>
  <c r="U136" i="34"/>
  <c r="T136" i="34"/>
  <c r="S136" i="34"/>
  <c r="R136" i="34"/>
  <c r="Q136" i="34"/>
  <c r="P136" i="34"/>
  <c r="O136" i="34"/>
  <c r="N136" i="34"/>
  <c r="M136" i="34"/>
  <c r="AJ135" i="34"/>
  <c r="AI135" i="34"/>
  <c r="AH135" i="34"/>
  <c r="AG135" i="34"/>
  <c r="AF135" i="34"/>
  <c r="AE135" i="34"/>
  <c r="AD135" i="34"/>
  <c r="AC135" i="34"/>
  <c r="AB135" i="34"/>
  <c r="AA135" i="34"/>
  <c r="Z135" i="34"/>
  <c r="Y135" i="34"/>
  <c r="X135" i="34"/>
  <c r="W135" i="34"/>
  <c r="V135" i="34"/>
  <c r="U135" i="34"/>
  <c r="T135" i="34"/>
  <c r="S135" i="34"/>
  <c r="R135" i="34"/>
  <c r="Q135" i="34"/>
  <c r="P135" i="34"/>
  <c r="O135" i="34"/>
  <c r="N135" i="34"/>
  <c r="M135" i="34"/>
  <c r="AJ134" i="34"/>
  <c r="AI134" i="34"/>
  <c r="AH134" i="34"/>
  <c r="AG134" i="34"/>
  <c r="AF134" i="34"/>
  <c r="AE134" i="34"/>
  <c r="AD134" i="34"/>
  <c r="AC134" i="34"/>
  <c r="AB134" i="34"/>
  <c r="AA134" i="34"/>
  <c r="Z134" i="34"/>
  <c r="Y134" i="34"/>
  <c r="X134" i="34"/>
  <c r="W134" i="34"/>
  <c r="V134" i="34"/>
  <c r="U134" i="34"/>
  <c r="T134" i="34"/>
  <c r="S134" i="34"/>
  <c r="R134" i="34"/>
  <c r="Q134" i="34"/>
  <c r="P134" i="34"/>
  <c r="O134" i="34"/>
  <c r="N134" i="34"/>
  <c r="M134" i="34"/>
  <c r="AJ133" i="34"/>
  <c r="AI133" i="34"/>
  <c r="AH133" i="34"/>
  <c r="AG133" i="34"/>
  <c r="AF133" i="34"/>
  <c r="AE133" i="34"/>
  <c r="AD133" i="34"/>
  <c r="AC133" i="34"/>
  <c r="AB133" i="34"/>
  <c r="AA133" i="34"/>
  <c r="Z133" i="34"/>
  <c r="Y133" i="34"/>
  <c r="X133" i="34"/>
  <c r="W133" i="34"/>
  <c r="V133" i="34"/>
  <c r="U133" i="34"/>
  <c r="T133" i="34"/>
  <c r="S133" i="34"/>
  <c r="R133" i="34"/>
  <c r="Q133" i="34"/>
  <c r="P133" i="34"/>
  <c r="O133" i="34"/>
  <c r="N133" i="34"/>
  <c r="M133" i="34"/>
  <c r="AJ131" i="34"/>
  <c r="AI131" i="34"/>
  <c r="AH131" i="34"/>
  <c r="AG131" i="34"/>
  <c r="AF131" i="34"/>
  <c r="AE131" i="34"/>
  <c r="AD131" i="34"/>
  <c r="AC131" i="34"/>
  <c r="AB131" i="34"/>
  <c r="AA131" i="34"/>
  <c r="Z131" i="34"/>
  <c r="Y131" i="34"/>
  <c r="X131" i="34"/>
  <c r="W131" i="34"/>
  <c r="V131" i="34"/>
  <c r="U131" i="34"/>
  <c r="T131" i="34"/>
  <c r="S131" i="34"/>
  <c r="R131" i="34"/>
  <c r="Q131" i="34"/>
  <c r="P131" i="34"/>
  <c r="O131" i="34"/>
  <c r="N131" i="34"/>
  <c r="M131" i="34"/>
  <c r="AJ129" i="34"/>
  <c r="AI129" i="34"/>
  <c r="AH129" i="34"/>
  <c r="AG129" i="34"/>
  <c r="AF129" i="34"/>
  <c r="AE129" i="34"/>
  <c r="AD129" i="34"/>
  <c r="AC129" i="34"/>
  <c r="AB129" i="34"/>
  <c r="AA129" i="34"/>
  <c r="Z129" i="34"/>
  <c r="Y129" i="34"/>
  <c r="X129" i="34"/>
  <c r="W129" i="34"/>
  <c r="V129" i="34"/>
  <c r="U129" i="34"/>
  <c r="T129" i="34"/>
  <c r="S129" i="34"/>
  <c r="R129" i="34"/>
  <c r="Q129" i="34"/>
  <c r="P129" i="34"/>
  <c r="O129" i="34"/>
  <c r="N129" i="34"/>
  <c r="M129" i="34"/>
  <c r="AJ127" i="34"/>
  <c r="AI127" i="34"/>
  <c r="AH127" i="34"/>
  <c r="AG127" i="34"/>
  <c r="AF127" i="34"/>
  <c r="AE127" i="34"/>
  <c r="AD127" i="34"/>
  <c r="AC127" i="34"/>
  <c r="AB127" i="34"/>
  <c r="AA127" i="34"/>
  <c r="Z127" i="34"/>
  <c r="Y127" i="34"/>
  <c r="X127" i="34"/>
  <c r="W127" i="34"/>
  <c r="V127" i="34"/>
  <c r="U127" i="34"/>
  <c r="T127" i="34"/>
  <c r="S127" i="34"/>
  <c r="R127" i="34"/>
  <c r="Q127" i="34"/>
  <c r="P127" i="34"/>
  <c r="O127" i="34"/>
  <c r="N127" i="34"/>
  <c r="M127" i="34"/>
  <c r="AJ126" i="34"/>
  <c r="AI126" i="34"/>
  <c r="AH126" i="34"/>
  <c r="AG126" i="34"/>
  <c r="AF126" i="34"/>
  <c r="AE126" i="34"/>
  <c r="AD126" i="34"/>
  <c r="AC126" i="34"/>
  <c r="AB126" i="34"/>
  <c r="AA126" i="34"/>
  <c r="Z126" i="34"/>
  <c r="Y126" i="34"/>
  <c r="X126" i="34"/>
  <c r="W126" i="34"/>
  <c r="V126" i="34"/>
  <c r="U126" i="34"/>
  <c r="T126" i="34"/>
  <c r="S126" i="34"/>
  <c r="R126" i="34"/>
  <c r="Q126" i="34"/>
  <c r="P126" i="34"/>
  <c r="O126" i="34"/>
  <c r="N126" i="34"/>
  <c r="M126" i="34"/>
  <c r="AJ123" i="34"/>
  <c r="AI123" i="34"/>
  <c r="AH123" i="34"/>
  <c r="AG123" i="34"/>
  <c r="AF123" i="34"/>
  <c r="AE123" i="34"/>
  <c r="AD123" i="34"/>
  <c r="AC123" i="34"/>
  <c r="AB123" i="34"/>
  <c r="AA123" i="34"/>
  <c r="Z123" i="34"/>
  <c r="Y123" i="34"/>
  <c r="X123" i="34"/>
  <c r="W123" i="34"/>
  <c r="V123" i="34"/>
  <c r="U123" i="34"/>
  <c r="T123" i="34"/>
  <c r="S123" i="34"/>
  <c r="R123" i="34"/>
  <c r="Q123" i="34"/>
  <c r="P123" i="34"/>
  <c r="O123" i="34"/>
  <c r="N123" i="34"/>
  <c r="M123" i="34"/>
  <c r="AJ122" i="34"/>
  <c r="AI122" i="34"/>
  <c r="AH122" i="34"/>
  <c r="AG122" i="34"/>
  <c r="AF122" i="34"/>
  <c r="AE122" i="34"/>
  <c r="AD122" i="34"/>
  <c r="AC122" i="34"/>
  <c r="AB122" i="34"/>
  <c r="AA122" i="34"/>
  <c r="Z122" i="34"/>
  <c r="Y122" i="34"/>
  <c r="X122" i="34"/>
  <c r="W122" i="34"/>
  <c r="V122" i="34"/>
  <c r="U122" i="34"/>
  <c r="T122" i="34"/>
  <c r="S122" i="34"/>
  <c r="R122" i="34"/>
  <c r="Q122" i="34"/>
  <c r="P122" i="34"/>
  <c r="O122" i="34"/>
  <c r="N122" i="34"/>
  <c r="M122" i="34"/>
  <c r="AJ116" i="34"/>
  <c r="AI116" i="34"/>
  <c r="AH116" i="34"/>
  <c r="AG116" i="34"/>
  <c r="AF116" i="34"/>
  <c r="AE116" i="34"/>
  <c r="AD116" i="34"/>
  <c r="AC116" i="34"/>
  <c r="AB116" i="34"/>
  <c r="AA116" i="34"/>
  <c r="Z116" i="34"/>
  <c r="Y116" i="34"/>
  <c r="X116" i="34"/>
  <c r="W116" i="34"/>
  <c r="V116" i="34"/>
  <c r="U116" i="34"/>
  <c r="T116" i="34"/>
  <c r="S116" i="34"/>
  <c r="R116" i="34"/>
  <c r="Q116" i="34"/>
  <c r="P116" i="34"/>
  <c r="O116" i="34"/>
  <c r="N116" i="34"/>
  <c r="M116" i="34"/>
  <c r="AJ115" i="34"/>
  <c r="AI115" i="34"/>
  <c r="AH115" i="34"/>
  <c r="AG115" i="34"/>
  <c r="AF115" i="34"/>
  <c r="AE115" i="34"/>
  <c r="AD115" i="34"/>
  <c r="AC115" i="34"/>
  <c r="AB115" i="34"/>
  <c r="AA115" i="34"/>
  <c r="Z115" i="34"/>
  <c r="Y115" i="34"/>
  <c r="X115" i="34"/>
  <c r="W115" i="34"/>
  <c r="V115" i="34"/>
  <c r="U115" i="34"/>
  <c r="T115" i="34"/>
  <c r="S115" i="34"/>
  <c r="R115" i="34"/>
  <c r="Q115" i="34"/>
  <c r="P115" i="34"/>
  <c r="O115" i="34"/>
  <c r="N115" i="34"/>
  <c r="M115" i="34"/>
  <c r="AJ114" i="34"/>
  <c r="AI114" i="34"/>
  <c r="AH114" i="34"/>
  <c r="AG114" i="34"/>
  <c r="AF114" i="34"/>
  <c r="AE114" i="34"/>
  <c r="AD114" i="34"/>
  <c r="AC114" i="34"/>
  <c r="AB114" i="34"/>
  <c r="AA114" i="34"/>
  <c r="Z114" i="34"/>
  <c r="Y114" i="34"/>
  <c r="X114" i="34"/>
  <c r="W114" i="34"/>
  <c r="V114" i="34"/>
  <c r="U114" i="34"/>
  <c r="T114" i="34"/>
  <c r="S114" i="34"/>
  <c r="R114" i="34"/>
  <c r="Q114" i="34"/>
  <c r="P114" i="34"/>
  <c r="O114" i="34"/>
  <c r="N114" i="34"/>
  <c r="M114" i="34"/>
  <c r="AJ110" i="34"/>
  <c r="AI110" i="34"/>
  <c r="AH110" i="34"/>
  <c r="AG110" i="34"/>
  <c r="AF110" i="34"/>
  <c r="AE110" i="34"/>
  <c r="AD110" i="34"/>
  <c r="AC110" i="34"/>
  <c r="AB110" i="34"/>
  <c r="AA110" i="34"/>
  <c r="Z110" i="34"/>
  <c r="Y110" i="34"/>
  <c r="X110" i="34"/>
  <c r="W110" i="34"/>
  <c r="V110" i="34"/>
  <c r="U110" i="34"/>
  <c r="T110" i="34"/>
  <c r="S110" i="34"/>
  <c r="R110" i="34"/>
  <c r="Q110" i="34"/>
  <c r="P110" i="34"/>
  <c r="O110" i="34"/>
  <c r="N110" i="34"/>
  <c r="M110" i="34"/>
  <c r="AJ106" i="34"/>
  <c r="AI106" i="34"/>
  <c r="AH106" i="34"/>
  <c r="AG106" i="34"/>
  <c r="AF106" i="34"/>
  <c r="AE106" i="34"/>
  <c r="AD106" i="34"/>
  <c r="AC106" i="34"/>
  <c r="AB106" i="34"/>
  <c r="AA106" i="34"/>
  <c r="Z106" i="34"/>
  <c r="Y106" i="34"/>
  <c r="X106" i="34"/>
  <c r="W106" i="34"/>
  <c r="V106" i="34"/>
  <c r="U106" i="34"/>
  <c r="T106" i="34"/>
  <c r="S106" i="34"/>
  <c r="R106" i="34"/>
  <c r="Q106" i="34"/>
  <c r="P106" i="34"/>
  <c r="O106" i="34"/>
  <c r="N106" i="34"/>
  <c r="M106" i="34"/>
  <c r="AJ105" i="34"/>
  <c r="AI105" i="34"/>
  <c r="AH105" i="34"/>
  <c r="AG105" i="34"/>
  <c r="AF105" i="34"/>
  <c r="AE105" i="34"/>
  <c r="AD105" i="34"/>
  <c r="AC105" i="34"/>
  <c r="AB105" i="34"/>
  <c r="AA105" i="34"/>
  <c r="Z105" i="34"/>
  <c r="Y105" i="34"/>
  <c r="X105" i="34"/>
  <c r="W105" i="34"/>
  <c r="V105" i="34"/>
  <c r="U105" i="34"/>
  <c r="T105" i="34"/>
  <c r="S105" i="34"/>
  <c r="R105" i="34"/>
  <c r="Q105" i="34"/>
  <c r="P105" i="34"/>
  <c r="O105" i="34"/>
  <c r="N105" i="34"/>
  <c r="M105" i="34"/>
  <c r="AJ104" i="34"/>
  <c r="AI104" i="34"/>
  <c r="AH104" i="34"/>
  <c r="AG104" i="34"/>
  <c r="AF104" i="34"/>
  <c r="AE104" i="34"/>
  <c r="AD104" i="34"/>
  <c r="AC104" i="34"/>
  <c r="AB104" i="34"/>
  <c r="AA104" i="34"/>
  <c r="Z104" i="34"/>
  <c r="Y104" i="34"/>
  <c r="X104" i="34"/>
  <c r="W104" i="34"/>
  <c r="V104" i="34"/>
  <c r="U104" i="34"/>
  <c r="T104" i="34"/>
  <c r="S104" i="34"/>
  <c r="R104" i="34"/>
  <c r="Q104" i="34"/>
  <c r="P104" i="34"/>
  <c r="O104" i="34"/>
  <c r="N104" i="34"/>
  <c r="M104" i="34"/>
  <c r="AJ102" i="34"/>
  <c r="AI102" i="34"/>
  <c r="AH102" i="34"/>
  <c r="AG102" i="34"/>
  <c r="AF102" i="34"/>
  <c r="AE102" i="34"/>
  <c r="AD102" i="34"/>
  <c r="AC102" i="34"/>
  <c r="AB102" i="34"/>
  <c r="AA102" i="34"/>
  <c r="Z102" i="34"/>
  <c r="Y102" i="34"/>
  <c r="X102" i="34"/>
  <c r="W102" i="34"/>
  <c r="V102" i="34"/>
  <c r="U102" i="34"/>
  <c r="T102" i="34"/>
  <c r="S102" i="34"/>
  <c r="R102" i="34"/>
  <c r="Q102" i="34"/>
  <c r="P102" i="34"/>
  <c r="O102" i="34"/>
  <c r="N102" i="34"/>
  <c r="M102" i="34"/>
  <c r="AJ100" i="34"/>
  <c r="AI100" i="34"/>
  <c r="AH100" i="34"/>
  <c r="AG100" i="34"/>
  <c r="AF100" i="34"/>
  <c r="AE100" i="34"/>
  <c r="AD100" i="34"/>
  <c r="AC100" i="34"/>
  <c r="AB100" i="34"/>
  <c r="AA100" i="34"/>
  <c r="Z100" i="34"/>
  <c r="Y100" i="34"/>
  <c r="X100" i="34"/>
  <c r="W100" i="34"/>
  <c r="V100" i="34"/>
  <c r="U100" i="34"/>
  <c r="T100" i="34"/>
  <c r="S100" i="34"/>
  <c r="R100" i="34"/>
  <c r="Q100" i="34"/>
  <c r="P100" i="34"/>
  <c r="O100" i="34"/>
  <c r="N100" i="34"/>
  <c r="M100" i="34"/>
  <c r="AJ99" i="34"/>
  <c r="AI99" i="34"/>
  <c r="AH99" i="34"/>
  <c r="AG99" i="34"/>
  <c r="AF99" i="34"/>
  <c r="AE99" i="34"/>
  <c r="AD99" i="34"/>
  <c r="AC99" i="34"/>
  <c r="AB99" i="34"/>
  <c r="AA99" i="34"/>
  <c r="Z99" i="34"/>
  <c r="Y99" i="34"/>
  <c r="X99" i="34"/>
  <c r="W99" i="34"/>
  <c r="V99" i="34"/>
  <c r="U99" i="34"/>
  <c r="T99" i="34"/>
  <c r="S99" i="34"/>
  <c r="R99" i="34"/>
  <c r="Q99" i="34"/>
  <c r="P99" i="34"/>
  <c r="O99" i="34"/>
  <c r="N99" i="34"/>
  <c r="M99" i="34"/>
  <c r="AJ96" i="34"/>
  <c r="AI96" i="34"/>
  <c r="AH96" i="34"/>
  <c r="AG96" i="34"/>
  <c r="AF96" i="34"/>
  <c r="AE96" i="34"/>
  <c r="AD96" i="34"/>
  <c r="AC96" i="34"/>
  <c r="AB96" i="34"/>
  <c r="AA96" i="34"/>
  <c r="Z96" i="34"/>
  <c r="Y96" i="34"/>
  <c r="X96" i="34"/>
  <c r="W96" i="34"/>
  <c r="V96" i="34"/>
  <c r="U96" i="34"/>
  <c r="T96" i="34"/>
  <c r="S96" i="34"/>
  <c r="R96" i="34"/>
  <c r="Q96" i="34"/>
  <c r="P96" i="34"/>
  <c r="O96" i="34"/>
  <c r="N96" i="34"/>
  <c r="M96" i="34"/>
  <c r="Q95" i="34"/>
  <c r="P95" i="34"/>
  <c r="O95" i="34"/>
  <c r="N95" i="34"/>
  <c r="M95" i="34"/>
  <c r="AG91" i="34"/>
  <c r="AC91" i="34"/>
  <c r="Y91" i="34"/>
  <c r="U91" i="34"/>
  <c r="Q91" i="34"/>
  <c r="P91" i="34"/>
  <c r="O91" i="34"/>
  <c r="N91" i="34"/>
  <c r="M91" i="34"/>
  <c r="AJ90" i="34"/>
  <c r="AI90" i="34"/>
  <c r="AH90" i="34"/>
  <c r="AG90" i="34"/>
  <c r="AF90" i="34"/>
  <c r="AE90" i="34"/>
  <c r="AD90" i="34"/>
  <c r="AC90" i="34"/>
  <c r="AB90" i="34"/>
  <c r="AA90" i="34"/>
  <c r="Z90" i="34"/>
  <c r="Y90" i="34"/>
  <c r="X90" i="34"/>
  <c r="W90" i="34"/>
  <c r="V90" i="34"/>
  <c r="U90" i="34"/>
  <c r="T90" i="34"/>
  <c r="S90" i="34"/>
  <c r="R90" i="34"/>
  <c r="Q90" i="34"/>
  <c r="P90" i="34"/>
  <c r="O90" i="34"/>
  <c r="N90" i="34"/>
  <c r="M90" i="34"/>
  <c r="AJ87" i="34"/>
  <c r="AI87" i="34"/>
  <c r="AH87" i="34"/>
  <c r="AG87" i="34"/>
  <c r="AF87" i="34"/>
  <c r="AE87" i="34"/>
  <c r="AD87" i="34"/>
  <c r="AC87" i="34"/>
  <c r="AB87" i="34"/>
  <c r="AA87" i="34"/>
  <c r="Z87" i="34"/>
  <c r="Y87" i="34"/>
  <c r="X87" i="34"/>
  <c r="W87" i="34"/>
  <c r="V87" i="34"/>
  <c r="U87" i="34"/>
  <c r="T87" i="34"/>
  <c r="S87" i="34"/>
  <c r="R87" i="34"/>
  <c r="Q87" i="34"/>
  <c r="P87" i="34"/>
  <c r="O87" i="34"/>
  <c r="N87" i="34"/>
  <c r="M87" i="34"/>
  <c r="AJ86" i="34"/>
  <c r="AI86" i="34"/>
  <c r="AH86" i="34"/>
  <c r="AG86" i="34"/>
  <c r="AF86" i="34"/>
  <c r="AE86" i="34"/>
  <c r="AD86" i="34"/>
  <c r="AC86" i="34"/>
  <c r="AB86" i="34"/>
  <c r="AA86" i="34"/>
  <c r="Z86" i="34"/>
  <c r="Y86" i="34"/>
  <c r="X86" i="34"/>
  <c r="W86" i="34"/>
  <c r="V86" i="34"/>
  <c r="U86" i="34"/>
  <c r="T86" i="34"/>
  <c r="S86" i="34"/>
  <c r="R86" i="34"/>
  <c r="Q86" i="34"/>
  <c r="P86" i="34"/>
  <c r="O86" i="34"/>
  <c r="N86" i="34"/>
  <c r="M86" i="34"/>
  <c r="AJ85" i="34"/>
  <c r="AI85" i="34"/>
  <c r="AH85" i="34"/>
  <c r="AG85" i="34"/>
  <c r="AF85" i="34"/>
  <c r="AE85" i="34"/>
  <c r="AD85" i="34"/>
  <c r="AC85" i="34"/>
  <c r="AB85" i="34"/>
  <c r="AA85" i="34"/>
  <c r="Z85" i="34"/>
  <c r="Y85" i="34"/>
  <c r="X85" i="34"/>
  <c r="W85" i="34"/>
  <c r="V85" i="34"/>
  <c r="U85" i="34"/>
  <c r="T85" i="34"/>
  <c r="S85" i="34"/>
  <c r="R85" i="34"/>
  <c r="Q85" i="34"/>
  <c r="P85" i="34"/>
  <c r="O85" i="34"/>
  <c r="N85" i="34"/>
  <c r="M85" i="34"/>
  <c r="AJ84" i="34"/>
  <c r="AI84" i="34"/>
  <c r="AH84" i="34"/>
  <c r="AG84" i="34"/>
  <c r="AF84" i="34"/>
  <c r="AE84" i="34"/>
  <c r="AD84" i="34"/>
  <c r="AC84" i="34"/>
  <c r="AB84" i="34"/>
  <c r="AA84" i="34"/>
  <c r="Z84" i="34"/>
  <c r="Y84" i="34"/>
  <c r="X84" i="34"/>
  <c r="W84" i="34"/>
  <c r="V84" i="34"/>
  <c r="U84" i="34"/>
  <c r="T84" i="34"/>
  <c r="S84" i="34"/>
  <c r="R84" i="34"/>
  <c r="Q84" i="34"/>
  <c r="P84" i="34"/>
  <c r="O84" i="34"/>
  <c r="N84" i="34"/>
  <c r="M84" i="34"/>
  <c r="AJ83" i="34"/>
  <c r="AI83" i="34"/>
  <c r="AH83" i="34"/>
  <c r="AG83" i="34"/>
  <c r="AF83" i="34"/>
  <c r="AE83" i="34"/>
  <c r="AD83" i="34"/>
  <c r="AC83" i="34"/>
  <c r="AB83" i="34"/>
  <c r="AA83" i="34"/>
  <c r="Z83" i="34"/>
  <c r="Y83" i="34"/>
  <c r="X83" i="34"/>
  <c r="W83" i="34"/>
  <c r="V83" i="34"/>
  <c r="U83" i="34"/>
  <c r="T83" i="34"/>
  <c r="S83" i="34"/>
  <c r="R83" i="34"/>
  <c r="Q83" i="34"/>
  <c r="P83" i="34"/>
  <c r="O83" i="34"/>
  <c r="N83" i="34"/>
  <c r="M83" i="34"/>
  <c r="AZ269" i="34"/>
  <c r="AY269" i="34"/>
  <c r="AX269" i="34"/>
  <c r="AW269" i="34"/>
  <c r="AV269" i="34"/>
  <c r="AU269" i="34"/>
  <c r="AT269" i="34"/>
  <c r="AS269" i="34"/>
  <c r="AR269" i="34"/>
  <c r="AQ269" i="34"/>
  <c r="AP269" i="34"/>
  <c r="AO269" i="34"/>
  <c r="AN269" i="34"/>
  <c r="AM269" i="34"/>
  <c r="AL269" i="34"/>
  <c r="AZ268" i="34"/>
  <c r="AY268" i="34"/>
  <c r="AX268" i="34"/>
  <c r="AW268" i="34"/>
  <c r="AV268" i="34"/>
  <c r="AU268" i="34"/>
  <c r="AT268" i="34"/>
  <c r="AS268" i="34"/>
  <c r="AR268" i="34"/>
  <c r="AQ268" i="34"/>
  <c r="AP268" i="34"/>
  <c r="AO268" i="34"/>
  <c r="AN268" i="34"/>
  <c r="AM268" i="34"/>
  <c r="AL268" i="34"/>
  <c r="AN267" i="34"/>
  <c r="AM267" i="34"/>
  <c r="AL267" i="34"/>
  <c r="AP266" i="34"/>
  <c r="AO266" i="34"/>
  <c r="AN266" i="34"/>
  <c r="AM266" i="34"/>
  <c r="AL266" i="34"/>
  <c r="AN265" i="34"/>
  <c r="AM265" i="34"/>
  <c r="AL265" i="34"/>
  <c r="AN264" i="34"/>
  <c r="AM264" i="34"/>
  <c r="AL264" i="34"/>
  <c r="AZ263" i="34"/>
  <c r="AY263" i="34"/>
  <c r="AX263" i="34"/>
  <c r="AW263" i="34"/>
  <c r="AV263" i="34"/>
  <c r="AU263" i="34"/>
  <c r="AT263" i="34"/>
  <c r="AS263" i="34"/>
  <c r="AR263" i="34"/>
  <c r="AQ263" i="34"/>
  <c r="AP263" i="34"/>
  <c r="AO263" i="34"/>
  <c r="AN263" i="34"/>
  <c r="AM263" i="34"/>
  <c r="AL263" i="34"/>
  <c r="AZ262" i="34"/>
  <c r="AY262" i="34"/>
  <c r="AX262" i="34"/>
  <c r="AW262" i="34"/>
  <c r="AV262" i="34"/>
  <c r="AU262" i="34"/>
  <c r="AT262" i="34"/>
  <c r="AS262" i="34"/>
  <c r="AR262" i="34"/>
  <c r="AQ262" i="34"/>
  <c r="AP262" i="34"/>
  <c r="AO262" i="34"/>
  <c r="AN262" i="34"/>
  <c r="AM262" i="34"/>
  <c r="AL262" i="34"/>
  <c r="AZ261" i="34"/>
  <c r="AY261" i="34"/>
  <c r="AX261" i="34"/>
  <c r="AW261" i="34"/>
  <c r="AV261" i="34"/>
  <c r="AU261" i="34"/>
  <c r="AT261" i="34"/>
  <c r="AS261" i="34"/>
  <c r="AR261" i="34"/>
  <c r="AQ261" i="34"/>
  <c r="AP261" i="34"/>
  <c r="AO261" i="34"/>
  <c r="AN261" i="34"/>
  <c r="AM261" i="34"/>
  <c r="AL261" i="34"/>
  <c r="AZ260" i="34"/>
  <c r="AY260" i="34"/>
  <c r="AX260" i="34"/>
  <c r="AW260" i="34"/>
  <c r="AV260" i="34"/>
  <c r="AU260" i="34"/>
  <c r="AT260" i="34"/>
  <c r="AS260" i="34"/>
  <c r="AR260" i="34"/>
  <c r="AQ260" i="34"/>
  <c r="AP260" i="34"/>
  <c r="AO260" i="34"/>
  <c r="AN260" i="34"/>
  <c r="AM260" i="34"/>
  <c r="AL260" i="34"/>
  <c r="AO259" i="34"/>
  <c r="AN259" i="34"/>
  <c r="AM259" i="34"/>
  <c r="AL259" i="34"/>
  <c r="AO258" i="34"/>
  <c r="AN258" i="34"/>
  <c r="AM258" i="34"/>
  <c r="AL258" i="34"/>
  <c r="AO257" i="34"/>
  <c r="AN257" i="34"/>
  <c r="AM257" i="34"/>
  <c r="AL257" i="34"/>
  <c r="AO256" i="34"/>
  <c r="AN256" i="34"/>
  <c r="AM256" i="34"/>
  <c r="AL256" i="34"/>
  <c r="AM255" i="34"/>
  <c r="AL255" i="34"/>
  <c r="AZ254" i="34"/>
  <c r="AY254" i="34"/>
  <c r="AX254" i="34"/>
  <c r="AW254" i="34"/>
  <c r="AV254" i="34"/>
  <c r="AU254" i="34"/>
  <c r="AT254" i="34"/>
  <c r="AS254" i="34"/>
  <c r="AR254" i="34"/>
  <c r="AQ254" i="34"/>
  <c r="AP254" i="34"/>
  <c r="AO254" i="34"/>
  <c r="AN254" i="34"/>
  <c r="AM254" i="34"/>
  <c r="AL254" i="34"/>
  <c r="AP253" i="34"/>
  <c r="AO253" i="34"/>
  <c r="AN253" i="34"/>
  <c r="AM253" i="34"/>
  <c r="AL253" i="34"/>
  <c r="AN252" i="34"/>
  <c r="AM252" i="34"/>
  <c r="AL252" i="34"/>
  <c r="AN251" i="34"/>
  <c r="AM251" i="34"/>
  <c r="AL251" i="34"/>
  <c r="AN250" i="34"/>
  <c r="AM250" i="34"/>
  <c r="AL250" i="34"/>
  <c r="AZ249" i="34"/>
  <c r="AY249" i="34"/>
  <c r="AX249" i="34"/>
  <c r="AW249" i="34"/>
  <c r="AV249" i="34"/>
  <c r="AU249" i="34"/>
  <c r="AT249" i="34"/>
  <c r="AS249" i="34"/>
  <c r="AR249" i="34"/>
  <c r="AQ249" i="34"/>
  <c r="AP249" i="34"/>
  <c r="AO249" i="34"/>
  <c r="AN249" i="34"/>
  <c r="AM249" i="34"/>
  <c r="AL249" i="34"/>
  <c r="AN248" i="34"/>
  <c r="AM248" i="34"/>
  <c r="AL248" i="34"/>
  <c r="AM247" i="34"/>
  <c r="AL247" i="34"/>
  <c r="AM246" i="34"/>
  <c r="AL246" i="34"/>
  <c r="AM245" i="34"/>
  <c r="AL245" i="34"/>
  <c r="AM244" i="34"/>
  <c r="AL244" i="34"/>
  <c r="AZ243" i="34"/>
  <c r="AY243" i="34"/>
  <c r="AX243" i="34"/>
  <c r="AW243" i="34"/>
  <c r="AV243" i="34"/>
  <c r="AU243" i="34"/>
  <c r="AT243" i="34"/>
  <c r="AS243" i="34"/>
  <c r="AR243" i="34"/>
  <c r="AQ243" i="34"/>
  <c r="AP243" i="34"/>
  <c r="AO243" i="34"/>
  <c r="AN243" i="34"/>
  <c r="AM243" i="34"/>
  <c r="AL243" i="34"/>
  <c r="AZ242" i="34"/>
  <c r="AY242" i="34"/>
  <c r="AX242" i="34"/>
  <c r="AW242" i="34"/>
  <c r="AV242" i="34"/>
  <c r="AU242" i="34"/>
  <c r="AT242" i="34"/>
  <c r="AS242" i="34"/>
  <c r="AR242" i="34"/>
  <c r="AQ242" i="34"/>
  <c r="AP242" i="34"/>
  <c r="AO242" i="34"/>
  <c r="AN242" i="34"/>
  <c r="AM242" i="34"/>
  <c r="AL242" i="34"/>
  <c r="AZ241" i="34"/>
  <c r="AY241" i="34"/>
  <c r="AX241" i="34"/>
  <c r="AW241" i="34"/>
  <c r="AV241" i="34"/>
  <c r="AU241" i="34"/>
  <c r="AT241" i="34"/>
  <c r="AS241" i="34"/>
  <c r="AR241" i="34"/>
  <c r="AQ241" i="34"/>
  <c r="AP241" i="34"/>
  <c r="AO241" i="34"/>
  <c r="AN241" i="34"/>
  <c r="AM241" i="34"/>
  <c r="AL241" i="34"/>
  <c r="AZ240" i="34"/>
  <c r="AY240" i="34"/>
  <c r="AX240" i="34"/>
  <c r="AW240" i="34"/>
  <c r="AV240" i="34"/>
  <c r="AU240" i="34"/>
  <c r="AT240" i="34"/>
  <c r="AS240" i="34"/>
  <c r="AR240" i="34"/>
  <c r="AQ240" i="34"/>
  <c r="AP240" i="34"/>
  <c r="AO240" i="34"/>
  <c r="AN240" i="34"/>
  <c r="AM240" i="34"/>
  <c r="AL240" i="34"/>
  <c r="AM239" i="34"/>
  <c r="AL239" i="34"/>
  <c r="AM238" i="34"/>
  <c r="AL238" i="34"/>
  <c r="AZ237" i="34"/>
  <c r="AY237" i="34"/>
  <c r="AX237" i="34"/>
  <c r="AW237" i="34"/>
  <c r="AV237" i="34"/>
  <c r="AU237" i="34"/>
  <c r="AT237" i="34"/>
  <c r="AS237" i="34"/>
  <c r="AR237" i="34"/>
  <c r="AQ237" i="34"/>
  <c r="AP237" i="34"/>
  <c r="AO237" i="34"/>
  <c r="AN237" i="34"/>
  <c r="AM237" i="34"/>
  <c r="AL237" i="34"/>
  <c r="AM236" i="34"/>
  <c r="AL236" i="34"/>
  <c r="AM235" i="34"/>
  <c r="AL235" i="34"/>
  <c r="AM234" i="34"/>
  <c r="AL234" i="34"/>
  <c r="AM233" i="34"/>
  <c r="AL233" i="34"/>
  <c r="AZ232" i="34"/>
  <c r="AY232" i="34"/>
  <c r="AX232" i="34"/>
  <c r="AW232" i="34"/>
  <c r="AV232" i="34"/>
  <c r="AU232" i="34"/>
  <c r="AT232" i="34"/>
  <c r="AS232" i="34"/>
  <c r="AR232" i="34"/>
  <c r="AQ232" i="34"/>
  <c r="AP232" i="34"/>
  <c r="AO232" i="34"/>
  <c r="AN232" i="34"/>
  <c r="AM232" i="34"/>
  <c r="AL232" i="34"/>
  <c r="AU231" i="34"/>
  <c r="AT231" i="34"/>
  <c r="AS231" i="34"/>
  <c r="AR231" i="34"/>
  <c r="AQ231" i="34"/>
  <c r="AP231" i="34"/>
  <c r="AO231" i="34"/>
  <c r="AN231" i="34"/>
  <c r="AM231" i="34"/>
  <c r="AL231" i="34"/>
  <c r="AZ230" i="34"/>
  <c r="AY230" i="34"/>
  <c r="AX230" i="34"/>
  <c r="AW230" i="34"/>
  <c r="AV230" i="34"/>
  <c r="AU230" i="34"/>
  <c r="AT230" i="34"/>
  <c r="AS230" i="34"/>
  <c r="AR230" i="34"/>
  <c r="AQ230" i="34"/>
  <c r="AP230" i="34"/>
  <c r="AO230" i="34"/>
  <c r="AN230" i="34"/>
  <c r="AM230" i="34"/>
  <c r="AL230" i="34"/>
  <c r="AZ229" i="34"/>
  <c r="AY229" i="34"/>
  <c r="AX229" i="34"/>
  <c r="AW229" i="34"/>
  <c r="AV229" i="34"/>
  <c r="AU229" i="34"/>
  <c r="AT229" i="34"/>
  <c r="AS229" i="34"/>
  <c r="AR229" i="34"/>
  <c r="AQ229" i="34"/>
  <c r="AP229" i="34"/>
  <c r="AO229" i="34"/>
  <c r="AN229" i="34"/>
  <c r="AM229" i="34"/>
  <c r="AL229" i="34"/>
  <c r="AM228" i="34"/>
  <c r="AL228" i="34"/>
  <c r="AM227" i="34"/>
  <c r="AL227" i="34"/>
  <c r="AQ226" i="34"/>
  <c r="AO226" i="34"/>
  <c r="AN226" i="34"/>
  <c r="AM226" i="34"/>
  <c r="AL226" i="34"/>
  <c r="AM225" i="34"/>
  <c r="AL225" i="34"/>
  <c r="AN224" i="34"/>
  <c r="AM224" i="34"/>
  <c r="AL224" i="34"/>
  <c r="AZ223" i="34"/>
  <c r="AY223" i="34"/>
  <c r="AX223" i="34"/>
  <c r="AW223" i="34"/>
  <c r="AV223" i="34"/>
  <c r="AU223" i="34"/>
  <c r="AT223" i="34"/>
  <c r="AS223" i="34"/>
  <c r="AR223" i="34"/>
  <c r="AQ223" i="34"/>
  <c r="AP223" i="34"/>
  <c r="AO223" i="34"/>
  <c r="AN223" i="34"/>
  <c r="AM223" i="34"/>
  <c r="AL223" i="34"/>
  <c r="AQ222" i="34"/>
  <c r="AO222" i="34"/>
  <c r="AN222" i="34"/>
  <c r="AM222" i="34"/>
  <c r="AL222" i="34"/>
  <c r="AZ221" i="34"/>
  <c r="AY221" i="34"/>
  <c r="AX221" i="34"/>
  <c r="AW221" i="34"/>
  <c r="AV221" i="34"/>
  <c r="AU221" i="34"/>
  <c r="AT221" i="34"/>
  <c r="AS221" i="34"/>
  <c r="AR221" i="34"/>
  <c r="AQ221" i="34"/>
  <c r="AP221" i="34"/>
  <c r="AO221" i="34"/>
  <c r="AN221" i="34"/>
  <c r="AM221" i="34"/>
  <c r="AL221" i="34"/>
  <c r="AM220" i="34"/>
  <c r="AL220" i="34"/>
  <c r="AQ219" i="34"/>
  <c r="AO219" i="34"/>
  <c r="AN219" i="34"/>
  <c r="AM219" i="34"/>
  <c r="AL219" i="34"/>
  <c r="AQ218" i="34"/>
  <c r="AO218" i="34"/>
  <c r="AN218" i="34"/>
  <c r="AM218" i="34"/>
  <c r="AL218" i="34"/>
  <c r="AQ217" i="34"/>
  <c r="AO217" i="34"/>
  <c r="AN217" i="34"/>
  <c r="AM217" i="34"/>
  <c r="AL217" i="34"/>
  <c r="AQ216" i="34"/>
  <c r="AO216" i="34"/>
  <c r="AN216" i="34"/>
  <c r="AM216" i="34"/>
  <c r="AL216" i="34"/>
  <c r="AZ215" i="34"/>
  <c r="AY215" i="34"/>
  <c r="AX215" i="34"/>
  <c r="AW215" i="34"/>
  <c r="AV215" i="34"/>
  <c r="AU215" i="34"/>
  <c r="AT215" i="34"/>
  <c r="AS215" i="34"/>
  <c r="AR215" i="34"/>
  <c r="AQ215" i="34"/>
  <c r="AP215" i="34"/>
  <c r="AO215" i="34"/>
  <c r="AN215" i="34"/>
  <c r="AM215" i="34"/>
  <c r="AL215" i="34"/>
  <c r="AZ214" i="34"/>
  <c r="AY214" i="34"/>
  <c r="AX214" i="34"/>
  <c r="AW214" i="34"/>
  <c r="AV214" i="34"/>
  <c r="AU214" i="34"/>
  <c r="AT214" i="34"/>
  <c r="AS214" i="34"/>
  <c r="AR214" i="34"/>
  <c r="AQ214" i="34"/>
  <c r="AP214" i="34"/>
  <c r="AO214" i="34"/>
  <c r="AN214" i="34"/>
  <c r="AM214" i="34"/>
  <c r="AL214" i="34"/>
  <c r="AZ213" i="34"/>
  <c r="AY213" i="34"/>
  <c r="AX213" i="34"/>
  <c r="AW213" i="34"/>
  <c r="AV213" i="34"/>
  <c r="AU213" i="34"/>
  <c r="AT213" i="34"/>
  <c r="AS213" i="34"/>
  <c r="AR213" i="34"/>
  <c r="AQ213" i="34"/>
  <c r="AP213" i="34"/>
  <c r="AO213" i="34"/>
  <c r="AN213" i="34"/>
  <c r="AM213" i="34"/>
  <c r="AL213" i="34"/>
  <c r="AM212" i="34"/>
  <c r="AL212" i="34"/>
  <c r="AQ211" i="34"/>
  <c r="AO211" i="34"/>
  <c r="AN211" i="34"/>
  <c r="AM211" i="34"/>
  <c r="AL211" i="34"/>
  <c r="AQ210" i="34"/>
  <c r="AO210" i="34"/>
  <c r="AN210" i="34"/>
  <c r="AM210" i="34"/>
  <c r="AL210" i="34"/>
  <c r="AQ209" i="34"/>
  <c r="AO209" i="34"/>
  <c r="AN209" i="34"/>
  <c r="AM209" i="34"/>
  <c r="AL209" i="34"/>
  <c r="AQ208" i="34"/>
  <c r="AO208" i="34"/>
  <c r="AN208" i="34"/>
  <c r="AM208" i="34"/>
  <c r="AL208" i="34"/>
  <c r="AQ207" i="34"/>
  <c r="AO207" i="34"/>
  <c r="AN207" i="34"/>
  <c r="AM207" i="34"/>
  <c r="AL207" i="34"/>
  <c r="AQ206" i="34"/>
  <c r="AO206" i="34"/>
  <c r="AN206" i="34"/>
  <c r="AM206" i="34"/>
  <c r="AL206" i="34"/>
  <c r="AZ205" i="34"/>
  <c r="AY205" i="34"/>
  <c r="AX205" i="34"/>
  <c r="AW205" i="34"/>
  <c r="AV205" i="34"/>
  <c r="AU205" i="34"/>
  <c r="AT205" i="34"/>
  <c r="AS205" i="34"/>
  <c r="AR205" i="34"/>
  <c r="AQ205" i="34"/>
  <c r="AP205" i="34"/>
  <c r="AO205" i="34"/>
  <c r="AN205" i="34"/>
  <c r="AM205" i="34"/>
  <c r="AL205" i="34"/>
  <c r="AZ204" i="34"/>
  <c r="AY204" i="34"/>
  <c r="AX204" i="34"/>
  <c r="AW204" i="34"/>
  <c r="AV204" i="34"/>
  <c r="AU204" i="34"/>
  <c r="AT204" i="34"/>
  <c r="AS204" i="34"/>
  <c r="AR204" i="34"/>
  <c r="AQ204" i="34"/>
  <c r="AP204" i="34"/>
  <c r="AO204" i="34"/>
  <c r="AN204" i="34"/>
  <c r="AM204" i="34"/>
  <c r="AL204" i="34"/>
  <c r="AZ203" i="34"/>
  <c r="AY203" i="34"/>
  <c r="AX203" i="34"/>
  <c r="AW203" i="34"/>
  <c r="AV203" i="34"/>
  <c r="AU203" i="34"/>
  <c r="AT203" i="34"/>
  <c r="AS203" i="34"/>
  <c r="AR203" i="34"/>
  <c r="AQ203" i="34"/>
  <c r="AP203" i="34"/>
  <c r="AO203" i="34"/>
  <c r="AN203" i="34"/>
  <c r="AM203" i="34"/>
  <c r="AL203" i="34"/>
  <c r="AM202" i="34"/>
  <c r="AL202" i="34"/>
  <c r="AM201" i="34"/>
  <c r="AL201" i="34"/>
  <c r="AQ200" i="34"/>
  <c r="AO200" i="34"/>
  <c r="AN200" i="34"/>
  <c r="AM200" i="34"/>
  <c r="AL200" i="34"/>
  <c r="AQ199" i="34"/>
  <c r="AO199" i="34"/>
  <c r="AN199" i="34"/>
  <c r="AM199" i="34"/>
  <c r="AL199" i="34"/>
  <c r="AQ198" i="34"/>
  <c r="AO198" i="34"/>
  <c r="AN198" i="34"/>
  <c r="AM198" i="34"/>
  <c r="AL198" i="34"/>
  <c r="AQ197" i="34"/>
  <c r="AO197" i="34"/>
  <c r="AN197" i="34"/>
  <c r="AM197" i="34"/>
  <c r="AL197" i="34"/>
  <c r="AZ196" i="34"/>
  <c r="AY196" i="34"/>
  <c r="AX196" i="34"/>
  <c r="AW196" i="34"/>
  <c r="AV196" i="34"/>
  <c r="AU196" i="34"/>
  <c r="AT196" i="34"/>
  <c r="AS196" i="34"/>
  <c r="AR196" i="34"/>
  <c r="AQ196" i="34"/>
  <c r="AP196" i="34"/>
  <c r="AO196" i="34"/>
  <c r="AN196" i="34"/>
  <c r="AM196" i="34"/>
  <c r="AL196" i="34"/>
  <c r="AZ195" i="34"/>
  <c r="AY195" i="34"/>
  <c r="AX195" i="34"/>
  <c r="AW195" i="34"/>
  <c r="AV195" i="34"/>
  <c r="AU195" i="34"/>
  <c r="AT195" i="34"/>
  <c r="AS195" i="34"/>
  <c r="AR195" i="34"/>
  <c r="AQ195" i="34"/>
  <c r="AP195" i="34"/>
  <c r="AO195" i="34"/>
  <c r="AN195" i="34"/>
  <c r="AM195" i="34"/>
  <c r="AL195" i="34"/>
  <c r="AZ194" i="34"/>
  <c r="AY194" i="34"/>
  <c r="AX194" i="34"/>
  <c r="AW194" i="34"/>
  <c r="AV194" i="34"/>
  <c r="AU194" i="34"/>
  <c r="AT194" i="34"/>
  <c r="AS194" i="34"/>
  <c r="AR194" i="34"/>
  <c r="AQ194" i="34"/>
  <c r="AP194" i="34"/>
  <c r="AO194" i="34"/>
  <c r="AN194" i="34"/>
  <c r="AM194" i="34"/>
  <c r="AL194" i="34"/>
  <c r="AM193" i="34"/>
  <c r="AL193" i="34"/>
  <c r="AQ192" i="34"/>
  <c r="AO192" i="34"/>
  <c r="AN192" i="34"/>
  <c r="AM192" i="34"/>
  <c r="AL192" i="34"/>
  <c r="AQ191" i="34"/>
  <c r="AO191" i="34"/>
  <c r="AN191" i="34"/>
  <c r="AM191" i="34"/>
  <c r="AL191" i="34"/>
  <c r="AM190" i="34"/>
  <c r="AL190" i="34"/>
  <c r="AQ189" i="34"/>
  <c r="AO189" i="34"/>
  <c r="AN189" i="34"/>
  <c r="AM189" i="34"/>
  <c r="AL189" i="34"/>
  <c r="AM188" i="34"/>
  <c r="AL188" i="34"/>
  <c r="AM187" i="34"/>
  <c r="AL187" i="34"/>
  <c r="AZ186" i="34"/>
  <c r="AY186" i="34"/>
  <c r="AX186" i="34"/>
  <c r="AW186" i="34"/>
  <c r="AV186" i="34"/>
  <c r="AU186" i="34"/>
  <c r="AT186" i="34"/>
  <c r="AS186" i="34"/>
  <c r="AR186" i="34"/>
  <c r="AQ186" i="34"/>
  <c r="AP186" i="34"/>
  <c r="AO186" i="34"/>
  <c r="AN186" i="34"/>
  <c r="AM186" i="34"/>
  <c r="AL186" i="34"/>
  <c r="AZ185" i="34"/>
  <c r="AY185" i="34"/>
  <c r="AX185" i="34"/>
  <c r="AW185" i="34"/>
  <c r="AV185" i="34"/>
  <c r="AU185" i="34"/>
  <c r="AT185" i="34"/>
  <c r="AS185" i="34"/>
  <c r="AR185" i="34"/>
  <c r="AQ185" i="34"/>
  <c r="AP185" i="34"/>
  <c r="AO185" i="34"/>
  <c r="AN185" i="34"/>
  <c r="AM185" i="34"/>
  <c r="AL185" i="34"/>
  <c r="AZ184" i="34"/>
  <c r="AY184" i="34"/>
  <c r="AX184" i="34"/>
  <c r="AW184" i="34"/>
  <c r="AV184" i="34"/>
  <c r="AU184" i="34"/>
  <c r="AT184" i="34"/>
  <c r="AS184" i="34"/>
  <c r="AR184" i="34"/>
  <c r="AQ184" i="34"/>
  <c r="AP184" i="34"/>
  <c r="AO184" i="34"/>
  <c r="AN184" i="34"/>
  <c r="AM184" i="34"/>
  <c r="AL184" i="34"/>
  <c r="AZ183" i="34"/>
  <c r="AY183" i="34"/>
  <c r="AX183" i="34"/>
  <c r="AW183" i="34"/>
  <c r="AV183" i="34"/>
  <c r="AU183" i="34"/>
  <c r="AT183" i="34"/>
  <c r="AS183" i="34"/>
  <c r="AR183" i="34"/>
  <c r="AQ183" i="34"/>
  <c r="AP183" i="34"/>
  <c r="AO183" i="34"/>
  <c r="AN183" i="34"/>
  <c r="AM183" i="34"/>
  <c r="AL183" i="34"/>
  <c r="AZ182" i="34"/>
  <c r="AY182" i="34"/>
  <c r="AX182" i="34"/>
  <c r="AW182" i="34"/>
  <c r="AV182" i="34"/>
  <c r="AU182" i="34"/>
  <c r="AT182" i="34"/>
  <c r="AS182" i="34"/>
  <c r="AR182" i="34"/>
  <c r="AQ182" i="34"/>
  <c r="AP182" i="34"/>
  <c r="AO182" i="34"/>
  <c r="AN182" i="34"/>
  <c r="AM182" i="34"/>
  <c r="AL182" i="34"/>
  <c r="AZ181" i="34"/>
  <c r="AY181" i="34"/>
  <c r="AX181" i="34"/>
  <c r="AW181" i="34"/>
  <c r="AV181" i="34"/>
  <c r="AU181" i="34"/>
  <c r="AT181" i="34"/>
  <c r="AS181" i="34"/>
  <c r="AR181" i="34"/>
  <c r="AQ181" i="34"/>
  <c r="AP181" i="34"/>
  <c r="AO181" i="34"/>
  <c r="AN181" i="34"/>
  <c r="AM181" i="34"/>
  <c r="AL181" i="34"/>
  <c r="AN180" i="34"/>
  <c r="AM180" i="34"/>
  <c r="AL180" i="34"/>
  <c r="AN179" i="34"/>
  <c r="AM179" i="34"/>
  <c r="AL179" i="34"/>
  <c r="AN178" i="34"/>
  <c r="AM178" i="34"/>
  <c r="AL178" i="34"/>
  <c r="AN177" i="34"/>
  <c r="AM177" i="34"/>
  <c r="AL177" i="34"/>
  <c r="AN176" i="34"/>
  <c r="AM176" i="34"/>
  <c r="AL176" i="34"/>
  <c r="AZ175" i="34"/>
  <c r="AY175" i="34"/>
  <c r="AX175" i="34"/>
  <c r="AW175" i="34"/>
  <c r="AV175" i="34"/>
  <c r="AU175" i="34"/>
  <c r="AT175" i="34"/>
  <c r="AS175" i="34"/>
  <c r="AR175" i="34"/>
  <c r="AQ175" i="34"/>
  <c r="AP175" i="34"/>
  <c r="AO175" i="34"/>
  <c r="AN175" i="34"/>
  <c r="AM175" i="34"/>
  <c r="AL175" i="34"/>
  <c r="AZ174" i="34"/>
  <c r="AY174" i="34"/>
  <c r="AX174" i="34"/>
  <c r="AW174" i="34"/>
  <c r="AV174" i="34"/>
  <c r="AU174" i="34"/>
  <c r="AT174" i="34"/>
  <c r="AS174" i="34"/>
  <c r="AR174" i="34"/>
  <c r="AQ174" i="34"/>
  <c r="AP174" i="34"/>
  <c r="AO174" i="34"/>
  <c r="AN174" i="34"/>
  <c r="AM174" i="34"/>
  <c r="AL174" i="34"/>
  <c r="AZ173" i="34"/>
  <c r="AY173" i="34"/>
  <c r="AX173" i="34"/>
  <c r="AW173" i="34"/>
  <c r="AV173" i="34"/>
  <c r="AU173" i="34"/>
  <c r="AT173" i="34"/>
  <c r="AS173" i="34"/>
  <c r="AR173" i="34"/>
  <c r="AQ173" i="34"/>
  <c r="AP173" i="34"/>
  <c r="AO173" i="34"/>
  <c r="AN173" i="34"/>
  <c r="AM173" i="34"/>
  <c r="AL173" i="34"/>
  <c r="AN172" i="34"/>
  <c r="AM172" i="34"/>
  <c r="AL172" i="34"/>
  <c r="AN171" i="34"/>
  <c r="AM171" i="34"/>
  <c r="AL171" i="34"/>
  <c r="AN170" i="34"/>
  <c r="AM170" i="34"/>
  <c r="AL170" i="34"/>
  <c r="AO169" i="34"/>
  <c r="AN169" i="34"/>
  <c r="AM169" i="34"/>
  <c r="AL169" i="34"/>
  <c r="AO168" i="34"/>
  <c r="AN168" i="34"/>
  <c r="AM168" i="34"/>
  <c r="AL168" i="34"/>
  <c r="AO167" i="34"/>
  <c r="AN167" i="34"/>
  <c r="AM167" i="34"/>
  <c r="AL167" i="34"/>
  <c r="AO166" i="34"/>
  <c r="AN166" i="34"/>
  <c r="AM166" i="34"/>
  <c r="AL166" i="34"/>
  <c r="AO165" i="34"/>
  <c r="AN165" i="34"/>
  <c r="AM165" i="34"/>
  <c r="AL165" i="34"/>
  <c r="AZ164" i="34"/>
  <c r="AY164" i="34"/>
  <c r="AX164" i="34"/>
  <c r="AW164" i="34"/>
  <c r="AV164" i="34"/>
  <c r="AU164" i="34"/>
  <c r="AT164" i="34"/>
  <c r="AS164" i="34"/>
  <c r="AR164" i="34"/>
  <c r="AQ164" i="34"/>
  <c r="AP164" i="34"/>
  <c r="AO164" i="34"/>
  <c r="AN164" i="34"/>
  <c r="AM164" i="34"/>
  <c r="AL164" i="34"/>
  <c r="AZ163" i="34"/>
  <c r="AY163" i="34"/>
  <c r="AX163" i="34"/>
  <c r="AW163" i="34"/>
  <c r="AV163" i="34"/>
  <c r="AU163" i="34"/>
  <c r="AT163" i="34"/>
  <c r="AS163" i="34"/>
  <c r="AR163" i="34"/>
  <c r="AQ163" i="34"/>
  <c r="AP163" i="34"/>
  <c r="AO163" i="34"/>
  <c r="AN163" i="34"/>
  <c r="AM163" i="34"/>
  <c r="AL163" i="34"/>
  <c r="AZ162" i="34"/>
  <c r="AY162" i="34"/>
  <c r="AX162" i="34"/>
  <c r="AW162" i="34"/>
  <c r="AV162" i="34"/>
  <c r="AU162" i="34"/>
  <c r="AT162" i="34"/>
  <c r="AS162" i="34"/>
  <c r="AR162" i="34"/>
  <c r="AQ162" i="34"/>
  <c r="AP162" i="34"/>
  <c r="AO162" i="34"/>
  <c r="AN162" i="34"/>
  <c r="AM162" i="34"/>
  <c r="AL162" i="34"/>
  <c r="AN161" i="34"/>
  <c r="AM161" i="34"/>
  <c r="AL161" i="34"/>
  <c r="AO160" i="34"/>
  <c r="AN160" i="34"/>
  <c r="AM160" i="34"/>
  <c r="AL160" i="34"/>
  <c r="AZ159" i="34"/>
  <c r="AY159" i="34"/>
  <c r="AX159" i="34"/>
  <c r="AW159" i="34"/>
  <c r="AV159" i="34"/>
  <c r="AU159" i="34"/>
  <c r="AT159" i="34"/>
  <c r="AS159" i="34"/>
  <c r="AR159" i="34"/>
  <c r="AQ159" i="34"/>
  <c r="AP159" i="34"/>
  <c r="AO159" i="34"/>
  <c r="AN159" i="34"/>
  <c r="AM159" i="34"/>
  <c r="AL159" i="34"/>
  <c r="AN158" i="34"/>
  <c r="AM158" i="34"/>
  <c r="AL158" i="34"/>
  <c r="AO157" i="34"/>
  <c r="AN157" i="34"/>
  <c r="AM157" i="34"/>
  <c r="AL157" i="34"/>
  <c r="AO156" i="34"/>
  <c r="AN156" i="34"/>
  <c r="AM156" i="34"/>
  <c r="AL156" i="34"/>
  <c r="AO155" i="34"/>
  <c r="AN155" i="34"/>
  <c r="AM155" i="34"/>
  <c r="AL155" i="34"/>
  <c r="AZ154" i="34"/>
  <c r="AY154" i="34"/>
  <c r="AX154" i="34"/>
  <c r="AW154" i="34"/>
  <c r="AV154" i="34"/>
  <c r="AU154" i="34"/>
  <c r="AT154" i="34"/>
  <c r="AS154" i="34"/>
  <c r="AR154" i="34"/>
  <c r="AQ154" i="34"/>
  <c r="AP154" i="34"/>
  <c r="AO154" i="34"/>
  <c r="AN154" i="34"/>
  <c r="AM154" i="34"/>
  <c r="AL154" i="34"/>
  <c r="AZ153" i="34"/>
  <c r="AY153" i="34"/>
  <c r="AX153" i="34"/>
  <c r="AW153" i="34"/>
  <c r="AV153" i="34"/>
  <c r="AU153" i="34"/>
  <c r="AT153" i="34"/>
  <c r="AS153" i="34"/>
  <c r="AR153" i="34"/>
  <c r="AQ153" i="34"/>
  <c r="AP153" i="34"/>
  <c r="AO153" i="34"/>
  <c r="AN153" i="34"/>
  <c r="AM153" i="34"/>
  <c r="AL153" i="34"/>
  <c r="AZ152" i="34"/>
  <c r="AY152" i="34"/>
  <c r="AX152" i="34"/>
  <c r="AW152" i="34"/>
  <c r="AV152" i="34"/>
  <c r="AU152" i="34"/>
  <c r="AT152" i="34"/>
  <c r="AS152" i="34"/>
  <c r="AR152" i="34"/>
  <c r="AQ152" i="34"/>
  <c r="AP152" i="34"/>
  <c r="AO152" i="34"/>
  <c r="AN152" i="34"/>
  <c r="AM152" i="34"/>
  <c r="AL152" i="34"/>
  <c r="AN151" i="34"/>
  <c r="AM151" i="34"/>
  <c r="AL151" i="34"/>
  <c r="AO150" i="34"/>
  <c r="AN150" i="34"/>
  <c r="AM150" i="34"/>
  <c r="AL150" i="34"/>
  <c r="AO149" i="34"/>
  <c r="AN149" i="34"/>
  <c r="AM149" i="34"/>
  <c r="AL149" i="34"/>
  <c r="AO148" i="34"/>
  <c r="AN148" i="34"/>
  <c r="AM148" i="34"/>
  <c r="AL148" i="34"/>
  <c r="AZ145" i="34"/>
  <c r="AY145" i="34"/>
  <c r="AX145" i="34"/>
  <c r="AW145" i="34"/>
  <c r="AV145" i="34"/>
  <c r="AU145" i="34"/>
  <c r="AT145" i="34"/>
  <c r="AS145" i="34"/>
  <c r="AR145" i="34"/>
  <c r="AQ145" i="34"/>
  <c r="AP145" i="34"/>
  <c r="AO145" i="34"/>
  <c r="AN145" i="34"/>
  <c r="AM145" i="34"/>
  <c r="AL145" i="34"/>
  <c r="AN144" i="34"/>
  <c r="AM144" i="34"/>
  <c r="AL144" i="34"/>
  <c r="AO143" i="34"/>
  <c r="AN143" i="34"/>
  <c r="AM143" i="34"/>
  <c r="AL143" i="34"/>
  <c r="AO142" i="34"/>
  <c r="AN142" i="34"/>
  <c r="AM142" i="34"/>
  <c r="AL142" i="34"/>
  <c r="AO141" i="34"/>
  <c r="AN141" i="34"/>
  <c r="AM141" i="34"/>
  <c r="AL141" i="34"/>
  <c r="AO140" i="34"/>
  <c r="AN140" i="34"/>
  <c r="AM140" i="34"/>
  <c r="AL140" i="34"/>
  <c r="AZ139" i="34"/>
  <c r="AY139" i="34"/>
  <c r="AX139" i="34"/>
  <c r="AW139" i="34"/>
  <c r="AV139" i="34"/>
  <c r="AU139" i="34"/>
  <c r="AT139" i="34"/>
  <c r="AS139" i="34"/>
  <c r="AR139" i="34"/>
  <c r="AQ139" i="34"/>
  <c r="AP139" i="34"/>
  <c r="AO139" i="34"/>
  <c r="AN139" i="34"/>
  <c r="AM139" i="34"/>
  <c r="AL139" i="34"/>
  <c r="AZ138" i="34"/>
  <c r="AY138" i="34"/>
  <c r="AX138" i="34"/>
  <c r="AW138" i="34"/>
  <c r="AV138" i="34"/>
  <c r="AU138" i="34"/>
  <c r="AT138" i="34"/>
  <c r="AS138" i="34"/>
  <c r="AR138" i="34"/>
  <c r="AQ138" i="34"/>
  <c r="AP138" i="34"/>
  <c r="AO138" i="34"/>
  <c r="AN138" i="34"/>
  <c r="AM138" i="34"/>
  <c r="AL138" i="34"/>
  <c r="AZ137" i="34"/>
  <c r="AY137" i="34"/>
  <c r="AX137" i="34"/>
  <c r="AW137" i="34"/>
  <c r="AV137" i="34"/>
  <c r="AU137" i="34"/>
  <c r="AT137" i="34"/>
  <c r="AS137" i="34"/>
  <c r="AR137" i="34"/>
  <c r="AQ137" i="34"/>
  <c r="AP137" i="34"/>
  <c r="AO137" i="34"/>
  <c r="AN137" i="34"/>
  <c r="AM137" i="34"/>
  <c r="AL137" i="34"/>
  <c r="AZ136" i="34"/>
  <c r="AY136" i="34"/>
  <c r="AX136" i="34"/>
  <c r="AW136" i="34"/>
  <c r="AV136" i="34"/>
  <c r="AU136" i="34"/>
  <c r="AT136" i="34"/>
  <c r="AS136" i="34"/>
  <c r="AR136" i="34"/>
  <c r="AQ136" i="34"/>
  <c r="AP136" i="34"/>
  <c r="AO136" i="34"/>
  <c r="AN136" i="34"/>
  <c r="AM136" i="34"/>
  <c r="AL136" i="34"/>
  <c r="AZ135" i="34"/>
  <c r="AY135" i="34"/>
  <c r="AX135" i="34"/>
  <c r="AW135" i="34"/>
  <c r="AV135" i="34"/>
  <c r="AU135" i="34"/>
  <c r="AT135" i="34"/>
  <c r="AS135" i="34"/>
  <c r="AR135" i="34"/>
  <c r="AQ135" i="34"/>
  <c r="AP135" i="34"/>
  <c r="AO135" i="34"/>
  <c r="AN135" i="34"/>
  <c r="AM135" i="34"/>
  <c r="AL135" i="34"/>
  <c r="AZ134" i="34"/>
  <c r="AY134" i="34"/>
  <c r="AX134" i="34"/>
  <c r="AW134" i="34"/>
  <c r="AV134" i="34"/>
  <c r="AU134" i="34"/>
  <c r="AT134" i="34"/>
  <c r="AS134" i="34"/>
  <c r="AR134" i="34"/>
  <c r="AQ134" i="34"/>
  <c r="AP134" i="34"/>
  <c r="AO134" i="34"/>
  <c r="AN134" i="34"/>
  <c r="AM134" i="34"/>
  <c r="AL134" i="34"/>
  <c r="AZ133" i="34"/>
  <c r="AY133" i="34"/>
  <c r="AX133" i="34"/>
  <c r="AW133" i="34"/>
  <c r="AV133" i="34"/>
  <c r="AU133" i="34"/>
  <c r="AT133" i="34"/>
  <c r="AS133" i="34"/>
  <c r="AR133" i="34"/>
  <c r="AQ133" i="34"/>
  <c r="AP133" i="34"/>
  <c r="AO133" i="34"/>
  <c r="AN133" i="34"/>
  <c r="AM133" i="34"/>
  <c r="AL133" i="34"/>
  <c r="AN132" i="34"/>
  <c r="AM132" i="34"/>
  <c r="AL132" i="34"/>
  <c r="AZ131" i="34"/>
  <c r="AY131" i="34"/>
  <c r="AX131" i="34"/>
  <c r="AW131" i="34"/>
  <c r="AV131" i="34"/>
  <c r="AU131" i="34"/>
  <c r="AT131" i="34"/>
  <c r="AS131" i="34"/>
  <c r="AR131" i="34"/>
  <c r="AQ131" i="34"/>
  <c r="AP131" i="34"/>
  <c r="AO131" i="34"/>
  <c r="AN131" i="34"/>
  <c r="AM131" i="34"/>
  <c r="AL131" i="34"/>
  <c r="AN130" i="34"/>
  <c r="AM130" i="34"/>
  <c r="AL130" i="34"/>
  <c r="AZ129" i="34"/>
  <c r="AY129" i="34"/>
  <c r="AX129" i="34"/>
  <c r="AW129" i="34"/>
  <c r="AV129" i="34"/>
  <c r="AU129" i="34"/>
  <c r="AT129" i="34"/>
  <c r="AS129" i="34"/>
  <c r="AR129" i="34"/>
  <c r="AQ129" i="34"/>
  <c r="AP129" i="34"/>
  <c r="AO129" i="34"/>
  <c r="AN129" i="34"/>
  <c r="AM129" i="34"/>
  <c r="AL129" i="34"/>
  <c r="AN128" i="34"/>
  <c r="AM128" i="34"/>
  <c r="AL128" i="34"/>
  <c r="AZ127" i="34"/>
  <c r="AY127" i="34"/>
  <c r="AX127" i="34"/>
  <c r="AW127" i="34"/>
  <c r="AV127" i="34"/>
  <c r="AU127" i="34"/>
  <c r="AT127" i="34"/>
  <c r="AS127" i="34"/>
  <c r="AR127" i="34"/>
  <c r="AQ127" i="34"/>
  <c r="AP127" i="34"/>
  <c r="AO127" i="34"/>
  <c r="AN127" i="34"/>
  <c r="AM127" i="34"/>
  <c r="AL127" i="34"/>
  <c r="AZ126" i="34"/>
  <c r="AY126" i="34"/>
  <c r="AX126" i="34"/>
  <c r="AW126" i="34"/>
  <c r="AV126" i="34"/>
  <c r="AU126" i="34"/>
  <c r="AT126" i="34"/>
  <c r="AS126" i="34"/>
  <c r="AR126" i="34"/>
  <c r="AQ126" i="34"/>
  <c r="AP126" i="34"/>
  <c r="AO126" i="34"/>
  <c r="AN126" i="34"/>
  <c r="AM126" i="34"/>
  <c r="AL126" i="34"/>
  <c r="AN125" i="34"/>
  <c r="AM125" i="34"/>
  <c r="AL125" i="34"/>
  <c r="AN124" i="34"/>
  <c r="AM124" i="34"/>
  <c r="AL124" i="34"/>
  <c r="AZ123" i="34"/>
  <c r="AY123" i="34"/>
  <c r="AX123" i="34"/>
  <c r="AW123" i="34"/>
  <c r="AV123" i="34"/>
  <c r="AU123" i="34"/>
  <c r="AT123" i="34"/>
  <c r="AS123" i="34"/>
  <c r="AR123" i="34"/>
  <c r="AQ123" i="34"/>
  <c r="AP123" i="34"/>
  <c r="AO123" i="34"/>
  <c r="AN123" i="34"/>
  <c r="AM123" i="34"/>
  <c r="AL123" i="34"/>
  <c r="AZ122" i="34"/>
  <c r="AY122" i="34"/>
  <c r="AX122" i="34"/>
  <c r="AW122" i="34"/>
  <c r="AV122" i="34"/>
  <c r="AU122" i="34"/>
  <c r="AT122" i="34"/>
  <c r="AS122" i="34"/>
  <c r="AR122" i="34"/>
  <c r="AQ122" i="34"/>
  <c r="AP122" i="34"/>
  <c r="AO122" i="34"/>
  <c r="AN122" i="34"/>
  <c r="AM122" i="34"/>
  <c r="AL122" i="34"/>
  <c r="AN121" i="34"/>
  <c r="AM121" i="34"/>
  <c r="AL121" i="34"/>
  <c r="AN120" i="34"/>
  <c r="AM120" i="34"/>
  <c r="AL120" i="34"/>
  <c r="AN119" i="34"/>
  <c r="AM119" i="34"/>
  <c r="AL119" i="34"/>
  <c r="AN118" i="34"/>
  <c r="AM118" i="34"/>
  <c r="AL118" i="34"/>
  <c r="AN117" i="34"/>
  <c r="AM117" i="34"/>
  <c r="AL117" i="34"/>
  <c r="AZ116" i="34"/>
  <c r="AY116" i="34"/>
  <c r="AX116" i="34"/>
  <c r="AW116" i="34"/>
  <c r="AV116" i="34"/>
  <c r="AU116" i="34"/>
  <c r="AT116" i="34"/>
  <c r="AS116" i="34"/>
  <c r="AR116" i="34"/>
  <c r="AQ116" i="34"/>
  <c r="AP116" i="34"/>
  <c r="AO116" i="34"/>
  <c r="AN116" i="34"/>
  <c r="AM116" i="34"/>
  <c r="AL116" i="34"/>
  <c r="AZ115" i="34"/>
  <c r="AY115" i="34"/>
  <c r="AX115" i="34"/>
  <c r="AW115" i="34"/>
  <c r="AV115" i="34"/>
  <c r="AU115" i="34"/>
  <c r="AT115" i="34"/>
  <c r="AS115" i="34"/>
  <c r="AR115" i="34"/>
  <c r="AQ115" i="34"/>
  <c r="AP115" i="34"/>
  <c r="AO115" i="34"/>
  <c r="AN115" i="34"/>
  <c r="AM115" i="34"/>
  <c r="AL115" i="34"/>
  <c r="AZ114" i="34"/>
  <c r="AY114" i="34"/>
  <c r="AX114" i="34"/>
  <c r="AW114" i="34"/>
  <c r="AV114" i="34"/>
  <c r="AU114" i="34"/>
  <c r="AT114" i="34"/>
  <c r="AS114" i="34"/>
  <c r="AR114" i="34"/>
  <c r="AQ114" i="34"/>
  <c r="AP114" i="34"/>
  <c r="AO114" i="34"/>
  <c r="AN114" i="34"/>
  <c r="AM114" i="34"/>
  <c r="AL114" i="34"/>
  <c r="AM113" i="34"/>
  <c r="AL113" i="34"/>
  <c r="AM112" i="34"/>
  <c r="AL112" i="34"/>
  <c r="AM111" i="34"/>
  <c r="AL111" i="34"/>
  <c r="AZ110" i="34"/>
  <c r="AY110" i="34"/>
  <c r="AX110" i="34"/>
  <c r="AW110" i="34"/>
  <c r="AV110" i="34"/>
  <c r="AU110" i="34"/>
  <c r="AT110" i="34"/>
  <c r="AS110" i="34"/>
  <c r="AR110" i="34"/>
  <c r="AQ110" i="34"/>
  <c r="AP110" i="34"/>
  <c r="AO110" i="34"/>
  <c r="AN110" i="34"/>
  <c r="AM110" i="34"/>
  <c r="AL110" i="34"/>
  <c r="AM109" i="34"/>
  <c r="AL109" i="34"/>
  <c r="AM108" i="34"/>
  <c r="AL108" i="34"/>
  <c r="AM107" i="34"/>
  <c r="AL107" i="34"/>
  <c r="AZ106" i="34"/>
  <c r="AY106" i="34"/>
  <c r="AX106" i="34"/>
  <c r="AW106" i="34"/>
  <c r="AV106" i="34"/>
  <c r="AU106" i="34"/>
  <c r="AT106" i="34"/>
  <c r="AS106" i="34"/>
  <c r="AR106" i="34"/>
  <c r="AQ106" i="34"/>
  <c r="AP106" i="34"/>
  <c r="AO106" i="34"/>
  <c r="AN106" i="34"/>
  <c r="AM106" i="34"/>
  <c r="AL106" i="34"/>
  <c r="AZ105" i="34"/>
  <c r="AY105" i="34"/>
  <c r="AX105" i="34"/>
  <c r="AW105" i="34"/>
  <c r="AV105" i="34"/>
  <c r="AU105" i="34"/>
  <c r="AT105" i="34"/>
  <c r="AS105" i="34"/>
  <c r="AR105" i="34"/>
  <c r="AQ105" i="34"/>
  <c r="AP105" i="34"/>
  <c r="AO105" i="34"/>
  <c r="AN105" i="34"/>
  <c r="AM105" i="34"/>
  <c r="AL105" i="34"/>
  <c r="AZ104" i="34"/>
  <c r="AY104" i="34"/>
  <c r="AX104" i="34"/>
  <c r="AW104" i="34"/>
  <c r="AV104" i="34"/>
  <c r="AU104" i="34"/>
  <c r="AT104" i="34"/>
  <c r="AS104" i="34"/>
  <c r="AR104" i="34"/>
  <c r="AQ104" i="34"/>
  <c r="AP104" i="34"/>
  <c r="AO104" i="34"/>
  <c r="AN104" i="34"/>
  <c r="AM104" i="34"/>
  <c r="AL104" i="34"/>
  <c r="AM103" i="34"/>
  <c r="AL103" i="34"/>
  <c r="AZ102" i="34"/>
  <c r="AY102" i="34"/>
  <c r="AX102" i="34"/>
  <c r="AW102" i="34"/>
  <c r="AV102" i="34"/>
  <c r="AU102" i="34"/>
  <c r="AT102" i="34"/>
  <c r="AS102" i="34"/>
  <c r="AR102" i="34"/>
  <c r="AQ102" i="34"/>
  <c r="AP102" i="34"/>
  <c r="AO102" i="34"/>
  <c r="AN102" i="34"/>
  <c r="AM102" i="34"/>
  <c r="AL102" i="34"/>
  <c r="AM101" i="34"/>
  <c r="AL101" i="34"/>
  <c r="AZ100" i="34"/>
  <c r="AY100" i="34"/>
  <c r="AX100" i="34"/>
  <c r="AW100" i="34"/>
  <c r="AV100" i="34"/>
  <c r="AU100" i="34"/>
  <c r="AT100" i="34"/>
  <c r="AS100" i="34"/>
  <c r="AR100" i="34"/>
  <c r="AQ100" i="34"/>
  <c r="AP100" i="34"/>
  <c r="AO100" i="34"/>
  <c r="AN100" i="34"/>
  <c r="AM100" i="34"/>
  <c r="AL100" i="34"/>
  <c r="AZ99" i="34"/>
  <c r="AY99" i="34"/>
  <c r="AX99" i="34"/>
  <c r="AW99" i="34"/>
  <c r="AV99" i="34"/>
  <c r="AU99" i="34"/>
  <c r="AT99" i="34"/>
  <c r="AS99" i="34"/>
  <c r="AR99" i="34"/>
  <c r="AQ99" i="34"/>
  <c r="AP99" i="34"/>
  <c r="AO99" i="34"/>
  <c r="AN99" i="34"/>
  <c r="AM99" i="34"/>
  <c r="AL99" i="34"/>
  <c r="AM98" i="34"/>
  <c r="AL98" i="34"/>
  <c r="AM97" i="34"/>
  <c r="AL97" i="34"/>
  <c r="AZ96" i="34"/>
  <c r="AY96" i="34"/>
  <c r="AX96" i="34"/>
  <c r="AW96" i="34"/>
  <c r="AV96" i="34"/>
  <c r="AU96" i="34"/>
  <c r="AT96" i="34"/>
  <c r="AS96" i="34"/>
  <c r="AR96" i="34"/>
  <c r="AQ96" i="34"/>
  <c r="AP96" i="34"/>
  <c r="AO96" i="34"/>
  <c r="AN96" i="34"/>
  <c r="AM96" i="34"/>
  <c r="AL96" i="34"/>
  <c r="AN95" i="34"/>
  <c r="AM95" i="34"/>
  <c r="AL95" i="34"/>
  <c r="AM94" i="34"/>
  <c r="AL94" i="34"/>
  <c r="AM93" i="34"/>
  <c r="AL93" i="34"/>
  <c r="AM92" i="34"/>
  <c r="AL92" i="34"/>
  <c r="AP91" i="34"/>
  <c r="AO91" i="34"/>
  <c r="AN91" i="34"/>
  <c r="AM91" i="34"/>
  <c r="AL91" i="34"/>
  <c r="AZ90" i="34"/>
  <c r="AY90" i="34"/>
  <c r="AO90" i="34"/>
  <c r="AN90" i="34"/>
  <c r="AM90" i="34"/>
  <c r="AL90" i="34"/>
  <c r="AM89" i="34"/>
  <c r="AL89" i="34"/>
  <c r="AM88" i="34"/>
  <c r="AL88" i="34"/>
  <c r="AZ87" i="34"/>
  <c r="AY87" i="34"/>
  <c r="AX87" i="34"/>
  <c r="AW87" i="34"/>
  <c r="AV87" i="34"/>
  <c r="AU87" i="34"/>
  <c r="AT87" i="34"/>
  <c r="AS87" i="34"/>
  <c r="AR87" i="34"/>
  <c r="AQ87" i="34"/>
  <c r="AP87" i="34"/>
  <c r="AO87" i="34"/>
  <c r="AN87" i="34"/>
  <c r="AM87" i="34"/>
  <c r="AL87" i="34"/>
  <c r="AZ86" i="34"/>
  <c r="AY86" i="34"/>
  <c r="AX86" i="34"/>
  <c r="AW86" i="34"/>
  <c r="AV86" i="34"/>
  <c r="AU86" i="34"/>
  <c r="AT86" i="34"/>
  <c r="AS86" i="34"/>
  <c r="AR86" i="34"/>
  <c r="AQ86" i="34"/>
  <c r="AP86" i="34"/>
  <c r="AO86" i="34"/>
  <c r="AN86" i="34"/>
  <c r="AM86" i="34"/>
  <c r="AL86" i="34"/>
  <c r="AZ85" i="34"/>
  <c r="AY85" i="34"/>
  <c r="AX85" i="34"/>
  <c r="AW85" i="34"/>
  <c r="AV85" i="34"/>
  <c r="AU85" i="34"/>
  <c r="AT85" i="34"/>
  <c r="AS85" i="34"/>
  <c r="AR85" i="34"/>
  <c r="AQ85" i="34"/>
  <c r="AP85" i="34"/>
  <c r="AO85" i="34"/>
  <c r="AN85" i="34"/>
  <c r="AM85" i="34"/>
  <c r="AL85" i="34"/>
  <c r="AZ84" i="34"/>
  <c r="AY84" i="34"/>
  <c r="AX84" i="34"/>
  <c r="AW84" i="34"/>
  <c r="AV84" i="34"/>
  <c r="AU84" i="34"/>
  <c r="AT84" i="34"/>
  <c r="AS84" i="34"/>
  <c r="AR84" i="34"/>
  <c r="AQ84" i="34"/>
  <c r="AP84" i="34"/>
  <c r="AO84" i="34"/>
  <c r="AN84" i="34"/>
  <c r="AM84" i="34"/>
  <c r="AL84" i="34"/>
  <c r="AZ83" i="34"/>
  <c r="AY83" i="34"/>
  <c r="AX83" i="34"/>
  <c r="AW83" i="34"/>
  <c r="AV83" i="34"/>
  <c r="AU83" i="34"/>
  <c r="AT83" i="34"/>
  <c r="AS83" i="34"/>
  <c r="AR83" i="34"/>
  <c r="AQ83" i="34"/>
  <c r="AP83" i="34"/>
  <c r="AO83" i="34"/>
  <c r="AN83" i="34"/>
  <c r="AM83" i="34"/>
  <c r="AL83" i="34"/>
  <c r="I81" i="34"/>
  <c r="I80" i="34"/>
  <c r="I79" i="34"/>
  <c r="I78" i="34"/>
  <c r="I77" i="34"/>
  <c r="I76" i="34"/>
  <c r="I75" i="34"/>
  <c r="I74" i="34"/>
  <c r="I73" i="34"/>
  <c r="I72" i="34"/>
  <c r="I71" i="34"/>
  <c r="I70" i="34"/>
  <c r="I69" i="34"/>
  <c r="I68" i="34"/>
  <c r="I67" i="34"/>
  <c r="I66" i="34"/>
  <c r="I65" i="34"/>
  <c r="I64" i="34"/>
  <c r="I63" i="34"/>
  <c r="I62" i="34"/>
  <c r="I61" i="34"/>
  <c r="I60" i="34"/>
  <c r="I59" i="34"/>
  <c r="I58" i="34"/>
  <c r="I57" i="34"/>
  <c r="I56" i="34"/>
  <c r="I55" i="34"/>
  <c r="I54" i="34"/>
  <c r="I53" i="34"/>
  <c r="I52" i="34"/>
  <c r="I51" i="34"/>
  <c r="I50" i="34"/>
  <c r="I49" i="34"/>
  <c r="I48" i="34"/>
  <c r="I47" i="34"/>
  <c r="I46" i="34"/>
  <c r="I45" i="34"/>
  <c r="I44" i="34"/>
  <c r="I43" i="34"/>
  <c r="I42" i="34"/>
  <c r="I41" i="34"/>
  <c r="I40" i="34"/>
  <c r="I39" i="34"/>
  <c r="I38" i="34"/>
  <c r="I37" i="34"/>
  <c r="I36" i="34"/>
  <c r="I35" i="34"/>
  <c r="I34" i="34"/>
  <c r="I33" i="34"/>
  <c r="I32" i="34"/>
  <c r="I31" i="34"/>
  <c r="I30" i="34"/>
  <c r="I29" i="34"/>
  <c r="I28" i="34"/>
  <c r="I27" i="34"/>
  <c r="I26" i="34"/>
  <c r="I25" i="34"/>
  <c r="I24" i="34"/>
  <c r="I23" i="34"/>
  <c r="I22" i="34"/>
  <c r="I21" i="34"/>
  <c r="I20" i="34"/>
  <c r="I19" i="34"/>
  <c r="I18" i="34"/>
  <c r="I13" i="34"/>
  <c r="I12" i="34"/>
  <c r="AO80" i="34"/>
  <c r="AN80" i="34"/>
  <c r="AM80" i="34"/>
  <c r="AL80" i="34"/>
  <c r="AO79" i="34"/>
  <c r="AN79" i="34"/>
  <c r="AM79" i="34"/>
  <c r="AL79" i="34"/>
  <c r="AZ78" i="34"/>
  <c r="AY78" i="34"/>
  <c r="AX78" i="34"/>
  <c r="AW78" i="34"/>
  <c r="AV78" i="34"/>
  <c r="AU78" i="34"/>
  <c r="AT78" i="34"/>
  <c r="AS78" i="34"/>
  <c r="AR78" i="34"/>
  <c r="AQ78" i="34"/>
  <c r="AP78" i="34"/>
  <c r="AO78" i="34"/>
  <c r="AN78" i="34"/>
  <c r="AM78" i="34"/>
  <c r="AL78" i="34"/>
  <c r="AZ76" i="34"/>
  <c r="AY76" i="34"/>
  <c r="AX76" i="34"/>
  <c r="AW76" i="34"/>
  <c r="AV76" i="34"/>
  <c r="AU76" i="34"/>
  <c r="AT76" i="34"/>
  <c r="AS76" i="34"/>
  <c r="AR76" i="34"/>
  <c r="AQ76" i="34"/>
  <c r="AP76" i="34"/>
  <c r="AO76" i="34"/>
  <c r="AN76" i="34"/>
  <c r="AM76" i="34"/>
  <c r="AL76" i="34"/>
  <c r="AL73" i="34"/>
  <c r="AZ72" i="34"/>
  <c r="AY72" i="34"/>
  <c r="AX72" i="34"/>
  <c r="AW72" i="34"/>
  <c r="AV72" i="34"/>
  <c r="AU72" i="34"/>
  <c r="AT72" i="34"/>
  <c r="AS72" i="34"/>
  <c r="AR72" i="34"/>
  <c r="AQ72" i="34"/>
  <c r="AP72" i="34"/>
  <c r="AO72" i="34"/>
  <c r="AN72" i="34"/>
  <c r="AM72" i="34"/>
  <c r="AL72" i="34"/>
  <c r="AS71" i="34"/>
  <c r="AR71" i="34"/>
  <c r="AQ71" i="34"/>
  <c r="AP71" i="34"/>
  <c r="AO71" i="34"/>
  <c r="AN71" i="34"/>
  <c r="AM71" i="34"/>
  <c r="AL71" i="34"/>
  <c r="AS70" i="34"/>
  <c r="AR70" i="34"/>
  <c r="AQ70" i="34"/>
  <c r="AP70" i="34"/>
  <c r="AO70" i="34"/>
  <c r="AN70" i="34"/>
  <c r="AM70" i="34"/>
  <c r="AL70" i="34"/>
  <c r="AZ69" i="34"/>
  <c r="AY69" i="34"/>
  <c r="AX69" i="34"/>
  <c r="AW69" i="34"/>
  <c r="AV69" i="34"/>
  <c r="AU69" i="34"/>
  <c r="AT69" i="34"/>
  <c r="AS69" i="34"/>
  <c r="AR69" i="34"/>
  <c r="AQ69" i="34"/>
  <c r="AP69" i="34"/>
  <c r="AO69" i="34"/>
  <c r="AN69" i="34"/>
  <c r="AM69" i="34"/>
  <c r="AL69" i="34"/>
  <c r="AZ68" i="34"/>
  <c r="AY68" i="34"/>
  <c r="AX68" i="34"/>
  <c r="AW68" i="34"/>
  <c r="AV68" i="34"/>
  <c r="AU68" i="34"/>
  <c r="AT68" i="34"/>
  <c r="AS68" i="34"/>
  <c r="AR68" i="34"/>
  <c r="AQ68" i="34"/>
  <c r="AP68" i="34"/>
  <c r="AO68" i="34"/>
  <c r="AN68" i="34"/>
  <c r="AM68" i="34"/>
  <c r="AL68" i="34"/>
  <c r="AZ67" i="34"/>
  <c r="AY67" i="34"/>
  <c r="AX67" i="34"/>
  <c r="AW67" i="34"/>
  <c r="AV67" i="34"/>
  <c r="AU67" i="34"/>
  <c r="AT67" i="34"/>
  <c r="AS67" i="34"/>
  <c r="AR67" i="34"/>
  <c r="AQ67" i="34"/>
  <c r="AP67" i="34"/>
  <c r="AO67" i="34"/>
  <c r="AN67" i="34"/>
  <c r="AM67" i="34"/>
  <c r="AL67" i="34"/>
  <c r="AZ66" i="34"/>
  <c r="AY66" i="34"/>
  <c r="AX66" i="34"/>
  <c r="AW66" i="34"/>
  <c r="AV66" i="34"/>
  <c r="AU66" i="34"/>
  <c r="AT66" i="34"/>
  <c r="AS66" i="34"/>
  <c r="AR66" i="34"/>
  <c r="AQ66" i="34"/>
  <c r="AP66" i="34"/>
  <c r="AO66" i="34"/>
  <c r="AN66" i="34"/>
  <c r="AM66" i="34"/>
  <c r="AL66" i="34"/>
  <c r="AZ63" i="34"/>
  <c r="AY63" i="34"/>
  <c r="AX63" i="34"/>
  <c r="AW63" i="34"/>
  <c r="AV63" i="34"/>
  <c r="AU63" i="34"/>
  <c r="AT63" i="34"/>
  <c r="AS63" i="34"/>
  <c r="AR63" i="34"/>
  <c r="AQ63" i="34"/>
  <c r="AP63" i="34"/>
  <c r="AO63" i="34"/>
  <c r="AN63" i="34"/>
  <c r="AM63" i="34"/>
  <c r="AL63" i="34"/>
  <c r="AZ61" i="34"/>
  <c r="AY61" i="34"/>
  <c r="AX61" i="34"/>
  <c r="AW61" i="34"/>
  <c r="AV61" i="34"/>
  <c r="AU61" i="34"/>
  <c r="AT61" i="34"/>
  <c r="AS61" i="34"/>
  <c r="AR61" i="34"/>
  <c r="AQ61" i="34"/>
  <c r="AP61" i="34"/>
  <c r="AO61" i="34"/>
  <c r="AN61" i="34"/>
  <c r="AM61" i="34"/>
  <c r="AL61" i="34"/>
  <c r="AZ59" i="34"/>
  <c r="AY59" i="34"/>
  <c r="AX59" i="34"/>
  <c r="AW59" i="34"/>
  <c r="AV59" i="34"/>
  <c r="AU59" i="34"/>
  <c r="AT59" i="34"/>
  <c r="AS59" i="34"/>
  <c r="AR59" i="34"/>
  <c r="AQ59" i="34"/>
  <c r="AP59" i="34"/>
  <c r="AO59" i="34"/>
  <c r="AN59" i="34"/>
  <c r="AM59" i="34"/>
  <c r="AL59" i="34"/>
  <c r="AZ57" i="34"/>
  <c r="AY57" i="34"/>
  <c r="AX57" i="34"/>
  <c r="AW57" i="34"/>
  <c r="AV57" i="34"/>
  <c r="AU57" i="34"/>
  <c r="AT57" i="34"/>
  <c r="AS57" i="34"/>
  <c r="AR57" i="34"/>
  <c r="AQ57" i="34"/>
  <c r="AP57" i="34"/>
  <c r="AO57" i="34"/>
  <c r="AN57" i="34"/>
  <c r="AM57" i="34"/>
  <c r="AL57" i="34"/>
  <c r="AO56" i="34"/>
  <c r="AN56" i="34"/>
  <c r="AM56" i="34"/>
  <c r="AL56" i="34"/>
  <c r="AO54" i="34"/>
  <c r="AN54" i="34"/>
  <c r="AM54" i="34"/>
  <c r="AL54" i="34"/>
  <c r="AO53" i="34"/>
  <c r="AN53" i="34"/>
  <c r="AM53" i="34"/>
  <c r="AL53" i="34"/>
  <c r="AZ51" i="34"/>
  <c r="AY51" i="34"/>
  <c r="AX51" i="34"/>
  <c r="AW51" i="34"/>
  <c r="AV51" i="34"/>
  <c r="AU51" i="34"/>
  <c r="AT51" i="34"/>
  <c r="AS51" i="34"/>
  <c r="AR51" i="34"/>
  <c r="AQ51" i="34"/>
  <c r="AP51" i="34"/>
  <c r="AO51" i="34"/>
  <c r="AN51" i="34"/>
  <c r="AM51" i="34"/>
  <c r="AL51" i="34"/>
  <c r="AZ49" i="34"/>
  <c r="AY49" i="34"/>
  <c r="AX49" i="34"/>
  <c r="AW49" i="34"/>
  <c r="AV49" i="34"/>
  <c r="AU49" i="34"/>
  <c r="AT49" i="34"/>
  <c r="AS49" i="34"/>
  <c r="AR49" i="34"/>
  <c r="AQ49" i="34"/>
  <c r="AP49" i="34"/>
  <c r="AO49" i="34"/>
  <c r="AN49" i="34"/>
  <c r="AM49" i="34"/>
  <c r="AL49" i="34"/>
  <c r="AZ47" i="34"/>
  <c r="AY47" i="34"/>
  <c r="AX47" i="34"/>
  <c r="AW47" i="34"/>
  <c r="AV47" i="34"/>
  <c r="AU47" i="34"/>
  <c r="AT47" i="34"/>
  <c r="AS47" i="34"/>
  <c r="AR47" i="34"/>
  <c r="AQ47" i="34"/>
  <c r="AP47" i="34"/>
  <c r="AO47" i="34"/>
  <c r="AN47" i="34"/>
  <c r="AM47" i="34"/>
  <c r="AL47" i="34"/>
  <c r="AO46" i="34"/>
  <c r="AN46" i="34"/>
  <c r="AM46" i="34"/>
  <c r="AL46" i="34"/>
  <c r="AO45" i="34"/>
  <c r="AN45" i="34"/>
  <c r="AM45" i="34"/>
  <c r="AL45" i="34"/>
  <c r="AZ43" i="34"/>
  <c r="AY43" i="34"/>
  <c r="AX43" i="34"/>
  <c r="AW43" i="34"/>
  <c r="AV43" i="34"/>
  <c r="AU43" i="34"/>
  <c r="AT43" i="34"/>
  <c r="AS43" i="34"/>
  <c r="AR43" i="34"/>
  <c r="AQ43" i="34"/>
  <c r="AP43" i="34"/>
  <c r="AO43" i="34"/>
  <c r="AN43" i="34"/>
  <c r="AM43" i="34"/>
  <c r="AL43" i="34"/>
  <c r="AL42" i="34"/>
  <c r="AY39" i="34"/>
  <c r="AX39" i="34"/>
  <c r="AV39" i="34"/>
  <c r="AU39" i="34"/>
  <c r="AT39" i="34"/>
  <c r="AS39" i="34"/>
  <c r="AR39" i="34"/>
  <c r="AQ39" i="34"/>
  <c r="AP39" i="34"/>
  <c r="AO39" i="34"/>
  <c r="AN39" i="34"/>
  <c r="AM39" i="34"/>
  <c r="AL39" i="34"/>
  <c r="AZ36" i="34"/>
  <c r="AY36" i="34"/>
  <c r="AX36" i="34"/>
  <c r="AW36" i="34"/>
  <c r="AV36" i="34"/>
  <c r="AU36" i="34"/>
  <c r="AT36" i="34"/>
  <c r="AS36" i="34"/>
  <c r="AR36" i="34"/>
  <c r="AQ36" i="34"/>
  <c r="AP36" i="34"/>
  <c r="AO36" i="34"/>
  <c r="AN36" i="34"/>
  <c r="AM36" i="34"/>
  <c r="AL36" i="34"/>
  <c r="AZ33" i="34"/>
  <c r="AY33" i="34"/>
  <c r="AX33" i="34"/>
  <c r="AW33" i="34"/>
  <c r="AV33" i="34"/>
  <c r="AU33" i="34"/>
  <c r="AT33" i="34"/>
  <c r="AS33" i="34"/>
  <c r="AR33" i="34"/>
  <c r="AQ33" i="34"/>
  <c r="AP33" i="34"/>
  <c r="AO33" i="34"/>
  <c r="AN33" i="34"/>
  <c r="AM33" i="34"/>
  <c r="AL33" i="34"/>
  <c r="AZ31" i="34"/>
  <c r="AY31" i="34"/>
  <c r="AX31" i="34"/>
  <c r="AW31" i="34"/>
  <c r="AV31" i="34"/>
  <c r="AU31" i="34"/>
  <c r="AT31" i="34"/>
  <c r="AS31" i="34"/>
  <c r="AR31" i="34"/>
  <c r="AQ31" i="34"/>
  <c r="AP31" i="34"/>
  <c r="AO31" i="34"/>
  <c r="AN31" i="34"/>
  <c r="AM31" i="34"/>
  <c r="AL31" i="34"/>
  <c r="AZ29" i="34"/>
  <c r="AY29" i="34"/>
  <c r="AX29" i="34"/>
  <c r="AW29" i="34"/>
  <c r="AV29" i="34"/>
  <c r="AU29" i="34"/>
  <c r="AT29" i="34"/>
  <c r="AS29" i="34"/>
  <c r="AR29" i="34"/>
  <c r="AQ29" i="34"/>
  <c r="AP29" i="34"/>
  <c r="AO29" i="34"/>
  <c r="AN29" i="34"/>
  <c r="AM29" i="34"/>
  <c r="AL29" i="34"/>
  <c r="AZ22" i="34"/>
  <c r="AY22" i="34"/>
  <c r="AX22" i="34"/>
  <c r="AW22" i="34"/>
  <c r="AV22" i="34"/>
  <c r="AU22" i="34"/>
  <c r="AT22" i="34"/>
  <c r="AS22" i="34"/>
  <c r="AR22" i="34"/>
  <c r="AQ22" i="34"/>
  <c r="AP22" i="34"/>
  <c r="AO22" i="34"/>
  <c r="AN22" i="34"/>
  <c r="AM22" i="34"/>
  <c r="AL22" i="34"/>
  <c r="AZ18" i="34"/>
  <c r="AY18" i="34"/>
  <c r="AX18" i="34"/>
  <c r="AW18" i="34"/>
  <c r="AV18" i="34"/>
  <c r="AU18" i="34"/>
  <c r="AT18" i="34"/>
  <c r="AS18" i="34"/>
  <c r="AR18" i="34"/>
  <c r="AQ18" i="34"/>
  <c r="AP18" i="34"/>
  <c r="AO18" i="34"/>
  <c r="AN18" i="34"/>
  <c r="AM18" i="34"/>
  <c r="AL18" i="34"/>
  <c r="AZ13" i="34"/>
  <c r="AY13" i="34"/>
  <c r="AX13" i="34"/>
  <c r="AW13" i="34"/>
  <c r="AV13" i="34"/>
  <c r="AU13" i="34"/>
  <c r="AT13" i="34"/>
  <c r="AS13" i="34"/>
  <c r="AR13" i="34"/>
  <c r="AQ13" i="34"/>
  <c r="AP13" i="34"/>
  <c r="AO13" i="34"/>
  <c r="AN13" i="34"/>
  <c r="AM13" i="34"/>
  <c r="AL13" i="34"/>
  <c r="AZ12" i="34"/>
  <c r="AY12" i="34"/>
  <c r="AX12" i="34"/>
  <c r="AW12" i="34"/>
  <c r="AV12" i="34"/>
  <c r="AU12" i="34"/>
  <c r="AT12" i="34"/>
  <c r="AS12" i="34"/>
  <c r="AR12" i="34"/>
  <c r="AQ12" i="34"/>
  <c r="AP12" i="34"/>
  <c r="AO12" i="34"/>
  <c r="AN12" i="34"/>
  <c r="AM12" i="34"/>
  <c r="AL12" i="34"/>
  <c r="AJ81" i="34"/>
  <c r="AI81" i="34"/>
  <c r="AH81" i="34"/>
  <c r="AG81" i="34"/>
  <c r="AF81" i="34"/>
  <c r="AE81" i="34"/>
  <c r="AD81" i="34"/>
  <c r="AC81" i="34"/>
  <c r="AB81" i="34"/>
  <c r="AA81" i="34"/>
  <c r="Z81" i="34"/>
  <c r="Y81" i="34"/>
  <c r="X81" i="34"/>
  <c r="W81" i="34"/>
  <c r="V81" i="34"/>
  <c r="U81" i="34"/>
  <c r="T81" i="34"/>
  <c r="S81" i="34"/>
  <c r="R81" i="34"/>
  <c r="Q81" i="34"/>
  <c r="P81" i="34"/>
  <c r="O81" i="34"/>
  <c r="N81" i="34"/>
  <c r="M81" i="34"/>
  <c r="AJ80" i="34"/>
  <c r="V80" i="34"/>
  <c r="U80" i="34"/>
  <c r="T80" i="34"/>
  <c r="S80" i="34"/>
  <c r="R80" i="34"/>
  <c r="Q80" i="34"/>
  <c r="P80" i="34"/>
  <c r="O80" i="34"/>
  <c r="N80" i="34"/>
  <c r="M80" i="34"/>
  <c r="V79" i="34"/>
  <c r="U79" i="34"/>
  <c r="T79" i="34"/>
  <c r="S79" i="34"/>
  <c r="R79" i="34"/>
  <c r="Q79" i="34"/>
  <c r="P79" i="34"/>
  <c r="O79" i="34"/>
  <c r="N79" i="34"/>
  <c r="M79" i="34"/>
  <c r="AJ78" i="34"/>
  <c r="AI78" i="34"/>
  <c r="AH78" i="34"/>
  <c r="AG78" i="34"/>
  <c r="AF78" i="34"/>
  <c r="AE78" i="34"/>
  <c r="AD78" i="34"/>
  <c r="AC78" i="34"/>
  <c r="AB78" i="34"/>
  <c r="AA78" i="34"/>
  <c r="Z78" i="34"/>
  <c r="Y78" i="34"/>
  <c r="X78" i="34"/>
  <c r="W78" i="34"/>
  <c r="V78" i="34"/>
  <c r="U78" i="34"/>
  <c r="T78" i="34"/>
  <c r="S78" i="34"/>
  <c r="R78" i="34"/>
  <c r="Q78" i="34"/>
  <c r="P78" i="34"/>
  <c r="O78" i="34"/>
  <c r="N78" i="34"/>
  <c r="M78" i="34"/>
  <c r="AJ76" i="34"/>
  <c r="AI76" i="34"/>
  <c r="AH76" i="34"/>
  <c r="AG76" i="34"/>
  <c r="AF76" i="34"/>
  <c r="AE76" i="34"/>
  <c r="AD76" i="34"/>
  <c r="AC76" i="34"/>
  <c r="AB76" i="34"/>
  <c r="AA76" i="34"/>
  <c r="Z76" i="34"/>
  <c r="Y76" i="34"/>
  <c r="X76" i="34"/>
  <c r="W76" i="34"/>
  <c r="V76" i="34"/>
  <c r="U76" i="34"/>
  <c r="T76" i="34"/>
  <c r="S76" i="34"/>
  <c r="R76" i="34"/>
  <c r="Q76" i="34"/>
  <c r="P76" i="34"/>
  <c r="O76" i="34"/>
  <c r="N76" i="34"/>
  <c r="M76" i="34"/>
  <c r="AJ72" i="34"/>
  <c r="AI72" i="34"/>
  <c r="AH72" i="34"/>
  <c r="AG72" i="34"/>
  <c r="AF72" i="34"/>
  <c r="AE72" i="34"/>
  <c r="AD72" i="34"/>
  <c r="AC72" i="34"/>
  <c r="AB72" i="34"/>
  <c r="AA72" i="34"/>
  <c r="Z72" i="34"/>
  <c r="Y72" i="34"/>
  <c r="X72" i="34"/>
  <c r="W72" i="34"/>
  <c r="V72" i="34"/>
  <c r="U72" i="34"/>
  <c r="T72" i="34"/>
  <c r="S72" i="34"/>
  <c r="R72" i="34"/>
  <c r="Q72" i="34"/>
  <c r="P72" i="34"/>
  <c r="O72" i="34"/>
  <c r="N72" i="34"/>
  <c r="M72" i="34"/>
  <c r="AI71" i="34"/>
  <c r="AH71" i="34"/>
  <c r="AG71" i="34"/>
  <c r="AF71" i="34"/>
  <c r="AE71" i="34"/>
  <c r="AD71" i="34"/>
  <c r="AC71" i="34"/>
  <c r="AB71" i="34"/>
  <c r="AA71" i="34"/>
  <c r="Z71" i="34"/>
  <c r="Y71" i="34"/>
  <c r="X71" i="34"/>
  <c r="W71" i="34"/>
  <c r="V71" i="34"/>
  <c r="U71" i="34"/>
  <c r="T71" i="34"/>
  <c r="S71" i="34"/>
  <c r="R71" i="34"/>
  <c r="Q71" i="34"/>
  <c r="P71" i="34"/>
  <c r="O71" i="34"/>
  <c r="N71" i="34"/>
  <c r="M71" i="34"/>
  <c r="AI70" i="34"/>
  <c r="AH70" i="34"/>
  <c r="AG70" i="34"/>
  <c r="AF70" i="34"/>
  <c r="AE70" i="34"/>
  <c r="AD70" i="34"/>
  <c r="AC70" i="34"/>
  <c r="AB70" i="34"/>
  <c r="AA70" i="34"/>
  <c r="Z70" i="34"/>
  <c r="Y70" i="34"/>
  <c r="X70" i="34"/>
  <c r="W70" i="34"/>
  <c r="V70" i="34"/>
  <c r="U70" i="34"/>
  <c r="T70" i="34"/>
  <c r="S70" i="34"/>
  <c r="R70" i="34"/>
  <c r="Q70" i="34"/>
  <c r="P70" i="34"/>
  <c r="O70" i="34"/>
  <c r="N70" i="34"/>
  <c r="M70" i="34"/>
  <c r="AJ69" i="34"/>
  <c r="AI69" i="34"/>
  <c r="AH69" i="34"/>
  <c r="AG69" i="34"/>
  <c r="AF69" i="34"/>
  <c r="AE69" i="34"/>
  <c r="AD69" i="34"/>
  <c r="AC69" i="34"/>
  <c r="AB69" i="34"/>
  <c r="AA69" i="34"/>
  <c r="Z69" i="34"/>
  <c r="Y69" i="34"/>
  <c r="X69" i="34"/>
  <c r="W69" i="34"/>
  <c r="V69" i="34"/>
  <c r="U69" i="34"/>
  <c r="T69" i="34"/>
  <c r="S69" i="34"/>
  <c r="R69" i="34"/>
  <c r="Q69" i="34"/>
  <c r="P69" i="34"/>
  <c r="O69" i="34"/>
  <c r="N69" i="34"/>
  <c r="M69" i="34"/>
  <c r="AJ68" i="34"/>
  <c r="AI68" i="34"/>
  <c r="AH68" i="34"/>
  <c r="AG68" i="34"/>
  <c r="AF68" i="34"/>
  <c r="AE68" i="34"/>
  <c r="AD68" i="34"/>
  <c r="AC68" i="34"/>
  <c r="AB68" i="34"/>
  <c r="AA68" i="34"/>
  <c r="Z68" i="34"/>
  <c r="Y68" i="34"/>
  <c r="X68" i="34"/>
  <c r="W68" i="34"/>
  <c r="V68" i="34"/>
  <c r="U68" i="34"/>
  <c r="T68" i="34"/>
  <c r="S68" i="34"/>
  <c r="R68" i="34"/>
  <c r="Q68" i="34"/>
  <c r="P68" i="34"/>
  <c r="O68" i="34"/>
  <c r="N68" i="34"/>
  <c r="M68" i="34"/>
  <c r="AJ67" i="34"/>
  <c r="AI67" i="34"/>
  <c r="AH67" i="34"/>
  <c r="AG67" i="34"/>
  <c r="AF67" i="34"/>
  <c r="AE67" i="34"/>
  <c r="AD67" i="34"/>
  <c r="AC67" i="34"/>
  <c r="AB67" i="34"/>
  <c r="AA67" i="34"/>
  <c r="Z67" i="34"/>
  <c r="Y67" i="34"/>
  <c r="X67" i="34"/>
  <c r="W67" i="34"/>
  <c r="V67" i="34"/>
  <c r="U67" i="34"/>
  <c r="T67" i="34"/>
  <c r="S67" i="34"/>
  <c r="R67" i="34"/>
  <c r="Q67" i="34"/>
  <c r="P67" i="34"/>
  <c r="O67" i="34"/>
  <c r="N67" i="34"/>
  <c r="M67" i="34"/>
  <c r="AJ66" i="34"/>
  <c r="AI66" i="34"/>
  <c r="AH66" i="34"/>
  <c r="AG66" i="34"/>
  <c r="AF66" i="34"/>
  <c r="AE66" i="34"/>
  <c r="AD66" i="34"/>
  <c r="AC66" i="34"/>
  <c r="AB66" i="34"/>
  <c r="AA66" i="34"/>
  <c r="Z66" i="34"/>
  <c r="Y66" i="34"/>
  <c r="X66" i="34"/>
  <c r="W66" i="34"/>
  <c r="V66" i="34"/>
  <c r="U66" i="34"/>
  <c r="T66" i="34"/>
  <c r="S66" i="34"/>
  <c r="R66" i="34"/>
  <c r="Q66" i="34"/>
  <c r="P66" i="34"/>
  <c r="O66" i="34"/>
  <c r="N66" i="34"/>
  <c r="M66" i="34"/>
  <c r="AJ63" i="34"/>
  <c r="AI63" i="34"/>
  <c r="AH63" i="34"/>
  <c r="AG63" i="34"/>
  <c r="AF63" i="34"/>
  <c r="AE63" i="34"/>
  <c r="AD63" i="34"/>
  <c r="AC63" i="34"/>
  <c r="AB63" i="34"/>
  <c r="AA63" i="34"/>
  <c r="Z63" i="34"/>
  <c r="Y63" i="34"/>
  <c r="X63" i="34"/>
  <c r="W63" i="34"/>
  <c r="V63" i="34"/>
  <c r="U63" i="34"/>
  <c r="T63" i="34"/>
  <c r="S63" i="34"/>
  <c r="R63" i="34"/>
  <c r="Q63" i="34"/>
  <c r="P63" i="34"/>
  <c r="O63" i="34"/>
  <c r="N63" i="34"/>
  <c r="M63" i="34"/>
  <c r="AJ61" i="34"/>
  <c r="AI61" i="34"/>
  <c r="AH61" i="34"/>
  <c r="AG61" i="34"/>
  <c r="AF61" i="34"/>
  <c r="AE61" i="34"/>
  <c r="AD61" i="34"/>
  <c r="AC61" i="34"/>
  <c r="AB61" i="34"/>
  <c r="AA61" i="34"/>
  <c r="Z61" i="34"/>
  <c r="Y61" i="34"/>
  <c r="X61" i="34"/>
  <c r="W61" i="34"/>
  <c r="V61" i="34"/>
  <c r="U61" i="34"/>
  <c r="T61" i="34"/>
  <c r="S61" i="34"/>
  <c r="R61" i="34"/>
  <c r="Q61" i="34"/>
  <c r="P61" i="34"/>
  <c r="O61" i="34"/>
  <c r="N61" i="34"/>
  <c r="M61" i="34"/>
  <c r="AJ59" i="34"/>
  <c r="AI59" i="34"/>
  <c r="AH59" i="34"/>
  <c r="AG59" i="34"/>
  <c r="AF59" i="34"/>
  <c r="AE59" i="34"/>
  <c r="AD59" i="34"/>
  <c r="AC59" i="34"/>
  <c r="AB59" i="34"/>
  <c r="AA59" i="34"/>
  <c r="Z59" i="34"/>
  <c r="Y59" i="34"/>
  <c r="X59" i="34"/>
  <c r="W59" i="34"/>
  <c r="V59" i="34"/>
  <c r="U59" i="34"/>
  <c r="T59" i="34"/>
  <c r="S59" i="34"/>
  <c r="R59" i="34"/>
  <c r="Q59" i="34"/>
  <c r="P59" i="34"/>
  <c r="O59" i="34"/>
  <c r="N59" i="34"/>
  <c r="M59" i="34"/>
  <c r="AJ57" i="34"/>
  <c r="AI57" i="34"/>
  <c r="AH57" i="34"/>
  <c r="AG57" i="34"/>
  <c r="AF57" i="34"/>
  <c r="AE57" i="34"/>
  <c r="AD57" i="34"/>
  <c r="AC57" i="34"/>
  <c r="AB57" i="34"/>
  <c r="AA57" i="34"/>
  <c r="Z57" i="34"/>
  <c r="Y57" i="34"/>
  <c r="X57" i="34"/>
  <c r="W57" i="34"/>
  <c r="V57" i="34"/>
  <c r="U57" i="34"/>
  <c r="T57" i="34"/>
  <c r="S57" i="34"/>
  <c r="R57" i="34"/>
  <c r="Q57" i="34"/>
  <c r="P57" i="34"/>
  <c r="O57" i="34"/>
  <c r="N57" i="34"/>
  <c r="M57" i="34"/>
  <c r="AJ56" i="34"/>
  <c r="AI56" i="34"/>
  <c r="AH56" i="34"/>
  <c r="AG56" i="34"/>
  <c r="AF56" i="34"/>
  <c r="AE56" i="34"/>
  <c r="AD56" i="34"/>
  <c r="AC56" i="34"/>
  <c r="AB56" i="34"/>
  <c r="AA56" i="34"/>
  <c r="Z56" i="34"/>
  <c r="Y56" i="34"/>
  <c r="X56" i="34"/>
  <c r="W56" i="34"/>
  <c r="V56" i="34"/>
  <c r="U56" i="34"/>
  <c r="T56" i="34"/>
  <c r="S56" i="34"/>
  <c r="R56" i="34"/>
  <c r="Q56" i="34"/>
  <c r="P56" i="34"/>
  <c r="O56" i="34"/>
  <c r="N56" i="34"/>
  <c r="M56" i="34"/>
  <c r="AI54" i="34"/>
  <c r="AH54" i="34"/>
  <c r="AG54" i="34"/>
  <c r="AF54" i="34"/>
  <c r="AE54" i="34"/>
  <c r="AD54" i="34"/>
  <c r="AC54" i="34"/>
  <c r="AB54" i="34"/>
  <c r="AA54" i="34"/>
  <c r="Z54" i="34"/>
  <c r="Y54" i="34"/>
  <c r="X54" i="34"/>
  <c r="W54" i="34"/>
  <c r="V54" i="34"/>
  <c r="U54" i="34"/>
  <c r="T54" i="34"/>
  <c r="S54" i="34"/>
  <c r="R54" i="34"/>
  <c r="Q54" i="34"/>
  <c r="P54" i="34"/>
  <c r="O54" i="34"/>
  <c r="N54" i="34"/>
  <c r="M54" i="34"/>
  <c r="AJ53" i="34"/>
  <c r="AI53" i="34"/>
  <c r="AH53" i="34"/>
  <c r="AG53" i="34"/>
  <c r="AF53" i="34"/>
  <c r="AE53" i="34"/>
  <c r="AD53" i="34"/>
  <c r="AC53" i="34"/>
  <c r="AB53" i="34"/>
  <c r="AA53" i="34"/>
  <c r="Z53" i="34"/>
  <c r="Y53" i="34"/>
  <c r="X53" i="34"/>
  <c r="W53" i="34"/>
  <c r="V53" i="34"/>
  <c r="U53" i="34"/>
  <c r="T53" i="34"/>
  <c r="S53" i="34"/>
  <c r="R53" i="34"/>
  <c r="Q53" i="34"/>
  <c r="P53" i="34"/>
  <c r="O53" i="34"/>
  <c r="N53" i="34"/>
  <c r="M53" i="34"/>
  <c r="AJ51" i="34"/>
  <c r="AI51" i="34"/>
  <c r="AH51" i="34"/>
  <c r="AG51" i="34"/>
  <c r="AF51" i="34"/>
  <c r="AE51" i="34"/>
  <c r="AD51" i="34"/>
  <c r="AC51" i="34"/>
  <c r="AB51" i="34"/>
  <c r="AA51" i="34"/>
  <c r="Z51" i="34"/>
  <c r="Y51" i="34"/>
  <c r="X51" i="34"/>
  <c r="W51" i="34"/>
  <c r="V51" i="34"/>
  <c r="U51" i="34"/>
  <c r="T51" i="34"/>
  <c r="S51" i="34"/>
  <c r="R51" i="34"/>
  <c r="Q51" i="34"/>
  <c r="P51" i="34"/>
  <c r="O51" i="34"/>
  <c r="N51" i="34"/>
  <c r="M51" i="34"/>
  <c r="AJ49" i="34"/>
  <c r="AI49" i="34"/>
  <c r="AH49" i="34"/>
  <c r="AG49" i="34"/>
  <c r="AF49" i="34"/>
  <c r="AE49" i="34"/>
  <c r="AD49" i="34"/>
  <c r="AC49" i="34"/>
  <c r="AB49" i="34"/>
  <c r="AA49" i="34"/>
  <c r="Z49" i="34"/>
  <c r="Y49" i="34"/>
  <c r="X49" i="34"/>
  <c r="W49" i="34"/>
  <c r="V49" i="34"/>
  <c r="U49" i="34"/>
  <c r="T49" i="34"/>
  <c r="S49" i="34"/>
  <c r="R49" i="34"/>
  <c r="Q49" i="34"/>
  <c r="P49" i="34"/>
  <c r="O49" i="34"/>
  <c r="N49" i="34"/>
  <c r="M49" i="34"/>
  <c r="AJ47" i="34"/>
  <c r="AI47" i="34"/>
  <c r="AH47" i="34"/>
  <c r="AG47" i="34"/>
  <c r="AF47" i="34"/>
  <c r="AE47" i="34"/>
  <c r="AD47" i="34"/>
  <c r="AC47" i="34"/>
  <c r="AB47" i="34"/>
  <c r="AA47" i="34"/>
  <c r="Z47" i="34"/>
  <c r="Y47" i="34"/>
  <c r="X47" i="34"/>
  <c r="W47" i="34"/>
  <c r="V47" i="34"/>
  <c r="U47" i="34"/>
  <c r="T47" i="34"/>
  <c r="S47" i="34"/>
  <c r="R47" i="34"/>
  <c r="Q47" i="34"/>
  <c r="P47" i="34"/>
  <c r="O47" i="34"/>
  <c r="N47" i="34"/>
  <c r="M47" i="34"/>
  <c r="AI46" i="34"/>
  <c r="AH46" i="34"/>
  <c r="AG46" i="34"/>
  <c r="AF46" i="34"/>
  <c r="AE46" i="34"/>
  <c r="AD46" i="34"/>
  <c r="AC46" i="34"/>
  <c r="AB46" i="34"/>
  <c r="AA46" i="34"/>
  <c r="Z46" i="34"/>
  <c r="Y46" i="34"/>
  <c r="X46" i="34"/>
  <c r="W46" i="34"/>
  <c r="V46" i="34"/>
  <c r="U46" i="34"/>
  <c r="T46" i="34"/>
  <c r="S46" i="34"/>
  <c r="R46" i="34"/>
  <c r="Q46" i="34"/>
  <c r="P46" i="34"/>
  <c r="O46" i="34"/>
  <c r="N46" i="34"/>
  <c r="M46" i="34"/>
  <c r="AJ45" i="34"/>
  <c r="AI45" i="34"/>
  <c r="AH45" i="34"/>
  <c r="AG45" i="34"/>
  <c r="AF45" i="34"/>
  <c r="AE45" i="34"/>
  <c r="AD45" i="34"/>
  <c r="AC45" i="34"/>
  <c r="AB45" i="34"/>
  <c r="AA45" i="34"/>
  <c r="Z45" i="34"/>
  <c r="Y45" i="34"/>
  <c r="X45" i="34"/>
  <c r="W45" i="34"/>
  <c r="V45" i="34"/>
  <c r="U45" i="34"/>
  <c r="T45" i="34"/>
  <c r="S45" i="34"/>
  <c r="R45" i="34"/>
  <c r="Q45" i="34"/>
  <c r="P45" i="34"/>
  <c r="O45" i="34"/>
  <c r="N45" i="34"/>
  <c r="M45" i="34"/>
  <c r="AJ43" i="34"/>
  <c r="AI43" i="34"/>
  <c r="AH43" i="34"/>
  <c r="AG43" i="34"/>
  <c r="AF43" i="34"/>
  <c r="AE43" i="34"/>
  <c r="AD43" i="34"/>
  <c r="AC43" i="34"/>
  <c r="AB43" i="34"/>
  <c r="AA43" i="34"/>
  <c r="Z43" i="34"/>
  <c r="Y43" i="34"/>
  <c r="X43" i="34"/>
  <c r="W43" i="34"/>
  <c r="V43" i="34"/>
  <c r="U43" i="34"/>
  <c r="T43" i="34"/>
  <c r="S43" i="34"/>
  <c r="R43" i="34"/>
  <c r="Q43" i="34"/>
  <c r="P43" i="34"/>
  <c r="O43" i="34"/>
  <c r="N43" i="34"/>
  <c r="M43" i="34"/>
  <c r="P42" i="34"/>
  <c r="O42" i="34"/>
  <c r="N42" i="34"/>
  <c r="M42" i="34"/>
  <c r="AJ39" i="34"/>
  <c r="AI39" i="34"/>
  <c r="AH39" i="34"/>
  <c r="AG39" i="34"/>
  <c r="AF39" i="34"/>
  <c r="AE39" i="34"/>
  <c r="AD39" i="34"/>
  <c r="AC39" i="34"/>
  <c r="AB39" i="34"/>
  <c r="AA39" i="34"/>
  <c r="Z39" i="34"/>
  <c r="Y39" i="34"/>
  <c r="X39" i="34"/>
  <c r="W39" i="34"/>
  <c r="V39" i="34"/>
  <c r="U39" i="34"/>
  <c r="T39" i="34"/>
  <c r="S39" i="34"/>
  <c r="R39" i="34"/>
  <c r="Q39" i="34"/>
  <c r="P39" i="34"/>
  <c r="O39" i="34"/>
  <c r="N39" i="34"/>
  <c r="M39" i="34"/>
  <c r="AJ36" i="34"/>
  <c r="AI36" i="34"/>
  <c r="AH36" i="34"/>
  <c r="AG36" i="34"/>
  <c r="AF36" i="34"/>
  <c r="AE36" i="34"/>
  <c r="AD36" i="34"/>
  <c r="AC36" i="34"/>
  <c r="AB36" i="34"/>
  <c r="AA36" i="34"/>
  <c r="Z36" i="34"/>
  <c r="Y36" i="34"/>
  <c r="X36" i="34"/>
  <c r="W36" i="34"/>
  <c r="V36" i="34"/>
  <c r="U36" i="34"/>
  <c r="T36" i="34"/>
  <c r="S36" i="34"/>
  <c r="R36" i="34"/>
  <c r="Q36" i="34"/>
  <c r="P36" i="34"/>
  <c r="O36" i="34"/>
  <c r="N36" i="34"/>
  <c r="M36" i="34"/>
  <c r="AJ33" i="34"/>
  <c r="AI33" i="34"/>
  <c r="AH33" i="34"/>
  <c r="AG33" i="34"/>
  <c r="AF33" i="34"/>
  <c r="AE33" i="34"/>
  <c r="AD33" i="34"/>
  <c r="AC33" i="34"/>
  <c r="AB33" i="34"/>
  <c r="AA33" i="34"/>
  <c r="Z33" i="34"/>
  <c r="Y33" i="34"/>
  <c r="X33" i="34"/>
  <c r="W33" i="34"/>
  <c r="V33" i="34"/>
  <c r="U33" i="34"/>
  <c r="T33" i="34"/>
  <c r="S33" i="34"/>
  <c r="R33" i="34"/>
  <c r="Q33" i="34"/>
  <c r="P33" i="34"/>
  <c r="O33" i="34"/>
  <c r="N33" i="34"/>
  <c r="M33" i="34"/>
  <c r="AJ31" i="34"/>
  <c r="AI31" i="34"/>
  <c r="AH31" i="34"/>
  <c r="AG31" i="34"/>
  <c r="AF31" i="34"/>
  <c r="AE31" i="34"/>
  <c r="AD31" i="34"/>
  <c r="AC31" i="34"/>
  <c r="AB31" i="34"/>
  <c r="AA31" i="34"/>
  <c r="Z31" i="34"/>
  <c r="Y31" i="34"/>
  <c r="X31" i="34"/>
  <c r="W31" i="34"/>
  <c r="V31" i="34"/>
  <c r="U31" i="34"/>
  <c r="T31" i="34"/>
  <c r="S31" i="34"/>
  <c r="R31" i="34"/>
  <c r="Q31" i="34"/>
  <c r="P31" i="34"/>
  <c r="O31" i="34"/>
  <c r="N31" i="34"/>
  <c r="M31" i="34"/>
  <c r="AJ29" i="34"/>
  <c r="AI29" i="34"/>
  <c r="AH29" i="34"/>
  <c r="AG29" i="34"/>
  <c r="AF29" i="34"/>
  <c r="AE29" i="34"/>
  <c r="AD29" i="34"/>
  <c r="AC29" i="34"/>
  <c r="AB29" i="34"/>
  <c r="AA29" i="34"/>
  <c r="Z29" i="34"/>
  <c r="Y29" i="34"/>
  <c r="X29" i="34"/>
  <c r="W29" i="34"/>
  <c r="V29" i="34"/>
  <c r="U29" i="34"/>
  <c r="T29" i="34"/>
  <c r="S29" i="34"/>
  <c r="R29" i="34"/>
  <c r="Q29" i="34"/>
  <c r="P29" i="34"/>
  <c r="O29" i="34"/>
  <c r="N29" i="34"/>
  <c r="M29" i="34"/>
  <c r="AJ22" i="34"/>
  <c r="AI22" i="34"/>
  <c r="AH22" i="34"/>
  <c r="AG22" i="34"/>
  <c r="AF22" i="34"/>
  <c r="AE22" i="34"/>
  <c r="AD22" i="34"/>
  <c r="AC22" i="34"/>
  <c r="AB22" i="34"/>
  <c r="AA22" i="34"/>
  <c r="Z22" i="34"/>
  <c r="Y22" i="34"/>
  <c r="X22" i="34"/>
  <c r="W22" i="34"/>
  <c r="V22" i="34"/>
  <c r="U22" i="34"/>
  <c r="T22" i="34"/>
  <c r="S22" i="34"/>
  <c r="R22" i="34"/>
  <c r="Q22" i="34"/>
  <c r="P22" i="34"/>
  <c r="O22" i="34"/>
  <c r="N22" i="34"/>
  <c r="M22" i="34"/>
  <c r="AJ18" i="34"/>
  <c r="AI18" i="34"/>
  <c r="AH18" i="34"/>
  <c r="AG18" i="34"/>
  <c r="AF18" i="34"/>
  <c r="AE18" i="34"/>
  <c r="AD18" i="34"/>
  <c r="AC18" i="34"/>
  <c r="AB18" i="34"/>
  <c r="AA18" i="34"/>
  <c r="Z18" i="34"/>
  <c r="Y18" i="34"/>
  <c r="X18" i="34"/>
  <c r="W18" i="34"/>
  <c r="V18" i="34"/>
  <c r="U18" i="34"/>
  <c r="T18" i="34"/>
  <c r="S18" i="34"/>
  <c r="R18" i="34"/>
  <c r="Q18" i="34"/>
  <c r="P18" i="34"/>
  <c r="O18" i="34"/>
  <c r="N18" i="34"/>
  <c r="M18" i="34"/>
  <c r="AF13" i="34"/>
  <c r="AE13" i="34"/>
  <c r="AD13" i="34"/>
  <c r="AC13" i="34"/>
  <c r="AB13" i="34"/>
  <c r="AA13" i="34"/>
  <c r="Z13" i="34"/>
  <c r="Y13" i="34"/>
  <c r="X13" i="34"/>
  <c r="W13" i="34"/>
  <c r="V13" i="34"/>
  <c r="U13" i="34"/>
  <c r="T13" i="34"/>
  <c r="S13" i="34"/>
  <c r="R13" i="34"/>
  <c r="Q13" i="34"/>
  <c r="P13" i="34"/>
  <c r="O13" i="34"/>
  <c r="N13" i="34"/>
  <c r="M13" i="34"/>
  <c r="AJ12" i="34"/>
  <c r="AI12" i="34"/>
  <c r="AH12" i="34"/>
  <c r="AG12" i="34"/>
  <c r="AF12" i="34"/>
  <c r="AE12" i="34"/>
  <c r="AD12" i="34"/>
  <c r="AC12" i="34"/>
  <c r="AB12" i="34"/>
  <c r="AA12" i="34"/>
  <c r="Z12" i="34"/>
  <c r="Y12" i="34"/>
  <c r="X12" i="34"/>
  <c r="W12" i="34"/>
  <c r="V12" i="34"/>
  <c r="U12" i="34"/>
  <c r="T12" i="34"/>
  <c r="S12" i="34"/>
  <c r="R12" i="34"/>
  <c r="Q12" i="34"/>
  <c r="P12" i="34"/>
  <c r="O12" i="34"/>
  <c r="N12" i="34"/>
  <c r="M12" i="34"/>
  <c r="AM6" i="34"/>
  <c r="AN6" i="34" s="1"/>
  <c r="AO6" i="34" s="1"/>
  <c r="AP6" i="34" s="1"/>
  <c r="AQ6" i="34" s="1"/>
  <c r="AR6" i="34" s="1"/>
  <c r="AS6" i="34" s="1"/>
  <c r="AT6" i="34" s="1"/>
  <c r="AU6" i="34" s="1"/>
  <c r="AV6" i="34" s="1"/>
  <c r="AW6" i="34" s="1"/>
  <c r="AX6" i="34" s="1"/>
  <c r="AY6" i="34" s="1"/>
  <c r="AZ6" i="34" s="1"/>
  <c r="N6" i="34"/>
  <c r="N72" i="42"/>
  <c r="M72" i="42"/>
  <c r="L50" i="42"/>
  <c r="W28" i="42"/>
  <c r="X28" i="42" s="1"/>
  <c r="Y28" i="42" s="1"/>
  <c r="Z28" i="42" s="1"/>
  <c r="AA28" i="42" s="1"/>
  <c r="AB28" i="42" s="1"/>
  <c r="AC28" i="42" s="1"/>
  <c r="O17" i="42"/>
  <c r="M17" i="42"/>
  <c r="M15" i="42"/>
  <c r="N8" i="42"/>
  <c r="N6" i="42"/>
  <c r="O6" i="42" s="1"/>
  <c r="P6" i="42" s="1"/>
  <c r="Q6" i="42" s="1"/>
  <c r="R6" i="42" s="1"/>
  <c r="S6" i="42" s="1"/>
  <c r="T6" i="42" s="1"/>
  <c r="U6" i="42" s="1"/>
  <c r="V6" i="42" s="1"/>
  <c r="W6" i="42" s="1"/>
  <c r="X6" i="42" s="1"/>
  <c r="Y6" i="42" s="1"/>
  <c r="Z6" i="42" s="1"/>
  <c r="AA6" i="42" s="1"/>
  <c r="M5" i="42"/>
  <c r="P94" i="40"/>
  <c r="P93" i="40"/>
  <c r="P92" i="40"/>
  <c r="P91" i="40"/>
  <c r="P90" i="40"/>
  <c r="P89" i="40"/>
  <c r="P88" i="40"/>
  <c r="N95" i="40"/>
  <c r="R88" i="40"/>
  <c r="R89" i="40" s="1"/>
  <c r="R90" i="40" s="1"/>
  <c r="R91" i="40" s="1"/>
  <c r="R92" i="40" s="1"/>
  <c r="R93" i="40" s="1"/>
  <c r="R94" i="40" s="1"/>
  <c r="J81" i="40"/>
  <c r="N72" i="40"/>
  <c r="M72" i="40"/>
  <c r="W28" i="40"/>
  <c r="X28" i="40" s="1"/>
  <c r="Y28" i="40" s="1"/>
  <c r="Z28" i="40" s="1"/>
  <c r="AA28" i="40" s="1"/>
  <c r="AB28" i="40" s="1"/>
  <c r="AC28" i="40" s="1"/>
  <c r="O17" i="40"/>
  <c r="M17" i="40"/>
  <c r="M15" i="40"/>
  <c r="N8" i="40"/>
  <c r="O8" i="40" s="1"/>
  <c r="P8" i="40" s="1"/>
  <c r="N6" i="40"/>
  <c r="O6" i="40" s="1"/>
  <c r="P6" i="40" s="1"/>
  <c r="Q6" i="40" s="1"/>
  <c r="R6" i="40" s="1"/>
  <c r="S6" i="40" s="1"/>
  <c r="T6" i="40" s="1"/>
  <c r="U6" i="40" s="1"/>
  <c r="V6" i="40" s="1"/>
  <c r="W6" i="40" s="1"/>
  <c r="X6" i="40" s="1"/>
  <c r="Y6" i="40" s="1"/>
  <c r="Z6" i="40" s="1"/>
  <c r="AA6" i="40" s="1"/>
  <c r="AB6" i="40" s="1"/>
  <c r="AC6" i="40" s="1"/>
  <c r="M5" i="40"/>
  <c r="N72" i="4"/>
  <c r="M72" i="4"/>
  <c r="T36" i="4"/>
  <c r="T35" i="4" s="1"/>
  <c r="T1314" i="34" s="1"/>
  <c r="M15" i="4"/>
  <c r="M1294" i="34" s="1"/>
  <c r="N8" i="4"/>
  <c r="N6" i="4"/>
  <c r="O6" i="4" s="1"/>
  <c r="P6" i="4" s="1"/>
  <c r="Q6" i="4" s="1"/>
  <c r="R6" i="4" s="1"/>
  <c r="S6" i="4" s="1"/>
  <c r="T6" i="4" s="1"/>
  <c r="U6" i="4" s="1"/>
  <c r="V6" i="4" s="1"/>
  <c r="W6" i="4" s="1"/>
  <c r="X6" i="4" s="1"/>
  <c r="Y6" i="4" s="1"/>
  <c r="Z6" i="4" s="1"/>
  <c r="AA6" i="4" s="1"/>
  <c r="M5" i="4"/>
  <c r="BD245" i="14"/>
  <c r="BC245" i="14"/>
  <c r="BB245" i="14"/>
  <c r="BA245" i="14"/>
  <c r="AZ245" i="14"/>
  <c r="AY245" i="14"/>
  <c r="AX245" i="14"/>
  <c r="AW245" i="14"/>
  <c r="AH245" i="14"/>
  <c r="AG245" i="14"/>
  <c r="AF236" i="14"/>
  <c r="AE236" i="14"/>
  <c r="AE689" i="34" s="1"/>
  <c r="AD236" i="14"/>
  <c r="AC236" i="14"/>
  <c r="AC689" i="34" s="1"/>
  <c r="AB236" i="14"/>
  <c r="AA236" i="14"/>
  <c r="Z236" i="14"/>
  <c r="Y236" i="14"/>
  <c r="Y689" i="34" s="1"/>
  <c r="X236" i="14"/>
  <c r="W236" i="14"/>
  <c r="V236" i="14"/>
  <c r="U236" i="14"/>
  <c r="U689" i="34" s="1"/>
  <c r="T236" i="14"/>
  <c r="AJ234" i="14"/>
  <c r="AJ686" i="34" s="1"/>
  <c r="AI234" i="14"/>
  <c r="AI686" i="34" s="1"/>
  <c r="AH234" i="14"/>
  <c r="AH686" i="34" s="1"/>
  <c r="AG234" i="14"/>
  <c r="AG686" i="34" s="1"/>
  <c r="AF234" i="14"/>
  <c r="AF686" i="34" s="1"/>
  <c r="AE234" i="14"/>
  <c r="AE686" i="34" s="1"/>
  <c r="AD234" i="14"/>
  <c r="AD686" i="34" s="1"/>
  <c r="AC234" i="14"/>
  <c r="AC686" i="34" s="1"/>
  <c r="AB234" i="14"/>
  <c r="AB686" i="34" s="1"/>
  <c r="AA234" i="14"/>
  <c r="AA686" i="34" s="1"/>
  <c r="Z234" i="14"/>
  <c r="Z686" i="34" s="1"/>
  <c r="Y234" i="14"/>
  <c r="Y686" i="34" s="1"/>
  <c r="X234" i="14"/>
  <c r="X686" i="34" s="1"/>
  <c r="W234" i="14"/>
  <c r="W686" i="34" s="1"/>
  <c r="V234" i="14"/>
  <c r="V686" i="34" s="1"/>
  <c r="U234" i="14"/>
  <c r="U686" i="34" s="1"/>
  <c r="AJ233" i="14"/>
  <c r="AJ685" i="34" s="1"/>
  <c r="AI233" i="14"/>
  <c r="AI685" i="34" s="1"/>
  <c r="AH233" i="14"/>
  <c r="AH685" i="34" s="1"/>
  <c r="AG233" i="14"/>
  <c r="AG685" i="34" s="1"/>
  <c r="AF233" i="14"/>
  <c r="AF685" i="34" s="1"/>
  <c r="AE233" i="14"/>
  <c r="AE685" i="34" s="1"/>
  <c r="AD233" i="14"/>
  <c r="AD685" i="34" s="1"/>
  <c r="AC233" i="14"/>
  <c r="AC685" i="34" s="1"/>
  <c r="AB233" i="14"/>
  <c r="AB685" i="34" s="1"/>
  <c r="AA233" i="14"/>
  <c r="AA685" i="34" s="1"/>
  <c r="Z233" i="14"/>
  <c r="Z685" i="34" s="1"/>
  <c r="Y233" i="14"/>
  <c r="Y685" i="34" s="1"/>
  <c r="X233" i="14"/>
  <c r="X685" i="34" s="1"/>
  <c r="T233" i="14"/>
  <c r="T685" i="34" s="1"/>
  <c r="AJ232" i="14"/>
  <c r="AJ684" i="34" s="1"/>
  <c r="AI232" i="14"/>
  <c r="AI684" i="34" s="1"/>
  <c r="AH232" i="14"/>
  <c r="AH684" i="34" s="1"/>
  <c r="AG232" i="14"/>
  <c r="AG684" i="34" s="1"/>
  <c r="AF232" i="14"/>
  <c r="AF684" i="34" s="1"/>
  <c r="AE232" i="14"/>
  <c r="AE684" i="34" s="1"/>
  <c r="AD232" i="14"/>
  <c r="AD684" i="34" s="1"/>
  <c r="AC232" i="14"/>
  <c r="AC684" i="34" s="1"/>
  <c r="AB232" i="14"/>
  <c r="AB684" i="34" s="1"/>
  <c r="AA232" i="14"/>
  <c r="AA684" i="34" s="1"/>
  <c r="Z232" i="14"/>
  <c r="Z684" i="34" s="1"/>
  <c r="Y232" i="14"/>
  <c r="Y684" i="34" s="1"/>
  <c r="X232" i="14"/>
  <c r="X684" i="34" s="1"/>
  <c r="W232" i="14"/>
  <c r="W684" i="34" s="1"/>
  <c r="V232" i="14"/>
  <c r="V684" i="34" s="1"/>
  <c r="U232" i="14"/>
  <c r="U684" i="34" s="1"/>
  <c r="BO231" i="14"/>
  <c r="BN231" i="14"/>
  <c r="BM231" i="14"/>
  <c r="AS683" i="34" s="1"/>
  <c r="BL231" i="14"/>
  <c r="BK231" i="14"/>
  <c r="AQ683" i="34" s="1"/>
  <c r="S231" i="14"/>
  <c r="S234" i="14" s="1"/>
  <c r="S686" i="34" s="1"/>
  <c r="R231" i="14"/>
  <c r="Q231" i="14"/>
  <c r="BX230" i="14"/>
  <c r="BY230" i="14" s="1"/>
  <c r="BI223" i="14"/>
  <c r="BH223" i="14"/>
  <c r="BG223" i="14"/>
  <c r="BG151" i="14" s="1"/>
  <c r="BF223" i="14"/>
  <c r="BI222" i="14"/>
  <c r="AO678" i="34" s="1"/>
  <c r="BH222" i="14"/>
  <c r="AN678" i="34" s="1"/>
  <c r="BG222" i="14"/>
  <c r="BG119" i="14" s="1"/>
  <c r="BF222" i="14"/>
  <c r="AL678" i="34" s="1"/>
  <c r="BI221" i="14"/>
  <c r="AO677" i="34" s="1"/>
  <c r="BH221" i="14"/>
  <c r="BG221" i="14"/>
  <c r="AM677" i="34" s="1"/>
  <c r="BF221" i="14"/>
  <c r="AL677" i="34" s="1"/>
  <c r="BI220" i="14"/>
  <c r="AO676" i="34" s="1"/>
  <c r="BH220" i="14"/>
  <c r="BG220" i="14"/>
  <c r="AM676" i="34" s="1"/>
  <c r="BF220" i="14"/>
  <c r="AL676" i="34" s="1"/>
  <c r="AI223" i="14"/>
  <c r="AI679" i="34" s="1"/>
  <c r="AH223" i="14"/>
  <c r="AH679" i="34" s="1"/>
  <c r="AG223" i="14"/>
  <c r="AG679" i="34" s="1"/>
  <c r="AF223" i="14"/>
  <c r="AE223" i="14"/>
  <c r="AE679" i="34" s="1"/>
  <c r="AD223" i="14"/>
  <c r="AD151" i="14" s="1"/>
  <c r="AC223" i="14"/>
  <c r="AC679" i="34" s="1"/>
  <c r="AB223" i="14"/>
  <c r="AA223" i="14"/>
  <c r="AA679" i="34" s="1"/>
  <c r="Z223" i="14"/>
  <c r="Z679" i="34" s="1"/>
  <c r="Y223" i="14"/>
  <c r="X223" i="14"/>
  <c r="W223" i="14"/>
  <c r="W34" i="1" s="1"/>
  <c r="V223" i="14"/>
  <c r="V151" i="14" s="1"/>
  <c r="S223" i="14"/>
  <c r="S151" i="14" s="1"/>
  <c r="R223" i="14"/>
  <c r="R34" i="1" s="1"/>
  <c r="Q223" i="14"/>
  <c r="P223" i="14"/>
  <c r="P679" i="34" s="1"/>
  <c r="O223" i="14"/>
  <c r="N223" i="14"/>
  <c r="N679" i="34" s="1"/>
  <c r="AI222" i="14"/>
  <c r="AH222" i="14"/>
  <c r="AG222" i="14"/>
  <c r="AF222" i="14"/>
  <c r="AE222" i="14"/>
  <c r="AD222" i="14"/>
  <c r="AC222" i="14"/>
  <c r="AB222" i="14"/>
  <c r="AB119" i="14" s="1"/>
  <c r="AA222" i="14"/>
  <c r="Z222" i="14"/>
  <c r="Z678" i="34" s="1"/>
  <c r="Y222" i="14"/>
  <c r="X222" i="14"/>
  <c r="W222" i="14"/>
  <c r="W678" i="34" s="1"/>
  <c r="V222" i="14"/>
  <c r="V678" i="34" s="1"/>
  <c r="U222" i="14"/>
  <c r="U33" i="1" s="1"/>
  <c r="T222" i="14"/>
  <c r="S222" i="14"/>
  <c r="S678" i="34" s="1"/>
  <c r="R222" i="14"/>
  <c r="Q222" i="14"/>
  <c r="P222" i="14"/>
  <c r="P678" i="34" s="1"/>
  <c r="O222" i="14"/>
  <c r="O678" i="34" s="1"/>
  <c r="N222" i="14"/>
  <c r="M222" i="14"/>
  <c r="M678" i="34" s="1"/>
  <c r="AI221" i="14"/>
  <c r="AI677" i="34" s="1"/>
  <c r="AH221" i="14"/>
  <c r="AG221" i="14"/>
  <c r="AF221" i="14"/>
  <c r="AF64" i="14" s="1"/>
  <c r="AE221" i="14"/>
  <c r="AD221" i="14"/>
  <c r="AC221" i="14"/>
  <c r="AC677" i="34" s="1"/>
  <c r="AB221" i="14"/>
  <c r="AB224" i="14" s="1"/>
  <c r="AB680" i="34" s="1"/>
  <c r="AA221" i="14"/>
  <c r="Z221" i="14"/>
  <c r="Y221" i="14"/>
  <c r="Y64" i="14" s="1"/>
  <c r="X221" i="14"/>
  <c r="X32" i="1" s="1"/>
  <c r="X1225" i="34" s="1"/>
  <c r="W221" i="14"/>
  <c r="W64" i="14" s="1"/>
  <c r="V221" i="14"/>
  <c r="U221" i="14"/>
  <c r="U677" i="34" s="1"/>
  <c r="T221" i="14"/>
  <c r="S221" i="14"/>
  <c r="R221" i="14"/>
  <c r="Q221" i="14"/>
  <c r="Q64" i="14" s="1"/>
  <c r="P221" i="14"/>
  <c r="O221" i="14"/>
  <c r="N221" i="14"/>
  <c r="N677" i="34" s="1"/>
  <c r="M221" i="14"/>
  <c r="M64" i="14" s="1"/>
  <c r="AI220" i="14"/>
  <c r="AI676" i="34" s="1"/>
  <c r="AH220" i="14"/>
  <c r="AH28" i="14" s="1"/>
  <c r="AG220" i="14"/>
  <c r="AG676" i="34" s="1"/>
  <c r="AF220" i="14"/>
  <c r="AF676" i="34" s="1"/>
  <c r="AE220" i="14"/>
  <c r="AD220" i="14"/>
  <c r="AC220" i="14"/>
  <c r="AC676" i="34" s="1"/>
  <c r="AB220" i="14"/>
  <c r="AB28" i="14" s="1"/>
  <c r="AA220" i="14"/>
  <c r="AA676" i="34" s="1"/>
  <c r="Z220" i="14"/>
  <c r="Y220" i="14"/>
  <c r="X220" i="14"/>
  <c r="X676" i="34" s="1"/>
  <c r="W220" i="14"/>
  <c r="W224" i="14" s="1"/>
  <c r="W680" i="34" s="1"/>
  <c r="V220" i="14"/>
  <c r="V676" i="34" s="1"/>
  <c r="U220" i="14"/>
  <c r="U28" i="14" s="1"/>
  <c r="T220" i="14"/>
  <c r="T676" i="34" s="1"/>
  <c r="S220" i="14"/>
  <c r="S28" i="14" s="1"/>
  <c r="R220" i="14"/>
  <c r="R676" i="34" s="1"/>
  <c r="Q220" i="14"/>
  <c r="P220" i="14"/>
  <c r="P676" i="34" s="1"/>
  <c r="O220" i="14"/>
  <c r="O676" i="34" s="1"/>
  <c r="N220" i="14"/>
  <c r="N676" i="34" s="1"/>
  <c r="M220" i="14"/>
  <c r="M676" i="34" s="1"/>
  <c r="BI217" i="14"/>
  <c r="BI185" i="14" s="1"/>
  <c r="BH217" i="14"/>
  <c r="BG217" i="14"/>
  <c r="AM673" i="34" s="1"/>
  <c r="BF217" i="14"/>
  <c r="AI217" i="14"/>
  <c r="AI673" i="34" s="1"/>
  <c r="AH217" i="14"/>
  <c r="AH185" i="14" s="1"/>
  <c r="AH101" i="1" s="1"/>
  <c r="AH89" i="34" s="1"/>
  <c r="AG217" i="14"/>
  <c r="AG673" i="34" s="1"/>
  <c r="AF217" i="14"/>
  <c r="AE217" i="14"/>
  <c r="AE185" i="14" s="1"/>
  <c r="AD217" i="14"/>
  <c r="AD36" i="1" s="1"/>
  <c r="AD1229" i="34" s="1"/>
  <c r="AC217" i="14"/>
  <c r="AB217" i="14"/>
  <c r="AB185" i="14" s="1"/>
  <c r="AA217" i="14"/>
  <c r="AA673" i="34" s="1"/>
  <c r="Z217" i="14"/>
  <c r="Y217" i="14"/>
  <c r="X217" i="14"/>
  <c r="X673" i="34" s="1"/>
  <c r="W217" i="14"/>
  <c r="V217" i="14"/>
  <c r="V36" i="1" s="1"/>
  <c r="V204" i="1" s="1"/>
  <c r="V190" i="34" s="1"/>
  <c r="T217" i="14"/>
  <c r="T673" i="34" s="1"/>
  <c r="S217" i="14"/>
  <c r="S673" i="34" s="1"/>
  <c r="R217" i="14"/>
  <c r="Q217" i="14"/>
  <c r="Q673" i="34" s="1"/>
  <c r="P217" i="14"/>
  <c r="O217" i="14"/>
  <c r="N217" i="14"/>
  <c r="N185" i="14" s="1"/>
  <c r="M217" i="14"/>
  <c r="M673" i="34" s="1"/>
  <c r="U215" i="14"/>
  <c r="BT216" i="14"/>
  <c r="AZ672" i="34" s="1"/>
  <c r="BS216" i="14"/>
  <c r="AY672" i="34" s="1"/>
  <c r="BR216" i="14"/>
  <c r="AX672" i="34" s="1"/>
  <c r="BQ216" i="14"/>
  <c r="AW672" i="34" s="1"/>
  <c r="BP216" i="14"/>
  <c r="AV672" i="34" s="1"/>
  <c r="BO216" i="14"/>
  <c r="AU672" i="34" s="1"/>
  <c r="BN216" i="14"/>
  <c r="AT672" i="34" s="1"/>
  <c r="BM216" i="14"/>
  <c r="AS672" i="34" s="1"/>
  <c r="BL216" i="14"/>
  <c r="AR672" i="34" s="1"/>
  <c r="BK216" i="14"/>
  <c r="AQ672" i="34" s="1"/>
  <c r="BJ216" i="14"/>
  <c r="AP672" i="34" s="1"/>
  <c r="BN215" i="14"/>
  <c r="AT671" i="34" s="1"/>
  <c r="BM215" i="14"/>
  <c r="AS671" i="34" s="1"/>
  <c r="BK215" i="14"/>
  <c r="AQ671" i="34" s="1"/>
  <c r="BJ215" i="14"/>
  <c r="AP671" i="34" s="1"/>
  <c r="BN214" i="14"/>
  <c r="AT670" i="34" s="1"/>
  <c r="BM214" i="14"/>
  <c r="AS670" i="34" s="1"/>
  <c r="BL214" i="14"/>
  <c r="AR670" i="34" s="1"/>
  <c r="BK214" i="14"/>
  <c r="AQ670" i="34" s="1"/>
  <c r="BJ214" i="14"/>
  <c r="AP670" i="34" s="1"/>
  <c r="BN213" i="14"/>
  <c r="BM213" i="14"/>
  <c r="AS669" i="34" s="1"/>
  <c r="BL213" i="14"/>
  <c r="BK213" i="14"/>
  <c r="AQ669" i="34" s="1"/>
  <c r="BJ213" i="14"/>
  <c r="AP669" i="34" s="1"/>
  <c r="BN212" i="14"/>
  <c r="AT668" i="34" s="1"/>
  <c r="BM212" i="14"/>
  <c r="BL212" i="14"/>
  <c r="AR668" i="34" s="1"/>
  <c r="BK212" i="14"/>
  <c r="AQ668" i="34" s="1"/>
  <c r="BJ212" i="14"/>
  <c r="BP215" i="14"/>
  <c r="AV671" i="34" s="1"/>
  <c r="AJ669" i="34"/>
  <c r="U207" i="14"/>
  <c r="BL207" i="14" s="1"/>
  <c r="T207" i="14"/>
  <c r="T203" i="14" s="1"/>
  <c r="T659" i="34" s="1"/>
  <c r="M207" i="14"/>
  <c r="M663" i="34" s="1"/>
  <c r="BT209" i="14"/>
  <c r="AZ664" i="34" s="1"/>
  <c r="BS209" i="14"/>
  <c r="AY664" i="34" s="1"/>
  <c r="BR209" i="14"/>
  <c r="AX664" i="34" s="1"/>
  <c r="BO209" i="14"/>
  <c r="AU664" i="34" s="1"/>
  <c r="BN209" i="14"/>
  <c r="AT664" i="34" s="1"/>
  <c r="BM209" i="14"/>
  <c r="AS664" i="34" s="1"/>
  <c r="BL209" i="14"/>
  <c r="AR664" i="34" s="1"/>
  <c r="BK209" i="14"/>
  <c r="AQ664" i="34" s="1"/>
  <c r="BJ209" i="14"/>
  <c r="AP664" i="34" s="1"/>
  <c r="BN208" i="14"/>
  <c r="AT665" i="34" s="1"/>
  <c r="BM208" i="14"/>
  <c r="BL208" i="14"/>
  <c r="BK208" i="14"/>
  <c r="AQ665" i="34" s="1"/>
  <c r="BJ208" i="14"/>
  <c r="BN207" i="14"/>
  <c r="AT663" i="34" s="1"/>
  <c r="BM207" i="14"/>
  <c r="BN206" i="14"/>
  <c r="AT662" i="34" s="1"/>
  <c r="BM206" i="14"/>
  <c r="BL206" i="14"/>
  <c r="AR662" i="34" s="1"/>
  <c r="BK206" i="14"/>
  <c r="BJ206" i="14"/>
  <c r="AP662" i="34" s="1"/>
  <c r="BN205" i="14"/>
  <c r="BM205" i="14"/>
  <c r="BL205" i="14"/>
  <c r="BK205" i="14"/>
  <c r="BJ205" i="14"/>
  <c r="AP661" i="34" s="1"/>
  <c r="BN204" i="14"/>
  <c r="AT660" i="34" s="1"/>
  <c r="BM204" i="14"/>
  <c r="BL204" i="14"/>
  <c r="BK204" i="14"/>
  <c r="AQ660" i="34" s="1"/>
  <c r="BJ204" i="14"/>
  <c r="AP660" i="34" s="1"/>
  <c r="BI203" i="14"/>
  <c r="AO659" i="34" s="1"/>
  <c r="BH203" i="14"/>
  <c r="AN659" i="34" s="1"/>
  <c r="BG203" i="14"/>
  <c r="AM659" i="34" s="1"/>
  <c r="BF203" i="14"/>
  <c r="AL659" i="34" s="1"/>
  <c r="AK37" i="1"/>
  <c r="AK1230" i="34" s="1"/>
  <c r="AK160" i="14"/>
  <c r="AJ223" i="14"/>
  <c r="AJ679" i="34" s="1"/>
  <c r="AL92" i="14"/>
  <c r="AK92" i="14"/>
  <c r="AL41" i="14"/>
  <c r="AK41" i="14"/>
  <c r="AI203" i="14"/>
  <c r="AI659" i="34" s="1"/>
  <c r="AH203" i="14"/>
  <c r="AH659" i="34" s="1"/>
  <c r="AG203" i="14"/>
  <c r="AG659" i="34" s="1"/>
  <c r="AF203" i="14"/>
  <c r="AF659" i="34" s="1"/>
  <c r="AE203" i="14"/>
  <c r="AE659" i="34" s="1"/>
  <c r="AD203" i="14"/>
  <c r="AD659" i="34" s="1"/>
  <c r="AC203" i="14"/>
  <c r="AC659" i="34" s="1"/>
  <c r="AB203" i="14"/>
  <c r="AB659" i="34" s="1"/>
  <c r="AA203" i="14"/>
  <c r="AA659" i="34" s="1"/>
  <c r="Z203" i="14"/>
  <c r="Z659" i="34" s="1"/>
  <c r="Y203" i="14"/>
  <c r="Y659" i="34" s="1"/>
  <c r="X203" i="14"/>
  <c r="X659" i="34" s="1"/>
  <c r="W203" i="14"/>
  <c r="W659" i="34" s="1"/>
  <c r="V203" i="14"/>
  <c r="V659" i="34" s="1"/>
  <c r="S203" i="14"/>
  <c r="S659" i="34" s="1"/>
  <c r="R203" i="14"/>
  <c r="R659" i="34" s="1"/>
  <c r="Q203" i="14"/>
  <c r="Q659" i="34" s="1"/>
  <c r="P203" i="14"/>
  <c r="P659" i="34" s="1"/>
  <c r="O203" i="14"/>
  <c r="O659" i="34" s="1"/>
  <c r="N203" i="14"/>
  <c r="N659" i="34" s="1"/>
  <c r="AJ195" i="14"/>
  <c r="AI195" i="14"/>
  <c r="AH195" i="14"/>
  <c r="AG195" i="14"/>
  <c r="AF195" i="14"/>
  <c r="AE195" i="14"/>
  <c r="AD195" i="14"/>
  <c r="AC195" i="14"/>
  <c r="AB195" i="14"/>
  <c r="AA195" i="14"/>
  <c r="Z195" i="14"/>
  <c r="Y195" i="14"/>
  <c r="X195" i="14"/>
  <c r="W195" i="14"/>
  <c r="V195" i="14"/>
  <c r="U195" i="14"/>
  <c r="T195" i="14"/>
  <c r="AI185" i="14"/>
  <c r="AA185" i="14"/>
  <c r="BK176" i="14"/>
  <c r="AQ645" i="34" s="1"/>
  <c r="BJ176" i="14"/>
  <c r="AP645" i="34" s="1"/>
  <c r="BI176" i="14"/>
  <c r="AO645" i="34" s="1"/>
  <c r="BH176" i="14"/>
  <c r="AN645" i="34" s="1"/>
  <c r="BG176" i="14"/>
  <c r="AM645" i="34" s="1"/>
  <c r="BF176" i="14"/>
  <c r="AL645" i="34" s="1"/>
  <c r="BR173" i="14"/>
  <c r="BS173" i="14" s="1"/>
  <c r="BT173" i="14" s="1"/>
  <c r="BU173" i="14" s="1"/>
  <c r="BV173" i="14" s="1"/>
  <c r="BW173" i="14" s="1"/>
  <c r="BX173" i="14" s="1"/>
  <c r="BY173" i="14" s="1"/>
  <c r="AJ168" i="14"/>
  <c r="AJ167" i="14"/>
  <c r="AJ166" i="14"/>
  <c r="AJ165" i="14"/>
  <c r="BO164" i="14"/>
  <c r="BN164" i="14"/>
  <c r="BM164" i="14"/>
  <c r="BL164" i="14"/>
  <c r="AL164" i="14"/>
  <c r="AK164" i="14"/>
  <c r="AI164" i="14"/>
  <c r="AH164" i="14"/>
  <c r="AG164" i="14"/>
  <c r="BN160" i="14"/>
  <c r="AI160" i="14"/>
  <c r="AH160" i="14"/>
  <c r="AG160" i="14"/>
  <c r="AF160" i="14"/>
  <c r="AE160" i="14"/>
  <c r="AD160" i="14"/>
  <c r="AC160" i="14"/>
  <c r="AB160" i="14"/>
  <c r="AA160" i="14"/>
  <c r="Z160" i="14"/>
  <c r="Y160" i="14"/>
  <c r="X160" i="14"/>
  <c r="W160" i="14"/>
  <c r="V160" i="14"/>
  <c r="S160" i="14"/>
  <c r="R160" i="14"/>
  <c r="Q160" i="14"/>
  <c r="P160" i="14"/>
  <c r="O160" i="14"/>
  <c r="N160" i="14"/>
  <c r="BK139" i="14"/>
  <c r="BJ139" i="14"/>
  <c r="BI139" i="14"/>
  <c r="BH139" i="14"/>
  <c r="BG139" i="14"/>
  <c r="BF139" i="14"/>
  <c r="AJ136" i="14"/>
  <c r="AJ135" i="14"/>
  <c r="AJ134" i="14"/>
  <c r="BO133" i="14"/>
  <c r="BN133" i="14"/>
  <c r="BM133" i="14"/>
  <c r="BL133" i="14"/>
  <c r="AL133" i="14"/>
  <c r="AK133" i="14"/>
  <c r="AI133" i="14"/>
  <c r="AH133" i="14"/>
  <c r="AG133" i="14"/>
  <c r="AI128" i="14"/>
  <c r="AI634" i="34" s="1"/>
  <c r="AH128" i="14"/>
  <c r="AG128" i="14"/>
  <c r="AF128" i="14"/>
  <c r="AF634" i="34" s="1"/>
  <c r="AE128" i="14"/>
  <c r="AD128" i="14"/>
  <c r="AD634" i="34" s="1"/>
  <c r="AC128" i="14"/>
  <c r="AB128" i="14"/>
  <c r="AB634" i="34" s="1"/>
  <c r="AA128" i="14"/>
  <c r="AA634" i="34" s="1"/>
  <c r="Z128" i="14"/>
  <c r="Y128" i="14"/>
  <c r="Y634" i="34" s="1"/>
  <c r="X128" i="14"/>
  <c r="X634" i="34" s="1"/>
  <c r="W128" i="14"/>
  <c r="V128" i="14"/>
  <c r="V634" i="34" s="1"/>
  <c r="U128" i="14"/>
  <c r="U634" i="34" s="1"/>
  <c r="T128" i="14"/>
  <c r="T634" i="34" s="1"/>
  <c r="S128" i="14"/>
  <c r="R128" i="14"/>
  <c r="Q128" i="14"/>
  <c r="Q634" i="34" s="1"/>
  <c r="P128" i="14"/>
  <c r="P634" i="34" s="1"/>
  <c r="O128" i="14"/>
  <c r="O634" i="34" s="1"/>
  <c r="N128" i="14"/>
  <c r="N634" i="34" s="1"/>
  <c r="M128" i="14"/>
  <c r="M634" i="34" s="1"/>
  <c r="AY127" i="14"/>
  <c r="AX127" i="14"/>
  <c r="AT127" i="14"/>
  <c r="V119" i="14"/>
  <c r="V625" i="34" s="1"/>
  <c r="O119" i="14"/>
  <c r="O625" i="34" s="1"/>
  <c r="AJ102" i="14"/>
  <c r="AJ101" i="14"/>
  <c r="AJ100" i="14"/>
  <c r="AJ97" i="14"/>
  <c r="BN96" i="14"/>
  <c r="BN98" i="14" s="1"/>
  <c r="BM96" i="14"/>
  <c r="BM98" i="14" s="1"/>
  <c r="BL96" i="14"/>
  <c r="BL98" i="14" s="1"/>
  <c r="AK96" i="14"/>
  <c r="AI96" i="14"/>
  <c r="AI98" i="14" s="1"/>
  <c r="AH96" i="14"/>
  <c r="AG96" i="14"/>
  <c r="AG98" i="14" s="1"/>
  <c r="AI92" i="14"/>
  <c r="AH92" i="14"/>
  <c r="AG92" i="14"/>
  <c r="AF92" i="14"/>
  <c r="AE92" i="14"/>
  <c r="AD92" i="14"/>
  <c r="AH93" i="14" s="1"/>
  <c r="AC92" i="14"/>
  <c r="AB92" i="14"/>
  <c r="AA92" i="14"/>
  <c r="Z92" i="14"/>
  <c r="Y92" i="14"/>
  <c r="X92" i="14"/>
  <c r="W92" i="14"/>
  <c r="V92" i="14"/>
  <c r="U92" i="14"/>
  <c r="T92" i="14"/>
  <c r="S92" i="14"/>
  <c r="R92" i="14"/>
  <c r="Q92" i="14"/>
  <c r="AF78" i="14"/>
  <c r="AE78" i="14"/>
  <c r="AD78" i="14"/>
  <c r="AF77" i="14"/>
  <c r="AE77" i="14"/>
  <c r="AD77" i="14"/>
  <c r="AF76" i="14"/>
  <c r="AE76" i="14"/>
  <c r="AD76" i="14"/>
  <c r="BN73" i="14"/>
  <c r="AP78" i="14"/>
  <c r="AN78" i="14"/>
  <c r="AK78" i="14"/>
  <c r="AJ78" i="14"/>
  <c r="AI78" i="14"/>
  <c r="AH78" i="14"/>
  <c r="AG78" i="14"/>
  <c r="AN77" i="14"/>
  <c r="AK77" i="14"/>
  <c r="AJ77" i="14"/>
  <c r="AI77" i="14"/>
  <c r="AH77" i="14"/>
  <c r="AG77" i="14"/>
  <c r="AP76" i="14"/>
  <c r="AN76" i="14"/>
  <c r="AK76" i="14"/>
  <c r="AJ76" i="14"/>
  <c r="AI76" i="14"/>
  <c r="AH76" i="14"/>
  <c r="AG76" i="14"/>
  <c r="AN75" i="14"/>
  <c r="AK75" i="14"/>
  <c r="AJ75" i="14"/>
  <c r="AI75" i="14"/>
  <c r="AH75" i="14"/>
  <c r="AG75" i="14"/>
  <c r="BQ73" i="14"/>
  <c r="BO73" i="14"/>
  <c r="BO75" i="14" s="1"/>
  <c r="AU75" i="14"/>
  <c r="AL73" i="14"/>
  <c r="AP77" i="14" s="1"/>
  <c r="AG64" i="14"/>
  <c r="AH56" i="14"/>
  <c r="AG56" i="14"/>
  <c r="AJ50" i="14"/>
  <c r="AJ49" i="14"/>
  <c r="AJ48" i="14"/>
  <c r="AJ47" i="14"/>
  <c r="AJ46" i="14"/>
  <c r="AJ45" i="14"/>
  <c r="BR48" i="14"/>
  <c r="BS48" i="14" s="1"/>
  <c r="BT48" i="14" s="1"/>
  <c r="BU48" i="14" s="1"/>
  <c r="BV48" i="14" s="1"/>
  <c r="BW48" i="14" s="1"/>
  <c r="BX48" i="14" s="1"/>
  <c r="BR46" i="14"/>
  <c r="BS46" i="14" s="1"/>
  <c r="BT46" i="14" s="1"/>
  <c r="BU46" i="14" s="1"/>
  <c r="BV46" i="14" s="1"/>
  <c r="BW46" i="14" s="1"/>
  <c r="BX46" i="14" s="1"/>
  <c r="BY46" i="14" s="1"/>
  <c r="AI41" i="14"/>
  <c r="AH41" i="14"/>
  <c r="AG41" i="14"/>
  <c r="AF41" i="14"/>
  <c r="AE41" i="14"/>
  <c r="AD41" i="14"/>
  <c r="AC41" i="14"/>
  <c r="AB41" i="14"/>
  <c r="AA41" i="14"/>
  <c r="Z41" i="14"/>
  <c r="Y41" i="14"/>
  <c r="X41" i="14"/>
  <c r="W41" i="14"/>
  <c r="V41" i="14"/>
  <c r="U41" i="14"/>
  <c r="AG28" i="14"/>
  <c r="AG604" i="34" s="1"/>
  <c r="P22" i="14"/>
  <c r="P586" i="34" s="1"/>
  <c r="O22" i="14"/>
  <c r="O586" i="34" s="1"/>
  <c r="N22" i="14"/>
  <c r="N586" i="34" s="1"/>
  <c r="M22" i="14"/>
  <c r="M586" i="34" s="1"/>
  <c r="P21" i="14"/>
  <c r="P585" i="34" s="1"/>
  <c r="O21" i="14"/>
  <c r="O585" i="34" s="1"/>
  <c r="N21" i="14"/>
  <c r="N585" i="34" s="1"/>
  <c r="M21" i="14"/>
  <c r="M585" i="34" s="1"/>
  <c r="S12" i="14"/>
  <c r="S579" i="34" s="1"/>
  <c r="R12" i="14"/>
  <c r="R579" i="34" s="1"/>
  <c r="Q12" i="14"/>
  <c r="Q579" i="34" s="1"/>
  <c r="P12" i="14"/>
  <c r="P579" i="34" s="1"/>
  <c r="O12" i="14"/>
  <c r="O579" i="34" s="1"/>
  <c r="N12" i="14"/>
  <c r="N579" i="34" s="1"/>
  <c r="M12" i="14"/>
  <c r="M579" i="34" s="1"/>
  <c r="S11" i="14"/>
  <c r="S578" i="34" s="1"/>
  <c r="R11" i="14"/>
  <c r="R578" i="34" s="1"/>
  <c r="Q11" i="14"/>
  <c r="Q578" i="34" s="1"/>
  <c r="P11" i="14"/>
  <c r="P578" i="34" s="1"/>
  <c r="O11" i="14"/>
  <c r="O578" i="34" s="1"/>
  <c r="N11" i="14"/>
  <c r="N578" i="34" s="1"/>
  <c r="M11" i="14"/>
  <c r="M578" i="34" s="1"/>
  <c r="BG6" i="14"/>
  <c r="BH6" i="14" s="1"/>
  <c r="BI6" i="14" s="1"/>
  <c r="BJ6" i="14" s="1"/>
  <c r="BK6" i="14" s="1"/>
  <c r="BL6" i="14" s="1"/>
  <c r="BM6" i="14" s="1"/>
  <c r="BN6" i="14" s="1"/>
  <c r="BO6" i="14" s="1"/>
  <c r="BP6" i="14" s="1"/>
  <c r="BQ6" i="14" s="1"/>
  <c r="BR6" i="14" s="1"/>
  <c r="BS6" i="14" s="1"/>
  <c r="BT6" i="14" s="1"/>
  <c r="BU6" i="14" s="1"/>
  <c r="BV6" i="14" s="1"/>
  <c r="BW6" i="14" s="1"/>
  <c r="BX6" i="14" s="1"/>
  <c r="BY6" i="14" s="1"/>
  <c r="BY5" i="14"/>
  <c r="BX5" i="14"/>
  <c r="BW5" i="14"/>
  <c r="BV5" i="14"/>
  <c r="BU5" i="14"/>
  <c r="BT5" i="14"/>
  <c r="BS5" i="14"/>
  <c r="BR5" i="14"/>
  <c r="BQ5" i="14"/>
  <c r="BN5" i="14"/>
  <c r="BM5" i="14"/>
  <c r="BL5" i="14"/>
  <c r="BK5" i="14"/>
  <c r="BJ5" i="14"/>
  <c r="BI5" i="14"/>
  <c r="BH5" i="14"/>
  <c r="BG5" i="14"/>
  <c r="BF5" i="14"/>
  <c r="N6" i="14"/>
  <c r="O6" i="14" s="1"/>
  <c r="P6" i="14" s="1"/>
  <c r="M5" i="14"/>
  <c r="BD478" i="2"/>
  <c r="BC478" i="2"/>
  <c r="BB478" i="2"/>
  <c r="BA478" i="2"/>
  <c r="AZ478" i="2"/>
  <c r="AY478" i="2"/>
  <c r="AX478" i="2"/>
  <c r="AW478" i="2"/>
  <c r="AV478" i="2"/>
  <c r="AU478" i="2"/>
  <c r="AT478" i="2"/>
  <c r="AS478" i="2"/>
  <c r="AR478" i="2"/>
  <c r="AQ478" i="2"/>
  <c r="AP478" i="2"/>
  <c r="AO478" i="2"/>
  <c r="AN478" i="2"/>
  <c r="AM478" i="2"/>
  <c r="AL478" i="2"/>
  <c r="AI478" i="2"/>
  <c r="AI423" i="34" s="1"/>
  <c r="AH478" i="2"/>
  <c r="AH423" i="34" s="1"/>
  <c r="BD477" i="2"/>
  <c r="BC477" i="2"/>
  <c r="BB477" i="2"/>
  <c r="BA477" i="2"/>
  <c r="AZ477" i="2"/>
  <c r="AY477" i="2"/>
  <c r="AX477" i="2"/>
  <c r="AW477" i="2"/>
  <c r="AV477" i="2"/>
  <c r="AU477" i="2"/>
  <c r="AT477" i="2"/>
  <c r="AS477" i="2"/>
  <c r="AR477" i="2"/>
  <c r="AQ477" i="2"/>
  <c r="AP477" i="2"/>
  <c r="AO477" i="2"/>
  <c r="AM477" i="2"/>
  <c r="AL477" i="2"/>
  <c r="AK477" i="2"/>
  <c r="BD475" i="2"/>
  <c r="BC475" i="2"/>
  <c r="BB475" i="2"/>
  <c r="BA475" i="2"/>
  <c r="AZ475" i="2"/>
  <c r="AY475" i="2"/>
  <c r="AX475" i="2"/>
  <c r="AW475" i="2"/>
  <c r="AV475" i="2"/>
  <c r="AU475" i="2"/>
  <c r="AT475" i="2"/>
  <c r="AS475" i="2"/>
  <c r="AR475" i="2"/>
  <c r="AQ475" i="2"/>
  <c r="AP475" i="2"/>
  <c r="AO475" i="2"/>
  <c r="AN475" i="2"/>
  <c r="AM475" i="2"/>
  <c r="AL475" i="2"/>
  <c r="AI475" i="2"/>
  <c r="AI420" i="34" s="1"/>
  <c r="AH475" i="2"/>
  <c r="AH420" i="34" s="1"/>
  <c r="BD473" i="2"/>
  <c r="BC473" i="2"/>
  <c r="BB473" i="2"/>
  <c r="BA473" i="2"/>
  <c r="AZ473" i="2"/>
  <c r="AY473" i="2"/>
  <c r="AX473" i="2"/>
  <c r="AW473" i="2"/>
  <c r="AV473" i="2"/>
  <c r="AU473" i="2"/>
  <c r="AT473" i="2"/>
  <c r="AS473" i="2"/>
  <c r="AR473" i="2"/>
  <c r="AQ473" i="2"/>
  <c r="AP473" i="2"/>
  <c r="AO473" i="2"/>
  <c r="AM473" i="2"/>
  <c r="AL473" i="2"/>
  <c r="AK473" i="2"/>
  <c r="BQ472" i="2"/>
  <c r="BP472" i="2"/>
  <c r="AV418" i="34" s="1"/>
  <c r="BI472" i="2"/>
  <c r="BH472" i="2"/>
  <c r="BH473" i="2" s="1"/>
  <c r="AN419" i="34" s="1"/>
  <c r="W472" i="2"/>
  <c r="V472" i="2"/>
  <c r="U472" i="2"/>
  <c r="T472" i="2"/>
  <c r="S472" i="2"/>
  <c r="R472" i="2"/>
  <c r="Q472" i="2"/>
  <c r="Q480" i="2" s="1"/>
  <c r="P472" i="2"/>
  <c r="P476" i="2" s="1"/>
  <c r="P421" i="34" s="1"/>
  <c r="O472" i="2"/>
  <c r="O473" i="2" s="1"/>
  <c r="O419" i="34" s="1"/>
  <c r="N472" i="2"/>
  <c r="M472" i="2"/>
  <c r="BI460" i="2"/>
  <c r="AO410" i="34" s="1"/>
  <c r="BH460" i="2"/>
  <c r="BG460" i="2"/>
  <c r="BG1120" i="34" s="1"/>
  <c r="BF460" i="2"/>
  <c r="AC462" i="2"/>
  <c r="AE461" i="2"/>
  <c r="AD461" i="2"/>
  <c r="AD1121" i="34" s="1"/>
  <c r="Y461" i="2"/>
  <c r="X461" i="2"/>
  <c r="X411" i="34" s="1"/>
  <c r="W461" i="2"/>
  <c r="V461" i="2"/>
  <c r="V1121" i="34" s="1"/>
  <c r="U461" i="2"/>
  <c r="T461" i="2"/>
  <c r="T1121" i="34" s="1"/>
  <c r="AE460" i="2"/>
  <c r="AC460" i="2"/>
  <c r="AA460" i="2"/>
  <c r="Y460" i="2"/>
  <c r="X460" i="2"/>
  <c r="W460" i="2"/>
  <c r="W410" i="34" s="1"/>
  <c r="V460" i="2"/>
  <c r="V410" i="34" s="1"/>
  <c r="U460" i="2"/>
  <c r="U410" i="34" s="1"/>
  <c r="T460" i="2"/>
  <c r="BL459" i="2"/>
  <c r="BL1119" i="34" s="1"/>
  <c r="BK459" i="2"/>
  <c r="BJ459" i="2"/>
  <c r="BJ1119" i="34" s="1"/>
  <c r="AB459" i="2"/>
  <c r="AB446" i="2" s="1"/>
  <c r="AB457" i="2" s="1"/>
  <c r="AB1117" i="34" s="1"/>
  <c r="Z459" i="2"/>
  <c r="Z460" i="2" s="1"/>
  <c r="Z1120" i="34" s="1"/>
  <c r="BI455" i="2"/>
  <c r="BH455" i="2"/>
  <c r="AN405" i="34" s="1"/>
  <c r="BG455" i="2"/>
  <c r="BF455" i="2"/>
  <c r="AL405" i="34" s="1"/>
  <c r="AE456" i="2"/>
  <c r="AB456" i="2"/>
  <c r="Y456" i="2"/>
  <c r="X456" i="2"/>
  <c r="W456" i="2"/>
  <c r="V456" i="2"/>
  <c r="U456" i="2"/>
  <c r="T456" i="2"/>
  <c r="T406" i="34" s="1"/>
  <c r="AE455" i="2"/>
  <c r="AB455" i="2"/>
  <c r="AA455" i="2"/>
  <c r="Y455" i="2"/>
  <c r="X455" i="2"/>
  <c r="W455" i="2"/>
  <c r="W1115" i="34" s="1"/>
  <c r="V455" i="2"/>
  <c r="U455" i="2"/>
  <c r="U405" i="34" s="1"/>
  <c r="T455" i="2"/>
  <c r="BI454" i="2"/>
  <c r="BH454" i="2"/>
  <c r="BG454" i="2"/>
  <c r="AB453" i="2"/>
  <c r="Y453" i="2"/>
  <c r="Y1113" i="34" s="1"/>
  <c r="X453" i="2"/>
  <c r="W453" i="2"/>
  <c r="V453" i="2"/>
  <c r="U453" i="2"/>
  <c r="U403" i="34" s="1"/>
  <c r="BM452" i="2"/>
  <c r="BL452" i="2"/>
  <c r="BK452" i="2"/>
  <c r="BJ452" i="2"/>
  <c r="AC452" i="2"/>
  <c r="AC457" i="2" s="1"/>
  <c r="Z452" i="2"/>
  <c r="BD448" i="2"/>
  <c r="BD1108" i="34" s="1"/>
  <c r="BC448" i="2"/>
  <c r="BC1108" i="34" s="1"/>
  <c r="BB448" i="2"/>
  <c r="BA448" i="2"/>
  <c r="AZ448" i="2"/>
  <c r="AZ1108" i="34" s="1"/>
  <c r="AY448" i="2"/>
  <c r="AY1108" i="34" s="1"/>
  <c r="AX448" i="2"/>
  <c r="AX1108" i="34" s="1"/>
  <c r="AW448" i="2"/>
  <c r="AW1108" i="34" s="1"/>
  <c r="AV448" i="2"/>
  <c r="AV1108" i="34" s="1"/>
  <c r="AU448" i="2"/>
  <c r="AU1108" i="34" s="1"/>
  <c r="AT448" i="2"/>
  <c r="AT1108" i="34" s="1"/>
  <c r="AS448" i="2"/>
  <c r="AS1108" i="34" s="1"/>
  <c r="AR1108" i="34"/>
  <c r="AQ448" i="2"/>
  <c r="AQ1108" i="34" s="1"/>
  <c r="AP448" i="2"/>
  <c r="AP1108" i="34" s="1"/>
  <c r="AO448" i="2"/>
  <c r="AO1108" i="34" s="1"/>
  <c r="AN448" i="2"/>
  <c r="AN1108" i="34" s="1"/>
  <c r="AL448" i="2"/>
  <c r="AL1108" i="34" s="1"/>
  <c r="AK448" i="2"/>
  <c r="AK1108" i="34" s="1"/>
  <c r="AJ448" i="2"/>
  <c r="AJ1108" i="34" s="1"/>
  <c r="AI448" i="2"/>
  <c r="AH448" i="2"/>
  <c r="AG448" i="2"/>
  <c r="AG1108" i="34" s="1"/>
  <c r="W446" i="2"/>
  <c r="W449" i="2" s="1"/>
  <c r="W399" i="34" s="1"/>
  <c r="BI446" i="2"/>
  <c r="BH446" i="2"/>
  <c r="BH462" i="2" s="1"/>
  <c r="BG446" i="2"/>
  <c r="AM396" i="34" s="1"/>
  <c r="BF446" i="2"/>
  <c r="AE446" i="2"/>
  <c r="AD446" i="2"/>
  <c r="AA446" i="2"/>
  <c r="AA396" i="34" s="1"/>
  <c r="Y446" i="2"/>
  <c r="X446" i="2"/>
  <c r="V446" i="2"/>
  <c r="U446" i="2"/>
  <c r="T446" i="2"/>
  <c r="T450" i="2" s="1"/>
  <c r="P446" i="2"/>
  <c r="AJ1077" i="34"/>
  <c r="AJ1076" i="34"/>
  <c r="AJ1075" i="34"/>
  <c r="AJ1074" i="34"/>
  <c r="AJ1073" i="34"/>
  <c r="AJ1072" i="34"/>
  <c r="AL1077" i="34"/>
  <c r="AK1077" i="34"/>
  <c r="AL1076" i="34"/>
  <c r="AK1076" i="34"/>
  <c r="AL1075" i="34"/>
  <c r="AL1074" i="34"/>
  <c r="AK1074" i="34"/>
  <c r="AL1073" i="34"/>
  <c r="AK1073" i="34"/>
  <c r="AL1072" i="34"/>
  <c r="AF436" i="2"/>
  <c r="AF1055" i="34" s="1"/>
  <c r="AE436" i="2"/>
  <c r="AE1055" i="34" s="1"/>
  <c r="AD436" i="2"/>
  <c r="AD1055" i="34" s="1"/>
  <c r="AC436" i="2"/>
  <c r="AC1055" i="34" s="1"/>
  <c r="AB436" i="2"/>
  <c r="AB1055" i="34" s="1"/>
  <c r="AA436" i="2"/>
  <c r="AA1055" i="34" s="1"/>
  <c r="Z436" i="2"/>
  <c r="Z1055" i="34" s="1"/>
  <c r="AI435" i="2"/>
  <c r="AI1054" i="34" s="1"/>
  <c r="AH435" i="2"/>
  <c r="AH1054" i="34" s="1"/>
  <c r="AG435" i="2"/>
  <c r="AG1054" i="34" s="1"/>
  <c r="AF435" i="2"/>
  <c r="AF1054" i="34" s="1"/>
  <c r="AE435" i="2"/>
  <c r="AE1054" i="34" s="1"/>
  <c r="AD435" i="2"/>
  <c r="AD1054" i="34" s="1"/>
  <c r="AC435" i="2"/>
  <c r="AC1054" i="34" s="1"/>
  <c r="AB435" i="2"/>
  <c r="AB1054" i="34" s="1"/>
  <c r="AA435" i="2"/>
  <c r="AA1054" i="34" s="1"/>
  <c r="AI434" i="2"/>
  <c r="AI1053" i="34" s="1"/>
  <c r="AH434" i="2"/>
  <c r="AH1053" i="34" s="1"/>
  <c r="AG434" i="2"/>
  <c r="AG1053" i="34" s="1"/>
  <c r="AF434" i="2"/>
  <c r="AF1053" i="34" s="1"/>
  <c r="AE434" i="2"/>
  <c r="AE1053" i="34" s="1"/>
  <c r="AD434" i="2"/>
  <c r="AD1053" i="34" s="1"/>
  <c r="AK434" i="2"/>
  <c r="AK1053" i="34" s="1"/>
  <c r="Y433" i="2"/>
  <c r="BI422" i="2"/>
  <c r="BI425" i="2" s="1"/>
  <c r="BH422" i="2"/>
  <c r="AF422" i="2"/>
  <c r="AE422" i="2"/>
  <c r="AD422" i="2"/>
  <c r="AC422" i="2"/>
  <c r="AB422" i="2"/>
  <c r="AB1047" i="34" s="1"/>
  <c r="AA422" i="2"/>
  <c r="Z422" i="2"/>
  <c r="Y422" i="2"/>
  <c r="X422" i="2"/>
  <c r="W422" i="2"/>
  <c r="V422" i="2"/>
  <c r="U422" i="2"/>
  <c r="T422" i="2"/>
  <c r="T1047" i="34" s="1"/>
  <c r="S422" i="2"/>
  <c r="R422" i="2"/>
  <c r="R570" i="34" s="1"/>
  <c r="Q422" i="2"/>
  <c r="P422" i="2"/>
  <c r="P1047" i="34" s="1"/>
  <c r="O422" i="2"/>
  <c r="O425" i="2" s="1"/>
  <c r="N422" i="2"/>
  <c r="N570" i="34" s="1"/>
  <c r="M422" i="2"/>
  <c r="BI419" i="2"/>
  <c r="BH419" i="2"/>
  <c r="AF420" i="2"/>
  <c r="AE420" i="2"/>
  <c r="AD420" i="2"/>
  <c r="AC420" i="2"/>
  <c r="AB420" i="2"/>
  <c r="AA420" i="2"/>
  <c r="Z420" i="2"/>
  <c r="Z568" i="34" s="1"/>
  <c r="Y420" i="2"/>
  <c r="X420" i="2"/>
  <c r="W420" i="2"/>
  <c r="V420" i="2"/>
  <c r="U420" i="2"/>
  <c r="T420" i="2"/>
  <c r="T1045" i="34" s="1"/>
  <c r="S420" i="2"/>
  <c r="R420" i="2"/>
  <c r="Q420" i="2"/>
  <c r="P420" i="2"/>
  <c r="O420" i="2"/>
  <c r="O1045" i="34" s="1"/>
  <c r="N420" i="2"/>
  <c r="N568" i="34" s="1"/>
  <c r="M420" i="2"/>
  <c r="AF419" i="2"/>
  <c r="AE419" i="2"/>
  <c r="AD419" i="2"/>
  <c r="AC419" i="2"/>
  <c r="AB419" i="2"/>
  <c r="AA419" i="2"/>
  <c r="Z419" i="2"/>
  <c r="Z567" i="34" s="1"/>
  <c r="Y419" i="2"/>
  <c r="X419" i="2"/>
  <c r="X567" i="34" s="1"/>
  <c r="W419" i="2"/>
  <c r="V419" i="2"/>
  <c r="U419" i="2"/>
  <c r="U1044" i="34" s="1"/>
  <c r="T419" i="2"/>
  <c r="T1044" i="34" s="1"/>
  <c r="S419" i="2"/>
  <c r="R419" i="2"/>
  <c r="R567" i="34" s="1"/>
  <c r="Q419" i="2"/>
  <c r="P419" i="2"/>
  <c r="P567" i="34" s="1"/>
  <c r="O419" i="2"/>
  <c r="O567" i="34" s="1"/>
  <c r="N419" i="2"/>
  <c r="M419" i="2"/>
  <c r="BI418" i="2"/>
  <c r="BD418" i="2"/>
  <c r="BD1043" i="34" s="1"/>
  <c r="BC418" i="2"/>
  <c r="BC1043" i="34" s="1"/>
  <c r="BB418" i="2"/>
  <c r="BA418" i="2"/>
  <c r="AZ418" i="2"/>
  <c r="AZ1043" i="34" s="1"/>
  <c r="AY418" i="2"/>
  <c r="AY1043" i="34" s="1"/>
  <c r="AX418" i="2"/>
  <c r="AX1043" i="34" s="1"/>
  <c r="AW418" i="2"/>
  <c r="AW1043" i="34" s="1"/>
  <c r="AV418" i="2"/>
  <c r="AV1043" i="34" s="1"/>
  <c r="AU418" i="2"/>
  <c r="AU1043" i="34" s="1"/>
  <c r="AT418" i="2"/>
  <c r="AT1043" i="34" s="1"/>
  <c r="AS418" i="2"/>
  <c r="AS1043" i="34" s="1"/>
  <c r="W417" i="2"/>
  <c r="W1042" i="34" s="1"/>
  <c r="AF417" i="2"/>
  <c r="AE417" i="2"/>
  <c r="AD417" i="2"/>
  <c r="AC417" i="2"/>
  <c r="AC565" i="34" s="1"/>
  <c r="AB417" i="2"/>
  <c r="AA417" i="2"/>
  <c r="AA565" i="34" s="1"/>
  <c r="Z417" i="2"/>
  <c r="Y417" i="2"/>
  <c r="Y565" i="34" s="1"/>
  <c r="X417" i="2"/>
  <c r="V417" i="2"/>
  <c r="V1042" i="34" s="1"/>
  <c r="U417" i="2"/>
  <c r="T417" i="2"/>
  <c r="T565" i="34" s="1"/>
  <c r="S417" i="2"/>
  <c r="R417" i="2"/>
  <c r="R565" i="34" s="1"/>
  <c r="Q417" i="2"/>
  <c r="Q1042" i="34" s="1"/>
  <c r="P417" i="2"/>
  <c r="P1042" i="34" s="1"/>
  <c r="O417" i="2"/>
  <c r="O565" i="34" s="1"/>
  <c r="N417" i="2"/>
  <c r="BN416" i="2"/>
  <c r="BM416" i="2"/>
  <c r="BL416" i="2"/>
  <c r="BK416" i="2"/>
  <c r="BK1041" i="34" s="1"/>
  <c r="BJ416" i="2"/>
  <c r="AJ417" i="2"/>
  <c r="AA408" i="2"/>
  <c r="AB411" i="2"/>
  <c r="BI396" i="2"/>
  <c r="BH396" i="2"/>
  <c r="AF396" i="2"/>
  <c r="AE396" i="2"/>
  <c r="AE1020" i="34" s="1"/>
  <c r="AD396" i="2"/>
  <c r="AD1020" i="34" s="1"/>
  <c r="AC396" i="2"/>
  <c r="AB396" i="2"/>
  <c r="AA396" i="2"/>
  <c r="Z396" i="2"/>
  <c r="Y396" i="2"/>
  <c r="Y1020" i="34" s="1"/>
  <c r="X396" i="2"/>
  <c r="W396" i="2"/>
  <c r="V396" i="2"/>
  <c r="U396" i="2"/>
  <c r="T396" i="2"/>
  <c r="S396" i="2"/>
  <c r="S543" i="34" s="1"/>
  <c r="R396" i="2"/>
  <c r="R1020" i="34" s="1"/>
  <c r="Q396" i="2"/>
  <c r="Q1020" i="34" s="1"/>
  <c r="P396" i="2"/>
  <c r="O396" i="2"/>
  <c r="O397" i="2" s="1"/>
  <c r="N396" i="2"/>
  <c r="M396" i="2"/>
  <c r="M1020" i="34" s="1"/>
  <c r="AC392" i="2"/>
  <c r="W387" i="2"/>
  <c r="W534" i="34" s="1"/>
  <c r="V387" i="2"/>
  <c r="U387" i="2"/>
  <c r="U390" i="2" s="1"/>
  <c r="U537" i="34" s="1"/>
  <c r="T387" i="2"/>
  <c r="AE385" i="2"/>
  <c r="AE1009" i="34" s="1"/>
  <c r="AD385" i="2"/>
  <c r="AC385" i="2"/>
  <c r="AC1009" i="34" s="1"/>
  <c r="AB385" i="2"/>
  <c r="AB532" i="34" s="1"/>
  <c r="AA385" i="2"/>
  <c r="AA532" i="34" s="1"/>
  <c r="Z385" i="2"/>
  <c r="Y385" i="2"/>
  <c r="Y532" i="34" s="1"/>
  <c r="X385" i="2"/>
  <c r="X1009" i="34" s="1"/>
  <c r="W385" i="2"/>
  <c r="W1009" i="34" s="1"/>
  <c r="V385" i="2"/>
  <c r="U385" i="2"/>
  <c r="U1009" i="34" s="1"/>
  <c r="T385" i="2"/>
  <c r="AE384" i="2"/>
  <c r="AE531" i="34" s="1"/>
  <c r="AD384" i="2"/>
  <c r="AC384" i="2"/>
  <c r="AC531" i="34" s="1"/>
  <c r="AB384" i="2"/>
  <c r="AA384" i="2"/>
  <c r="AA531" i="34" s="1"/>
  <c r="Z384" i="2"/>
  <c r="Z531" i="34" s="1"/>
  <c r="Y384" i="2"/>
  <c r="Y1008" i="34" s="1"/>
  <c r="X384" i="2"/>
  <c r="W384" i="2"/>
  <c r="V384" i="2"/>
  <c r="U384" i="2"/>
  <c r="U1008" i="34" s="1"/>
  <c r="T384" i="2"/>
  <c r="AE383" i="2"/>
  <c r="AE1007" i="34" s="1"/>
  <c r="AD383" i="2"/>
  <c r="AC383" i="2"/>
  <c r="AC1007" i="34" s="1"/>
  <c r="AB383" i="2"/>
  <c r="AA383" i="2"/>
  <c r="Z383" i="2"/>
  <c r="Y383" i="2"/>
  <c r="X383" i="2"/>
  <c r="X1007" i="34" s="1"/>
  <c r="W383" i="2"/>
  <c r="W530" i="34" s="1"/>
  <c r="V383" i="2"/>
  <c r="U383" i="2"/>
  <c r="U1007" i="34" s="1"/>
  <c r="T383" i="2"/>
  <c r="BM382" i="2"/>
  <c r="BM1006" i="34" s="1"/>
  <c r="BL382" i="2"/>
  <c r="BK382" i="2"/>
  <c r="AQ529" i="34" s="1"/>
  <c r="W380" i="2"/>
  <c r="W1004" i="34" s="1"/>
  <c r="V380" i="2"/>
  <c r="V527" i="34" s="1"/>
  <c r="U380" i="2"/>
  <c r="T380" i="2"/>
  <c r="T527" i="34" s="1"/>
  <c r="W379" i="2"/>
  <c r="V379" i="2"/>
  <c r="U379" i="2"/>
  <c r="U1003" i="34" s="1"/>
  <c r="T379" i="2"/>
  <c r="T1003" i="34" s="1"/>
  <c r="W378" i="2"/>
  <c r="V378" i="2"/>
  <c r="U378" i="2"/>
  <c r="T378" i="2"/>
  <c r="T525" i="34" s="1"/>
  <c r="BK377" i="2"/>
  <c r="AE377" i="2"/>
  <c r="AD377" i="2"/>
  <c r="AC377" i="2"/>
  <c r="AB377" i="2"/>
  <c r="AA377" i="2"/>
  <c r="AA378" i="2" s="1"/>
  <c r="AA525" i="34" s="1"/>
  <c r="Z377" i="2"/>
  <c r="Z380" i="2" s="1"/>
  <c r="Y377" i="2"/>
  <c r="X377" i="2"/>
  <c r="X379" i="2" s="1"/>
  <c r="X1003" i="34" s="1"/>
  <c r="AF375" i="2"/>
  <c r="AF522" i="34" s="1"/>
  <c r="AE375" i="2"/>
  <c r="AE999" i="34" s="1"/>
  <c r="AD375" i="2"/>
  <c r="AD522" i="34" s="1"/>
  <c r="AC375" i="2"/>
  <c r="AB375" i="2"/>
  <c r="AB999" i="34" s="1"/>
  <c r="AA375" i="2"/>
  <c r="Z375" i="2"/>
  <c r="Z522" i="34" s="1"/>
  <c r="Y375" i="2"/>
  <c r="X375" i="2"/>
  <c r="X522" i="34" s="1"/>
  <c r="W375" i="2"/>
  <c r="W522" i="34" s="1"/>
  <c r="V375" i="2"/>
  <c r="U375" i="2"/>
  <c r="T375" i="2"/>
  <c r="T999" i="34" s="1"/>
  <c r="S375" i="2"/>
  <c r="R375" i="2"/>
  <c r="R999" i="34" s="1"/>
  <c r="Q375" i="2"/>
  <c r="P375" i="2"/>
  <c r="O375" i="2"/>
  <c r="N375" i="2"/>
  <c r="N999" i="34" s="1"/>
  <c r="M375" i="2"/>
  <c r="AF374" i="2"/>
  <c r="AE374" i="2"/>
  <c r="AE521" i="34" s="1"/>
  <c r="AD374" i="2"/>
  <c r="AD521" i="34" s="1"/>
  <c r="AC374" i="2"/>
  <c r="AB374" i="2"/>
  <c r="AA374" i="2"/>
  <c r="Z374" i="2"/>
  <c r="Z998" i="34" s="1"/>
  <c r="Y374" i="2"/>
  <c r="X374" i="2"/>
  <c r="W374" i="2"/>
  <c r="V374" i="2"/>
  <c r="V998" i="34" s="1"/>
  <c r="U374" i="2"/>
  <c r="T374" i="2"/>
  <c r="T521" i="34" s="1"/>
  <c r="S374" i="2"/>
  <c r="R374" i="2"/>
  <c r="R998" i="34" s="1"/>
  <c r="Q374" i="2"/>
  <c r="P374" i="2"/>
  <c r="O374" i="2"/>
  <c r="O998" i="34" s="1"/>
  <c r="N374" i="2"/>
  <c r="N998" i="34" s="1"/>
  <c r="M374" i="2"/>
  <c r="BI374" i="2"/>
  <c r="AO521" i="34" s="1"/>
  <c r="BI373" i="2"/>
  <c r="BH373" i="2"/>
  <c r="BG373" i="2"/>
  <c r="W372" i="2"/>
  <c r="AF372" i="2"/>
  <c r="AE372" i="2"/>
  <c r="AE996" i="34" s="1"/>
  <c r="AD372" i="2"/>
  <c r="AC372" i="2"/>
  <c r="AB372" i="2"/>
  <c r="AA372" i="2"/>
  <c r="AA519" i="34" s="1"/>
  <c r="Z372" i="2"/>
  <c r="Y372" i="2"/>
  <c r="Y996" i="34" s="1"/>
  <c r="X372" i="2"/>
  <c r="V372" i="2"/>
  <c r="V996" i="34" s="1"/>
  <c r="U372" i="2"/>
  <c r="T372" i="2"/>
  <c r="T519" i="34" s="1"/>
  <c r="S372" i="2"/>
  <c r="R372" i="2"/>
  <c r="R996" i="34" s="1"/>
  <c r="Q372" i="2"/>
  <c r="P372" i="2"/>
  <c r="O372" i="2"/>
  <c r="O996" i="34" s="1"/>
  <c r="N372" i="2"/>
  <c r="N519" i="34" s="1"/>
  <c r="BN371" i="2"/>
  <c r="BM371" i="2"/>
  <c r="BL371" i="2"/>
  <c r="BK371" i="2"/>
  <c r="AQ518" i="34" s="1"/>
  <c r="BJ371" i="2"/>
  <c r="BO371" i="2"/>
  <c r="AF164" i="2"/>
  <c r="AE164" i="2"/>
  <c r="AE987" i="34" s="1"/>
  <c r="AD164" i="2"/>
  <c r="AC164" i="2"/>
  <c r="AB164" i="2"/>
  <c r="AB987" i="34" s="1"/>
  <c r="AA164" i="2"/>
  <c r="AA987" i="34" s="1"/>
  <c r="Z164" i="2"/>
  <c r="Z987" i="34" s="1"/>
  <c r="Y164" i="2"/>
  <c r="Y987" i="34" s="1"/>
  <c r="AV984" i="34"/>
  <c r="AU984" i="34"/>
  <c r="AT984" i="34"/>
  <c r="AJ144" i="2"/>
  <c r="AH144" i="2"/>
  <c r="AG144" i="2"/>
  <c r="AG983" i="34" s="1"/>
  <c r="AH124" i="2"/>
  <c r="BG111" i="2"/>
  <c r="BI109" i="2"/>
  <c r="AO498" i="34" s="1"/>
  <c r="BH109" i="2"/>
  <c r="AI363" i="2"/>
  <c r="AI970" i="34" s="1"/>
  <c r="AH363" i="2"/>
  <c r="AG363" i="2"/>
  <c r="AF363" i="2"/>
  <c r="AE363" i="2"/>
  <c r="AE493" i="34" s="1"/>
  <c r="AD363" i="2"/>
  <c r="AD493" i="34" s="1"/>
  <c r="AC363" i="2"/>
  <c r="AC970" i="34" s="1"/>
  <c r="AB363" i="2"/>
  <c r="AA363" i="2"/>
  <c r="Z363" i="2"/>
  <c r="Y363" i="2"/>
  <c r="Y493" i="34" s="1"/>
  <c r="AE362" i="2"/>
  <c r="AD362" i="2"/>
  <c r="AC362" i="2"/>
  <c r="AC492" i="34" s="1"/>
  <c r="AB362" i="2"/>
  <c r="AA362" i="2"/>
  <c r="Z362" i="2"/>
  <c r="Y362" i="2"/>
  <c r="X362" i="2"/>
  <c r="X492" i="34" s="1"/>
  <c r="W362" i="2"/>
  <c r="V362" i="2"/>
  <c r="U362" i="2"/>
  <c r="T362" i="2"/>
  <c r="AI361" i="2"/>
  <c r="AH361" i="2"/>
  <c r="AG361" i="2"/>
  <c r="AF361" i="2"/>
  <c r="AE361" i="2"/>
  <c r="AD361" i="2"/>
  <c r="AC361" i="2"/>
  <c r="AB361" i="2"/>
  <c r="AB491" i="34" s="1"/>
  <c r="AA361" i="2"/>
  <c r="Z361" i="2"/>
  <c r="Z968" i="34" s="1"/>
  <c r="Y361" i="2"/>
  <c r="X361" i="2"/>
  <c r="W361" i="2"/>
  <c r="V361" i="2"/>
  <c r="V491" i="34" s="1"/>
  <c r="U361" i="2"/>
  <c r="AI360" i="2"/>
  <c r="AH360" i="2"/>
  <c r="AG360" i="2"/>
  <c r="AG967" i="34" s="1"/>
  <c r="AF360" i="2"/>
  <c r="AE360" i="2"/>
  <c r="AE490" i="34" s="1"/>
  <c r="AD360" i="2"/>
  <c r="AC360" i="2"/>
  <c r="AB360" i="2"/>
  <c r="AA360" i="2"/>
  <c r="AA490" i="34" s="1"/>
  <c r="Z360" i="2"/>
  <c r="Y360" i="2"/>
  <c r="Y490" i="34" s="1"/>
  <c r="X360" i="2"/>
  <c r="T360" i="2"/>
  <c r="T967" i="34" s="1"/>
  <c r="BW359" i="2"/>
  <c r="BD359" i="2"/>
  <c r="BD966" i="34" s="1"/>
  <c r="BC359" i="2"/>
  <c r="BC966" i="34" s="1"/>
  <c r="BB359" i="2"/>
  <c r="BA359" i="2"/>
  <c r="AZ359" i="2"/>
  <c r="AZ966" i="34" s="1"/>
  <c r="AY359" i="2"/>
  <c r="AY966" i="34" s="1"/>
  <c r="AX359" i="2"/>
  <c r="AX966" i="34" s="1"/>
  <c r="AS359" i="2"/>
  <c r="AS966" i="34" s="1"/>
  <c r="W358" i="2"/>
  <c r="AI358" i="2"/>
  <c r="AI488" i="34" s="1"/>
  <c r="AH358" i="2"/>
  <c r="AG358" i="2"/>
  <c r="AF358" i="2"/>
  <c r="AE358" i="2"/>
  <c r="AE488" i="34" s="1"/>
  <c r="AD358" i="2"/>
  <c r="AC358" i="2"/>
  <c r="AB358" i="2"/>
  <c r="AA358" i="2"/>
  <c r="Z358" i="2"/>
  <c r="Y358" i="2"/>
  <c r="X358" i="2"/>
  <c r="X488" i="34" s="1"/>
  <c r="V358" i="2"/>
  <c r="V965" i="34" s="1"/>
  <c r="U358" i="2"/>
  <c r="BN357" i="2"/>
  <c r="BM357" i="2"/>
  <c r="BL357" i="2"/>
  <c r="AR487" i="34" s="1"/>
  <c r="BK357" i="2"/>
  <c r="S357" i="2"/>
  <c r="S360" i="2" s="1"/>
  <c r="S967" i="34" s="1"/>
  <c r="R357" i="2"/>
  <c r="Q357" i="2"/>
  <c r="AK956" i="34"/>
  <c r="AI349" i="2"/>
  <c r="AH349" i="2"/>
  <c r="AG349" i="2"/>
  <c r="AG320" i="2" s="1"/>
  <c r="AG316" i="2" s="1"/>
  <c r="AF349" i="2"/>
  <c r="AE349" i="2"/>
  <c r="AD349" i="2"/>
  <c r="AC349" i="2"/>
  <c r="AB349" i="2"/>
  <c r="AA349" i="2"/>
  <c r="AA353" i="2" s="1"/>
  <c r="Z349" i="2"/>
  <c r="Y349" i="2"/>
  <c r="Y352" i="2" s="1"/>
  <c r="Y346" i="2"/>
  <c r="U346" i="2"/>
  <c r="AE346" i="2"/>
  <c r="AD346" i="2"/>
  <c r="AC346" i="2"/>
  <c r="AB346" i="2"/>
  <c r="AB953" i="34" s="1"/>
  <c r="AI345" i="2"/>
  <c r="AH345" i="2"/>
  <c r="AH952" i="34" s="1"/>
  <c r="AG345" i="2"/>
  <c r="AF345" i="2"/>
  <c r="AE345" i="2"/>
  <c r="AD345" i="2"/>
  <c r="AD952" i="34" s="1"/>
  <c r="AC345" i="2"/>
  <c r="AB345" i="2"/>
  <c r="AI344" i="2"/>
  <c r="AH344" i="2"/>
  <c r="AG344" i="2"/>
  <c r="AF344" i="2"/>
  <c r="AE344" i="2"/>
  <c r="AD344" i="2"/>
  <c r="AD951" i="34" s="1"/>
  <c r="AC344" i="2"/>
  <c r="AC951" i="34" s="1"/>
  <c r="AI343" i="2"/>
  <c r="AH343" i="2"/>
  <c r="AH472" i="34" s="1"/>
  <c r="AG343" i="2"/>
  <c r="AF343" i="2"/>
  <c r="AF950" i="34" s="1"/>
  <c r="AE343" i="2"/>
  <c r="AD343" i="2"/>
  <c r="AC343" i="2"/>
  <c r="AC950" i="34" s="1"/>
  <c r="AB343" i="2"/>
  <c r="AI342" i="2"/>
  <c r="AH342" i="2"/>
  <c r="AH949" i="34" s="1"/>
  <c r="AG342" i="2"/>
  <c r="AG949" i="34" s="1"/>
  <c r="AF342" i="2"/>
  <c r="AF474" i="34" s="1"/>
  <c r="AE342" i="2"/>
  <c r="AE474" i="34" s="1"/>
  <c r="AD342" i="2"/>
  <c r="AC342" i="2"/>
  <c r="AA345" i="2"/>
  <c r="Z345" i="2"/>
  <c r="Z475" i="34" s="1"/>
  <c r="AA343" i="2"/>
  <c r="Z343" i="2"/>
  <c r="Z950" i="34" s="1"/>
  <c r="BN341" i="2"/>
  <c r="BM341" i="2"/>
  <c r="X341" i="2"/>
  <c r="AB344" i="2" s="1"/>
  <c r="W341" i="2"/>
  <c r="AA342" i="2" s="1"/>
  <c r="AA949" i="34" s="1"/>
  <c r="V341" i="2"/>
  <c r="AE338" i="2"/>
  <c r="AE468" i="34" s="1"/>
  <c r="AD338" i="2"/>
  <c r="AC338" i="2"/>
  <c r="AC945" i="34" s="1"/>
  <c r="AB338" i="2"/>
  <c r="AA338" i="2"/>
  <c r="Z338" i="2"/>
  <c r="Z468" i="34" s="1"/>
  <c r="Y338" i="2"/>
  <c r="Y945" i="34" s="1"/>
  <c r="AI337" i="2"/>
  <c r="AH337" i="2"/>
  <c r="AG337" i="2"/>
  <c r="AF337" i="2"/>
  <c r="AF944" i="34" s="1"/>
  <c r="AE337" i="2"/>
  <c r="AD337" i="2"/>
  <c r="AD467" i="34" s="1"/>
  <c r="AC337" i="2"/>
  <c r="AB337" i="2"/>
  <c r="AB944" i="34" s="1"/>
  <c r="AA337" i="2"/>
  <c r="Z337" i="2"/>
  <c r="AI336" i="2"/>
  <c r="AH336" i="2"/>
  <c r="AH465" i="34" s="1"/>
  <c r="AG336" i="2"/>
  <c r="AF336" i="2"/>
  <c r="AF943" i="34" s="1"/>
  <c r="AE336" i="2"/>
  <c r="AE943" i="34" s="1"/>
  <c r="AD336" i="2"/>
  <c r="AD465" i="34" s="1"/>
  <c r="AC336" i="2"/>
  <c r="AI335" i="2"/>
  <c r="AI464" i="34" s="1"/>
  <c r="AH335" i="2"/>
  <c r="AH464" i="34" s="1"/>
  <c r="AG335" i="2"/>
  <c r="AG464" i="34" s="1"/>
  <c r="AF335" i="2"/>
  <c r="AF464" i="34" s="1"/>
  <c r="AE335" i="2"/>
  <c r="AD335" i="2"/>
  <c r="AD464" i="34" s="1"/>
  <c r="AC335" i="2"/>
  <c r="AC464" i="34" s="1"/>
  <c r="AB335" i="2"/>
  <c r="AA335" i="2"/>
  <c r="Z335" i="2"/>
  <c r="AI334" i="2"/>
  <c r="AI941" i="34" s="1"/>
  <c r="AH334" i="2"/>
  <c r="AH941" i="34" s="1"/>
  <c r="AG334" i="2"/>
  <c r="AF334" i="2"/>
  <c r="AE334" i="2"/>
  <c r="AD334" i="2"/>
  <c r="AC334" i="2"/>
  <c r="AC466" i="34" s="1"/>
  <c r="BN333" i="2"/>
  <c r="AT463" i="34" s="1"/>
  <c r="BM333" i="2"/>
  <c r="AP334" i="2"/>
  <c r="AP941" i="34" s="1"/>
  <c r="AK334" i="2"/>
  <c r="AK941" i="34" s="1"/>
  <c r="AJ337" i="2"/>
  <c r="AJ944" i="34" s="1"/>
  <c r="AE324" i="2"/>
  <c r="AD324" i="2"/>
  <c r="AC324" i="2"/>
  <c r="AB324" i="2"/>
  <c r="AA324" i="2"/>
  <c r="AA460" i="34" s="1"/>
  <c r="Z324" i="2"/>
  <c r="Y324" i="2"/>
  <c r="X324" i="2"/>
  <c r="X937" i="34" s="1"/>
  <c r="W324" i="2"/>
  <c r="W460" i="34" s="1"/>
  <c r="V324" i="2"/>
  <c r="U324" i="2"/>
  <c r="T324" i="2"/>
  <c r="T460" i="34" s="1"/>
  <c r="S324" i="2"/>
  <c r="R324" i="2"/>
  <c r="Q324" i="2"/>
  <c r="Q460" i="34" s="1"/>
  <c r="P324" i="2"/>
  <c r="O324" i="2"/>
  <c r="O460" i="34" s="1"/>
  <c r="N324" i="2"/>
  <c r="BI323" i="2"/>
  <c r="BH323" i="2"/>
  <c r="BG323" i="2"/>
  <c r="BG936" i="34" s="1"/>
  <c r="P322" i="2"/>
  <c r="O322" i="2"/>
  <c r="N322" i="2"/>
  <c r="M322" i="2"/>
  <c r="BI321" i="2"/>
  <c r="BH321" i="2"/>
  <c r="BG321" i="2"/>
  <c r="AE323" i="2"/>
  <c r="AE459" i="34" s="1"/>
  <c r="AD323" i="2"/>
  <c r="AC323" i="2"/>
  <c r="AC459" i="34" s="1"/>
  <c r="AB323" i="2"/>
  <c r="AA323" i="2"/>
  <c r="Z323" i="2"/>
  <c r="Y323" i="2"/>
  <c r="Y936" i="34" s="1"/>
  <c r="X323" i="2"/>
  <c r="X936" i="34" s="1"/>
  <c r="W323" i="2"/>
  <c r="W459" i="34" s="1"/>
  <c r="V323" i="2"/>
  <c r="V459" i="34" s="1"/>
  <c r="U323" i="2"/>
  <c r="T323" i="2"/>
  <c r="S323" i="2"/>
  <c r="S459" i="34" s="1"/>
  <c r="R323" i="2"/>
  <c r="Q323" i="2"/>
  <c r="AE322" i="2"/>
  <c r="AE935" i="34" s="1"/>
  <c r="AD322" i="2"/>
  <c r="AD935" i="34" s="1"/>
  <c r="AC322" i="2"/>
  <c r="AB322" i="2"/>
  <c r="AA322" i="2"/>
  <c r="AA935" i="34" s="1"/>
  <c r="Z322" i="2"/>
  <c r="Y322" i="2"/>
  <c r="Y458" i="34" s="1"/>
  <c r="X322" i="2"/>
  <c r="X458" i="34" s="1"/>
  <c r="W322" i="2"/>
  <c r="W458" i="34" s="1"/>
  <c r="V322" i="2"/>
  <c r="V935" i="34" s="1"/>
  <c r="U322" i="2"/>
  <c r="T322" i="2"/>
  <c r="S322" i="2"/>
  <c r="R322" i="2"/>
  <c r="R458" i="34" s="1"/>
  <c r="Q322" i="2"/>
  <c r="AE321" i="2"/>
  <c r="AE457" i="34" s="1"/>
  <c r="AD321" i="2"/>
  <c r="AC321" i="2"/>
  <c r="AB321" i="2"/>
  <c r="AB934" i="34" s="1"/>
  <c r="AA321" i="2"/>
  <c r="Z321" i="2"/>
  <c r="Z457" i="34" s="1"/>
  <c r="Y321" i="2"/>
  <c r="Y934" i="34" s="1"/>
  <c r="X321" i="2"/>
  <c r="W321" i="2"/>
  <c r="V321" i="2"/>
  <c r="U321" i="2"/>
  <c r="U934" i="34" s="1"/>
  <c r="T321" i="2"/>
  <c r="S321" i="2"/>
  <c r="R321" i="2"/>
  <c r="Q321" i="2"/>
  <c r="BM320" i="2"/>
  <c r="BL320" i="2"/>
  <c r="BK320" i="2"/>
  <c r="BJ320" i="2"/>
  <c r="BJ321" i="2" s="1"/>
  <c r="AE316" i="2"/>
  <c r="AD316" i="2"/>
  <c r="AD929" i="34" s="1"/>
  <c r="AI315" i="2"/>
  <c r="AI449" i="34" s="1"/>
  <c r="AH315" i="2"/>
  <c r="AH928" i="34" s="1"/>
  <c r="AG315" i="2"/>
  <c r="AF315" i="2"/>
  <c r="AE315" i="2"/>
  <c r="AE928" i="34" s="1"/>
  <c r="AI314" i="2"/>
  <c r="AI448" i="34" s="1"/>
  <c r="AH314" i="2"/>
  <c r="AH448" i="34" s="1"/>
  <c r="AD314" i="2"/>
  <c r="AD448" i="34" s="1"/>
  <c r="AI313" i="2"/>
  <c r="AI447" i="34" s="1"/>
  <c r="AH313" i="2"/>
  <c r="AH447" i="34" s="1"/>
  <c r="AG313" i="2"/>
  <c r="AF313" i="2"/>
  <c r="AE313" i="2"/>
  <c r="AE447" i="34" s="1"/>
  <c r="AL925" i="34"/>
  <c r="BO312" i="2"/>
  <c r="AC312" i="2"/>
  <c r="AC305" i="2" s="1"/>
  <c r="AC439" i="34" s="1"/>
  <c r="AB312" i="2"/>
  <c r="AB305" i="2" s="1"/>
  <c r="AB309" i="2" s="1"/>
  <c r="AA312" i="2"/>
  <c r="AE305" i="2"/>
  <c r="AD305" i="2"/>
  <c r="AD439" i="34" s="1"/>
  <c r="BM665" i="2"/>
  <c r="BM912" i="34" s="1"/>
  <c r="BL665" i="2"/>
  <c r="BL912" i="34" s="1"/>
  <c r="BM663" i="2"/>
  <c r="BM910" i="34" s="1"/>
  <c r="BL663" i="2"/>
  <c r="BL910" i="34" s="1"/>
  <c r="BM661" i="2"/>
  <c r="BM908" i="34" s="1"/>
  <c r="BL661" i="2"/>
  <c r="BL908" i="34" s="1"/>
  <c r="BM659" i="2"/>
  <c r="BM906" i="34" s="1"/>
  <c r="BL659" i="2"/>
  <c r="BL906" i="34" s="1"/>
  <c r="AE650" i="2"/>
  <c r="AE386" i="34" s="1"/>
  <c r="AD650" i="2"/>
  <c r="AB650" i="2"/>
  <c r="AA650" i="2"/>
  <c r="Y650" i="2"/>
  <c r="Y897" i="34" s="1"/>
  <c r="X650" i="2"/>
  <c r="W650" i="2"/>
  <c r="V650" i="2"/>
  <c r="V897" i="34" s="1"/>
  <c r="U650" i="2"/>
  <c r="U897" i="34" s="1"/>
  <c r="BL636" i="2"/>
  <c r="AF636" i="2"/>
  <c r="AE636" i="2"/>
  <c r="AD636" i="2"/>
  <c r="AD881" i="34" s="1"/>
  <c r="AC636" i="2"/>
  <c r="AB636" i="2"/>
  <c r="AB881" i="34" s="1"/>
  <c r="W636" i="2"/>
  <c r="V636" i="2"/>
  <c r="V881" i="34" s="1"/>
  <c r="AL632" i="2"/>
  <c r="AK632" i="2"/>
  <c r="AJ632" i="2"/>
  <c r="AI632" i="2"/>
  <c r="AI877" i="34" s="1"/>
  <c r="AH632" i="2"/>
  <c r="AG632" i="2"/>
  <c r="AF632" i="2"/>
  <c r="AC630" i="2"/>
  <c r="AC371" i="34" s="1"/>
  <c r="AJ628" i="2"/>
  <c r="AJ873" i="34" s="1"/>
  <c r="BO627" i="2"/>
  <c r="BL627" i="2"/>
  <c r="AR368" i="34" s="1"/>
  <c r="AM873" i="34"/>
  <c r="AE627" i="2"/>
  <c r="AD627" i="2"/>
  <c r="AC627" i="2"/>
  <c r="AB627" i="2"/>
  <c r="AB872" i="34" s="1"/>
  <c r="W627" i="2"/>
  <c r="V627" i="2"/>
  <c r="V368" i="34" s="1"/>
  <c r="AF622" i="2"/>
  <c r="AF363" i="34" s="1"/>
  <c r="BL622" i="2"/>
  <c r="AE622" i="2"/>
  <c r="AD622" i="2"/>
  <c r="AD363" i="34" s="1"/>
  <c r="AC622" i="2"/>
  <c r="AB622" i="2"/>
  <c r="W622" i="2"/>
  <c r="V622" i="2"/>
  <c r="V866" i="34" s="1"/>
  <c r="AL618" i="2"/>
  <c r="AK618" i="2"/>
  <c r="AK862" i="34" s="1"/>
  <c r="AJ618" i="2"/>
  <c r="AI618" i="2"/>
  <c r="AH618" i="2"/>
  <c r="AH862" i="34" s="1"/>
  <c r="AG618" i="2"/>
  <c r="BO613" i="2"/>
  <c r="BL613" i="2"/>
  <c r="AM858" i="34"/>
  <c r="AF613" i="2"/>
  <c r="AJ614" i="2" s="1"/>
  <c r="AJ858" i="34" s="1"/>
  <c r="AE613" i="2"/>
  <c r="AE618" i="2" s="1"/>
  <c r="AD613" i="2"/>
  <c r="AC613" i="2"/>
  <c r="Y613" i="2" s="1"/>
  <c r="AB613" i="2"/>
  <c r="W613" i="2"/>
  <c r="V613" i="2"/>
  <c r="AJ609" i="2"/>
  <c r="BL608" i="2"/>
  <c r="BK608" i="2" s="1"/>
  <c r="AQ353" i="34" s="1"/>
  <c r="AE608" i="2"/>
  <c r="AD608" i="2"/>
  <c r="AD353" i="34" s="1"/>
  <c r="AC608" i="2"/>
  <c r="AB608" i="2"/>
  <c r="AB353" i="34" s="1"/>
  <c r="W608" i="2"/>
  <c r="W851" i="34" s="1"/>
  <c r="V608" i="2"/>
  <c r="V353" i="34" s="1"/>
  <c r="AL604" i="2"/>
  <c r="AK604" i="2"/>
  <c r="AJ604" i="2"/>
  <c r="AI604" i="2"/>
  <c r="AH604" i="2"/>
  <c r="AG604" i="2"/>
  <c r="AG847" i="34" s="1"/>
  <c r="BO599" i="2"/>
  <c r="BL599" i="2"/>
  <c r="AR348" i="34" s="1"/>
  <c r="AM843" i="34"/>
  <c r="AF599" i="2"/>
  <c r="AF348" i="34" s="1"/>
  <c r="AE599" i="2"/>
  <c r="AD599" i="2"/>
  <c r="AC599" i="2"/>
  <c r="AB599" i="2"/>
  <c r="W599" i="2"/>
  <c r="V599" i="2"/>
  <c r="AD590" i="2"/>
  <c r="AD829" i="34" s="1"/>
  <c r="BK579" i="2"/>
  <c r="BK818" i="34" s="1"/>
  <c r="BJ579" i="2"/>
  <c r="BJ818" i="34" s="1"/>
  <c r="BI579" i="2"/>
  <c r="BI818" i="34" s="1"/>
  <c r="BH579" i="2"/>
  <c r="BH818" i="34" s="1"/>
  <c r="BG579" i="2"/>
  <c r="BG818" i="34" s="1"/>
  <c r="BF579" i="2"/>
  <c r="BF818" i="34" s="1"/>
  <c r="AI579" i="2"/>
  <c r="AI818" i="34" s="1"/>
  <c r="AH579" i="2"/>
  <c r="AH818" i="34" s="1"/>
  <c r="AG579" i="2"/>
  <c r="AG818" i="34" s="1"/>
  <c r="AF579" i="2"/>
  <c r="AF818" i="34" s="1"/>
  <c r="AE579" i="2"/>
  <c r="AE818" i="34" s="1"/>
  <c r="AD579" i="2"/>
  <c r="AD818" i="34" s="1"/>
  <c r="AC579" i="2"/>
  <c r="AC818" i="34" s="1"/>
  <c r="AB579" i="2"/>
  <c r="AA579" i="2"/>
  <c r="AA818" i="34" s="1"/>
  <c r="Z579" i="2"/>
  <c r="Z818" i="34" s="1"/>
  <c r="Y579" i="2"/>
  <c r="Y818" i="34" s="1"/>
  <c r="T579" i="2"/>
  <c r="T818" i="34" s="1"/>
  <c r="S579" i="2"/>
  <c r="S818" i="34" s="1"/>
  <c r="R579" i="2"/>
  <c r="R818" i="34" s="1"/>
  <c r="Q579" i="2"/>
  <c r="Q818" i="34" s="1"/>
  <c r="P579" i="2"/>
  <c r="P818" i="34" s="1"/>
  <c r="O579" i="2"/>
  <c r="O818" i="34" s="1"/>
  <c r="N579" i="2"/>
  <c r="N818" i="34" s="1"/>
  <c r="M579" i="2"/>
  <c r="M818" i="34" s="1"/>
  <c r="AF575" i="2"/>
  <c r="AE575" i="2"/>
  <c r="AD575" i="2"/>
  <c r="AD814" i="34" s="1"/>
  <c r="AC575" i="2"/>
  <c r="AB575" i="2"/>
  <c r="AA575" i="2"/>
  <c r="AA576" i="2" s="1"/>
  <c r="Z575" i="2"/>
  <c r="Z576" i="2" s="1"/>
  <c r="Z815" i="34" s="1"/>
  <c r="Y575" i="2"/>
  <c r="Y814" i="34" s="1"/>
  <c r="X575" i="2"/>
  <c r="X814" i="34" s="1"/>
  <c r="W575" i="2"/>
  <c r="W814" i="34" s="1"/>
  <c r="V575" i="2"/>
  <c r="V814" i="34" s="1"/>
  <c r="U575" i="2"/>
  <c r="U814" i="34" s="1"/>
  <c r="CG569" i="2"/>
  <c r="BI565" i="2"/>
  <c r="BI804" i="34" s="1"/>
  <c r="BH565" i="2"/>
  <c r="AF566" i="2"/>
  <c r="AF805" i="34" s="1"/>
  <c r="AE566" i="2"/>
  <c r="AD566" i="2"/>
  <c r="AD805" i="34" s="1"/>
  <c r="AC566" i="2"/>
  <c r="AB566" i="2"/>
  <c r="AA566" i="2"/>
  <c r="Z566" i="2"/>
  <c r="Z328" i="34" s="1"/>
  <c r="Y566" i="2"/>
  <c r="X566" i="2"/>
  <c r="X805" i="34" s="1"/>
  <c r="W566" i="2"/>
  <c r="V566" i="2"/>
  <c r="V328" i="34" s="1"/>
  <c r="U566" i="2"/>
  <c r="T566" i="2"/>
  <c r="S566" i="2"/>
  <c r="S805" i="34" s="1"/>
  <c r="R566" i="2"/>
  <c r="R328" i="34" s="1"/>
  <c r="Q566" i="2"/>
  <c r="P566" i="2"/>
  <c r="O566" i="2"/>
  <c r="N566" i="2"/>
  <c r="M566" i="2"/>
  <c r="M328" i="34" s="1"/>
  <c r="AF565" i="2"/>
  <c r="AF804" i="34" s="1"/>
  <c r="AE565" i="2"/>
  <c r="AE804" i="34" s="1"/>
  <c r="AD565" i="2"/>
  <c r="AD327" i="34" s="1"/>
  <c r="AC565" i="2"/>
  <c r="AB565" i="2"/>
  <c r="AB804" i="34" s="1"/>
  <c r="AA565" i="2"/>
  <c r="Z565" i="2"/>
  <c r="Y565" i="2"/>
  <c r="X565" i="2"/>
  <c r="W565" i="2"/>
  <c r="V565" i="2"/>
  <c r="V327" i="34" s="1"/>
  <c r="U565" i="2"/>
  <c r="T565" i="2"/>
  <c r="T327" i="34" s="1"/>
  <c r="S565" i="2"/>
  <c r="S804" i="34" s="1"/>
  <c r="R565" i="2"/>
  <c r="R804" i="34" s="1"/>
  <c r="Q565" i="2"/>
  <c r="P565" i="2"/>
  <c r="O565" i="2"/>
  <c r="N565" i="2"/>
  <c r="N804" i="34" s="1"/>
  <c r="M565" i="2"/>
  <c r="BI564" i="2"/>
  <c r="AF564" i="2"/>
  <c r="AE564" i="2"/>
  <c r="AE326" i="34" s="1"/>
  <c r="AD564" i="2"/>
  <c r="AC564" i="2"/>
  <c r="AB564" i="2"/>
  <c r="AB803" i="34" s="1"/>
  <c r="AA564" i="2"/>
  <c r="Z564" i="2"/>
  <c r="Z803" i="34" s="1"/>
  <c r="Y564" i="2"/>
  <c r="X564" i="2"/>
  <c r="X326" i="34" s="1"/>
  <c r="W564" i="2"/>
  <c r="W803" i="34" s="1"/>
  <c r="V564" i="2"/>
  <c r="U564" i="2"/>
  <c r="T564" i="2"/>
  <c r="S564" i="2"/>
  <c r="S803" i="34" s="1"/>
  <c r="R564" i="2"/>
  <c r="Q564" i="2"/>
  <c r="Q326" i="34" s="1"/>
  <c r="AF563" i="2"/>
  <c r="AE563" i="2"/>
  <c r="AD563" i="2"/>
  <c r="AD325" i="34" s="1"/>
  <c r="AC563" i="2"/>
  <c r="AB563" i="2"/>
  <c r="AB802" i="34" s="1"/>
  <c r="AA563" i="2"/>
  <c r="AA802" i="34" s="1"/>
  <c r="Z563" i="2"/>
  <c r="Z802" i="34" s="1"/>
  <c r="Y563" i="2"/>
  <c r="X563" i="2"/>
  <c r="X325" i="34" s="1"/>
  <c r="W563" i="2"/>
  <c r="W325" i="34" s="1"/>
  <c r="V563" i="2"/>
  <c r="V325" i="34" s="1"/>
  <c r="U563" i="2"/>
  <c r="U325" i="34" s="1"/>
  <c r="T563" i="2"/>
  <c r="T325" i="34" s="1"/>
  <c r="S563" i="2"/>
  <c r="R563" i="2"/>
  <c r="R802" i="34" s="1"/>
  <c r="Q563" i="2"/>
  <c r="P563" i="2"/>
  <c r="O563" i="2"/>
  <c r="O802" i="34" s="1"/>
  <c r="N563" i="2"/>
  <c r="CG562" i="2"/>
  <c r="BN562" i="2"/>
  <c r="BN801" i="34" s="1"/>
  <c r="BM562" i="2"/>
  <c r="BL562" i="2"/>
  <c r="BK562" i="2"/>
  <c r="BJ562" i="2"/>
  <c r="BJ422" i="2" s="1"/>
  <c r="AG562" i="2"/>
  <c r="AF556" i="2"/>
  <c r="AE556" i="2"/>
  <c r="AD556" i="2"/>
  <c r="AD793" i="34" s="1"/>
  <c r="AC556" i="2"/>
  <c r="AB556" i="2"/>
  <c r="AB339" i="34" s="1"/>
  <c r="AA556" i="2"/>
  <c r="Z556" i="2"/>
  <c r="Y556" i="2"/>
  <c r="X556" i="2"/>
  <c r="X339" i="34" s="1"/>
  <c r="W556" i="2"/>
  <c r="V556" i="2"/>
  <c r="V793" i="34" s="1"/>
  <c r="U556" i="2"/>
  <c r="T556" i="2"/>
  <c r="T339" i="34" s="1"/>
  <c r="S556" i="2"/>
  <c r="R556" i="2"/>
  <c r="R339" i="34" s="1"/>
  <c r="Q556" i="2"/>
  <c r="P556" i="2"/>
  <c r="O556" i="2"/>
  <c r="O339" i="34" s="1"/>
  <c r="N556" i="2"/>
  <c r="N339" i="34" s="1"/>
  <c r="M556" i="2"/>
  <c r="M339" i="34" s="1"/>
  <c r="BY556" i="2"/>
  <c r="BX556" i="2"/>
  <c r="BX793" i="34" s="1"/>
  <c r="BW556" i="2"/>
  <c r="BW793" i="34" s="1"/>
  <c r="BV556" i="2"/>
  <c r="BU556" i="2"/>
  <c r="BT556" i="2"/>
  <c r="BS556" i="2"/>
  <c r="BR556" i="2"/>
  <c r="BQ556" i="2"/>
  <c r="BP556" i="2"/>
  <c r="BP793" i="34" s="1"/>
  <c r="BN555" i="2"/>
  <c r="BM555" i="2"/>
  <c r="AS338" i="34" s="1"/>
  <c r="BL555" i="2"/>
  <c r="BK555" i="2"/>
  <c r="AL792" i="34"/>
  <c r="AK792" i="34"/>
  <c r="X550" i="2"/>
  <c r="W550" i="2"/>
  <c r="V550" i="2"/>
  <c r="BY549" i="2"/>
  <c r="BX549" i="2"/>
  <c r="BW549" i="2"/>
  <c r="BV549" i="2"/>
  <c r="BU549" i="2"/>
  <c r="BT549" i="2"/>
  <c r="BS549" i="2"/>
  <c r="BR549" i="2"/>
  <c r="BQ549" i="2"/>
  <c r="BP549" i="2"/>
  <c r="BO549" i="2"/>
  <c r="BN549" i="2"/>
  <c r="BM549" i="2"/>
  <c r="X548" i="2"/>
  <c r="W548" i="2"/>
  <c r="BY547" i="2"/>
  <c r="BX547" i="2"/>
  <c r="BW547" i="2"/>
  <c r="BV547" i="2"/>
  <c r="BU547" i="2"/>
  <c r="BT547" i="2"/>
  <c r="BS547" i="2"/>
  <c r="BR547" i="2"/>
  <c r="BQ547" i="2"/>
  <c r="BP547" i="2"/>
  <c r="BO547" i="2"/>
  <c r="BN547" i="2"/>
  <c r="BK532" i="2"/>
  <c r="BJ532" i="2"/>
  <c r="BJ227" i="14" s="1"/>
  <c r="BI532" i="2"/>
  <c r="BI227" i="14" s="1"/>
  <c r="BH532" i="2"/>
  <c r="BG532" i="2"/>
  <c r="BG227" i="14" s="1"/>
  <c r="BF532" i="2"/>
  <c r="AB532" i="2"/>
  <c r="AA532" i="2"/>
  <c r="AA778" i="34" s="1"/>
  <c r="Z532" i="2"/>
  <c r="Z106" i="14" s="1"/>
  <c r="Y532" i="2"/>
  <c r="Y106" i="14" s="1"/>
  <c r="AH773" i="34"/>
  <c r="AB523" i="2"/>
  <c r="AB759" i="34" s="1"/>
  <c r="AA523" i="2"/>
  <c r="AA759" i="34" s="1"/>
  <c r="Z523" i="2"/>
  <c r="Y523" i="2"/>
  <c r="Y759" i="34" s="1"/>
  <c r="AB522" i="2"/>
  <c r="AB758" i="34" s="1"/>
  <c r="AA522" i="2"/>
  <c r="AA758" i="34" s="1"/>
  <c r="Z522" i="2"/>
  <c r="Z758" i="34" s="1"/>
  <c r="AF523" i="2"/>
  <c r="AF759" i="34" s="1"/>
  <c r="AE523" i="2"/>
  <c r="AD523" i="2"/>
  <c r="AC523" i="2"/>
  <c r="AI522" i="2"/>
  <c r="AI758" i="34" s="1"/>
  <c r="AH522" i="2"/>
  <c r="AH758" i="34" s="1"/>
  <c r="AG522" i="2"/>
  <c r="AG758" i="34" s="1"/>
  <c r="AF522" i="2"/>
  <c r="AF758" i="34" s="1"/>
  <c r="AE522" i="2"/>
  <c r="AE758" i="34" s="1"/>
  <c r="AD522" i="2"/>
  <c r="AD758" i="34" s="1"/>
  <c r="AC522" i="2"/>
  <c r="AC758" i="34" s="1"/>
  <c r="AI521" i="2"/>
  <c r="AI757" i="34" s="1"/>
  <c r="AH521" i="2"/>
  <c r="AH757" i="34" s="1"/>
  <c r="AG521" i="2"/>
  <c r="AG757" i="34" s="1"/>
  <c r="AF521" i="2"/>
  <c r="AF757" i="34" s="1"/>
  <c r="AE521" i="2"/>
  <c r="AE757" i="34" s="1"/>
  <c r="AD521" i="2"/>
  <c r="AD757" i="34" s="1"/>
  <c r="AC521" i="2"/>
  <c r="AC757" i="34" s="1"/>
  <c r="AI520" i="2"/>
  <c r="AI756" i="34" s="1"/>
  <c r="AH520" i="2"/>
  <c r="AH756" i="34" s="1"/>
  <c r="AG520" i="2"/>
  <c r="AG756" i="34" s="1"/>
  <c r="AF520" i="2"/>
  <c r="AF756" i="34" s="1"/>
  <c r="AE520" i="2"/>
  <c r="AE756" i="34" s="1"/>
  <c r="AD520" i="2"/>
  <c r="AD756" i="34" s="1"/>
  <c r="AC520" i="2"/>
  <c r="AC756" i="34" s="1"/>
  <c r="AI519" i="2"/>
  <c r="AI755" i="34" s="1"/>
  <c r="AH519" i="2"/>
  <c r="AG519" i="2"/>
  <c r="AG755" i="34" s="1"/>
  <c r="AF519" i="2"/>
  <c r="AE519" i="2"/>
  <c r="AE511" i="2" s="1"/>
  <c r="AE747" i="34" s="1"/>
  <c r="AD519" i="2"/>
  <c r="AD511" i="2" s="1"/>
  <c r="AC519" i="2"/>
  <c r="AC511" i="2" s="1"/>
  <c r="AB519" i="2"/>
  <c r="AB511" i="2" s="1"/>
  <c r="AB747" i="34" s="1"/>
  <c r="AA519" i="2"/>
  <c r="Z519" i="2"/>
  <c r="BN518" i="2"/>
  <c r="BM518" i="2"/>
  <c r="BM754" i="34" s="1"/>
  <c r="AN520" i="2"/>
  <c r="AN756" i="34" s="1"/>
  <c r="X518" i="2"/>
  <c r="BY514" i="2"/>
  <c r="BY750" i="34" s="1"/>
  <c r="BX514" i="2"/>
  <c r="BX750" i="34" s="1"/>
  <c r="BW514" i="2"/>
  <c r="BW750" i="34" s="1"/>
  <c r="BV514" i="2"/>
  <c r="BV750" i="34" s="1"/>
  <c r="BU514" i="2"/>
  <c r="BU750" i="34" s="1"/>
  <c r="BT514" i="2"/>
  <c r="BT750" i="34" s="1"/>
  <c r="BS514" i="2"/>
  <c r="BS750" i="34" s="1"/>
  <c r="BR514" i="2"/>
  <c r="BR750" i="34" s="1"/>
  <c r="BQ514" i="2"/>
  <c r="BQ750" i="34" s="1"/>
  <c r="BP514" i="2"/>
  <c r="BP750" i="34" s="1"/>
  <c r="BO514" i="2"/>
  <c r="BO750" i="34" s="1"/>
  <c r="BN514" i="2"/>
  <c r="BN750" i="34" s="1"/>
  <c r="BM514" i="2"/>
  <c r="BM750" i="34" s="1"/>
  <c r="BL514" i="2"/>
  <c r="BL750" i="34" s="1"/>
  <c r="AG510" i="2"/>
  <c r="AG746" i="34" s="1"/>
  <c r="AG509" i="2"/>
  <c r="AG745" i="34" s="1"/>
  <c r="AG508" i="2"/>
  <c r="AG744" i="34" s="1"/>
  <c r="AG507" i="2"/>
  <c r="AF509" i="2"/>
  <c r="AF745" i="34" s="1"/>
  <c r="AE509" i="2"/>
  <c r="AE745" i="34" s="1"/>
  <c r="AD509" i="2"/>
  <c r="AD745" i="34" s="1"/>
  <c r="AC509" i="2"/>
  <c r="AC745" i="34" s="1"/>
  <c r="AB509" i="2"/>
  <c r="AB745" i="34" s="1"/>
  <c r="AA509" i="2"/>
  <c r="AA745" i="34" s="1"/>
  <c r="Z509" i="2"/>
  <c r="Z745" i="34" s="1"/>
  <c r="AI509" i="2"/>
  <c r="AI745" i="34" s="1"/>
  <c r="AH509" i="2"/>
  <c r="AH745" i="34" s="1"/>
  <c r="AI508" i="2"/>
  <c r="AI744" i="34" s="1"/>
  <c r="AH508" i="2"/>
  <c r="AH744" i="34" s="1"/>
  <c r="BD507" i="2"/>
  <c r="BD743" i="34" s="1"/>
  <c r="AI507" i="2"/>
  <c r="AH507" i="2"/>
  <c r="AF508" i="2"/>
  <c r="AE508" i="2"/>
  <c r="AE744" i="34" s="1"/>
  <c r="AD508" i="2"/>
  <c r="AD744" i="34" s="1"/>
  <c r="AC508" i="2"/>
  <c r="AC744" i="34" s="1"/>
  <c r="AF507" i="2"/>
  <c r="AF743" i="34" s="1"/>
  <c r="AE507" i="2"/>
  <c r="AE743" i="34" s="1"/>
  <c r="AD507" i="2"/>
  <c r="AD743" i="34" s="1"/>
  <c r="AC507" i="2"/>
  <c r="AC743" i="34" s="1"/>
  <c r="AB507" i="2"/>
  <c r="AB743" i="34" s="1"/>
  <c r="AA507" i="2"/>
  <c r="AA743" i="34" s="1"/>
  <c r="Z507" i="2"/>
  <c r="Z743" i="34" s="1"/>
  <c r="BN506" i="2"/>
  <c r="BM506" i="2"/>
  <c r="BM532" i="2" s="1"/>
  <c r="BM106" i="14" s="1"/>
  <c r="AJ508" i="2"/>
  <c r="AJ744" i="34" s="1"/>
  <c r="X506" i="2"/>
  <c r="W506" i="2"/>
  <c r="V506" i="2"/>
  <c r="U506" i="2"/>
  <c r="BI490" i="2"/>
  <c r="BI569" i="2" s="1"/>
  <c r="BH490" i="2"/>
  <c r="AF490" i="2"/>
  <c r="AE490" i="2"/>
  <c r="AE61" i="14" s="1"/>
  <c r="AD490" i="2"/>
  <c r="AC490" i="2"/>
  <c r="AB490" i="2"/>
  <c r="AA490" i="2"/>
  <c r="AA498" i="2" s="1"/>
  <c r="Z490" i="2"/>
  <c r="Y490" i="2"/>
  <c r="Y311" i="34" s="1"/>
  <c r="X490" i="2"/>
  <c r="W490" i="2"/>
  <c r="V490" i="2"/>
  <c r="V727" i="34" s="1"/>
  <c r="U490" i="2"/>
  <c r="U534" i="2" s="1"/>
  <c r="T490" i="2"/>
  <c r="S490" i="2"/>
  <c r="S569" i="2" s="1"/>
  <c r="R490" i="2"/>
  <c r="Q490" i="2"/>
  <c r="Q326" i="2" s="1"/>
  <c r="Q330" i="2" s="1"/>
  <c r="P490" i="2"/>
  <c r="O490" i="2"/>
  <c r="O61" i="14" s="1"/>
  <c r="N490" i="2"/>
  <c r="M490" i="2"/>
  <c r="M569" i="2" s="1"/>
  <c r="AI62" i="2"/>
  <c r="AH62" i="2"/>
  <c r="AI59" i="2"/>
  <c r="AI719" i="34" s="1"/>
  <c r="AH59" i="2"/>
  <c r="AH719" i="34" s="1"/>
  <c r="AK61" i="2"/>
  <c r="AK721" i="34" s="1"/>
  <c r="AJ42" i="2"/>
  <c r="AJ704" i="34" s="1"/>
  <c r="AH42" i="2"/>
  <c r="AH704" i="34" s="1"/>
  <c r="AG42" i="2"/>
  <c r="AG704" i="34" s="1"/>
  <c r="BG6" i="2"/>
  <c r="BH6" i="2" s="1"/>
  <c r="BI6" i="2" s="1"/>
  <c r="BJ6" i="2" s="1"/>
  <c r="BK6" i="2" s="1"/>
  <c r="BL6" i="2" s="1"/>
  <c r="BM6" i="2" s="1"/>
  <c r="BN6" i="2" s="1"/>
  <c r="BO6" i="2" s="1"/>
  <c r="BP6" i="2" s="1"/>
  <c r="BQ6" i="2" s="1"/>
  <c r="BR6" i="2" s="1"/>
  <c r="BS6" i="2" s="1"/>
  <c r="BT6" i="2" s="1"/>
  <c r="BU6" i="2" s="1"/>
  <c r="BV6" i="2" s="1"/>
  <c r="BW6" i="2" s="1"/>
  <c r="BX6" i="2" s="1"/>
  <c r="BY6" i="2" s="1"/>
  <c r="BY5" i="2"/>
  <c r="BX5" i="2"/>
  <c r="BW5" i="2"/>
  <c r="BV5" i="2"/>
  <c r="BU5" i="2"/>
  <c r="BT5" i="2"/>
  <c r="BS5" i="2"/>
  <c r="BR5" i="2"/>
  <c r="BQ5" i="2"/>
  <c r="BP5" i="2"/>
  <c r="BO5" i="2"/>
  <c r="BN5" i="2"/>
  <c r="BM5" i="2"/>
  <c r="BL5" i="2"/>
  <c r="BK5" i="2"/>
  <c r="BJ5" i="2"/>
  <c r="BI5" i="2"/>
  <c r="BH5" i="2"/>
  <c r="BG5" i="2"/>
  <c r="BF5" i="2"/>
  <c r="N6" i="2"/>
  <c r="M5" i="2"/>
  <c r="BJ292" i="1"/>
  <c r="BI292" i="1"/>
  <c r="BH292" i="1"/>
  <c r="BG292" i="1"/>
  <c r="AI292" i="1"/>
  <c r="AH292" i="1"/>
  <c r="AG292" i="1"/>
  <c r="AF292" i="1"/>
  <c r="AE292" i="1"/>
  <c r="AD292" i="1"/>
  <c r="AC292" i="1"/>
  <c r="AB292" i="1"/>
  <c r="AA292" i="1"/>
  <c r="Z292" i="1"/>
  <c r="Y292" i="1"/>
  <c r="X292" i="1"/>
  <c r="W292" i="1"/>
  <c r="V292" i="1"/>
  <c r="U292" i="1"/>
  <c r="T292" i="1"/>
  <c r="S292" i="1"/>
  <c r="R292" i="1"/>
  <c r="Q292" i="1"/>
  <c r="P292" i="1"/>
  <c r="O292" i="1"/>
  <c r="N292" i="1"/>
  <c r="M292" i="1"/>
  <c r="AF281" i="1"/>
  <c r="AF266" i="34" s="1"/>
  <c r="U281" i="1"/>
  <c r="U266" i="34" s="1"/>
  <c r="Q281" i="1"/>
  <c r="T281" i="1" s="1"/>
  <c r="Q280" i="1"/>
  <c r="Q265" i="34" s="1"/>
  <c r="Q279" i="1"/>
  <c r="Q264" i="34" s="1"/>
  <c r="BK280" i="1"/>
  <c r="AP265" i="34" s="1"/>
  <c r="BJ280" i="1"/>
  <c r="BJ279" i="1"/>
  <c r="AO264" i="34" s="1"/>
  <c r="Z280" i="1"/>
  <c r="Z265" i="34" s="1"/>
  <c r="X280" i="1"/>
  <c r="X265" i="34" s="1"/>
  <c r="W280" i="1"/>
  <c r="W265" i="34" s="1"/>
  <c r="V280" i="1"/>
  <c r="V265" i="34" s="1"/>
  <c r="U280" i="1"/>
  <c r="U265" i="34" s="1"/>
  <c r="T280" i="1"/>
  <c r="T265" i="34" s="1"/>
  <c r="S280" i="1"/>
  <c r="S265" i="34" s="1"/>
  <c r="R280" i="1"/>
  <c r="R265" i="34" s="1"/>
  <c r="Y279" i="1"/>
  <c r="Y264" i="34" s="1"/>
  <c r="W279" i="1"/>
  <c r="W264" i="34" s="1"/>
  <c r="V279" i="1"/>
  <c r="V264" i="34" s="1"/>
  <c r="U279" i="1"/>
  <c r="T279" i="1"/>
  <c r="T264" i="34" s="1"/>
  <c r="S279" i="1"/>
  <c r="S264" i="34" s="1"/>
  <c r="R279" i="1"/>
  <c r="R264" i="34" s="1"/>
  <c r="O271" i="1"/>
  <c r="O256" i="34" s="1"/>
  <c r="O270" i="1"/>
  <c r="O255" i="34" s="1"/>
  <c r="BJ270" i="1"/>
  <c r="AO255" i="34" s="1"/>
  <c r="BI270" i="1"/>
  <c r="AN255" i="34" s="1"/>
  <c r="AI271" i="1"/>
  <c r="AI256" i="34" s="1"/>
  <c r="AH271" i="1"/>
  <c r="AG271" i="1"/>
  <c r="AF271" i="1"/>
  <c r="AF256" i="34" s="1"/>
  <c r="AE271" i="1"/>
  <c r="AE256" i="34" s="1"/>
  <c r="AD271" i="1"/>
  <c r="AD256" i="34" s="1"/>
  <c r="AC271" i="1"/>
  <c r="AC256" i="34" s="1"/>
  <c r="AB271" i="1"/>
  <c r="AB256" i="34" s="1"/>
  <c r="AA271" i="1"/>
  <c r="Z271" i="1"/>
  <c r="Z256" i="34" s="1"/>
  <c r="Y271" i="1"/>
  <c r="Y256" i="34" s="1"/>
  <c r="X271" i="1"/>
  <c r="X256" i="34" s="1"/>
  <c r="W271" i="1"/>
  <c r="W256" i="34" s="1"/>
  <c r="V271" i="1"/>
  <c r="V256" i="34" s="1"/>
  <c r="U271" i="1"/>
  <c r="U256" i="34" s="1"/>
  <c r="T271" i="1"/>
  <c r="T256" i="34" s="1"/>
  <c r="S271" i="1"/>
  <c r="S256" i="34" s="1"/>
  <c r="R271" i="1"/>
  <c r="R256" i="34" s="1"/>
  <c r="Q271" i="1"/>
  <c r="Q256" i="34" s="1"/>
  <c r="P271" i="1"/>
  <c r="P256" i="34" s="1"/>
  <c r="AI270" i="1"/>
  <c r="AH270" i="1"/>
  <c r="AH255" i="34" s="1"/>
  <c r="AG270" i="1"/>
  <c r="AG255" i="34" s="1"/>
  <c r="AF270" i="1"/>
  <c r="AE270" i="1"/>
  <c r="AE255" i="34" s="1"/>
  <c r="AD270" i="1"/>
  <c r="AD255" i="34" s="1"/>
  <c r="AC270" i="1"/>
  <c r="AC255" i="34" s="1"/>
  <c r="AB270" i="1"/>
  <c r="AA270" i="1"/>
  <c r="AA255" i="34" s="1"/>
  <c r="Z270" i="1"/>
  <c r="Z272" i="1" s="1"/>
  <c r="Y270" i="1"/>
  <c r="X270" i="1"/>
  <c r="X255" i="34" s="1"/>
  <c r="W270" i="1"/>
  <c r="V270" i="1"/>
  <c r="V255" i="34" s="1"/>
  <c r="U270" i="1"/>
  <c r="U255" i="34" s="1"/>
  <c r="T270" i="1"/>
  <c r="S270" i="1"/>
  <c r="S255" i="34" s="1"/>
  <c r="R270" i="1"/>
  <c r="R272" i="1" s="1"/>
  <c r="R257" i="34" s="1"/>
  <c r="Q270" i="1"/>
  <c r="P270" i="1"/>
  <c r="P255" i="34" s="1"/>
  <c r="N270" i="1"/>
  <c r="N255" i="34" s="1"/>
  <c r="M270" i="1"/>
  <c r="M255" i="34" s="1"/>
  <c r="AG265" i="1"/>
  <c r="N265" i="1"/>
  <c r="N267" i="1" s="1"/>
  <c r="N252" i="34" s="1"/>
  <c r="M265" i="1"/>
  <c r="M266" i="1" s="1"/>
  <c r="M251" i="34" s="1"/>
  <c r="BJ258" i="1"/>
  <c r="BJ262" i="1" s="1"/>
  <c r="AO248" i="34" s="1"/>
  <c r="BI258" i="1"/>
  <c r="AG258" i="1"/>
  <c r="AC258" i="1"/>
  <c r="AC260" i="1" s="1"/>
  <c r="AC246" i="34" s="1"/>
  <c r="Y258" i="1"/>
  <c r="Y261" i="1" s="1"/>
  <c r="Y247" i="34" s="1"/>
  <c r="U258" i="1"/>
  <c r="Q258" i="1"/>
  <c r="Q244" i="34" s="1"/>
  <c r="N258" i="1"/>
  <c r="M258" i="1"/>
  <c r="M260" i="1" s="1"/>
  <c r="M246" i="34" s="1"/>
  <c r="AG248" i="1"/>
  <c r="AG234" i="34" s="1"/>
  <c r="AC248" i="1"/>
  <c r="AC234" i="34" s="1"/>
  <c r="Y248" i="1"/>
  <c r="Y234" i="34" s="1"/>
  <c r="U248" i="1"/>
  <c r="U234" i="34" s="1"/>
  <c r="Q248" i="1"/>
  <c r="Q234" i="34" s="1"/>
  <c r="N248" i="1"/>
  <c r="N234" i="34" s="1"/>
  <c r="M248" i="1"/>
  <c r="M234" i="34" s="1"/>
  <c r="N241" i="1"/>
  <c r="M241" i="1"/>
  <c r="BU240" i="1"/>
  <c r="AZ226" i="34" s="1"/>
  <c r="BT240" i="1"/>
  <c r="AY226" i="34" s="1"/>
  <c r="BS240" i="1"/>
  <c r="AX226" i="34" s="1"/>
  <c r="BO240" i="1"/>
  <c r="AT226" i="34" s="1"/>
  <c r="BN240" i="1"/>
  <c r="AS226" i="34" s="1"/>
  <c r="BQ240" i="1"/>
  <c r="AV226" i="34" s="1"/>
  <c r="AJ226" i="34"/>
  <c r="V240" i="1"/>
  <c r="R240" i="1"/>
  <c r="R226" i="34" s="1"/>
  <c r="O240" i="1"/>
  <c r="O226" i="34" s="1"/>
  <c r="O238" i="1"/>
  <c r="O224" i="34" s="1"/>
  <c r="BU236" i="1"/>
  <c r="AZ222" i="34" s="1"/>
  <c r="BT236" i="1"/>
  <c r="AY222" i="34"/>
  <c r="BS236" i="1"/>
  <c r="AX222" i="34" s="1"/>
  <c r="AJ222" i="34"/>
  <c r="AH236" i="1"/>
  <c r="AH222" i="34" s="1"/>
  <c r="AD236" i="1"/>
  <c r="Z236" i="1"/>
  <c r="V236" i="1"/>
  <c r="W236" i="1" s="1"/>
  <c r="W222" i="34" s="1"/>
  <c r="V222" i="34"/>
  <c r="R236" i="1"/>
  <c r="O236" i="1"/>
  <c r="O222" i="34" s="1"/>
  <c r="BZ234" i="1"/>
  <c r="BY234" i="1"/>
  <c r="BX234" i="1"/>
  <c r="BW234" i="1"/>
  <c r="BV234" i="1"/>
  <c r="BL234" i="1"/>
  <c r="AQ220" i="34" s="1"/>
  <c r="BJ234" i="1"/>
  <c r="AO220" i="34" s="1"/>
  <c r="BI234" i="1"/>
  <c r="AN220" i="34" s="1"/>
  <c r="BD234" i="1"/>
  <c r="BC234" i="1"/>
  <c r="BB234" i="1"/>
  <c r="BA234" i="1"/>
  <c r="AZ234" i="1"/>
  <c r="AY234" i="1"/>
  <c r="AX234" i="1"/>
  <c r="AW234" i="1"/>
  <c r="AV234" i="1"/>
  <c r="AU234" i="1"/>
  <c r="AT234" i="1"/>
  <c r="AS234" i="1"/>
  <c r="AG234" i="1"/>
  <c r="AG220" i="34" s="1"/>
  <c r="AC234" i="1"/>
  <c r="AC220" i="34" s="1"/>
  <c r="Y234" i="1"/>
  <c r="Y220" i="34" s="1"/>
  <c r="Q234" i="1"/>
  <c r="Q220" i="34" s="1"/>
  <c r="N234" i="1"/>
  <c r="N220" i="34" s="1"/>
  <c r="M234" i="1"/>
  <c r="M220" i="34" s="1"/>
  <c r="AA233" i="1"/>
  <c r="AA219" i="34" s="1"/>
  <c r="AA231" i="1"/>
  <c r="BN231" i="1" s="1"/>
  <c r="AS217" i="34" s="1"/>
  <c r="V233" i="1"/>
  <c r="AH232" i="1"/>
  <c r="AH218" i="34" s="1"/>
  <c r="AH231" i="1"/>
  <c r="AH217" i="34" s="1"/>
  <c r="AH230" i="1"/>
  <c r="Z232" i="1"/>
  <c r="Z218" i="34" s="1"/>
  <c r="V232" i="1"/>
  <c r="V218" i="34" s="1"/>
  <c r="V231" i="1"/>
  <c r="V217" i="34" s="1"/>
  <c r="R233" i="1"/>
  <c r="R232" i="1"/>
  <c r="R218" i="34" s="1"/>
  <c r="R231" i="1"/>
  <c r="BU233" i="1"/>
  <c r="AZ219" i="34" s="1"/>
  <c r="BT233" i="1"/>
  <c r="AY219" i="34" s="1"/>
  <c r="BS233" i="1"/>
  <c r="AX219" i="34" s="1"/>
  <c r="BU232" i="1"/>
  <c r="AZ218" i="34" s="1"/>
  <c r="BT232" i="1"/>
  <c r="AY218" i="34" s="1"/>
  <c r="BS232" i="1"/>
  <c r="AX218" i="34" s="1"/>
  <c r="BU231" i="1"/>
  <c r="BT231" i="1"/>
  <c r="AY217" i="34" s="1"/>
  <c r="BS231" i="1"/>
  <c r="AX217" i="34" s="1"/>
  <c r="BU230" i="1"/>
  <c r="AZ216" i="34" s="1"/>
  <c r="BT230" i="1"/>
  <c r="BS230" i="1"/>
  <c r="AX216" i="34" s="1"/>
  <c r="AI233" i="1"/>
  <c r="AI219" i="34" s="1"/>
  <c r="AD233" i="1"/>
  <c r="AD219" i="34" s="1"/>
  <c r="AD232" i="1"/>
  <c r="AD218" i="34" s="1"/>
  <c r="AD231" i="1"/>
  <c r="AD217" i="34" s="1"/>
  <c r="AD230" i="1"/>
  <c r="AD216" i="34" s="1"/>
  <c r="Z230" i="1"/>
  <c r="U230" i="1"/>
  <c r="R230" i="1"/>
  <c r="S230" i="1" s="1"/>
  <c r="O233" i="1"/>
  <c r="O219" i="34" s="1"/>
  <c r="O232" i="1"/>
  <c r="O231" i="1"/>
  <c r="P231" i="1" s="1"/>
  <c r="O230" i="1"/>
  <c r="O216" i="34" s="1"/>
  <c r="BL226" i="1"/>
  <c r="AQ212" i="34" s="1"/>
  <c r="BJ226" i="1"/>
  <c r="AO212" i="34" s="1"/>
  <c r="BI226" i="1"/>
  <c r="AN212" i="34" s="1"/>
  <c r="AC226" i="1"/>
  <c r="AC212" i="34" s="1"/>
  <c r="Y226" i="1"/>
  <c r="Y212" i="34" s="1"/>
  <c r="U226" i="1"/>
  <c r="U212" i="34" s="1"/>
  <c r="Q226" i="1"/>
  <c r="Q212" i="34" s="1"/>
  <c r="N226" i="1"/>
  <c r="N212" i="34" s="1"/>
  <c r="M226" i="1"/>
  <c r="M212" i="34" s="1"/>
  <c r="Z225" i="1"/>
  <c r="AA225" i="1" s="1"/>
  <c r="Z224" i="1"/>
  <c r="AD225" i="1"/>
  <c r="AD224" i="1"/>
  <c r="AD210" i="34" s="1"/>
  <c r="AD223" i="1"/>
  <c r="AA223" i="1"/>
  <c r="V225" i="1"/>
  <c r="V224" i="1"/>
  <c r="W224" i="1" s="1"/>
  <c r="W210" i="34" s="1"/>
  <c r="V223" i="1"/>
  <c r="AG222" i="1"/>
  <c r="AD222" i="1"/>
  <c r="AE222" i="1" s="1"/>
  <c r="BU225" i="1"/>
  <c r="AZ211" i="34" s="1"/>
  <c r="BT225" i="1"/>
  <c r="AY211" i="34" s="1"/>
  <c r="BS225" i="1"/>
  <c r="AX211" i="34" s="1"/>
  <c r="BU224" i="1"/>
  <c r="AZ210" i="34" s="1"/>
  <c r="BT224" i="1"/>
  <c r="AY210" i="34" s="1"/>
  <c r="BS224" i="1"/>
  <c r="AX210" i="34" s="1"/>
  <c r="BU223" i="1"/>
  <c r="BT223" i="1"/>
  <c r="AY209" i="34" s="1"/>
  <c r="BS223" i="1"/>
  <c r="AX209" i="34" s="1"/>
  <c r="BU222" i="1"/>
  <c r="AZ208" i="34" s="1"/>
  <c r="BT222" i="1"/>
  <c r="BS222" i="1"/>
  <c r="AX208" i="34" s="1"/>
  <c r="BN222" i="1"/>
  <c r="AS208" i="34" s="1"/>
  <c r="BU221" i="1"/>
  <c r="AZ207" i="34" s="1"/>
  <c r="BT221" i="1"/>
  <c r="AY207" i="34" s="1"/>
  <c r="BS221" i="1"/>
  <c r="AJ211" i="34"/>
  <c r="AH225" i="1"/>
  <c r="AJ210" i="34"/>
  <c r="AH224" i="1"/>
  <c r="AJ209" i="34"/>
  <c r="AH223" i="1"/>
  <c r="AH209" i="34" s="1"/>
  <c r="AJ207" i="34"/>
  <c r="AH221" i="1"/>
  <c r="AH207" i="34" s="1"/>
  <c r="V222" i="1"/>
  <c r="W222" i="1" s="1"/>
  <c r="W208" i="34" s="1"/>
  <c r="V221" i="1"/>
  <c r="W221" i="1" s="1"/>
  <c r="AK258" i="1"/>
  <c r="AH220" i="1"/>
  <c r="AD221" i="1"/>
  <c r="AD220" i="1"/>
  <c r="Z221" i="1"/>
  <c r="Z220" i="1"/>
  <c r="Z248" i="1" s="1"/>
  <c r="Z234" i="34" s="1"/>
  <c r="V220" i="1"/>
  <c r="V248" i="1" s="1"/>
  <c r="V234" i="34" s="1"/>
  <c r="R225" i="1"/>
  <c r="R211" i="34" s="1"/>
  <c r="R224" i="1"/>
  <c r="R223" i="1"/>
  <c r="R209" i="34" s="1"/>
  <c r="R222" i="1"/>
  <c r="R208" i="34" s="1"/>
  <c r="R221" i="1"/>
  <c r="R207" i="34" s="1"/>
  <c r="R220" i="1"/>
  <c r="O225" i="1"/>
  <c r="O224" i="1"/>
  <c r="O210" i="34" s="1"/>
  <c r="O223" i="1"/>
  <c r="O209" i="34" s="1"/>
  <c r="O222" i="1"/>
  <c r="O221" i="1"/>
  <c r="O207" i="34" s="1"/>
  <c r="O220" i="1"/>
  <c r="BL215" i="1"/>
  <c r="O16" i="40" s="1"/>
  <c r="BJ215" i="1"/>
  <c r="BI215" i="1"/>
  <c r="AN201" i="34" s="1"/>
  <c r="AG215" i="1"/>
  <c r="AG201" i="34" s="1"/>
  <c r="AC215" i="1"/>
  <c r="AC201" i="34" s="1"/>
  <c r="Y215" i="1"/>
  <c r="Y201" i="34" s="1"/>
  <c r="U215" i="1"/>
  <c r="U201" i="34" s="1"/>
  <c r="Q215" i="1"/>
  <c r="Q201" i="34" s="1"/>
  <c r="N215" i="1"/>
  <c r="N201" i="34" s="1"/>
  <c r="M215" i="1"/>
  <c r="M201" i="34" s="1"/>
  <c r="AH214" i="1"/>
  <c r="AI214" i="1" s="1"/>
  <c r="AJ199" i="34"/>
  <c r="AH213" i="1"/>
  <c r="AI213" i="1" s="1"/>
  <c r="AH212" i="1"/>
  <c r="AH198" i="34" s="1"/>
  <c r="AJ197" i="34"/>
  <c r="AH211" i="1"/>
  <c r="AD214" i="1"/>
  <c r="AD213" i="1"/>
  <c r="AD212" i="1"/>
  <c r="AD211" i="1"/>
  <c r="AD197" i="34" s="1"/>
  <c r="Z214" i="1"/>
  <c r="Z213" i="1"/>
  <c r="Z212" i="1"/>
  <c r="Z211" i="1"/>
  <c r="V214" i="1"/>
  <c r="W214" i="1" s="1"/>
  <c r="W200" i="34" s="1"/>
  <c r="V213" i="1"/>
  <c r="V212" i="1"/>
  <c r="W212" i="1" s="1"/>
  <c r="V211" i="1"/>
  <c r="V197" i="34" s="1"/>
  <c r="R214" i="1"/>
  <c r="R213" i="1"/>
  <c r="R212" i="1"/>
  <c r="R198" i="34" s="1"/>
  <c r="R211" i="1"/>
  <c r="O214" i="1"/>
  <c r="P214" i="1" s="1"/>
  <c r="BK214" i="1" s="1"/>
  <c r="AP200" i="34" s="1"/>
  <c r="O213" i="1"/>
  <c r="O212" i="1"/>
  <c r="P212" i="1" s="1"/>
  <c r="P198" i="34" s="1"/>
  <c r="O211" i="1"/>
  <c r="N207" i="1"/>
  <c r="M207" i="1"/>
  <c r="BK206" i="1"/>
  <c r="AP192" i="34" s="1"/>
  <c r="AJ192" i="34"/>
  <c r="AG206" i="1"/>
  <c r="AH206" i="1" s="1"/>
  <c r="AC206" i="1"/>
  <c r="AC192" i="34" s="1"/>
  <c r="Z206" i="1"/>
  <c r="BU206" i="1"/>
  <c r="AZ192" i="34" s="1"/>
  <c r="BT206" i="1"/>
  <c r="AY192" i="34" s="1"/>
  <c r="BS206" i="1"/>
  <c r="AX192" i="34" s="1"/>
  <c r="BU205" i="1"/>
  <c r="AZ191" i="34" s="1"/>
  <c r="BT205" i="1"/>
  <c r="AY191" i="34" s="1"/>
  <c r="BS205" i="1"/>
  <c r="AX191" i="34" s="1"/>
  <c r="AH205" i="1"/>
  <c r="Z205" i="1"/>
  <c r="V206" i="1"/>
  <c r="V205" i="1"/>
  <c r="W205" i="1" s="1"/>
  <c r="X205" i="1" s="1"/>
  <c r="X191" i="34" s="1"/>
  <c r="R206" i="1"/>
  <c r="R192" i="34" s="1"/>
  <c r="R205" i="1"/>
  <c r="R191" i="34" s="1"/>
  <c r="O205" i="1"/>
  <c r="O191" i="34" s="1"/>
  <c r="AH204" i="1"/>
  <c r="AH190" i="34" s="1"/>
  <c r="O204" i="1"/>
  <c r="O190" i="34" s="1"/>
  <c r="BU203" i="1"/>
  <c r="AZ189" i="34" s="1"/>
  <c r="BT203" i="1"/>
  <c r="AY189" i="34" s="1"/>
  <c r="BS203" i="1"/>
  <c r="AX189" i="34" s="1"/>
  <c r="AJ189" i="34"/>
  <c r="AH203" i="1"/>
  <c r="Z203" i="1"/>
  <c r="Z189" i="34" s="1"/>
  <c r="V203" i="1"/>
  <c r="V189" i="34" s="1"/>
  <c r="R203" i="1"/>
  <c r="R189" i="34" s="1"/>
  <c r="O203" i="1"/>
  <c r="AK265" i="1"/>
  <c r="AK274" i="1" s="1"/>
  <c r="AH202" i="1"/>
  <c r="AI202" i="1" s="1"/>
  <c r="AI265" i="1" s="1"/>
  <c r="AI266" i="1" s="1"/>
  <c r="AI251" i="34" s="1"/>
  <c r="AJ187" i="34"/>
  <c r="AH201" i="1"/>
  <c r="AI201" i="1" s="1"/>
  <c r="AI187" i="34" s="1"/>
  <c r="AD205" i="1"/>
  <c r="AD191" i="34" s="1"/>
  <c r="AD203" i="1"/>
  <c r="AE203" i="1" s="1"/>
  <c r="AF203" i="1" s="1"/>
  <c r="BO203" i="1" s="1"/>
  <c r="AT189" i="34" s="1"/>
  <c r="O202" i="1"/>
  <c r="O188" i="34" s="1"/>
  <c r="AF191" i="1"/>
  <c r="AF180" i="34" s="1"/>
  <c r="AE191" i="1"/>
  <c r="AD191" i="1"/>
  <c r="AD180" i="34" s="1"/>
  <c r="AC191" i="1"/>
  <c r="AC180" i="34" s="1"/>
  <c r="AB191" i="1"/>
  <c r="AB180" i="34" s="1"/>
  <c r="AA191" i="1"/>
  <c r="AA180" i="34" s="1"/>
  <c r="Z191" i="1"/>
  <c r="Z180" i="34" s="1"/>
  <c r="Y191" i="1"/>
  <c r="Y180" i="34" s="1"/>
  <c r="X191" i="1"/>
  <c r="X180" i="34" s="1"/>
  <c r="AF187" i="1"/>
  <c r="AF176" i="34" s="1"/>
  <c r="AE187" i="1"/>
  <c r="AE176" i="34" s="1"/>
  <c r="AD187" i="1"/>
  <c r="AD176" i="34" s="1"/>
  <c r="AC187" i="1"/>
  <c r="AC176" i="34" s="1"/>
  <c r="AB187" i="1"/>
  <c r="AB176" i="34" s="1"/>
  <c r="AA187" i="1"/>
  <c r="AA176" i="34" s="1"/>
  <c r="Z187" i="1"/>
  <c r="Z176" i="34" s="1"/>
  <c r="Y187" i="1"/>
  <c r="Y176" i="34" s="1"/>
  <c r="X187" i="1"/>
  <c r="X176" i="34" s="1"/>
  <c r="BJ181" i="1"/>
  <c r="AO170" i="34" s="1"/>
  <c r="AI181" i="1"/>
  <c r="AI170" i="34" s="1"/>
  <c r="AH181" i="1"/>
  <c r="AH170" i="34" s="1"/>
  <c r="AG181" i="1"/>
  <c r="AE181" i="1"/>
  <c r="AE170" i="34" s="1"/>
  <c r="AD181" i="1"/>
  <c r="AC181" i="1"/>
  <c r="AC170" i="34" s="1"/>
  <c r="AB181" i="1"/>
  <c r="AA181" i="1"/>
  <c r="AA170" i="34" s="1"/>
  <c r="Z181" i="1"/>
  <c r="Z170" i="34" s="1"/>
  <c r="Y181" i="1"/>
  <c r="Y170" i="34" s="1"/>
  <c r="X181" i="1"/>
  <c r="X170" i="34" s="1"/>
  <c r="W181" i="1"/>
  <c r="W170" i="34" s="1"/>
  <c r="V181" i="1"/>
  <c r="V170" i="34" s="1"/>
  <c r="U181" i="1"/>
  <c r="U170" i="34" s="1"/>
  <c r="T181" i="1"/>
  <c r="T170" i="34" s="1"/>
  <c r="S181" i="1"/>
  <c r="S170" i="34" s="1"/>
  <c r="BO180" i="1"/>
  <c r="AT169" i="34" s="1"/>
  <c r="BN180" i="1"/>
  <c r="BM180" i="1"/>
  <c r="AR169" i="34" s="1"/>
  <c r="BL180" i="1"/>
  <c r="AQ169" i="34" s="1"/>
  <c r="BK180" i="1"/>
  <c r="AP169" i="34" s="1"/>
  <c r="BO179" i="1"/>
  <c r="AT168" i="34" s="1"/>
  <c r="BN179" i="1"/>
  <c r="AS168" i="34" s="1"/>
  <c r="BM179" i="1"/>
  <c r="AR168" i="34" s="1"/>
  <c r="BL179" i="1"/>
  <c r="AQ168" i="34" s="1"/>
  <c r="BK179" i="1"/>
  <c r="AP168" i="34" s="1"/>
  <c r="BO178" i="1"/>
  <c r="AT167" i="34" s="1"/>
  <c r="BN178" i="1"/>
  <c r="AS167" i="34" s="1"/>
  <c r="BM178" i="1"/>
  <c r="AR167" i="34" s="1"/>
  <c r="BL178" i="1"/>
  <c r="BK178" i="1"/>
  <c r="BO177" i="1"/>
  <c r="AT166" i="34" s="1"/>
  <c r="BN177" i="1"/>
  <c r="BM177" i="1"/>
  <c r="BL177" i="1"/>
  <c r="BK177" i="1"/>
  <c r="AP166" i="34" s="1"/>
  <c r="BN176" i="1"/>
  <c r="AS165" i="34" s="1"/>
  <c r="BM176" i="1"/>
  <c r="AR165" i="34" s="1"/>
  <c r="BL176" i="1"/>
  <c r="AJ169" i="34"/>
  <c r="AJ168" i="34"/>
  <c r="AJ166" i="34"/>
  <c r="BP176" i="1"/>
  <c r="AF176" i="1"/>
  <c r="BO176" i="1" s="1"/>
  <c r="P176" i="1"/>
  <c r="Q176" i="1" s="1"/>
  <c r="BO171" i="1"/>
  <c r="AT160" i="34" s="1"/>
  <c r="BN171" i="1"/>
  <c r="AS160" i="34" s="1"/>
  <c r="BM171" i="1"/>
  <c r="AR160" i="34" s="1"/>
  <c r="BL171" i="1"/>
  <c r="AQ160" i="34" s="1"/>
  <c r="BK171" i="1"/>
  <c r="AP160" i="34" s="1"/>
  <c r="BJ169" i="1"/>
  <c r="BJ172" i="1" s="1"/>
  <c r="AI169" i="1"/>
  <c r="AH169" i="1"/>
  <c r="AH158" i="34" s="1"/>
  <c r="AG169" i="1"/>
  <c r="AG172" i="1" s="1"/>
  <c r="AG161" i="34" s="1"/>
  <c r="AF169" i="1"/>
  <c r="AE169" i="1"/>
  <c r="AE158" i="34" s="1"/>
  <c r="AD169" i="1"/>
  <c r="AD158" i="34" s="1"/>
  <c r="AC169" i="1"/>
  <c r="AB169" i="1"/>
  <c r="AB158" i="34" s="1"/>
  <c r="AA169" i="1"/>
  <c r="AA172" i="1" s="1"/>
  <c r="Z169" i="1"/>
  <c r="Z158" i="34" s="1"/>
  <c r="Y169" i="1"/>
  <c r="Y172" i="1" s="1"/>
  <c r="X169" i="1"/>
  <c r="X172" i="1" s="1"/>
  <c r="W169" i="1"/>
  <c r="W172" i="1" s="1"/>
  <c r="W161" i="34" s="1"/>
  <c r="V169" i="1"/>
  <c r="U169" i="1"/>
  <c r="U172" i="1" s="1"/>
  <c r="T169" i="1"/>
  <c r="S169" i="1"/>
  <c r="S158" i="34" s="1"/>
  <c r="R169" i="1"/>
  <c r="R172" i="1" s="1"/>
  <c r="R161" i="34" s="1"/>
  <c r="Q169" i="1"/>
  <c r="Q158" i="34" s="1"/>
  <c r="P169" i="1"/>
  <c r="O169" i="1"/>
  <c r="O158" i="34" s="1"/>
  <c r="BO168" i="1"/>
  <c r="BN168" i="1"/>
  <c r="BM168" i="1"/>
  <c r="BL168" i="1"/>
  <c r="BK168" i="1"/>
  <c r="BO167" i="1"/>
  <c r="AT156" i="34" s="1"/>
  <c r="BN167" i="1"/>
  <c r="BM167" i="1"/>
  <c r="BL167" i="1"/>
  <c r="AQ156" i="34" s="1"/>
  <c r="BK167" i="1"/>
  <c r="AP156" i="34" s="1"/>
  <c r="BO166" i="1"/>
  <c r="BO131" i="1" s="1"/>
  <c r="AT119" i="34" s="1"/>
  <c r="BN166" i="1"/>
  <c r="BM166" i="1"/>
  <c r="BL166" i="1"/>
  <c r="BK166" i="1"/>
  <c r="AP155" i="34" s="1"/>
  <c r="AL191" i="1"/>
  <c r="AK191" i="1"/>
  <c r="AL131" i="1"/>
  <c r="AK131" i="1"/>
  <c r="AI161" i="1"/>
  <c r="AI150" i="34" s="1"/>
  <c r="AH161" i="1"/>
  <c r="AH150" i="34" s="1"/>
  <c r="AG161" i="1"/>
  <c r="AG150" i="34" s="1"/>
  <c r="AF161" i="1"/>
  <c r="AE161" i="1"/>
  <c r="AE150" i="34" s="1"/>
  <c r="AD161" i="1"/>
  <c r="AD150" i="34" s="1"/>
  <c r="AC161" i="1"/>
  <c r="AC150" i="34" s="1"/>
  <c r="AB161" i="1"/>
  <c r="AA161" i="1"/>
  <c r="AA150" i="34" s="1"/>
  <c r="Z161" i="1"/>
  <c r="Z150" i="34" s="1"/>
  <c r="Y161" i="1"/>
  <c r="X161" i="1"/>
  <c r="BL161" i="1"/>
  <c r="AQ150" i="34" s="1"/>
  <c r="BK161" i="1"/>
  <c r="AP150" i="34" s="1"/>
  <c r="BO160" i="1"/>
  <c r="AT149" i="34" s="1"/>
  <c r="BN160" i="1"/>
  <c r="AS149" i="34" s="1"/>
  <c r="BM160" i="1"/>
  <c r="AR149" i="34" s="1"/>
  <c r="BL160" i="1"/>
  <c r="AQ149" i="34" s="1"/>
  <c r="BK160" i="1"/>
  <c r="AP149" i="34" s="1"/>
  <c r="BO159" i="1"/>
  <c r="BN159" i="1"/>
  <c r="BM159" i="1"/>
  <c r="AR148" i="34" s="1"/>
  <c r="BL159" i="1"/>
  <c r="AQ148" i="34" s="1"/>
  <c r="BK159" i="1"/>
  <c r="AP148" i="34" s="1"/>
  <c r="AJ149" i="34"/>
  <c r="AL271" i="1"/>
  <c r="BJ157" i="1"/>
  <c r="BJ162" i="1" s="1"/>
  <c r="Y157" i="1"/>
  <c r="Y144" i="34" s="1"/>
  <c r="W157" i="1"/>
  <c r="V157" i="1"/>
  <c r="U157" i="1"/>
  <c r="U162" i="1" s="1"/>
  <c r="T157" i="1"/>
  <c r="T144" i="34" s="1"/>
  <c r="S157" i="1"/>
  <c r="S162" i="1" s="1"/>
  <c r="R157" i="1"/>
  <c r="R162" i="1" s="1"/>
  <c r="Q157" i="1"/>
  <c r="Q162" i="1" s="1"/>
  <c r="P157" i="1"/>
  <c r="P162" i="1" s="1"/>
  <c r="O157" i="1"/>
  <c r="AE156" i="1"/>
  <c r="AE143" i="34" s="1"/>
  <c r="AD156" i="1"/>
  <c r="AD143" i="34" s="1"/>
  <c r="AF154" i="1"/>
  <c r="AF141" i="34" s="1"/>
  <c r="BO156" i="1"/>
  <c r="AT143" i="34" s="1"/>
  <c r="BN156" i="1"/>
  <c r="AS143" i="34" s="1"/>
  <c r="BM156" i="1"/>
  <c r="AR143" i="34" s="1"/>
  <c r="BL156" i="1"/>
  <c r="AQ143" i="34" s="1"/>
  <c r="BK156" i="1"/>
  <c r="AP143" i="34" s="1"/>
  <c r="BO155" i="1"/>
  <c r="AT142" i="34" s="1"/>
  <c r="BN155" i="1"/>
  <c r="AS142" i="34" s="1"/>
  <c r="BM155" i="1"/>
  <c r="BL155" i="1"/>
  <c r="BK155" i="1"/>
  <c r="AP142" i="34" s="1"/>
  <c r="BN154" i="1"/>
  <c r="AS141" i="34" s="1"/>
  <c r="BM154" i="1"/>
  <c r="AR141" i="34" s="1"/>
  <c r="BL154" i="1"/>
  <c r="BK154" i="1"/>
  <c r="AP141" i="34" s="1"/>
  <c r="BL153" i="1"/>
  <c r="BK153" i="1"/>
  <c r="AJ142" i="34"/>
  <c r="AJ141" i="34"/>
  <c r="BJ132" i="1"/>
  <c r="BJ131" i="1"/>
  <c r="AO119" i="34" s="1"/>
  <c r="BJ130" i="1"/>
  <c r="AO118" i="34" s="1"/>
  <c r="AI132" i="1"/>
  <c r="AI120" i="34" s="1"/>
  <c r="AH132" i="1"/>
  <c r="AH120" i="34" s="1"/>
  <c r="AG132" i="1"/>
  <c r="AG120" i="34" s="1"/>
  <c r="AF132" i="1"/>
  <c r="AF120" i="34" s="1"/>
  <c r="AE132" i="1"/>
  <c r="AE120" i="34" s="1"/>
  <c r="AD132" i="1"/>
  <c r="AD120" i="34" s="1"/>
  <c r="AC132" i="1"/>
  <c r="AC120" i="34" s="1"/>
  <c r="AB132" i="1"/>
  <c r="AB120" i="34" s="1"/>
  <c r="AA132" i="1"/>
  <c r="AA120" i="34" s="1"/>
  <c r="Z132" i="1"/>
  <c r="Z120" i="34" s="1"/>
  <c r="Y132" i="1"/>
  <c r="Y120" i="34" s="1"/>
  <c r="X132" i="1"/>
  <c r="X120" i="34" s="1"/>
  <c r="W132" i="1"/>
  <c r="W120" i="34" s="1"/>
  <c r="V132" i="1"/>
  <c r="V120" i="34" s="1"/>
  <c r="U132" i="1"/>
  <c r="U120" i="34" s="1"/>
  <c r="T132" i="1"/>
  <c r="T120" i="34" s="1"/>
  <c r="S132" i="1"/>
  <c r="S120" i="34" s="1"/>
  <c r="R132" i="1"/>
  <c r="R120" i="34" s="1"/>
  <c r="Q132" i="1"/>
  <c r="Q120" i="34" s="1"/>
  <c r="P132" i="1"/>
  <c r="P120" i="34" s="1"/>
  <c r="O132" i="1"/>
  <c r="O120" i="34" s="1"/>
  <c r="N132" i="1"/>
  <c r="N120" i="34" s="1"/>
  <c r="M132" i="1"/>
  <c r="M120" i="34" s="1"/>
  <c r="AI131" i="1"/>
  <c r="AI119" i="34" s="1"/>
  <c r="AH131" i="1"/>
  <c r="AH119" i="34" s="1"/>
  <c r="AG131" i="1"/>
  <c r="AG119" i="34" s="1"/>
  <c r="AF131" i="1"/>
  <c r="AF119" i="34" s="1"/>
  <c r="AE131" i="1"/>
  <c r="AE119" i="34" s="1"/>
  <c r="AD131" i="1"/>
  <c r="AD119" i="34" s="1"/>
  <c r="AC131" i="1"/>
  <c r="AC119" i="34" s="1"/>
  <c r="AB131" i="1"/>
  <c r="AB119" i="34" s="1"/>
  <c r="AA131" i="1"/>
  <c r="AA119" i="34" s="1"/>
  <c r="Z131" i="1"/>
  <c r="Z119" i="34" s="1"/>
  <c r="Y131" i="1"/>
  <c r="Y119" i="34" s="1"/>
  <c r="X131" i="1"/>
  <c r="X119" i="34" s="1"/>
  <c r="W131" i="1"/>
  <c r="W119" i="34" s="1"/>
  <c r="V131" i="1"/>
  <c r="V119" i="34" s="1"/>
  <c r="U131" i="1"/>
  <c r="U119" i="34" s="1"/>
  <c r="T131" i="1"/>
  <c r="T119" i="34" s="1"/>
  <c r="S131" i="1"/>
  <c r="S119" i="34" s="1"/>
  <c r="R131" i="1"/>
  <c r="R119" i="34" s="1"/>
  <c r="Q131" i="1"/>
  <c r="Q119" i="34" s="1"/>
  <c r="P131" i="1"/>
  <c r="P119" i="34" s="1"/>
  <c r="O131" i="1"/>
  <c r="O119" i="34" s="1"/>
  <c r="N131" i="1"/>
  <c r="N119" i="34" s="1"/>
  <c r="M131" i="1"/>
  <c r="M119" i="34" s="1"/>
  <c r="Y130" i="1"/>
  <c r="Y118" i="34" s="1"/>
  <c r="W130" i="1"/>
  <c r="W118" i="34" s="1"/>
  <c r="V130" i="1"/>
  <c r="V118" i="34" s="1"/>
  <c r="U130" i="1"/>
  <c r="U118" i="34" s="1"/>
  <c r="T130" i="1"/>
  <c r="T118" i="34" s="1"/>
  <c r="S130" i="1"/>
  <c r="S118" i="34" s="1"/>
  <c r="R130" i="1"/>
  <c r="R118" i="34" s="1"/>
  <c r="Q130" i="1"/>
  <c r="Q118" i="34" s="1"/>
  <c r="P130" i="1"/>
  <c r="P118" i="34" s="1"/>
  <c r="O130" i="1"/>
  <c r="O118" i="34" s="1"/>
  <c r="N130" i="1"/>
  <c r="N118" i="34" s="1"/>
  <c r="M130" i="1"/>
  <c r="M118" i="34" s="1"/>
  <c r="N129" i="1"/>
  <c r="M129" i="1"/>
  <c r="BI124" i="1"/>
  <c r="BI125" i="1" s="1"/>
  <c r="AN113" i="34" s="1"/>
  <c r="N124" i="1"/>
  <c r="M124" i="1"/>
  <c r="BJ120" i="1"/>
  <c r="AO108" i="34" s="1"/>
  <c r="BI120" i="1"/>
  <c r="AN108" i="34" s="1"/>
  <c r="BZ119" i="1"/>
  <c r="BY119" i="1"/>
  <c r="BX119" i="1"/>
  <c r="BW119" i="1"/>
  <c r="BV119" i="1"/>
  <c r="BL119" i="1"/>
  <c r="AQ107" i="34" s="1"/>
  <c r="BJ119" i="1"/>
  <c r="AO107" i="34" s="1"/>
  <c r="BI119" i="1"/>
  <c r="AN107" i="34" s="1"/>
  <c r="V120" i="1"/>
  <c r="V108" i="34" s="1"/>
  <c r="U120" i="1"/>
  <c r="U108" i="34" s="1"/>
  <c r="T120" i="1"/>
  <c r="T108" i="34" s="1"/>
  <c r="S120" i="1"/>
  <c r="S108" i="34" s="1"/>
  <c r="R120" i="1"/>
  <c r="R108" i="34" s="1"/>
  <c r="Q120" i="1"/>
  <c r="Q108" i="34" s="1"/>
  <c r="P120" i="1"/>
  <c r="P108" i="34" s="1"/>
  <c r="O120" i="1"/>
  <c r="O108" i="34" s="1"/>
  <c r="N120" i="1"/>
  <c r="N108" i="34" s="1"/>
  <c r="M120" i="1"/>
  <c r="M108" i="34" s="1"/>
  <c r="BD119" i="1"/>
  <c r="BC119" i="1"/>
  <c r="BB119" i="1"/>
  <c r="BA119" i="1"/>
  <c r="AZ119" i="1"/>
  <c r="AY119" i="1"/>
  <c r="AX119" i="1"/>
  <c r="AW119" i="1"/>
  <c r="AV119" i="1"/>
  <c r="AU119" i="1"/>
  <c r="AT119" i="1"/>
  <c r="AS119" i="1"/>
  <c r="AC119" i="1"/>
  <c r="AC107" i="34" s="1"/>
  <c r="Y119" i="1"/>
  <c r="Y107" i="34" s="1"/>
  <c r="U119" i="1"/>
  <c r="U107" i="34" s="1"/>
  <c r="Q119" i="1"/>
  <c r="Q107" i="34" s="1"/>
  <c r="N119" i="1"/>
  <c r="N107" i="34" s="1"/>
  <c r="M119" i="1"/>
  <c r="M107" i="34" s="1"/>
  <c r="AH103" i="1"/>
  <c r="AI103" i="1" s="1"/>
  <c r="AD103" i="1"/>
  <c r="AE103" i="1" s="1"/>
  <c r="AF103" i="1" s="1"/>
  <c r="Z103" i="1"/>
  <c r="V103" i="1"/>
  <c r="W103" i="1" s="1"/>
  <c r="R103" i="1"/>
  <c r="BS102" i="1"/>
  <c r="AX90" i="34" s="1"/>
  <c r="BR102" i="1"/>
  <c r="AW90" i="34" s="1"/>
  <c r="BQ102" i="1"/>
  <c r="AV90" i="34" s="1"/>
  <c r="BP102" i="1"/>
  <c r="AU90" i="34" s="1"/>
  <c r="BO102" i="1"/>
  <c r="AT90" i="34" s="1"/>
  <c r="BN102" i="1"/>
  <c r="AS90" i="34" s="1"/>
  <c r="BM102" i="1"/>
  <c r="AR90" i="34" s="1"/>
  <c r="BL102" i="1"/>
  <c r="AQ90" i="34" s="1"/>
  <c r="BK102" i="1"/>
  <c r="AP90" i="34" s="1"/>
  <c r="BV102" i="1"/>
  <c r="BW102" i="1" s="1"/>
  <c r="BX102" i="1" s="1"/>
  <c r="BY102" i="1" s="1"/>
  <c r="BZ102" i="1" s="1"/>
  <c r="BJ94" i="1"/>
  <c r="AO81" i="34" s="1"/>
  <c r="BI94" i="1"/>
  <c r="AN81" i="34" s="1"/>
  <c r="BH94" i="1"/>
  <c r="AM81" i="34" s="1"/>
  <c r="BG94" i="1"/>
  <c r="AL81" i="34" s="1"/>
  <c r="BU93" i="1"/>
  <c r="AZ80" i="34" s="1"/>
  <c r="BT93" i="1"/>
  <c r="AY80" i="34" s="1"/>
  <c r="BR93" i="1"/>
  <c r="AW80" i="34" s="1"/>
  <c r="BQ93" i="1"/>
  <c r="AV80" i="34" s="1"/>
  <c r="BL93" i="1"/>
  <c r="BK93" i="1"/>
  <c r="AI93" i="1"/>
  <c r="AI88" i="1" s="1"/>
  <c r="AH93" i="1"/>
  <c r="AH1286" i="34" s="1"/>
  <c r="AG93" i="1"/>
  <c r="AG1286" i="34" s="1"/>
  <c r="AF93" i="1"/>
  <c r="AE93" i="1"/>
  <c r="AE88" i="1" s="1"/>
  <c r="AE75" i="34" s="1"/>
  <c r="AD93" i="1"/>
  <c r="AC93" i="1"/>
  <c r="AB93" i="1"/>
  <c r="AB92" i="1" s="1"/>
  <c r="AA93" i="1"/>
  <c r="AA1286" i="34" s="1"/>
  <c r="Z93" i="1"/>
  <c r="Z88" i="1" s="1"/>
  <c r="Z1281" i="34" s="1"/>
  <c r="Y93" i="1"/>
  <c r="Y80" i="34" s="1"/>
  <c r="X93" i="1"/>
  <c r="X1286" i="34" s="1"/>
  <c r="W93" i="1"/>
  <c r="W1286" i="34" s="1"/>
  <c r="BZ92" i="1"/>
  <c r="BZ120" i="1" s="1"/>
  <c r="BY92" i="1"/>
  <c r="BY120" i="1" s="1"/>
  <c r="BX92" i="1"/>
  <c r="BX120" i="1" s="1"/>
  <c r="BW92" i="1"/>
  <c r="BW120" i="1" s="1"/>
  <c r="BV92" i="1"/>
  <c r="BV120" i="1" s="1"/>
  <c r="BL92" i="1"/>
  <c r="BL120" i="1" s="1"/>
  <c r="AQ108" i="34" s="1"/>
  <c r="BK92" i="1"/>
  <c r="BK120" i="1" s="1"/>
  <c r="AP108" i="34" s="1"/>
  <c r="BD92" i="1"/>
  <c r="BC92" i="1"/>
  <c r="BC120" i="1" s="1"/>
  <c r="BB92" i="1"/>
  <c r="BB1285" i="34" s="1"/>
  <c r="BA92" i="1"/>
  <c r="AZ1285" i="34"/>
  <c r="AN92" i="1"/>
  <c r="AN1285" i="34" s="1"/>
  <c r="AM120" i="1"/>
  <c r="AL92" i="1"/>
  <c r="AK92" i="1"/>
  <c r="AK1285" i="34" s="1"/>
  <c r="AJ92" i="1"/>
  <c r="AJ120" i="1" s="1"/>
  <c r="AJ108" i="34" s="1"/>
  <c r="BN90" i="1"/>
  <c r="BM90" i="1"/>
  <c r="BL90" i="1"/>
  <c r="AQ77" i="34" s="1"/>
  <c r="BK90" i="1"/>
  <c r="BL86" i="1" s="1"/>
  <c r="AQ73" i="34" s="1"/>
  <c r="BJ90" i="1"/>
  <c r="M86" i="1" s="1"/>
  <c r="BI90" i="1"/>
  <c r="BH90" i="1"/>
  <c r="AM77" i="34" s="1"/>
  <c r="BG90" i="1"/>
  <c r="AI90" i="1"/>
  <c r="AH90" i="1"/>
  <c r="AI86" i="1" s="1"/>
  <c r="AG90" i="1"/>
  <c r="AF90" i="1"/>
  <c r="AG86" i="1" s="1"/>
  <c r="BP86" i="1" s="1"/>
  <c r="AU73" i="34" s="1"/>
  <c r="AE90" i="1"/>
  <c r="AE77" i="34" s="1"/>
  <c r="AD90" i="1"/>
  <c r="AE86" i="1" s="1"/>
  <c r="AC90" i="1"/>
  <c r="AC77" i="34" s="1"/>
  <c r="AB90" i="1"/>
  <c r="AB77" i="34" s="1"/>
  <c r="AA90" i="1"/>
  <c r="Z90" i="1"/>
  <c r="Z77" i="34" s="1"/>
  <c r="Y90" i="1"/>
  <c r="X90" i="1"/>
  <c r="X77" i="34" s="1"/>
  <c r="W90" i="1"/>
  <c r="W77" i="34" s="1"/>
  <c r="V90" i="1"/>
  <c r="V77" i="34" s="1"/>
  <c r="U90" i="1"/>
  <c r="T90" i="1"/>
  <c r="T1283" i="34" s="1"/>
  <c r="S90" i="1"/>
  <c r="S77" i="34" s="1"/>
  <c r="R90" i="1"/>
  <c r="Q90" i="1"/>
  <c r="R86" i="1" s="1"/>
  <c r="P90" i="1"/>
  <c r="P77" i="34" s="1"/>
  <c r="O90" i="1"/>
  <c r="O77" i="34" s="1"/>
  <c r="N90" i="1"/>
  <c r="N77" i="34" s="1"/>
  <c r="M90" i="1"/>
  <c r="M1283" i="34" s="1"/>
  <c r="BD88" i="1"/>
  <c r="BD1281" i="34" s="1"/>
  <c r="BC88" i="1"/>
  <c r="BC1281" i="34" s="1"/>
  <c r="BB88" i="1"/>
  <c r="BB1281" i="34" s="1"/>
  <c r="BA88" i="1"/>
  <c r="BA1281" i="34" s="1"/>
  <c r="AW1281" i="34"/>
  <c r="AT1281" i="34"/>
  <c r="AP1281" i="34"/>
  <c r="AL88" i="1"/>
  <c r="AL1281" i="34" s="1"/>
  <c r="AK88" i="1"/>
  <c r="AK1281" i="34" s="1"/>
  <c r="AJ88" i="1"/>
  <c r="AJ75" i="34" s="1"/>
  <c r="AA88" i="1"/>
  <c r="Y88" i="1"/>
  <c r="Y1281" i="34" s="1"/>
  <c r="V88" i="1"/>
  <c r="V1281" i="34" s="1"/>
  <c r="U88" i="1"/>
  <c r="T88" i="1"/>
  <c r="T1281" i="34" s="1"/>
  <c r="S88" i="1"/>
  <c r="S1281" i="34" s="1"/>
  <c r="R88" i="1"/>
  <c r="R1281" i="34" s="1"/>
  <c r="Q88" i="1"/>
  <c r="Q1281" i="34" s="1"/>
  <c r="P88" i="1"/>
  <c r="P1281" i="34" s="1"/>
  <c r="O88" i="1"/>
  <c r="N88" i="1"/>
  <c r="N1281" i="34" s="1"/>
  <c r="M88" i="1"/>
  <c r="M1281" i="34" s="1"/>
  <c r="BZ88" i="1"/>
  <c r="BY88" i="1"/>
  <c r="BX88" i="1"/>
  <c r="BW88" i="1"/>
  <c r="BV88" i="1"/>
  <c r="BJ88" i="1"/>
  <c r="AO75" i="34" s="1"/>
  <c r="BI88" i="1"/>
  <c r="AN75" i="34" s="1"/>
  <c r="BH88" i="1"/>
  <c r="AM75" i="34" s="1"/>
  <c r="BG88" i="1"/>
  <c r="AL75" i="34" s="1"/>
  <c r="BU87" i="1"/>
  <c r="AZ74" i="34" s="1"/>
  <c r="BT87" i="1"/>
  <c r="AY74" i="34" s="1"/>
  <c r="AL90" i="1"/>
  <c r="AM86" i="1" s="1"/>
  <c r="AK90" i="1"/>
  <c r="AL1276" i="34"/>
  <c r="AK1276" i="34"/>
  <c r="BU69" i="1"/>
  <c r="BT69" i="1"/>
  <c r="BS69" i="1"/>
  <c r="BP69" i="1"/>
  <c r="BO69" i="1"/>
  <c r="BU68" i="1"/>
  <c r="AZ56" i="34" s="1"/>
  <c r="BT68" i="1"/>
  <c r="AY56" i="34" s="1"/>
  <c r="BS68" i="1"/>
  <c r="AX56" i="34" s="1"/>
  <c r="BR68" i="1"/>
  <c r="AW56" i="34" s="1"/>
  <c r="BQ68" i="1"/>
  <c r="AV56" i="34" s="1"/>
  <c r="BP68" i="1"/>
  <c r="AU56" i="34" s="1"/>
  <c r="BO68" i="1"/>
  <c r="AT56" i="34" s="1"/>
  <c r="BN68" i="1"/>
  <c r="AS56" i="34" s="1"/>
  <c r="BM68" i="1"/>
  <c r="AR56" i="34" s="1"/>
  <c r="BL68" i="1"/>
  <c r="AQ56" i="34" s="1"/>
  <c r="BK68" i="1"/>
  <c r="AP56" i="34" s="1"/>
  <c r="AL1259" i="34"/>
  <c r="AK1259" i="34"/>
  <c r="AJ1259" i="34"/>
  <c r="BO66" i="1"/>
  <c r="AT54" i="34" s="1"/>
  <c r="BN66" i="1"/>
  <c r="AS54" i="34" s="1"/>
  <c r="BM66" i="1"/>
  <c r="AR54" i="34" s="1"/>
  <c r="BL66" i="1"/>
  <c r="AQ54" i="34" s="1"/>
  <c r="BK66" i="1"/>
  <c r="BO58" i="1"/>
  <c r="BN58" i="1"/>
  <c r="AS46" i="34" s="1"/>
  <c r="BM58" i="1"/>
  <c r="AR46" i="34" s="1"/>
  <c r="BL58" i="1"/>
  <c r="AQ46" i="34" s="1"/>
  <c r="BK58" i="1"/>
  <c r="AK1251" i="34"/>
  <c r="BU57" i="1"/>
  <c r="AZ45" i="34" s="1"/>
  <c r="BT57" i="1"/>
  <c r="AY45" i="34" s="1"/>
  <c r="BS57" i="1"/>
  <c r="AX45" i="34" s="1"/>
  <c r="BR57" i="1"/>
  <c r="AW45" i="34" s="1"/>
  <c r="BQ57" i="1"/>
  <c r="AV45" i="34" s="1"/>
  <c r="BP57" i="1"/>
  <c r="AU45" i="34" s="1"/>
  <c r="BO57" i="1"/>
  <c r="AT45" i="34" s="1"/>
  <c r="BN57" i="1"/>
  <c r="BM57" i="1"/>
  <c r="AR45" i="34" s="1"/>
  <c r="BL57" i="1"/>
  <c r="AQ45" i="34" s="1"/>
  <c r="BK57" i="1"/>
  <c r="AP45" i="34" s="1"/>
  <c r="BJ56" i="1"/>
  <c r="AO44" i="34" s="1"/>
  <c r="BI56" i="1"/>
  <c r="AN44" i="34" s="1"/>
  <c r="BH56" i="1"/>
  <c r="AM44" i="34" s="1"/>
  <c r="BG56" i="1"/>
  <c r="AL44" i="34" s="1"/>
  <c r="AI56" i="1"/>
  <c r="AH56" i="1"/>
  <c r="AH1249" i="34" s="1"/>
  <c r="AG56" i="1"/>
  <c r="AF56" i="1"/>
  <c r="AF1249" i="34" s="1"/>
  <c r="AE56" i="1"/>
  <c r="AE44" i="34" s="1"/>
  <c r="AD56" i="1"/>
  <c r="AD44" i="34" s="1"/>
  <c r="AC56" i="1"/>
  <c r="AB56" i="1"/>
  <c r="AB1249" i="34" s="1"/>
  <c r="AA56" i="1"/>
  <c r="AA44" i="34" s="1"/>
  <c r="Z56" i="1"/>
  <c r="Z1249" i="34" s="1"/>
  <c r="Y56" i="1"/>
  <c r="X56" i="1"/>
  <c r="X1249" i="34" s="1"/>
  <c r="W56" i="1"/>
  <c r="W1249" i="34" s="1"/>
  <c r="V56" i="1"/>
  <c r="V44" i="34" s="1"/>
  <c r="U56" i="1"/>
  <c r="U44" i="34" s="1"/>
  <c r="T56" i="1"/>
  <c r="T44" i="34" s="1"/>
  <c r="S56" i="1"/>
  <c r="R56" i="1"/>
  <c r="Q56" i="1"/>
  <c r="Q44" i="34" s="1"/>
  <c r="P56" i="1"/>
  <c r="P44" i="34" s="1"/>
  <c r="O56" i="1"/>
  <c r="O44" i="34" s="1"/>
  <c r="N56" i="1"/>
  <c r="N1249" i="34" s="1"/>
  <c r="M56" i="1"/>
  <c r="BJ37" i="1"/>
  <c r="BI37" i="1"/>
  <c r="BI202" i="1" s="1"/>
  <c r="AN188" i="34" s="1"/>
  <c r="BH37" i="1"/>
  <c r="AM28" i="34" s="1"/>
  <c r="BG37" i="1"/>
  <c r="AL28" i="34" s="1"/>
  <c r="BJ36" i="1"/>
  <c r="BH36" i="1"/>
  <c r="AM27" i="34" s="1"/>
  <c r="BJ35" i="1"/>
  <c r="AO26" i="34" s="1"/>
  <c r="BI35" i="1"/>
  <c r="AN26" i="34" s="1"/>
  <c r="BH35" i="1"/>
  <c r="AM26" i="34" s="1"/>
  <c r="BG35" i="1"/>
  <c r="AL26" i="34" s="1"/>
  <c r="BI34" i="1"/>
  <c r="AN25" i="34" s="1"/>
  <c r="BG33" i="1"/>
  <c r="BJ32" i="1"/>
  <c r="BH32" i="1"/>
  <c r="AI37" i="1"/>
  <c r="AH37" i="1"/>
  <c r="AG37" i="1"/>
  <c r="AF37" i="1"/>
  <c r="AF28" i="34" s="1"/>
  <c r="AE37" i="1"/>
  <c r="AD37" i="1"/>
  <c r="AD202" i="1" s="1"/>
  <c r="AC37" i="1"/>
  <c r="AB37" i="1"/>
  <c r="AB28" i="34" s="1"/>
  <c r="AA37" i="1"/>
  <c r="AA202" i="1" s="1"/>
  <c r="Z37" i="1"/>
  <c r="Y37" i="1"/>
  <c r="X37" i="1"/>
  <c r="X202" i="1" s="1"/>
  <c r="W37" i="1"/>
  <c r="V37" i="1"/>
  <c r="V202" i="1" s="1"/>
  <c r="U37" i="1"/>
  <c r="T37" i="1"/>
  <c r="S37" i="1"/>
  <c r="R37" i="1"/>
  <c r="Q37" i="1"/>
  <c r="P37" i="1"/>
  <c r="O37" i="1"/>
  <c r="O1230" i="34" s="1"/>
  <c r="N37" i="1"/>
  <c r="M37" i="1"/>
  <c r="M28" i="34" s="1"/>
  <c r="AG36" i="1"/>
  <c r="AG27" i="34" s="1"/>
  <c r="T36" i="1"/>
  <c r="S36" i="1"/>
  <c r="M36" i="1"/>
  <c r="M27" i="34" s="1"/>
  <c r="BD35" i="1"/>
  <c r="BD1228" i="34" s="1"/>
  <c r="BC35" i="1"/>
  <c r="BC1228" i="34" s="1"/>
  <c r="BB35" i="1"/>
  <c r="BA35" i="1"/>
  <c r="AZ35" i="1"/>
  <c r="AZ1228" i="34" s="1"/>
  <c r="AY35" i="1"/>
  <c r="AY1228" i="34" s="1"/>
  <c r="AX35" i="1"/>
  <c r="AW35" i="1"/>
  <c r="AW1228" i="34" s="1"/>
  <c r="AV35" i="1"/>
  <c r="AV1228" i="34" s="1"/>
  <c r="AU35" i="1"/>
  <c r="AU1228" i="34" s="1"/>
  <c r="AT35" i="1"/>
  <c r="AT1228" i="34" s="1"/>
  <c r="AS35" i="1"/>
  <c r="AR1228" i="34"/>
  <c r="AQ1228" i="34"/>
  <c r="AN35" i="1"/>
  <c r="AK35" i="1"/>
  <c r="AJ35" i="1"/>
  <c r="AJ1228" i="34" s="1"/>
  <c r="AI35" i="1"/>
  <c r="AH35" i="1"/>
  <c r="AH26" i="34" s="1"/>
  <c r="AG35" i="1"/>
  <c r="AF35" i="1"/>
  <c r="AF1228" i="34" s="1"/>
  <c r="AE35" i="1"/>
  <c r="AE26" i="34" s="1"/>
  <c r="AD35" i="1"/>
  <c r="AC35" i="1"/>
  <c r="AB35" i="1"/>
  <c r="AB1228" i="34" s="1"/>
  <c r="AA35" i="1"/>
  <c r="AA26" i="34" s="1"/>
  <c r="Z35" i="1"/>
  <c r="Y35" i="1"/>
  <c r="Y26" i="34" s="1"/>
  <c r="X35" i="1"/>
  <c r="X1228" i="34" s="1"/>
  <c r="W35" i="1"/>
  <c r="V35" i="1"/>
  <c r="U35" i="1"/>
  <c r="U26" i="34" s="1"/>
  <c r="T35" i="1"/>
  <c r="T26" i="34" s="1"/>
  <c r="S35" i="1"/>
  <c r="S26" i="34" s="1"/>
  <c r="R35" i="1"/>
  <c r="Q35" i="1"/>
  <c r="Q1228" i="34" s="1"/>
  <c r="P35" i="1"/>
  <c r="O35" i="1"/>
  <c r="N35" i="1"/>
  <c r="N1228" i="34" s="1"/>
  <c r="M35" i="1"/>
  <c r="M289" i="1" s="1"/>
  <c r="AG34" i="1"/>
  <c r="AG25" i="34" s="1"/>
  <c r="AE34" i="1"/>
  <c r="AE1227" i="34" s="1"/>
  <c r="AC34" i="1"/>
  <c r="Y34" i="1"/>
  <c r="V34" i="1"/>
  <c r="P34" i="1"/>
  <c r="P25" i="34" s="1"/>
  <c r="AG33" i="1"/>
  <c r="AG1226" i="34" s="1"/>
  <c r="AA33" i="1"/>
  <c r="Z33" i="1"/>
  <c r="Z24" i="34" s="1"/>
  <c r="V33" i="1"/>
  <c r="V1226" i="34" s="1"/>
  <c r="S33" i="1"/>
  <c r="S1226" i="34" s="1"/>
  <c r="P33" i="1"/>
  <c r="O33" i="1"/>
  <c r="AC32" i="1"/>
  <c r="AC1225" i="34" s="1"/>
  <c r="Z32" i="1"/>
  <c r="Z23" i="34" s="1"/>
  <c r="Y32" i="1"/>
  <c r="Y23" i="34" s="1"/>
  <c r="U32" i="1"/>
  <c r="Q32" i="1"/>
  <c r="Q23" i="34" s="1"/>
  <c r="N32" i="1"/>
  <c r="BH28" i="1"/>
  <c r="BG28" i="1"/>
  <c r="BG29" i="1" s="1"/>
  <c r="BG30" i="1" s="1"/>
  <c r="AL21" i="34" s="1"/>
  <c r="AF28" i="1"/>
  <c r="AC28" i="1"/>
  <c r="AB28" i="1"/>
  <c r="V28" i="1"/>
  <c r="T28" i="1"/>
  <c r="T29" i="1" s="1"/>
  <c r="S28" i="1"/>
  <c r="S1221" i="34" s="1"/>
  <c r="P28" i="1"/>
  <c r="P29" i="1" s="1"/>
  <c r="N28" i="1"/>
  <c r="M28" i="1"/>
  <c r="M1221" i="34" s="1"/>
  <c r="AF472" i="2"/>
  <c r="AG475" i="2" s="1"/>
  <c r="AG420" i="34" s="1"/>
  <c r="AB472" i="2"/>
  <c r="AA472" i="2"/>
  <c r="AA480" i="2" s="1"/>
  <c r="Y472" i="2"/>
  <c r="AL107" i="2"/>
  <c r="U191" i="1"/>
  <c r="U180" i="34" s="1"/>
  <c r="R187" i="1"/>
  <c r="R176" i="34" s="1"/>
  <c r="Q187" i="1"/>
  <c r="Q176" i="34" s="1"/>
  <c r="AJ1211" i="34"/>
  <c r="AH1211" i="34"/>
  <c r="AG1211" i="34"/>
  <c r="BH6" i="1"/>
  <c r="BI6" i="1" s="1"/>
  <c r="BJ6" i="1" s="1"/>
  <c r="BK6" i="1" s="1"/>
  <c r="BL6" i="1" s="1"/>
  <c r="BM6" i="1" s="1"/>
  <c r="BN6" i="1" s="1"/>
  <c r="BO6" i="1" s="1"/>
  <c r="BP6" i="1" s="1"/>
  <c r="BQ6" i="1" s="1"/>
  <c r="BR6" i="1" s="1"/>
  <c r="BS6" i="1" s="1"/>
  <c r="BT6" i="1" s="1"/>
  <c r="BU6" i="1" s="1"/>
  <c r="BV6" i="1" s="1"/>
  <c r="BW6" i="1" s="1"/>
  <c r="BX6" i="1" s="1"/>
  <c r="BY6" i="1" s="1"/>
  <c r="BZ6" i="1" s="1"/>
  <c r="N6" i="1"/>
  <c r="AF28" i="2"/>
  <c r="Z42" i="14"/>
  <c r="AC42" i="14"/>
  <c r="BN77" i="14"/>
  <c r="O121" i="14"/>
  <c r="O627" i="34" s="1"/>
  <c r="Z224" i="14"/>
  <c r="Z680" i="34" s="1"/>
  <c r="BJ220" i="14"/>
  <c r="AP676" i="34" s="1"/>
  <c r="V233" i="14"/>
  <c r="V685" i="34" s="1"/>
  <c r="S232" i="14"/>
  <c r="S684" i="34" s="1"/>
  <c r="T234" i="14"/>
  <c r="T686" i="34" s="1"/>
  <c r="S236" i="14"/>
  <c r="S689" i="34" s="1"/>
  <c r="T232" i="14"/>
  <c r="T684" i="34" s="1"/>
  <c r="W233" i="14"/>
  <c r="W685" i="34" s="1"/>
  <c r="S233" i="14"/>
  <c r="S685" i="34" s="1"/>
  <c r="AM842" i="34"/>
  <c r="AN628" i="2"/>
  <c r="AN627" i="2" s="1"/>
  <c r="BP627" i="2" s="1"/>
  <c r="AV368" i="34" s="1"/>
  <c r="BJ124" i="1"/>
  <c r="BJ125" i="1" s="1"/>
  <c r="AO113" i="34" s="1"/>
  <c r="BK271" i="1"/>
  <c r="AP256" i="34" s="1"/>
  <c r="AM604" i="2"/>
  <c r="AM847" i="34" s="1"/>
  <c r="L53" i="3"/>
  <c r="B45" i="3"/>
  <c r="C21" i="3"/>
  <c r="D21" i="3" s="1"/>
  <c r="D45" i="3" s="1"/>
  <c r="A20" i="3"/>
  <c r="T188" i="1"/>
  <c r="T177" i="34" s="1"/>
  <c r="AE25" i="34"/>
  <c r="AA28" i="34"/>
  <c r="AT76" i="14"/>
  <c r="AS76" i="14"/>
  <c r="AS78" i="14"/>
  <c r="AS75" i="14"/>
  <c r="AL75" i="14"/>
  <c r="BO77" i="14"/>
  <c r="AS753" i="34"/>
  <c r="AT753" i="34"/>
  <c r="AX753" i="34"/>
  <c r="AU753" i="34"/>
  <c r="AY753" i="34"/>
  <c r="AV753" i="34"/>
  <c r="AO726" i="34"/>
  <c r="AM872" i="34"/>
  <c r="AM632" i="2"/>
  <c r="AN614" i="2"/>
  <c r="AO614" i="2" s="1"/>
  <c r="AO858" i="34" s="1"/>
  <c r="X1106" i="34"/>
  <c r="AN600" i="2"/>
  <c r="AN843" i="34" s="1"/>
  <c r="BI1106" i="34"/>
  <c r="BJ460" i="2"/>
  <c r="BJ1120" i="34" s="1"/>
  <c r="BJ446" i="2"/>
  <c r="BJ1106" i="34" s="1"/>
  <c r="AS984" i="34"/>
  <c r="U1120" i="34"/>
  <c r="Q129" i="14"/>
  <c r="AI161" i="14"/>
  <c r="BU216" i="14"/>
  <c r="BV216" i="14" s="1"/>
  <c r="BW216" i="14" s="1"/>
  <c r="BX216" i="14" s="1"/>
  <c r="BY216" i="14" s="1"/>
  <c r="BL232" i="14"/>
  <c r="AR684" i="34" s="1"/>
  <c r="AH604" i="34"/>
  <c r="Y129" i="14"/>
  <c r="AM618" i="2"/>
  <c r="AM862" i="34" s="1"/>
  <c r="AM857" i="34"/>
  <c r="AS156" i="34"/>
  <c r="AU1285" i="34"/>
  <c r="AQ165" i="34"/>
  <c r="P172" i="1"/>
  <c r="U264" i="34"/>
  <c r="AP167" i="34"/>
  <c r="AS161" i="1"/>
  <c r="AT161" i="1" s="1"/>
  <c r="AU161" i="1" s="1"/>
  <c r="AV161" i="1" s="1"/>
  <c r="AR166" i="34"/>
  <c r="AS77" i="34"/>
  <c r="AE1249" i="34"/>
  <c r="AH1283" i="34"/>
  <c r="AP120" i="1"/>
  <c r="AZ120" i="1"/>
  <c r="R1042" i="34"/>
  <c r="AN247" i="2"/>
  <c r="AN225" i="2" s="1"/>
  <c r="T1315" i="34"/>
  <c r="T37" i="4"/>
  <c r="T1316" i="34" s="1"/>
  <c r="V91" i="34"/>
  <c r="AM923" i="34"/>
  <c r="AR950" i="34"/>
  <c r="AV343" i="2"/>
  <c r="AV950" i="34" s="1"/>
  <c r="BQ180" i="1"/>
  <c r="AV169" i="34" s="1"/>
  <c r="R1316" i="34"/>
  <c r="BW262" i="1"/>
  <c r="AE224" i="1"/>
  <c r="AF224" i="1" s="1"/>
  <c r="AF210" i="34" s="1"/>
  <c r="AI231" i="1"/>
  <c r="N86" i="1"/>
  <c r="N73" i="34" s="1"/>
  <c r="AT148" i="34"/>
  <c r="P232" i="1"/>
  <c r="P218" i="34" s="1"/>
  <c r="V206" i="34"/>
  <c r="AO1285" i="34"/>
  <c r="AW1285" i="34"/>
  <c r="W211" i="1"/>
  <c r="W197" i="34" s="1"/>
  <c r="AH197" i="34"/>
  <c r="S240" i="1"/>
  <c r="T240" i="1" s="1"/>
  <c r="T226" i="34" s="1"/>
  <c r="AC104" i="1"/>
  <c r="AC92" i="34" s="1"/>
  <c r="S225" i="1"/>
  <c r="T225" i="1" s="1"/>
  <c r="T211" i="34" s="1"/>
  <c r="AE211" i="1"/>
  <c r="AF211" i="1" s="1"/>
  <c r="S223" i="1"/>
  <c r="X224" i="1"/>
  <c r="X210" i="34" s="1"/>
  <c r="BQ745" i="34"/>
  <c r="R1313" i="34"/>
  <c r="AW76" i="14"/>
  <c r="AX155" i="14"/>
  <c r="AY155" i="14" s="1"/>
  <c r="AZ155" i="14" s="1"/>
  <c r="BA155" i="14" s="1"/>
  <c r="BB155" i="14" s="1"/>
  <c r="BC155" i="14" s="1"/>
  <c r="BD155" i="14" s="1"/>
  <c r="U1306" i="34"/>
  <c r="BP73" i="14"/>
  <c r="BP77" i="14" s="1"/>
  <c r="AM78" i="14"/>
  <c r="AV76" i="14"/>
  <c r="AV78" i="14"/>
  <c r="AV75" i="14"/>
  <c r="AU78" i="14"/>
  <c r="BR73" i="14"/>
  <c r="AU76" i="14"/>
  <c r="AT78" i="14"/>
  <c r="AX75" i="14"/>
  <c r="AT75" i="14"/>
  <c r="AW78" i="14"/>
  <c r="AW75" i="14"/>
  <c r="AJ26" i="34"/>
  <c r="AS1228" i="34"/>
  <c r="Q1225" i="34"/>
  <c r="AJ155" i="34"/>
  <c r="AA92" i="1"/>
  <c r="AA120" i="1" s="1"/>
  <c r="AA108" i="34" s="1"/>
  <c r="AD1286" i="34"/>
  <c r="AE80" i="34"/>
  <c r="BP240" i="1"/>
  <c r="AU226" i="34" s="1"/>
  <c r="BR92" i="1"/>
  <c r="BR120" i="1" s="1"/>
  <c r="AW108" i="34" s="1"/>
  <c r="AY120" i="1"/>
  <c r="AR1278" i="34"/>
  <c r="AS1278" i="34"/>
  <c r="AV1278" i="34"/>
  <c r="AR1280" i="34"/>
  <c r="AV1280" i="34"/>
  <c r="AR1282" i="34"/>
  <c r="AV1282" i="34"/>
  <c r="AR1284" i="34"/>
  <c r="AV1284" i="34"/>
  <c r="AV120" i="1"/>
  <c r="AR1286" i="34"/>
  <c r="AR1287" i="34"/>
  <c r="AV1286" i="34"/>
  <c r="AV1287" i="34"/>
  <c r="AS1287" i="34"/>
  <c r="AO1283" i="34"/>
  <c r="AJ191" i="34"/>
  <c r="AM222" i="14"/>
  <c r="AM119" i="14" s="1"/>
  <c r="AM128" i="14"/>
  <c r="AN221" i="14"/>
  <c r="AN64" i="14" s="1"/>
  <c r="AS1285" i="34"/>
  <c r="AS120" i="1"/>
  <c r="AS1286" i="34"/>
  <c r="BS93" i="1"/>
  <c r="AX80" i="34" s="1"/>
  <c r="AR1285" i="34"/>
  <c r="BS87" i="1"/>
  <c r="AX74" i="34" s="1"/>
  <c r="AS1280" i="34"/>
  <c r="AS1284" i="34"/>
  <c r="AS1282" i="34"/>
  <c r="AO1277" i="34"/>
  <c r="AS1281" i="34"/>
  <c r="AO1276" i="34"/>
  <c r="CO51" i="2"/>
  <c r="CO52" i="2" s="1"/>
  <c r="CO53" i="2" s="1"/>
  <c r="CM52" i="2"/>
  <c r="CM53" i="2" s="1"/>
  <c r="CM54" i="2" s="1"/>
  <c r="AT734" i="34"/>
  <c r="AI13" i="34"/>
  <c r="AI1215" i="34"/>
  <c r="AG1215" i="34"/>
  <c r="AG13" i="34"/>
  <c r="AL1215" i="34"/>
  <c r="AM1215" i="34"/>
  <c r="AK1215" i="34"/>
  <c r="AC109" i="2"/>
  <c r="AC498" i="34" s="1"/>
  <c r="AC472" i="2"/>
  <c r="AC418" i="34" s="1"/>
  <c r="BR1074" i="34"/>
  <c r="BR1077" i="34"/>
  <c r="BR1075" i="34"/>
  <c r="BR1066" i="34"/>
  <c r="BR1072" i="34"/>
  <c r="BR1076" i="34"/>
  <c r="BR1073" i="34"/>
  <c r="BS1073" i="34"/>
  <c r="BS1077" i="34"/>
  <c r="BS1074" i="34"/>
  <c r="BS1072" i="34"/>
  <c r="BS1076" i="34"/>
  <c r="BS1075" i="34"/>
  <c r="BS1066" i="34"/>
  <c r="BT1072" i="34"/>
  <c r="BT1076" i="34"/>
  <c r="BT1073" i="34"/>
  <c r="BT1077" i="34"/>
  <c r="BT1066" i="34"/>
  <c r="BT1075" i="34"/>
  <c r="BT1074" i="34"/>
  <c r="BS1060" i="34"/>
  <c r="BQ1077" i="34"/>
  <c r="BQ1073" i="34"/>
  <c r="BS1068" i="34"/>
  <c r="BR1061" i="34"/>
  <c r="BQ1076" i="34"/>
  <c r="BQ1072" i="34"/>
  <c r="BR1068" i="34"/>
  <c r="BQ1066" i="34"/>
  <c r="BK995" i="34"/>
  <c r="AA1042" i="34"/>
  <c r="P1044" i="34"/>
  <c r="X1044" i="34"/>
  <c r="Z636" i="2"/>
  <c r="Z373" i="34" s="1"/>
  <c r="AD458" i="34"/>
  <c r="AD943" i="34"/>
  <c r="AD473" i="34"/>
  <c r="AD475" i="34"/>
  <c r="AC354" i="2"/>
  <c r="P1106" i="34"/>
  <c r="P392" i="2"/>
  <c r="P396" i="34"/>
  <c r="X396" i="34"/>
  <c r="AE1106" i="34"/>
  <c r="AE396" i="34"/>
  <c r="AE392" i="2"/>
  <c r="AI1108" i="34"/>
  <c r="AI398" i="34"/>
  <c r="U1113" i="34"/>
  <c r="Y403" i="34"/>
  <c r="W405" i="34"/>
  <c r="BH1115" i="34"/>
  <c r="T411" i="34"/>
  <c r="BI1120" i="34"/>
  <c r="AT474" i="2"/>
  <c r="W196" i="2"/>
  <c r="AM420" i="2"/>
  <c r="AM1045" i="34" s="1"/>
  <c r="U15" i="2"/>
  <c r="U276" i="34" s="1"/>
  <c r="AE257" i="2"/>
  <c r="AL130" i="2"/>
  <c r="AG88" i="2"/>
  <c r="S194" i="2"/>
  <c r="Q196" i="2"/>
  <c r="Y651" i="2"/>
  <c r="Y898" i="34" s="1"/>
  <c r="AY984" i="34"/>
  <c r="AO176" i="34"/>
  <c r="S15" i="2"/>
  <c r="AG778" i="34"/>
  <c r="X754" i="34"/>
  <c r="BI998" i="34"/>
  <c r="Y1001" i="34"/>
  <c r="T1002" i="34"/>
  <c r="T1004" i="34"/>
  <c r="Y531" i="34"/>
  <c r="Y1009" i="34"/>
  <c r="U1011" i="34"/>
  <c r="Q543" i="34"/>
  <c r="P568" i="34"/>
  <c r="P1045" i="34"/>
  <c r="T568" i="34"/>
  <c r="X568" i="34"/>
  <c r="X1045" i="34"/>
  <c r="AA457" i="2"/>
  <c r="AA1117" i="34" s="1"/>
  <c r="AV474" i="2"/>
  <c r="AE934" i="34"/>
  <c r="AB476" i="34"/>
  <c r="AB969" i="34"/>
  <c r="AB492" i="34"/>
  <c r="Y1042" i="34"/>
  <c r="AE227" i="14"/>
  <c r="AI778" i="34"/>
  <c r="AI227" i="14"/>
  <c r="AI229" i="14" s="1"/>
  <c r="AI139" i="14" s="1"/>
  <c r="AU358" i="2"/>
  <c r="AT359" i="2"/>
  <c r="AT966" i="34" s="1"/>
  <c r="BI1043" i="34"/>
  <c r="AO566" i="34"/>
  <c r="T567" i="34"/>
  <c r="AB1044" i="34"/>
  <c r="AB567" i="34"/>
  <c r="X425" i="2"/>
  <c r="X1050" i="34" s="1"/>
  <c r="AF227" i="14"/>
  <c r="AF778" i="34"/>
  <c r="AF106" i="14"/>
  <c r="AC875" i="34"/>
  <c r="AB446" i="34"/>
  <c r="AI927" i="34"/>
  <c r="W936" i="34"/>
  <c r="AM459" i="34"/>
  <c r="AA937" i="34"/>
  <c r="AG942" i="34"/>
  <c r="W349" i="2"/>
  <c r="W956" i="34" s="1"/>
  <c r="W363" i="2"/>
  <c r="W970" i="34" s="1"/>
  <c r="AG479" i="34"/>
  <c r="AE965" i="34"/>
  <c r="R521" i="34"/>
  <c r="W1007" i="34"/>
  <c r="AA1008" i="34"/>
  <c r="AE532" i="34"/>
  <c r="AE543" i="34"/>
  <c r="Y339" i="34"/>
  <c r="W802" i="34"/>
  <c r="AM139" i="2"/>
  <c r="AI138" i="2"/>
  <c r="AB467" i="34"/>
  <c r="AB314" i="2"/>
  <c r="AB927" i="34" s="1"/>
  <c r="AA556" i="34"/>
  <c r="W948" i="34"/>
  <c r="AA1033" i="34"/>
  <c r="BJ455" i="2"/>
  <c r="AP405" i="34" s="1"/>
  <c r="Y380" i="2"/>
  <c r="Y1004" i="34" s="1"/>
  <c r="P462" i="2"/>
  <c r="P412" i="34" s="1"/>
  <c r="P457" i="2"/>
  <c r="X392" i="2"/>
  <c r="X1016" i="34" s="1"/>
  <c r="X457" i="2"/>
  <c r="X407" i="34" s="1"/>
  <c r="AF446" i="2"/>
  <c r="AG446" i="2" s="1"/>
  <c r="AH446" i="2" s="1"/>
  <c r="BI392" i="2"/>
  <c r="AO539" i="34" s="1"/>
  <c r="BI462" i="2"/>
  <c r="AO412" i="34" s="1"/>
  <c r="AF600" i="2"/>
  <c r="AC353" i="2"/>
  <c r="AC352" i="2"/>
  <c r="AC482" i="34" s="1"/>
  <c r="BL964" i="34"/>
  <c r="AO247" i="2"/>
  <c r="AO225" i="2" s="1"/>
  <c r="AN195" i="14"/>
  <c r="AO107" i="2"/>
  <c r="AO974" i="34" s="1"/>
  <c r="AN160" i="14"/>
  <c r="AN234" i="14"/>
  <c r="AL128" i="14"/>
  <c r="AL129" i="14" s="1"/>
  <c r="AL137" i="14" s="1"/>
  <c r="BQ179" i="1"/>
  <c r="AV168" i="34" s="1"/>
  <c r="AK354" i="2"/>
  <c r="AK961" i="34" s="1"/>
  <c r="AJ665" i="34"/>
  <c r="BO208" i="14"/>
  <c r="AM1251" i="34"/>
  <c r="AM233" i="14"/>
  <c r="AN490" i="2"/>
  <c r="AR490" i="2" s="1"/>
  <c r="BQ155" i="1"/>
  <c r="AV142" i="34" s="1"/>
  <c r="AL265" i="1"/>
  <c r="AN34" i="1"/>
  <c r="AN1227" i="34" s="1"/>
  <c r="AH490" i="2"/>
  <c r="AH545" i="2" s="1"/>
  <c r="AJ200" i="34"/>
  <c r="AJ995" i="34"/>
  <c r="BQ214" i="1"/>
  <c r="AV200" i="34" s="1"/>
  <c r="AM132" i="1"/>
  <c r="AN132" i="1"/>
  <c r="BQ167" i="1"/>
  <c r="BQ177" i="1"/>
  <c r="AV166" i="34" s="1"/>
  <c r="AN1251" i="34"/>
  <c r="AM271" i="1"/>
  <c r="AO220" i="14"/>
  <c r="AO28" i="1" s="1"/>
  <c r="AM33" i="1"/>
  <c r="AM1226" i="34" s="1"/>
  <c r="AO195" i="14"/>
  <c r="BP180" i="1"/>
  <c r="AU169" i="34" s="1"/>
  <c r="AJ216" i="34"/>
  <c r="BO207" i="14"/>
  <c r="BO160" i="14" s="1"/>
  <c r="BO213" i="14"/>
  <c r="AU669" i="34" s="1"/>
  <c r="AO41" i="14"/>
  <c r="Z255" i="34"/>
  <c r="V24" i="34"/>
  <c r="O28" i="34"/>
  <c r="AB26" i="34"/>
  <c r="BL91" i="2"/>
  <c r="BL83" i="2"/>
  <c r="AA257" i="2"/>
  <c r="AA1063" i="34" s="1"/>
  <c r="AH13" i="34"/>
  <c r="AH1215" i="34"/>
  <c r="AJ1215" i="34"/>
  <c r="AJ13" i="34"/>
  <c r="BG42" i="34"/>
  <c r="AX984" i="34"/>
  <c r="AW984" i="34"/>
  <c r="AO985" i="34"/>
  <c r="AP985" i="34"/>
  <c r="BU147" i="2"/>
  <c r="BD984" i="34"/>
  <c r="AS985" i="34"/>
  <c r="AT985" i="34"/>
  <c r="BR148" i="14"/>
  <c r="BS148" i="14" s="1"/>
  <c r="BT148" i="14" s="1"/>
  <c r="BU148" i="14" s="1"/>
  <c r="BV148" i="14" s="1"/>
  <c r="BW148" i="14" s="1"/>
  <c r="BX148" i="14" s="1"/>
  <c r="BY148" i="14" s="1"/>
  <c r="AP169" i="2"/>
  <c r="BR115" i="14"/>
  <c r="BS115" i="14" s="1"/>
  <c r="BT115" i="14" s="1"/>
  <c r="BU115" i="14" s="1"/>
  <c r="BV115" i="14" s="1"/>
  <c r="BW115" i="14" s="1"/>
  <c r="BX115" i="14" s="1"/>
  <c r="BY115" i="14" s="1"/>
  <c r="AK1075" i="34"/>
  <c r="P187" i="1"/>
  <c r="P176" i="34" s="1"/>
  <c r="Q491" i="2"/>
  <c r="Q312" i="34" s="1"/>
  <c r="AX985" i="34"/>
  <c r="AW985" i="34"/>
  <c r="AV985" i="34"/>
  <c r="AQ985" i="34"/>
  <c r="AY985" i="34"/>
  <c r="BD985" i="34"/>
  <c r="AZ985" i="34"/>
  <c r="BC985" i="34"/>
  <c r="BU107" i="2"/>
  <c r="BU974" i="34" s="1"/>
  <c r="BV107" i="2"/>
  <c r="BV974" i="34" s="1"/>
  <c r="BW107" i="2"/>
  <c r="BW974" i="34" s="1"/>
  <c r="BX107" i="2"/>
  <c r="BX974" i="34" s="1"/>
  <c r="BY107" i="2"/>
  <c r="BY974" i="34" s="1"/>
  <c r="BA75" i="14"/>
  <c r="AI12" i="2"/>
  <c r="AM12" i="2"/>
  <c r="AO203" i="14"/>
  <c r="AL12" i="2"/>
  <c r="Z608" i="2"/>
  <c r="Z851" i="34" s="1"/>
  <c r="AO327" i="34"/>
  <c r="BM792" i="34"/>
  <c r="AX339" i="34"/>
  <c r="BR793" i="34"/>
  <c r="Y559" i="2"/>
  <c r="Y342" i="34" s="1"/>
  <c r="U339" i="34"/>
  <c r="AC557" i="2"/>
  <c r="AC794" i="34" s="1"/>
  <c r="AC793" i="34"/>
  <c r="AG556" i="2"/>
  <c r="AG557" i="2" s="1"/>
  <c r="AG340" i="34" s="1"/>
  <c r="AH562" i="2"/>
  <c r="AH556" i="2" s="1"/>
  <c r="AH793" i="34" s="1"/>
  <c r="AG801" i="34"/>
  <c r="AG236" i="14"/>
  <c r="AG689" i="34" s="1"/>
  <c r="BM422" i="2"/>
  <c r="BM1047" i="34" s="1"/>
  <c r="AS324" i="34"/>
  <c r="V618" i="2"/>
  <c r="V862" i="34" s="1"/>
  <c r="Z613" i="2"/>
  <c r="AJ637" i="2"/>
  <c r="AJ374" i="34" s="1"/>
  <c r="W897" i="34"/>
  <c r="AS471" i="34"/>
  <c r="Z952" i="34"/>
  <c r="AE949" i="34"/>
  <c r="AG950" i="34"/>
  <c r="AG472" i="34"/>
  <c r="X999" i="34"/>
  <c r="BK385" i="2"/>
  <c r="BK1009" i="34" s="1"/>
  <c r="W418" i="2"/>
  <c r="W565" i="34"/>
  <c r="V1045" i="34"/>
  <c r="V568" i="34"/>
  <c r="N425" i="2"/>
  <c r="N1050" i="34" s="1"/>
  <c r="N1047" i="34"/>
  <c r="V570" i="34"/>
  <c r="V1047" i="34"/>
  <c r="Z570" i="34"/>
  <c r="AD570" i="34"/>
  <c r="AD1047" i="34"/>
  <c r="BI1047" i="34"/>
  <c r="AO570" i="34"/>
  <c r="V521" i="34"/>
  <c r="U476" i="34"/>
  <c r="AA967" i="34"/>
  <c r="N996" i="34"/>
  <c r="W1008" i="34"/>
  <c r="W531" i="34"/>
  <c r="W390" i="2"/>
  <c r="W1014" i="34" s="1"/>
  <c r="W388" i="2"/>
  <c r="W535" i="34" s="1"/>
  <c r="O1020" i="34"/>
  <c r="O543" i="34"/>
  <c r="S1020" i="34"/>
  <c r="W397" i="2"/>
  <c r="W1021" i="34" s="1"/>
  <c r="S397" i="2"/>
  <c r="AC936" i="34"/>
  <c r="Q362" i="2"/>
  <c r="AT487" i="34"/>
  <c r="AG422" i="2"/>
  <c r="BM556" i="2"/>
  <c r="AG164" i="2"/>
  <c r="AG987" i="34" s="1"/>
  <c r="N423" i="2"/>
  <c r="AG565" i="2"/>
  <c r="AG327" i="34" s="1"/>
  <c r="AG575" i="2"/>
  <c r="AG576" i="2" s="1"/>
  <c r="AG815" i="34" s="1"/>
  <c r="S557" i="2"/>
  <c r="U559" i="2"/>
  <c r="U796" i="34" s="1"/>
  <c r="AG564" i="2"/>
  <c r="AG803" i="34" s="1"/>
  <c r="AA581" i="2"/>
  <c r="V425" i="2"/>
  <c r="V573" i="34" s="1"/>
  <c r="AD425" i="2"/>
  <c r="AD1050" i="34" s="1"/>
  <c r="AD423" i="2"/>
  <c r="AC987" i="34"/>
  <c r="AI92" i="1"/>
  <c r="AI79" i="34" s="1"/>
  <c r="AF150" i="34"/>
  <c r="BO161" i="1"/>
  <c r="AT150" i="34" s="1"/>
  <c r="BO154" i="1"/>
  <c r="AT141" i="34" s="1"/>
  <c r="X150" i="34"/>
  <c r="BM161" i="1"/>
  <c r="AR150" i="34" s="1"/>
  <c r="AA646" i="34"/>
  <c r="V673" i="34"/>
  <c r="AN679" i="34"/>
  <c r="BH151" i="14"/>
  <c r="AN635" i="34" s="1"/>
  <c r="M250" i="34"/>
  <c r="T28" i="14"/>
  <c r="T604" i="34" s="1"/>
  <c r="X28" i="14"/>
  <c r="X604" i="34" s="1"/>
  <c r="N64" i="14"/>
  <c r="AD93" i="14"/>
  <c r="AG93" i="14"/>
  <c r="AA119" i="14"/>
  <c r="AA625" i="34" s="1"/>
  <c r="AG161" i="14"/>
  <c r="AG169" i="14" s="1"/>
  <c r="Q185" i="14"/>
  <c r="Q101" i="1" s="1"/>
  <c r="Q89" i="34" s="1"/>
  <c r="W673" i="34"/>
  <c r="AD676" i="34"/>
  <c r="W119" i="14"/>
  <c r="W122" i="14" s="1"/>
  <c r="W628" i="34" s="1"/>
  <c r="AF678" i="34"/>
  <c r="Y679" i="34"/>
  <c r="Y151" i="14"/>
  <c r="AU683" i="34"/>
  <c r="BO195" i="14"/>
  <c r="AJ245" i="14"/>
  <c r="AD185" i="14"/>
  <c r="AD646" i="34" s="1"/>
  <c r="Y677" i="34"/>
  <c r="W93" i="14"/>
  <c r="W676" i="34"/>
  <c r="W677" i="34"/>
  <c r="S683" i="34"/>
  <c r="S195" i="14"/>
  <c r="N5" i="40"/>
  <c r="O8" i="42"/>
  <c r="P8" i="42" s="1"/>
  <c r="N5" i="42"/>
  <c r="AA93" i="14"/>
  <c r="AE161" i="14"/>
  <c r="AA161" i="14"/>
  <c r="AF1283" i="34"/>
  <c r="BK270" i="1"/>
  <c r="AP255" i="34" s="1"/>
  <c r="AP665" i="34"/>
  <c r="M203" i="14"/>
  <c r="M659" i="34" s="1"/>
  <c r="BJ207" i="14"/>
  <c r="AP663" i="34" s="1"/>
  <c r="M223" i="14"/>
  <c r="M34" i="1" s="1"/>
  <c r="M25" i="34" s="1"/>
  <c r="AG92" i="1"/>
  <c r="AG120" i="1" s="1"/>
  <c r="AG108" i="34" s="1"/>
  <c r="AG80" i="34"/>
  <c r="AS169" i="34"/>
  <c r="AE557" i="2"/>
  <c r="AE794" i="34" s="1"/>
  <c r="R327" i="34"/>
  <c r="R805" i="34"/>
  <c r="AD842" i="34"/>
  <c r="AD604" i="2"/>
  <c r="AD847" i="34" s="1"/>
  <c r="X613" i="2"/>
  <c r="X358" i="34" s="1"/>
  <c r="AD872" i="34"/>
  <c r="AD368" i="34"/>
  <c r="V373" i="34"/>
  <c r="AP456" i="34"/>
  <c r="X935" i="34"/>
  <c r="S487" i="34"/>
  <c r="W360" i="2"/>
  <c r="AE397" i="2"/>
  <c r="AE544" i="34" s="1"/>
  <c r="AA1020" i="34"/>
  <c r="AA543" i="34"/>
  <c r="AA397" i="2"/>
  <c r="AA544" i="34" s="1"/>
  <c r="AD543" i="34"/>
  <c r="V423" i="2"/>
  <c r="V1048" i="34" s="1"/>
  <c r="R425" i="2"/>
  <c r="R1050" i="34" s="1"/>
  <c r="R423" i="2"/>
  <c r="R1048" i="34" s="1"/>
  <c r="R1047" i="34"/>
  <c r="AA456" i="2"/>
  <c r="AA406" i="34" s="1"/>
  <c r="AR402" i="34"/>
  <c r="AH42" i="14"/>
  <c r="AH51" i="14" s="1"/>
  <c r="AD42" i="14"/>
  <c r="AI129" i="14"/>
  <c r="AI137" i="14" s="1"/>
  <c r="AO258" i="1"/>
  <c r="AX76" i="14"/>
  <c r="AX78" i="14"/>
  <c r="U260" i="1"/>
  <c r="U246" i="34" s="1"/>
  <c r="AA256" i="34"/>
  <c r="BM41" i="14"/>
  <c r="AS660" i="34"/>
  <c r="BK128" i="14"/>
  <c r="AQ634" i="34" s="1"/>
  <c r="AQ662" i="34"/>
  <c r="V93" i="14"/>
  <c r="AA402" i="2"/>
  <c r="AA550" i="34" s="1"/>
  <c r="AA956" i="34"/>
  <c r="AN77" i="34"/>
  <c r="BJ86" i="1"/>
  <c r="BJ87" i="1" s="1"/>
  <c r="AO74" i="34" s="1"/>
  <c r="Z92" i="1"/>
  <c r="Z120" i="1" s="1"/>
  <c r="Z108" i="34" s="1"/>
  <c r="BO169" i="1"/>
  <c r="BO172" i="1" s="1"/>
  <c r="AT161" i="34" s="1"/>
  <c r="AH188" i="34"/>
  <c r="V209" i="34"/>
  <c r="W223" i="1"/>
  <c r="W209" i="34" s="1"/>
  <c r="AO244" i="34"/>
  <c r="S457" i="34"/>
  <c r="S934" i="34"/>
  <c r="T1042" i="34"/>
  <c r="V567" i="34"/>
  <c r="V1044" i="34"/>
  <c r="Z1045" i="34"/>
  <c r="AO404" i="34"/>
  <c r="BI1114" i="34"/>
  <c r="BM128" i="14"/>
  <c r="AS634" i="34" s="1"/>
  <c r="AS662" i="34"/>
  <c r="BM270" i="1"/>
  <c r="AR255" i="34" s="1"/>
  <c r="AR665" i="34"/>
  <c r="AJ248" i="1"/>
  <c r="AJ234" i="34" s="1"/>
  <c r="AA1228" i="34"/>
  <c r="AG26" i="34"/>
  <c r="BL271" i="1"/>
  <c r="AQ256" i="34" s="1"/>
  <c r="AD189" i="34"/>
  <c r="R248" i="1"/>
  <c r="R234" i="34" s="1"/>
  <c r="AD328" i="34"/>
  <c r="AD927" i="34"/>
  <c r="BM385" i="2"/>
  <c r="BM1009" i="34" s="1"/>
  <c r="Y410" i="34"/>
  <c r="Y1120" i="34"/>
  <c r="BK41" i="14"/>
  <c r="BN92" i="14"/>
  <c r="AT661" i="34"/>
  <c r="BM160" i="14"/>
  <c r="AS663" i="34"/>
  <c r="T223" i="14"/>
  <c r="T151" i="14" s="1"/>
  <c r="T160" i="14"/>
  <c r="T161" i="14" s="1"/>
  <c r="BK207" i="14"/>
  <c r="BK160" i="14" s="1"/>
  <c r="T663" i="34"/>
  <c r="AI144" i="2"/>
  <c r="O5" i="40"/>
  <c r="N15" i="42"/>
  <c r="T75" i="34"/>
  <c r="AH172" i="1"/>
  <c r="AH161" i="34" s="1"/>
  <c r="S205" i="1"/>
  <c r="S191" i="34" s="1"/>
  <c r="O200" i="34"/>
  <c r="AD199" i="34"/>
  <c r="AE220" i="1"/>
  <c r="AF220" i="1" s="1"/>
  <c r="AF248" i="1" s="1"/>
  <c r="AF234" i="34" s="1"/>
  <c r="AG226" i="1"/>
  <c r="AG212" i="34" s="1"/>
  <c r="AG208" i="34"/>
  <c r="AE230" i="1"/>
  <c r="AF230" i="1" s="1"/>
  <c r="AD759" i="34"/>
  <c r="U457" i="34"/>
  <c r="AE945" i="34"/>
  <c r="BM948" i="34"/>
  <c r="AE956" i="34"/>
  <c r="AE352" i="2"/>
  <c r="AE354" i="2"/>
  <c r="AE484" i="34" s="1"/>
  <c r="AE479" i="34"/>
  <c r="AA1009" i="34"/>
  <c r="BL92" i="14"/>
  <c r="AR661" i="34"/>
  <c r="BO270" i="1"/>
  <c r="AT255" i="34" s="1"/>
  <c r="O197" i="34"/>
  <c r="AB42" i="14"/>
  <c r="AN164" i="14"/>
  <c r="O6" i="34"/>
  <c r="O11" i="42"/>
  <c r="O11" i="40"/>
  <c r="AH12" i="2"/>
  <c r="N11" i="42"/>
  <c r="R11" i="42"/>
  <c r="W625" i="34"/>
  <c r="W124" i="14"/>
  <c r="W630" i="34" s="1"/>
  <c r="Y635" i="34"/>
  <c r="O5" i="14"/>
  <c r="AA483" i="34"/>
  <c r="AA960" i="34"/>
  <c r="BJ223" i="14"/>
  <c r="AP679" i="34" s="1"/>
  <c r="T187" i="1"/>
  <c r="T176" i="34" s="1"/>
  <c r="BP154" i="1"/>
  <c r="AU141" i="34" s="1"/>
  <c r="AJ218" i="34"/>
  <c r="R255" i="34"/>
  <c r="AG256" i="34"/>
  <c r="AE28" i="34"/>
  <c r="AE202" i="1"/>
  <c r="AE1230" i="34"/>
  <c r="AI1230" i="34"/>
  <c r="AI28" i="34"/>
  <c r="T27" i="34"/>
  <c r="W202" i="1"/>
  <c r="W265" i="1" s="1"/>
  <c r="W1230" i="34"/>
  <c r="W28" i="34"/>
  <c r="AC23" i="34"/>
  <c r="X26" i="34"/>
  <c r="AL24" i="34"/>
  <c r="S1228" i="34"/>
  <c r="Q28" i="34"/>
  <c r="Y1230" i="34"/>
  <c r="AY75" i="14"/>
  <c r="AY76" i="14"/>
  <c r="AZ76" i="14"/>
  <c r="AY78" i="14"/>
  <c r="Y519" i="34"/>
  <c r="AG970" i="34"/>
  <c r="AG493" i="34"/>
  <c r="AG372" i="2"/>
  <c r="AA1002" i="34"/>
  <c r="AE1008" i="34"/>
  <c r="AI474" i="34"/>
  <c r="AI949" i="34"/>
  <c r="O568" i="34"/>
  <c r="P18" i="2"/>
  <c r="BV793" i="34"/>
  <c r="AP995" i="34"/>
  <c r="AA407" i="34"/>
  <c r="AG743" i="34"/>
  <c r="U802" i="34"/>
  <c r="Q803" i="34"/>
  <c r="X387" i="2"/>
  <c r="AE970" i="34"/>
  <c r="X1001" i="34"/>
  <c r="V804" i="34"/>
  <c r="AD851" i="34"/>
  <c r="BM995" i="34"/>
  <c r="Z1044" i="34"/>
  <c r="V363" i="34"/>
  <c r="AI942" i="34"/>
  <c r="AD944" i="34"/>
  <c r="AF358" i="34"/>
  <c r="BL377" i="2"/>
  <c r="BL378" i="2" s="1"/>
  <c r="X530" i="34"/>
  <c r="AI493" i="34"/>
  <c r="BN373" i="2"/>
  <c r="Y967" i="34"/>
  <c r="BC75" i="14"/>
  <c r="X196" i="2"/>
  <c r="BM446" i="2"/>
  <c r="BM392" i="2" s="1"/>
  <c r="AS539" i="34" s="1"/>
  <c r="V348" i="34"/>
  <c r="W543" i="34"/>
  <c r="AF182" i="2"/>
  <c r="AB407" i="34"/>
  <c r="AF465" i="34"/>
  <c r="AD755" i="34"/>
  <c r="AC965" i="34"/>
  <c r="AG202" i="2"/>
  <c r="BN193" i="2"/>
  <c r="R208" i="2"/>
  <c r="BL201" i="2"/>
  <c r="AI396" i="2"/>
  <c r="AI543" i="34" s="1"/>
  <c r="AI1041" i="34"/>
  <c r="S208" i="2"/>
  <c r="AE208" i="2"/>
  <c r="CA199" i="2"/>
  <c r="BJ202" i="2"/>
  <c r="U208" i="2"/>
  <c r="BM211" i="2"/>
  <c r="BD474" i="2"/>
  <c r="S326" i="34"/>
  <c r="BK236" i="14"/>
  <c r="BK237" i="14" s="1"/>
  <c r="AQ690" i="34" s="1"/>
  <c r="S802" i="34"/>
  <c r="S325" i="34"/>
  <c r="Q1047" i="34"/>
  <c r="AF327" i="34"/>
  <c r="BC519" i="2"/>
  <c r="BC755" i="34" s="1"/>
  <c r="AY755" i="34"/>
  <c r="BA78" i="14"/>
  <c r="AZ78" i="14"/>
  <c r="AZ75" i="14"/>
  <c r="BS73" i="14"/>
  <c r="BA76" i="14"/>
  <c r="BD75" i="14"/>
  <c r="BD76" i="14"/>
  <c r="BT73" i="14"/>
  <c r="AZ623" i="34" s="1"/>
  <c r="BD78" i="14"/>
  <c r="AN1217" i="34"/>
  <c r="AN67" i="2"/>
  <c r="AJ1217" i="34"/>
  <c r="AJ67" i="2"/>
  <c r="AM169" i="2"/>
  <c r="AH1218" i="34"/>
  <c r="AL1217" i="34"/>
  <c r="BP24" i="1"/>
  <c r="AU15" i="34" s="1"/>
  <c r="AM67" i="2"/>
  <c r="AI67" i="2"/>
  <c r="AH14" i="34"/>
  <c r="L11" i="35"/>
  <c r="AL1216" i="34"/>
  <c r="AI1217" i="34"/>
  <c r="AI16" i="34"/>
  <c r="AI14" i="34"/>
  <c r="AT67" i="2"/>
  <c r="AP1251" i="34"/>
  <c r="AP1073" i="34"/>
  <c r="AP1077" i="34"/>
  <c r="BR178" i="1"/>
  <c r="AW167" i="34" s="1"/>
  <c r="AP195" i="14"/>
  <c r="AP229" i="14"/>
  <c r="AQ230" i="14" s="1"/>
  <c r="AP417" i="2"/>
  <c r="AP1042" i="34" s="1"/>
  <c r="AP374" i="2"/>
  <c r="AP998" i="34" s="1"/>
  <c r="AP372" i="2"/>
  <c r="AP360" i="2"/>
  <c r="AP967" i="34" s="1"/>
  <c r="AP1283" i="34"/>
  <c r="AP1249" i="34"/>
  <c r="AM523" i="2"/>
  <c r="AM759" i="34" s="1"/>
  <c r="AN522" i="2"/>
  <c r="AN758" i="34" s="1"/>
  <c r="BP518" i="2"/>
  <c r="AN754" i="34"/>
  <c r="AP1259" i="34"/>
  <c r="AP64" i="14"/>
  <c r="AP82" i="14" s="1"/>
  <c r="AP128" i="14"/>
  <c r="AP160" i="14"/>
  <c r="AP32" i="1"/>
  <c r="AP1225" i="34" s="1"/>
  <c r="AP132" i="1"/>
  <c r="AP247" i="2"/>
  <c r="AP225" i="2" s="1"/>
  <c r="AR19" i="1" l="1"/>
  <c r="AR326" i="2"/>
  <c r="AQ174" i="2"/>
  <c r="AR182" i="2"/>
  <c r="AR189" i="2"/>
  <c r="AR72" i="2"/>
  <c r="AR68" i="2"/>
  <c r="AI169" i="14"/>
  <c r="AJ187" i="1"/>
  <c r="AJ14" i="1"/>
  <c r="AJ15" i="1" s="1"/>
  <c r="AH187" i="1"/>
  <c r="AH14" i="1"/>
  <c r="AH15" i="1" s="1"/>
  <c r="AH1213" i="34" s="1"/>
  <c r="AJ191" i="1"/>
  <c r="AG187" i="1"/>
  <c r="AG176" i="34" s="1"/>
  <c r="AG14" i="1"/>
  <c r="AJ1216" i="34"/>
  <c r="AI14" i="1"/>
  <c r="AI15" i="1" s="1"/>
  <c r="AI187" i="1"/>
  <c r="T191" i="1"/>
  <c r="T180" i="34" s="1"/>
  <c r="AE258" i="1"/>
  <c r="AE260" i="1" s="1"/>
  <c r="AE246" i="34" s="1"/>
  <c r="V198" i="34"/>
  <c r="BL94" i="1"/>
  <c r="AQ81" i="34" s="1"/>
  <c r="M104" i="1"/>
  <c r="M92" i="34" s="1"/>
  <c r="V200" i="34"/>
  <c r="AA79" i="34"/>
  <c r="O172" i="1"/>
  <c r="O161" i="34" s="1"/>
  <c r="P233" i="1"/>
  <c r="P219" i="34" s="1"/>
  <c r="AH187" i="34"/>
  <c r="W231" i="1"/>
  <c r="W217" i="34" s="1"/>
  <c r="BM86" i="1"/>
  <c r="AR73" i="34" s="1"/>
  <c r="P144" i="34"/>
  <c r="M77" i="34"/>
  <c r="W1283" i="34"/>
  <c r="S172" i="1"/>
  <c r="S161" i="34" s="1"/>
  <c r="T162" i="1"/>
  <c r="AA220" i="1"/>
  <c r="AA248" i="1" s="1"/>
  <c r="AA234" i="34" s="1"/>
  <c r="AV148" i="34"/>
  <c r="BQ263" i="1"/>
  <c r="BA120" i="1"/>
  <c r="BA1285" i="34"/>
  <c r="AH207" i="1"/>
  <c r="AH193" i="34" s="1"/>
  <c r="V215" i="1"/>
  <c r="V201" i="34" s="1"/>
  <c r="AL13" i="2"/>
  <c r="AI14" i="2"/>
  <c r="AO476" i="2"/>
  <c r="AQ15" i="2"/>
  <c r="AM14" i="2"/>
  <c r="AM13" i="2"/>
  <c r="AQ13" i="2"/>
  <c r="AB172" i="2"/>
  <c r="Z325" i="34"/>
  <c r="V507" i="2"/>
  <c r="V743" i="34" s="1"/>
  <c r="V565" i="34"/>
  <c r="AG490" i="34"/>
  <c r="BJ457" i="2"/>
  <c r="AP407" i="34" s="1"/>
  <c r="BN363" i="2"/>
  <c r="R358" i="2"/>
  <c r="R965" i="34" s="1"/>
  <c r="AM93" i="2"/>
  <c r="AQ93" i="2"/>
  <c r="AQ92" i="2"/>
  <c r="AQ94" i="2"/>
  <c r="AQ358" i="2"/>
  <c r="AR359" i="2" s="1"/>
  <c r="AQ361" i="2"/>
  <c r="AH306" i="34"/>
  <c r="AK606" i="2"/>
  <c r="AK849" i="34" s="1"/>
  <c r="AQ61" i="2"/>
  <c r="AQ58" i="2"/>
  <c r="AQ336" i="2"/>
  <c r="AQ943" i="34" s="1"/>
  <c r="AQ334" i="2"/>
  <c r="AT120" i="2"/>
  <c r="AQ121" i="2"/>
  <c r="AQ118" i="2"/>
  <c r="AQ375" i="2"/>
  <c r="AQ372" i="2"/>
  <c r="AM956" i="34"/>
  <c r="AQ350" i="2"/>
  <c r="AQ354" i="2"/>
  <c r="AM34" i="2"/>
  <c r="AQ37" i="2" s="1"/>
  <c r="AQ138" i="2"/>
  <c r="AQ139" i="2"/>
  <c r="AM1041" i="34"/>
  <c r="AQ419" i="2"/>
  <c r="AP34" i="2"/>
  <c r="AQ38" i="2" s="1"/>
  <c r="AQ137" i="2"/>
  <c r="AQ140" i="2"/>
  <c r="AP940" i="34"/>
  <c r="AQ337" i="2"/>
  <c r="AQ335" i="2"/>
  <c r="AQ942" i="34" s="1"/>
  <c r="AQ420" i="2"/>
  <c r="AQ417" i="2"/>
  <c r="AR418" i="2" s="1"/>
  <c r="AV339" i="34"/>
  <c r="AM427" i="2"/>
  <c r="AM429" i="2" s="1"/>
  <c r="AQ86" i="2"/>
  <c r="AQ85" i="2"/>
  <c r="AQ119" i="2"/>
  <c r="AQ120" i="2"/>
  <c r="AP956" i="34"/>
  <c r="AQ351" i="2"/>
  <c r="AQ355" i="2"/>
  <c r="AL266" i="1"/>
  <c r="AL274" i="1"/>
  <c r="AL169" i="1"/>
  <c r="AL172" i="1" s="1"/>
  <c r="E11" i="35"/>
  <c r="AI191" i="1"/>
  <c r="AI274" i="1"/>
  <c r="AI259" i="34" s="1"/>
  <c r="AG274" i="1"/>
  <c r="AG259" i="34" s="1"/>
  <c r="BQ168" i="1"/>
  <c r="AV157" i="34" s="1"/>
  <c r="AN191" i="1"/>
  <c r="AV191" i="1" s="1"/>
  <c r="AH191" i="1"/>
  <c r="AH180" i="34" s="1"/>
  <c r="AP12" i="2"/>
  <c r="AP274" i="1"/>
  <c r="AP191" i="1"/>
  <c r="AT191" i="1" s="1"/>
  <c r="BS102" i="14"/>
  <c r="R975" i="34"/>
  <c r="R501" i="34"/>
  <c r="W491" i="2"/>
  <c r="W312" i="34" s="1"/>
  <c r="P26" i="2"/>
  <c r="BR161" i="1"/>
  <c r="AW150" i="34" s="1"/>
  <c r="AP427" i="2"/>
  <c r="AQ429" i="2" s="1"/>
  <c r="AQ76" i="2"/>
  <c r="AQ84" i="2"/>
  <c r="AQ96" i="2" s="1"/>
  <c r="AQ87" i="2"/>
  <c r="BR160" i="1"/>
  <c r="AW149" i="34" s="1"/>
  <c r="AS160" i="1"/>
  <c r="AT160" i="1" s="1"/>
  <c r="AU160" i="1" s="1"/>
  <c r="AV160" i="1" s="1"/>
  <c r="P224" i="1"/>
  <c r="P210" i="34" s="1"/>
  <c r="Q1249" i="34"/>
  <c r="AN271" i="1"/>
  <c r="BP179" i="1"/>
  <c r="AU168" i="34" s="1"/>
  <c r="Y255" i="2"/>
  <c r="U144" i="34"/>
  <c r="AI204" i="1"/>
  <c r="AI190" i="34" s="1"/>
  <c r="X86" i="1"/>
  <c r="X73" i="34" s="1"/>
  <c r="V75" i="34"/>
  <c r="AK119" i="1"/>
  <c r="AG266" i="1"/>
  <c r="AG251" i="34" s="1"/>
  <c r="S188" i="1"/>
  <c r="S177" i="34" s="1"/>
  <c r="N250" i="34"/>
  <c r="BP160" i="1"/>
  <c r="AU149" i="34" s="1"/>
  <c r="BQ25" i="1"/>
  <c r="AV16" i="34" s="1"/>
  <c r="AO1251" i="34"/>
  <c r="S1283" i="34"/>
  <c r="AT1285" i="34"/>
  <c r="O11" i="35"/>
  <c r="BQ66" i="1"/>
  <c r="AV54" i="34" s="1"/>
  <c r="Q11" i="40"/>
  <c r="V258" i="1"/>
  <c r="V104" i="1" s="1"/>
  <c r="V92" i="34" s="1"/>
  <c r="AB172" i="1"/>
  <c r="AB161" i="34" s="1"/>
  <c r="AN1277" i="34"/>
  <c r="CJ23" i="1"/>
  <c r="Q25" i="2"/>
  <c r="T113" i="2"/>
  <c r="T980" i="34" s="1"/>
  <c r="AE698" i="34"/>
  <c r="AM171" i="2"/>
  <c r="AQ68" i="2"/>
  <c r="AQ72" i="2"/>
  <c r="AQ18" i="2"/>
  <c r="AR20" i="2" s="1"/>
  <c r="AP294" i="2"/>
  <c r="AP235" i="2" s="1"/>
  <c r="AQ73" i="2"/>
  <c r="AQ70" i="2"/>
  <c r="AQ139" i="14"/>
  <c r="AR140" i="14" s="1"/>
  <c r="AQ176" i="14"/>
  <c r="AR177" i="14" s="1"/>
  <c r="O480" i="2"/>
  <c r="O481" i="2" s="1"/>
  <c r="O432" i="34" s="1"/>
  <c r="AE491" i="2"/>
  <c r="AE728" i="34" s="1"/>
  <c r="O326" i="2"/>
  <c r="BI975" i="34"/>
  <c r="AB173" i="2"/>
  <c r="AB189" i="2" s="1"/>
  <c r="AE294" i="2"/>
  <c r="AE228" i="2" s="1"/>
  <c r="AE231" i="2" s="1"/>
  <c r="AE326" i="2"/>
  <c r="AF172" i="2"/>
  <c r="X173" i="2"/>
  <c r="N615" i="34"/>
  <c r="N68" i="14"/>
  <c r="N617" i="34" s="1"/>
  <c r="Z1285" i="34"/>
  <c r="BL56" i="1"/>
  <c r="AQ44" i="34" s="1"/>
  <c r="AJ472" i="2"/>
  <c r="AN477" i="2" s="1"/>
  <c r="AN270" i="1"/>
  <c r="AN37" i="1"/>
  <c r="AN1230" i="34" s="1"/>
  <c r="AD1048" i="34"/>
  <c r="AD571" i="34"/>
  <c r="AJ70" i="34"/>
  <c r="BP83" i="1"/>
  <c r="AU70" i="34" s="1"/>
  <c r="V86" i="1"/>
  <c r="U77" i="34"/>
  <c r="R151" i="34"/>
  <c r="R129" i="1"/>
  <c r="R117" i="34" s="1"/>
  <c r="AJ157" i="34"/>
  <c r="BP168" i="1"/>
  <c r="AU157" i="34" s="1"/>
  <c r="AJ167" i="34"/>
  <c r="BP178" i="1"/>
  <c r="AU167" i="34" s="1"/>
  <c r="P225" i="1"/>
  <c r="BK225" i="1" s="1"/>
  <c r="AP211" i="34" s="1"/>
  <c r="O211" i="34"/>
  <c r="U216" i="34"/>
  <c r="V230" i="1"/>
  <c r="BI260" i="1"/>
  <c r="AN246" i="34" s="1"/>
  <c r="AN244" i="34"/>
  <c r="BN579" i="2"/>
  <c r="BN818" i="34" s="1"/>
  <c r="BN532" i="2"/>
  <c r="BN778" i="34" s="1"/>
  <c r="BK792" i="34"/>
  <c r="AQ338" i="34"/>
  <c r="W793" i="34"/>
  <c r="W557" i="2"/>
  <c r="W340" i="34" s="1"/>
  <c r="AI1211" i="34"/>
  <c r="AI1212" i="34"/>
  <c r="N571" i="34"/>
  <c r="N1048" i="34"/>
  <c r="S211" i="34"/>
  <c r="P191" i="1"/>
  <c r="P180" i="34" s="1"/>
  <c r="AI490" i="2"/>
  <c r="AI727" i="34" s="1"/>
  <c r="AH107" i="2"/>
  <c r="AH109" i="2" s="1"/>
  <c r="AH112" i="2" s="1"/>
  <c r="AH978" i="34" s="1"/>
  <c r="AE472" i="2"/>
  <c r="AF478" i="2" s="1"/>
  <c r="AF423" i="34" s="1"/>
  <c r="Q202" i="1"/>
  <c r="Q265" i="1" s="1"/>
  <c r="Q1230" i="34"/>
  <c r="BG87" i="1"/>
  <c r="AL74" i="34" s="1"/>
  <c r="AA42" i="14"/>
  <c r="AI42" i="14"/>
  <c r="AI51" i="14" s="1"/>
  <c r="BR88" i="1"/>
  <c r="AW75" i="34" s="1"/>
  <c r="AO234" i="1"/>
  <c r="AB206" i="2"/>
  <c r="AO292" i="1"/>
  <c r="AK169" i="1"/>
  <c r="AK172" i="1" s="1"/>
  <c r="AH161" i="14"/>
  <c r="AH169" i="14" s="1"/>
  <c r="U203" i="14"/>
  <c r="U659" i="34" s="1"/>
  <c r="AL93" i="14"/>
  <c r="AL103" i="14" s="1"/>
  <c r="X328" i="34"/>
  <c r="AB327" i="34"/>
  <c r="M11" i="4"/>
  <c r="M1290" i="34" s="1"/>
  <c r="AF314" i="2"/>
  <c r="AF927" i="34" s="1"/>
  <c r="Y468" i="34"/>
  <c r="AG350" i="2"/>
  <c r="AH943" i="34"/>
  <c r="Y353" i="2"/>
  <c r="Y960" i="34" s="1"/>
  <c r="V191" i="34"/>
  <c r="S222" i="1"/>
  <c r="S208" i="34" s="1"/>
  <c r="Y75" i="34"/>
  <c r="Q144" i="34"/>
  <c r="AD172" i="1"/>
  <c r="W220" i="1"/>
  <c r="W206" i="34" s="1"/>
  <c r="BH34" i="1"/>
  <c r="AM25" i="34" s="1"/>
  <c r="AC64" i="14"/>
  <c r="AC615" i="34" s="1"/>
  <c r="AC151" i="14"/>
  <c r="AC635" i="34" s="1"/>
  <c r="BP26" i="1"/>
  <c r="AU17" i="34" s="1"/>
  <c r="BQ24" i="1"/>
  <c r="AV15" i="34" s="1"/>
  <c r="AO120" i="2"/>
  <c r="W208" i="2"/>
  <c r="AE206" i="2"/>
  <c r="AB196" i="2"/>
  <c r="AF194" i="2"/>
  <c r="AL86" i="1"/>
  <c r="AK1283" i="34"/>
  <c r="AS171" i="1"/>
  <c r="AT171" i="1" s="1"/>
  <c r="AU171" i="1" s="1"/>
  <c r="AV171" i="1" s="1"/>
  <c r="BR171" i="1"/>
  <c r="AS179" i="1"/>
  <c r="AT179" i="1" s="1"/>
  <c r="AU179" i="1" s="1"/>
  <c r="AV179" i="1" s="1"/>
  <c r="BS179" i="1" s="1"/>
  <c r="AX168" i="34" s="1"/>
  <c r="BR179" i="1"/>
  <c r="AW168" i="34" s="1"/>
  <c r="AH176" i="34"/>
  <c r="O1281" i="34"/>
  <c r="O75" i="34"/>
  <c r="W225" i="1"/>
  <c r="V211" i="34"/>
  <c r="T255" i="34"/>
  <c r="T272" i="1"/>
  <c r="T273" i="1" s="1"/>
  <c r="T258" i="34" s="1"/>
  <c r="Y509" i="2"/>
  <c r="Y745" i="34" s="1"/>
  <c r="X742" i="34"/>
  <c r="Y524" i="34"/>
  <c r="Y378" i="2"/>
  <c r="Y1002" i="34" s="1"/>
  <c r="AC378" i="2"/>
  <c r="AC1002" i="34" s="1"/>
  <c r="AC387" i="2"/>
  <c r="AC534" i="34" s="1"/>
  <c r="Y530" i="34"/>
  <c r="Y1007" i="34"/>
  <c r="U1020" i="34"/>
  <c r="U397" i="2"/>
  <c r="U544" i="34" s="1"/>
  <c r="BH1020" i="34"/>
  <c r="BH397" i="2"/>
  <c r="AN544" i="34" s="1"/>
  <c r="AN543" i="34"/>
  <c r="Z650" i="2"/>
  <c r="Z897" i="34" s="1"/>
  <c r="AA453" i="2"/>
  <c r="AA403" i="34" s="1"/>
  <c r="AZ474" i="2"/>
  <c r="S634" i="34"/>
  <c r="S129" i="14"/>
  <c r="AD161" i="14"/>
  <c r="BL41" i="14"/>
  <c r="BM42" i="14" s="1"/>
  <c r="BM51" i="14" s="1"/>
  <c r="AR660" i="34"/>
  <c r="AQ661" i="34"/>
  <c r="BK92" i="14"/>
  <c r="BL93" i="14" s="1"/>
  <c r="BL103" i="14" s="1"/>
  <c r="BI36" i="1"/>
  <c r="BI204" i="1" s="1"/>
  <c r="AN190" i="34" s="1"/>
  <c r="AN673" i="34"/>
  <c r="AE676" i="34"/>
  <c r="AE28" i="1"/>
  <c r="AN34" i="2"/>
  <c r="AN139" i="2"/>
  <c r="AN138" i="2"/>
  <c r="AB174" i="2"/>
  <c r="S206" i="2"/>
  <c r="AA206" i="2"/>
  <c r="T196" i="2"/>
  <c r="X194" i="2"/>
  <c r="AL519" i="2"/>
  <c r="AL511" i="2" s="1"/>
  <c r="AL747" i="34" s="1"/>
  <c r="F11" i="35"/>
  <c r="AH1217" i="34"/>
  <c r="AL67" i="2"/>
  <c r="AH17" i="34"/>
  <c r="AJ72" i="2"/>
  <c r="BQ473" i="2"/>
  <c r="AW419" i="34" s="1"/>
  <c r="T209" i="2"/>
  <c r="AA208" i="2"/>
  <c r="R361" i="2"/>
  <c r="R491" i="34" s="1"/>
  <c r="T194" i="2"/>
  <c r="AJ1213" i="34"/>
  <c r="N44" i="34"/>
  <c r="AH187" i="14"/>
  <c r="AH648" i="34" s="1"/>
  <c r="BQ23" i="1"/>
  <c r="AO112" i="34"/>
  <c r="N522" i="34"/>
  <c r="N266" i="1"/>
  <c r="N251" i="34" s="1"/>
  <c r="BN203" i="14"/>
  <c r="AT659" i="34" s="1"/>
  <c r="AD208" i="34"/>
  <c r="Z999" i="34"/>
  <c r="AI232" i="1"/>
  <c r="BP232" i="1" s="1"/>
  <c r="AU218" i="34" s="1"/>
  <c r="Z402" i="34"/>
  <c r="AF77" i="34"/>
  <c r="BR94" i="1"/>
  <c r="AW81" i="34" s="1"/>
  <c r="BQ26" i="1"/>
  <c r="AV17" i="34" s="1"/>
  <c r="AD673" i="34"/>
  <c r="AO28" i="2"/>
  <c r="AO31" i="2" s="1"/>
  <c r="BK396" i="2"/>
  <c r="N521" i="34"/>
  <c r="BK1006" i="34"/>
  <c r="AJ663" i="34"/>
  <c r="AL118" i="2"/>
  <c r="AJ518" i="34"/>
  <c r="AN137" i="2"/>
  <c r="AD411" i="34"/>
  <c r="Y397" i="2"/>
  <c r="Y1021" i="34" s="1"/>
  <c r="M397" i="2"/>
  <c r="M1021" i="34" s="1"/>
  <c r="U534" i="34"/>
  <c r="U532" i="34"/>
  <c r="U531" i="34"/>
  <c r="AC1001" i="34"/>
  <c r="Y387" i="2"/>
  <c r="AF174" i="2"/>
  <c r="X172" i="2"/>
  <c r="AG523" i="2"/>
  <c r="AG524" i="2" s="1"/>
  <c r="AG760" i="34" s="1"/>
  <c r="AA996" i="34"/>
  <c r="AM417" i="2"/>
  <c r="AM1042" i="34" s="1"/>
  <c r="Q191" i="1"/>
  <c r="Q180" i="34" s="1"/>
  <c r="AM129" i="14"/>
  <c r="AM137" i="14" s="1"/>
  <c r="P236" i="1"/>
  <c r="P222" i="34" s="1"/>
  <c r="AD1249" i="34"/>
  <c r="R522" i="34"/>
  <c r="M26" i="34"/>
  <c r="AK107" i="2"/>
  <c r="AK974" i="34" s="1"/>
  <c r="X472" i="2"/>
  <c r="Y478" i="2" s="1"/>
  <c r="Y423" i="34" s="1"/>
  <c r="AC29" i="1"/>
  <c r="AC20" i="34" s="1"/>
  <c r="AC1221" i="34"/>
  <c r="S44" i="34"/>
  <c r="S1249" i="34"/>
  <c r="AI1249" i="34"/>
  <c r="AI44" i="34"/>
  <c r="BP58" i="1"/>
  <c r="AU46" i="34" s="1"/>
  <c r="AJ56" i="1"/>
  <c r="AJ44" i="34" s="1"/>
  <c r="N15" i="4"/>
  <c r="N1294" i="34" s="1"/>
  <c r="Z1286" i="34"/>
  <c r="Z80" i="34"/>
  <c r="AD92" i="1"/>
  <c r="AD88" i="1"/>
  <c r="V162" i="1"/>
  <c r="V151" i="34" s="1"/>
  <c r="V124" i="1"/>
  <c r="AD200" i="34"/>
  <c r="AE214" i="1"/>
  <c r="AF214" i="1" s="1"/>
  <c r="AF200" i="34" s="1"/>
  <c r="AI220" i="1"/>
  <c r="BP220" i="1" s="1"/>
  <c r="AH248" i="1"/>
  <c r="AH234" i="34" s="1"/>
  <c r="AH206" i="34"/>
  <c r="AJ217" i="34"/>
  <c r="AJ234" i="1"/>
  <c r="AJ220" i="34" s="1"/>
  <c r="V219" i="34"/>
  <c r="W233" i="1"/>
  <c r="W219" i="34" s="1"/>
  <c r="U262" i="1"/>
  <c r="U248" i="34" s="1"/>
  <c r="BI261" i="1"/>
  <c r="AN247" i="34" s="1"/>
  <c r="BI259" i="1"/>
  <c r="AN245" i="34" s="1"/>
  <c r="O569" i="2"/>
  <c r="O570" i="2" s="1"/>
  <c r="O332" i="34" s="1"/>
  <c r="O491" i="2"/>
  <c r="O312" i="34" s="1"/>
  <c r="S61" i="14"/>
  <c r="S326" i="2"/>
  <c r="S327" i="2" s="1"/>
  <c r="W727" i="34"/>
  <c r="W495" i="2"/>
  <c r="W315" i="34" s="1"/>
  <c r="AE569" i="2"/>
  <c r="AE331" i="34" s="1"/>
  <c r="AE534" i="2"/>
  <c r="AE780" i="34" s="1"/>
  <c r="AE311" i="34"/>
  <c r="U742" i="34"/>
  <c r="U579" i="2"/>
  <c r="W581" i="2" s="1"/>
  <c r="AA582" i="2" s="1"/>
  <c r="AA821" i="34" s="1"/>
  <c r="Y519" i="2"/>
  <c r="Y755" i="34" s="1"/>
  <c r="BL518" i="2"/>
  <c r="AE339" i="34"/>
  <c r="AE793" i="34"/>
  <c r="BK801" i="34"/>
  <c r="BK422" i="2"/>
  <c r="AQ570" i="34" s="1"/>
  <c r="AC581" i="2"/>
  <c r="AC820" i="34" s="1"/>
  <c r="AC325" i="34"/>
  <c r="AB842" i="34"/>
  <c r="AB604" i="2"/>
  <c r="AB847" i="34" s="1"/>
  <c r="AF842" i="34"/>
  <c r="AJ600" i="2"/>
  <c r="AJ843" i="34" s="1"/>
  <c r="AB857" i="34"/>
  <c r="AB358" i="34"/>
  <c r="AR363" i="34"/>
  <c r="BK622" i="2"/>
  <c r="BK866" i="34" s="1"/>
  <c r="Z458" i="34"/>
  <c r="Z935" i="34"/>
  <c r="AA936" i="34"/>
  <c r="AA459" i="34"/>
  <c r="M458" i="34"/>
  <c r="M935" i="34"/>
  <c r="S460" i="34"/>
  <c r="S937" i="34"/>
  <c r="AC479" i="34"/>
  <c r="AC350" i="2"/>
  <c r="S362" i="2"/>
  <c r="T358" i="2"/>
  <c r="T488" i="34" s="1"/>
  <c r="S964" i="34"/>
  <c r="AA965" i="34"/>
  <c r="AA359" i="2"/>
  <c r="AA966" i="34" s="1"/>
  <c r="AD678" i="34"/>
  <c r="AD119" i="14"/>
  <c r="AD625" i="34" s="1"/>
  <c r="AM42" i="14"/>
  <c r="AM51" i="14" s="1"/>
  <c r="BR240" i="1"/>
  <c r="AW226" i="34" s="1"/>
  <c r="AG14" i="34"/>
  <c r="BP23" i="1"/>
  <c r="AA11" i="35" s="1"/>
  <c r="C45" i="35" s="1"/>
  <c r="M114" i="2"/>
  <c r="M503" i="34" s="1"/>
  <c r="M275" i="34"/>
  <c r="Q15" i="2"/>
  <c r="Q699" i="34" s="1"/>
  <c r="AL28" i="2"/>
  <c r="AL32" i="2" s="1"/>
  <c r="AL120" i="2"/>
  <c r="AE28" i="2"/>
  <c r="AF32" i="2" s="1"/>
  <c r="AE150" i="2"/>
  <c r="AI523" i="2"/>
  <c r="AI759" i="34" s="1"/>
  <c r="AI419" i="2"/>
  <c r="AI567" i="34" s="1"/>
  <c r="AL1041" i="34"/>
  <c r="AL88" i="2"/>
  <c r="AG995" i="34"/>
  <c r="AG402" i="2"/>
  <c r="X207" i="2"/>
  <c r="Q4" i="35"/>
  <c r="R4" i="35" s="1"/>
  <c r="R5" i="35" s="1"/>
  <c r="R9" i="35" s="1"/>
  <c r="P5" i="35"/>
  <c r="P9" i="35" s="1"/>
  <c r="AQ968" i="34"/>
  <c r="AP87" i="1"/>
  <c r="AP1280" i="34" s="1"/>
  <c r="AP375" i="2"/>
  <c r="AP999" i="34" s="1"/>
  <c r="AP171" i="2"/>
  <c r="AJ14" i="34"/>
  <c r="AH15" i="34"/>
  <c r="AK1216" i="34"/>
  <c r="AH1219" i="34"/>
  <c r="AO270" i="1"/>
  <c r="X208" i="2"/>
  <c r="W206" i="2"/>
  <c r="AL314" i="2"/>
  <c r="AL927" i="34" s="1"/>
  <c r="BK193" i="2"/>
  <c r="BL194" i="2" s="1"/>
  <c r="AF196" i="2"/>
  <c r="AF195" i="2" s="1"/>
  <c r="Z472" i="34"/>
  <c r="Y457" i="34"/>
  <c r="AC802" i="34"/>
  <c r="AG374" i="2"/>
  <c r="AG998" i="34" s="1"/>
  <c r="AG375" i="2"/>
  <c r="AG999" i="34" s="1"/>
  <c r="AC493" i="34"/>
  <c r="W44" i="34"/>
  <c r="Y1225" i="34"/>
  <c r="BQ88" i="1"/>
  <c r="AV75" i="34" s="1"/>
  <c r="AE727" i="34"/>
  <c r="S494" i="2"/>
  <c r="S314" i="34" s="1"/>
  <c r="O311" i="34"/>
  <c r="AC272" i="1"/>
  <c r="AC257" i="34" s="1"/>
  <c r="AO260" i="1"/>
  <c r="X161" i="14"/>
  <c r="AD101" i="1"/>
  <c r="AD89" i="34" s="1"/>
  <c r="AP964" i="34"/>
  <c r="P11" i="40"/>
  <c r="AJ12" i="2"/>
  <c r="AJ259" i="2" s="1"/>
  <c r="AJ1065" i="34" s="1"/>
  <c r="AK12" i="2"/>
  <c r="T804" i="34"/>
  <c r="N15" i="40"/>
  <c r="M19" i="34"/>
  <c r="AB755" i="34"/>
  <c r="BJ261" i="1"/>
  <c r="AO247" i="34" s="1"/>
  <c r="Z206" i="34"/>
  <c r="R144" i="34"/>
  <c r="U259" i="1"/>
  <c r="U245" i="34" s="1"/>
  <c r="Z456" i="2"/>
  <c r="Z406" i="34" s="1"/>
  <c r="AD998" i="34"/>
  <c r="T361" i="2"/>
  <c r="T968" i="34" s="1"/>
  <c r="BJ323" i="2"/>
  <c r="BJ936" i="34" s="1"/>
  <c r="S282" i="1"/>
  <c r="S267" i="34" s="1"/>
  <c r="BK279" i="1"/>
  <c r="AP264" i="34" s="1"/>
  <c r="Z1226" i="34"/>
  <c r="BH185" i="14"/>
  <c r="BI101" i="1" s="1"/>
  <c r="AN89" i="34" s="1"/>
  <c r="AA28" i="14"/>
  <c r="AA32" i="14" s="1"/>
  <c r="AA606" i="34" s="1"/>
  <c r="U234" i="1"/>
  <c r="U220" i="34" s="1"/>
  <c r="AM579" i="2"/>
  <c r="AM818" i="34" s="1"/>
  <c r="X969" i="34"/>
  <c r="T490" i="34"/>
  <c r="BK383" i="2"/>
  <c r="BK1007" i="34" s="1"/>
  <c r="AH743" i="34"/>
  <c r="AN12" i="2"/>
  <c r="AB112" i="2"/>
  <c r="AB501" i="34" s="1"/>
  <c r="AN86" i="2"/>
  <c r="AK1277" i="34"/>
  <c r="N26" i="34"/>
  <c r="AO160" i="14"/>
  <c r="AO161" i="14" s="1"/>
  <c r="AO169" i="14" s="1"/>
  <c r="AO132" i="1"/>
  <c r="AL121" i="2"/>
  <c r="AN232" i="14"/>
  <c r="AO119" i="2"/>
  <c r="AM220" i="14"/>
  <c r="AJ292" i="1"/>
  <c r="Q397" i="2"/>
  <c r="Q1021" i="34" s="1"/>
  <c r="AG353" i="2"/>
  <c r="AG483" i="34" s="1"/>
  <c r="Y956" i="34"/>
  <c r="X599" i="2"/>
  <c r="X604" i="2" s="1"/>
  <c r="BJ933" i="34"/>
  <c r="W333" i="2"/>
  <c r="W463" i="34" s="1"/>
  <c r="AJ137" i="2"/>
  <c r="AN140" i="2"/>
  <c r="Z521" i="34"/>
  <c r="V488" i="34"/>
  <c r="AG956" i="34"/>
  <c r="AC468" i="34"/>
  <c r="AI466" i="34"/>
  <c r="AH449" i="34"/>
  <c r="AE897" i="34"/>
  <c r="AM138" i="2"/>
  <c r="Z446" i="2"/>
  <c r="Y543" i="34"/>
  <c r="M543" i="34"/>
  <c r="AC532" i="34"/>
  <c r="AC1008" i="34"/>
  <c r="AC530" i="34"/>
  <c r="T526" i="34"/>
  <c r="AC524" i="34"/>
  <c r="U532" i="2"/>
  <c r="U778" i="34" s="1"/>
  <c r="X174" i="2"/>
  <c r="Y57" i="2"/>
  <c r="Y301" i="34" s="1"/>
  <c r="AI965" i="34"/>
  <c r="Y479" i="34"/>
  <c r="AG474" i="34"/>
  <c r="O937" i="34"/>
  <c r="AD373" i="34"/>
  <c r="AH722" i="34"/>
  <c r="R519" i="34"/>
  <c r="M1228" i="34"/>
  <c r="X281" i="1"/>
  <c r="S206" i="1"/>
  <c r="S192" i="34" s="1"/>
  <c r="U244" i="34"/>
  <c r="U1228" i="34"/>
  <c r="Z44" i="34"/>
  <c r="V282" i="1"/>
  <c r="V267" i="34" s="1"/>
  <c r="AC259" i="2"/>
  <c r="AC1065" i="34" s="1"/>
  <c r="X272" i="1"/>
  <c r="AB129" i="14"/>
  <c r="W187" i="1"/>
  <c r="W176" i="34" s="1"/>
  <c r="W191" i="1"/>
  <c r="W180" i="34" s="1"/>
  <c r="Y476" i="2"/>
  <c r="Y421" i="34" s="1"/>
  <c r="AF29" i="1"/>
  <c r="AF20" i="34" s="1"/>
  <c r="AF188" i="1"/>
  <c r="AF177" i="34" s="1"/>
  <c r="AD33" i="1"/>
  <c r="Z28" i="34"/>
  <c r="Z1230" i="34"/>
  <c r="R77" i="34"/>
  <c r="S86" i="1"/>
  <c r="W80" i="34"/>
  <c r="W88" i="1"/>
  <c r="W1281" i="34" s="1"/>
  <c r="BM93" i="1"/>
  <c r="AR80" i="34" s="1"/>
  <c r="AQ141" i="34"/>
  <c r="BL130" i="1"/>
  <c r="AQ118" i="34" s="1"/>
  <c r="O162" i="1"/>
  <c r="O151" i="34" s="1"/>
  <c r="O124" i="1"/>
  <c r="W144" i="34"/>
  <c r="W162" i="1"/>
  <c r="W129" i="1" s="1"/>
  <c r="W133" i="1" s="1"/>
  <c r="W121" i="34" s="1"/>
  <c r="AJ169" i="1"/>
  <c r="BO132" i="1"/>
  <c r="AT120" i="34" s="1"/>
  <c r="AT157" i="34"/>
  <c r="P211" i="1"/>
  <c r="O215" i="1"/>
  <c r="O201" i="34" s="1"/>
  <c r="R197" i="34"/>
  <c r="S211" i="1"/>
  <c r="S197" i="34" s="1"/>
  <c r="Z197" i="34"/>
  <c r="AA211" i="1"/>
  <c r="BK232" i="1"/>
  <c r="AP218" i="34" s="1"/>
  <c r="Z234" i="1"/>
  <c r="Z220" i="34" s="1"/>
  <c r="R234" i="1"/>
  <c r="R220" i="34" s="1"/>
  <c r="N242" i="1"/>
  <c r="N228" i="34" s="1"/>
  <c r="N227" i="34"/>
  <c r="Y244" i="34"/>
  <c r="Y262" i="1"/>
  <c r="Y248" i="34" s="1"/>
  <c r="BJ260" i="1"/>
  <c r="AO246" i="34" s="1"/>
  <c r="BJ104" i="1"/>
  <c r="AO92" i="34" s="1"/>
  <c r="AC804" i="34"/>
  <c r="AC327" i="34"/>
  <c r="AM351" i="2"/>
  <c r="AM958" i="34" s="1"/>
  <c r="AP402" i="34"/>
  <c r="BJ454" i="2"/>
  <c r="BJ1114" i="34" s="1"/>
  <c r="AB406" i="34"/>
  <c r="AB1116" i="34"/>
  <c r="AC1122" i="34"/>
  <c r="AC412" i="34"/>
  <c r="AX474" i="2"/>
  <c r="AI28" i="14"/>
  <c r="AP75" i="14"/>
  <c r="AL78" i="14"/>
  <c r="U93" i="14"/>
  <c r="AC634" i="34"/>
  <c r="AC129" i="14"/>
  <c r="AG634" i="34"/>
  <c r="AG129" i="14"/>
  <c r="AG137" i="14" s="1"/>
  <c r="R161" i="14"/>
  <c r="BQ209" i="14"/>
  <c r="AW664" i="34" s="1"/>
  <c r="O185" i="14"/>
  <c r="O36" i="1"/>
  <c r="O289" i="1" s="1"/>
  <c r="Z677" i="34"/>
  <c r="BM221" i="14"/>
  <c r="AS677" i="34" s="1"/>
  <c r="AD677" i="34"/>
  <c r="AD32" i="1"/>
  <c r="AD1225" i="34" s="1"/>
  <c r="AT683" i="34"/>
  <c r="BN232" i="14"/>
  <c r="AT684" i="34" s="1"/>
  <c r="AM90" i="1"/>
  <c r="AM1283" i="34" s="1"/>
  <c r="AM1277" i="34"/>
  <c r="AM181" i="1"/>
  <c r="BQ166" i="1"/>
  <c r="BQ131" i="1" s="1"/>
  <c r="AV119" i="34" s="1"/>
  <c r="AN169" i="1"/>
  <c r="AN172" i="1" s="1"/>
  <c r="AO1281" i="34"/>
  <c r="BS92" i="1"/>
  <c r="AX79" i="34" s="1"/>
  <c r="AP271" i="1"/>
  <c r="AP272" i="1" s="1"/>
  <c r="AP273" i="1" s="1"/>
  <c r="AO271" i="1"/>
  <c r="AO266" i="1"/>
  <c r="BR232" i="1"/>
  <c r="AW218" i="34" s="1"/>
  <c r="D11" i="35"/>
  <c r="D22" i="35" s="1"/>
  <c r="Z275" i="34"/>
  <c r="Z15" i="2"/>
  <c r="AP14" i="34"/>
  <c r="N11" i="40"/>
  <c r="O12" i="40" s="1"/>
  <c r="AH523" i="2"/>
  <c r="AP92" i="14"/>
  <c r="AM521" i="2"/>
  <c r="AM757" i="34" s="1"/>
  <c r="AP361" i="2"/>
  <c r="AP968" i="34" s="1"/>
  <c r="AP1217" i="34"/>
  <c r="AH1216" i="34"/>
  <c r="AJ1219" i="34"/>
  <c r="AO1216" i="34"/>
  <c r="AG1216" i="34"/>
  <c r="AL20" i="34"/>
  <c r="X573" i="34"/>
  <c r="AI436" i="2"/>
  <c r="AI1055" i="34" s="1"/>
  <c r="BL205" i="2"/>
  <c r="AB194" i="2"/>
  <c r="AB195" i="2" s="1"/>
  <c r="V519" i="34"/>
  <c r="BL866" i="34"/>
  <c r="AC959" i="34"/>
  <c r="AG396" i="2"/>
  <c r="AG518" i="34"/>
  <c r="R1283" i="34"/>
  <c r="BJ293" i="1"/>
  <c r="AE495" i="2"/>
  <c r="AE732" i="34" s="1"/>
  <c r="AE498" i="2"/>
  <c r="S727" i="34"/>
  <c r="O727" i="34"/>
  <c r="Z172" i="1"/>
  <c r="Z161" i="34" s="1"/>
  <c r="AH189" i="14"/>
  <c r="AH650" i="34" s="1"/>
  <c r="AP1277" i="34"/>
  <c r="R11" i="40"/>
  <c r="M18" i="2"/>
  <c r="BT88" i="1"/>
  <c r="AY75" i="34" s="1"/>
  <c r="BM233" i="14"/>
  <c r="AS685" i="34" s="1"/>
  <c r="BL157" i="1"/>
  <c r="BL162" i="1" s="1"/>
  <c r="BL129" i="1" s="1"/>
  <c r="AQ117" i="34" s="1"/>
  <c r="AP54" i="34"/>
  <c r="M29" i="1"/>
  <c r="M30" i="1" s="1"/>
  <c r="O217" i="34"/>
  <c r="Z258" i="1"/>
  <c r="BC1285" i="34"/>
  <c r="AB368" i="34"/>
  <c r="AC472" i="34"/>
  <c r="U104" i="1"/>
  <c r="U92" i="34" s="1"/>
  <c r="M244" i="34"/>
  <c r="AO267" i="1"/>
  <c r="Z455" i="2"/>
  <c r="Z1115" i="34" s="1"/>
  <c r="BL362" i="2"/>
  <c r="BL969" i="34" s="1"/>
  <c r="X460" i="34"/>
  <c r="AB618" i="2"/>
  <c r="AB862" i="34" s="1"/>
  <c r="BN742" i="34"/>
  <c r="BM181" i="1"/>
  <c r="AR170" i="34" s="1"/>
  <c r="M160" i="14"/>
  <c r="Q161" i="14" s="1"/>
  <c r="AN120" i="1"/>
  <c r="AS28" i="2"/>
  <c r="BI119" i="14"/>
  <c r="AO625" i="34" s="1"/>
  <c r="AD64" i="14"/>
  <c r="AD82" i="14" s="1"/>
  <c r="V185" i="14"/>
  <c r="AI212" i="1"/>
  <c r="W92" i="1"/>
  <c r="AM619" i="2"/>
  <c r="AM863" i="34" s="1"/>
  <c r="AB968" i="34"/>
  <c r="AA488" i="34"/>
  <c r="U530" i="34"/>
  <c r="AF328" i="34"/>
  <c r="AG12" i="2"/>
  <c r="AG257" i="2" s="1"/>
  <c r="U187" i="1"/>
  <c r="U176" i="34" s="1"/>
  <c r="BP177" i="1"/>
  <c r="AU166" i="34" s="1"/>
  <c r="AD272" i="1"/>
  <c r="AD257" i="34" s="1"/>
  <c r="AO222" i="14"/>
  <c r="AO119" i="14" s="1"/>
  <c r="AS119" i="14" s="1"/>
  <c r="AJ160" i="14"/>
  <c r="AM754" i="34"/>
  <c r="AL119" i="2"/>
  <c r="AJ180" i="34"/>
  <c r="AK270" i="1"/>
  <c r="AM195" i="14"/>
  <c r="AN181" i="1"/>
  <c r="AO121" i="2"/>
  <c r="V698" i="34"/>
  <c r="M398" i="2"/>
  <c r="M545" i="34" s="1"/>
  <c r="AB348" i="34"/>
  <c r="AB925" i="34"/>
  <c r="W471" i="34"/>
  <c r="AJ138" i="2"/>
  <c r="AJ140" i="2"/>
  <c r="AA344" i="2"/>
  <c r="AA473" i="34" s="1"/>
  <c r="AE936" i="34"/>
  <c r="U386" i="34"/>
  <c r="Y970" i="34"/>
  <c r="U543" i="34"/>
  <c r="U388" i="2"/>
  <c r="U535" i="34" s="1"/>
  <c r="AC380" i="2"/>
  <c r="AC527" i="34" s="1"/>
  <c r="AZ755" i="34"/>
  <c r="AF173" i="2"/>
  <c r="AF189" i="2" s="1"/>
  <c r="AM419" i="2"/>
  <c r="AM1044" i="34" s="1"/>
  <c r="AP409" i="34"/>
  <c r="AC956" i="34"/>
  <c r="AH475" i="34"/>
  <c r="AF467" i="34"/>
  <c r="S936" i="34"/>
  <c r="X627" i="2"/>
  <c r="AK490" i="2"/>
  <c r="AE205" i="1"/>
  <c r="AI80" i="34"/>
  <c r="AA80" i="34"/>
  <c r="AL76" i="14"/>
  <c r="AL77" i="14"/>
  <c r="AE232" i="1"/>
  <c r="V144" i="34"/>
  <c r="AN131" i="1"/>
  <c r="AD1283" i="34"/>
  <c r="P129" i="1"/>
  <c r="P117" i="34" s="1"/>
  <c r="P151" i="34"/>
  <c r="W124" i="1"/>
  <c r="W112" i="34" s="1"/>
  <c r="AM76" i="14"/>
  <c r="AL419" i="2"/>
  <c r="AL1044" i="34" s="1"/>
  <c r="BJ1112" i="34"/>
  <c r="U272" i="1"/>
  <c r="U273" i="1" s="1"/>
  <c r="U258" i="34" s="1"/>
  <c r="P221" i="1"/>
  <c r="X129" i="14"/>
  <c r="AA28" i="1"/>
  <c r="AA19" i="34" s="1"/>
  <c r="AG28" i="1"/>
  <c r="AG29" i="1" s="1"/>
  <c r="C12" i="35" s="1"/>
  <c r="Z34" i="1"/>
  <c r="Z1227" i="34" s="1"/>
  <c r="AH34" i="1"/>
  <c r="AH25" i="34" s="1"/>
  <c r="X36" i="1"/>
  <c r="P86" i="1"/>
  <c r="P1279" i="34" s="1"/>
  <c r="O1283" i="34"/>
  <c r="S103" i="1"/>
  <c r="T103" i="1" s="1"/>
  <c r="R91" i="34"/>
  <c r="AJ103" i="1"/>
  <c r="AJ91" i="34" s="1"/>
  <c r="AI91" i="34"/>
  <c r="AP140" i="34"/>
  <c r="BL280" i="1"/>
  <c r="AQ265" i="34" s="1"/>
  <c r="BP166" i="1"/>
  <c r="AU155" i="34" s="1"/>
  <c r="AJ131" i="1"/>
  <c r="AJ119" i="34" s="1"/>
  <c r="AI172" i="1"/>
  <c r="AI182" i="1" s="1"/>
  <c r="AI171" i="34" s="1"/>
  <c r="AI158" i="34"/>
  <c r="AD198" i="34"/>
  <c r="AE212" i="1"/>
  <c r="AE198" i="34" s="1"/>
  <c r="AD206" i="34"/>
  <c r="AD248" i="1"/>
  <c r="AD234" i="34" s="1"/>
  <c r="BN396" i="2"/>
  <c r="BN374" i="2"/>
  <c r="AT521" i="34" s="1"/>
  <c r="N565" i="34"/>
  <c r="N1042" i="34"/>
  <c r="AF1044" i="34"/>
  <c r="AF567" i="34"/>
  <c r="AF1045" i="34"/>
  <c r="AF568" i="34"/>
  <c r="Z1047" i="34"/>
  <c r="Z423" i="2"/>
  <c r="Z571" i="34" s="1"/>
  <c r="Z425" i="2"/>
  <c r="Z1050" i="34" s="1"/>
  <c r="X462" i="2"/>
  <c r="X1122" i="34" s="1"/>
  <c r="BL446" i="2"/>
  <c r="AE462" i="2"/>
  <c r="AE1122" i="34" s="1"/>
  <c r="AE457" i="2"/>
  <c r="AE407" i="34" s="1"/>
  <c r="AO396" i="34"/>
  <c r="BI457" i="2"/>
  <c r="P5" i="14"/>
  <c r="Q6" i="14"/>
  <c r="Q5" i="14" s="1"/>
  <c r="P151" i="14"/>
  <c r="AC161" i="14"/>
  <c r="AK93" i="14"/>
  <c r="AJ270" i="1"/>
  <c r="AJ255" i="34" s="1"/>
  <c r="AJ37" i="1"/>
  <c r="BO214" i="14"/>
  <c r="AU670" i="34" s="1"/>
  <c r="AJ670" i="34"/>
  <c r="AC185" i="14"/>
  <c r="AC36" i="1"/>
  <c r="AC27" i="34" s="1"/>
  <c r="Z676" i="34"/>
  <c r="Z28" i="1"/>
  <c r="AD28" i="1"/>
  <c r="AD28" i="14"/>
  <c r="AA677" i="34"/>
  <c r="AA64" i="14"/>
  <c r="AF119" i="14"/>
  <c r="AF625" i="34" s="1"/>
  <c r="AF33" i="1"/>
  <c r="R683" i="34"/>
  <c r="R233" i="14"/>
  <c r="R685" i="34" s="1"/>
  <c r="AI564" i="34"/>
  <c r="AE778" i="34"/>
  <c r="AE106" i="14"/>
  <c r="AI111" i="14" s="1"/>
  <c r="BP231" i="14"/>
  <c r="AV683" i="34" s="1"/>
  <c r="AN233" i="14"/>
  <c r="AN292" i="1"/>
  <c r="BS88" i="1"/>
  <c r="AX75" i="34" s="1"/>
  <c r="BN161" i="14"/>
  <c r="BN169" i="14" s="1"/>
  <c r="BM191" i="1"/>
  <c r="AR180" i="34" s="1"/>
  <c r="AK266" i="1"/>
  <c r="AM396" i="2"/>
  <c r="AQ397" i="2" s="1"/>
  <c r="BR221" i="1"/>
  <c r="AW207" i="34" s="1"/>
  <c r="BR236" i="1"/>
  <c r="AW222" i="34" s="1"/>
  <c r="AP232" i="14"/>
  <c r="AJ158" i="34"/>
  <c r="AJ172" i="1"/>
  <c r="AJ161" i="34" s="1"/>
  <c r="AN86" i="1"/>
  <c r="U1226" i="34"/>
  <c r="U24" i="34"/>
  <c r="V571" i="34"/>
  <c r="E21" i="3"/>
  <c r="E45" i="3" s="1"/>
  <c r="AE248" i="1"/>
  <c r="AE234" i="34" s="1"/>
  <c r="T224" i="14"/>
  <c r="T680" i="34" s="1"/>
  <c r="BM88" i="1"/>
  <c r="AR75" i="34" s="1"/>
  <c r="O5" i="42"/>
  <c r="Z202" i="1"/>
  <c r="Z265" i="1" s="1"/>
  <c r="Z250" i="34" s="1"/>
  <c r="AJ156" i="34"/>
  <c r="AJ181" i="1"/>
  <c r="AJ170" i="34" s="1"/>
  <c r="AK56" i="1"/>
  <c r="AK1249" i="34" s="1"/>
  <c r="BP167" i="1"/>
  <c r="AU156" i="34" s="1"/>
  <c r="X80" i="34"/>
  <c r="BJ248" i="1"/>
  <c r="AO234" i="34" s="1"/>
  <c r="AI223" i="1"/>
  <c r="P205" i="1"/>
  <c r="P191" i="34" s="1"/>
  <c r="S212" i="1"/>
  <c r="S198" i="34" s="1"/>
  <c r="Y86" i="1"/>
  <c r="M75" i="34"/>
  <c r="BK292" i="1"/>
  <c r="T77" i="34"/>
  <c r="Q77" i="34"/>
  <c r="P1249" i="34"/>
  <c r="Y259" i="1"/>
  <c r="Y245" i="34" s="1"/>
  <c r="P181" i="1"/>
  <c r="P170" i="34" s="1"/>
  <c r="U158" i="34"/>
  <c r="W203" i="1"/>
  <c r="W189" i="34" s="1"/>
  <c r="O226" i="1"/>
  <c r="O212" i="34" s="1"/>
  <c r="AQ474" i="2"/>
  <c r="S29" i="1"/>
  <c r="S30" i="1" s="1"/>
  <c r="S21" i="34" s="1"/>
  <c r="BJ203" i="14"/>
  <c r="AP659" i="34" s="1"/>
  <c r="AA68" i="14"/>
  <c r="AA617" i="34" s="1"/>
  <c r="AD258" i="1"/>
  <c r="AD259" i="1" s="1"/>
  <c r="AD245" i="34" s="1"/>
  <c r="AN112" i="34"/>
  <c r="X88" i="1"/>
  <c r="X87" i="1" s="1"/>
  <c r="X74" i="34" s="1"/>
  <c r="BO292" i="1"/>
  <c r="C45" i="3"/>
  <c r="M267" i="1"/>
  <c r="M252" i="34" s="1"/>
  <c r="O144" i="34"/>
  <c r="AB1283" i="34"/>
  <c r="T222" i="1"/>
  <c r="T208" i="34" s="1"/>
  <c r="BO191" i="1"/>
  <c r="AT180" i="34" s="1"/>
  <c r="AK248" i="1"/>
  <c r="AG1227" i="34"/>
  <c r="AJ132" i="1"/>
  <c r="AJ120" i="34" s="1"/>
  <c r="AL1277" i="34"/>
  <c r="O176" i="1"/>
  <c r="O165" i="34" s="1"/>
  <c r="S221" i="1"/>
  <c r="T221" i="1" s="1"/>
  <c r="T207" i="34" s="1"/>
  <c r="O16" i="42"/>
  <c r="O16" i="4"/>
  <c r="O1295" i="34" s="1"/>
  <c r="Z211" i="34"/>
  <c r="AJ79" i="34"/>
  <c r="AU623" i="34"/>
  <c r="AF1221" i="34"/>
  <c r="AF32" i="1"/>
  <c r="S87" i="1"/>
  <c r="S1280" i="34" s="1"/>
  <c r="AD215" i="1"/>
  <c r="AD201" i="34" s="1"/>
  <c r="AK215" i="1"/>
  <c r="BI28" i="14"/>
  <c r="AO604" i="34" s="1"/>
  <c r="AI64" i="14"/>
  <c r="AI69" i="14" s="1"/>
  <c r="AI618" i="34" s="1"/>
  <c r="AO60" i="2"/>
  <c r="AO720" i="34" s="1"/>
  <c r="M18" i="4"/>
  <c r="M1297" i="34" s="1"/>
  <c r="AI176" i="14"/>
  <c r="AI645" i="34" s="1"/>
  <c r="AO27" i="34"/>
  <c r="S19" i="34"/>
  <c r="X214" i="1"/>
  <c r="AC153" i="14"/>
  <c r="AC637" i="34" s="1"/>
  <c r="AD1230" i="34"/>
  <c r="W182" i="1"/>
  <c r="W171" i="34" s="1"/>
  <c r="BJ259" i="1"/>
  <c r="AO245" i="34" s="1"/>
  <c r="AF44" i="34"/>
  <c r="BO90" i="1"/>
  <c r="AC86" i="1"/>
  <c r="AC1279" i="34" s="1"/>
  <c r="AA1285" i="34"/>
  <c r="AU663" i="34"/>
  <c r="AK207" i="1"/>
  <c r="AJ215" i="1"/>
  <c r="AJ201" i="34" s="1"/>
  <c r="AP79" i="34"/>
  <c r="AE1286" i="34"/>
  <c r="BO93" i="1"/>
  <c r="AT80" i="34" s="1"/>
  <c r="Q1283" i="34"/>
  <c r="N1283" i="34"/>
  <c r="O1249" i="34"/>
  <c r="AB44" i="34"/>
  <c r="AP77" i="34"/>
  <c r="AF19" i="34"/>
  <c r="M1229" i="34"/>
  <c r="AC261" i="1"/>
  <c r="AC247" i="34" s="1"/>
  <c r="P240" i="1"/>
  <c r="P226" i="34" s="1"/>
  <c r="AA203" i="1"/>
  <c r="AA189" i="34" s="1"/>
  <c r="R236" i="14"/>
  <c r="R237" i="14" s="1"/>
  <c r="R690" i="34" s="1"/>
  <c r="AF129" i="14"/>
  <c r="O28" i="1"/>
  <c r="O1221" i="34" s="1"/>
  <c r="AI28" i="1"/>
  <c r="AI188" i="1" s="1"/>
  <c r="AI177" i="34" s="1"/>
  <c r="M33" i="1"/>
  <c r="M1226" i="34" s="1"/>
  <c r="U124" i="1"/>
  <c r="U112" i="34" s="1"/>
  <c r="AK292" i="1"/>
  <c r="R282" i="1"/>
  <c r="R267" i="34" s="1"/>
  <c r="Z28" i="14"/>
  <c r="M185" i="14"/>
  <c r="Q187" i="14" s="1"/>
  <c r="Q648" i="34" s="1"/>
  <c r="S74" i="34"/>
  <c r="AL87" i="1"/>
  <c r="AL1280" i="34" s="1"/>
  <c r="AL1279" i="34"/>
  <c r="AE412" i="34"/>
  <c r="W1227" i="34"/>
  <c r="W25" i="34"/>
  <c r="AK104" i="1"/>
  <c r="AK267" i="1"/>
  <c r="AE213" i="1"/>
  <c r="AF213" i="1" s="1"/>
  <c r="AI245" i="14"/>
  <c r="AI248" i="14" s="1"/>
  <c r="AI249" i="14" s="1"/>
  <c r="O12" i="42"/>
  <c r="R133" i="1"/>
  <c r="R121" i="34" s="1"/>
  <c r="AO73" i="34"/>
  <c r="AJ490" i="2"/>
  <c r="AJ591" i="2" s="1"/>
  <c r="AJ830" i="34" s="1"/>
  <c r="BK28" i="1"/>
  <c r="BK130" i="1"/>
  <c r="AP118" i="34" s="1"/>
  <c r="AE28" i="14"/>
  <c r="AE151" i="14"/>
  <c r="BM195" i="14"/>
  <c r="AG1219" i="34"/>
  <c r="AQ1279" i="34"/>
  <c r="M12" i="4"/>
  <c r="M1291" i="34" s="1"/>
  <c r="AO262" i="1"/>
  <c r="BI187" i="14"/>
  <c r="AO648" i="34" s="1"/>
  <c r="S226" i="34"/>
  <c r="AP93" i="14"/>
  <c r="AP103" i="14" s="1"/>
  <c r="Z182" i="1"/>
  <c r="Z171" i="34" s="1"/>
  <c r="BJ289" i="1"/>
  <c r="W75" i="34"/>
  <c r="AO261" i="1"/>
  <c r="AG477" i="2"/>
  <c r="AG422" i="34" s="1"/>
  <c r="AT158" i="34"/>
  <c r="AA123" i="14"/>
  <c r="AA629" i="34" s="1"/>
  <c r="N69" i="14"/>
  <c r="N618" i="34" s="1"/>
  <c r="BI189" i="14"/>
  <c r="AO650" i="34" s="1"/>
  <c r="R226" i="1"/>
  <c r="R212" i="34" s="1"/>
  <c r="U1283" i="34"/>
  <c r="AD28" i="34"/>
  <c r="AA217" i="34"/>
  <c r="AH265" i="1"/>
  <c r="AH250" i="34" s="1"/>
  <c r="AT155" i="34"/>
  <c r="BU92" i="1"/>
  <c r="P1227" i="34"/>
  <c r="M261" i="1"/>
  <c r="M247" i="34" s="1"/>
  <c r="BM224" i="1"/>
  <c r="AR210" i="34" s="1"/>
  <c r="BN181" i="1"/>
  <c r="AS170" i="34" s="1"/>
  <c r="BK157" i="1"/>
  <c r="AP144" i="34" s="1"/>
  <c r="AG88" i="1"/>
  <c r="AG87" i="1" s="1"/>
  <c r="T1249" i="34"/>
  <c r="AW79" i="34"/>
  <c r="AE190" i="14"/>
  <c r="AE651" i="34" s="1"/>
  <c r="AE755" i="34"/>
  <c r="X23" i="34"/>
  <c r="T19" i="34"/>
  <c r="BQ84" i="1"/>
  <c r="AV71" i="34" s="1"/>
  <c r="BL842" i="34"/>
  <c r="AF604" i="2"/>
  <c r="AJ165" i="34"/>
  <c r="AB80" i="34"/>
  <c r="AD80" i="34"/>
  <c r="R158" i="34"/>
  <c r="AL19" i="34"/>
  <c r="X92" i="1"/>
  <c r="BM92" i="1" s="1"/>
  <c r="AR79" i="34" s="1"/>
  <c r="AG158" i="34"/>
  <c r="S232" i="1"/>
  <c r="AA232" i="1"/>
  <c r="AB232" i="1" s="1"/>
  <c r="AB218" i="34" s="1"/>
  <c r="AF212" i="1"/>
  <c r="AF198" i="34" s="1"/>
  <c r="AE172" i="1"/>
  <c r="AE161" i="34" s="1"/>
  <c r="AQ79" i="34"/>
  <c r="BN233" i="1"/>
  <c r="AS219" i="34" s="1"/>
  <c r="BI248" i="1"/>
  <c r="AN234" i="34" s="1"/>
  <c r="AH91" i="34"/>
  <c r="AH44" i="34"/>
  <c r="AJ1285" i="34"/>
  <c r="AA86" i="1"/>
  <c r="AA73" i="34" s="1"/>
  <c r="S144" i="34"/>
  <c r="X44" i="34"/>
  <c r="X1283" i="34"/>
  <c r="U129" i="14"/>
  <c r="X1121" i="34"/>
  <c r="AD999" i="34"/>
  <c r="BH293" i="1"/>
  <c r="Z19" i="34"/>
  <c r="AI236" i="1"/>
  <c r="BO233" i="14"/>
  <c r="AU685" i="34" s="1"/>
  <c r="BO232" i="14"/>
  <c r="AU684" i="34" s="1"/>
  <c r="N224" i="14"/>
  <c r="N680" i="34" s="1"/>
  <c r="T129" i="14"/>
  <c r="R28" i="1"/>
  <c r="R1221" i="34" s="1"/>
  <c r="X28" i="1"/>
  <c r="AH28" i="1"/>
  <c r="BJ28" i="1"/>
  <c r="AO19" i="34" s="1"/>
  <c r="W32" i="1"/>
  <c r="W23" i="34" s="1"/>
  <c r="AA32" i="1"/>
  <c r="AI32" i="1"/>
  <c r="AI23" i="34" s="1"/>
  <c r="N34" i="1"/>
  <c r="AD34" i="1"/>
  <c r="AD1227" i="34" s="1"/>
  <c r="AI34" i="1"/>
  <c r="Q36" i="1"/>
  <c r="AA36" i="1"/>
  <c r="AI36" i="1"/>
  <c r="AI293" i="1" s="1"/>
  <c r="BG32" i="1"/>
  <c r="AL23" i="34" s="1"/>
  <c r="BJ33" i="1"/>
  <c r="AO24" i="34" s="1"/>
  <c r="AI42" i="2"/>
  <c r="AE42" i="2" s="1"/>
  <c r="AE704" i="34" s="1"/>
  <c r="T424" i="2"/>
  <c r="T572" i="34" s="1"/>
  <c r="AI151" i="14"/>
  <c r="AI155" i="14" s="1"/>
  <c r="AI639" i="34" s="1"/>
  <c r="AD679" i="34"/>
  <c r="AM625" i="34"/>
  <c r="BG121" i="14"/>
  <c r="AM627" i="34" s="1"/>
  <c r="M679" i="34"/>
  <c r="AG1285" i="34"/>
  <c r="AI1285" i="34"/>
  <c r="X33" i="14"/>
  <c r="X607" i="34" s="1"/>
  <c r="AL1283" i="34"/>
  <c r="AA18" i="2"/>
  <c r="AE92" i="1"/>
  <c r="Y260" i="1"/>
  <c r="Y246" i="34" s="1"/>
  <c r="P28" i="14"/>
  <c r="P29" i="14" s="1"/>
  <c r="M119" i="14"/>
  <c r="T33" i="14"/>
  <c r="T607" i="34" s="1"/>
  <c r="BP201" i="1"/>
  <c r="AU187" i="34" s="1"/>
  <c r="BN93" i="2"/>
  <c r="R573" i="34"/>
  <c r="AE104" i="1"/>
  <c r="AE92" i="34" s="1"/>
  <c r="M151" i="14"/>
  <c r="P200" i="34"/>
  <c r="T31" i="14"/>
  <c r="T605" i="34" s="1"/>
  <c r="AD615" i="34"/>
  <c r="AO28" i="14"/>
  <c r="AO42" i="14"/>
  <c r="AO51" i="14" s="1"/>
  <c r="AA218" i="34"/>
  <c r="P75" i="34"/>
  <c r="AA1230" i="34"/>
  <c r="P1221" i="34"/>
  <c r="AB88" i="1"/>
  <c r="AB1281" i="34" s="1"/>
  <c r="AI31" i="14"/>
  <c r="AI605" i="34" s="1"/>
  <c r="BN195" i="14"/>
  <c r="AL42" i="14"/>
  <c r="AL51" i="14" s="1"/>
  <c r="AO67" i="2"/>
  <c r="AG79" i="34"/>
  <c r="AE206" i="34"/>
  <c r="AE216" i="34"/>
  <c r="U32" i="14"/>
  <c r="U606" i="34" s="1"/>
  <c r="AD248" i="14"/>
  <c r="AD249" i="14" s="1"/>
  <c r="S187" i="1"/>
  <c r="S176" i="34" s="1"/>
  <c r="AB1286" i="34"/>
  <c r="AI1286" i="34"/>
  <c r="AE197" i="34"/>
  <c r="N1279" i="34"/>
  <c r="S203" i="1"/>
  <c r="S189" i="34" s="1"/>
  <c r="V210" i="34"/>
  <c r="S124" i="1"/>
  <c r="S112" i="34" s="1"/>
  <c r="X1279" i="34"/>
  <c r="BM56" i="1"/>
  <c r="AR44" i="34" s="1"/>
  <c r="BK131" i="1"/>
  <c r="AP119" i="34" s="1"/>
  <c r="AC19" i="34"/>
  <c r="P19" i="34"/>
  <c r="M293" i="1"/>
  <c r="AJ1276" i="34"/>
  <c r="AJ1281" i="34"/>
  <c r="Q124" i="1"/>
  <c r="Q125" i="1" s="1"/>
  <c r="Q113" i="34" s="1"/>
  <c r="O28" i="14"/>
  <c r="S31" i="14" s="1"/>
  <c r="S605" i="34" s="1"/>
  <c r="AC28" i="14"/>
  <c r="U64" i="14"/>
  <c r="BG64" i="14"/>
  <c r="AM615" i="34" s="1"/>
  <c r="AF93" i="14"/>
  <c r="P119" i="14"/>
  <c r="Z151" i="14"/>
  <c r="AD153" i="14" s="1"/>
  <c r="AD637" i="34" s="1"/>
  <c r="V161" i="14"/>
  <c r="AO673" i="34"/>
  <c r="N12" i="42"/>
  <c r="AO151" i="34"/>
  <c r="BJ129" i="1"/>
  <c r="AO117" i="34" s="1"/>
  <c r="AA161" i="34"/>
  <c r="AA182" i="1"/>
  <c r="AA171" i="34" s="1"/>
  <c r="BM221" i="1"/>
  <c r="AR207" i="34" s="1"/>
  <c r="W119" i="1"/>
  <c r="W107" i="34" s="1"/>
  <c r="W226" i="1"/>
  <c r="W212" i="34" s="1"/>
  <c r="W207" i="34"/>
  <c r="X161" i="34"/>
  <c r="X182" i="1"/>
  <c r="X171" i="34" s="1"/>
  <c r="AS154" i="1"/>
  <c r="AT154" i="1" s="1"/>
  <c r="AU154" i="1" s="1"/>
  <c r="AV154" i="1" s="1"/>
  <c r="AW154" i="1" s="1"/>
  <c r="AX154" i="1" s="1"/>
  <c r="AY154" i="1" s="1"/>
  <c r="AZ154" i="1" s="1"/>
  <c r="BR154" i="1"/>
  <c r="AW141" i="34" s="1"/>
  <c r="Q112" i="34"/>
  <c r="U161" i="34"/>
  <c r="U182" i="1"/>
  <c r="Q8" i="42"/>
  <c r="Q5" i="42" s="1"/>
  <c r="P5" i="42"/>
  <c r="BO211" i="1"/>
  <c r="AT197" i="34" s="1"/>
  <c r="AF197" i="34"/>
  <c r="BP131" i="1"/>
  <c r="AU119" i="34" s="1"/>
  <c r="AA211" i="34"/>
  <c r="AB225" i="1"/>
  <c r="BK231" i="1"/>
  <c r="AP217" i="34" s="1"/>
  <c r="P217" i="34"/>
  <c r="BM94" i="1"/>
  <c r="AR81" i="34" s="1"/>
  <c r="AN32" i="1"/>
  <c r="AN1225" i="34" s="1"/>
  <c r="X211" i="1"/>
  <c r="X197" i="34" s="1"/>
  <c r="AE210" i="34"/>
  <c r="BK86" i="1"/>
  <c r="AP73" i="34" s="1"/>
  <c r="O86" i="1"/>
  <c r="O73" i="34" s="1"/>
  <c r="T86" i="1"/>
  <c r="T73" i="34" s="1"/>
  <c r="AH199" i="34"/>
  <c r="AH200" i="34"/>
  <c r="V207" i="34"/>
  <c r="N71" i="14"/>
  <c r="N620" i="34" s="1"/>
  <c r="AB676" i="34"/>
  <c r="AH676" i="34"/>
  <c r="BF224" i="14"/>
  <c r="AL680" i="34" s="1"/>
  <c r="X158" i="34"/>
  <c r="AA158" i="34"/>
  <c r="AO158" i="34"/>
  <c r="O673" i="34"/>
  <c r="Y173" i="2"/>
  <c r="Y189" i="2" s="1"/>
  <c r="Q26" i="2"/>
  <c r="BR206" i="1"/>
  <c r="AW192" i="34" s="1"/>
  <c r="AE189" i="34"/>
  <c r="AB33" i="14"/>
  <c r="AB607" i="34" s="1"/>
  <c r="W230" i="1"/>
  <c r="AK132" i="1"/>
  <c r="AK226" i="1"/>
  <c r="AK161" i="14"/>
  <c r="AK169" i="14" s="1"/>
  <c r="AG1212" i="34"/>
  <c r="R6" i="14"/>
  <c r="O129" i="1"/>
  <c r="Z79" i="34"/>
  <c r="BK272" i="1"/>
  <c r="AH182" i="1"/>
  <c r="AH171" i="34" s="1"/>
  <c r="BU73" i="14"/>
  <c r="BU75" i="14" s="1"/>
  <c r="AO37" i="1"/>
  <c r="AO1230" i="34" s="1"/>
  <c r="AE244" i="34"/>
  <c r="BK224" i="1"/>
  <c r="AP210" i="34" s="1"/>
  <c r="T205" i="1"/>
  <c r="T191" i="34" s="1"/>
  <c r="AQ663" i="34"/>
  <c r="X223" i="1"/>
  <c r="BO224" i="1"/>
  <c r="AT210" i="34" s="1"/>
  <c r="W1285" i="34"/>
  <c r="BM231" i="1"/>
  <c r="AR217" i="34" s="1"/>
  <c r="S182" i="1"/>
  <c r="S171" i="34" s="1"/>
  <c r="AN248" i="1"/>
  <c r="BQ221" i="1"/>
  <c r="AV207" i="34" s="1"/>
  <c r="Z1221" i="34"/>
  <c r="AH1228" i="34"/>
  <c r="T1221" i="34"/>
  <c r="BQ233" i="1"/>
  <c r="AV219" i="34" s="1"/>
  <c r="S191" i="1"/>
  <c r="S180" i="34" s="1"/>
  <c r="BS94" i="1"/>
  <c r="AX81" i="34" s="1"/>
  <c r="P165" i="34"/>
  <c r="AG107" i="2"/>
  <c r="AG497" i="34" s="1"/>
  <c r="T1228" i="34"/>
  <c r="Z25" i="34"/>
  <c r="BM281" i="1"/>
  <c r="AR266" i="34" s="1"/>
  <c r="W282" i="1"/>
  <c r="W267" i="34" s="1"/>
  <c r="AC244" i="34"/>
  <c r="BI104" i="1"/>
  <c r="AN92" i="34" s="1"/>
  <c r="AG250" i="34"/>
  <c r="BV87" i="1"/>
  <c r="BW87" i="1" s="1"/>
  <c r="BX87" i="1" s="1"/>
  <c r="BY87" i="1" s="1"/>
  <c r="BZ87" i="1" s="1"/>
  <c r="AO77" i="34"/>
  <c r="U1249" i="34"/>
  <c r="AA1249" i="34"/>
  <c r="AD77" i="34"/>
  <c r="R75" i="34"/>
  <c r="AO144" i="34"/>
  <c r="W158" i="34"/>
  <c r="Q26" i="34"/>
  <c r="S24" i="34"/>
  <c r="M1230" i="34"/>
  <c r="AC259" i="1"/>
  <c r="AC245" i="34" s="1"/>
  <c r="AH258" i="1"/>
  <c r="AH259" i="1" s="1"/>
  <c r="AH245" i="34" s="1"/>
  <c r="AD206" i="1"/>
  <c r="BK176" i="1"/>
  <c r="BK56" i="1"/>
  <c r="AP44" i="34" s="1"/>
  <c r="BN187" i="1"/>
  <c r="AS176" i="34" s="1"/>
  <c r="AK181" i="1"/>
  <c r="AK182" i="1" s="1"/>
  <c r="BL270" i="1"/>
  <c r="U282" i="1"/>
  <c r="U267" i="34" s="1"/>
  <c r="N28" i="14"/>
  <c r="N604" i="34" s="1"/>
  <c r="V28" i="14"/>
  <c r="V32" i="14" s="1"/>
  <c r="V606" i="34" s="1"/>
  <c r="AI56" i="14"/>
  <c r="Z64" i="14"/>
  <c r="Z248" i="14" s="1"/>
  <c r="Z249" i="14" s="1"/>
  <c r="BQ77" i="14"/>
  <c r="X93" i="14"/>
  <c r="AI93" i="14"/>
  <c r="AI103" i="14" s="1"/>
  <c r="AN133" i="14"/>
  <c r="AG151" i="14"/>
  <c r="BG185" i="14"/>
  <c r="AJ220" i="14"/>
  <c r="BJ217" i="14"/>
  <c r="AP673" i="34" s="1"/>
  <c r="BN233" i="14"/>
  <c r="AT685" i="34" s="1"/>
  <c r="AB101" i="1"/>
  <c r="AB89" i="34" s="1"/>
  <c r="AB190" i="14"/>
  <c r="AB651" i="34" s="1"/>
  <c r="AB646" i="34"/>
  <c r="AB188" i="14"/>
  <c r="AB649" i="34" s="1"/>
  <c r="AB203" i="1"/>
  <c r="AB189" i="34" s="1"/>
  <c r="AJ71" i="34"/>
  <c r="AJ90" i="1"/>
  <c r="AJ1277" i="34"/>
  <c r="N75" i="34"/>
  <c r="N87" i="1"/>
  <c r="U75" i="34"/>
  <c r="U1281" i="34"/>
  <c r="BN191" i="1"/>
  <c r="AS180" i="34" s="1"/>
  <c r="AS157" i="34"/>
  <c r="BN132" i="1"/>
  <c r="AS120" i="34" s="1"/>
  <c r="R176" i="1"/>
  <c r="R180" i="1" s="1"/>
  <c r="Q165" i="34"/>
  <c r="AD211" i="34"/>
  <c r="AE225" i="1"/>
  <c r="R219" i="34"/>
  <c r="S233" i="1"/>
  <c r="S219" i="34" s="1"/>
  <c r="AH216" i="34"/>
  <c r="AI230" i="1"/>
  <c r="BP230" i="1" s="1"/>
  <c r="AU216" i="34" s="1"/>
  <c r="AK98" i="14"/>
  <c r="AN98" i="14" s="1"/>
  <c r="AN96" i="14"/>
  <c r="W634" i="34"/>
  <c r="W129" i="14"/>
  <c r="AA129" i="14"/>
  <c r="AH32" i="1"/>
  <c r="AH224" i="14"/>
  <c r="AH680" i="34" s="1"/>
  <c r="AH677" i="34"/>
  <c r="AH64" i="14"/>
  <c r="R679" i="34"/>
  <c r="R151" i="14"/>
  <c r="V153" i="14" s="1"/>
  <c r="V637" i="34" s="1"/>
  <c r="X679" i="34"/>
  <c r="X151" i="14"/>
  <c r="Y156" i="14" s="1"/>
  <c r="Y640" i="34" s="1"/>
  <c r="X34" i="1"/>
  <c r="R273" i="1"/>
  <c r="R258" i="34" s="1"/>
  <c r="Q75" i="34"/>
  <c r="R12" i="40"/>
  <c r="Z273" i="1"/>
  <c r="Z258" i="34" s="1"/>
  <c r="Z257" i="34"/>
  <c r="BK223" i="14"/>
  <c r="AQ679" i="34" s="1"/>
  <c r="AI26" i="34"/>
  <c r="O27" i="34"/>
  <c r="AC1249" i="34"/>
  <c r="AC44" i="34"/>
  <c r="AG1249" i="34"/>
  <c r="BP56" i="1"/>
  <c r="AU44" i="34" s="1"/>
  <c r="AG44" i="34"/>
  <c r="BQ58" i="1"/>
  <c r="AV46" i="34" s="1"/>
  <c r="AL56" i="1"/>
  <c r="AL1251" i="34"/>
  <c r="AQ142" i="34"/>
  <c r="BL187" i="1"/>
  <c r="AQ176" i="34" s="1"/>
  <c r="BP159" i="1"/>
  <c r="BP263" i="1" s="1"/>
  <c r="AJ148" i="34"/>
  <c r="AK271" i="1"/>
  <c r="AP157" i="34"/>
  <c r="BK169" i="1"/>
  <c r="AA209" i="34"/>
  <c r="AB223" i="1"/>
  <c r="S231" i="1"/>
  <c r="R217" i="34"/>
  <c r="AG260" i="1"/>
  <c r="AG246" i="34" s="1"/>
  <c r="AG261" i="1"/>
  <c r="AG247" i="34" s="1"/>
  <c r="AG259" i="1"/>
  <c r="AG245" i="34" s="1"/>
  <c r="AG244" i="34"/>
  <c r="AG267" i="1"/>
  <c r="AG252" i="34" s="1"/>
  <c r="R634" i="34"/>
  <c r="V129" i="14"/>
  <c r="R129" i="14"/>
  <c r="Y185" i="14"/>
  <c r="AC187" i="14" s="1"/>
  <c r="AC648" i="34" s="1"/>
  <c r="Y673" i="34"/>
  <c r="AF673" i="34"/>
  <c r="AF36" i="1"/>
  <c r="AF289" i="1" s="1"/>
  <c r="AE64" i="14"/>
  <c r="AF69" i="14" s="1"/>
  <c r="AF618" i="34" s="1"/>
  <c r="AE677" i="34"/>
  <c r="BI151" i="14"/>
  <c r="AO635" i="34" s="1"/>
  <c r="BI224" i="14"/>
  <c r="AO680" i="34" s="1"/>
  <c r="BJ34" i="1"/>
  <c r="Q683" i="34"/>
  <c r="R234" i="14"/>
  <c r="R686" i="34" s="1"/>
  <c r="Q195" i="14"/>
  <c r="U233" i="14"/>
  <c r="U685" i="34" s="1"/>
  <c r="R232" i="14"/>
  <c r="R684" i="34" s="1"/>
  <c r="Q236" i="14"/>
  <c r="AP233" i="14"/>
  <c r="AL229" i="14"/>
  <c r="AM230" i="14" s="1"/>
  <c r="AY623" i="34"/>
  <c r="AB307" i="2"/>
  <c r="AB441" i="34" s="1"/>
  <c r="AE1228" i="34"/>
  <c r="V272" i="1"/>
  <c r="BU94" i="1"/>
  <c r="AZ81" i="34" s="1"/>
  <c r="U34" i="14"/>
  <c r="U608" i="34" s="1"/>
  <c r="AI120" i="1"/>
  <c r="AI108" i="34" s="1"/>
  <c r="AH192" i="34"/>
  <c r="N5" i="14"/>
  <c r="X212" i="1"/>
  <c r="BM212" i="1" s="1"/>
  <c r="AR198" i="34" s="1"/>
  <c r="W198" i="34"/>
  <c r="AM248" i="1"/>
  <c r="AM258" i="1"/>
  <c r="AU165" i="34"/>
  <c r="BP181" i="1"/>
  <c r="AU170" i="34" s="1"/>
  <c r="AD91" i="34"/>
  <c r="BR102" i="14"/>
  <c r="AW623" i="34"/>
  <c r="V112" i="34"/>
  <c r="V125" i="1"/>
  <c r="V113" i="34" s="1"/>
  <c r="P161" i="34"/>
  <c r="AI1228" i="34"/>
  <c r="T282" i="1"/>
  <c r="T267" i="34" s="1"/>
  <c r="T266" i="34"/>
  <c r="AB220" i="1"/>
  <c r="AA206" i="34"/>
  <c r="W248" i="1"/>
  <c r="W234" i="34" s="1"/>
  <c r="W258" i="1"/>
  <c r="W267" i="1" s="1"/>
  <c r="W252" i="34" s="1"/>
  <c r="AN265" i="1"/>
  <c r="AN274" i="1" s="1"/>
  <c r="AL215" i="1"/>
  <c r="R191" i="1"/>
  <c r="R180" i="34" s="1"/>
  <c r="V191" i="1"/>
  <c r="V180" i="34" s="1"/>
  <c r="V187" i="1"/>
  <c r="V176" i="34" s="1"/>
  <c r="AI180" i="34"/>
  <c r="AI176" i="34"/>
  <c r="AG490" i="2"/>
  <c r="AK491" i="2" s="1"/>
  <c r="AL490" i="2"/>
  <c r="AI107" i="2"/>
  <c r="AI109" i="2" s="1"/>
  <c r="AI975" i="34" s="1"/>
  <c r="Z472" i="2"/>
  <c r="Z478" i="2" s="1"/>
  <c r="Z423" i="34" s="1"/>
  <c r="AD472" i="2"/>
  <c r="AH477" i="2" s="1"/>
  <c r="AH422" i="34" s="1"/>
  <c r="Y36" i="1"/>
  <c r="R1249" i="34"/>
  <c r="R44" i="34"/>
  <c r="Y77" i="34"/>
  <c r="Y1283" i="34"/>
  <c r="Z86" i="1"/>
  <c r="AC1283" i="34"/>
  <c r="AD86" i="1"/>
  <c r="AG1283" i="34"/>
  <c r="AH86" i="1"/>
  <c r="AH1279" i="34" s="1"/>
  <c r="BP156" i="1"/>
  <c r="AU143" i="34" s="1"/>
  <c r="AJ143" i="34"/>
  <c r="AQ140" i="34"/>
  <c r="BL279" i="1"/>
  <c r="AQ264" i="34" s="1"/>
  <c r="AL132" i="1"/>
  <c r="AQ167" i="34"/>
  <c r="BL181" i="1"/>
  <c r="AQ170" i="34" s="1"/>
  <c r="AD170" i="34"/>
  <c r="AJ265" i="1"/>
  <c r="AJ274" i="1" s="1"/>
  <c r="AJ207" i="1"/>
  <c r="AJ193" i="34" s="1"/>
  <c r="AJ188" i="34"/>
  <c r="AH189" i="34"/>
  <c r="AI203" i="1"/>
  <c r="AJ190" i="34"/>
  <c r="BP204" i="1"/>
  <c r="AU190" i="34" s="1"/>
  <c r="Z191" i="34"/>
  <c r="AA205" i="1"/>
  <c r="M193" i="34"/>
  <c r="M216" i="1"/>
  <c r="O199" i="34"/>
  <c r="P213" i="1"/>
  <c r="S213" i="1"/>
  <c r="R199" i="34"/>
  <c r="Z199" i="34"/>
  <c r="AA213" i="1"/>
  <c r="AE199" i="34"/>
  <c r="AJ198" i="34"/>
  <c r="O119" i="1"/>
  <c r="O107" i="34" s="1"/>
  <c r="P222" i="1"/>
  <c r="O208" i="34"/>
  <c r="R258" i="1"/>
  <c r="V262" i="1" s="1"/>
  <c r="V248" i="34" s="1"/>
  <c r="S220" i="1"/>
  <c r="S206" i="34" s="1"/>
  <c r="R206" i="34"/>
  <c r="R210" i="34"/>
  <c r="R119" i="1"/>
  <c r="R107" i="34" s="1"/>
  <c r="S224" i="1"/>
  <c r="Z207" i="34"/>
  <c r="AA221" i="1"/>
  <c r="AJ206" i="34"/>
  <c r="AJ226" i="1"/>
  <c r="AJ212" i="34" s="1"/>
  <c r="AJ258" i="1"/>
  <c r="V208" i="34"/>
  <c r="BM222" i="1"/>
  <c r="V226" i="1"/>
  <c r="V212" i="34" s="1"/>
  <c r="V119" i="1"/>
  <c r="V107" i="34" s="1"/>
  <c r="AJ208" i="34"/>
  <c r="AJ119" i="1"/>
  <c r="AJ107" i="34" s="1"/>
  <c r="N104" i="1"/>
  <c r="N92" i="34" s="1"/>
  <c r="N261" i="1"/>
  <c r="N247" i="34" s="1"/>
  <c r="N244" i="34"/>
  <c r="AO265" i="34"/>
  <c r="BJ282" i="1"/>
  <c r="AO267" i="34" s="1"/>
  <c r="Q266" i="34"/>
  <c r="BL281" i="1"/>
  <c r="U327" i="34"/>
  <c r="U804" i="34"/>
  <c r="AC368" i="34"/>
  <c r="Y627" i="2"/>
  <c r="AJ877" i="34"/>
  <c r="AJ633" i="2"/>
  <c r="AJ878" i="34" s="1"/>
  <c r="AJ634" i="2"/>
  <c r="AJ879" i="34" s="1"/>
  <c r="AB936" i="34"/>
  <c r="AB459" i="34"/>
  <c r="AF996" i="34"/>
  <c r="AF519" i="34"/>
  <c r="U604" i="34"/>
  <c r="Y42" i="14"/>
  <c r="AG42" i="14"/>
  <c r="AG51" i="14" s="1"/>
  <c r="AE634" i="34"/>
  <c r="AE129" i="14"/>
  <c r="AH634" i="34"/>
  <c r="AH129" i="14"/>
  <c r="AH137" i="14" s="1"/>
  <c r="BM92" i="14"/>
  <c r="AS661" i="34"/>
  <c r="BM203" i="14"/>
  <c r="AS659" i="34" s="1"/>
  <c r="AB677" i="34"/>
  <c r="AB64" i="14"/>
  <c r="AF70" i="14" s="1"/>
  <c r="AF619" i="34" s="1"/>
  <c r="AB32" i="1"/>
  <c r="X678" i="34"/>
  <c r="X119" i="14"/>
  <c r="X33" i="1"/>
  <c r="X39" i="1" s="1"/>
  <c r="AB678" i="34"/>
  <c r="AB33" i="1"/>
  <c r="BH28" i="14"/>
  <c r="AN676" i="34"/>
  <c r="BI28" i="1"/>
  <c r="AN677" i="34"/>
  <c r="BH64" i="14"/>
  <c r="BI32" i="1"/>
  <c r="AN23" i="34" s="1"/>
  <c r="AM678" i="34"/>
  <c r="BG224" i="14"/>
  <c r="AM680" i="34" s="1"/>
  <c r="BH33" i="1"/>
  <c r="AM24" i="34" s="1"/>
  <c r="O8" i="4"/>
  <c r="N5" i="4"/>
  <c r="Q8" i="40"/>
  <c r="P5" i="40"/>
  <c r="BP103" i="1"/>
  <c r="S72" i="42" s="1"/>
  <c r="S15" i="42" s="1"/>
  <c r="V29" i="1"/>
  <c r="V1221" i="34"/>
  <c r="V188" i="1"/>
  <c r="V177" i="34" s="1"/>
  <c r="AG19" i="34"/>
  <c r="M117" i="34"/>
  <c r="M133" i="1"/>
  <c r="M121" i="34" s="1"/>
  <c r="AB625" i="34"/>
  <c r="AB122" i="14"/>
  <c r="AB628" i="34" s="1"/>
  <c r="Z634" i="34"/>
  <c r="AD129" i="14"/>
  <c r="Z129" i="14"/>
  <c r="AI646" i="34"/>
  <c r="AI188" i="14"/>
  <c r="AI649" i="34" s="1"/>
  <c r="AI101" i="1"/>
  <c r="AI89" i="34" s="1"/>
  <c r="AI190" i="14"/>
  <c r="AI651" i="34" s="1"/>
  <c r="W615" i="34"/>
  <c r="N678" i="34"/>
  <c r="N119" i="14"/>
  <c r="N33" i="1"/>
  <c r="BJ222" i="14"/>
  <c r="AP678" i="34" s="1"/>
  <c r="AA151" i="14"/>
  <c r="AA34" i="1"/>
  <c r="AP129" i="14"/>
  <c r="AP137" i="14" s="1"/>
  <c r="T635" i="34"/>
  <c r="S11" i="40"/>
  <c r="AI206" i="1"/>
  <c r="AI192" i="34" s="1"/>
  <c r="AD260" i="1"/>
  <c r="AD246" i="34" s="1"/>
  <c r="AB124" i="14"/>
  <c r="AB630" i="34" s="1"/>
  <c r="AH234" i="1"/>
  <c r="AH220" i="34" s="1"/>
  <c r="AE208" i="34"/>
  <c r="AF222" i="1"/>
  <c r="AF208" i="34" s="1"/>
  <c r="S129" i="1"/>
  <c r="S117" i="34" s="1"/>
  <c r="S151" i="34"/>
  <c r="S183" i="1"/>
  <c r="S172" i="34" s="1"/>
  <c r="W1228" i="34"/>
  <c r="W26" i="34"/>
  <c r="Y1249" i="34"/>
  <c r="Y44" i="34"/>
  <c r="AL77" i="34"/>
  <c r="BH86" i="1"/>
  <c r="BH87" i="1" s="1"/>
  <c r="AM74" i="34" s="1"/>
  <c r="M112" i="34"/>
  <c r="M125" i="1"/>
  <c r="M113" i="34" s="1"/>
  <c r="V129" i="1"/>
  <c r="BM131" i="1"/>
  <c r="AR119" i="34" s="1"/>
  <c r="AR155" i="34"/>
  <c r="BT119" i="1"/>
  <c r="AY107" i="34" s="1"/>
  <c r="AY208" i="34"/>
  <c r="AH222" i="1"/>
  <c r="AH208" i="34" s="1"/>
  <c r="AG119" i="1"/>
  <c r="AG107" i="34" s="1"/>
  <c r="Y255" i="34"/>
  <c r="Y272" i="1"/>
  <c r="Y257" i="34" s="1"/>
  <c r="W1116" i="34"/>
  <c r="W406" i="34"/>
  <c r="AC68" i="14"/>
  <c r="AC617" i="34" s="1"/>
  <c r="AB36" i="1"/>
  <c r="AB289" i="1" s="1"/>
  <c r="AB673" i="34"/>
  <c r="M677" i="34"/>
  <c r="M32" i="1"/>
  <c r="M23" i="34" s="1"/>
  <c r="M224" i="14"/>
  <c r="M680" i="34" s="1"/>
  <c r="AH678" i="34"/>
  <c r="AH119" i="14"/>
  <c r="AH625" i="34" s="1"/>
  <c r="AH33" i="1"/>
  <c r="BT77" i="14"/>
  <c r="BT102" i="14"/>
  <c r="AU14" i="34"/>
  <c r="AB439" i="34"/>
  <c r="S289" i="1"/>
  <c r="AG272" i="1"/>
  <c r="S272" i="1"/>
  <c r="AF206" i="34"/>
  <c r="AF258" i="1"/>
  <c r="BK203" i="14"/>
  <c r="AQ659" i="34" s="1"/>
  <c r="AS532" i="34"/>
  <c r="AQ144" i="34"/>
  <c r="AA70" i="14"/>
  <c r="AA619" i="34" s="1"/>
  <c r="Z154" i="14"/>
  <c r="Z638" i="34" s="1"/>
  <c r="P6" i="34"/>
  <c r="T34" i="1"/>
  <c r="T25" i="34" s="1"/>
  <c r="T679" i="34"/>
  <c r="AP668" i="34"/>
  <c r="AE224" i="14"/>
  <c r="AE680" i="34" s="1"/>
  <c r="BM280" i="1"/>
  <c r="AR265" i="34" s="1"/>
  <c r="AK260" i="1"/>
  <c r="AK261" i="1"/>
  <c r="AK262" i="1"/>
  <c r="AJ271" i="1"/>
  <c r="R124" i="1"/>
  <c r="X233" i="1"/>
  <c r="AE200" i="34"/>
  <c r="X236" i="1"/>
  <c r="X222" i="34" s="1"/>
  <c r="Y161" i="34"/>
  <c r="Y182" i="1"/>
  <c r="Y171" i="34" s="1"/>
  <c r="BK132" i="1"/>
  <c r="AP120" i="34" s="1"/>
  <c r="O265" i="1"/>
  <c r="V244" i="34"/>
  <c r="V259" i="1"/>
  <c r="V245" i="34" s="1"/>
  <c r="V260" i="1"/>
  <c r="V246" i="34" s="1"/>
  <c r="AT165" i="34"/>
  <c r="BO181" i="1"/>
  <c r="V1249" i="34"/>
  <c r="AG77" i="34"/>
  <c r="Q282" i="1"/>
  <c r="Q267" i="34" s="1"/>
  <c r="BU209" i="14"/>
  <c r="O1229" i="34"/>
  <c r="AI27" i="34"/>
  <c r="P1230" i="34"/>
  <c r="P202" i="1"/>
  <c r="P28" i="34"/>
  <c r="T1230" i="34"/>
  <c r="T202" i="1"/>
  <c r="T28" i="34"/>
  <c r="X1230" i="34"/>
  <c r="X28" i="34"/>
  <c r="AB202" i="1"/>
  <c r="AB188" i="34" s="1"/>
  <c r="AB1230" i="34"/>
  <c r="AF1230" i="34"/>
  <c r="AF202" i="1"/>
  <c r="AF265" i="1" s="1"/>
  <c r="BH289" i="1"/>
  <c r="AA1281" i="34"/>
  <c r="AA75" i="34"/>
  <c r="BU88" i="1"/>
  <c r="AZ75" i="34" s="1"/>
  <c r="Q86" i="1"/>
  <c r="P1283" i="34"/>
  <c r="V1283" i="34"/>
  <c r="W86" i="1"/>
  <c r="BN86" i="1"/>
  <c r="AS73" i="34" s="1"/>
  <c r="BM87" i="1"/>
  <c r="AR74" i="34" s="1"/>
  <c r="AR77" i="34"/>
  <c r="BQ92" i="1"/>
  <c r="AK120" i="1"/>
  <c r="BB120" i="1"/>
  <c r="Y92" i="1"/>
  <c r="BN92" i="1" s="1"/>
  <c r="AS79" i="34" s="1"/>
  <c r="BN93" i="1"/>
  <c r="AS80" i="34" s="1"/>
  <c r="Y1286" i="34"/>
  <c r="AC1286" i="34"/>
  <c r="AC80" i="34"/>
  <c r="AF1286" i="34"/>
  <c r="AF92" i="1"/>
  <c r="AF80" i="34"/>
  <c r="AF88" i="1"/>
  <c r="BK88" i="1"/>
  <c r="BK94" i="1"/>
  <c r="AP81" i="34" s="1"/>
  <c r="AP80" i="34"/>
  <c r="W91" i="34"/>
  <c r="X103" i="1"/>
  <c r="AG104" i="1"/>
  <c r="AG92" i="34" s="1"/>
  <c r="AO120" i="34"/>
  <c r="BP155" i="1"/>
  <c r="AJ176" i="34"/>
  <c r="P158" i="34"/>
  <c r="P124" i="1"/>
  <c r="T158" i="34"/>
  <c r="T172" i="1"/>
  <c r="T124" i="1"/>
  <c r="V158" i="34"/>
  <c r="V172" i="1"/>
  <c r="V161" i="34" s="1"/>
  <c r="Y124" i="1"/>
  <c r="Y125" i="1" s="1"/>
  <c r="Y113" i="34" s="1"/>
  <c r="Y158" i="34"/>
  <c r="AL292" i="1"/>
  <c r="AM292" i="1"/>
  <c r="AL181" i="1"/>
  <c r="AL182" i="1" s="1"/>
  <c r="BN292" i="1"/>
  <c r="AS166" i="34"/>
  <c r="O234" i="1"/>
  <c r="O220" i="34" s="1"/>
  <c r="O218" i="34"/>
  <c r="AA230" i="1"/>
  <c r="Z216" i="34"/>
  <c r="AE233" i="1"/>
  <c r="AD234" i="1"/>
  <c r="AD220" i="34" s="1"/>
  <c r="Z222" i="34"/>
  <c r="AA236" i="1"/>
  <c r="W240" i="1"/>
  <c r="W226" i="34" s="1"/>
  <c r="V226" i="34"/>
  <c r="M227" i="34"/>
  <c r="M242" i="1"/>
  <c r="M228" i="34" s="1"/>
  <c r="W248" i="14"/>
  <c r="R36" i="1"/>
  <c r="R289" i="1" s="1"/>
  <c r="R673" i="34"/>
  <c r="R185" i="14"/>
  <c r="R189" i="14" s="1"/>
  <c r="R650" i="34" s="1"/>
  <c r="W185" i="14"/>
  <c r="W101" i="1" s="1"/>
  <c r="W89" i="34" s="1"/>
  <c r="W36" i="1"/>
  <c r="W289" i="1" s="1"/>
  <c r="Q28" i="14"/>
  <c r="Q32" i="14" s="1"/>
  <c r="Q606" i="34" s="1"/>
  <c r="Q676" i="34"/>
  <c r="Q28" i="1"/>
  <c r="BK220" i="14"/>
  <c r="U676" i="34"/>
  <c r="U28" i="1"/>
  <c r="BL220" i="14"/>
  <c r="AB31" i="14"/>
  <c r="AB605" i="34" s="1"/>
  <c r="AB604" i="34"/>
  <c r="AH32" i="14"/>
  <c r="AH606" i="34" s="1"/>
  <c r="AH34" i="14"/>
  <c r="AH608" i="34" s="1"/>
  <c r="O64" i="14"/>
  <c r="O677" i="34"/>
  <c r="O32" i="1"/>
  <c r="S677" i="34"/>
  <c r="S32" i="1"/>
  <c r="S64" i="14"/>
  <c r="Q119" i="14"/>
  <c r="Q625" i="34" s="1"/>
  <c r="Q33" i="1"/>
  <c r="Q1226" i="34" s="1"/>
  <c r="U678" i="34"/>
  <c r="U119" i="14"/>
  <c r="AF123" i="14"/>
  <c r="AF629" i="34" s="1"/>
  <c r="AF679" i="34"/>
  <c r="BN223" i="14"/>
  <c r="AT679" i="34" s="1"/>
  <c r="AF224" i="14"/>
  <c r="AF680" i="34" s="1"/>
  <c r="AF34" i="1"/>
  <c r="AF25" i="34" s="1"/>
  <c r="AF151" i="14"/>
  <c r="AF677" i="34"/>
  <c r="AM679" i="34"/>
  <c r="AO215" i="1"/>
  <c r="AO216" i="1" s="1"/>
  <c r="AL430" i="2"/>
  <c r="AE182" i="2"/>
  <c r="AP223" i="14"/>
  <c r="BR224" i="1"/>
  <c r="AW210" i="34" s="1"/>
  <c r="AK42" i="14"/>
  <c r="AK51" i="14" s="1"/>
  <c r="BK233" i="1"/>
  <c r="AP219" i="34" s="1"/>
  <c r="Z93" i="14"/>
  <c r="AK67" i="2"/>
  <c r="BP67" i="2" s="1"/>
  <c r="BP171" i="2" s="1"/>
  <c r="AP341" i="2"/>
  <c r="AP948" i="34" s="1"/>
  <c r="BR231" i="1"/>
  <c r="AW217" i="34" s="1"/>
  <c r="Z244" i="34"/>
  <c r="AO259" i="1"/>
  <c r="Z75" i="34"/>
  <c r="AA121" i="14"/>
  <c r="AA627" i="34" s="1"/>
  <c r="Q189" i="14"/>
  <c r="Q650" i="34" s="1"/>
  <c r="BO220" i="1"/>
  <c r="AT206" i="34" s="1"/>
  <c r="AD71" i="14"/>
  <c r="AD620" i="34" s="1"/>
  <c r="X31" i="14"/>
  <c r="X605" i="34" s="1"/>
  <c r="BI86" i="1"/>
  <c r="U86" i="1"/>
  <c r="S75" i="34"/>
  <c r="AH77" i="34"/>
  <c r="AP46" i="34"/>
  <c r="Z1283" i="34"/>
  <c r="AF26" i="34"/>
  <c r="P188" i="1"/>
  <c r="P177" i="34" s="1"/>
  <c r="P230" i="1"/>
  <c r="AL207" i="1"/>
  <c r="BU35" i="1"/>
  <c r="AZ26" i="34" s="1"/>
  <c r="Y104" i="1"/>
  <c r="Y92" i="34" s="1"/>
  <c r="BM271" i="1"/>
  <c r="AC262" i="1"/>
  <c r="AC248" i="34" s="1"/>
  <c r="M28" i="14"/>
  <c r="R28" i="14"/>
  <c r="BG28" i="14"/>
  <c r="AF42" i="14"/>
  <c r="BN41" i="14"/>
  <c r="BN42" i="14" s="1"/>
  <c r="BN51" i="14" s="1"/>
  <c r="AE93" i="14"/>
  <c r="S119" i="14"/>
  <c r="Z119" i="14"/>
  <c r="AA122" i="14" s="1"/>
  <c r="AA628" i="34" s="1"/>
  <c r="AJ164" i="14"/>
  <c r="S185" i="14"/>
  <c r="R195" i="14"/>
  <c r="BK195" i="14"/>
  <c r="AO523" i="2"/>
  <c r="AO759" i="34" s="1"/>
  <c r="AF216" i="34"/>
  <c r="BO230" i="1"/>
  <c r="AT216" i="34" s="1"/>
  <c r="AQ151" i="34"/>
  <c r="BQ231" i="1"/>
  <c r="AV217" i="34" s="1"/>
  <c r="BK28" i="14"/>
  <c r="AV155" i="34"/>
  <c r="Q188" i="34"/>
  <c r="AE73" i="34"/>
  <c r="AE1279" i="34"/>
  <c r="AI1279" i="34"/>
  <c r="AI73" i="34"/>
  <c r="AI87" i="1"/>
  <c r="AC101" i="1"/>
  <c r="AC89" i="34" s="1"/>
  <c r="AC190" i="14"/>
  <c r="AC651" i="34" s="1"/>
  <c r="AQ1283" i="34"/>
  <c r="BQ232" i="1"/>
  <c r="AV218" i="34" s="1"/>
  <c r="T230" i="1"/>
  <c r="S216" i="34"/>
  <c r="S604" i="34"/>
  <c r="T34" i="14"/>
  <c r="T608" i="34" s="1"/>
  <c r="T32" i="14"/>
  <c r="T606" i="34" s="1"/>
  <c r="Q70" i="14"/>
  <c r="Q619" i="34" s="1"/>
  <c r="U68" i="14"/>
  <c r="U617" i="34" s="1"/>
  <c r="Q615" i="34"/>
  <c r="U70" i="14"/>
  <c r="U619" i="34" s="1"/>
  <c r="AF82" i="14"/>
  <c r="AF615" i="34"/>
  <c r="AF248" i="14"/>
  <c r="AF249" i="14" s="1"/>
  <c r="V635" i="34"/>
  <c r="Z155" i="14"/>
  <c r="Z639" i="34" s="1"/>
  <c r="Z153" i="14"/>
  <c r="Z637" i="34" s="1"/>
  <c r="AF91" i="34"/>
  <c r="BO103" i="1"/>
  <c r="R165" i="34"/>
  <c r="M1279" i="34"/>
  <c r="M87" i="1"/>
  <c r="M73" i="34"/>
  <c r="AI199" i="34"/>
  <c r="BP213" i="1"/>
  <c r="AU199" i="34" s="1"/>
  <c r="BP214" i="1"/>
  <c r="AU200" i="34" s="1"/>
  <c r="AI200" i="34"/>
  <c r="AI248" i="1"/>
  <c r="AI234" i="34" s="1"/>
  <c r="AR663" i="34"/>
  <c r="BL160" i="14"/>
  <c r="BL203" i="14"/>
  <c r="AR659" i="34" s="1"/>
  <c r="N646" i="34"/>
  <c r="D19" i="35"/>
  <c r="BL42" i="14"/>
  <c r="BL51" i="14" s="1"/>
  <c r="M17" i="4"/>
  <c r="M1296" i="34" s="1"/>
  <c r="AC93" i="14"/>
  <c r="BN128" i="14"/>
  <c r="AF185" i="14"/>
  <c r="U663" i="34"/>
  <c r="AC673" i="34"/>
  <c r="AG185" i="14"/>
  <c r="S676" i="34"/>
  <c r="Q677" i="34"/>
  <c r="Q678" i="34"/>
  <c r="V679" i="34"/>
  <c r="AO679" i="34"/>
  <c r="P95" i="40"/>
  <c r="AO217" i="14"/>
  <c r="AO185" i="14" s="1"/>
  <c r="AS185" i="14" s="1"/>
  <c r="AW185" i="14" s="1"/>
  <c r="Q5" i="35"/>
  <c r="Q9" i="35" s="1"/>
  <c r="I19" i="35"/>
  <c r="I28" i="35" s="1"/>
  <c r="BR203" i="1"/>
  <c r="AW189" i="34" s="1"/>
  <c r="AP203" i="14"/>
  <c r="AA258" i="1"/>
  <c r="AA259" i="1" s="1"/>
  <c r="AA245" i="34" s="1"/>
  <c r="R216" i="34"/>
  <c r="W232" i="1"/>
  <c r="N260" i="1"/>
  <c r="N246" i="34" s="1"/>
  <c r="AB161" i="14"/>
  <c r="AO181" i="1"/>
  <c r="AJ1218" i="34"/>
  <c r="AR14" i="34"/>
  <c r="O19" i="35"/>
  <c r="O28" i="35" s="1"/>
  <c r="Y65" i="14"/>
  <c r="Y616" i="34" s="1"/>
  <c r="T206" i="1"/>
  <c r="T192" i="34" s="1"/>
  <c r="AI188" i="34"/>
  <c r="AR157" i="34"/>
  <c r="AK234" i="1"/>
  <c r="Y93" i="14"/>
  <c r="U160" i="14"/>
  <c r="T185" i="14"/>
  <c r="AN203" i="14"/>
  <c r="AN217" i="14"/>
  <c r="AN185" i="14" s="1"/>
  <c r="C11" i="35"/>
  <c r="C30" i="35" s="1"/>
  <c r="AI1216" i="34"/>
  <c r="AM1216" i="34"/>
  <c r="AP207" i="1"/>
  <c r="BR225" i="1"/>
  <c r="AW211" i="34" s="1"/>
  <c r="BR233" i="1"/>
  <c r="AW219" i="34" s="1"/>
  <c r="BT75" i="14"/>
  <c r="AD261" i="1"/>
  <c r="AD247" i="34" s="1"/>
  <c r="AE259" i="1"/>
  <c r="AE245" i="34" s="1"/>
  <c r="T156" i="14"/>
  <c r="T640" i="34" s="1"/>
  <c r="M1222" i="34"/>
  <c r="X618" i="2"/>
  <c r="X862" i="34" s="1"/>
  <c r="AO104" i="1"/>
  <c r="AD104" i="1"/>
  <c r="AD92" i="34" s="1"/>
  <c r="CN23" i="1"/>
  <c r="C24" i="3" s="1"/>
  <c r="AE71" i="14"/>
  <c r="AE620" i="34" s="1"/>
  <c r="Q646" i="34"/>
  <c r="AE188" i="14"/>
  <c r="AE649" i="34" s="1"/>
  <c r="S490" i="34"/>
  <c r="AG103" i="14"/>
  <c r="AK259" i="1"/>
  <c r="AE91" i="34"/>
  <c r="AE182" i="1"/>
  <c r="AE171" i="34" s="1"/>
  <c r="X220" i="1"/>
  <c r="V19" i="34"/>
  <c r="Z1225" i="34"/>
  <c r="AG262" i="1"/>
  <c r="AG248" i="34" s="1"/>
  <c r="AE231" i="1"/>
  <c r="AE217" i="34" s="1"/>
  <c r="AE1281" i="34"/>
  <c r="BK191" i="1"/>
  <c r="AP180" i="34" s="1"/>
  <c r="Q172" i="1"/>
  <c r="Q180" i="1" s="1"/>
  <c r="AQ201" i="34"/>
  <c r="P272" i="1"/>
  <c r="BO281" i="1"/>
  <c r="AT266" i="34" s="1"/>
  <c r="AD515" i="2"/>
  <c r="AD751" i="34" s="1"/>
  <c r="BM564" i="2"/>
  <c r="AC315" i="2"/>
  <c r="AC928" i="34" s="1"/>
  <c r="BK323" i="2"/>
  <c r="AQ459" i="34" s="1"/>
  <c r="AA355" i="2"/>
  <c r="AA485" i="34" s="1"/>
  <c r="AE351" i="2"/>
  <c r="AE958" i="34" s="1"/>
  <c r="AH350" i="2"/>
  <c r="AH480" i="34" s="1"/>
  <c r="BM360" i="2"/>
  <c r="BM967" i="34" s="1"/>
  <c r="BM374" i="2"/>
  <c r="BI397" i="2"/>
  <c r="BI1021" i="34" s="1"/>
  <c r="AE42" i="14"/>
  <c r="BI64" i="14"/>
  <c r="AT623" i="34"/>
  <c r="AB93" i="14"/>
  <c r="BL128" i="14"/>
  <c r="N151" i="14"/>
  <c r="AH151" i="14"/>
  <c r="AH155" i="14" s="1"/>
  <c r="AH639" i="34" s="1"/>
  <c r="Z161" i="14"/>
  <c r="X185" i="14"/>
  <c r="X101" i="1" s="1"/>
  <c r="X89" i="34" s="1"/>
  <c r="BP208" i="14"/>
  <c r="BQ270" i="1" s="1"/>
  <c r="AV255" i="34" s="1"/>
  <c r="AK220" i="14"/>
  <c r="AK28" i="14" s="1"/>
  <c r="AL221" i="14"/>
  <c r="AL32" i="1" s="1"/>
  <c r="AL1225" i="34" s="1"/>
  <c r="AF28" i="14"/>
  <c r="AF33" i="14" s="1"/>
  <c r="AF607" i="34" s="1"/>
  <c r="AM161" i="14"/>
  <c r="AM169" i="14" s="1"/>
  <c r="X209" i="2"/>
  <c r="AB207" i="2"/>
  <c r="C19" i="35"/>
  <c r="J1200" i="34" s="1"/>
  <c r="E4" i="35"/>
  <c r="BR205" i="1"/>
  <c r="AW191" i="34" s="1"/>
  <c r="T206" i="2"/>
  <c r="AF206" i="2"/>
  <c r="V206" i="2"/>
  <c r="BS75" i="14"/>
  <c r="BS77" i="14"/>
  <c r="T30" i="1"/>
  <c r="T20" i="34"/>
  <c r="T1222" i="34"/>
  <c r="AC188" i="1"/>
  <c r="AC177" i="34" s="1"/>
  <c r="P30" i="1"/>
  <c r="P1222" i="34"/>
  <c r="P20" i="34"/>
  <c r="AD39" i="1"/>
  <c r="AD30" i="34" s="1"/>
  <c r="W188" i="34"/>
  <c r="AI294" i="2"/>
  <c r="AI242" i="2" s="1"/>
  <c r="AI62" i="14" s="1"/>
  <c r="AI72" i="2"/>
  <c r="AD72" i="2"/>
  <c r="AD71" i="2"/>
  <c r="AD70" i="2"/>
  <c r="AD68" i="2"/>
  <c r="AD73" i="2"/>
  <c r="Z22" i="2"/>
  <c r="Z25" i="2" s="1"/>
  <c r="Z71" i="2"/>
  <c r="Z70" i="2"/>
  <c r="Z68" i="2"/>
  <c r="Z73" i="2"/>
  <c r="O494" i="2"/>
  <c r="O731" i="34" s="1"/>
  <c r="AC22" i="2"/>
  <c r="AC73" i="2"/>
  <c r="AC72" i="2"/>
  <c r="AC71" i="2"/>
  <c r="AC70" i="2"/>
  <c r="AC68" i="2"/>
  <c r="Y22" i="2"/>
  <c r="Y25" i="2" s="1"/>
  <c r="Y71" i="2"/>
  <c r="Y70" i="2"/>
  <c r="Y68" i="2"/>
  <c r="AN523" i="2"/>
  <c r="AF72" i="2"/>
  <c r="AF71" i="2"/>
  <c r="AF70" i="2"/>
  <c r="AF68" i="2"/>
  <c r="AF73" i="2"/>
  <c r="AB71" i="2"/>
  <c r="AB70" i="2"/>
  <c r="AB68" i="2"/>
  <c r="AB73" i="2"/>
  <c r="AH294" i="2"/>
  <c r="AH72" i="2"/>
  <c r="AG22" i="2"/>
  <c r="AG73" i="2"/>
  <c r="AG72" i="2"/>
  <c r="AE72" i="2"/>
  <c r="AE71" i="2"/>
  <c r="AE70" i="2"/>
  <c r="AE68" i="2"/>
  <c r="AE73" i="2"/>
  <c r="AA22" i="2"/>
  <c r="AA71" i="2"/>
  <c r="AA70" i="2"/>
  <c r="AA68" i="2"/>
  <c r="AA73" i="2"/>
  <c r="BK35" i="1"/>
  <c r="AP26" i="34" s="1"/>
  <c r="O26" i="34"/>
  <c r="O1228" i="34"/>
  <c r="U202" i="1"/>
  <c r="BM37" i="1"/>
  <c r="AR28" i="34" s="1"/>
  <c r="U28" i="34"/>
  <c r="AC1230" i="34"/>
  <c r="AC202" i="1"/>
  <c r="AC28" i="34"/>
  <c r="AM23" i="34"/>
  <c r="BH39" i="1"/>
  <c r="AM30" i="34" s="1"/>
  <c r="AN27" i="34"/>
  <c r="BI293" i="1"/>
  <c r="AI255" i="34"/>
  <c r="AI272" i="1"/>
  <c r="BO206" i="14"/>
  <c r="AJ222" i="14"/>
  <c r="AJ203" i="14"/>
  <c r="AJ659" i="34" s="1"/>
  <c r="BO215" i="14"/>
  <c r="AU671" i="34" s="1"/>
  <c r="AJ671" i="34"/>
  <c r="AN229" i="14"/>
  <c r="AN230" i="14" s="1"/>
  <c r="AO228" i="14"/>
  <c r="AP41" i="14"/>
  <c r="AP42" i="14" s="1"/>
  <c r="AP51" i="14" s="1"/>
  <c r="AP37" i="1"/>
  <c r="AP1230" i="34" s="1"/>
  <c r="AA272" i="1"/>
  <c r="AO221" i="14"/>
  <c r="AO224" i="14" s="1"/>
  <c r="AN161" i="14"/>
  <c r="AJ161" i="14"/>
  <c r="AG24" i="34"/>
  <c r="R1228" i="34"/>
  <c r="R26" i="34"/>
  <c r="V289" i="1"/>
  <c r="V26" i="34"/>
  <c r="Z1228" i="34"/>
  <c r="Z26" i="34"/>
  <c r="AD1228" i="34"/>
  <c r="AD26" i="34"/>
  <c r="O1226" i="34"/>
  <c r="O24" i="34"/>
  <c r="AH1227" i="34"/>
  <c r="R202" i="1"/>
  <c r="R1230" i="34"/>
  <c r="AG28" i="34"/>
  <c r="AG1230" i="34"/>
  <c r="R28" i="34"/>
  <c r="AI1225" i="34"/>
  <c r="AH1221" i="34"/>
  <c r="AH188" i="1"/>
  <c r="AH177" i="34" s="1"/>
  <c r="AD23" i="34"/>
  <c r="BT35" i="1"/>
  <c r="AY26" i="34" s="1"/>
  <c r="AX1228" i="34"/>
  <c r="Q293" i="1"/>
  <c r="Q204" i="1"/>
  <c r="Q190" i="34" s="1"/>
  <c r="Q289" i="1"/>
  <c r="T1229" i="34"/>
  <c r="T293" i="1"/>
  <c r="T204" i="1"/>
  <c r="T190" i="34" s="1"/>
  <c r="T289" i="1"/>
  <c r="AA204" i="1"/>
  <c r="AA190" i="34" s="1"/>
  <c r="AA289" i="1"/>
  <c r="AG1229" i="34"/>
  <c r="AG293" i="1"/>
  <c r="BO223" i="14"/>
  <c r="AU679" i="34" s="1"/>
  <c r="AJ151" i="14"/>
  <c r="AJ34" i="1"/>
  <c r="AD25" i="34"/>
  <c r="N1230" i="34"/>
  <c r="BK37" i="1"/>
  <c r="N28" i="34"/>
  <c r="Y202" i="1"/>
  <c r="BN37" i="1"/>
  <c r="AS28" i="34" s="1"/>
  <c r="Y28" i="34"/>
  <c r="Q272" i="1"/>
  <c r="Q255" i="34"/>
  <c r="BP204" i="14"/>
  <c r="AL220" i="14"/>
  <c r="AM234" i="14"/>
  <c r="AL233" i="14"/>
  <c r="AL195" i="14"/>
  <c r="AM232" i="14"/>
  <c r="AO1228" i="34"/>
  <c r="BR35" i="1"/>
  <c r="U1230" i="34"/>
  <c r="AO34" i="1"/>
  <c r="AO1227" i="34" s="1"/>
  <c r="AN28" i="34"/>
  <c r="R188" i="1"/>
  <c r="R177" i="34" s="1"/>
  <c r="U19" i="34"/>
  <c r="AA29" i="1"/>
  <c r="AE188" i="1"/>
  <c r="AE177" i="34" s="1"/>
  <c r="BP35" i="1"/>
  <c r="AL228" i="14"/>
  <c r="BL35" i="1"/>
  <c r="AQ26" i="34" s="1"/>
  <c r="AP222" i="14"/>
  <c r="W250" i="34"/>
  <c r="W266" i="1"/>
  <c r="W251" i="34" s="1"/>
  <c r="W274" i="1"/>
  <c r="W259" i="34" s="1"/>
  <c r="AP139" i="14"/>
  <c r="AP176" i="14"/>
  <c r="S20" i="34"/>
  <c r="AP217" i="14"/>
  <c r="AP220" i="14"/>
  <c r="AM19" i="34"/>
  <c r="BH29" i="1"/>
  <c r="N23" i="34"/>
  <c r="N1225" i="34"/>
  <c r="U1225" i="34"/>
  <c r="U23" i="34"/>
  <c r="AC1227" i="34"/>
  <c r="AC25" i="34"/>
  <c r="Y1228" i="34"/>
  <c r="BN35" i="1"/>
  <c r="AS26" i="34" s="1"/>
  <c r="Y289" i="1"/>
  <c r="AC1228" i="34"/>
  <c r="AC26" i="34"/>
  <c r="AG1228" i="34"/>
  <c r="AG289" i="1"/>
  <c r="AK1228" i="34"/>
  <c r="BO212" i="14"/>
  <c r="AJ668" i="34"/>
  <c r="AJ217" i="14"/>
  <c r="BP213" i="14"/>
  <c r="AV669" i="34" s="1"/>
  <c r="AK217" i="14"/>
  <c r="AK221" i="14"/>
  <c r="AL217" i="14"/>
  <c r="BP214" i="14"/>
  <c r="AV670" i="34" s="1"/>
  <c r="AL222" i="14"/>
  <c r="AL119" i="14" s="1"/>
  <c r="AM124" i="14" s="1"/>
  <c r="V293" i="1"/>
  <c r="V27" i="34"/>
  <c r="V1229" i="34"/>
  <c r="AK234" i="14"/>
  <c r="AK195" i="14"/>
  <c r="AL234" i="14"/>
  <c r="AL232" i="14"/>
  <c r="AK232" i="14"/>
  <c r="AK229" i="14"/>
  <c r="AK233" i="14"/>
  <c r="AO93" i="14"/>
  <c r="AO103" i="14" s="1"/>
  <c r="AJ28" i="1"/>
  <c r="BO220" i="14"/>
  <c r="AU662" i="34"/>
  <c r="BO128" i="14"/>
  <c r="AF188" i="34"/>
  <c r="N1221" i="34"/>
  <c r="N19" i="34"/>
  <c r="N29" i="1"/>
  <c r="AJ660" i="34"/>
  <c r="AJ41" i="14"/>
  <c r="BO204" i="14"/>
  <c r="AM92" i="14"/>
  <c r="AM93" i="14" s="1"/>
  <c r="AM103" i="14" s="1"/>
  <c r="AM203" i="14"/>
  <c r="BP205" i="14"/>
  <c r="AM221" i="14"/>
  <c r="AM270" i="1"/>
  <c r="AM272" i="1" s="1"/>
  <c r="AM273" i="1" s="1"/>
  <c r="AM37" i="1"/>
  <c r="AM1230" i="34" s="1"/>
  <c r="AM223" i="14"/>
  <c r="AM217" i="14"/>
  <c r="BP212" i="14"/>
  <c r="AN220" i="14"/>
  <c r="AN228" i="14"/>
  <c r="AM228" i="14"/>
  <c r="X273" i="1"/>
  <c r="X258" i="34" s="1"/>
  <c r="X257" i="34"/>
  <c r="BM35" i="1"/>
  <c r="V1228" i="34"/>
  <c r="AJ662" i="34"/>
  <c r="AJ128" i="14"/>
  <c r="AK203" i="14"/>
  <c r="AK223" i="14"/>
  <c r="AL37" i="1"/>
  <c r="AL270" i="1"/>
  <c r="AL272" i="1" s="1"/>
  <c r="AL273" i="1" s="1"/>
  <c r="AO234" i="14"/>
  <c r="AO233" i="14"/>
  <c r="AO232" i="14"/>
  <c r="AB188" i="1"/>
  <c r="AB177" i="34" s="1"/>
  <c r="AB29" i="1"/>
  <c r="AB20" i="34" s="1"/>
  <c r="AB1221" i="34"/>
  <c r="AB19" i="34"/>
  <c r="AF30" i="1"/>
  <c r="AF1222" i="34"/>
  <c r="V1227" i="34"/>
  <c r="V25" i="34"/>
  <c r="P1228" i="34"/>
  <c r="P26" i="34"/>
  <c r="BS35" i="1"/>
  <c r="AD289" i="1"/>
  <c r="AD293" i="1"/>
  <c r="AD204" i="1"/>
  <c r="AD190" i="34" s="1"/>
  <c r="AD27" i="34"/>
  <c r="S28" i="34"/>
  <c r="BL37" i="1"/>
  <c r="AD188" i="34"/>
  <c r="AD265" i="1"/>
  <c r="AH28" i="34"/>
  <c r="AH1230" i="34"/>
  <c r="AO28" i="34"/>
  <c r="BJ202" i="1"/>
  <c r="AF272" i="1"/>
  <c r="AF273" i="1" s="1"/>
  <c r="AF258" i="34" s="1"/>
  <c r="AF255" i="34"/>
  <c r="AJ661" i="34"/>
  <c r="AJ221" i="14"/>
  <c r="AJ92" i="14"/>
  <c r="BO205" i="14"/>
  <c r="BP236" i="14"/>
  <c r="AV689" i="34" s="1"/>
  <c r="BO161" i="14"/>
  <c r="BO169" i="14" s="1"/>
  <c r="AO229" i="14"/>
  <c r="BO37" i="1"/>
  <c r="AP234" i="14"/>
  <c r="AH606" i="2"/>
  <c r="AH849" i="34" s="1"/>
  <c r="AA424" i="2"/>
  <c r="AA1049" i="34" s="1"/>
  <c r="AP474" i="2"/>
  <c r="T208" i="2"/>
  <c r="T207" i="2"/>
  <c r="X206" i="2"/>
  <c r="AF209" i="2"/>
  <c r="P209" i="2"/>
  <c r="U209" i="2"/>
  <c r="AC209" i="2"/>
  <c r="AF208" i="2"/>
  <c r="AF207" i="2"/>
  <c r="P207" i="2"/>
  <c r="AB209" i="2"/>
  <c r="AB208" i="2"/>
  <c r="BM383" i="2"/>
  <c r="BM1007" i="34" s="1"/>
  <c r="AD209" i="2"/>
  <c r="U207" i="2"/>
  <c r="AG205" i="2"/>
  <c r="AG207" i="2" s="1"/>
  <c r="U206" i="2"/>
  <c r="BN205" i="2"/>
  <c r="CA205" i="2" s="1"/>
  <c r="O209" i="2"/>
  <c r="S209" i="2"/>
  <c r="W209" i="2"/>
  <c r="AA209" i="2"/>
  <c r="AD208" i="2"/>
  <c r="S196" i="2"/>
  <c r="S195" i="2" s="1"/>
  <c r="W194" i="2"/>
  <c r="W195" i="2" s="1"/>
  <c r="AA196" i="2"/>
  <c r="AE194" i="2"/>
  <c r="AD206" i="2"/>
  <c r="N206" i="2"/>
  <c r="BK202" i="2"/>
  <c r="Z208" i="2"/>
  <c r="CB199" i="2"/>
  <c r="AA194" i="2"/>
  <c r="AE196" i="2"/>
  <c r="Z206" i="2"/>
  <c r="BJ205" i="2"/>
  <c r="BJ206" i="2" s="1"/>
  <c r="BK201" i="2"/>
  <c r="AE207" i="2"/>
  <c r="AA207" i="2"/>
  <c r="W207" i="2"/>
  <c r="S207" i="2"/>
  <c r="O207" i="2"/>
  <c r="V208" i="2"/>
  <c r="BN194" i="2"/>
  <c r="R207" i="2"/>
  <c r="V209" i="2"/>
  <c r="Z209" i="2"/>
  <c r="R196" i="2"/>
  <c r="Z207" i="2"/>
  <c r="R206" i="2"/>
  <c r="N209" i="2"/>
  <c r="BJ201" i="2"/>
  <c r="AE209" i="2"/>
  <c r="Y618" i="2"/>
  <c r="Y862" i="34" s="1"/>
  <c r="U613" i="2"/>
  <c r="X501" i="34"/>
  <c r="X978" i="34"/>
  <c r="AP85" i="2"/>
  <c r="AP358" i="2"/>
  <c r="BN196" i="2"/>
  <c r="V802" i="34"/>
  <c r="AB793" i="34"/>
  <c r="AD207" i="2"/>
  <c r="Y208" i="2"/>
  <c r="Y207" i="2"/>
  <c r="Y206" i="2"/>
  <c r="R209" i="2"/>
  <c r="BN202" i="2"/>
  <c r="AH199" i="2"/>
  <c r="AH211" i="2" s="1"/>
  <c r="BM202" i="2"/>
  <c r="U699" i="34"/>
  <c r="BK194" i="2"/>
  <c r="AG203" i="2"/>
  <c r="Y209" i="2"/>
  <c r="AD354" i="2"/>
  <c r="AD484" i="34" s="1"/>
  <c r="N207" i="2"/>
  <c r="AD352" i="2"/>
  <c r="AD482" i="34" s="1"/>
  <c r="X857" i="34"/>
  <c r="V1120" i="34"/>
  <c r="M805" i="34"/>
  <c r="AH950" i="34"/>
  <c r="AC313" i="2"/>
  <c r="AC926" i="34" s="1"/>
  <c r="AM742" i="34"/>
  <c r="X498" i="34"/>
  <c r="AE256" i="2"/>
  <c r="AE1062" i="34" s="1"/>
  <c r="AA275" i="34"/>
  <c r="O275" i="34"/>
  <c r="AA698" i="34"/>
  <c r="X965" i="34"/>
  <c r="AG427" i="2"/>
  <c r="AA258" i="2"/>
  <c r="AA1064" i="34" s="1"/>
  <c r="AP84" i="2"/>
  <c r="AP96" i="2" s="1"/>
  <c r="BQ192" i="2"/>
  <c r="AC755" i="34"/>
  <c r="V207" i="2"/>
  <c r="BI208" i="2"/>
  <c r="Q208" i="2"/>
  <c r="Q207" i="2"/>
  <c r="Q206" i="2"/>
  <c r="BN201" i="2"/>
  <c r="AG201" i="2"/>
  <c r="AG211" i="2"/>
  <c r="BM205" i="2"/>
  <c r="BM208" i="2" s="1"/>
  <c r="AG99" i="2"/>
  <c r="Q209" i="2"/>
  <c r="X195" i="2"/>
  <c r="AG511" i="2"/>
  <c r="AG514" i="2" s="1"/>
  <c r="AG750" i="34" s="1"/>
  <c r="AJ398" i="34"/>
  <c r="Z326" i="34"/>
  <c r="AF396" i="34"/>
  <c r="AC294" i="2"/>
  <c r="AC228" i="2" s="1"/>
  <c r="AD802" i="34"/>
  <c r="AE18" i="2"/>
  <c r="AE19" i="2" s="1"/>
  <c r="AE10" i="14"/>
  <c r="W10" i="14"/>
  <c r="W120" i="14" s="1"/>
  <c r="U526" i="34"/>
  <c r="O519" i="34"/>
  <c r="O15" i="2"/>
  <c r="O699" i="34" s="1"/>
  <c r="AE15" i="2"/>
  <c r="O521" i="34"/>
  <c r="AP87" i="2"/>
  <c r="V1050" i="34"/>
  <c r="AC208" i="2"/>
  <c r="AC207" i="2"/>
  <c r="AC206" i="2"/>
  <c r="M206" i="2"/>
  <c r="BM201" i="2"/>
  <c r="X450" i="2"/>
  <c r="BI206" i="2"/>
  <c r="Z1008" i="34"/>
  <c r="Y418" i="34"/>
  <c r="AE458" i="34"/>
  <c r="Y480" i="2"/>
  <c r="Y431" i="34" s="1"/>
  <c r="AC307" i="2"/>
  <c r="AC920" i="34" s="1"/>
  <c r="AE494" i="2"/>
  <c r="AE314" i="34" s="1"/>
  <c r="AE522" i="34"/>
  <c r="AI928" i="34"/>
  <c r="U567" i="34"/>
  <c r="O1042" i="34"/>
  <c r="AA15" i="2"/>
  <c r="AA276" i="34" s="1"/>
  <c r="W15" i="2"/>
  <c r="W276" i="34" s="1"/>
  <c r="AG85" i="2"/>
  <c r="AC969" i="34"/>
  <c r="AG106" i="14"/>
  <c r="AG108" i="14" s="1"/>
  <c r="AA255" i="2"/>
  <c r="AP555" i="2"/>
  <c r="AL476" i="2"/>
  <c r="AO255" i="2"/>
  <c r="AG49" i="2"/>
  <c r="AG293" i="34" s="1"/>
  <c r="X412" i="34"/>
  <c r="W1012" i="34"/>
  <c r="AK698" i="34"/>
  <c r="AI18" i="2"/>
  <c r="AE1021" i="34"/>
  <c r="AF392" i="2"/>
  <c r="AF1016" i="34" s="1"/>
  <c r="AM620" i="2"/>
  <c r="AM864" i="34" s="1"/>
  <c r="AZ343" i="2"/>
  <c r="BD343" i="2" s="1"/>
  <c r="BD950" i="34" s="1"/>
  <c r="W937" i="34"/>
  <c r="BS559" i="2"/>
  <c r="BS796" i="34" s="1"/>
  <c r="Z557" i="2"/>
  <c r="Z340" i="34" s="1"/>
  <c r="AF581" i="2"/>
  <c r="BO618" i="2"/>
  <c r="BO862" i="34" s="1"/>
  <c r="AB315" i="2"/>
  <c r="AL313" i="2"/>
  <c r="AL926" i="34" s="1"/>
  <c r="AJ354" i="2"/>
  <c r="AB378" i="2"/>
  <c r="AB525" i="34" s="1"/>
  <c r="AF397" i="2"/>
  <c r="AF544" i="34" s="1"/>
  <c r="R424" i="2"/>
  <c r="R572" i="34" s="1"/>
  <c r="AE450" i="2"/>
  <c r="AE400" i="34" s="1"/>
  <c r="BQ477" i="2"/>
  <c r="AW422" i="34" s="1"/>
  <c r="AO474" i="2"/>
  <c r="AS474" i="2"/>
  <c r="AW474" i="2"/>
  <c r="AY342" i="34"/>
  <c r="AL520" i="2"/>
  <c r="AL756" i="34" s="1"/>
  <c r="AL521" i="2"/>
  <c r="AL757" i="34" s="1"/>
  <c r="Q570" i="34"/>
  <c r="BM933" i="34"/>
  <c r="AB1009" i="34"/>
  <c r="Q565" i="34"/>
  <c r="BM323" i="2"/>
  <c r="BM936" i="34" s="1"/>
  <c r="BJ801" i="34"/>
  <c r="BI494" i="2"/>
  <c r="BI731" i="34" s="1"/>
  <c r="AC473" i="34"/>
  <c r="X539" i="34"/>
  <c r="BN565" i="2"/>
  <c r="X579" i="2"/>
  <c r="X818" i="34" s="1"/>
  <c r="W493" i="34"/>
  <c r="X803" i="34"/>
  <c r="AE327" i="34"/>
  <c r="X802" i="34"/>
  <c r="BQ559" i="2"/>
  <c r="AW342" i="34" s="1"/>
  <c r="AM522" i="2"/>
  <c r="AM758" i="34" s="1"/>
  <c r="AM519" i="2"/>
  <c r="AM755" i="34" s="1"/>
  <c r="AL754" i="34"/>
  <c r="AD573" i="34"/>
  <c r="AE340" i="34"/>
  <c r="AL315" i="2"/>
  <c r="AL928" i="34" s="1"/>
  <c r="AG398" i="2"/>
  <c r="AG1022" i="34" s="1"/>
  <c r="AB457" i="34"/>
  <c r="W527" i="34"/>
  <c r="S327" i="34"/>
  <c r="AF942" i="34"/>
  <c r="BM579" i="2"/>
  <c r="BM818" i="34" s="1"/>
  <c r="BI727" i="34"/>
  <c r="Z410" i="34"/>
  <c r="AE516" i="2"/>
  <c r="AE752" i="34" s="1"/>
  <c r="Z353" i="34"/>
  <c r="AX124" i="2"/>
  <c r="AX126" i="2" s="1"/>
  <c r="BN422" i="2"/>
  <c r="AT570" i="34" s="1"/>
  <c r="AD557" i="2"/>
  <c r="AD340" i="34" s="1"/>
  <c r="BK564" i="2"/>
  <c r="V1106" i="34"/>
  <c r="X368" i="34"/>
  <c r="AL522" i="2"/>
  <c r="AL758" i="34" s="1"/>
  <c r="AL523" i="2"/>
  <c r="AL759" i="34" s="1"/>
  <c r="AI511" i="2"/>
  <c r="AI512" i="2" s="1"/>
  <c r="AH466" i="34"/>
  <c r="AF472" i="34"/>
  <c r="AF949" i="34"/>
  <c r="AP324" i="34"/>
  <c r="Y507" i="2"/>
  <c r="Y743" i="34" s="1"/>
  <c r="BW559" i="2"/>
  <c r="BW796" i="34" s="1"/>
  <c r="AC447" i="2"/>
  <c r="AC397" i="34" s="1"/>
  <c r="U818" i="34"/>
  <c r="R571" i="34"/>
  <c r="AF524" i="2"/>
  <c r="AF760" i="34" s="1"/>
  <c r="BJ564" i="2"/>
  <c r="AP326" i="34" s="1"/>
  <c r="R559" i="2"/>
  <c r="R342" i="34" s="1"/>
  <c r="AK350" i="2"/>
  <c r="AK957" i="34" s="1"/>
  <c r="W544" i="34"/>
  <c r="AG326" i="34"/>
  <c r="BN446" i="2"/>
  <c r="AT396" i="34" s="1"/>
  <c r="BI1122" i="34"/>
  <c r="AF493" i="2"/>
  <c r="AF730" i="34" s="1"/>
  <c r="AH148" i="2"/>
  <c r="AH985" i="34" s="1"/>
  <c r="AJ374" i="2"/>
  <c r="AJ507" i="2"/>
  <c r="AJ743" i="34" s="1"/>
  <c r="W61" i="14"/>
  <c r="AE545" i="2"/>
  <c r="AE771" i="34" s="1"/>
  <c r="AE591" i="2"/>
  <c r="AE830" i="34" s="1"/>
  <c r="S495" i="2"/>
  <c r="S311" i="34"/>
  <c r="U311" i="34"/>
  <c r="AA326" i="2"/>
  <c r="AE327" i="2" s="1"/>
  <c r="AB478" i="2"/>
  <c r="AB423" i="34" s="1"/>
  <c r="AA584" i="2"/>
  <c r="AA823" i="34" s="1"/>
  <c r="AO613" i="2"/>
  <c r="AO857" i="34" s="1"/>
  <c r="BP57" i="2"/>
  <c r="AV301" i="34" s="1"/>
  <c r="BL383" i="2"/>
  <c r="AR530" i="34" s="1"/>
  <c r="AA182" i="2"/>
  <c r="AA186" i="2" s="1"/>
  <c r="Y182" i="2"/>
  <c r="AP614" i="2"/>
  <c r="AP613" i="2" s="1"/>
  <c r="AP618" i="2" s="1"/>
  <c r="AP620" i="2" s="1"/>
  <c r="AP864" i="34" s="1"/>
  <c r="AH275" i="34"/>
  <c r="AP459" i="34"/>
  <c r="X1117" i="34"/>
  <c r="Y525" i="34"/>
  <c r="AO10" i="14"/>
  <c r="AQ532" i="34"/>
  <c r="AH60" i="2"/>
  <c r="AH304" i="34" s="1"/>
  <c r="N573" i="34"/>
  <c r="AF1106" i="34"/>
  <c r="Y387" i="34"/>
  <c r="Z881" i="34"/>
  <c r="AP410" i="34"/>
  <c r="Y386" i="34"/>
  <c r="AC942" i="34"/>
  <c r="AH926" i="34"/>
  <c r="AB632" i="2"/>
  <c r="AF633" i="2" s="1"/>
  <c r="AF878" i="34" s="1"/>
  <c r="BM1041" i="34"/>
  <c r="X390" i="2"/>
  <c r="X1011" i="34"/>
  <c r="Z527" i="34"/>
  <c r="Z1004" i="34"/>
  <c r="BN229" i="14"/>
  <c r="BN176" i="14" s="1"/>
  <c r="AT645" i="34" s="1"/>
  <c r="Q969" i="34"/>
  <c r="Q492" i="34"/>
  <c r="X459" i="34"/>
  <c r="AS339" i="34"/>
  <c r="BM793" i="34"/>
  <c r="W566" i="34"/>
  <c r="W1043" i="34"/>
  <c r="O6" i="2"/>
  <c r="P6" i="2" s="1"/>
  <c r="N5" i="2"/>
  <c r="AI722" i="34"/>
  <c r="AI306" i="34"/>
  <c r="V742" i="34"/>
  <c r="V509" i="2"/>
  <c r="V745" i="34" s="1"/>
  <c r="W509" i="2"/>
  <c r="W745" i="34" s="1"/>
  <c r="V579" i="2"/>
  <c r="V532" i="2"/>
  <c r="V106" i="14" s="1"/>
  <c r="AI743" i="34"/>
  <c r="BN521" i="2"/>
  <c r="BN757" i="34" s="1"/>
  <c r="BN754" i="34"/>
  <c r="BN520" i="2"/>
  <c r="AC759" i="34"/>
  <c r="AC524" i="2"/>
  <c r="AC760" i="34" s="1"/>
  <c r="Z759" i="34"/>
  <c r="AD524" i="2"/>
  <c r="AD760" i="34" s="1"/>
  <c r="BY793" i="34"/>
  <c r="BY559" i="2"/>
  <c r="BY796" i="34" s="1"/>
  <c r="P793" i="34"/>
  <c r="P339" i="34"/>
  <c r="T793" i="34"/>
  <c r="T557" i="2"/>
  <c r="T559" i="2"/>
  <c r="X793" i="34"/>
  <c r="X557" i="2"/>
  <c r="X559" i="2"/>
  <c r="AB559" i="2"/>
  <c r="AB342" i="34" s="1"/>
  <c r="AB557" i="2"/>
  <c r="AB340" i="34" s="1"/>
  <c r="AF793" i="34"/>
  <c r="AF557" i="2"/>
  <c r="AF340" i="34" s="1"/>
  <c r="AF339" i="34"/>
  <c r="AF559" i="2"/>
  <c r="AF342" i="34" s="1"/>
  <c r="BL422" i="2"/>
  <c r="BL556" i="2"/>
  <c r="BL793" i="34" s="1"/>
  <c r="AR324" i="34"/>
  <c r="BL564" i="2"/>
  <c r="AR326" i="34" s="1"/>
  <c r="N802" i="34"/>
  <c r="N325" i="34"/>
  <c r="R326" i="34"/>
  <c r="R803" i="34"/>
  <c r="V326" i="34"/>
  <c r="V803" i="34"/>
  <c r="AD803" i="34"/>
  <c r="AD326" i="34"/>
  <c r="M327" i="34"/>
  <c r="M804" i="34"/>
  <c r="Q327" i="34"/>
  <c r="Q804" i="34"/>
  <c r="Y327" i="34"/>
  <c r="Y804" i="34"/>
  <c r="Q805" i="34"/>
  <c r="Q328" i="34"/>
  <c r="U805" i="34"/>
  <c r="U328" i="34"/>
  <c r="Y328" i="34"/>
  <c r="Y805" i="34"/>
  <c r="AC805" i="34"/>
  <c r="AC328" i="34"/>
  <c r="AN327" i="34"/>
  <c r="BH804" i="34"/>
  <c r="AC604" i="2"/>
  <c r="AC847" i="34" s="1"/>
  <c r="BN599" i="2"/>
  <c r="BO600" i="2" s="1"/>
  <c r="BO843" i="34" s="1"/>
  <c r="AH847" i="34"/>
  <c r="AH605" i="2"/>
  <c r="AH848" i="34" s="1"/>
  <c r="AL606" i="2"/>
  <c r="AL849" i="34" s="1"/>
  <c r="AL605" i="2"/>
  <c r="AL848" i="34" s="1"/>
  <c r="AC353" i="34"/>
  <c r="Y608" i="2"/>
  <c r="Y353" i="34" s="1"/>
  <c r="AC851" i="34"/>
  <c r="AC857" i="34"/>
  <c r="AG614" i="2"/>
  <c r="AC618" i="2"/>
  <c r="AL862" i="34"/>
  <c r="AL619" i="2"/>
  <c r="AL863" i="34" s="1"/>
  <c r="AL620" i="2"/>
  <c r="AL864" i="34" s="1"/>
  <c r="AJ623" i="2"/>
  <c r="AJ867" i="34" s="1"/>
  <c r="AF866" i="34"/>
  <c r="AF877" i="34"/>
  <c r="W881" i="34"/>
  <c r="W373" i="34"/>
  <c r="AE373" i="34"/>
  <c r="AE881" i="34"/>
  <c r="AA636" i="2"/>
  <c r="AA386" i="34"/>
  <c r="AE651" i="2"/>
  <c r="AE898" i="34" s="1"/>
  <c r="AA897" i="34"/>
  <c r="AD918" i="34"/>
  <c r="AD307" i="2"/>
  <c r="AD441" i="34" s="1"/>
  <c r="AD309" i="2"/>
  <c r="AD308" i="2"/>
  <c r="AD306" i="2"/>
  <c r="AC314" i="2"/>
  <c r="AC925" i="34"/>
  <c r="BN312" i="2"/>
  <c r="AT446" i="34" s="1"/>
  <c r="AD315" i="2"/>
  <c r="AD928" i="34" s="1"/>
  <c r="AG314" i="2"/>
  <c r="AD313" i="2"/>
  <c r="AC446" i="34"/>
  <c r="AQ456" i="34"/>
  <c r="BK933" i="34"/>
  <c r="BL323" i="2"/>
  <c r="BK321" i="2"/>
  <c r="AQ457" i="34" s="1"/>
  <c r="R457" i="34"/>
  <c r="R934" i="34"/>
  <c r="V934" i="34"/>
  <c r="V457" i="34"/>
  <c r="S935" i="34"/>
  <c r="S458" i="34"/>
  <c r="T936" i="34"/>
  <c r="T459" i="34"/>
  <c r="BG934" i="34"/>
  <c r="AM457" i="34"/>
  <c r="AN459" i="34"/>
  <c r="BH936" i="34"/>
  <c r="P937" i="34"/>
  <c r="P460" i="34"/>
  <c r="BN940" i="34"/>
  <c r="CB333" i="2"/>
  <c r="BN336" i="2"/>
  <c r="CA333" i="2"/>
  <c r="AF466" i="34"/>
  <c r="AF941" i="34"/>
  <c r="AI465" i="34"/>
  <c r="AI943" i="34"/>
  <c r="AG944" i="34"/>
  <c r="AG467" i="34"/>
  <c r="X363" i="2"/>
  <c r="X970" i="34" s="1"/>
  <c r="X471" i="34"/>
  <c r="BL341" i="2"/>
  <c r="BL363" i="2" s="1"/>
  <c r="BL970" i="34" s="1"/>
  <c r="X343" i="2"/>
  <c r="Y345" i="2"/>
  <c r="Y475" i="34" s="1"/>
  <c r="X333" i="2"/>
  <c r="X940" i="34" s="1"/>
  <c r="Y343" i="2"/>
  <c r="Y950" i="34" s="1"/>
  <c r="X345" i="2"/>
  <c r="AA950" i="34"/>
  <c r="AA472" i="34"/>
  <c r="AD949" i="34"/>
  <c r="AD474" i="34"/>
  <c r="AD472" i="34"/>
  <c r="AD950" i="34"/>
  <c r="AE951" i="34"/>
  <c r="AE473" i="34"/>
  <c r="AE953" i="34"/>
  <c r="AE476" i="34"/>
  <c r="Z355" i="2"/>
  <c r="Z485" i="34" s="1"/>
  <c r="Z353" i="2"/>
  <c r="AD479" i="34"/>
  <c r="AD956" i="34"/>
  <c r="AD351" i="2"/>
  <c r="AD355" i="2"/>
  <c r="AH479" i="34"/>
  <c r="AH353" i="2"/>
  <c r="AH355" i="2"/>
  <c r="AH962" i="34" s="1"/>
  <c r="AI355" i="2"/>
  <c r="AI485" i="34" s="1"/>
  <c r="AH320" i="2"/>
  <c r="AH326" i="2" s="1"/>
  <c r="AS487" i="34"/>
  <c r="BM964" i="34"/>
  <c r="BN360" i="2"/>
  <c r="BM358" i="2"/>
  <c r="BM965" i="34" s="1"/>
  <c r="BN359" i="2"/>
  <c r="AT489" i="34" s="1"/>
  <c r="BM359" i="2"/>
  <c r="BM363" i="2"/>
  <c r="BM970" i="34" s="1"/>
  <c r="AB965" i="34"/>
  <c r="AB359" i="2"/>
  <c r="AB488" i="34"/>
  <c r="W488" i="34"/>
  <c r="W359" i="2"/>
  <c r="W489" i="34" s="1"/>
  <c r="W965" i="34"/>
  <c r="U491" i="34"/>
  <c r="U968" i="34"/>
  <c r="Y968" i="34"/>
  <c r="Y491" i="34"/>
  <c r="AC968" i="34"/>
  <c r="AC491" i="34"/>
  <c r="AG968" i="34"/>
  <c r="AG491" i="34"/>
  <c r="U969" i="34"/>
  <c r="U492" i="34"/>
  <c r="Y492" i="34"/>
  <c r="Y969" i="34"/>
  <c r="Z493" i="34"/>
  <c r="Z970" i="34"/>
  <c r="AH970" i="34"/>
  <c r="AH493" i="34"/>
  <c r="BG977" i="34"/>
  <c r="AM500" i="34"/>
  <c r="AD165" i="2"/>
  <c r="AD988" i="34" s="1"/>
  <c r="AD987" i="34"/>
  <c r="BL995" i="34"/>
  <c r="AR518" i="34"/>
  <c r="BL396" i="2"/>
  <c r="BM373" i="2"/>
  <c r="BM997" i="34" s="1"/>
  <c r="BL374" i="2"/>
  <c r="BL373" i="2"/>
  <c r="AR520" i="34" s="1"/>
  <c r="S519" i="34"/>
  <c r="S996" i="34"/>
  <c r="X519" i="34"/>
  <c r="X996" i="34"/>
  <c r="AB519" i="34"/>
  <c r="AB996" i="34"/>
  <c r="AB373" i="2"/>
  <c r="AB520" i="34" s="1"/>
  <c r="AO520" i="34"/>
  <c r="BI997" i="34"/>
  <c r="S521" i="34"/>
  <c r="S998" i="34"/>
  <c r="W521" i="34"/>
  <c r="W998" i="34"/>
  <c r="AA521" i="34"/>
  <c r="AA998" i="34"/>
  <c r="S999" i="34"/>
  <c r="S522" i="34"/>
  <c r="Z387" i="2"/>
  <c r="Z534" i="34" s="1"/>
  <c r="Z1001" i="34"/>
  <c r="Z379" i="2"/>
  <c r="AA379" i="2"/>
  <c r="AA1003" i="34" s="1"/>
  <c r="AD1001" i="34"/>
  <c r="AD378" i="2"/>
  <c r="AD1002" i="34" s="1"/>
  <c r="V530" i="34"/>
  <c r="V1007" i="34"/>
  <c r="V531" i="34"/>
  <c r="V1008" i="34"/>
  <c r="V1011" i="34"/>
  <c r="V534" i="34"/>
  <c r="N398" i="2"/>
  <c r="N1022" i="34" s="1"/>
  <c r="O398" i="2"/>
  <c r="N1020" i="34"/>
  <c r="S398" i="2"/>
  <c r="R543" i="34"/>
  <c r="V543" i="34"/>
  <c r="V397" i="2"/>
  <c r="V1021" i="34" s="1"/>
  <c r="V1020" i="34"/>
  <c r="AO543" i="34"/>
  <c r="BI1020" i="34"/>
  <c r="BM419" i="2"/>
  <c r="AS567" i="34" s="1"/>
  <c r="BM418" i="2"/>
  <c r="AR564" i="34"/>
  <c r="BL1041" i="34"/>
  <c r="BL418" i="2"/>
  <c r="X565" i="34"/>
  <c r="X1042" i="34"/>
  <c r="AB418" i="2"/>
  <c r="AB1043" i="34" s="1"/>
  <c r="AB1042" i="34"/>
  <c r="AC418" i="2"/>
  <c r="AC1043" i="34" s="1"/>
  <c r="AB565" i="34"/>
  <c r="AF1042" i="34"/>
  <c r="AF418" i="2"/>
  <c r="AF565" i="34"/>
  <c r="Q1044" i="34"/>
  <c r="Q567" i="34"/>
  <c r="Y567" i="34"/>
  <c r="Y1044" i="34"/>
  <c r="M568" i="34"/>
  <c r="M1045" i="34"/>
  <c r="Q568" i="34"/>
  <c r="Q1045" i="34"/>
  <c r="O573" i="34"/>
  <c r="O1050" i="34"/>
  <c r="S1047" i="34"/>
  <c r="S423" i="2"/>
  <c r="T462" i="2"/>
  <c r="T1106" i="34"/>
  <c r="T457" i="2"/>
  <c r="T1117" i="34" s="1"/>
  <c r="T396" i="34"/>
  <c r="T392" i="2"/>
  <c r="X449" i="2"/>
  <c r="X1109" i="34" s="1"/>
  <c r="T449" i="2"/>
  <c r="T399" i="34" s="1"/>
  <c r="BK446" i="2"/>
  <c r="BK457" i="2" s="1"/>
  <c r="Y1106" i="34"/>
  <c r="Y447" i="2"/>
  <c r="Y397" i="34" s="1"/>
  <c r="Z447" i="2"/>
  <c r="AL396" i="34"/>
  <c r="BF457" i="2"/>
  <c r="AL407" i="34" s="1"/>
  <c r="W462" i="2"/>
  <c r="W396" i="34"/>
  <c r="W1106" i="34"/>
  <c r="W392" i="2"/>
  <c r="X447" i="2"/>
  <c r="X1107" i="34" s="1"/>
  <c r="W457" i="2"/>
  <c r="BK1112" i="34"/>
  <c r="BK454" i="2"/>
  <c r="AQ404" i="34" s="1"/>
  <c r="BK455" i="2"/>
  <c r="AQ405" i="34" s="1"/>
  <c r="BL454" i="2"/>
  <c r="AR404" i="34" s="1"/>
  <c r="AQ402" i="34"/>
  <c r="V403" i="34"/>
  <c r="V1113" i="34"/>
  <c r="AB1113" i="34"/>
  <c r="AB403" i="34"/>
  <c r="T405" i="34"/>
  <c r="T1115" i="34"/>
  <c r="AE405" i="34"/>
  <c r="AE1115" i="34"/>
  <c r="AO405" i="34"/>
  <c r="BI1115" i="34"/>
  <c r="BK1119" i="34"/>
  <c r="BK460" i="2"/>
  <c r="AQ409" i="34"/>
  <c r="AA410" i="34"/>
  <c r="AA1120" i="34"/>
  <c r="Y1121" i="34"/>
  <c r="Y411" i="34"/>
  <c r="AL410" i="34"/>
  <c r="BF1120" i="34"/>
  <c r="AU474" i="2"/>
  <c r="AY474" i="2"/>
  <c r="BC474" i="2"/>
  <c r="AS459" i="34"/>
  <c r="AA404" i="2"/>
  <c r="AA1029" i="34" s="1"/>
  <c r="AA403" i="2"/>
  <c r="AG424" i="2"/>
  <c r="AG423" i="2"/>
  <c r="AG571" i="34" s="1"/>
  <c r="AG425" i="2"/>
  <c r="AG573" i="34" s="1"/>
  <c r="BL565" i="2"/>
  <c r="AR327" i="34" s="1"/>
  <c r="R325" i="34"/>
  <c r="AL847" i="34"/>
  <c r="AH351" i="2"/>
  <c r="AE959" i="34"/>
  <c r="AE482" i="34"/>
  <c r="AC306" i="2"/>
  <c r="AC918" i="34"/>
  <c r="AC308" i="2"/>
  <c r="AC309" i="2"/>
  <c r="AC443" i="34" s="1"/>
  <c r="AF843" i="34"/>
  <c r="AF349" i="34"/>
  <c r="T1110" i="34"/>
  <c r="T400" i="34"/>
  <c r="BA519" i="2"/>
  <c r="AW755" i="34"/>
  <c r="AM508" i="2"/>
  <c r="AM744" i="34" s="1"/>
  <c r="AB498" i="34"/>
  <c r="AB113" i="2"/>
  <c r="AB975" i="34"/>
  <c r="X975" i="34"/>
  <c r="X110" i="2"/>
  <c r="X976" i="34" s="1"/>
  <c r="X111" i="2"/>
  <c r="X977" i="34" s="1"/>
  <c r="T112" i="2"/>
  <c r="T111" i="2"/>
  <c r="T500" i="34" s="1"/>
  <c r="T498" i="34"/>
  <c r="P498" i="34"/>
  <c r="P112" i="2"/>
  <c r="P501" i="34" s="1"/>
  <c r="AC778" i="34"/>
  <c r="AC227" i="14"/>
  <c r="AC229" i="14" s="1"/>
  <c r="BP371" i="2"/>
  <c r="AV518" i="34" s="1"/>
  <c r="BN169" i="2"/>
  <c r="BN92" i="2"/>
  <c r="AN275" i="34"/>
  <c r="BH10" i="14"/>
  <c r="BH152" i="14" s="1"/>
  <c r="AN636" i="34" s="1"/>
  <c r="O18" i="2"/>
  <c r="P20" i="2" s="1"/>
  <c r="O10" i="14"/>
  <c r="O698" i="34"/>
  <c r="S18" i="2"/>
  <c r="S19" i="2" s="1"/>
  <c r="S698" i="34"/>
  <c r="S10" i="14"/>
  <c r="S577" i="34" s="1"/>
  <c r="W18" i="2"/>
  <c r="W19" i="2" s="1"/>
  <c r="W275" i="34"/>
  <c r="W494" i="2"/>
  <c r="W698" i="34"/>
  <c r="AA254" i="2"/>
  <c r="AA1060" i="34" s="1"/>
  <c r="AA256" i="2"/>
  <c r="AA1062" i="34" s="1"/>
  <c r="AA259" i="2"/>
  <c r="AA1065" i="34" s="1"/>
  <c r="AA10" i="14"/>
  <c r="AA29" i="14" s="1"/>
  <c r="AE254" i="2"/>
  <c r="AE1060" i="34" s="1"/>
  <c r="AE275" i="34"/>
  <c r="AE258" i="2"/>
  <c r="AE1064" i="34" s="1"/>
  <c r="AE259" i="2"/>
  <c r="AE1065" i="34" s="1"/>
  <c r="AE57" i="2"/>
  <c r="AI93" i="2"/>
  <c r="AI169" i="2"/>
  <c r="AD194" i="2"/>
  <c r="AB326" i="34"/>
  <c r="BN236" i="14"/>
  <c r="AT689" i="34" s="1"/>
  <c r="S328" i="34"/>
  <c r="T393" i="2"/>
  <c r="AM507" i="2"/>
  <c r="AK372" i="2"/>
  <c r="AK996" i="34" s="1"/>
  <c r="BR559" i="2"/>
  <c r="Y335" i="2"/>
  <c r="Y464" i="34" s="1"/>
  <c r="AA458" i="34"/>
  <c r="Z945" i="34"/>
  <c r="X509" i="2"/>
  <c r="X745" i="34" s="1"/>
  <c r="BX559" i="2"/>
  <c r="BX796" i="34" s="1"/>
  <c r="Z559" i="2"/>
  <c r="AB581" i="2"/>
  <c r="BJ1047" i="34"/>
  <c r="BJ423" i="2"/>
  <c r="Q544" i="34"/>
  <c r="AG960" i="34"/>
  <c r="AU359" i="2"/>
  <c r="AU966" i="34" s="1"/>
  <c r="AU965" i="34"/>
  <c r="AG794" i="34"/>
  <c r="P1122" i="34"/>
  <c r="BI1016" i="34"/>
  <c r="AM15" i="2"/>
  <c r="AM699" i="34" s="1"/>
  <c r="AH257" i="2"/>
  <c r="AH1063" i="34" s="1"/>
  <c r="V559" i="2"/>
  <c r="V796" i="34" s="1"/>
  <c r="BM92" i="2"/>
  <c r="BM93" i="2"/>
  <c r="AB325" i="34"/>
  <c r="AF847" i="34"/>
  <c r="AC484" i="34"/>
  <c r="AC961" i="34"/>
  <c r="AC747" i="34"/>
  <c r="AF820" i="34"/>
  <c r="Z405" i="34"/>
  <c r="W1109" i="34"/>
  <c r="AH49" i="2"/>
  <c r="AH52" i="2" s="1"/>
  <c r="AH712" i="34" s="1"/>
  <c r="W537" i="34"/>
  <c r="N793" i="34"/>
  <c r="AI303" i="34"/>
  <c r="BM742" i="34"/>
  <c r="T802" i="34"/>
  <c r="AN858" i="34"/>
  <c r="AN613" i="2"/>
  <c r="AN857" i="34" s="1"/>
  <c r="AC534" i="2"/>
  <c r="AC311" i="34"/>
  <c r="AC727" i="34"/>
  <c r="BH727" i="34"/>
  <c r="W532" i="2"/>
  <c r="Y545" i="2" s="1"/>
  <c r="W249" i="14"/>
  <c r="W507" i="2"/>
  <c r="W743" i="34" s="1"/>
  <c r="BK106" i="14"/>
  <c r="BK778" i="34"/>
  <c r="Q339" i="34"/>
  <c r="Q559" i="2"/>
  <c r="Q793" i="34"/>
  <c r="Q557" i="2"/>
  <c r="U793" i="34"/>
  <c r="U557" i="2"/>
  <c r="U558" i="2" s="1"/>
  <c r="Y557" i="2"/>
  <c r="Y793" i="34"/>
  <c r="AC559" i="2"/>
  <c r="AC558" i="2" s="1"/>
  <c r="AC339" i="34"/>
  <c r="AG324" i="34"/>
  <c r="AG566" i="2"/>
  <c r="BM801" i="34"/>
  <c r="BM565" i="2"/>
  <c r="CD562" i="2"/>
  <c r="BM236" i="14"/>
  <c r="AS689" i="34" s="1"/>
  <c r="AE325" i="34"/>
  <c r="AE802" i="34"/>
  <c r="AE581" i="2"/>
  <c r="AE820" i="34" s="1"/>
  <c r="AA803" i="34"/>
  <c r="AA326" i="34"/>
  <c r="AE814" i="34"/>
  <c r="AE576" i="2"/>
  <c r="AE815" i="34" s="1"/>
  <c r="AD348" i="34"/>
  <c r="Z599" i="2"/>
  <c r="Z348" i="34" s="1"/>
  <c r="AM605" i="2"/>
  <c r="AM848" i="34" s="1"/>
  <c r="AM606" i="2"/>
  <c r="AM849" i="34" s="1"/>
  <c r="AI847" i="34"/>
  <c r="AD618" i="2"/>
  <c r="AH619" i="2" s="1"/>
  <c r="AH863" i="34" s="1"/>
  <c r="AD857" i="34"/>
  <c r="AD358" i="34"/>
  <c r="AI862" i="34"/>
  <c r="AI639" i="2"/>
  <c r="AD632" i="2"/>
  <c r="AH633" i="2" s="1"/>
  <c r="AH878" i="34" s="1"/>
  <c r="Z627" i="2"/>
  <c r="AE918" i="34"/>
  <c r="AE306" i="2"/>
  <c r="O935" i="34"/>
  <c r="O458" i="34"/>
  <c r="AG941" i="34"/>
  <c r="AG466" i="34"/>
  <c r="AA464" i="34"/>
  <c r="AA942" i="34"/>
  <c r="AE464" i="34"/>
  <c r="AE942" i="34"/>
  <c r="AH467" i="34"/>
  <c r="AH944" i="34"/>
  <c r="AA468" i="34"/>
  <c r="AA945" i="34"/>
  <c r="AE353" i="2"/>
  <c r="AE483" i="34" s="1"/>
  <c r="AE355" i="2"/>
  <c r="AE350" i="2"/>
  <c r="AM354" i="2"/>
  <c r="AM961" i="34" s="1"/>
  <c r="AI956" i="34"/>
  <c r="AI353" i="2"/>
  <c r="AI960" i="34" s="1"/>
  <c r="AI351" i="2"/>
  <c r="U360" i="2"/>
  <c r="U967" i="34" s="1"/>
  <c r="Q964" i="34"/>
  <c r="BN964" i="34"/>
  <c r="CA357" i="2"/>
  <c r="P519" i="34"/>
  <c r="P996" i="34"/>
  <c r="AE524" i="34"/>
  <c r="AE1001" i="34"/>
  <c r="V526" i="34"/>
  <c r="V1003" i="34"/>
  <c r="BN998" i="34"/>
  <c r="BK851" i="34"/>
  <c r="AV358" i="2"/>
  <c r="AV359" i="2" s="1"/>
  <c r="AV966" i="34" s="1"/>
  <c r="AM633" i="2"/>
  <c r="AM878" i="34" s="1"/>
  <c r="AM634" i="2"/>
  <c r="AM879" i="34" s="1"/>
  <c r="AM877" i="34"/>
  <c r="AM639" i="2"/>
  <c r="AM644" i="2" s="1"/>
  <c r="X507" i="2"/>
  <c r="X743" i="34" s="1"/>
  <c r="BL506" i="2"/>
  <c r="BL742" i="34" s="1"/>
  <c r="X532" i="2"/>
  <c r="X227" i="14" s="1"/>
  <c r="AF744" i="34"/>
  <c r="AA511" i="2"/>
  <c r="AE512" i="2" s="1"/>
  <c r="AA755" i="34"/>
  <c r="AE759" i="34"/>
  <c r="AE524" i="2"/>
  <c r="AE760" i="34" s="1"/>
  <c r="BN792" i="34"/>
  <c r="AT338" i="34"/>
  <c r="AY339" i="34"/>
  <c r="BT559" i="2"/>
  <c r="AZ342" i="34" s="1"/>
  <c r="BS793" i="34"/>
  <c r="R793" i="34"/>
  <c r="R557" i="2"/>
  <c r="V557" i="2"/>
  <c r="V339" i="34"/>
  <c r="Z793" i="34"/>
  <c r="Z339" i="34"/>
  <c r="AD339" i="34"/>
  <c r="AD559" i="2"/>
  <c r="BJ556" i="2"/>
  <c r="BJ565" i="2"/>
  <c r="BK565" i="2"/>
  <c r="BN556" i="2"/>
  <c r="AT324" i="34"/>
  <c r="CB562" i="2"/>
  <c r="BN164" i="2"/>
  <c r="BN987" i="34" s="1"/>
  <c r="CE562" i="2"/>
  <c r="CA562" i="2"/>
  <c r="BN564" i="2"/>
  <c r="P325" i="34"/>
  <c r="P802" i="34"/>
  <c r="AF325" i="34"/>
  <c r="AF802" i="34"/>
  <c r="AF326" i="34"/>
  <c r="AF803" i="34"/>
  <c r="O327" i="34"/>
  <c r="O804" i="34"/>
  <c r="AA804" i="34"/>
  <c r="AA327" i="34"/>
  <c r="O805" i="34"/>
  <c r="O328" i="34"/>
  <c r="AA805" i="34"/>
  <c r="AA328" i="34"/>
  <c r="AG943" i="34"/>
  <c r="AG465" i="34"/>
  <c r="AB970" i="34"/>
  <c r="AB493" i="34"/>
  <c r="AD237" i="14"/>
  <c r="AD690" i="34" s="1"/>
  <c r="Q113" i="2"/>
  <c r="Q502" i="34" s="1"/>
  <c r="O16" i="2"/>
  <c r="O277" i="34" s="1"/>
  <c r="AJ92" i="2"/>
  <c r="R26" i="2"/>
  <c r="AH372" i="2"/>
  <c r="AH996" i="34" s="1"/>
  <c r="AF423" i="2"/>
  <c r="AF571" i="34" s="1"/>
  <c r="AB495" i="2"/>
  <c r="AB732" i="34" s="1"/>
  <c r="Y473" i="2"/>
  <c r="Y419" i="34" s="1"/>
  <c r="AC111" i="2"/>
  <c r="AC500" i="34" s="1"/>
  <c r="BH15" i="2"/>
  <c r="AN276" i="34" s="1"/>
  <c r="AP38" i="2"/>
  <c r="AP419" i="2"/>
  <c r="AP1044" i="34" s="1"/>
  <c r="AO522" i="2"/>
  <c r="AO758" i="34" s="1"/>
  <c r="S26" i="2"/>
  <c r="BK575" i="2"/>
  <c r="BK814" i="34" s="1"/>
  <c r="AN254" i="2"/>
  <c r="AG60" i="2"/>
  <c r="AF477" i="2"/>
  <c r="AF422" i="34" s="1"/>
  <c r="AD275" i="34"/>
  <c r="AN87" i="2"/>
  <c r="BP91" i="2"/>
  <c r="BP169" i="2" s="1"/>
  <c r="BP227" i="14" s="1"/>
  <c r="AM275" i="34"/>
  <c r="V10" i="14"/>
  <c r="V120" i="14" s="1"/>
  <c r="BP357" i="2"/>
  <c r="CD357" i="2" s="1"/>
  <c r="AL61" i="2"/>
  <c r="AL721" i="34" s="1"/>
  <c r="AQ1219" i="34"/>
  <c r="AH88" i="2"/>
  <c r="AO545" i="2"/>
  <c r="AO771" i="34" s="1"/>
  <c r="Z814" i="34"/>
  <c r="Y778" i="34"/>
  <c r="AD257" i="2"/>
  <c r="AD1063" i="34" s="1"/>
  <c r="R698" i="34"/>
  <c r="AI121" i="2"/>
  <c r="AO361" i="2"/>
  <c r="AO968" i="34" s="1"/>
  <c r="AM59" i="2"/>
  <c r="AM719" i="34" s="1"/>
  <c r="AO498" i="2"/>
  <c r="AM498" i="2"/>
  <c r="AM735" i="34" s="1"/>
  <c r="V26" i="2"/>
  <c r="AL58" i="2"/>
  <c r="AL718" i="34" s="1"/>
  <c r="AG275" i="34"/>
  <c r="AH436" i="2"/>
  <c r="AH1055" i="34" s="1"/>
  <c r="AO350" i="2"/>
  <c r="AO957" i="34" s="1"/>
  <c r="AI119" i="2"/>
  <c r="Z258" i="2"/>
  <c r="Z1064" i="34" s="1"/>
  <c r="Y112" i="2"/>
  <c r="Y501" i="34" s="1"/>
  <c r="AM88" i="2"/>
  <c r="AO520" i="2"/>
  <c r="AO756" i="34" s="1"/>
  <c r="AP320" i="2"/>
  <c r="AP335" i="2"/>
  <c r="AP942" i="34" s="1"/>
  <c r="AL717" i="34"/>
  <c r="AB727" i="34"/>
  <c r="AI417" i="2"/>
  <c r="AI1042" i="34" s="1"/>
  <c r="AS490" i="2"/>
  <c r="AS19" i="1" s="1"/>
  <c r="AD576" i="2"/>
  <c r="AD815" i="34" s="1"/>
  <c r="AH375" i="2"/>
  <c r="AH522" i="34" s="1"/>
  <c r="V18" i="2"/>
  <c r="AJ564" i="34"/>
  <c r="AA418" i="34"/>
  <c r="AO341" i="2"/>
  <c r="AM85" i="2"/>
  <c r="AO92" i="2"/>
  <c r="AN92" i="2"/>
  <c r="BG10" i="14"/>
  <c r="BG65" i="14" s="1"/>
  <c r="AM616" i="34" s="1"/>
  <c r="Z257" i="2"/>
  <c r="Z1063" i="34" s="1"/>
  <c r="AA16" i="2"/>
  <c r="AA277" i="34" s="1"/>
  <c r="Z255" i="2"/>
  <c r="Z1061" i="34" s="1"/>
  <c r="V15" i="2"/>
  <c r="V699" i="34" s="1"/>
  <c r="Y975" i="34"/>
  <c r="AB475" i="2"/>
  <c r="AB420" i="34" s="1"/>
  <c r="AM86" i="2"/>
  <c r="AD498" i="34"/>
  <c r="BN83" i="2"/>
  <c r="BN88" i="2" s="1"/>
  <c r="Z10" i="14"/>
  <c r="Z577" i="34" s="1"/>
  <c r="AN360" i="2"/>
  <c r="AN967" i="34" s="1"/>
  <c r="AP518" i="2"/>
  <c r="AP520" i="2" s="1"/>
  <c r="AP756" i="34" s="1"/>
  <c r="AS96" i="2"/>
  <c r="AP137" i="2"/>
  <c r="AP355" i="2"/>
  <c r="AP962" i="34" s="1"/>
  <c r="AP420" i="2"/>
  <c r="AP1045" i="34" s="1"/>
  <c r="W26" i="2"/>
  <c r="AI420" i="2"/>
  <c r="AI1045" i="34" s="1"/>
  <c r="AM315" i="2"/>
  <c r="AM928" i="34" s="1"/>
  <c r="AP1219" i="34"/>
  <c r="AB494" i="2"/>
  <c r="AB731" i="34" s="1"/>
  <c r="AK374" i="2"/>
  <c r="AK998" i="34" s="1"/>
  <c r="AH419" i="2"/>
  <c r="AH1044" i="34" s="1"/>
  <c r="AH564" i="34"/>
  <c r="AO494" i="2"/>
  <c r="AO731" i="34" s="1"/>
  <c r="AI88" i="2"/>
  <c r="AO258" i="2"/>
  <c r="AS258" i="2" s="1"/>
  <c r="AW258" i="2" s="1"/>
  <c r="AW290" i="2" s="1"/>
  <c r="AW1097" i="34" s="1"/>
  <c r="AK375" i="2"/>
  <c r="AK999" i="34" s="1"/>
  <c r="AA545" i="2"/>
  <c r="AA771" i="34" s="1"/>
  <c r="AN534" i="2"/>
  <c r="AN780" i="34" s="1"/>
  <c r="AO358" i="2"/>
  <c r="AO965" i="34" s="1"/>
  <c r="AM925" i="34"/>
  <c r="AJ396" i="2"/>
  <c r="AJ543" i="34" s="1"/>
  <c r="Q311" i="34"/>
  <c r="AB480" i="2"/>
  <c r="AB431" i="34" s="1"/>
  <c r="AC569" i="2"/>
  <c r="AC331" i="34" s="1"/>
  <c r="AJ361" i="2"/>
  <c r="AJ491" i="34" s="1"/>
  <c r="Y326" i="2"/>
  <c r="AO754" i="34"/>
  <c r="AM84" i="2"/>
  <c r="AM96" i="2" s="1"/>
  <c r="AN94" i="2"/>
  <c r="AJ463" i="34"/>
  <c r="Z698" i="34"/>
  <c r="BG698" i="34"/>
  <c r="R275" i="34"/>
  <c r="Z254" i="2"/>
  <c r="AD275" i="2" s="1"/>
  <c r="AD1082" i="34" s="1"/>
  <c r="Z57" i="2"/>
  <c r="AA62" i="2" s="1"/>
  <c r="AA306" i="34" s="1"/>
  <c r="Z256" i="2"/>
  <c r="Z1062" i="34" s="1"/>
  <c r="W16" i="2"/>
  <c r="W277" i="34" s="1"/>
  <c r="S16" i="2"/>
  <c r="Q498" i="34"/>
  <c r="AP88" i="2"/>
  <c r="AP89" i="2" s="1"/>
  <c r="AP350" i="2"/>
  <c r="AP957" i="34" s="1"/>
  <c r="AP337" i="2"/>
  <c r="AP944" i="34" s="1"/>
  <c r="AP351" i="2"/>
  <c r="AP958" i="34" s="1"/>
  <c r="AP396" i="2"/>
  <c r="AM313" i="2"/>
  <c r="AM926" i="34" s="1"/>
  <c r="BP312" i="2"/>
  <c r="BP314" i="2" s="1"/>
  <c r="AV448" i="34" s="1"/>
  <c r="AH420" i="2"/>
  <c r="AH1045" i="34" s="1"/>
  <c r="AH1041" i="34"/>
  <c r="AO534" i="2"/>
  <c r="AO780" i="34" s="1"/>
  <c r="AG814" i="34"/>
  <c r="Z18" i="2"/>
  <c r="U491" i="2"/>
  <c r="U312" i="34" s="1"/>
  <c r="AB418" i="34"/>
  <c r="Y227" i="14"/>
  <c r="Y229" i="14" s="1"/>
  <c r="Y139" i="14" s="1"/>
  <c r="Y569" i="2"/>
  <c r="Y808" i="34" s="1"/>
  <c r="N698" i="34"/>
  <c r="AM87" i="2"/>
  <c r="AI118" i="2"/>
  <c r="AO354" i="2"/>
  <c r="AO961" i="34" s="1"/>
  <c r="Z259" i="2"/>
  <c r="Z1065" i="34" s="1"/>
  <c r="R10" i="14"/>
  <c r="R577" i="34" s="1"/>
  <c r="AI85" i="2"/>
  <c r="AD110" i="2"/>
  <c r="BK1047" i="34"/>
  <c r="AJ359" i="34"/>
  <c r="BN997" i="34"/>
  <c r="AT520" i="34"/>
  <c r="AG570" i="34"/>
  <c r="Z1048" i="34"/>
  <c r="Q728" i="34"/>
  <c r="AJ418" i="34"/>
  <c r="AD449" i="34"/>
  <c r="AA1021" i="34"/>
  <c r="AE961" i="34"/>
  <c r="AG804" i="34"/>
  <c r="AC340" i="34"/>
  <c r="BL804" i="34"/>
  <c r="BH1021" i="34"/>
  <c r="AJ487" i="34"/>
  <c r="BH491" i="2"/>
  <c r="BH569" i="2"/>
  <c r="BI570" i="2" s="1"/>
  <c r="Y491" i="2"/>
  <c r="Y495" i="2"/>
  <c r="Y315" i="34" s="1"/>
  <c r="Q569" i="2"/>
  <c r="Q570" i="2" s="1"/>
  <c r="Q61" i="14"/>
  <c r="AC495" i="2"/>
  <c r="AC732" i="34" s="1"/>
  <c r="BG778" i="34"/>
  <c r="AL507" i="2"/>
  <c r="AC326" i="2"/>
  <c r="AC494" i="2"/>
  <c r="AC314" i="34" s="1"/>
  <c r="M491" i="2"/>
  <c r="U1012" i="34"/>
  <c r="Y483" i="34"/>
  <c r="AM350" i="2"/>
  <c r="AM957" i="34" s="1"/>
  <c r="BK599" i="2"/>
  <c r="AQ348" i="34" s="1"/>
  <c r="AE803" i="34"/>
  <c r="M793" i="34"/>
  <c r="W1011" i="34"/>
  <c r="AE378" i="2"/>
  <c r="AA380" i="2"/>
  <c r="Y459" i="34"/>
  <c r="U1115" i="34"/>
  <c r="T998" i="34"/>
  <c r="AE308" i="2"/>
  <c r="N1045" i="34"/>
  <c r="V968" i="34"/>
  <c r="AD866" i="34"/>
  <c r="AS564" i="34"/>
  <c r="AG1047" i="34"/>
  <c r="AK478" i="2"/>
  <c r="U342" i="34"/>
  <c r="Y796" i="34"/>
  <c r="AG339" i="34"/>
  <c r="BN559" i="2"/>
  <c r="BH494" i="2"/>
  <c r="U61" i="14"/>
  <c r="U569" i="2"/>
  <c r="U331" i="34" s="1"/>
  <c r="Q496" i="2"/>
  <c r="M61" i="14"/>
  <c r="Y727" i="34"/>
  <c r="AC491" i="2"/>
  <c r="AC312" i="34" s="1"/>
  <c r="AC498" i="2"/>
  <c r="AN311" i="34"/>
  <c r="U494" i="2"/>
  <c r="U314" i="34" s="1"/>
  <c r="BJ1117" i="34"/>
  <c r="AA325" i="34"/>
  <c r="O325" i="34"/>
  <c r="AE530" i="34"/>
  <c r="AS529" i="34"/>
  <c r="AE380" i="2"/>
  <c r="AE527" i="34" s="1"/>
  <c r="AE387" i="2"/>
  <c r="AE534" i="34" s="1"/>
  <c r="P565" i="34"/>
  <c r="T996" i="34"/>
  <c r="AC941" i="34"/>
  <c r="AD450" i="34"/>
  <c r="AM410" i="34"/>
  <c r="V411" i="34"/>
  <c r="BF1115" i="34"/>
  <c r="AG398" i="34"/>
  <c r="AF999" i="34"/>
  <c r="AB522" i="34"/>
  <c r="V851" i="34"/>
  <c r="V1004" i="34"/>
  <c r="R1044" i="34"/>
  <c r="AJ478" i="2"/>
  <c r="AJ423" i="34" s="1"/>
  <c r="Z1116" i="34"/>
  <c r="AP570" i="34"/>
  <c r="AJ882" i="34"/>
  <c r="AG793" i="34"/>
  <c r="BN557" i="2"/>
  <c r="AT340" i="34" s="1"/>
  <c r="Z450" i="2"/>
  <c r="Z400" i="34" s="1"/>
  <c r="AH303" i="34"/>
  <c r="U727" i="34"/>
  <c r="U326" i="2"/>
  <c r="U330" i="2" s="1"/>
  <c r="U495" i="2"/>
  <c r="U732" i="34" s="1"/>
  <c r="Q727" i="34"/>
  <c r="M727" i="34"/>
  <c r="Y498" i="2"/>
  <c r="Y501" i="2" s="1"/>
  <c r="Y737" i="34" s="1"/>
  <c r="AC61" i="14"/>
  <c r="BM164" i="2"/>
  <c r="W326" i="34"/>
  <c r="W532" i="34"/>
  <c r="AA1001" i="34"/>
  <c r="Q937" i="34"/>
  <c r="W1120" i="34"/>
  <c r="T1116" i="34"/>
  <c r="T522" i="34"/>
  <c r="AC1042" i="34"/>
  <c r="M570" i="2"/>
  <c r="M331" i="34"/>
  <c r="M571" i="2"/>
  <c r="M810" i="34" s="1"/>
  <c r="AJ964" i="34"/>
  <c r="M311" i="34"/>
  <c r="BO357" i="2"/>
  <c r="CC357" i="2" s="1"/>
  <c r="Q495" i="2"/>
  <c r="Q732" i="34" s="1"/>
  <c r="AJ358" i="2"/>
  <c r="AJ359" i="2" s="1"/>
  <c r="AJ489" i="34" s="1"/>
  <c r="AJ360" i="2"/>
  <c r="AJ490" i="34" s="1"/>
  <c r="AL579" i="2"/>
  <c r="AL818" i="34" s="1"/>
  <c r="AB922" i="34"/>
  <c r="AB443" i="34"/>
  <c r="Y389" i="2"/>
  <c r="Y536" i="34" s="1"/>
  <c r="AA405" i="2"/>
  <c r="AB918" i="34"/>
  <c r="X388" i="2"/>
  <c r="X535" i="34" s="1"/>
  <c r="AS493" i="34"/>
  <c r="AD525" i="34"/>
  <c r="AA1027" i="34"/>
  <c r="V805" i="34"/>
  <c r="AB448" i="34"/>
  <c r="U1014" i="34"/>
  <c r="AA474" i="34"/>
  <c r="AA476" i="2"/>
  <c r="AA421" i="34" s="1"/>
  <c r="S36" i="14"/>
  <c r="S610" i="34" s="1"/>
  <c r="AM141" i="14"/>
  <c r="AM144" i="14"/>
  <c r="AG228" i="14"/>
  <c r="AC237" i="14"/>
  <c r="AC690" i="34" s="1"/>
  <c r="AP1218" i="34"/>
  <c r="AH498" i="2"/>
  <c r="AH735" i="34" s="1"/>
  <c r="AS25" i="1"/>
  <c r="AS1218" i="34" s="1"/>
  <c r="AO257" i="2"/>
  <c r="AO1063" i="34" s="1"/>
  <c r="AO71" i="2"/>
  <c r="AI476" i="2"/>
  <c r="AI421" i="34" s="1"/>
  <c r="AI259" i="2"/>
  <c r="AD113" i="2"/>
  <c r="AC112" i="2"/>
  <c r="AH40" i="2"/>
  <c r="AH255" i="2"/>
  <c r="AH1061" i="34" s="1"/>
  <c r="AH259" i="2"/>
  <c r="AH1065" i="34" s="1"/>
  <c r="AH18" i="2"/>
  <c r="AJ311" i="34"/>
  <c r="AH495" i="2"/>
  <c r="AH315" i="34" s="1"/>
  <c r="AO256" i="2"/>
  <c r="AO1062" i="34" s="1"/>
  <c r="AO254" i="2"/>
  <c r="AS254" i="2" s="1"/>
  <c r="AS1060" i="34" s="1"/>
  <c r="AO698" i="34"/>
  <c r="AI275" i="34"/>
  <c r="AI254" i="2"/>
  <c r="AI1060" i="34" s="1"/>
  <c r="AQ964" i="34"/>
  <c r="AC110" i="2"/>
  <c r="AC976" i="34" s="1"/>
  <c r="AC113" i="2"/>
  <c r="AC980" i="34" s="1"/>
  <c r="AH258" i="2"/>
  <c r="AH1064" i="34" s="1"/>
  <c r="AH256" i="2"/>
  <c r="AH1062" i="34" s="1"/>
  <c r="AH254" i="2"/>
  <c r="AH275" i="2" s="1"/>
  <c r="AH1082" i="34" s="1"/>
  <c r="AO49" i="2"/>
  <c r="AO709" i="34" s="1"/>
  <c r="AO18" i="2"/>
  <c r="AI256" i="2"/>
  <c r="AI1062" i="34" s="1"/>
  <c r="AC975" i="34"/>
  <c r="AH476" i="2"/>
  <c r="AH421" i="34" s="1"/>
  <c r="AH10" i="14"/>
  <c r="AH15" i="2"/>
  <c r="AH699" i="34" s="1"/>
  <c r="AH698" i="34"/>
  <c r="AI430" i="2"/>
  <c r="AD516" i="2"/>
  <c r="AD752" i="34" s="1"/>
  <c r="X526" i="34"/>
  <c r="AG362" i="2"/>
  <c r="AG492" i="34" s="1"/>
  <c r="AF385" i="2"/>
  <c r="AA398" i="2"/>
  <c r="AC515" i="2"/>
  <c r="AC751" i="34" s="1"/>
  <c r="AC516" i="2"/>
  <c r="AC752" i="34" s="1"/>
  <c r="AE473" i="2"/>
  <c r="AE419" i="34" s="1"/>
  <c r="BM523" i="2"/>
  <c r="BM759" i="34" s="1"/>
  <c r="Z238" i="14"/>
  <c r="Z691" i="34" s="1"/>
  <c r="AH228" i="14"/>
  <c r="BM174" i="2"/>
  <c r="AJ639" i="2"/>
  <c r="AJ377" i="34" s="1"/>
  <c r="AE174" i="2"/>
  <c r="W174" i="2"/>
  <c r="X179" i="2" s="1"/>
  <c r="AE173" i="2"/>
  <c r="AE189" i="2" s="1"/>
  <c r="V398" i="2"/>
  <c r="V545" i="34" s="1"/>
  <c r="BL419" i="2"/>
  <c r="S496" i="2"/>
  <c r="S733" i="34" s="1"/>
  <c r="S477" i="2"/>
  <c r="S422" i="34" s="1"/>
  <c r="S331" i="34"/>
  <c r="S808" i="34"/>
  <c r="AN473" i="2"/>
  <c r="AR474" i="2" s="1"/>
  <c r="AK475" i="2"/>
  <c r="BO472" i="2"/>
  <c r="AU418" i="34" s="1"/>
  <c r="O476" i="2"/>
  <c r="O421" i="34" s="1"/>
  <c r="AJ473" i="2"/>
  <c r="AJ419" i="34" s="1"/>
  <c r="AJ477" i="2"/>
  <c r="AJ422" i="34" s="1"/>
  <c r="AP15" i="2"/>
  <c r="AP699" i="34" s="1"/>
  <c r="BM227" i="14"/>
  <c r="AK259" i="2"/>
  <c r="AK1065" i="34" s="1"/>
  <c r="AJ475" i="2"/>
  <c r="AJ420" i="34" s="1"/>
  <c r="AC545" i="2"/>
  <c r="P475" i="2"/>
  <c r="P420" i="34" s="1"/>
  <c r="AE862" i="34"/>
  <c r="AI619" i="2"/>
  <c r="AI863" i="34" s="1"/>
  <c r="AS396" i="34"/>
  <c r="BM457" i="2"/>
  <c r="AS407" i="34" s="1"/>
  <c r="AB920" i="34"/>
  <c r="U358" i="34"/>
  <c r="AH559" i="2"/>
  <c r="AH557" i="2"/>
  <c r="AH794" i="34" s="1"/>
  <c r="W967" i="34"/>
  <c r="W490" i="34"/>
  <c r="AS91" i="2"/>
  <c r="AH339" i="34"/>
  <c r="Y857" i="34"/>
  <c r="Y358" i="34"/>
  <c r="X534" i="34"/>
  <c r="X389" i="2"/>
  <c r="BL387" i="2"/>
  <c r="AR534" i="34" s="1"/>
  <c r="AC1117" i="34"/>
  <c r="AC407" i="34"/>
  <c r="Z857" i="34"/>
  <c r="Z618" i="2"/>
  <c r="Z358" i="34"/>
  <c r="AH569" i="2"/>
  <c r="AH801" i="34"/>
  <c r="AH575" i="2"/>
  <c r="AH576" i="2" s="1"/>
  <c r="AH815" i="34" s="1"/>
  <c r="AH164" i="2"/>
  <c r="AB794" i="34"/>
  <c r="S794" i="34"/>
  <c r="S340" i="34"/>
  <c r="S1021" i="34"/>
  <c r="S544" i="34"/>
  <c r="W604" i="2"/>
  <c r="W847" i="34" s="1"/>
  <c r="W842" i="34"/>
  <c r="W348" i="34"/>
  <c r="AE842" i="34"/>
  <c r="AE348" i="34"/>
  <c r="AA599" i="2"/>
  <c r="AA842" i="34" s="1"/>
  <c r="AE604" i="2"/>
  <c r="AU348" i="34"/>
  <c r="BO842" i="34"/>
  <c r="AJ847" i="34"/>
  <c r="AJ605" i="2"/>
  <c r="AJ848" i="34" s="1"/>
  <c r="BO604" i="2"/>
  <c r="AE353" i="34"/>
  <c r="AA608" i="2"/>
  <c r="AE851" i="34"/>
  <c r="W857" i="34"/>
  <c r="W358" i="34"/>
  <c r="W618" i="2"/>
  <c r="W862" i="34" s="1"/>
  <c r="AE857" i="34"/>
  <c r="AA613" i="2"/>
  <c r="AA857" i="34" s="1"/>
  <c r="AE358" i="34"/>
  <c r="AU358" i="34"/>
  <c r="BO857" i="34"/>
  <c r="W866" i="34"/>
  <c r="W363" i="34"/>
  <c r="AA622" i="2"/>
  <c r="AA866" i="34" s="1"/>
  <c r="AE866" i="34"/>
  <c r="AE363" i="34"/>
  <c r="AA627" i="2"/>
  <c r="AE632" i="2"/>
  <c r="AI634" i="2" s="1"/>
  <c r="AI879" i="34" s="1"/>
  <c r="AL877" i="34"/>
  <c r="AL634" i="2"/>
  <c r="AL879" i="34" s="1"/>
  <c r="AL639" i="2"/>
  <c r="AC881" i="34"/>
  <c r="AC373" i="34"/>
  <c r="AG637" i="2"/>
  <c r="Y636" i="2"/>
  <c r="AR373" i="34"/>
  <c r="BL881" i="34"/>
  <c r="BK636" i="2"/>
  <c r="X897" i="34"/>
  <c r="X386" i="34"/>
  <c r="AD897" i="34"/>
  <c r="AD386" i="34"/>
  <c r="AE314" i="2"/>
  <c r="W312" i="2"/>
  <c r="AA314" i="2" s="1"/>
  <c r="AA925" i="34"/>
  <c r="BM312" i="2"/>
  <c r="AG926" i="34"/>
  <c r="AG447" i="34"/>
  <c r="AG449" i="34"/>
  <c r="AG928" i="34"/>
  <c r="AE929" i="34"/>
  <c r="AE450" i="34"/>
  <c r="AS456" i="34"/>
  <c r="BM362" i="2"/>
  <c r="BM321" i="2"/>
  <c r="AS457" i="34" s="1"/>
  <c r="BM346" i="2"/>
  <c r="T934" i="34"/>
  <c r="T457" i="34"/>
  <c r="X934" i="34"/>
  <c r="X457" i="34"/>
  <c r="Q458" i="34"/>
  <c r="Q935" i="34"/>
  <c r="U935" i="34"/>
  <c r="U458" i="34"/>
  <c r="AC458" i="34"/>
  <c r="AC935" i="34"/>
  <c r="R936" i="34"/>
  <c r="R459" i="34"/>
  <c r="Z936" i="34"/>
  <c r="Z459" i="34"/>
  <c r="AD459" i="34"/>
  <c r="AD936" i="34"/>
  <c r="AO457" i="34"/>
  <c r="BI934" i="34"/>
  <c r="P935" i="34"/>
  <c r="P458" i="34"/>
  <c r="N460" i="34"/>
  <c r="N937" i="34"/>
  <c r="R460" i="34"/>
  <c r="R937" i="34"/>
  <c r="V937" i="34"/>
  <c r="V460" i="34"/>
  <c r="Z937" i="34"/>
  <c r="Z460" i="34"/>
  <c r="AD460" i="34"/>
  <c r="AD937" i="34"/>
  <c r="AD941" i="34"/>
  <c r="AD466" i="34"/>
  <c r="AB942" i="34"/>
  <c r="AB464" i="34"/>
  <c r="AC465" i="34"/>
  <c r="AC943" i="34"/>
  <c r="AA944" i="34"/>
  <c r="AA467" i="34"/>
  <c r="AE944" i="34"/>
  <c r="AE467" i="34"/>
  <c r="AI944" i="34"/>
  <c r="AI467" i="34"/>
  <c r="AB945" i="34"/>
  <c r="AB468" i="34"/>
  <c r="V333" i="2"/>
  <c r="W337" i="2" s="1"/>
  <c r="Z344" i="2"/>
  <c r="V471" i="34"/>
  <c r="V948" i="34"/>
  <c r="Z342" i="2"/>
  <c r="V349" i="2"/>
  <c r="W355" i="2" s="1"/>
  <c r="V363" i="2"/>
  <c r="V493" i="34" s="1"/>
  <c r="W345" i="2"/>
  <c r="W343" i="2"/>
  <c r="AT471" i="34"/>
  <c r="BN948" i="34"/>
  <c r="CA341" i="2"/>
  <c r="CB341" i="2"/>
  <c r="BN342" i="2"/>
  <c r="AA475" i="34"/>
  <c r="AA952" i="34"/>
  <c r="AB472" i="34"/>
  <c r="AB950" i="34"/>
  <c r="AG473" i="34"/>
  <c r="AG951" i="34"/>
  <c r="AG475" i="34"/>
  <c r="AG952" i="34"/>
  <c r="AC953" i="34"/>
  <c r="AC476" i="34"/>
  <c r="Y476" i="34"/>
  <c r="Y953" i="34"/>
  <c r="AB353" i="2"/>
  <c r="AB479" i="34"/>
  <c r="AB352" i="2"/>
  <c r="AB956" i="34"/>
  <c r="BM349" i="2"/>
  <c r="AC355" i="2"/>
  <c r="AC351" i="2"/>
  <c r="AC481" i="34" s="1"/>
  <c r="AB355" i="2"/>
  <c r="AB485" i="34" s="1"/>
  <c r="AF354" i="2"/>
  <c r="AF350" i="2"/>
  <c r="AF355" i="2"/>
  <c r="BN349" i="2"/>
  <c r="AF479" i="34"/>
  <c r="AG351" i="2"/>
  <c r="AG481" i="34" s="1"/>
  <c r="AF956" i="34"/>
  <c r="AF353" i="2"/>
  <c r="AF483" i="34" s="1"/>
  <c r="AF351" i="2"/>
  <c r="R360" i="2"/>
  <c r="R362" i="2"/>
  <c r="S358" i="2"/>
  <c r="S488" i="34" s="1"/>
  <c r="V360" i="2"/>
  <c r="R487" i="34"/>
  <c r="R964" i="34"/>
  <c r="S361" i="2"/>
  <c r="AQ487" i="34"/>
  <c r="BL360" i="2"/>
  <c r="CB357" i="2"/>
  <c r="BK964" i="34"/>
  <c r="BL359" i="2"/>
  <c r="BL966" i="34" s="1"/>
  <c r="BK360" i="2"/>
  <c r="U965" i="34"/>
  <c r="U488" i="34"/>
  <c r="Z488" i="34"/>
  <c r="Z965" i="34"/>
  <c r="AD965" i="34"/>
  <c r="AD488" i="34"/>
  <c r="AE359" i="2"/>
  <c r="AH488" i="34"/>
  <c r="AI359" i="2"/>
  <c r="AH965" i="34"/>
  <c r="BW966" i="34"/>
  <c r="BX359" i="2"/>
  <c r="Z490" i="34"/>
  <c r="Z967" i="34"/>
  <c r="AD967" i="34"/>
  <c r="AD490" i="34"/>
  <c r="AH490" i="34"/>
  <c r="AH967" i="34"/>
  <c r="W968" i="34"/>
  <c r="W491" i="34"/>
  <c r="AA968" i="34"/>
  <c r="AA491" i="34"/>
  <c r="AE491" i="34"/>
  <c r="AE968" i="34"/>
  <c r="AI968" i="34"/>
  <c r="AI491" i="34"/>
  <c r="AA492" i="34"/>
  <c r="AA969" i="34"/>
  <c r="AE969" i="34"/>
  <c r="AE492" i="34"/>
  <c r="AF970" i="34"/>
  <c r="AF493" i="34"/>
  <c r="AL126" i="2"/>
  <c r="AH130" i="2"/>
  <c r="AL133" i="2" s="1"/>
  <c r="AF987" i="34"/>
  <c r="AF165" i="2"/>
  <c r="AF988" i="34" s="1"/>
  <c r="BJ373" i="2"/>
  <c r="BJ374" i="2"/>
  <c r="AP521" i="34" s="1"/>
  <c r="BJ396" i="2"/>
  <c r="AP518" i="34"/>
  <c r="BJ995" i="34"/>
  <c r="BK374" i="2"/>
  <c r="AT518" i="34"/>
  <c r="BN995" i="34"/>
  <c r="CA371" i="2"/>
  <c r="BO374" i="2"/>
  <c r="Q996" i="34"/>
  <c r="Q519" i="34"/>
  <c r="U996" i="34"/>
  <c r="U519" i="34"/>
  <c r="AA373" i="2"/>
  <c r="Z996" i="34"/>
  <c r="Z519" i="34"/>
  <c r="AD519" i="34"/>
  <c r="AD996" i="34"/>
  <c r="AM520" i="34"/>
  <c r="BG997" i="34"/>
  <c r="M998" i="34"/>
  <c r="M521" i="34"/>
  <c r="Q998" i="34"/>
  <c r="Q521" i="34"/>
  <c r="U998" i="34"/>
  <c r="U521" i="34"/>
  <c r="M999" i="34"/>
  <c r="M522" i="34"/>
  <c r="Q999" i="34"/>
  <c r="Q522" i="34"/>
  <c r="U999" i="34"/>
  <c r="U522" i="34"/>
  <c r="Y999" i="34"/>
  <c r="Y522" i="34"/>
  <c r="AC999" i="34"/>
  <c r="AC522" i="34"/>
  <c r="X378" i="2"/>
  <c r="X380" i="2"/>
  <c r="X524" i="34"/>
  <c r="BM377" i="2"/>
  <c r="AB387" i="2"/>
  <c r="AB524" i="34"/>
  <c r="AB379" i="2"/>
  <c r="AC379" i="2"/>
  <c r="AB380" i="2"/>
  <c r="BK378" i="2"/>
  <c r="BK1001" i="34"/>
  <c r="AQ524" i="34"/>
  <c r="W525" i="34"/>
  <c r="W1002" i="34"/>
  <c r="W1003" i="34"/>
  <c r="W526" i="34"/>
  <c r="T1007" i="34"/>
  <c r="T530" i="34"/>
  <c r="AB530" i="34"/>
  <c r="AB1007" i="34"/>
  <c r="T531" i="34"/>
  <c r="T1008" i="34"/>
  <c r="X531" i="34"/>
  <c r="X1008" i="34"/>
  <c r="AB531" i="34"/>
  <c r="AB1008" i="34"/>
  <c r="T1009" i="34"/>
  <c r="T532" i="34"/>
  <c r="T534" i="34"/>
  <c r="U389" i="2"/>
  <c r="U536" i="34" s="1"/>
  <c r="T389" i="2"/>
  <c r="T1011" i="34"/>
  <c r="T390" i="2"/>
  <c r="T388" i="2"/>
  <c r="T535" i="34" s="1"/>
  <c r="BK387" i="2"/>
  <c r="BK390" i="2" s="1"/>
  <c r="AC539" i="34"/>
  <c r="AC1016" i="34"/>
  <c r="P398" i="2"/>
  <c r="P397" i="2"/>
  <c r="Q398" i="2"/>
  <c r="P1020" i="34"/>
  <c r="P543" i="34"/>
  <c r="T398" i="2"/>
  <c r="T543" i="34"/>
  <c r="T397" i="2"/>
  <c r="U398" i="2"/>
  <c r="T1020" i="34"/>
  <c r="X1020" i="34"/>
  <c r="Y398" i="2"/>
  <c r="Y1022" i="34" s="1"/>
  <c r="X543" i="34"/>
  <c r="X398" i="2"/>
  <c r="X397" i="2"/>
  <c r="AB543" i="34"/>
  <c r="AC398" i="2"/>
  <c r="AB1020" i="34"/>
  <c r="AB397" i="2"/>
  <c r="AB544" i="34" s="1"/>
  <c r="AB398" i="2"/>
  <c r="AB408" i="2"/>
  <c r="AB410" i="2" s="1"/>
  <c r="AB1036" i="34"/>
  <c r="AC411" i="2"/>
  <c r="AB559" i="34"/>
  <c r="BJ1041" i="34"/>
  <c r="BJ419" i="2"/>
  <c r="AP564" i="34"/>
  <c r="BJ418" i="2"/>
  <c r="BJ425" i="2"/>
  <c r="BN1041" i="34"/>
  <c r="CB416" i="2"/>
  <c r="S567" i="34"/>
  <c r="S1044" i="34"/>
  <c r="W1044" i="34"/>
  <c r="W567" i="34"/>
  <c r="AA567" i="34"/>
  <c r="AA1044" i="34"/>
  <c r="AE1044" i="34"/>
  <c r="AE567" i="34"/>
  <c r="S1045" i="34"/>
  <c r="S568" i="34"/>
  <c r="W1045" i="34"/>
  <c r="W568" i="34"/>
  <c r="AA1045" i="34"/>
  <c r="AA568" i="34"/>
  <c r="M1047" i="34"/>
  <c r="M423" i="2"/>
  <c r="M571" i="34" s="1"/>
  <c r="M570" i="34"/>
  <c r="M425" i="2"/>
  <c r="M424" i="2"/>
  <c r="Q423" i="2"/>
  <c r="Q425" i="2"/>
  <c r="Q1050" i="34" s="1"/>
  <c r="Q424" i="2"/>
  <c r="U425" i="2"/>
  <c r="U423" i="2"/>
  <c r="U1047" i="34"/>
  <c r="U570" i="34"/>
  <c r="V424" i="2"/>
  <c r="Y570" i="34"/>
  <c r="Y1047" i="34"/>
  <c r="Y423" i="2"/>
  <c r="Y571" i="34" s="1"/>
  <c r="Y425" i="2"/>
  <c r="Y1050" i="34" s="1"/>
  <c r="Z424" i="2"/>
  <c r="AC1047" i="34"/>
  <c r="AC425" i="2"/>
  <c r="AC1050" i="34" s="1"/>
  <c r="AC570" i="34"/>
  <c r="AC423" i="2"/>
  <c r="AD424" i="2"/>
  <c r="BH1047" i="34"/>
  <c r="BH425" i="2"/>
  <c r="AN570" i="34"/>
  <c r="BI423" i="2"/>
  <c r="BH423" i="2"/>
  <c r="V392" i="2"/>
  <c r="V396" i="34"/>
  <c r="V462" i="2"/>
  <c r="V457" i="2"/>
  <c r="V449" i="2"/>
  <c r="V450" i="2"/>
  <c r="W450" i="2"/>
  <c r="AD447" i="2"/>
  <c r="AD457" i="2"/>
  <c r="AD396" i="34"/>
  <c r="AD392" i="2"/>
  <c r="AD462" i="2"/>
  <c r="AD1122" i="34" s="1"/>
  <c r="AD1106" i="34"/>
  <c r="AD450" i="2"/>
  <c r="BI449" i="2"/>
  <c r="BI448" i="2"/>
  <c r="AN396" i="34"/>
  <c r="BH392" i="2"/>
  <c r="BH457" i="2"/>
  <c r="BH448" i="2"/>
  <c r="BH1106" i="34"/>
  <c r="AC456" i="2"/>
  <c r="AC1116" i="34" s="1"/>
  <c r="AC650" i="2"/>
  <c r="AC455" i="2"/>
  <c r="AD456" i="2"/>
  <c r="AC1112" i="34"/>
  <c r="AC402" i="34"/>
  <c r="AC453" i="2"/>
  <c r="AS402" i="34"/>
  <c r="BM1112" i="34"/>
  <c r="BM650" i="2"/>
  <c r="BM454" i="2"/>
  <c r="BM455" i="2"/>
  <c r="X1113" i="34"/>
  <c r="X403" i="34"/>
  <c r="BH1114" i="34"/>
  <c r="AN404" i="34"/>
  <c r="V405" i="34"/>
  <c r="V1115" i="34"/>
  <c r="AA1115" i="34"/>
  <c r="AA405" i="34"/>
  <c r="U1116" i="34"/>
  <c r="U406" i="34"/>
  <c r="Y1116" i="34"/>
  <c r="Y406" i="34"/>
  <c r="X1120" i="34"/>
  <c r="X410" i="34"/>
  <c r="AE410" i="34"/>
  <c r="AE1120" i="34"/>
  <c r="W1121" i="34"/>
  <c r="W411" i="34"/>
  <c r="AE411" i="34"/>
  <c r="AE1121" i="34"/>
  <c r="BH1120" i="34"/>
  <c r="AN410" i="34"/>
  <c r="S418" i="34"/>
  <c r="S476" i="2"/>
  <c r="S421" i="34" s="1"/>
  <c r="S480" i="2"/>
  <c r="W473" i="2"/>
  <c r="W419" i="34" s="1"/>
  <c r="W477" i="2"/>
  <c r="W422" i="34" s="1"/>
  <c r="AA473" i="2"/>
  <c r="W476" i="2"/>
  <c r="W421" i="34" s="1"/>
  <c r="W418" i="34"/>
  <c r="W480" i="2"/>
  <c r="W431" i="34" s="1"/>
  <c r="AA477" i="2"/>
  <c r="AA422" i="34" s="1"/>
  <c r="AW418" i="34"/>
  <c r="BR472" i="2"/>
  <c r="BA474" i="2"/>
  <c r="Z237" i="14"/>
  <c r="Z690" i="34" s="1"/>
  <c r="Z689" i="34"/>
  <c r="AA238" i="14"/>
  <c r="AA691" i="34" s="1"/>
  <c r="BM778" i="34"/>
  <c r="AJ606" i="2"/>
  <c r="AJ849" i="34" s="1"/>
  <c r="W353" i="34"/>
  <c r="AJ862" i="34"/>
  <c r="O418" i="34"/>
  <c r="S473" i="2"/>
  <c r="S419" i="34" s="1"/>
  <c r="T491" i="34"/>
  <c r="AP457" i="34"/>
  <c r="BJ934" i="34"/>
  <c r="AB1001" i="34"/>
  <c r="AE447" i="2"/>
  <c r="Y935" i="34"/>
  <c r="BP613" i="2"/>
  <c r="V936" i="34"/>
  <c r="AG858" i="34"/>
  <c r="AG359" i="34"/>
  <c r="BK362" i="2"/>
  <c r="AJ369" i="34"/>
  <c r="AB460" i="2"/>
  <c r="AB410" i="34" s="1"/>
  <c r="O1044" i="34"/>
  <c r="AH927" i="34"/>
  <c r="BM338" i="2"/>
  <c r="W478" i="2"/>
  <c r="W423" i="34" s="1"/>
  <c r="X532" i="34"/>
  <c r="BN425" i="2"/>
  <c r="N424" i="2"/>
  <c r="AF796" i="34"/>
  <c r="W447" i="2"/>
  <c r="BI1050" i="34"/>
  <c r="AO573" i="34"/>
  <c r="AG355" i="2"/>
  <c r="AF320" i="2"/>
  <c r="AF352" i="2" s="1"/>
  <c r="Y379" i="2"/>
  <c r="Y1003" i="34" s="1"/>
  <c r="AM341" i="2"/>
  <c r="AM360" i="2"/>
  <c r="AM967" i="34" s="1"/>
  <c r="AN358" i="2"/>
  <c r="AN965" i="34" s="1"/>
  <c r="AF112" i="2"/>
  <c r="AF111" i="2"/>
  <c r="AF500" i="34" s="1"/>
  <c r="AF975" i="34"/>
  <c r="AF498" i="34"/>
  <c r="AA975" i="34"/>
  <c r="AA112" i="2"/>
  <c r="AA978" i="34" s="1"/>
  <c r="AB110" i="2"/>
  <c r="AB976" i="34" s="1"/>
  <c r="AA498" i="34"/>
  <c r="AA114" i="2"/>
  <c r="AA503" i="34" s="1"/>
  <c r="AA111" i="2"/>
  <c r="AA500" i="34" s="1"/>
  <c r="W498" i="34"/>
  <c r="W114" i="2"/>
  <c r="W503" i="34" s="1"/>
  <c r="X113" i="2"/>
  <c r="X502" i="34" s="1"/>
  <c r="W975" i="34"/>
  <c r="S112" i="2"/>
  <c r="S978" i="34" s="1"/>
  <c r="S114" i="2"/>
  <c r="S498" i="34"/>
  <c r="T110" i="2"/>
  <c r="S111" i="2"/>
  <c r="S975" i="34"/>
  <c r="P113" i="2"/>
  <c r="O114" i="2"/>
  <c r="O503" i="34" s="1"/>
  <c r="AD106" i="14"/>
  <c r="AD107" i="14" s="1"/>
  <c r="AD227" i="14"/>
  <c r="AD229" i="14" s="1"/>
  <c r="AD139" i="14" s="1"/>
  <c r="AD778" i="34"/>
  <c r="AA174" i="2"/>
  <c r="AB182" i="2"/>
  <c r="AF183" i="2" s="1"/>
  <c r="AF184" i="2" s="1"/>
  <c r="Q194" i="2"/>
  <c r="Q195" i="2" s="1"/>
  <c r="U196" i="2"/>
  <c r="U194" i="2"/>
  <c r="Y196" i="2"/>
  <c r="Y194" i="2"/>
  <c r="AC194" i="2"/>
  <c r="AG194" i="2"/>
  <c r="AC196" i="2"/>
  <c r="Y482" i="34"/>
  <c r="Y959" i="34"/>
  <c r="BN523" i="2"/>
  <c r="BN759" i="34" s="1"/>
  <c r="BI803" i="34"/>
  <c r="AO326" i="34"/>
  <c r="AB805" i="34"/>
  <c r="AB328" i="34"/>
  <c r="W238" i="14"/>
  <c r="W691" i="34" s="1"/>
  <c r="BL174" i="2"/>
  <c r="BN344" i="2"/>
  <c r="AD359" i="2"/>
  <c r="AH359" i="2"/>
  <c r="AH396" i="34"/>
  <c r="AI446" i="2"/>
  <c r="AH449" i="2"/>
  <c r="AH1106" i="34"/>
  <c r="AH450" i="2"/>
  <c r="AH400" i="34" s="1"/>
  <c r="AH564" i="2"/>
  <c r="AG456" i="34"/>
  <c r="AN872" i="34"/>
  <c r="AF450" i="2"/>
  <c r="AF1110" i="34" s="1"/>
  <c r="AG352" i="2"/>
  <c r="AG959" i="34" s="1"/>
  <c r="AG338" i="2"/>
  <c r="AE1004" i="34"/>
  <c r="W935" i="34"/>
  <c r="N327" i="34"/>
  <c r="W999" i="34"/>
  <c r="T937" i="34"/>
  <c r="AE465" i="34"/>
  <c r="AD970" i="34"/>
  <c r="Z934" i="34"/>
  <c r="AD353" i="2"/>
  <c r="BB474" i="2"/>
  <c r="U174" i="2"/>
  <c r="AE1110" i="34"/>
  <c r="AH565" i="2"/>
  <c r="AG933" i="34"/>
  <c r="AA363" i="34"/>
  <c r="AG305" i="2"/>
  <c r="AG480" i="2"/>
  <c r="AG346" i="2"/>
  <c r="Y527" i="34"/>
  <c r="AD804" i="34"/>
  <c r="AE998" i="34"/>
  <c r="AH942" i="34"/>
  <c r="AI926" i="34"/>
  <c r="AH354" i="2"/>
  <c r="BO314" i="2"/>
  <c r="BN358" i="2"/>
  <c r="AG321" i="2"/>
  <c r="AG323" i="2"/>
  <c r="AG936" i="34" s="1"/>
  <c r="AD942" i="34"/>
  <c r="AE926" i="34"/>
  <c r="AE449" i="34"/>
  <c r="AH474" i="34"/>
  <c r="AH956" i="34"/>
  <c r="AA418" i="2"/>
  <c r="AJ375" i="2"/>
  <c r="AJ999" i="34" s="1"/>
  <c r="BI111" i="2"/>
  <c r="BI977" i="34" s="1"/>
  <c r="AH158" i="2"/>
  <c r="Q431" i="34"/>
  <c r="AF313" i="34"/>
  <c r="U106" i="14"/>
  <c r="AA58" i="2"/>
  <c r="AA717" i="34"/>
  <c r="AA49" i="2"/>
  <c r="AM62" i="2"/>
  <c r="AM722" i="34" s="1"/>
  <c r="P326" i="2"/>
  <c r="P493" i="2"/>
  <c r="P730" i="34" s="1"/>
  <c r="P496" i="2"/>
  <c r="P733" i="34" s="1"/>
  <c r="P569" i="2"/>
  <c r="P331" i="34" s="1"/>
  <c r="Q493" i="2"/>
  <c r="P311" i="34"/>
  <c r="T61" i="14"/>
  <c r="T495" i="2"/>
  <c r="U493" i="2"/>
  <c r="U730" i="34" s="1"/>
  <c r="T727" i="34"/>
  <c r="U496" i="2"/>
  <c r="T311" i="34"/>
  <c r="T493" i="2"/>
  <c r="T313" i="34" s="1"/>
  <c r="T496" i="2"/>
  <c r="T733" i="34" s="1"/>
  <c r="X326" i="2"/>
  <c r="X495" i="2"/>
  <c r="X569" i="2"/>
  <c r="X808" i="34" s="1"/>
  <c r="Y493" i="2"/>
  <c r="X727" i="34"/>
  <c r="Y496" i="2"/>
  <c r="X491" i="2"/>
  <c r="X534" i="2"/>
  <c r="X780" i="34" s="1"/>
  <c r="X311" i="34"/>
  <c r="X61" i="14"/>
  <c r="AB61" i="14"/>
  <c r="AB569" i="2"/>
  <c r="AB491" i="2"/>
  <c r="AB534" i="2"/>
  <c r="AB780" i="34" s="1"/>
  <c r="AB311" i="34"/>
  <c r="AC493" i="2"/>
  <c r="AB493" i="2"/>
  <c r="AB730" i="34" s="1"/>
  <c r="AC496" i="2"/>
  <c r="AC552" i="2" s="1"/>
  <c r="AB326" i="2"/>
  <c r="AB498" i="2"/>
  <c r="AB503" i="2" s="1"/>
  <c r="AB739" i="34" s="1"/>
  <c r="AF534" i="2"/>
  <c r="AF780" i="34" s="1"/>
  <c r="AF545" i="2"/>
  <c r="AF727" i="34"/>
  <c r="AF591" i="2"/>
  <c r="AF311" i="34"/>
  <c r="AF61" i="14"/>
  <c r="AF495" i="2"/>
  <c r="AF732" i="34" s="1"/>
  <c r="AF496" i="2"/>
  <c r="AF733" i="34" s="1"/>
  <c r="AF491" i="2"/>
  <c r="AK579" i="2"/>
  <c r="AK818" i="34" s="1"/>
  <c r="AK507" i="2"/>
  <c r="AL509" i="2"/>
  <c r="AL745" i="34" s="1"/>
  <c r="AK508" i="2"/>
  <c r="AK744" i="34" s="1"/>
  <c r="AK742" i="34"/>
  <c r="AK532" i="2"/>
  <c r="AM545" i="2" s="1"/>
  <c r="AJ522" i="2"/>
  <c r="AJ758" i="34" s="1"/>
  <c r="AB227" i="14"/>
  <c r="AB106" i="14"/>
  <c r="AC107" i="14" s="1"/>
  <c r="AB778" i="34"/>
  <c r="AB814" i="34"/>
  <c r="BM575" i="2"/>
  <c r="AB576" i="2"/>
  <c r="AB815" i="34" s="1"/>
  <c r="AF576" i="2"/>
  <c r="BN575" i="2"/>
  <c r="AF814" i="34"/>
  <c r="AJ983" i="34"/>
  <c r="BO144" i="2"/>
  <c r="BO56" i="14" s="1"/>
  <c r="BO58" i="14" s="1"/>
  <c r="AJ56" i="14"/>
  <c r="AL375" i="2"/>
  <c r="AL999" i="34" s="1"/>
  <c r="AL372" i="2"/>
  <c r="AL996" i="34" s="1"/>
  <c r="AK419" i="2"/>
  <c r="AK1044" i="34" s="1"/>
  <c r="AO419" i="2"/>
  <c r="AO1044" i="34" s="1"/>
  <c r="AK1072" i="34"/>
  <c r="AK271" i="2"/>
  <c r="AK1078" i="34" s="1"/>
  <c r="M418" i="34"/>
  <c r="M476" i="2"/>
  <c r="M421" i="34" s="1"/>
  <c r="M475" i="2"/>
  <c r="M420" i="34" s="1"/>
  <c r="M473" i="2"/>
  <c r="M419" i="34" s="1"/>
  <c r="M480" i="2"/>
  <c r="Q418" i="34"/>
  <c r="Q476" i="2"/>
  <c r="Q421" i="34" s="1"/>
  <c r="Q473" i="2"/>
  <c r="Q419" i="34" s="1"/>
  <c r="Q477" i="2"/>
  <c r="Q422" i="34" s="1"/>
  <c r="U476" i="2"/>
  <c r="U421" i="34" s="1"/>
  <c r="U473" i="2"/>
  <c r="U419" i="34" s="1"/>
  <c r="U480" i="2"/>
  <c r="U431" i="34" s="1"/>
  <c r="U477" i="2"/>
  <c r="U422" i="34" s="1"/>
  <c r="U418" i="34"/>
  <c r="Y477" i="2"/>
  <c r="Y422" i="34" s="1"/>
  <c r="AO418" i="34"/>
  <c r="BI480" i="2"/>
  <c r="AO431" i="34" s="1"/>
  <c r="AI15" i="2"/>
  <c r="AI699" i="34" s="1"/>
  <c r="AI255" i="2"/>
  <c r="AI10" i="14"/>
  <c r="AI49" i="2"/>
  <c r="AI258" i="2"/>
  <c r="AI16" i="2"/>
  <c r="AI698" i="34"/>
  <c r="AI257" i="2"/>
  <c r="AK257" i="2"/>
  <c r="AK1063" i="34" s="1"/>
  <c r="AJ145" i="2"/>
  <c r="AE1061" i="34"/>
  <c r="AE276" i="34"/>
  <c r="AE699" i="34"/>
  <c r="AN519" i="2"/>
  <c r="AO519" i="2"/>
  <c r="AO511" i="2" s="1"/>
  <c r="AO747" i="34" s="1"/>
  <c r="BP349" i="2"/>
  <c r="AN355" i="2"/>
  <c r="AN962" i="34" s="1"/>
  <c r="AN341" i="2"/>
  <c r="AO351" i="2"/>
  <c r="AO958" i="34" s="1"/>
  <c r="AO355" i="2"/>
  <c r="AO962" i="34" s="1"/>
  <c r="AN351" i="2"/>
  <c r="AN958" i="34" s="1"/>
  <c r="AN956" i="34"/>
  <c r="AO508" i="2"/>
  <c r="AO744" i="34" s="1"/>
  <c r="N16" i="2"/>
  <c r="M494" i="2"/>
  <c r="M698" i="34"/>
  <c r="M10" i="14"/>
  <c r="Q18" i="2"/>
  <c r="R20" i="2" s="1"/>
  <c r="Q698" i="34"/>
  <c r="Q275" i="34"/>
  <c r="R16" i="2"/>
  <c r="R700" i="34" s="1"/>
  <c r="Q10" i="14"/>
  <c r="Q494" i="2"/>
  <c r="U18" i="2"/>
  <c r="U10" i="14"/>
  <c r="Y11" i="14" s="1"/>
  <c r="Y578" i="34" s="1"/>
  <c r="V16" i="2"/>
  <c r="V700" i="34" s="1"/>
  <c r="U275" i="34"/>
  <c r="Y254" i="2"/>
  <c r="Y1060" i="34" s="1"/>
  <c r="Y257" i="2"/>
  <c r="Y1063" i="34" s="1"/>
  <c r="Y259" i="2"/>
  <c r="Y1065" i="34" s="1"/>
  <c r="Y275" i="34"/>
  <c r="Y15" i="2"/>
  <c r="Y698" i="34"/>
  <c r="Z16" i="2"/>
  <c r="Y494" i="2"/>
  <c r="Y258" i="2"/>
  <c r="Y1064" i="34" s="1"/>
  <c r="Y256" i="2"/>
  <c r="Y1062" i="34" s="1"/>
  <c r="AC275" i="34"/>
  <c r="AC15" i="2"/>
  <c r="AC699" i="34" s="1"/>
  <c r="AC255" i="2"/>
  <c r="AC1061" i="34" s="1"/>
  <c r="AC57" i="2"/>
  <c r="AC49" i="2" s="1"/>
  <c r="AC293" i="34" s="1"/>
  <c r="AC254" i="2"/>
  <c r="AC1060" i="34" s="1"/>
  <c r="AC257" i="2"/>
  <c r="AC1063" i="34" s="1"/>
  <c r="AC698" i="34"/>
  <c r="AC18" i="2"/>
  <c r="AC10" i="14"/>
  <c r="AC74" i="14" s="1"/>
  <c r="AC258" i="2"/>
  <c r="AN88" i="2"/>
  <c r="AR89" i="2" s="1"/>
  <c r="BP83" i="2"/>
  <c r="AN84" i="2"/>
  <c r="AN96" i="2" s="1"/>
  <c r="AN85" i="2"/>
  <c r="AJ427" i="2"/>
  <c r="AJ85" i="2"/>
  <c r="AJ87" i="2"/>
  <c r="AJ84" i="2"/>
  <c r="AJ96" i="2" s="1"/>
  <c r="AJ99" i="2" s="1"/>
  <c r="BO83" i="2"/>
  <c r="AO169" i="2"/>
  <c r="AQ182" i="2" s="1"/>
  <c r="AO94" i="2"/>
  <c r="AO93" i="2"/>
  <c r="AK169" i="2"/>
  <c r="AM182" i="2" s="1"/>
  <c r="AK92" i="2"/>
  <c r="AN28" i="2"/>
  <c r="AR31" i="2" s="1"/>
  <c r="AO118" i="2"/>
  <c r="AO137" i="2"/>
  <c r="AO139" i="2"/>
  <c r="AO138" i="2"/>
  <c r="AO140" i="2"/>
  <c r="AK34" i="2"/>
  <c r="AK38" i="2" s="1"/>
  <c r="AK140" i="2"/>
  <c r="AK137" i="2"/>
  <c r="AC173" i="2"/>
  <c r="AC189" i="2" s="1"/>
  <c r="AC182" i="2"/>
  <c r="AC174" i="2"/>
  <c r="AC172" i="2"/>
  <c r="Y172" i="2"/>
  <c r="Y174" i="2"/>
  <c r="BP416" i="2"/>
  <c r="BP523" i="2" s="1"/>
  <c r="AN417" i="2"/>
  <c r="AN1041" i="34"/>
  <c r="AN420" i="2"/>
  <c r="AN1045" i="34" s="1"/>
  <c r="AM717" i="34"/>
  <c r="AN59" i="2"/>
  <c r="AN719" i="34" s="1"/>
  <c r="AM320" i="2"/>
  <c r="AM334" i="2"/>
  <c r="AM941" i="34" s="1"/>
  <c r="Y498" i="34"/>
  <c r="Y111" i="2"/>
  <c r="Y500" i="34" s="1"/>
  <c r="Y114" i="2"/>
  <c r="Y503" i="34" s="1"/>
  <c r="Y110" i="2"/>
  <c r="Y113" i="2"/>
  <c r="U112" i="2"/>
  <c r="U498" i="34"/>
  <c r="BL109" i="2"/>
  <c r="AR498" i="34" s="1"/>
  <c r="U111" i="2"/>
  <c r="U500" i="34" s="1"/>
  <c r="U110" i="2"/>
  <c r="U499" i="34" s="1"/>
  <c r="U114" i="2"/>
  <c r="U981" i="34" s="1"/>
  <c r="U113" i="2"/>
  <c r="U975" i="34"/>
  <c r="Q114" i="2"/>
  <c r="Q503" i="34" s="1"/>
  <c r="Q110" i="2"/>
  <c r="Q975" i="34"/>
  <c r="Q112" i="2"/>
  <c r="Q501" i="34" s="1"/>
  <c r="Q111" i="2"/>
  <c r="M113" i="2"/>
  <c r="M498" i="34"/>
  <c r="M112" i="2"/>
  <c r="AO15" i="2"/>
  <c r="AO699" i="34" s="1"/>
  <c r="AC114" i="2"/>
  <c r="AC503" i="34" s="1"/>
  <c r="S491" i="2"/>
  <c r="AK361" i="2"/>
  <c r="AK968" i="34" s="1"/>
  <c r="AO374" i="2"/>
  <c r="AO998" i="34" s="1"/>
  <c r="CM55" i="2"/>
  <c r="AA502" i="2"/>
  <c r="AA738" i="34" s="1"/>
  <c r="AA499" i="2"/>
  <c r="AA736" i="34" s="1"/>
  <c r="AA815" i="34"/>
  <c r="AK60" i="2"/>
  <c r="AK720" i="34" s="1"/>
  <c r="AL16" i="2"/>
  <c r="AL700" i="34" s="1"/>
  <c r="AI150" i="2"/>
  <c r="AI156" i="2" s="1"/>
  <c r="AI983" i="34"/>
  <c r="BK227" i="14"/>
  <c r="AE237" i="14"/>
  <c r="AE690" i="34" s="1"/>
  <c r="BO416" i="2"/>
  <c r="BO1041" i="34" s="1"/>
  <c r="AJ579" i="2"/>
  <c r="AJ818" i="34" s="1"/>
  <c r="AA61" i="14"/>
  <c r="AA534" i="2"/>
  <c r="AA537" i="2" s="1"/>
  <c r="AA227" i="14"/>
  <c r="AA229" i="14" s="1"/>
  <c r="AA176" i="14" s="1"/>
  <c r="AA645" i="34" s="1"/>
  <c r="AN419" i="2"/>
  <c r="AN1044" i="34" s="1"/>
  <c r="AK995" i="34"/>
  <c r="AJ532" i="2"/>
  <c r="W534" i="2"/>
  <c r="AB496" i="2"/>
  <c r="AB552" i="2" s="1"/>
  <c r="W569" i="2"/>
  <c r="AF118" i="2"/>
  <c r="AJ742" i="34"/>
  <c r="AN418" i="34"/>
  <c r="AL361" i="2"/>
  <c r="AL968" i="34" s="1"/>
  <c r="AK49" i="2"/>
  <c r="AK10" i="14"/>
  <c r="AK74" i="14" s="1"/>
  <c r="AJ148" i="2"/>
  <c r="AJ985" i="34" s="1"/>
  <c r="AM144" i="2"/>
  <c r="AI148" i="2"/>
  <c r="AI985" i="34" s="1"/>
  <c r="AL15" i="2"/>
  <c r="AL699" i="34" s="1"/>
  <c r="AL10" i="14"/>
  <c r="AL74" i="14" s="1"/>
  <c r="AJ523" i="2"/>
  <c r="AA727" i="34"/>
  <c r="AA494" i="2"/>
  <c r="W689" i="34"/>
  <c r="BI477" i="2"/>
  <c r="AO422" i="34" s="1"/>
  <c r="X496" i="2"/>
  <c r="AA491" i="2"/>
  <c r="AA495" i="2"/>
  <c r="W311" i="34"/>
  <c r="AF150" i="2"/>
  <c r="BO506" i="2"/>
  <c r="BO742" i="34" s="1"/>
  <c r="AF121" i="2"/>
  <c r="AJ419" i="2"/>
  <c r="AJ1044" i="34" s="1"/>
  <c r="AL255" i="2"/>
  <c r="AK258" i="2"/>
  <c r="AK18" i="2"/>
  <c r="AI145" i="2"/>
  <c r="AL59" i="2"/>
  <c r="AL719" i="34" s="1"/>
  <c r="AJ420" i="2"/>
  <c r="AJ568" i="34" s="1"/>
  <c r="AJ509" i="2"/>
  <c r="AJ745" i="34" s="1"/>
  <c r="AA569" i="2"/>
  <c r="AA311" i="34"/>
  <c r="AJ88" i="2"/>
  <c r="AK509" i="2"/>
  <c r="AK745" i="34" s="1"/>
  <c r="X493" i="2"/>
  <c r="W326" i="2"/>
  <c r="AA106" i="14"/>
  <c r="AN759" i="34"/>
  <c r="BM1016" i="34"/>
  <c r="BM449" i="2"/>
  <c r="BN448" i="2"/>
  <c r="AI620" i="2"/>
  <c r="AI864" i="34" s="1"/>
  <c r="AR525" i="34"/>
  <c r="BL1002" i="34"/>
  <c r="AM511" i="2"/>
  <c r="AM747" i="34" s="1"/>
  <c r="BM1106" i="34"/>
  <c r="AN632" i="2"/>
  <c r="BP632" i="2" s="1"/>
  <c r="BL1001" i="34"/>
  <c r="BJ449" i="2"/>
  <c r="BJ448" i="2"/>
  <c r="BJ462" i="2"/>
  <c r="BJ1122" i="34" s="1"/>
  <c r="AP396" i="34"/>
  <c r="AA522" i="34"/>
  <c r="AA999" i="34"/>
  <c r="Z524" i="34"/>
  <c r="Z378" i="2"/>
  <c r="AD379" i="2"/>
  <c r="AE379" i="2"/>
  <c r="AE526" i="34" s="1"/>
  <c r="AD380" i="2"/>
  <c r="U525" i="34"/>
  <c r="U1002" i="34"/>
  <c r="U527" i="34"/>
  <c r="U1004" i="34"/>
  <c r="AR529" i="34"/>
  <c r="BL385" i="2"/>
  <c r="BL1006" i="34"/>
  <c r="Z1007" i="34"/>
  <c r="Z530" i="34"/>
  <c r="V1009" i="34"/>
  <c r="V532" i="34"/>
  <c r="Z532" i="34"/>
  <c r="Z1009" i="34"/>
  <c r="W389" i="2"/>
  <c r="V388" i="2"/>
  <c r="V535" i="34" s="1"/>
  <c r="N543" i="34"/>
  <c r="N397" i="2"/>
  <c r="R398" i="2"/>
  <c r="R397" i="2"/>
  <c r="AE398" i="2"/>
  <c r="AD397" i="2"/>
  <c r="AD398" i="2"/>
  <c r="AR524" i="34"/>
  <c r="R488" i="34"/>
  <c r="AE328" i="34"/>
  <c r="AE805" i="34"/>
  <c r="AC842" i="34"/>
  <c r="AG600" i="2"/>
  <c r="AK605" i="2"/>
  <c r="AK848" i="34" s="1"/>
  <c r="AK847" i="34"/>
  <c r="X608" i="2"/>
  <c r="X353" i="34" s="1"/>
  <c r="AB851" i="34"/>
  <c r="AR353" i="34"/>
  <c r="BL851" i="34"/>
  <c r="AB363" i="34"/>
  <c r="AB866" i="34"/>
  <c r="AF623" i="2"/>
  <c r="X622" i="2"/>
  <c r="W632" i="2"/>
  <c r="W877" i="34" s="1"/>
  <c r="W368" i="34"/>
  <c r="W872" i="34"/>
  <c r="BO872" i="34"/>
  <c r="AU368" i="34"/>
  <c r="AE309" i="2"/>
  <c r="AE922" i="34" s="1"/>
  <c r="AE439" i="34"/>
  <c r="AJ315" i="2"/>
  <c r="AJ314" i="2"/>
  <c r="AF926" i="34"/>
  <c r="AF447" i="34"/>
  <c r="AF928" i="34"/>
  <c r="AF449" i="34"/>
  <c r="BL933" i="34"/>
  <c r="BL321" i="2"/>
  <c r="AR457" i="34" s="1"/>
  <c r="AR456" i="34"/>
  <c r="W934" i="34"/>
  <c r="W457" i="34"/>
  <c r="AA934" i="34"/>
  <c r="AA457" i="34"/>
  <c r="T935" i="34"/>
  <c r="T458" i="34"/>
  <c r="AN457" i="34"/>
  <c r="BH934" i="34"/>
  <c r="BI936" i="34"/>
  <c r="AO459" i="34"/>
  <c r="U937" i="34"/>
  <c r="U460" i="34"/>
  <c r="AC460" i="34"/>
  <c r="AC937" i="34"/>
  <c r="AE950" i="34"/>
  <c r="AE472" i="34"/>
  <c r="AI472" i="34"/>
  <c r="AI950" i="34"/>
  <c r="AB475" i="34"/>
  <c r="AB952" i="34"/>
  <c r="AF475" i="34"/>
  <c r="AF952" i="34"/>
  <c r="U341" i="2"/>
  <c r="U953" i="34"/>
  <c r="T346" i="2"/>
  <c r="AA479" i="34"/>
  <c r="AA352" i="2"/>
  <c r="AB351" i="2"/>
  <c r="AI350" i="2"/>
  <c r="AI354" i="2"/>
  <c r="AI320" i="2"/>
  <c r="AI479" i="34"/>
  <c r="Q360" i="2"/>
  <c r="Q361" i="2"/>
  <c r="Q487" i="34"/>
  <c r="Y965" i="34"/>
  <c r="Y488" i="34"/>
  <c r="AC490" i="34"/>
  <c r="AC967" i="34"/>
  <c r="AD491" i="34"/>
  <c r="AD968" i="34"/>
  <c r="AH491" i="34"/>
  <c r="AH968" i="34"/>
  <c r="V492" i="34"/>
  <c r="V969" i="34"/>
  <c r="AE165" i="2"/>
  <c r="AE988" i="34" s="1"/>
  <c r="AL995" i="34"/>
  <c r="AS518" i="34"/>
  <c r="BM396" i="2"/>
  <c r="AC519" i="34"/>
  <c r="AC996" i="34"/>
  <c r="AC373" i="2"/>
  <c r="W373" i="2"/>
  <c r="W519" i="34"/>
  <c r="W996" i="34"/>
  <c r="P521" i="34"/>
  <c r="P998" i="34"/>
  <c r="X998" i="34"/>
  <c r="X521" i="34"/>
  <c r="AF521" i="34"/>
  <c r="AF998" i="34"/>
  <c r="P522" i="34"/>
  <c r="P999" i="34"/>
  <c r="N567" i="34"/>
  <c r="N1044" i="34"/>
  <c r="AD1044" i="34"/>
  <c r="AD567" i="34"/>
  <c r="AD568" i="34"/>
  <c r="AD1045" i="34"/>
  <c r="AO567" i="34"/>
  <c r="BI1044" i="34"/>
  <c r="P570" i="34"/>
  <c r="P425" i="2"/>
  <c r="P423" i="2"/>
  <c r="T425" i="2"/>
  <c r="U424" i="2"/>
  <c r="U572" i="34" s="1"/>
  <c r="T423" i="2"/>
  <c r="T1048" i="34" s="1"/>
  <c r="T570" i="34"/>
  <c r="X423" i="2"/>
  <c r="Y424" i="2"/>
  <c r="X570" i="34"/>
  <c r="X1047" i="34"/>
  <c r="AB423" i="2"/>
  <c r="AB570" i="34"/>
  <c r="AB425" i="2"/>
  <c r="AC424" i="2"/>
  <c r="AF1047" i="34"/>
  <c r="AF425" i="2"/>
  <c r="AF570" i="34"/>
  <c r="AJ434" i="2"/>
  <c r="AJ1053" i="34" s="1"/>
  <c r="AJ1052" i="34"/>
  <c r="U447" i="2"/>
  <c r="U397" i="34" s="1"/>
  <c r="U1106" i="34"/>
  <c r="U450" i="2"/>
  <c r="U1110" i="34" s="1"/>
  <c r="AA1106" i="34"/>
  <c r="AA449" i="2"/>
  <c r="AA392" i="2"/>
  <c r="AE393" i="2" s="1"/>
  <c r="AE449" i="2"/>
  <c r="AA462" i="2"/>
  <c r="AA412" i="34" s="1"/>
  <c r="BG462" i="2"/>
  <c r="BG1106" i="34"/>
  <c r="BG457" i="2"/>
  <c r="BG1117" i="34" s="1"/>
  <c r="BH449" i="2"/>
  <c r="BG448" i="2"/>
  <c r="BG449" i="2"/>
  <c r="Z453" i="2"/>
  <c r="Z1112" i="34"/>
  <c r="AD455" i="2"/>
  <c r="BL455" i="2"/>
  <c r="BL1115" i="34" s="1"/>
  <c r="BL1112" i="34"/>
  <c r="BL650" i="2"/>
  <c r="W403" i="34"/>
  <c r="W1113" i="34"/>
  <c r="Y1115" i="34"/>
  <c r="Y405" i="34"/>
  <c r="X1116" i="34"/>
  <c r="X406" i="34"/>
  <c r="Z461" i="2"/>
  <c r="AA461" i="2"/>
  <c r="AD460" i="2"/>
  <c r="AD1120" i="34" s="1"/>
  <c r="Z409" i="34"/>
  <c r="Z1119" i="34"/>
  <c r="BL460" i="2"/>
  <c r="AR409" i="34"/>
  <c r="AC410" i="34"/>
  <c r="AC1120" i="34"/>
  <c r="BL380" i="2"/>
  <c r="AO628" i="2"/>
  <c r="AO627" i="2" s="1"/>
  <c r="AN873" i="34"/>
  <c r="Y534" i="2"/>
  <c r="Y61" i="14"/>
  <c r="W742" i="34"/>
  <c r="Y511" i="2"/>
  <c r="Y747" i="34" s="1"/>
  <c r="W579" i="2"/>
  <c r="AZ339" i="34"/>
  <c r="BT793" i="34"/>
  <c r="S339" i="34"/>
  <c r="S793" i="34"/>
  <c r="W559" i="2"/>
  <c r="W339" i="34"/>
  <c r="AA559" i="2"/>
  <c r="AA796" i="34" s="1"/>
  <c r="AA557" i="2"/>
  <c r="AA793" i="34"/>
  <c r="AA339" i="34"/>
  <c r="AE559" i="2"/>
  <c r="BK556" i="2"/>
  <c r="AQ324" i="34"/>
  <c r="Q325" i="34"/>
  <c r="Q802" i="34"/>
  <c r="U803" i="34"/>
  <c r="U326" i="34"/>
  <c r="X804" i="34"/>
  <c r="X327" i="34"/>
  <c r="U1042" i="34"/>
  <c r="U565" i="34"/>
  <c r="AD565" i="34"/>
  <c r="AD1042" i="34"/>
  <c r="AD418" i="2"/>
  <c r="AG196" i="2"/>
  <c r="AF398" i="2"/>
  <c r="AB977" i="34"/>
  <c r="AN314" i="2"/>
  <c r="AN927" i="34" s="1"/>
  <c r="AM509" i="2"/>
  <c r="AM745" i="34" s="1"/>
  <c r="AJ436" i="2"/>
  <c r="AJ1055" i="34" s="1"/>
  <c r="AJ446" i="34"/>
  <c r="AK320" i="2"/>
  <c r="AK933" i="34" s="1"/>
  <c r="AJ1041" i="34"/>
  <c r="AL360" i="2"/>
  <c r="AL967" i="34" s="1"/>
  <c r="AL742" i="34"/>
  <c r="BI778" i="34"/>
  <c r="BJ490" i="2"/>
  <c r="BJ727" i="34" s="1"/>
  <c r="BK490" i="2"/>
  <c r="BL490" i="2"/>
  <c r="BL326" i="2" s="1"/>
  <c r="BI491" i="2"/>
  <c r="AO312" i="34" s="1"/>
  <c r="R478" i="2"/>
  <c r="R423" i="34" s="1"/>
  <c r="AF110" i="2"/>
  <c r="AO158" i="2"/>
  <c r="BN12" i="2"/>
  <c r="CA12" i="2" s="1"/>
  <c r="AM137" i="2"/>
  <c r="BN67" i="2"/>
  <c r="AI524" i="2"/>
  <c r="AI760" i="34" s="1"/>
  <c r="AL964" i="34"/>
  <c r="AJ435" i="2"/>
  <c r="AJ1054" i="34" s="1"/>
  <c r="AJ313" i="2"/>
  <c r="AK336" i="2"/>
  <c r="AK943" i="34" s="1"/>
  <c r="AL532" i="2"/>
  <c r="AN545" i="2" s="1"/>
  <c r="AL396" i="2"/>
  <c r="AL1020" i="34" s="1"/>
  <c r="AG76" i="2"/>
  <c r="M808" i="34"/>
  <c r="AJ925" i="34"/>
  <c r="AK940" i="34"/>
  <c r="AL508" i="2"/>
  <c r="AL744" i="34" s="1"/>
  <c r="AA237" i="14"/>
  <c r="AA690" i="34" s="1"/>
  <c r="V473" i="2"/>
  <c r="V419" i="34" s="1"/>
  <c r="BI114" i="2"/>
  <c r="T494" i="2"/>
  <c r="T314" i="34" s="1"/>
  <c r="X494" i="2"/>
  <c r="AG150" i="2"/>
  <c r="AK153" i="2" s="1"/>
  <c r="AI60" i="2"/>
  <c r="AP18" i="2"/>
  <c r="AP1216" i="34"/>
  <c r="S186" i="14"/>
  <c r="Y152" i="14"/>
  <c r="Y636" i="34" s="1"/>
  <c r="S237" i="14"/>
  <c r="S690" i="34" s="1"/>
  <c r="AP698" i="34"/>
  <c r="AP476" i="2"/>
  <c r="S29" i="14"/>
  <c r="Y577" i="34"/>
  <c r="W237" i="14"/>
  <c r="W690" i="34" s="1"/>
  <c r="AA689" i="34"/>
  <c r="AP57" i="2"/>
  <c r="AP10" i="14"/>
  <c r="AP83" i="14" s="1"/>
  <c r="P11" i="35"/>
  <c r="S120" i="14"/>
  <c r="AG107" i="14"/>
  <c r="AG238" i="14"/>
  <c r="AG691" i="34" s="1"/>
  <c r="AM397" i="2"/>
  <c r="AM1021" i="34" s="1"/>
  <c r="AI397" i="2"/>
  <c r="AI1021" i="34" s="1"/>
  <c r="AI1020" i="34"/>
  <c r="AG519" i="34"/>
  <c r="AG373" i="2"/>
  <c r="AG996" i="34"/>
  <c r="W11" i="14"/>
  <c r="W578" i="34" s="1"/>
  <c r="S493" i="2"/>
  <c r="AR727" i="34"/>
  <c r="AR534" i="2"/>
  <c r="AR780" i="34" s="1"/>
  <c r="O493" i="2"/>
  <c r="O496" i="2"/>
  <c r="V495" i="2"/>
  <c r="W496" i="2"/>
  <c r="V494" i="2"/>
  <c r="V496" i="2"/>
  <c r="V316" i="34" s="1"/>
  <c r="V61" i="14"/>
  <c r="V493" i="2"/>
  <c r="V534" i="2"/>
  <c r="V311" i="34"/>
  <c r="V491" i="2"/>
  <c r="V569" i="2"/>
  <c r="AA496" i="2"/>
  <c r="AA733" i="34" s="1"/>
  <c r="Z493" i="2"/>
  <c r="Z495" i="2"/>
  <c r="Z315" i="34" s="1"/>
  <c r="Z491" i="2"/>
  <c r="AD326" i="2"/>
  <c r="AE329" i="2" s="1"/>
  <c r="AE493" i="2"/>
  <c r="AE496" i="2"/>
  <c r="AD545" i="2"/>
  <c r="BN490" i="2"/>
  <c r="AK315" i="2"/>
  <c r="AK928" i="34" s="1"/>
  <c r="AK925" i="34"/>
  <c r="AK351" i="2"/>
  <c r="AK958" i="34" s="1"/>
  <c r="AJ479" i="34"/>
  <c r="AJ355" i="2"/>
  <c r="AJ962" i="34" s="1"/>
  <c r="N475" i="2"/>
  <c r="N420" i="34" s="1"/>
  <c r="O475" i="2"/>
  <c r="O420" i="34" s="1"/>
  <c r="BJ472" i="2"/>
  <c r="R480" i="2"/>
  <c r="R482" i="2" s="1"/>
  <c r="R433" i="34" s="1"/>
  <c r="R473" i="2"/>
  <c r="R419" i="34" s="1"/>
  <c r="R477" i="2"/>
  <c r="R422" i="34" s="1"/>
  <c r="R418" i="34"/>
  <c r="R476" i="2"/>
  <c r="R421" i="34" s="1"/>
  <c r="BK472" i="2"/>
  <c r="S475" i="2"/>
  <c r="S420" i="34" s="1"/>
  <c r="R475" i="2"/>
  <c r="R420" i="34" s="1"/>
  <c r="V477" i="2"/>
  <c r="V422" i="34" s="1"/>
  <c r="V418" i="34"/>
  <c r="V480" i="2"/>
  <c r="V478" i="2"/>
  <c r="V423" i="34" s="1"/>
  <c r="V475" i="2"/>
  <c r="V420" i="34" s="1"/>
  <c r="W475" i="2"/>
  <c r="W420" i="34" s="1"/>
  <c r="Z501" i="34"/>
  <c r="Z978" i="34"/>
  <c r="V113" i="2"/>
  <c r="V502" i="34" s="1"/>
  <c r="V114" i="2"/>
  <c r="V503" i="34" s="1"/>
  <c r="AB255" i="2"/>
  <c r="AB1061" i="34" s="1"/>
  <c r="AB698" i="34"/>
  <c r="AO86" i="2"/>
  <c r="AO427" i="2"/>
  <c r="AO430" i="2" s="1"/>
  <c r="AJ118" i="2"/>
  <c r="AJ119" i="2"/>
  <c r="AM118" i="2"/>
  <c r="AH140" i="2"/>
  <c r="AD173" i="2"/>
  <c r="AD189" i="2" s="1"/>
  <c r="AD172" i="2"/>
  <c r="AO1041" i="34"/>
  <c r="AO420" i="2"/>
  <c r="AO1045" i="34" s="1"/>
  <c r="AH396" i="2"/>
  <c r="AH995" i="34"/>
  <c r="AI372" i="2"/>
  <c r="AH374" i="2"/>
  <c r="AH998" i="34" s="1"/>
  <c r="AP1041" i="34"/>
  <c r="V476" i="2"/>
  <c r="V421" i="34" s="1"/>
  <c r="V326" i="2"/>
  <c r="AB545" i="2"/>
  <c r="AK496" i="2"/>
  <c r="AO491" i="2"/>
  <c r="S478" i="2"/>
  <c r="S423" i="34" s="1"/>
  <c r="W493" i="2"/>
  <c r="AJ467" i="34"/>
  <c r="AM49" i="2"/>
  <c r="AM494" i="2"/>
  <c r="AM731" i="34" s="1"/>
  <c r="AH311" i="34"/>
  <c r="AH494" i="2"/>
  <c r="AH591" i="2"/>
  <c r="AH727" i="34"/>
  <c r="AH534" i="2"/>
  <c r="AN493" i="2"/>
  <c r="AN730" i="34" s="1"/>
  <c r="AN727" i="34"/>
  <c r="AN496" i="2"/>
  <c r="AN498" i="2"/>
  <c r="AN735" i="34" s="1"/>
  <c r="AO493" i="2"/>
  <c r="AO730" i="34" s="1"/>
  <c r="AO496" i="2"/>
  <c r="AJ565" i="34"/>
  <c r="AJ1042" i="34"/>
  <c r="AN577" i="34"/>
  <c r="W626" i="34"/>
  <c r="AP242" i="2"/>
  <c r="AP228" i="2"/>
  <c r="AT228" i="2" s="1"/>
  <c r="Z107" i="14"/>
  <c r="AG237" i="14"/>
  <c r="AG690" i="34" s="1"/>
  <c r="AF238" i="14"/>
  <c r="AF691" i="34" s="1"/>
  <c r="AT96" i="2"/>
  <c r="AG255" i="2"/>
  <c r="AH16" i="2"/>
  <c r="AH700" i="34" s="1"/>
  <c r="AK15" i="2"/>
  <c r="AK699" i="34" s="1"/>
  <c r="AC476" i="2"/>
  <c r="AC421" i="34" s="1"/>
  <c r="AG473" i="2"/>
  <c r="AC477" i="2"/>
  <c r="AC422" i="34" s="1"/>
  <c r="AC478" i="2"/>
  <c r="AC423" i="34" s="1"/>
  <c r="AC480" i="2"/>
  <c r="AC475" i="2"/>
  <c r="AC420" i="34" s="1"/>
  <c r="AC473" i="2"/>
  <c r="AC419" i="34" s="1"/>
  <c r="AJ351" i="2"/>
  <c r="AE229" i="14"/>
  <c r="AE176" i="14" s="1"/>
  <c r="AE645" i="34" s="1"/>
  <c r="AE1063" i="34"/>
  <c r="AE278" i="2"/>
  <c r="AE1085" i="34" s="1"/>
  <c r="AN61" i="2"/>
  <c r="AN721" i="34" s="1"/>
  <c r="AJ62" i="2"/>
  <c r="AJ722" i="34" s="1"/>
  <c r="AN58" i="2"/>
  <c r="AN718" i="34" s="1"/>
  <c r="AK59" i="2"/>
  <c r="AK719" i="34" s="1"/>
  <c r="AJ717" i="34"/>
  <c r="N493" i="2"/>
  <c r="N730" i="34" s="1"/>
  <c r="N727" i="34"/>
  <c r="AA493" i="2"/>
  <c r="AA313" i="34" s="1"/>
  <c r="Z498" i="2"/>
  <c r="Z61" i="14"/>
  <c r="AH491" i="2"/>
  <c r="AD61" i="14"/>
  <c r="AD498" i="2"/>
  <c r="AD504" i="2" s="1"/>
  <c r="AD740" i="34" s="1"/>
  <c r="AD534" i="2"/>
  <c r="AD727" i="34"/>
  <c r="AD496" i="2"/>
  <c r="AD733" i="34" s="1"/>
  <c r="AD493" i="2"/>
  <c r="AD569" i="2"/>
  <c r="AO311" i="34"/>
  <c r="Z227" i="14"/>
  <c r="Z778" i="34"/>
  <c r="BF227" i="14"/>
  <c r="BF778" i="34"/>
  <c r="AJ792" i="34"/>
  <c r="BO555" i="2"/>
  <c r="AJ338" i="34"/>
  <c r="AC814" i="34"/>
  <c r="AC576" i="2"/>
  <c r="AK313" i="2"/>
  <c r="AK926" i="34" s="1"/>
  <c r="AK314" i="2"/>
  <c r="AK927" i="34" s="1"/>
  <c r="AL940" i="34"/>
  <c r="AL334" i="2"/>
  <c r="AL941" i="34" s="1"/>
  <c r="AL335" i="2"/>
  <c r="AL942" i="34" s="1"/>
  <c r="AL336" i="2"/>
  <c r="AL943" i="34" s="1"/>
  <c r="AM335" i="2"/>
  <c r="AM942" i="34" s="1"/>
  <c r="AJ320" i="2"/>
  <c r="AN354" i="2"/>
  <c r="AN961" i="34" s="1"/>
  <c r="AJ350" i="2"/>
  <c r="AK355" i="2"/>
  <c r="AK962" i="34" s="1"/>
  <c r="AJ341" i="2"/>
  <c r="AJ353" i="2" s="1"/>
  <c r="AJ956" i="34"/>
  <c r="BO349" i="2"/>
  <c r="AU479" i="34" s="1"/>
  <c r="AN350" i="2"/>
  <c r="AN957" i="34" s="1"/>
  <c r="AL159" i="2"/>
  <c r="AL160" i="2"/>
  <c r="AK420" i="2"/>
  <c r="AK1045" i="34" s="1"/>
  <c r="AK1041" i="34"/>
  <c r="AK435" i="2"/>
  <c r="AK1054" i="34" s="1"/>
  <c r="AK1052" i="34"/>
  <c r="AK436" i="2"/>
  <c r="AK1055" i="34" s="1"/>
  <c r="N480" i="2"/>
  <c r="N473" i="2"/>
  <c r="N419" i="34" s="1"/>
  <c r="T237" i="14"/>
  <c r="T690" i="34" s="1"/>
  <c r="U238" i="14"/>
  <c r="U691" i="34" s="1"/>
  <c r="Y238" i="14"/>
  <c r="Y691" i="34" s="1"/>
  <c r="X237" i="14"/>
  <c r="X690" i="34" s="1"/>
  <c r="X689" i="34"/>
  <c r="X238" i="14"/>
  <c r="X691" i="34" s="1"/>
  <c r="AC238" i="14"/>
  <c r="AC691" i="34" s="1"/>
  <c r="AB238" i="14"/>
  <c r="AB691" i="34" s="1"/>
  <c r="AB237" i="14"/>
  <c r="AB690" i="34" s="1"/>
  <c r="AF689" i="34"/>
  <c r="AF237" i="14"/>
  <c r="AF690" i="34" s="1"/>
  <c r="AM158" i="2"/>
  <c r="AM159" i="2"/>
  <c r="AE112" i="2"/>
  <c r="BN109" i="2"/>
  <c r="Z110" i="2"/>
  <c r="Z976" i="34" s="1"/>
  <c r="AD111" i="2"/>
  <c r="Z111" i="2"/>
  <c r="Z500" i="34" s="1"/>
  <c r="Z975" i="34"/>
  <c r="Z114" i="2"/>
  <c r="Z981" i="34" s="1"/>
  <c r="AD112" i="2"/>
  <c r="V498" i="34"/>
  <c r="V112" i="2"/>
  <c r="V975" i="34"/>
  <c r="V110" i="2"/>
  <c r="V111" i="2"/>
  <c r="W110" i="2"/>
  <c r="W113" i="2"/>
  <c r="R113" i="2"/>
  <c r="BK109" i="2"/>
  <c r="AQ498" i="34" s="1"/>
  <c r="R498" i="34"/>
  <c r="R111" i="2"/>
  <c r="R110" i="2"/>
  <c r="R114" i="2"/>
  <c r="N498" i="34"/>
  <c r="N114" i="2"/>
  <c r="N981" i="34" s="1"/>
  <c r="N110" i="2"/>
  <c r="N113" i="2"/>
  <c r="N502" i="34" s="1"/>
  <c r="N112" i="2"/>
  <c r="BJ109" i="2"/>
  <c r="AN532" i="2"/>
  <c r="AN507" i="2"/>
  <c r="AN742" i="34"/>
  <c r="AO509" i="2"/>
  <c r="AO745" i="34" s="1"/>
  <c r="AN508" i="2"/>
  <c r="AN744" i="34" s="1"/>
  <c r="AP511" i="2"/>
  <c r="AP747" i="34" s="1"/>
  <c r="BP506" i="2"/>
  <c r="AN509" i="2"/>
  <c r="AN745" i="34" s="1"/>
  <c r="AO507" i="2"/>
  <c r="AN579" i="2"/>
  <c r="AN818" i="34" s="1"/>
  <c r="AN940" i="34"/>
  <c r="BP333" i="2"/>
  <c r="AN334" i="2"/>
  <c r="AN941" i="34" s="1"/>
  <c r="AN320" i="2"/>
  <c r="AO717" i="34"/>
  <c r="AO58" i="2"/>
  <c r="AO718" i="34" s="1"/>
  <c r="AO925" i="34"/>
  <c r="AO315" i="2"/>
  <c r="AO928" i="34" s="1"/>
  <c r="AO314" i="2"/>
  <c r="AO927" i="34" s="1"/>
  <c r="AO275" i="34"/>
  <c r="BI476" i="2"/>
  <c r="AO421" i="34" s="1"/>
  <c r="P15" i="2"/>
  <c r="T275" i="34"/>
  <c r="T698" i="34"/>
  <c r="X114" i="2"/>
  <c r="X15" i="2"/>
  <c r="X276" i="34" s="1"/>
  <c r="X18" i="2"/>
  <c r="AC16" i="2"/>
  <c r="AC277" i="34" s="1"/>
  <c r="AB256" i="2"/>
  <c r="AB476" i="2"/>
  <c r="AB421" i="34" s="1"/>
  <c r="AB18" i="2"/>
  <c r="AB114" i="2"/>
  <c r="AF259" i="2"/>
  <c r="AF1065" i="34" s="1"/>
  <c r="AF10" i="14"/>
  <c r="AF114" i="2"/>
  <c r="AH92" i="2"/>
  <c r="AH121" i="2"/>
  <c r="AG121" i="2"/>
  <c r="AJ28" i="2"/>
  <c r="AJ31" i="2" s="1"/>
  <c r="AK118" i="2"/>
  <c r="AJ121" i="2"/>
  <c r="AN120" i="2"/>
  <c r="AK121" i="2"/>
  <c r="AN119" i="2"/>
  <c r="AJ150" i="2"/>
  <c r="AH137" i="2"/>
  <c r="AI140" i="2"/>
  <c r="AA172" i="2"/>
  <c r="AA173" i="2"/>
  <c r="AA189" i="2" s="1"/>
  <c r="Z172" i="2"/>
  <c r="Z173" i="2"/>
  <c r="Z189" i="2" s="1"/>
  <c r="AD22" i="2"/>
  <c r="AE26" i="2" s="1"/>
  <c r="AD294" i="2"/>
  <c r="N22" i="2"/>
  <c r="O26" i="2" s="1"/>
  <c r="BJ67" i="2"/>
  <c r="BP192" i="2"/>
  <c r="BO192" i="2"/>
  <c r="AO417" i="2"/>
  <c r="AO396" i="2"/>
  <c r="AO1020" i="34" s="1"/>
  <c r="AH518" i="34"/>
  <c r="AL374" i="2"/>
  <c r="AL998" i="34" s="1"/>
  <c r="AK396" i="2"/>
  <c r="AL420" i="2"/>
  <c r="AL1045" i="34" s="1"/>
  <c r="BJ778" i="34"/>
  <c r="BP555" i="2"/>
  <c r="T238" i="14"/>
  <c r="T691" i="34" s="1"/>
  <c r="BO57" i="2"/>
  <c r="AB689" i="34"/>
  <c r="AM161" i="2"/>
  <c r="AL417" i="2"/>
  <c r="AL337" i="2"/>
  <c r="AL944" i="34" s="1"/>
  <c r="AJ59" i="2"/>
  <c r="AK417" i="2"/>
  <c r="BI495" i="2"/>
  <c r="Y576" i="2"/>
  <c r="Y815" i="34" s="1"/>
  <c r="N496" i="2"/>
  <c r="N733" i="34" s="1"/>
  <c r="AD491" i="2"/>
  <c r="AJ301" i="34"/>
  <c r="AE289" i="2"/>
  <c r="AE1096" i="34" s="1"/>
  <c r="T689" i="34"/>
  <c r="AH161" i="2"/>
  <c r="N418" i="34"/>
  <c r="AH392" i="2"/>
  <c r="AT22" i="2"/>
  <c r="AP72" i="2"/>
  <c r="AO259" i="2"/>
  <c r="AO1065" i="34" s="1"/>
  <c r="BQ91" i="2"/>
  <c r="AL22" i="2"/>
  <c r="AL256" i="2"/>
  <c r="AL1062" i="34" s="1"/>
  <c r="AL271" i="2"/>
  <c r="AL1078" i="34" s="1"/>
  <c r="U475" i="2"/>
  <c r="U420" i="34" s="1"/>
  <c r="AN73" i="2"/>
  <c r="AN22" i="2"/>
  <c r="AR25" i="2" s="1"/>
  <c r="AM68" i="2"/>
  <c r="AH771" i="34"/>
  <c r="AF476" i="2"/>
  <c r="AF421" i="34" s="1"/>
  <c r="AF473" i="2"/>
  <c r="AG478" i="2"/>
  <c r="AG423" i="34" s="1"/>
  <c r="AF418" i="34"/>
  <c r="AM106" i="14"/>
  <c r="AM778" i="34"/>
  <c r="AM1020" i="34"/>
  <c r="AV490" i="2"/>
  <c r="AV19" i="1" s="1"/>
  <c r="AR491" i="2"/>
  <c r="AM255" i="2"/>
  <c r="AM256" i="2"/>
  <c r="AM476" i="2"/>
  <c r="AM60" i="2"/>
  <c r="AM720" i="34" s="1"/>
  <c r="AM254" i="2"/>
  <c r="AM259" i="2"/>
  <c r="AM698" i="34"/>
  <c r="AM18" i="2"/>
  <c r="AM10" i="14"/>
  <c r="AM74" i="14" s="1"/>
  <c r="AM257" i="2"/>
  <c r="AM258" i="2"/>
  <c r="AM534" i="2"/>
  <c r="AM780" i="34" s="1"/>
  <c r="AQ490" i="2"/>
  <c r="AQ19" i="1" s="1"/>
  <c r="AM61" i="2"/>
  <c r="AM721" i="34" s="1"/>
  <c r="AM58" i="2"/>
  <c r="AM718" i="34" s="1"/>
  <c r="AM940" i="34"/>
  <c r="AN337" i="2"/>
  <c r="AN944" i="34" s="1"/>
  <c r="AM337" i="2"/>
  <c r="AM944" i="34" s="1"/>
  <c r="AN335" i="2"/>
  <c r="AN942" i="34" s="1"/>
  <c r="AM336" i="2"/>
  <c r="AM943" i="34" s="1"/>
  <c r="AM995" i="34"/>
  <c r="AM372" i="2"/>
  <c r="AM375" i="2"/>
  <c r="AM999" i="34" s="1"/>
  <c r="P61" i="14"/>
  <c r="P491" i="2"/>
  <c r="P312" i="34" s="1"/>
  <c r="P494" i="2"/>
  <c r="P727" i="34"/>
  <c r="T326" i="2"/>
  <c r="T491" i="2"/>
  <c r="T569" i="2"/>
  <c r="AF494" i="2"/>
  <c r="AF569" i="2"/>
  <c r="AF808" i="34" s="1"/>
  <c r="AF498" i="2"/>
  <c r="BO518" i="2"/>
  <c r="BP521" i="2" s="1"/>
  <c r="BP757" i="34" s="1"/>
  <c r="AJ520" i="2"/>
  <c r="AJ756" i="34" s="1"/>
  <c r="AJ519" i="2"/>
  <c r="AJ754" i="34"/>
  <c r="AJ521" i="2"/>
  <c r="AJ757" i="34" s="1"/>
  <c r="AN521" i="2"/>
  <c r="AN757" i="34" s="1"/>
  <c r="BH778" i="34"/>
  <c r="BH227" i="14"/>
  <c r="BL575" i="2"/>
  <c r="AA814" i="34"/>
  <c r="BO333" i="2"/>
  <c r="BO940" i="34" s="1"/>
  <c r="AJ940" i="34"/>
  <c r="AJ336" i="2"/>
  <c r="AJ335" i="2"/>
  <c r="AK335" i="2"/>
  <c r="AK942" i="34" s="1"/>
  <c r="AK337" i="2"/>
  <c r="AK944" i="34" s="1"/>
  <c r="AN336" i="2"/>
  <c r="AN943" i="34" s="1"/>
  <c r="AJ334" i="2"/>
  <c r="AL351" i="2"/>
  <c r="AL958" i="34" s="1"/>
  <c r="AL355" i="2"/>
  <c r="AL962" i="34" s="1"/>
  <c r="AL354" i="2"/>
  <c r="AL961" i="34" s="1"/>
  <c r="AM355" i="2"/>
  <c r="AM962" i="34" s="1"/>
  <c r="AL350" i="2"/>
  <c r="AL957" i="34" s="1"/>
  <c r="AL341" i="2"/>
  <c r="AL363" i="2" s="1"/>
  <c r="AL970" i="34" s="1"/>
  <c r="AL956" i="34"/>
  <c r="AL320" i="2"/>
  <c r="AK964" i="34"/>
  <c r="AL358" i="2"/>
  <c r="AK341" i="2"/>
  <c r="AK360" i="2"/>
  <c r="AK967" i="34" s="1"/>
  <c r="AO360" i="2"/>
  <c r="AO967" i="34" s="1"/>
  <c r="AK358" i="2"/>
  <c r="AK965" i="34" s="1"/>
  <c r="AH145" i="2"/>
  <c r="AH150" i="2"/>
  <c r="AL144" i="2"/>
  <c r="AL109" i="2" s="1"/>
  <c r="AH983" i="34"/>
  <c r="AM160" i="2"/>
  <c r="AI161" i="2"/>
  <c r="AI158" i="2"/>
  <c r="V689" i="34"/>
  <c r="V238" i="14"/>
  <c r="V691" i="34" s="1"/>
  <c r="AP157" i="2"/>
  <c r="AO161" i="2"/>
  <c r="AO1074" i="34"/>
  <c r="AO271" i="2"/>
  <c r="AO1078" i="34" s="1"/>
  <c r="BI10" i="14"/>
  <c r="BI15" i="2"/>
  <c r="BI699" i="34" s="1"/>
  <c r="BI698" i="34"/>
  <c r="P275" i="34"/>
  <c r="P114" i="2"/>
  <c r="P16" i="2"/>
  <c r="Q16" i="2"/>
  <c r="P698" i="34"/>
  <c r="T18" i="2"/>
  <c r="T114" i="2"/>
  <c r="BK12" i="2"/>
  <c r="U16" i="2"/>
  <c r="T16" i="2"/>
  <c r="T10" i="14"/>
  <c r="T15" i="2"/>
  <c r="T699" i="34" s="1"/>
  <c r="X10" i="14"/>
  <c r="X36" i="14" s="1"/>
  <c r="X610" i="34" s="1"/>
  <c r="X16" i="2"/>
  <c r="X700" i="34" s="1"/>
  <c r="X698" i="34"/>
  <c r="X275" i="34"/>
  <c r="Y16" i="2"/>
  <c r="Y700" i="34" s="1"/>
  <c r="BL12" i="2"/>
  <c r="AB259" i="2"/>
  <c r="AB57" i="2"/>
  <c r="AB10" i="14"/>
  <c r="BM12" i="2"/>
  <c r="AS275" i="34" s="1"/>
  <c r="AB275" i="34"/>
  <c r="AB258" i="2"/>
  <c r="AB15" i="2"/>
  <c r="AB257" i="2"/>
  <c r="AB16" i="2"/>
  <c r="AB277" i="34" s="1"/>
  <c r="AB254" i="2"/>
  <c r="AF256" i="2"/>
  <c r="AF57" i="2"/>
  <c r="AF698" i="34"/>
  <c r="AF255" i="2"/>
  <c r="AF16" i="2"/>
  <c r="AF275" i="34"/>
  <c r="AF258" i="2"/>
  <c r="AF257" i="2"/>
  <c r="AF49" i="2"/>
  <c r="AF15" i="2"/>
  <c r="AF254" i="2"/>
  <c r="AF286" i="2" s="1"/>
  <c r="AF1093" i="34" s="1"/>
  <c r="AO76" i="2"/>
  <c r="AO84" i="2"/>
  <c r="AO96" i="2" s="1"/>
  <c r="AO87" i="2"/>
  <c r="AO88" i="2"/>
  <c r="AK86" i="2"/>
  <c r="AL84" i="2"/>
  <c r="AL96" i="2" s="1"/>
  <c r="AG93" i="2"/>
  <c r="AG169" i="2"/>
  <c r="AK93" i="2"/>
  <c r="AG92" i="2"/>
  <c r="AG94" i="2"/>
  <c r="AL169" i="2"/>
  <c r="AM174" i="2" s="1"/>
  <c r="AL94" i="2"/>
  <c r="AM94" i="2"/>
  <c r="AL92" i="2"/>
  <c r="AL93" i="2"/>
  <c r="AM92" i="2"/>
  <c r="AH169" i="2"/>
  <c r="AI92" i="2"/>
  <c r="AH93" i="2"/>
  <c r="AI94" i="2"/>
  <c r="AH94" i="2"/>
  <c r="AG28" i="2"/>
  <c r="AH32" i="2" s="1"/>
  <c r="AK120" i="2"/>
  <c r="AK119" i="2"/>
  <c r="AH118" i="2"/>
  <c r="BO117" i="2"/>
  <c r="AG118" i="2"/>
  <c r="AM28" i="2"/>
  <c r="AQ31" i="2" s="1"/>
  <c r="AM121" i="2"/>
  <c r="AN118" i="2"/>
  <c r="BP117" i="2"/>
  <c r="AN121" i="2"/>
  <c r="AM120" i="2"/>
  <c r="AM119" i="2"/>
  <c r="AG34" i="2"/>
  <c r="BO136" i="2"/>
  <c r="AK139" i="2"/>
  <c r="AK138" i="2"/>
  <c r="AL34" i="2"/>
  <c r="AP37" i="2" s="1"/>
  <c r="AL138" i="2"/>
  <c r="BP136" i="2"/>
  <c r="AL139" i="2"/>
  <c r="AL137" i="2"/>
  <c r="AL140" i="2"/>
  <c r="AM140" i="2"/>
  <c r="AH34" i="2"/>
  <c r="AI137" i="2"/>
  <c r="AD182" i="2"/>
  <c r="AE172" i="2"/>
  <c r="AD174" i="2"/>
  <c r="AD168" i="2" s="1"/>
  <c r="Z174" i="2"/>
  <c r="Z182" i="2"/>
  <c r="W172" i="2"/>
  <c r="V173" i="2"/>
  <c r="V174" i="2"/>
  <c r="V172" i="2"/>
  <c r="W173" i="2"/>
  <c r="AN161" i="2"/>
  <c r="AN158" i="2"/>
  <c r="AO742" i="34"/>
  <c r="AO532" i="2"/>
  <c r="AP506" i="2"/>
  <c r="AQ511" i="2"/>
  <c r="AO579" i="2"/>
  <c r="AO818" i="34" s="1"/>
  <c r="AO336" i="2"/>
  <c r="AO943" i="34" s="1"/>
  <c r="AO335" i="2"/>
  <c r="AO942" i="34" s="1"/>
  <c r="AO940" i="34"/>
  <c r="AO334" i="2"/>
  <c r="AO941" i="34" s="1"/>
  <c r="AO320" i="2"/>
  <c r="AO337" i="2"/>
  <c r="AO944" i="34" s="1"/>
  <c r="AF113" i="2"/>
  <c r="AE111" i="2"/>
  <c r="AE113" i="2"/>
  <c r="AE498" i="34"/>
  <c r="AE110" i="2"/>
  <c r="AE975" i="34"/>
  <c r="AE114" i="2"/>
  <c r="Z498" i="34"/>
  <c r="AA113" i="2"/>
  <c r="AA502" i="34" s="1"/>
  <c r="AA110" i="2"/>
  <c r="Z113" i="2"/>
  <c r="BM109" i="2"/>
  <c r="W112" i="2"/>
  <c r="S113" i="2"/>
  <c r="W111" i="2"/>
  <c r="S110" i="2"/>
  <c r="O975" i="34"/>
  <c r="O113" i="2"/>
  <c r="O498" i="34"/>
  <c r="O110" i="2"/>
  <c r="P110" i="2"/>
  <c r="O112" i="2"/>
  <c r="AN62" i="2"/>
  <c r="AN722" i="34" s="1"/>
  <c r="AO59" i="2"/>
  <c r="AO719" i="34" s="1"/>
  <c r="AO62" i="2"/>
  <c r="AO722" i="34" s="1"/>
  <c r="AN717" i="34"/>
  <c r="AO313" i="2"/>
  <c r="AO926" i="34" s="1"/>
  <c r="AN315" i="2"/>
  <c r="AN928" i="34" s="1"/>
  <c r="AN313" i="2"/>
  <c r="AN926" i="34" s="1"/>
  <c r="AN925" i="34"/>
  <c r="AN1075" i="34"/>
  <c r="AN271" i="2"/>
  <c r="AN1078" i="34" s="1"/>
  <c r="AF18" i="2"/>
  <c r="AP140" i="2"/>
  <c r="AP336" i="2"/>
  <c r="AP943" i="34" s="1"/>
  <c r="AO873" i="34"/>
  <c r="V458" i="34"/>
  <c r="BR192" i="2"/>
  <c r="Y599" i="2"/>
  <c r="AC348" i="34"/>
  <c r="AI159" i="2"/>
  <c r="BS192" i="2"/>
  <c r="BA192" i="2"/>
  <c r="BB192" i="2" s="1"/>
  <c r="BC192" i="2" s="1"/>
  <c r="BD192" i="2" s="1"/>
  <c r="AN76" i="2"/>
  <c r="AP996" i="34"/>
  <c r="AP522" i="2"/>
  <c r="AP758" i="34" s="1"/>
  <c r="AP521" i="2"/>
  <c r="AP757" i="34" s="1"/>
  <c r="AL755" i="34"/>
  <c r="AN294" i="2"/>
  <c r="AR295" i="2" s="1"/>
  <c r="AO70" i="2"/>
  <c r="AN171" i="2"/>
  <c r="AN174" i="2" s="1"/>
  <c r="AN70" i="2"/>
  <c r="AM294" i="2"/>
  <c r="AM228" i="2" s="1"/>
  <c r="AM71" i="2"/>
  <c r="AT235" i="2"/>
  <c r="AT240" i="2" s="1"/>
  <c r="AT224" i="2" s="1"/>
  <c r="AM22" i="2"/>
  <c r="AQ25" i="2" s="1"/>
  <c r="AP862" i="34"/>
  <c r="AM76" i="2"/>
  <c r="AO331" i="34"/>
  <c r="BI808" i="34"/>
  <c r="AI22" i="2"/>
  <c r="AI25" i="2" s="1"/>
  <c r="AI68" i="2"/>
  <c r="AD373" i="2"/>
  <c r="BN34" i="2"/>
  <c r="AX67" i="2"/>
  <c r="AT24" i="1"/>
  <c r="AT1217" i="34" s="1"/>
  <c r="AT294" i="2"/>
  <c r="AT295" i="2" s="1"/>
  <c r="AT171" i="2"/>
  <c r="AT68" i="2"/>
  <c r="AJ73" i="2"/>
  <c r="AJ76" i="2"/>
  <c r="AJ77" i="2" s="1"/>
  <c r="AP353" i="2"/>
  <c r="AP960" i="34" s="1"/>
  <c r="AL72" i="2"/>
  <c r="AI70" i="2"/>
  <c r="AH71" i="2"/>
  <c r="AG61" i="14"/>
  <c r="AG294" i="2"/>
  <c r="AA1116" i="34"/>
  <c r="T1049" i="34"/>
  <c r="AH236" i="14"/>
  <c r="AH324" i="34"/>
  <c r="AI562" i="2"/>
  <c r="AH566" i="2"/>
  <c r="AH422" i="2"/>
  <c r="AE515" i="2"/>
  <c r="AE751" i="34" s="1"/>
  <c r="AP412" i="34"/>
  <c r="AI160" i="2"/>
  <c r="BK934" i="34"/>
  <c r="Y526" i="34"/>
  <c r="M544" i="34"/>
  <c r="AC525" i="34"/>
  <c r="AA820" i="34"/>
  <c r="AK520" i="2"/>
  <c r="AK756" i="34" s="1"/>
  <c r="AK521" i="2"/>
  <c r="AK757" i="34" s="1"/>
  <c r="AK754" i="34"/>
  <c r="Z755" i="34"/>
  <c r="Z511" i="2"/>
  <c r="AD512" i="2" s="1"/>
  <c r="AD748" i="34" s="1"/>
  <c r="AD747" i="34"/>
  <c r="AH755" i="34"/>
  <c r="AH511" i="2"/>
  <c r="W804" i="34"/>
  <c r="W327" i="34"/>
  <c r="AB818" i="34"/>
  <c r="AD581" i="2"/>
  <c r="AF857" i="34"/>
  <c r="AF618" i="2"/>
  <c r="BN613" i="2"/>
  <c r="AK620" i="2"/>
  <c r="AK864" i="34" s="1"/>
  <c r="AK619" i="2"/>
  <c r="AK863" i="34" s="1"/>
  <c r="AG862" i="34"/>
  <c r="AG877" i="34"/>
  <c r="AG639" i="2"/>
  <c r="AK633" i="2"/>
  <c r="AK878" i="34" s="1"/>
  <c r="AB373" i="34"/>
  <c r="X636" i="2"/>
  <c r="AF881" i="34"/>
  <c r="AF373" i="34"/>
  <c r="W386" i="34"/>
  <c r="AA651" i="2"/>
  <c r="AB897" i="34"/>
  <c r="AB386" i="34"/>
  <c r="AB651" i="2"/>
  <c r="Q457" i="34"/>
  <c r="Q934" i="34"/>
  <c r="AC457" i="34"/>
  <c r="AC934" i="34"/>
  <c r="AB935" i="34"/>
  <c r="AB458" i="34"/>
  <c r="U459" i="34"/>
  <c r="U936" i="34"/>
  <c r="AI473" i="34"/>
  <c r="AI951" i="34"/>
  <c r="AE952" i="34"/>
  <c r="AE475" i="34"/>
  <c r="AI952" i="34"/>
  <c r="AI475" i="34"/>
  <c r="AD953" i="34"/>
  <c r="AD476" i="34"/>
  <c r="AF965" i="34"/>
  <c r="AF488" i="34"/>
  <c r="AF359" i="2"/>
  <c r="AG359" i="2"/>
  <c r="X967" i="34"/>
  <c r="X490" i="34"/>
  <c r="AB967" i="34"/>
  <c r="AB490" i="34"/>
  <c r="AI490" i="34"/>
  <c r="AI967" i="34"/>
  <c r="X968" i="34"/>
  <c r="X491" i="34"/>
  <c r="AF491" i="34"/>
  <c r="AF968" i="34"/>
  <c r="T492" i="34"/>
  <c r="T969" i="34"/>
  <c r="W969" i="34"/>
  <c r="W492" i="34"/>
  <c r="Z969" i="34"/>
  <c r="Z492" i="34"/>
  <c r="AD969" i="34"/>
  <c r="AD492" i="34"/>
  <c r="AA970" i="34"/>
  <c r="AA493" i="34"/>
  <c r="AN144" i="2"/>
  <c r="AR144" i="2" s="1"/>
  <c r="AK144" i="2"/>
  <c r="AO160" i="2"/>
  <c r="AK159" i="2"/>
  <c r="AO159" i="2"/>
  <c r="AL161" i="2"/>
  <c r="BP157" i="2"/>
  <c r="AL158" i="2"/>
  <c r="AK160" i="2"/>
  <c r="O522" i="34"/>
  <c r="O999" i="34"/>
  <c r="S1042" i="34"/>
  <c r="S565" i="34"/>
  <c r="R568" i="34"/>
  <c r="R1045" i="34"/>
  <c r="U568" i="34"/>
  <c r="U1045" i="34"/>
  <c r="Y568" i="34"/>
  <c r="Y1045" i="34"/>
  <c r="AC568" i="34"/>
  <c r="AC1045" i="34"/>
  <c r="AN567" i="34"/>
  <c r="BH1044" i="34"/>
  <c r="O1047" i="34"/>
  <c r="O570" i="34"/>
  <c r="P424" i="2"/>
  <c r="O424" i="2"/>
  <c r="O423" i="2"/>
  <c r="S570" i="34"/>
  <c r="S425" i="2"/>
  <c r="S424" i="2"/>
  <c r="W1047" i="34"/>
  <c r="X424" i="2"/>
  <c r="X572" i="34" s="1"/>
  <c r="W425" i="2"/>
  <c r="W424" i="2"/>
  <c r="W570" i="34"/>
  <c r="W423" i="2"/>
  <c r="AA425" i="2"/>
  <c r="AA573" i="34" s="1"/>
  <c r="AA1047" i="34"/>
  <c r="AA423" i="2"/>
  <c r="AB424" i="2"/>
  <c r="AA570" i="34"/>
  <c r="AE423" i="2"/>
  <c r="AE1047" i="34"/>
  <c r="AF424" i="2"/>
  <c r="AE425" i="2"/>
  <c r="AE1050" i="34" s="1"/>
  <c r="AE570" i="34"/>
  <c r="AE424" i="2"/>
  <c r="Y1052" i="34"/>
  <c r="Z435" i="2"/>
  <c r="Z1054" i="34" s="1"/>
  <c r="Y436" i="2"/>
  <c r="Y1055" i="34" s="1"/>
  <c r="AH1108" i="34"/>
  <c r="AH398" i="34"/>
  <c r="AG171" i="2"/>
  <c r="AG68" i="2"/>
  <c r="AG70" i="2"/>
  <c r="AE967" i="34"/>
  <c r="AC434" i="2"/>
  <c r="AC1053" i="34" s="1"/>
  <c r="R935" i="34"/>
  <c r="S699" i="34"/>
  <c r="S276" i="34"/>
  <c r="Y545" i="34"/>
  <c r="AG480" i="34"/>
  <c r="AG957" i="34"/>
  <c r="AE1117" i="34"/>
  <c r="AC1062" i="34"/>
  <c r="O544" i="34"/>
  <c r="O1021" i="34"/>
  <c r="AA604" i="2"/>
  <c r="AD42" i="2"/>
  <c r="AD704" i="34" s="1"/>
  <c r="AK62" i="2"/>
  <c r="AK722" i="34" s="1"/>
  <c r="AO61" i="2"/>
  <c r="AO721" i="34" s="1"/>
  <c r="AL62" i="2"/>
  <c r="AL722" i="34" s="1"/>
  <c r="AK717" i="34"/>
  <c r="AK58" i="2"/>
  <c r="AK718" i="34" s="1"/>
  <c r="N569" i="2"/>
  <c r="N331" i="34" s="1"/>
  <c r="N326" i="2"/>
  <c r="N311" i="34"/>
  <c r="N491" i="2"/>
  <c r="N61" i="14"/>
  <c r="Z727" i="34"/>
  <c r="Z326" i="2"/>
  <c r="Z496" i="2"/>
  <c r="Z569" i="2"/>
  <c r="Z331" i="34" s="1"/>
  <c r="Z534" i="2"/>
  <c r="BM490" i="2"/>
  <c r="AS311" i="34" s="1"/>
  <c r="Z311" i="34"/>
  <c r="Z494" i="2"/>
  <c r="AD495" i="2"/>
  <c r="AD311" i="34"/>
  <c r="AG450" i="34"/>
  <c r="AG929" i="34"/>
  <c r="AB1021" i="34"/>
  <c r="Z327" i="34"/>
  <c r="Z804" i="34"/>
  <c r="Z942" i="34"/>
  <c r="Z464" i="34"/>
  <c r="AD945" i="34"/>
  <c r="AD468" i="34"/>
  <c r="X349" i="2"/>
  <c r="BL349" i="2" s="1"/>
  <c r="X948" i="34"/>
  <c r="AB342" i="2"/>
  <c r="V522" i="34"/>
  <c r="V999" i="34"/>
  <c r="AE1042" i="34"/>
  <c r="AE565" i="34"/>
  <c r="AE418" i="2"/>
  <c r="BG1114" i="34"/>
  <c r="AM404" i="34"/>
  <c r="BQ793" i="34"/>
  <c r="AW339" i="34"/>
  <c r="O793" i="34"/>
  <c r="S559" i="2"/>
  <c r="S558" i="2" s="1"/>
  <c r="Y802" i="34"/>
  <c r="Y325" i="34"/>
  <c r="Y803" i="34"/>
  <c r="Y326" i="34"/>
  <c r="AC803" i="34"/>
  <c r="AC326" i="34"/>
  <c r="P804" i="34"/>
  <c r="P327" i="34"/>
  <c r="AJ852" i="34"/>
  <c r="AJ354" i="34"/>
  <c r="AE368" i="34"/>
  <c r="AE872" i="34"/>
  <c r="AC488" i="34"/>
  <c r="AC359" i="2"/>
  <c r="AB998" i="34"/>
  <c r="AB521" i="34"/>
  <c r="AC543" i="34"/>
  <c r="AC397" i="2"/>
  <c r="AC1020" i="34"/>
  <c r="AA409" i="2"/>
  <c r="AA410" i="2"/>
  <c r="AA558" i="34" s="1"/>
  <c r="AQ564" i="34"/>
  <c r="BK418" i="2"/>
  <c r="AQ566" i="34" s="1"/>
  <c r="BK419" i="2"/>
  <c r="AQ567" i="34" s="1"/>
  <c r="Y237" i="14"/>
  <c r="Y690" i="34" s="1"/>
  <c r="BL948" i="34"/>
  <c r="T805" i="34"/>
  <c r="T328" i="34"/>
  <c r="AA313" i="2"/>
  <c r="AA446" i="34"/>
  <c r="AA305" i="2"/>
  <c r="AB313" i="2"/>
  <c r="AA315" i="2"/>
  <c r="BK373" i="2"/>
  <c r="CB371" i="2"/>
  <c r="BK380" i="2"/>
  <c r="AD387" i="2"/>
  <c r="AD524" i="34"/>
  <c r="AD530" i="34"/>
  <c r="AD1007" i="34"/>
  <c r="AD1009" i="34"/>
  <c r="AD532" i="34"/>
  <c r="V390" i="2"/>
  <c r="V389" i="2"/>
  <c r="BF449" i="2"/>
  <c r="BF462" i="2"/>
  <c r="BF1106" i="34"/>
  <c r="AE1116" i="34"/>
  <c r="AE406" i="34"/>
  <c r="Y18" i="2"/>
  <c r="AP965" i="34"/>
  <c r="BP164" i="2"/>
  <c r="BP754" i="34"/>
  <c r="AN68" i="2"/>
  <c r="AN72" i="2"/>
  <c r="AJ22" i="2"/>
  <c r="AJ294" i="2"/>
  <c r="AJ68" i="2"/>
  <c r="AJ70" i="2"/>
  <c r="AJ171" i="2"/>
  <c r="AK70" i="2"/>
  <c r="BL208" i="2"/>
  <c r="BL206" i="2"/>
  <c r="AM72" i="2"/>
  <c r="AI71" i="2"/>
  <c r="AI76" i="2"/>
  <c r="AH22" i="2"/>
  <c r="AD959" i="34"/>
  <c r="AI171" i="2"/>
  <c r="AG176" i="14"/>
  <c r="AG139" i="14"/>
  <c r="BJ392" i="2"/>
  <c r="V386" i="34"/>
  <c r="AG354" i="2"/>
  <c r="BL202" i="2"/>
  <c r="Z622" i="2"/>
  <c r="BO67" i="2"/>
  <c r="AH76" i="2"/>
  <c r="AH171" i="2"/>
  <c r="AH68" i="2"/>
  <c r="AI73" i="2"/>
  <c r="AH70" i="2"/>
  <c r="AH73" i="2"/>
  <c r="AM37" i="2"/>
  <c r="AQ689" i="34"/>
  <c r="AI32" i="2"/>
  <c r="AI31" i="2"/>
  <c r="AP256" i="2"/>
  <c r="AL31" i="2"/>
  <c r="AP138" i="2"/>
  <c r="AP354" i="2"/>
  <c r="AP961" i="34" s="1"/>
  <c r="AP139" i="2"/>
  <c r="AP259" i="2"/>
  <c r="AP1065" i="34" s="1"/>
  <c r="AW179" i="1"/>
  <c r="AX179" i="1" s="1"/>
  <c r="AY179" i="1" s="1"/>
  <c r="AZ179" i="1" s="1"/>
  <c r="AW161" i="1"/>
  <c r="AX161" i="1" s="1"/>
  <c r="AY161" i="1" s="1"/>
  <c r="AZ161" i="1" s="1"/>
  <c r="BS161" i="1"/>
  <c r="AX150" i="34" s="1"/>
  <c r="AW178" i="1"/>
  <c r="AX178" i="1" s="1"/>
  <c r="AY178" i="1" s="1"/>
  <c r="AZ178" i="1" s="1"/>
  <c r="BS178" i="1"/>
  <c r="AX167" i="34" s="1"/>
  <c r="AW160" i="1"/>
  <c r="AX160" i="1" s="1"/>
  <c r="AY160" i="1" s="1"/>
  <c r="AZ160" i="1" s="1"/>
  <c r="BS160" i="1"/>
  <c r="AX149" i="34" s="1"/>
  <c r="AT493" i="34"/>
  <c r="BN970" i="34"/>
  <c r="BP717" i="34"/>
  <c r="BL449" i="2"/>
  <c r="AI568" i="34"/>
  <c r="BM196" i="2"/>
  <c r="BM194" i="2"/>
  <c r="BL390" i="2"/>
  <c r="BC78" i="14"/>
  <c r="AE265" i="1"/>
  <c r="AE188" i="34"/>
  <c r="BC76" i="14"/>
  <c r="AF259" i="1"/>
  <c r="AF245" i="34" s="1"/>
  <c r="M1227" i="34"/>
  <c r="AF189" i="34"/>
  <c r="T154" i="14"/>
  <c r="T638" i="34" s="1"/>
  <c r="X155" i="14"/>
  <c r="X639" i="34" s="1"/>
  <c r="AF104" i="1"/>
  <c r="AF92" i="34" s="1"/>
  <c r="O69" i="14"/>
  <c r="O618" i="34" s="1"/>
  <c r="U780" i="34"/>
  <c r="AO1221" i="34"/>
  <c r="AO29" i="1"/>
  <c r="AO30" i="1" s="1"/>
  <c r="AN82" i="14"/>
  <c r="AO169" i="1"/>
  <c r="AO172" i="1" s="1"/>
  <c r="AM28" i="1"/>
  <c r="AM188" i="1" s="1"/>
  <c r="AM28" i="14"/>
  <c r="O700" i="34"/>
  <c r="Z276" i="34"/>
  <c r="Z699" i="34"/>
  <c r="AC960" i="34"/>
  <c r="AC483" i="34"/>
  <c r="X842" i="34"/>
  <c r="X348" i="34"/>
  <c r="AH497" i="34"/>
  <c r="AL974" i="34"/>
  <c r="AH260" i="1"/>
  <c r="AH246" i="34" s="1"/>
  <c r="AH244" i="34"/>
  <c r="AH104" i="1"/>
  <c r="AH92" i="34" s="1"/>
  <c r="AI222" i="34"/>
  <c r="BP236" i="1"/>
  <c r="AU222" i="34" s="1"/>
  <c r="AM635" i="34"/>
  <c r="BH155" i="14"/>
  <c r="AN639" i="34" s="1"/>
  <c r="BG153" i="14"/>
  <c r="AM637" i="34" s="1"/>
  <c r="BH153" i="14"/>
  <c r="AN637" i="34" s="1"/>
  <c r="S161" i="14"/>
  <c r="AF161" i="14"/>
  <c r="U671" i="34"/>
  <c r="U217" i="14"/>
  <c r="U223" i="14"/>
  <c r="BL215" i="14"/>
  <c r="AR671" i="34" s="1"/>
  <c r="AL673" i="34"/>
  <c r="BG36" i="1"/>
  <c r="BG289" i="1" s="1"/>
  <c r="Y676" i="34"/>
  <c r="Y224" i="14"/>
  <c r="Y680" i="34" s="1"/>
  <c r="Y28" i="14"/>
  <c r="Y36" i="14" s="1"/>
  <c r="BM220" i="14"/>
  <c r="Y28" i="1"/>
  <c r="T677" i="34"/>
  <c r="T64" i="14"/>
  <c r="T32" i="1"/>
  <c r="T678" i="34"/>
  <c r="T119" i="14"/>
  <c r="T33" i="1"/>
  <c r="AC678" i="34"/>
  <c r="AC33" i="1"/>
  <c r="BN222" i="14"/>
  <c r="AT678" i="34" s="1"/>
  <c r="AC119" i="14"/>
  <c r="AD124" i="14" s="1"/>
  <c r="AD630" i="34" s="1"/>
  <c r="AC224" i="14"/>
  <c r="AC680" i="34" s="1"/>
  <c r="O679" i="34"/>
  <c r="O34" i="1"/>
  <c r="O224" i="14"/>
  <c r="O680" i="34" s="1"/>
  <c r="O151" i="14"/>
  <c r="S155" i="14" s="1"/>
  <c r="S639" i="34" s="1"/>
  <c r="AB679" i="34"/>
  <c r="BM223" i="14"/>
  <c r="AS679" i="34" s="1"/>
  <c r="AB151" i="14"/>
  <c r="AB34" i="1"/>
  <c r="AD156" i="14"/>
  <c r="AD640" i="34" s="1"/>
  <c r="AD154" i="14"/>
  <c r="AD638" i="34" s="1"/>
  <c r="AD635" i="34"/>
  <c r="AD155" i="14"/>
  <c r="AD639" i="34" s="1"/>
  <c r="R12" i="42"/>
  <c r="BH1122" i="34"/>
  <c r="AN412" i="34"/>
  <c r="BM425" i="2"/>
  <c r="AS570" i="34"/>
  <c r="AL254" i="2"/>
  <c r="AL257" i="2"/>
  <c r="AL258" i="2"/>
  <c r="AM16" i="2"/>
  <c r="AM700" i="34" s="1"/>
  <c r="AL18" i="2"/>
  <c r="AL698" i="34"/>
  <c r="AL49" i="2"/>
  <c r="AL259" i="2"/>
  <c r="AL60" i="2"/>
  <c r="AL720" i="34" s="1"/>
  <c r="AA431" i="34"/>
  <c r="P407" i="34"/>
  <c r="P1117" i="34"/>
  <c r="AE877" i="34"/>
  <c r="P36" i="14"/>
  <c r="P152" i="14"/>
  <c r="P577" i="34"/>
  <c r="AE1016" i="34"/>
  <c r="AE539" i="34"/>
  <c r="P1016" i="34"/>
  <c r="P539" i="34"/>
  <c r="AJ256" i="34"/>
  <c r="AE191" i="34"/>
  <c r="AF205" i="1"/>
  <c r="AF191" i="34" s="1"/>
  <c r="Y112" i="34"/>
  <c r="AN1228" i="34"/>
  <c r="X293" i="1"/>
  <c r="AA265" i="1"/>
  <c r="AA188" i="34"/>
  <c r="AO23" i="34"/>
  <c r="AG615" i="34"/>
  <c r="AG82" i="14"/>
  <c r="AG248" i="14"/>
  <c r="AG249" i="14" s="1"/>
  <c r="AG71" i="14"/>
  <c r="AG620" i="34" s="1"/>
  <c r="AG68" i="14"/>
  <c r="AG617" i="34" s="1"/>
  <c r="AG69" i="14"/>
  <c r="AG618" i="34" s="1"/>
  <c r="AF79" i="34"/>
  <c r="AJ488" i="34"/>
  <c r="BU984" i="34"/>
  <c r="BV147" i="2"/>
  <c r="AG449" i="2"/>
  <c r="AG450" i="2"/>
  <c r="AG392" i="2"/>
  <c r="AG1106" i="34"/>
  <c r="AG396" i="34"/>
  <c r="AM1279" i="34"/>
  <c r="AM87" i="1"/>
  <c r="AE480" i="2"/>
  <c r="AN430" i="2"/>
  <c r="AI161" i="34"/>
  <c r="AC70" i="14"/>
  <c r="AC619" i="34" s="1"/>
  <c r="Y615" i="34"/>
  <c r="Y70" i="14"/>
  <c r="Y619" i="34" s="1"/>
  <c r="Y248" i="14"/>
  <c r="Y249" i="14" s="1"/>
  <c r="Z71" i="14"/>
  <c r="Z620" i="34" s="1"/>
  <c r="S190" i="14"/>
  <c r="S651" i="34" s="1"/>
  <c r="Y340" i="34"/>
  <c r="AD273" i="1"/>
  <c r="AD258" i="34" s="1"/>
  <c r="AU665" i="34"/>
  <c r="BP270" i="1"/>
  <c r="AA354" i="2"/>
  <c r="W352" i="2"/>
  <c r="W353" i="2"/>
  <c r="W479" i="34"/>
  <c r="AA350" i="2"/>
  <c r="Z91" i="34"/>
  <c r="AA103" i="1"/>
  <c r="AA91" i="34" s="1"/>
  <c r="N112" i="34"/>
  <c r="N125" i="1"/>
  <c r="N113" i="34" s="1"/>
  <c r="N117" i="34"/>
  <c r="N133" i="1"/>
  <c r="N121" i="34" s="1"/>
  <c r="AB255" i="34"/>
  <c r="AB272" i="1"/>
  <c r="AH256" i="34"/>
  <c r="AH272" i="1"/>
  <c r="AU446" i="34"/>
  <c r="BO925" i="34"/>
  <c r="AV156" i="34"/>
  <c r="BQ132" i="1"/>
  <c r="AV120" i="34" s="1"/>
  <c r="T965" i="34"/>
  <c r="AB473" i="34"/>
  <c r="AB951" i="34"/>
  <c r="BL1106" i="34"/>
  <c r="BL392" i="2"/>
  <c r="AB449" i="2"/>
  <c r="AB447" i="2"/>
  <c r="AB392" i="2"/>
  <c r="AB396" i="34"/>
  <c r="AB1106" i="34"/>
  <c r="AB450" i="2"/>
  <c r="AC450" i="2"/>
  <c r="AF449" i="2"/>
  <c r="W940" i="34"/>
  <c r="AF229" i="14"/>
  <c r="AF228" i="14"/>
  <c r="Y534" i="34"/>
  <c r="AE290" i="2"/>
  <c r="AE1097" i="34" s="1"/>
  <c r="AG759" i="34"/>
  <c r="AG1279" i="34"/>
  <c r="AG73" i="34"/>
  <c r="BR77" i="14"/>
  <c r="AX623" i="34"/>
  <c r="BR75" i="14"/>
  <c r="U129" i="1"/>
  <c r="U151" i="34"/>
  <c r="AS45" i="34"/>
  <c r="BN56" i="1"/>
  <c r="AS44" i="34" s="1"/>
  <c r="AJ1251" i="34"/>
  <c r="AJ46" i="34"/>
  <c r="AT46" i="34"/>
  <c r="BO56" i="1"/>
  <c r="AT44" i="34" s="1"/>
  <c r="BP66" i="1"/>
  <c r="AJ54" i="34"/>
  <c r="AB79" i="34"/>
  <c r="AB1285" i="34"/>
  <c r="AB120" i="1"/>
  <c r="AB108" i="34" s="1"/>
  <c r="AH92" i="1"/>
  <c r="AH80" i="34"/>
  <c r="BP93" i="1"/>
  <c r="AU80" i="34" s="1"/>
  <c r="AH88" i="1"/>
  <c r="N101" i="1"/>
  <c r="N89" i="34" s="1"/>
  <c r="N187" i="14"/>
  <c r="N648" i="34" s="1"/>
  <c r="AE646" i="34"/>
  <c r="AE101" i="1"/>
  <c r="AE89" i="34" s="1"/>
  <c r="AI187" i="14"/>
  <c r="AI648" i="34" s="1"/>
  <c r="AE187" i="14"/>
  <c r="AE648" i="34" s="1"/>
  <c r="AE189" i="14"/>
  <c r="AE650" i="34" s="1"/>
  <c r="AI189" i="14"/>
  <c r="AI650" i="34" s="1"/>
  <c r="AK128" i="14"/>
  <c r="BP206" i="14"/>
  <c r="AK222" i="14"/>
  <c r="AL203" i="14"/>
  <c r="AL223" i="14"/>
  <c r="BP207" i="14"/>
  <c r="AL160" i="14"/>
  <c r="AL161" i="14" s="1"/>
  <c r="AL169" i="14" s="1"/>
  <c r="BB519" i="2"/>
  <c r="AX755" i="34"/>
  <c r="AM1228" i="34"/>
  <c r="AM1276" i="34"/>
  <c r="BQ83" i="1"/>
  <c r="AV70" i="34" s="1"/>
  <c r="AM131" i="1"/>
  <c r="AM169" i="1"/>
  <c r="AM172" i="1" s="1"/>
  <c r="AM361" i="2"/>
  <c r="AM968" i="34" s="1"/>
  <c r="AN361" i="2"/>
  <c r="AN968" i="34" s="1"/>
  <c r="AM358" i="2"/>
  <c r="AM964" i="34"/>
  <c r="AM1072" i="34"/>
  <c r="AM271" i="2"/>
  <c r="AM1078" i="34" s="1"/>
  <c r="AN396" i="2"/>
  <c r="AR397" i="2" s="1"/>
  <c r="AN374" i="2"/>
  <c r="AN998" i="34" s="1"/>
  <c r="AN372" i="2"/>
  <c r="AN375" i="2"/>
  <c r="AN999" i="34" s="1"/>
  <c r="AO372" i="2"/>
  <c r="AP373" i="2" s="1"/>
  <c r="AP997" i="34" s="1"/>
  <c r="AO375" i="2"/>
  <c r="AO999" i="34" s="1"/>
  <c r="AN995" i="34"/>
  <c r="AN222" i="14"/>
  <c r="AN128" i="14"/>
  <c r="AP169" i="1"/>
  <c r="AP172" i="1" s="1"/>
  <c r="AM176" i="14"/>
  <c r="AO156" i="14"/>
  <c r="AO154" i="14"/>
  <c r="AL258" i="1"/>
  <c r="AL267" i="1" s="1"/>
  <c r="AL248" i="1"/>
  <c r="AD1060" i="34"/>
  <c r="BP872" i="34"/>
  <c r="BP628" i="2"/>
  <c r="Z962" i="34"/>
  <c r="AG111" i="14"/>
  <c r="Y1061" i="34"/>
  <c r="W794" i="34"/>
  <c r="Z491" i="34"/>
  <c r="BB75" i="14"/>
  <c r="BB76" i="14"/>
  <c r="BB78" i="14"/>
  <c r="BS234" i="1"/>
  <c r="AX220" i="34" s="1"/>
  <c r="AG158" i="2"/>
  <c r="AF158" i="2"/>
  <c r="AF161" i="2"/>
  <c r="AG161" i="2"/>
  <c r="O6" i="1"/>
  <c r="O19" i="34"/>
  <c r="V188" i="34"/>
  <c r="V265" i="1"/>
  <c r="M18" i="42"/>
  <c r="M18" i="40"/>
  <c r="BJ204" i="1"/>
  <c r="AO190" i="34" s="1"/>
  <c r="AD188" i="1"/>
  <c r="AD177" i="34" s="1"/>
  <c r="AP266" i="1"/>
  <c r="AP130" i="2"/>
  <c r="AP120" i="2"/>
  <c r="AP28" i="2"/>
  <c r="AQ32" i="2" s="1"/>
  <c r="AP119" i="2"/>
  <c r="AP118" i="2"/>
  <c r="AP121" i="2"/>
  <c r="BH224" i="14"/>
  <c r="AN680" i="34" s="1"/>
  <c r="BI33" i="1"/>
  <c r="BH119" i="14"/>
  <c r="AD689" i="34"/>
  <c r="AE238" i="14"/>
  <c r="AE691" i="34" s="1"/>
  <c r="AD238" i="14"/>
  <c r="AD691" i="34" s="1"/>
  <c r="AX1285" i="34"/>
  <c r="AX120" i="1"/>
  <c r="BT92" i="1"/>
  <c r="AP258" i="1"/>
  <c r="AP267" i="1" s="1"/>
  <c r="AP226" i="1"/>
  <c r="AV623" i="34"/>
  <c r="BQ102" i="14"/>
  <c r="BP75" i="14"/>
  <c r="BQ75" i="14"/>
  <c r="S209" i="34"/>
  <c r="T223" i="1"/>
  <c r="S258" i="1"/>
  <c r="T220" i="1"/>
  <c r="AI217" i="34"/>
  <c r="BP231" i="1"/>
  <c r="AH229" i="14"/>
  <c r="AI228" i="14"/>
  <c r="AO600" i="2"/>
  <c r="AN599" i="2"/>
  <c r="R1227" i="34"/>
  <c r="R25" i="34"/>
  <c r="BO35" i="1"/>
  <c r="AS155" i="34"/>
  <c r="BN131" i="1"/>
  <c r="AS119" i="34" s="1"/>
  <c r="BN169" i="1"/>
  <c r="AR156" i="34"/>
  <c r="BM169" i="1"/>
  <c r="BM132" i="1"/>
  <c r="AR120" i="34" s="1"/>
  <c r="BP171" i="1"/>
  <c r="AJ160" i="34"/>
  <c r="AB170" i="34"/>
  <c r="AB182" i="1"/>
  <c r="AB171" i="34" s="1"/>
  <c r="AG170" i="34"/>
  <c r="AG182" i="1"/>
  <c r="AG171" i="34" s="1"/>
  <c r="AE180" i="34"/>
  <c r="AG191" i="1"/>
  <c r="AG180" i="34" s="1"/>
  <c r="O189" i="34"/>
  <c r="P203" i="1"/>
  <c r="AG192" i="34"/>
  <c r="AG207" i="1"/>
  <c r="O206" i="34"/>
  <c r="P220" i="1"/>
  <c r="BK220" i="1" s="1"/>
  <c r="O258" i="1"/>
  <c r="O248" i="1"/>
  <c r="O234" i="34" s="1"/>
  <c r="AD207" i="34"/>
  <c r="AE221" i="1"/>
  <c r="AD226" i="1"/>
  <c r="AD212" i="34" s="1"/>
  <c r="AD119" i="1"/>
  <c r="AD107" i="34" s="1"/>
  <c r="AH211" i="34"/>
  <c r="AI225" i="1"/>
  <c r="AI211" i="34" s="1"/>
  <c r="AD209" i="34"/>
  <c r="AE223" i="1"/>
  <c r="Z210" i="34"/>
  <c r="Z119" i="1"/>
  <c r="Z107" i="34" s="1"/>
  <c r="AA224" i="1"/>
  <c r="Z226" i="1"/>
  <c r="Z212" i="34" s="1"/>
  <c r="AJ219" i="34"/>
  <c r="BP233" i="1"/>
  <c r="AU219" i="34" s="1"/>
  <c r="AY216" i="34"/>
  <c r="BT234" i="1"/>
  <c r="AY220" i="34" s="1"/>
  <c r="AZ217" i="34"/>
  <c r="BU234" i="1"/>
  <c r="AZ220" i="34" s="1"/>
  <c r="R569" i="2"/>
  <c r="R727" i="34"/>
  <c r="R311" i="34"/>
  <c r="R496" i="2"/>
  <c r="R491" i="2"/>
  <c r="R326" i="2"/>
  <c r="R493" i="2"/>
  <c r="R61" i="14"/>
  <c r="R495" i="2"/>
  <c r="R494" i="2"/>
  <c r="BN508" i="2"/>
  <c r="BN744" i="34" s="1"/>
  <c r="BN507" i="2"/>
  <c r="BN743" i="34" s="1"/>
  <c r="AK522" i="2"/>
  <c r="AK758" i="34" s="1"/>
  <c r="AO521" i="2"/>
  <c r="AO757" i="34" s="1"/>
  <c r="AK519" i="2"/>
  <c r="AK523" i="2"/>
  <c r="AK498" i="2"/>
  <c r="AK735" i="34" s="1"/>
  <c r="AF511" i="2"/>
  <c r="AF755" i="34"/>
  <c r="BU793" i="34"/>
  <c r="BU559" i="2"/>
  <c r="BV559" i="2"/>
  <c r="T803" i="34"/>
  <c r="T326" i="34"/>
  <c r="P805" i="34"/>
  <c r="P328" i="34"/>
  <c r="W805" i="34"/>
  <c r="W328" i="34"/>
  <c r="V604" i="2"/>
  <c r="V842" i="34"/>
  <c r="V857" i="34"/>
  <c r="V358" i="34"/>
  <c r="V632" i="2"/>
  <c r="V872" i="34"/>
  <c r="AC872" i="34"/>
  <c r="AC632" i="2"/>
  <c r="AG628" i="2"/>
  <c r="BN627" i="2"/>
  <c r="BL872" i="34"/>
  <c r="BK627" i="2"/>
  <c r="BO632" i="2"/>
  <c r="AH877" i="34"/>
  <c r="AL633" i="2"/>
  <c r="AL878" i="34" s="1"/>
  <c r="AH639" i="2"/>
  <c r="AK877" i="34"/>
  <c r="AK634" i="2"/>
  <c r="AK879" i="34" s="1"/>
  <c r="AK639" i="2"/>
  <c r="AD934" i="34"/>
  <c r="AD457" i="34"/>
  <c r="Q936" i="34"/>
  <c r="Q459" i="34"/>
  <c r="N458" i="34"/>
  <c r="N935" i="34"/>
  <c r="AB460" i="34"/>
  <c r="AB937" i="34"/>
  <c r="AS463" i="34"/>
  <c r="BM940" i="34"/>
  <c r="BN334" i="2"/>
  <c r="AE941" i="34"/>
  <c r="AE466" i="34"/>
  <c r="AC944" i="34"/>
  <c r="AC467" i="34"/>
  <c r="AC949" i="34"/>
  <c r="AC474" i="34"/>
  <c r="AH951" i="34"/>
  <c r="AH473" i="34"/>
  <c r="AC952" i="34"/>
  <c r="AC475" i="34"/>
  <c r="Z956" i="34"/>
  <c r="Z479" i="34"/>
  <c r="AD350" i="2"/>
  <c r="AA351" i="2"/>
  <c r="Z351" i="2"/>
  <c r="Z352" i="2"/>
  <c r="BH114" i="2"/>
  <c r="BH975" i="34"/>
  <c r="BI112" i="2"/>
  <c r="BH112" i="2"/>
  <c r="BH111" i="2"/>
  <c r="AN498" i="34"/>
  <c r="AC165" i="2"/>
  <c r="AC988" i="34" s="1"/>
  <c r="AG165" i="2"/>
  <c r="AG988" i="34" s="1"/>
  <c r="CC371" i="2"/>
  <c r="BO373" i="2"/>
  <c r="BO995" i="34"/>
  <c r="AU518" i="34"/>
  <c r="AE519" i="34"/>
  <c r="AF373" i="2"/>
  <c r="AE373" i="2"/>
  <c r="BH997" i="34"/>
  <c r="AN520" i="34"/>
  <c r="Y521" i="34"/>
  <c r="Y998" i="34"/>
  <c r="AC998" i="34"/>
  <c r="AC521" i="34"/>
  <c r="Z543" i="34"/>
  <c r="Z398" i="2"/>
  <c r="Z1020" i="34"/>
  <c r="Z397" i="2"/>
  <c r="AF1020" i="34"/>
  <c r="AF543" i="34"/>
  <c r="M1044" i="34"/>
  <c r="M567" i="34"/>
  <c r="AC567" i="34"/>
  <c r="AC1044" i="34"/>
  <c r="AB1045" i="34"/>
  <c r="AB568" i="34"/>
  <c r="AE1045" i="34"/>
  <c r="AE568" i="34"/>
  <c r="U457" i="2"/>
  <c r="U392" i="2"/>
  <c r="U462" i="2"/>
  <c r="V447" i="2"/>
  <c r="U449" i="2"/>
  <c r="U396" i="34"/>
  <c r="Y449" i="2"/>
  <c r="AB405" i="34"/>
  <c r="AB1115" i="34"/>
  <c r="V1116" i="34"/>
  <c r="V406" i="34"/>
  <c r="BG1115" i="34"/>
  <c r="AM405" i="34"/>
  <c r="AB1119" i="34"/>
  <c r="AB461" i="2"/>
  <c r="AB409" i="34"/>
  <c r="AB462" i="2"/>
  <c r="AC461" i="2"/>
  <c r="BM459" i="2"/>
  <c r="T410" i="34"/>
  <c r="T1120" i="34"/>
  <c r="P473" i="2"/>
  <c r="P419" i="34" s="1"/>
  <c r="P418" i="34"/>
  <c r="Q475" i="2"/>
  <c r="Q420" i="34" s="1"/>
  <c r="P480" i="2"/>
  <c r="Q478" i="2"/>
  <c r="Q423" i="34" s="1"/>
  <c r="T477" i="2"/>
  <c r="T422" i="34" s="1"/>
  <c r="U478" i="2"/>
  <c r="U423" i="34" s="1"/>
  <c r="T480" i="2"/>
  <c r="T418" i="34"/>
  <c r="T473" i="2"/>
  <c r="T419" i="34" s="1"/>
  <c r="T476" i="2"/>
  <c r="T421" i="34" s="1"/>
  <c r="T475" i="2"/>
  <c r="T420" i="34" s="1"/>
  <c r="T478" i="2"/>
  <c r="T423" i="34" s="1"/>
  <c r="BH476" i="2"/>
  <c r="AN421" i="34" s="1"/>
  <c r="BI473" i="2"/>
  <c r="AO419" i="34" s="1"/>
  <c r="BH480" i="2"/>
  <c r="S635" i="34"/>
  <c r="S153" i="14"/>
  <c r="S637" i="34" s="1"/>
  <c r="AV165" i="34"/>
  <c r="BQ181" i="1"/>
  <c r="AV170" i="34" s="1"/>
  <c r="AG1218" i="34"/>
  <c r="BP25" i="1"/>
  <c r="N18" i="2"/>
  <c r="N476" i="2"/>
  <c r="N421" i="34" s="1"/>
  <c r="N15" i="2"/>
  <c r="BJ12" i="2"/>
  <c r="R15" i="2"/>
  <c r="N10" i="14"/>
  <c r="N275" i="34"/>
  <c r="N494" i="2"/>
  <c r="AD255" i="2"/>
  <c r="AD57" i="2"/>
  <c r="AD49" i="2" s="1"/>
  <c r="AE16" i="2"/>
  <c r="AD16" i="2"/>
  <c r="AD10" i="14"/>
  <c r="AD74" i="14" s="1"/>
  <c r="AD259" i="2"/>
  <c r="AD114" i="2"/>
  <c r="AD256" i="2"/>
  <c r="AD18" i="2"/>
  <c r="AD258" i="2"/>
  <c r="AD15" i="2"/>
  <c r="AD698" i="34"/>
  <c r="AD494" i="2"/>
  <c r="AL275" i="34"/>
  <c r="BF698" i="34"/>
  <c r="BF10" i="14"/>
  <c r="BG15" i="2"/>
  <c r="AK427" i="2"/>
  <c r="AL87" i="2"/>
  <c r="AK87" i="2"/>
  <c r="AK85" i="2"/>
  <c r="AK88" i="2"/>
  <c r="AK84" i="2"/>
  <c r="AK96" i="2" s="1"/>
  <c r="AO85" i="2"/>
  <c r="AH84" i="2"/>
  <c r="AH96" i="2" s="1"/>
  <c r="AI87" i="2"/>
  <c r="AH427" i="2"/>
  <c r="AL86" i="2"/>
  <c r="AL85" i="2"/>
  <c r="AI84" i="2"/>
  <c r="AI96" i="2" s="1"/>
  <c r="AH87" i="2"/>
  <c r="AJ169" i="2"/>
  <c r="AJ94" i="2"/>
  <c r="AN93" i="2"/>
  <c r="BO91" i="2"/>
  <c r="AK94" i="2"/>
  <c r="AJ93" i="2"/>
  <c r="AF22" i="2"/>
  <c r="AF294" i="2"/>
  <c r="AB22" i="2"/>
  <c r="BM67" i="2"/>
  <c r="X22" i="2"/>
  <c r="BL67" i="2"/>
  <c r="T22" i="2"/>
  <c r="BK67" i="2"/>
  <c r="AI995" i="34"/>
  <c r="AI518" i="34"/>
  <c r="AI374" i="2"/>
  <c r="AM374" i="2"/>
  <c r="AM998" i="34" s="1"/>
  <c r="AI375" i="2"/>
  <c r="AJ372" i="2"/>
  <c r="R194" i="2"/>
  <c r="V196" i="2"/>
  <c r="V194" i="2"/>
  <c r="Z196" i="2"/>
  <c r="Z194" i="2"/>
  <c r="AD196" i="2"/>
  <c r="AP271" i="2"/>
  <c r="AP1078" i="34" s="1"/>
  <c r="AP255" i="2"/>
  <c r="W577" i="34"/>
  <c r="BN107" i="2"/>
  <c r="AM73" i="34"/>
  <c r="AO161" i="34"/>
  <c r="BJ182" i="1"/>
  <c r="Q151" i="34"/>
  <c r="Q129" i="1"/>
  <c r="BK217" i="14"/>
  <c r="AQ673" i="34" s="1"/>
  <c r="Z805" i="34"/>
  <c r="AC449" i="2"/>
  <c r="X265" i="1"/>
  <c r="X188" i="34"/>
  <c r="P207" i="34"/>
  <c r="BK221" i="1"/>
  <c r="Y1227" i="34"/>
  <c r="Y25" i="34"/>
  <c r="S293" i="1"/>
  <c r="S1229" i="34"/>
  <c r="S204" i="1"/>
  <c r="S190" i="34" s="1"/>
  <c r="S27" i="34"/>
  <c r="AL1285" i="34"/>
  <c r="AL120" i="1"/>
  <c r="AI1281" i="34"/>
  <c r="AI75" i="34"/>
  <c r="BM187" i="1"/>
  <c r="AR176" i="34" s="1"/>
  <c r="AR142" i="34"/>
  <c r="BN161" i="1"/>
  <c r="AS150" i="34" s="1"/>
  <c r="AB150" i="34"/>
  <c r="AQ155" i="34"/>
  <c r="BL169" i="1"/>
  <c r="BL131" i="1"/>
  <c r="BL191" i="1"/>
  <c r="AQ180" i="34" s="1"/>
  <c r="AQ157" i="34"/>
  <c r="BL132" i="1"/>
  <c r="AQ120" i="34" s="1"/>
  <c r="AF158" i="34"/>
  <c r="AF172" i="1"/>
  <c r="AH191" i="34"/>
  <c r="AI205" i="1"/>
  <c r="N216" i="1"/>
  <c r="N193" i="34"/>
  <c r="V199" i="34"/>
  <c r="W213" i="1"/>
  <c r="AA212" i="1"/>
  <c r="Z198" i="34"/>
  <c r="Z215" i="1"/>
  <c r="Z201" i="34" s="1"/>
  <c r="AH215" i="1"/>
  <c r="AI211" i="1"/>
  <c r="AH210" i="34"/>
  <c r="AI224" i="1"/>
  <c r="BL792" i="34"/>
  <c r="AR338" i="34"/>
  <c r="AC866" i="34"/>
  <c r="AC363" i="34"/>
  <c r="Y622" i="2"/>
  <c r="Y460" i="34"/>
  <c r="Y937" i="34"/>
  <c r="Z467" i="34"/>
  <c r="Z944" i="34"/>
  <c r="AF951" i="34"/>
  <c r="AF473" i="34"/>
  <c r="W1020" i="34"/>
  <c r="W398" i="2"/>
  <c r="Z1042" i="34"/>
  <c r="Z565" i="34"/>
  <c r="X1115" i="34"/>
  <c r="X405" i="34"/>
  <c r="P604" i="34"/>
  <c r="P31" i="14"/>
  <c r="P605" i="34" s="1"/>
  <c r="M615" i="34"/>
  <c r="M68" i="14"/>
  <c r="M617" i="34" s="1"/>
  <c r="M69" i="14"/>
  <c r="M618" i="34" s="1"/>
  <c r="Q68" i="14"/>
  <c r="Q617" i="34" s="1"/>
  <c r="AC82" i="14"/>
  <c r="AC248" i="14"/>
  <c r="AC249" i="14" s="1"/>
  <c r="Q121" i="14"/>
  <c r="Q627" i="34" s="1"/>
  <c r="N122" i="14"/>
  <c r="N628" i="34" s="1"/>
  <c r="AJ133" i="14"/>
  <c r="O187" i="14"/>
  <c r="O648" i="34" s="1"/>
  <c r="AT669" i="34"/>
  <c r="BN217" i="14"/>
  <c r="AT673" i="34" s="1"/>
  <c r="AH673" i="34"/>
  <c r="AH36" i="1"/>
  <c r="BJ101" i="1"/>
  <c r="AO89" i="34" s="1"/>
  <c r="AO646" i="34"/>
  <c r="W28" i="14"/>
  <c r="W28" i="1"/>
  <c r="R677" i="34"/>
  <c r="R64" i="14"/>
  <c r="BK221" i="14"/>
  <c r="R32" i="1"/>
  <c r="R224" i="14"/>
  <c r="R680" i="34" s="1"/>
  <c r="R119" i="14"/>
  <c r="R678" i="34"/>
  <c r="R33" i="1"/>
  <c r="BK222" i="14"/>
  <c r="AQ678" i="34" s="1"/>
  <c r="AA678" i="34"/>
  <c r="AA224" i="14"/>
  <c r="AA680" i="34" s="1"/>
  <c r="AI678" i="34"/>
  <c r="AI33" i="1"/>
  <c r="AI119" i="14"/>
  <c r="AM123" i="14" s="1"/>
  <c r="AI224" i="14"/>
  <c r="AI680" i="34" s="1"/>
  <c r="W679" i="34"/>
  <c r="W151" i="14"/>
  <c r="AR683" i="34"/>
  <c r="BL195" i="14"/>
  <c r="BM232" i="14"/>
  <c r="AS684" i="34" s="1"/>
  <c r="BL233" i="14"/>
  <c r="AR685" i="34" s="1"/>
  <c r="AH106" i="14"/>
  <c r="AH778" i="34"/>
  <c r="AG15" i="34"/>
  <c r="AG1217" i="34"/>
  <c r="AG1041" i="34"/>
  <c r="AG420" i="2"/>
  <c r="AG419" i="2"/>
  <c r="AH417" i="2"/>
  <c r="AG436" i="2"/>
  <c r="AG1055" i="34" s="1"/>
  <c r="AG417" i="2"/>
  <c r="C28" i="35"/>
  <c r="K4" i="35"/>
  <c r="J5" i="35"/>
  <c r="J9" i="35" s="1"/>
  <c r="AP428" i="2"/>
  <c r="AP430" i="2"/>
  <c r="AP181" i="1"/>
  <c r="AG559" i="2"/>
  <c r="AA699" i="34"/>
  <c r="BJ1115" i="34"/>
  <c r="X851" i="34"/>
  <c r="BS120" i="1"/>
  <c r="AX108" i="34" s="1"/>
  <c r="AI250" i="34"/>
  <c r="BP202" i="1"/>
  <c r="AI221" i="1"/>
  <c r="O266" i="1"/>
  <c r="O251" i="34" s="1"/>
  <c r="O250" i="34"/>
  <c r="BM205" i="1"/>
  <c r="AR191" i="34" s="1"/>
  <c r="W191" i="34"/>
  <c r="R73" i="34"/>
  <c r="R1279" i="34"/>
  <c r="R87" i="1"/>
  <c r="S133" i="1"/>
  <c r="S121" i="34" s="1"/>
  <c r="AC358" i="34"/>
  <c r="AE272" i="1"/>
  <c r="AI206" i="34"/>
  <c r="M1225" i="34"/>
  <c r="P1226" i="34"/>
  <c r="P24" i="34"/>
  <c r="AA1226" i="34"/>
  <c r="AA24" i="34"/>
  <c r="AF1227" i="34"/>
  <c r="AC204" i="1"/>
  <c r="AB86" i="1"/>
  <c r="AA1283" i="34"/>
  <c r="AA77" i="34"/>
  <c r="AE1283" i="34"/>
  <c r="AE87" i="1"/>
  <c r="AF86" i="1"/>
  <c r="AI77" i="34"/>
  <c r="AI1283" i="34"/>
  <c r="AJ86" i="1"/>
  <c r="AC92" i="1"/>
  <c r="AC88" i="1"/>
  <c r="Y150" i="34"/>
  <c r="Y162" i="1"/>
  <c r="AC158" i="34"/>
  <c r="AC172" i="1"/>
  <c r="AF165" i="34"/>
  <c r="AF181" i="1"/>
  <c r="AF170" i="34" s="1"/>
  <c r="X203" i="1"/>
  <c r="Z192" i="34"/>
  <c r="AA206" i="1"/>
  <c r="R200" i="34"/>
  <c r="R215" i="1"/>
  <c r="R201" i="34" s="1"/>
  <c r="S214" i="1"/>
  <c r="T214" i="1" s="1"/>
  <c r="AO201" i="34"/>
  <c r="M16" i="40"/>
  <c r="M16" i="42"/>
  <c r="M16" i="4"/>
  <c r="M1295" i="34" s="1"/>
  <c r="AD222" i="34"/>
  <c r="AE236" i="1"/>
  <c r="W255" i="34"/>
  <c r="W272" i="1"/>
  <c r="N805" i="34"/>
  <c r="N328" i="34"/>
  <c r="AR358" i="34"/>
  <c r="BL857" i="34"/>
  <c r="BK613" i="2"/>
  <c r="V1002" i="34"/>
  <c r="V525" i="34"/>
  <c r="AT564" i="34"/>
  <c r="BN419" i="2"/>
  <c r="BN418" i="2"/>
  <c r="CA416" i="2"/>
  <c r="U1121" i="34"/>
  <c r="U411" i="34"/>
  <c r="AI604" i="34"/>
  <c r="AI32" i="14"/>
  <c r="AI606" i="34" s="1"/>
  <c r="AI34" i="14"/>
  <c r="AI608" i="34" s="1"/>
  <c r="Z615" i="34"/>
  <c r="AA101" i="1"/>
  <c r="AA89" i="34" s="1"/>
  <c r="AH646" i="34"/>
  <c r="AH188" i="14"/>
  <c r="AH649" i="34" s="1"/>
  <c r="AS665" i="34"/>
  <c r="BN270" i="1"/>
  <c r="P673" i="34"/>
  <c r="P36" i="1"/>
  <c r="P185" i="14"/>
  <c r="AE673" i="34"/>
  <c r="AE36" i="1"/>
  <c r="AE289" i="1" s="1"/>
  <c r="P677" i="34"/>
  <c r="P32" i="1"/>
  <c r="P224" i="14"/>
  <c r="P680" i="34" s="1"/>
  <c r="P64" i="14"/>
  <c r="BJ64" i="14" s="1"/>
  <c r="BJ221" i="14"/>
  <c r="X677" i="34"/>
  <c r="X224" i="14"/>
  <c r="X680" i="34" s="1"/>
  <c r="X64" i="14"/>
  <c r="AG677" i="34"/>
  <c r="AG224" i="14"/>
  <c r="AG680" i="34" s="1"/>
  <c r="AG32" i="1"/>
  <c r="Y678" i="34"/>
  <c r="Y119" i="14"/>
  <c r="Y33" i="1"/>
  <c r="BM222" i="14"/>
  <c r="AS678" i="34" s="1"/>
  <c r="AG678" i="34"/>
  <c r="AG119" i="14"/>
  <c r="S679" i="34"/>
  <c r="S34" i="1"/>
  <c r="S224" i="14"/>
  <c r="S680" i="34" s="1"/>
  <c r="V1306" i="34"/>
  <c r="W27" i="4"/>
  <c r="BQ90" i="1"/>
  <c r="AV77" i="34" s="1"/>
  <c r="AO86" i="1"/>
  <c r="D22" i="3"/>
  <c r="D46" i="3" s="1"/>
  <c r="AT14" i="34"/>
  <c r="BO187" i="1"/>
  <c r="AT176" i="34" s="1"/>
  <c r="BP209" i="14"/>
  <c r="AV664" i="34" s="1"/>
  <c r="AL35" i="1"/>
  <c r="AP71" i="2"/>
  <c r="AP22" i="2"/>
  <c r="AQ26" i="2" s="1"/>
  <c r="AP16" i="2"/>
  <c r="AP700" i="34" s="1"/>
  <c r="AP94" i="2"/>
  <c r="BK240" i="1"/>
  <c r="AP226" i="34" s="1"/>
  <c r="S1230" i="34"/>
  <c r="S202" i="1"/>
  <c r="V1230" i="34"/>
  <c r="V28" i="34"/>
  <c r="M1249" i="34"/>
  <c r="M44" i="34"/>
  <c r="BD1285" i="34"/>
  <c r="BD120" i="1"/>
  <c r="AQ80" i="34"/>
  <c r="BL88" i="1"/>
  <c r="AS148" i="34"/>
  <c r="BO271" i="1"/>
  <c r="BN271" i="1"/>
  <c r="AS256" i="34" s="1"/>
  <c r="AQ166" i="34"/>
  <c r="BL292" i="1"/>
  <c r="BM292" i="1"/>
  <c r="V192" i="34"/>
  <c r="W206" i="1"/>
  <c r="O198" i="34"/>
  <c r="BK212" i="1"/>
  <c r="Z200" i="34"/>
  <c r="AA214" i="1"/>
  <c r="P223" i="1"/>
  <c r="BK223" i="1" s="1"/>
  <c r="AP209" i="34" s="1"/>
  <c r="AX207" i="34"/>
  <c r="BS119" i="1"/>
  <c r="AX107" i="34" s="1"/>
  <c r="AZ209" i="34"/>
  <c r="BU119" i="1"/>
  <c r="AZ107" i="34" s="1"/>
  <c r="R222" i="34"/>
  <c r="S236" i="1"/>
  <c r="S222" i="34" s="1"/>
  <c r="Q260" i="1"/>
  <c r="Q246" i="34" s="1"/>
  <c r="Q104" i="1"/>
  <c r="Q92" i="34" s="1"/>
  <c r="U261" i="1"/>
  <c r="U247" i="34" s="1"/>
  <c r="Q259" i="1"/>
  <c r="Q245" i="34" s="1"/>
  <c r="Q261" i="1"/>
  <c r="Q247" i="34" s="1"/>
  <c r="BL236" i="14"/>
  <c r="BL801" i="34"/>
  <c r="AE937" i="34"/>
  <c r="AE460" i="34"/>
  <c r="AG965" i="34"/>
  <c r="AG488" i="34"/>
  <c r="AF967" i="34"/>
  <c r="AF490" i="34"/>
  <c r="AA524" i="34"/>
  <c r="AA387" i="2"/>
  <c r="AA530" i="34"/>
  <c r="AA1007" i="34"/>
  <c r="AD1008" i="34"/>
  <c r="AD531" i="34"/>
  <c r="Y462" i="2"/>
  <c r="Y457" i="2"/>
  <c r="Y396" i="34"/>
  <c r="Y450" i="2"/>
  <c r="Y392" i="2"/>
  <c r="AH98" i="14"/>
  <c r="AJ96" i="14"/>
  <c r="W161" i="14"/>
  <c r="AS668" i="34"/>
  <c r="BM217" i="14"/>
  <c r="AS673" i="34" s="1"/>
  <c r="AR669" i="34"/>
  <c r="N673" i="34"/>
  <c r="N36" i="1"/>
  <c r="Z673" i="34"/>
  <c r="Z185" i="14"/>
  <c r="AA190" i="14" s="1"/>
  <c r="AA651" i="34" s="1"/>
  <c r="Z36" i="1"/>
  <c r="AD224" i="14"/>
  <c r="AD680" i="34" s="1"/>
  <c r="BN220" i="14"/>
  <c r="V677" i="34"/>
  <c r="V64" i="14"/>
  <c r="V224" i="14"/>
  <c r="V680" i="34" s="1"/>
  <c r="V32" i="1"/>
  <c r="BL221" i="14"/>
  <c r="AE32" i="1"/>
  <c r="BN221" i="14"/>
  <c r="AT677" i="34" s="1"/>
  <c r="W33" i="1"/>
  <c r="BL222" i="14"/>
  <c r="AR678" i="34" s="1"/>
  <c r="AE678" i="34"/>
  <c r="AE119" i="14"/>
  <c r="AE33" i="1"/>
  <c r="Q679" i="34"/>
  <c r="Q151" i="14"/>
  <c r="Q34" i="1"/>
  <c r="Q224" i="14"/>
  <c r="Q680" i="34" s="1"/>
  <c r="AL679" i="34"/>
  <c r="BG34" i="1"/>
  <c r="AU127" i="14"/>
  <c r="AQ14" i="34"/>
  <c r="CL23" i="1"/>
  <c r="L1332" i="34"/>
  <c r="L55" i="4"/>
  <c r="AP215" i="1"/>
  <c r="AP257" i="2"/>
  <c r="AP258" i="2"/>
  <c r="AP254" i="2"/>
  <c r="AP76" i="2"/>
  <c r="AP92" i="2"/>
  <c r="AP228" i="14"/>
  <c r="AP119" i="1"/>
  <c r="AP126" i="2"/>
  <c r="BK187" i="1"/>
  <c r="AP176" i="34" s="1"/>
  <c r="AI17" i="34"/>
  <c r="P11" i="42"/>
  <c r="P12" i="42" s="1"/>
  <c r="B22" i="3"/>
  <c r="B46" i="3" s="1"/>
  <c r="AS14" i="34"/>
  <c r="AP86" i="2"/>
  <c r="AP93" i="2"/>
  <c r="C22" i="3"/>
  <c r="C46" i="3" s="1"/>
  <c r="I25" i="35"/>
  <c r="J1202" i="34"/>
  <c r="I22" i="35"/>
  <c r="O25" i="35"/>
  <c r="K1203" i="34"/>
  <c r="D25" i="35"/>
  <c r="O22" i="35"/>
  <c r="J1203" i="34"/>
  <c r="C25" i="35"/>
  <c r="I30" i="35"/>
  <c r="K1202" i="34"/>
  <c r="O30" i="35"/>
  <c r="AO14" i="2" l="1"/>
  <c r="AR13" i="2"/>
  <c r="AR15" i="2"/>
  <c r="AN37" i="2"/>
  <c r="AR37" i="2"/>
  <c r="AN272" i="1"/>
  <c r="AN273" i="1" s="1"/>
  <c r="AR79" i="2"/>
  <c r="AR81" i="2"/>
  <c r="AR187" i="2"/>
  <c r="AR185" i="2"/>
  <c r="AN353" i="2"/>
  <c r="AN960" i="34" s="1"/>
  <c r="AR342" i="2"/>
  <c r="AR344" i="2"/>
  <c r="AR69" i="2"/>
  <c r="AR179" i="2"/>
  <c r="AR177" i="2"/>
  <c r="AR80" i="2"/>
  <c r="AR77" i="2"/>
  <c r="AR286" i="2"/>
  <c r="AR275" i="2"/>
  <c r="AQ373" i="2"/>
  <c r="AR373" i="2"/>
  <c r="AR146" i="2"/>
  <c r="AR56" i="14"/>
  <c r="AR260" i="2"/>
  <c r="AR150" i="2"/>
  <c r="AR175" i="2"/>
  <c r="AR178" i="2"/>
  <c r="AN352" i="2"/>
  <c r="AN959" i="34" s="1"/>
  <c r="AR323" i="2"/>
  <c r="AR321" i="2"/>
  <c r="AR99" i="2"/>
  <c r="AR97" i="2"/>
  <c r="AR101" i="2"/>
  <c r="AR100" i="2"/>
  <c r="AO735" i="34"/>
  <c r="AJ258" i="2"/>
  <c r="AG15" i="1"/>
  <c r="AG1213" i="34" s="1"/>
  <c r="BP14" i="1"/>
  <c r="BQ15" i="1" s="1"/>
  <c r="BO12" i="2"/>
  <c r="AF190" i="2"/>
  <c r="AA730" i="34"/>
  <c r="AC242" i="2"/>
  <c r="AE315" i="34"/>
  <c r="AS61" i="14"/>
  <c r="P19" i="35"/>
  <c r="P28" i="35" s="1"/>
  <c r="T129" i="1"/>
  <c r="T151" i="34"/>
  <c r="AH274" i="1"/>
  <c r="AB103" i="1"/>
  <c r="AB91" i="34" s="1"/>
  <c r="AB75" i="34"/>
  <c r="BK205" i="1"/>
  <c r="AP191" i="34" s="1"/>
  <c r="BP191" i="1"/>
  <c r="AU180" i="34" s="1"/>
  <c r="S11" i="42"/>
  <c r="S12" i="42" s="1"/>
  <c r="AK14" i="2"/>
  <c r="AK13" i="2"/>
  <c r="AH14" i="2"/>
  <c r="AJ40" i="2"/>
  <c r="AJ14" i="2"/>
  <c r="BO698" i="34"/>
  <c r="BO13" i="2"/>
  <c r="AP490" i="2"/>
  <c r="AP19" i="1" s="1"/>
  <c r="AM493" i="2"/>
  <c r="AM730" i="34" s="1"/>
  <c r="AJ15" i="2"/>
  <c r="AJ699" i="34" s="1"/>
  <c r="AJ275" i="34"/>
  <c r="AN13" i="2"/>
  <c r="AN14" i="2"/>
  <c r="AO13" i="2"/>
  <c r="AL14" i="2"/>
  <c r="AP14" i="2"/>
  <c r="AP13" i="2"/>
  <c r="AQ14" i="2"/>
  <c r="AQ16" i="2"/>
  <c r="AB473" i="2"/>
  <c r="AB419" i="34" s="1"/>
  <c r="X480" i="2"/>
  <c r="AA20" i="2"/>
  <c r="AN429" i="2"/>
  <c r="AV446" i="34"/>
  <c r="AM430" i="2"/>
  <c r="T502" i="34"/>
  <c r="Z58" i="2"/>
  <c r="AO32" i="2"/>
  <c r="AS31" i="2"/>
  <c r="AM305" i="2"/>
  <c r="AQ321" i="2"/>
  <c r="AQ323" i="2"/>
  <c r="AP363" i="2"/>
  <c r="AP970" i="34" s="1"/>
  <c r="AQ343" i="2"/>
  <c r="AQ345" i="2"/>
  <c r="AQ359" i="2"/>
  <c r="AQ966" i="34" s="1"/>
  <c r="AR966" i="34"/>
  <c r="AQ965" i="34"/>
  <c r="BP120" i="2"/>
  <c r="BP119" i="2"/>
  <c r="AP338" i="2"/>
  <c r="AP945" i="34" s="1"/>
  <c r="AQ324" i="2"/>
  <c r="AQ322" i="2"/>
  <c r="AM428" i="2"/>
  <c r="AQ428" i="2"/>
  <c r="AP1020" i="34"/>
  <c r="AQ398" i="2"/>
  <c r="AQ344" i="2"/>
  <c r="AQ342" i="2"/>
  <c r="AQ418" i="2"/>
  <c r="AQ1043" i="34" s="1"/>
  <c r="AR1043" i="34"/>
  <c r="AQ1042" i="34"/>
  <c r="R17" i="42"/>
  <c r="AN15" i="2"/>
  <c r="AN699" i="34" s="1"/>
  <c r="AQ262" i="1"/>
  <c r="AQ261" i="1"/>
  <c r="AA11" i="14"/>
  <c r="AA578" i="34" s="1"/>
  <c r="AF107" i="14"/>
  <c r="X473" i="2"/>
  <c r="X419" i="34" s="1"/>
  <c r="AS493" i="2"/>
  <c r="AS730" i="34" s="1"/>
  <c r="AH114" i="2"/>
  <c r="AH981" i="34" s="1"/>
  <c r="P978" i="34"/>
  <c r="AF179" i="2"/>
  <c r="W728" i="34"/>
  <c r="AE312" i="34"/>
  <c r="AJ592" i="2"/>
  <c r="AJ831" i="34" s="1"/>
  <c r="AE229" i="2"/>
  <c r="W492" i="2"/>
  <c r="W729" i="34" s="1"/>
  <c r="AI494" i="2"/>
  <c r="AI314" i="34" s="1"/>
  <c r="AM491" i="2"/>
  <c r="S731" i="34"/>
  <c r="AE242" i="2"/>
  <c r="AI295" i="2"/>
  <c r="AE492" i="2"/>
  <c r="AE729" i="34" s="1"/>
  <c r="AJ491" i="2"/>
  <c r="AI644" i="2"/>
  <c r="AI495" i="2"/>
  <c r="AI732" i="34" s="1"/>
  <c r="AQ326" i="2"/>
  <c r="AR329" i="2" s="1"/>
  <c r="Q12" i="40"/>
  <c r="S12" i="40"/>
  <c r="P12" i="40"/>
  <c r="AP160" i="2"/>
  <c r="AQ157" i="2"/>
  <c r="AQ88" i="2"/>
  <c r="AQ89" i="2" s="1"/>
  <c r="AQ101" i="2"/>
  <c r="AQ99" i="2"/>
  <c r="AQ100" i="2"/>
  <c r="AQ97" i="2"/>
  <c r="AQ144" i="2"/>
  <c r="AQ260" i="2" s="1"/>
  <c r="AK216" i="1"/>
  <c r="AN182" i="1"/>
  <c r="AN259" i="2"/>
  <c r="AI477" i="2"/>
  <c r="AI422" i="34" s="1"/>
  <c r="BP12" i="2"/>
  <c r="BP13" i="2" s="1"/>
  <c r="AE537" i="2"/>
  <c r="AE538" i="2" s="1"/>
  <c r="AE784" i="34" s="1"/>
  <c r="S483" i="2"/>
  <c r="S434" i="34" s="1"/>
  <c r="AN60" i="2"/>
  <c r="AN720" i="34" s="1"/>
  <c r="AB178" i="2"/>
  <c r="AE477" i="2"/>
  <c r="AE422" i="34" s="1"/>
  <c r="AQ77" i="2"/>
  <c r="AQ80" i="2"/>
  <c r="AQ186" i="2"/>
  <c r="AQ183" i="2"/>
  <c r="O431" i="34"/>
  <c r="AG495" i="2"/>
  <c r="AG315" i="34" s="1"/>
  <c r="AN10" i="14"/>
  <c r="AN16" i="2"/>
  <c r="AN700" i="34" s="1"/>
  <c r="D30" i="35"/>
  <c r="AH289" i="2"/>
  <c r="AH1096" i="34" s="1"/>
  <c r="AQ178" i="2"/>
  <c r="AQ175" i="2"/>
  <c r="T329" i="2"/>
  <c r="AQ50" i="2"/>
  <c r="AQ53" i="2"/>
  <c r="AQ69" i="2"/>
  <c r="AP717" i="34"/>
  <c r="AQ62" i="2"/>
  <c r="AQ59" i="2"/>
  <c r="AP182" i="2"/>
  <c r="AQ173" i="2"/>
  <c r="AQ189" i="2" s="1"/>
  <c r="AQ172" i="2"/>
  <c r="AQ81" i="2"/>
  <c r="AQ79" i="2"/>
  <c r="S238" i="14"/>
  <c r="S691" i="34" s="1"/>
  <c r="AQ19" i="2"/>
  <c r="AQ20" i="2"/>
  <c r="BH29" i="14"/>
  <c r="R689" i="34"/>
  <c r="AQ177" i="14"/>
  <c r="AQ178" i="14"/>
  <c r="AQ144" i="14"/>
  <c r="AQ145" i="14" s="1"/>
  <c r="AQ141" i="14"/>
  <c r="AQ142" i="14" s="1"/>
  <c r="AQ140" i="14"/>
  <c r="AF178" i="2"/>
  <c r="O728" i="34"/>
  <c r="AH501" i="34"/>
  <c r="AH974" i="34"/>
  <c r="AB978" i="34"/>
  <c r="AL494" i="2"/>
  <c r="AL731" i="34" s="1"/>
  <c r="AL491" i="2"/>
  <c r="AI498" i="2"/>
  <c r="AM496" i="2"/>
  <c r="AM733" i="34" s="1"/>
  <c r="AI496" i="2"/>
  <c r="AI733" i="34" s="1"/>
  <c r="AI311" i="34"/>
  <c r="AI493" i="2"/>
  <c r="AI730" i="34" s="1"/>
  <c r="AI591" i="2"/>
  <c r="AI830" i="34" s="1"/>
  <c r="AI534" i="2"/>
  <c r="AI780" i="34" s="1"/>
  <c r="AL534" i="2"/>
  <c r="AL780" i="34" s="1"/>
  <c r="AI491" i="2"/>
  <c r="W327" i="2"/>
  <c r="W328" i="2" s="1"/>
  <c r="AM495" i="2"/>
  <c r="AM732" i="34" s="1"/>
  <c r="AI545" i="2"/>
  <c r="AI771" i="34" s="1"/>
  <c r="AI1213" i="34"/>
  <c r="AF175" i="2"/>
  <c r="X1013" i="34"/>
  <c r="X536" i="34"/>
  <c r="Z796" i="34"/>
  <c r="Z342" i="34"/>
  <c r="AJ521" i="34"/>
  <c r="AJ998" i="34"/>
  <c r="AG545" i="2"/>
  <c r="AG546" i="2" s="1"/>
  <c r="AG311" i="34"/>
  <c r="AG33" i="14"/>
  <c r="AG607" i="34" s="1"/>
  <c r="AC34" i="14"/>
  <c r="AC608" i="34" s="1"/>
  <c r="M154" i="14"/>
  <c r="M638" i="34" s="1"/>
  <c r="M153" i="14"/>
  <c r="M637" i="34" s="1"/>
  <c r="AA39" i="1"/>
  <c r="AA30" i="34" s="1"/>
  <c r="AA41" i="1"/>
  <c r="AE635" i="34"/>
  <c r="AE154" i="14"/>
  <c r="AE638" i="34" s="1"/>
  <c r="X200" i="34"/>
  <c r="BM214" i="1"/>
  <c r="AR200" i="34" s="1"/>
  <c r="O29" i="1"/>
  <c r="O30" i="1" s="1"/>
  <c r="AM407" i="34"/>
  <c r="X120" i="1"/>
  <c r="X108" i="34" s="1"/>
  <c r="AS490" i="34"/>
  <c r="AA527" i="34"/>
  <c r="AA1004" i="34"/>
  <c r="AD976" i="34"/>
  <c r="AD499" i="34"/>
  <c r="AD447" i="34"/>
  <c r="AD926" i="34"/>
  <c r="X537" i="34"/>
  <c r="X1014" i="34"/>
  <c r="Z274" i="1"/>
  <c r="Z259" i="34" s="1"/>
  <c r="T1227" i="34"/>
  <c r="AJ161" i="2"/>
  <c r="AK158" i="2"/>
  <c r="M635" i="34"/>
  <c r="AE153" i="14"/>
  <c r="AE637" i="34" s="1"/>
  <c r="BQ212" i="1"/>
  <c r="AV198" i="34" s="1"/>
  <c r="S6" i="14"/>
  <c r="T6" i="14" s="1"/>
  <c r="T5" i="14" s="1"/>
  <c r="R5" i="14"/>
  <c r="AE31" i="14"/>
  <c r="AE605" i="34" s="1"/>
  <c r="AE33" i="14"/>
  <c r="AE607" i="34" s="1"/>
  <c r="BK29" i="1"/>
  <c r="BK188" i="1"/>
  <c r="AP177" i="34" s="1"/>
  <c r="BI1117" i="34"/>
  <c r="AO407" i="34"/>
  <c r="BM448" i="2"/>
  <c r="BL448" i="2"/>
  <c r="BL1108" i="34" s="1"/>
  <c r="AR396" i="34"/>
  <c r="BL462" i="2"/>
  <c r="BL1122" i="34" s="1"/>
  <c r="CA396" i="2"/>
  <c r="AT543" i="34"/>
  <c r="AO495" i="2"/>
  <c r="AO732" i="34" s="1"/>
  <c r="AK545" i="2"/>
  <c r="AK771" i="34" s="1"/>
  <c r="M1223" i="34"/>
  <c r="M21" i="34"/>
  <c r="AO131" i="1"/>
  <c r="AO188" i="1"/>
  <c r="O101" i="1"/>
  <c r="O89" i="34" s="1"/>
  <c r="O188" i="14"/>
  <c r="O649" i="34" s="1"/>
  <c r="Z1106" i="34"/>
  <c r="AD449" i="2"/>
  <c r="AD399" i="34" s="1"/>
  <c r="AC480" i="34"/>
  <c r="AC957" i="34"/>
  <c r="BL754" i="34"/>
  <c r="BL164" i="2"/>
  <c r="AD120" i="1"/>
  <c r="AD108" i="34" s="1"/>
  <c r="AD79" i="34"/>
  <c r="Y390" i="2"/>
  <c r="Y537" i="34" s="1"/>
  <c r="Y388" i="2"/>
  <c r="Y535" i="34" s="1"/>
  <c r="AL76" i="2"/>
  <c r="AM81" i="2" s="1"/>
  <c r="AM70" i="2"/>
  <c r="AE29" i="1"/>
  <c r="AE1221" i="34"/>
  <c r="AI473" i="2"/>
  <c r="AM474" i="2" s="1"/>
  <c r="AE476" i="2"/>
  <c r="AE421" i="34" s="1"/>
  <c r="V73" i="34"/>
  <c r="V1279" i="34"/>
  <c r="V182" i="1"/>
  <c r="V171" i="34" s="1"/>
  <c r="AP68" i="2"/>
  <c r="AF231" i="1"/>
  <c r="BO231" i="1" s="1"/>
  <c r="W125" i="1"/>
  <c r="W113" i="34" s="1"/>
  <c r="V463" i="34"/>
  <c r="V276" i="34"/>
  <c r="AG324" i="2"/>
  <c r="AG937" i="34" s="1"/>
  <c r="AB175" i="2"/>
  <c r="AF475" i="2"/>
  <c r="AF420" i="34" s="1"/>
  <c r="X1285" i="34"/>
  <c r="U490" i="34"/>
  <c r="AG521" i="34"/>
  <c r="AL171" i="2"/>
  <c r="AM172" i="2" s="1"/>
  <c r="AL294" i="2"/>
  <c r="AP295" i="2" s="1"/>
  <c r="O808" i="34"/>
  <c r="AK591" i="2"/>
  <c r="AK830" i="34" s="1"/>
  <c r="Q276" i="34"/>
  <c r="BL1114" i="34"/>
  <c r="T537" i="34"/>
  <c r="T1014" i="34"/>
  <c r="AC962" i="34"/>
  <c r="AC485" i="34"/>
  <c r="BK423" i="2"/>
  <c r="BK1048" i="34" s="1"/>
  <c r="Q733" i="34"/>
  <c r="Q316" i="34"/>
  <c r="Y794" i="34"/>
  <c r="Y558" i="2"/>
  <c r="Y795" i="34" s="1"/>
  <c r="AC537" i="2"/>
  <c r="AC783" i="34" s="1"/>
  <c r="AC780" i="34"/>
  <c r="AA450" i="2"/>
  <c r="AP404" i="34"/>
  <c r="AA36" i="14"/>
  <c r="AA610" i="34" s="1"/>
  <c r="AG572" i="34"/>
  <c r="AG1049" i="34"/>
  <c r="BM423" i="2"/>
  <c r="AS571" i="34" s="1"/>
  <c r="BL423" i="2"/>
  <c r="BL1048" i="34" s="1"/>
  <c r="BK936" i="34"/>
  <c r="AJ484" i="34"/>
  <c r="AJ961" i="34"/>
  <c r="AC30" i="1"/>
  <c r="AC1223" i="34" s="1"/>
  <c r="AD189" i="1"/>
  <c r="AD178" i="34" s="1"/>
  <c r="AE215" i="1"/>
  <c r="AE201" i="34" s="1"/>
  <c r="BN151" i="14"/>
  <c r="AT635" i="34" s="1"/>
  <c r="AF1285" i="34"/>
  <c r="AF120" i="1"/>
  <c r="AF108" i="34" s="1"/>
  <c r="V87" i="1"/>
  <c r="AO33" i="1"/>
  <c r="AO1226" i="34" s="1"/>
  <c r="AJ182" i="1"/>
  <c r="AJ171" i="34" s="1"/>
  <c r="AG188" i="1"/>
  <c r="AG177" i="34" s="1"/>
  <c r="AL234" i="1"/>
  <c r="AB258" i="1"/>
  <c r="AF261" i="1" s="1"/>
  <c r="AF247" i="34" s="1"/>
  <c r="AB248" i="1"/>
  <c r="AB234" i="34" s="1"/>
  <c r="AB206" i="34"/>
  <c r="P182" i="1"/>
  <c r="U237" i="14"/>
  <c r="U690" i="34" s="1"/>
  <c r="Q238" i="14"/>
  <c r="Q691" i="34" s="1"/>
  <c r="S217" i="34"/>
  <c r="S234" i="1"/>
  <c r="S220" i="34" s="1"/>
  <c r="T212" i="1"/>
  <c r="T198" i="34" s="1"/>
  <c r="BP169" i="1"/>
  <c r="AU158" i="34" s="1"/>
  <c r="AP70" i="2"/>
  <c r="AO73" i="2"/>
  <c r="AP73" i="2"/>
  <c r="AB34" i="14"/>
  <c r="AB608" i="34" s="1"/>
  <c r="AD1285" i="34"/>
  <c r="AI704" i="34"/>
  <c r="AI40" i="2"/>
  <c r="BO42" i="2"/>
  <c r="BO704" i="34" s="1"/>
  <c r="AA1229" i="34"/>
  <c r="AA293" i="1"/>
  <c r="AJ1212" i="34"/>
  <c r="AI209" i="34"/>
  <c r="BP223" i="1"/>
  <c r="AU209" i="34" s="1"/>
  <c r="AH31" i="14"/>
  <c r="AH605" i="34" s="1"/>
  <c r="AD604" i="34"/>
  <c r="AI198" i="34"/>
  <c r="BP212" i="1"/>
  <c r="AU198" i="34" s="1"/>
  <c r="O112" i="34"/>
  <c r="O125" i="1"/>
  <c r="O113" i="34" s="1"/>
  <c r="Y49" i="2"/>
  <c r="Y293" i="34" s="1"/>
  <c r="Y717" i="34"/>
  <c r="BQ236" i="1"/>
  <c r="AV222" i="34" s="1"/>
  <c r="AN255" i="2"/>
  <c r="AN698" i="34"/>
  <c r="AO16" i="2"/>
  <c r="AO700" i="34" s="1"/>
  <c r="T195" i="2"/>
  <c r="V216" i="34"/>
  <c r="V234" i="1"/>
  <c r="V220" i="34" s="1"/>
  <c r="Q161" i="34"/>
  <c r="P87" i="1"/>
  <c r="P74" i="34" s="1"/>
  <c r="Q34" i="14"/>
  <c r="Q608" i="34" s="1"/>
  <c r="AN129" i="14"/>
  <c r="AH121" i="14"/>
  <c r="AH627" i="34" s="1"/>
  <c r="AA1035" i="34"/>
  <c r="Y1011" i="34"/>
  <c r="BL457" i="2"/>
  <c r="BL1117" i="34" s="1"/>
  <c r="AN476" i="2"/>
  <c r="Z69" i="14"/>
  <c r="Z618" i="34" s="1"/>
  <c r="AE418" i="34"/>
  <c r="AG70" i="14"/>
  <c r="AG619" i="34" s="1"/>
  <c r="U1107" i="34"/>
  <c r="AE156" i="14"/>
  <c r="AE640" i="34" s="1"/>
  <c r="BN1020" i="34"/>
  <c r="Q689" i="34"/>
  <c r="R796" i="34"/>
  <c r="AG958" i="34"/>
  <c r="AH293" i="34"/>
  <c r="AL68" i="2"/>
  <c r="AL71" i="2"/>
  <c r="AM73" i="2"/>
  <c r="AN71" i="2"/>
  <c r="AG496" i="2"/>
  <c r="AG316" i="34" s="1"/>
  <c r="AK494" i="2"/>
  <c r="AK731" i="34" s="1"/>
  <c r="O809" i="34"/>
  <c r="AL493" i="2"/>
  <c r="AL730" i="34" s="1"/>
  <c r="BK196" i="2"/>
  <c r="BK195" i="2" s="1"/>
  <c r="S330" i="2"/>
  <c r="AK534" i="2"/>
  <c r="AK780" i="34" s="1"/>
  <c r="AK727" i="34"/>
  <c r="AL496" i="2"/>
  <c r="AL733" i="34" s="1"/>
  <c r="AZ950" i="34"/>
  <c r="AJ494" i="2"/>
  <c r="AJ731" i="34" s="1"/>
  <c r="V237" i="14"/>
  <c r="V690" i="34" s="1"/>
  <c r="BP490" i="2"/>
  <c r="M1022" i="34"/>
  <c r="AI747" i="34"/>
  <c r="AL89" i="2"/>
  <c r="X950" i="34"/>
  <c r="X472" i="34"/>
  <c r="BN756" i="34"/>
  <c r="BN527" i="2"/>
  <c r="AA1113" i="34"/>
  <c r="AF448" i="34"/>
  <c r="AC1004" i="34"/>
  <c r="Z462" i="2"/>
  <c r="Z412" i="34" s="1"/>
  <c r="Z457" i="2"/>
  <c r="Z1117" i="34" s="1"/>
  <c r="AG428" i="2"/>
  <c r="AG430" i="2"/>
  <c r="AS67" i="2"/>
  <c r="AS70" i="2" s="1"/>
  <c r="U857" i="34"/>
  <c r="U618" i="2"/>
  <c r="U862" i="34" s="1"/>
  <c r="AE19" i="34"/>
  <c r="AA27" i="34"/>
  <c r="P73" i="34"/>
  <c r="BI153" i="14"/>
  <c r="AO637" i="34" s="1"/>
  <c r="AH33" i="14"/>
  <c r="AH607" i="34" s="1"/>
  <c r="P211" i="34"/>
  <c r="AD69" i="14"/>
  <c r="AD618" i="34" s="1"/>
  <c r="AC273" i="1"/>
  <c r="AC258" i="34" s="1"/>
  <c r="N39" i="1"/>
  <c r="N43" i="1" s="1"/>
  <c r="AG1221" i="34"/>
  <c r="AJ676" i="34"/>
  <c r="AJ28" i="14"/>
  <c r="AJ604" i="34" s="1"/>
  <c r="U257" i="34"/>
  <c r="AL119" i="1"/>
  <c r="AL226" i="1"/>
  <c r="M20" i="34"/>
  <c r="N124" i="14"/>
  <c r="N630" i="34" s="1"/>
  <c r="M121" i="14"/>
  <c r="M627" i="34" s="1"/>
  <c r="BQ211" i="1"/>
  <c r="Q27" i="34"/>
  <c r="Q1229" i="34"/>
  <c r="AH29" i="1"/>
  <c r="AH19" i="34"/>
  <c r="AZ79" i="34"/>
  <c r="BU120" i="1"/>
  <c r="AZ108" i="34" s="1"/>
  <c r="AD244" i="34"/>
  <c r="AJ1249" i="34"/>
  <c r="Y73" i="34"/>
  <c r="Y87" i="1"/>
  <c r="Y74" i="34" s="1"/>
  <c r="AD1221" i="34"/>
  <c r="AD19" i="34"/>
  <c r="AD188" i="14"/>
  <c r="AD649" i="34" s="1"/>
  <c r="AD190" i="14"/>
  <c r="AD651" i="34" s="1"/>
  <c r="AF232" i="1"/>
  <c r="AF218" i="34" s="1"/>
  <c r="AE218" i="34"/>
  <c r="X632" i="2"/>
  <c r="X872" i="34"/>
  <c r="AG254" i="2"/>
  <c r="AG286" i="2" s="1"/>
  <c r="AG1093" i="34" s="1"/>
  <c r="AG278" i="2"/>
  <c r="AG1085" i="34" s="1"/>
  <c r="AG397" i="2"/>
  <c r="AG1020" i="34"/>
  <c r="AH759" i="34"/>
  <c r="AH524" i="2"/>
  <c r="AH760" i="34" s="1"/>
  <c r="AB211" i="1"/>
  <c r="AA197" i="34"/>
  <c r="AK255" i="2"/>
  <c r="AK1061" i="34" s="1"/>
  <c r="AK254" i="2"/>
  <c r="AO286" i="2" s="1"/>
  <c r="AO1093" i="34" s="1"/>
  <c r="AK256" i="2"/>
  <c r="AK1062" i="34" s="1"/>
  <c r="AK476" i="2"/>
  <c r="AG550" i="34"/>
  <c r="AG405" i="2"/>
  <c r="AG553" i="34" s="1"/>
  <c r="X418" i="34"/>
  <c r="AB477" i="2"/>
  <c r="AB422" i="34" s="1"/>
  <c r="BN28" i="2"/>
  <c r="CA28" i="2" s="1"/>
  <c r="CB396" i="2"/>
  <c r="X225" i="1"/>
  <c r="X211" i="34" s="1"/>
  <c r="W211" i="34"/>
  <c r="BS171" i="1"/>
  <c r="AW171" i="1"/>
  <c r="AX171" i="1" s="1"/>
  <c r="AY171" i="1" s="1"/>
  <c r="AZ171" i="1" s="1"/>
  <c r="AD161" i="34"/>
  <c r="AD182" i="1"/>
  <c r="AD171" i="34" s="1"/>
  <c r="AA331" i="2"/>
  <c r="AM53" i="2"/>
  <c r="AM713" i="34" s="1"/>
  <c r="AC177" i="2"/>
  <c r="BM576" i="2"/>
  <c r="BM815" i="34" s="1"/>
  <c r="V558" i="2"/>
  <c r="BK124" i="1"/>
  <c r="AP112" i="34" s="1"/>
  <c r="AK103" i="14"/>
  <c r="BQ204" i="1"/>
  <c r="AV190" i="34" s="1"/>
  <c r="AO272" i="1"/>
  <c r="AO273" i="1" s="1"/>
  <c r="AC155" i="14"/>
  <c r="AC639" i="34" s="1"/>
  <c r="P25" i="35"/>
  <c r="R25" i="35"/>
  <c r="S17" i="42"/>
  <c r="AU206" i="34"/>
  <c r="Q124" i="14"/>
  <c r="Q630" i="34" s="1"/>
  <c r="AF1226" i="34"/>
  <c r="AF24" i="34"/>
  <c r="AJ1230" i="34"/>
  <c r="AJ28" i="34"/>
  <c r="P635" i="34"/>
  <c r="P153" i="14"/>
  <c r="P637" i="34" s="1"/>
  <c r="X1229" i="34"/>
  <c r="X289" i="1"/>
  <c r="X27" i="34"/>
  <c r="P197" i="34"/>
  <c r="BK211" i="1"/>
  <c r="AP197" i="34" s="1"/>
  <c r="X266" i="34"/>
  <c r="Y281" i="1"/>
  <c r="T155" i="14"/>
  <c r="T639" i="34" s="1"/>
  <c r="T11" i="40"/>
  <c r="T11" i="4"/>
  <c r="AB11" i="35"/>
  <c r="I45" i="35" s="1"/>
  <c r="AI33" i="14"/>
  <c r="AI607" i="34" s="1"/>
  <c r="AA87" i="1"/>
  <c r="AA74" i="34" s="1"/>
  <c r="AC289" i="1"/>
  <c r="AA501" i="34"/>
  <c r="AD41" i="1"/>
  <c r="AD1234" i="34" s="1"/>
  <c r="N190" i="14"/>
  <c r="N651" i="34" s="1"/>
  <c r="AE279" i="2"/>
  <c r="AE1086" i="34" s="1"/>
  <c r="AA336" i="2"/>
  <c r="BQ169" i="1"/>
  <c r="BQ172" i="1" s="1"/>
  <c r="AE394" i="2"/>
  <c r="M981" i="34"/>
  <c r="AO182" i="1"/>
  <c r="AH54" i="2"/>
  <c r="AH714" i="34" s="1"/>
  <c r="T153" i="14"/>
  <c r="T637" i="34" s="1"/>
  <c r="CB446" i="2"/>
  <c r="AQ396" i="34"/>
  <c r="AJ71" i="2"/>
  <c r="AP359" i="2"/>
  <c r="AP966" i="34" s="1"/>
  <c r="AR471" i="34"/>
  <c r="O276" i="34"/>
  <c r="X475" i="2"/>
  <c r="X420" i="34" s="1"/>
  <c r="AJ255" i="2"/>
  <c r="N545" i="34"/>
  <c r="BL346" i="2"/>
  <c r="AR476" i="34" s="1"/>
  <c r="W186" i="14"/>
  <c r="W647" i="34" s="1"/>
  <c r="AH496" i="2"/>
  <c r="AH552" i="2" s="1"/>
  <c r="AH493" i="2"/>
  <c r="AH313" i="34" s="1"/>
  <c r="AS496" i="2"/>
  <c r="AS733" i="34" s="1"/>
  <c r="BL472" i="2"/>
  <c r="AR418" i="34" s="1"/>
  <c r="AB314" i="34"/>
  <c r="AK16" i="2"/>
  <c r="AK700" i="34" s="1"/>
  <c r="AO290" i="2"/>
  <c r="AO1097" i="34" s="1"/>
  <c r="AB482" i="2"/>
  <c r="AB433" i="34" s="1"/>
  <c r="Q120" i="14"/>
  <c r="AC1011" i="34"/>
  <c r="BN1047" i="34"/>
  <c r="AC389" i="2"/>
  <c r="AC536" i="34" s="1"/>
  <c r="AS520" i="34"/>
  <c r="AI1044" i="34"/>
  <c r="Y186" i="14"/>
  <c r="Y647" i="34" s="1"/>
  <c r="AG591" i="2"/>
  <c r="AG830" i="34" s="1"/>
  <c r="AS534" i="2"/>
  <c r="AS780" i="34" s="1"/>
  <c r="AJ349" i="34"/>
  <c r="AI514" i="2"/>
  <c r="AI750" i="34" s="1"/>
  <c r="AG494" i="2"/>
  <c r="AG314" i="34" s="1"/>
  <c r="BN925" i="34"/>
  <c r="AJ10" i="14"/>
  <c r="AJ74" i="14" s="1"/>
  <c r="X337" i="2"/>
  <c r="X944" i="34" s="1"/>
  <c r="W820" i="34"/>
  <c r="BP232" i="14"/>
  <c r="AV684" i="34" s="1"/>
  <c r="AP19" i="34"/>
  <c r="AA188" i="1"/>
  <c r="AA177" i="34" s="1"/>
  <c r="BN202" i="1"/>
  <c r="AS188" i="34" s="1"/>
  <c r="S1223" i="34"/>
  <c r="Z266" i="1"/>
  <c r="Z251" i="34" s="1"/>
  <c r="AD190" i="1"/>
  <c r="AD179" i="34" s="1"/>
  <c r="T233" i="1"/>
  <c r="T219" i="34" s="1"/>
  <c r="U121" i="14"/>
  <c r="U627" i="34" s="1"/>
  <c r="F22" i="3"/>
  <c r="F46" i="3" s="1"/>
  <c r="T11" i="42"/>
  <c r="O293" i="1"/>
  <c r="BK236" i="1"/>
  <c r="AP222" i="34" s="1"/>
  <c r="AE32" i="14"/>
  <c r="AE606" i="34" s="1"/>
  <c r="W151" i="34"/>
  <c r="Z267" i="1"/>
  <c r="Z252" i="34" s="1"/>
  <c r="BP132" i="1"/>
  <c r="AU120" i="34" s="1"/>
  <c r="Z188" i="34"/>
  <c r="AD33" i="14"/>
  <c r="AD607" i="34" s="1"/>
  <c r="AG15" i="2"/>
  <c r="AG16" i="2"/>
  <c r="V646" i="34"/>
  <c r="V101" i="1"/>
  <c r="V89" i="34" s="1"/>
  <c r="Z260" i="1"/>
  <c r="Z246" i="34" s="1"/>
  <c r="Z259" i="1"/>
  <c r="Z245" i="34" s="1"/>
  <c r="BQ187" i="1"/>
  <c r="AV176" i="34" s="1"/>
  <c r="S1279" i="34"/>
  <c r="S73" i="34"/>
  <c r="AD1226" i="34"/>
  <c r="AD24" i="34"/>
  <c r="S492" i="34"/>
  <c r="S969" i="34"/>
  <c r="AD75" i="34"/>
  <c r="AD1281" i="34"/>
  <c r="C22" i="35"/>
  <c r="C31" i="35" s="1"/>
  <c r="AH73" i="34"/>
  <c r="Z604" i="34"/>
  <c r="BJ185" i="14"/>
  <c r="BK101" i="1" s="1"/>
  <c r="AP89" i="34" s="1"/>
  <c r="AC293" i="1"/>
  <c r="AF257" i="34"/>
  <c r="AA153" i="14"/>
  <c r="AA637" i="34" s="1"/>
  <c r="O646" i="34"/>
  <c r="AC69" i="14"/>
  <c r="AC618" i="34" s="1"/>
  <c r="AD29" i="1"/>
  <c r="AD30" i="1" s="1"/>
  <c r="V1012" i="34"/>
  <c r="AM182" i="1"/>
  <c r="X646" i="34"/>
  <c r="AC388" i="2"/>
  <c r="AC1012" i="34" s="1"/>
  <c r="AA334" i="2"/>
  <c r="AA466" i="34" s="1"/>
  <c r="BK842" i="34"/>
  <c r="Z573" i="34"/>
  <c r="X41" i="1"/>
  <c r="X1234" i="34" s="1"/>
  <c r="P120" i="14"/>
  <c r="U400" i="34"/>
  <c r="AB484" i="2"/>
  <c r="AB435" i="34" s="1"/>
  <c r="AE1003" i="34"/>
  <c r="AD278" i="2"/>
  <c r="AD1085" i="34" s="1"/>
  <c r="BK392" i="2"/>
  <c r="AQ539" i="34" s="1"/>
  <c r="BK448" i="2"/>
  <c r="BN206" i="2"/>
  <c r="BM342" i="2"/>
  <c r="AS474" i="34" s="1"/>
  <c r="AI235" i="2"/>
  <c r="AI236" i="2" s="1"/>
  <c r="AA348" i="34"/>
  <c r="M1048" i="34"/>
  <c r="X478" i="2"/>
  <c r="X423" i="34" s="1"/>
  <c r="AC566" i="34"/>
  <c r="AJ260" i="2"/>
  <c r="AJ1066" i="34" s="1"/>
  <c r="AK294" i="2"/>
  <c r="AK242" i="2" s="1"/>
  <c r="AE330" i="2"/>
  <c r="AJ257" i="2"/>
  <c r="AJ1063" i="34" s="1"/>
  <c r="AG476" i="2"/>
  <c r="AG421" i="34" s="1"/>
  <c r="AN491" i="2"/>
  <c r="AN492" i="2" s="1"/>
  <c r="AN729" i="34" s="1"/>
  <c r="AK495" i="2"/>
  <c r="AK732" i="34" s="1"/>
  <c r="P30" i="35"/>
  <c r="X476" i="2"/>
  <c r="X421" i="34" s="1"/>
  <c r="AD478" i="2"/>
  <c r="AD423" i="34" s="1"/>
  <c r="AJ254" i="2"/>
  <c r="AJ1060" i="34" s="1"/>
  <c r="AI279" i="2"/>
  <c r="AI1086" i="34" s="1"/>
  <c r="AB331" i="2"/>
  <c r="Y571" i="2"/>
  <c r="Y333" i="34" s="1"/>
  <c r="U227" i="14"/>
  <c r="U229" i="14" s="1"/>
  <c r="AJ496" i="2"/>
  <c r="AJ316" i="34" s="1"/>
  <c r="BN392" i="2"/>
  <c r="BN1016" i="34" s="1"/>
  <c r="BK397" i="2"/>
  <c r="BK1021" i="34" s="1"/>
  <c r="BO490" i="2"/>
  <c r="AU311" i="34" s="1"/>
  <c r="AJ49" i="2"/>
  <c r="AJ293" i="34" s="1"/>
  <c r="Y472" i="34"/>
  <c r="AG498" i="2"/>
  <c r="AJ545" i="2"/>
  <c r="AJ546" i="2" s="1"/>
  <c r="W732" i="34"/>
  <c r="Y544" i="34"/>
  <c r="AE808" i="34"/>
  <c r="AS100" i="2"/>
  <c r="AG258" i="2"/>
  <c r="AG1064" i="34" s="1"/>
  <c r="AG10" i="14"/>
  <c r="AG83" i="14" s="1"/>
  <c r="AG18" i="2"/>
  <c r="AG19" i="2" s="1"/>
  <c r="BM344" i="2"/>
  <c r="AS473" i="34" s="1"/>
  <c r="AJ727" i="34"/>
  <c r="BN423" i="2"/>
  <c r="AT571" i="34" s="1"/>
  <c r="AG491" i="2"/>
  <c r="AR492" i="34"/>
  <c r="AA489" i="34"/>
  <c r="AJ18" i="2"/>
  <c r="AJ20" i="2" s="1"/>
  <c r="BL397" i="2"/>
  <c r="AJ256" i="2"/>
  <c r="AJ1062" i="34" s="1"/>
  <c r="AD651" i="2"/>
  <c r="AJ698" i="34"/>
  <c r="X477" i="2"/>
  <c r="X422" i="34" s="1"/>
  <c r="Z651" i="2"/>
  <c r="Z898" i="34" s="1"/>
  <c r="BP37" i="1"/>
  <c r="BP195" i="14"/>
  <c r="BP233" i="14"/>
  <c r="AV685" i="34" s="1"/>
  <c r="AA1221" i="34"/>
  <c r="R19" i="34"/>
  <c r="BU102" i="14"/>
  <c r="BO245" i="14"/>
  <c r="M24" i="34"/>
  <c r="AI218" i="34"/>
  <c r="AK239" i="1"/>
  <c r="T211" i="1"/>
  <c r="T197" i="34" s="1"/>
  <c r="AH1212" i="34"/>
  <c r="R19" i="35"/>
  <c r="R28" i="35" s="1"/>
  <c r="S33" i="14"/>
  <c r="S607" i="34" s="1"/>
  <c r="N188" i="14"/>
  <c r="N649" i="34" s="1"/>
  <c r="W117" i="34"/>
  <c r="AC188" i="14"/>
  <c r="AC649" i="34" s="1"/>
  <c r="AC646" i="34"/>
  <c r="Q122" i="14"/>
  <c r="Q628" i="34" s="1"/>
  <c r="BO212" i="1"/>
  <c r="AT198" i="34" s="1"/>
  <c r="AI1229" i="34"/>
  <c r="P133" i="1"/>
  <c r="P121" i="34" s="1"/>
  <c r="S91" i="34"/>
  <c r="W183" i="1"/>
  <c r="W172" i="34" s="1"/>
  <c r="BQ292" i="1"/>
  <c r="AI289" i="1"/>
  <c r="CM23" i="1"/>
  <c r="B24" i="3" s="1"/>
  <c r="AB32" i="14"/>
  <c r="AB606" i="34" s="1"/>
  <c r="AA604" i="34"/>
  <c r="U125" i="1"/>
  <c r="U113" i="34" s="1"/>
  <c r="N12" i="40"/>
  <c r="AV14" i="34"/>
  <c r="AA951" i="34"/>
  <c r="BK282" i="1"/>
  <c r="AP267" i="34" s="1"/>
  <c r="AA615" i="34"/>
  <c r="AA248" i="14"/>
  <c r="AA249" i="14" s="1"/>
  <c r="AA251" i="14" s="1"/>
  <c r="Z29" i="1"/>
  <c r="Z188" i="1"/>
  <c r="Z177" i="34" s="1"/>
  <c r="AN18" i="2"/>
  <c r="AN256" i="2"/>
  <c r="AH124" i="14"/>
  <c r="AH630" i="34" s="1"/>
  <c r="AC1229" i="34"/>
  <c r="AI258" i="1"/>
  <c r="AI260" i="1" s="1"/>
  <c r="AI246" i="34" s="1"/>
  <c r="O190" i="14"/>
  <c r="O651" i="34" s="1"/>
  <c r="Q123" i="14"/>
  <c r="Q629" i="34" s="1"/>
  <c r="AC83" i="14"/>
  <c r="S152" i="14"/>
  <c r="S636" i="34" s="1"/>
  <c r="S119" i="1"/>
  <c r="S107" i="34" s="1"/>
  <c r="V338" i="2"/>
  <c r="V945" i="34" s="1"/>
  <c r="Y190" i="14"/>
  <c r="Y651" i="34" s="1"/>
  <c r="AH123" i="14"/>
  <c r="AH629" i="34" s="1"/>
  <c r="BM211" i="1"/>
  <c r="AR197" i="34" s="1"/>
  <c r="W338" i="2"/>
  <c r="W468" i="34" s="1"/>
  <c r="AC406" i="34"/>
  <c r="AN258" i="2"/>
  <c r="X204" i="1"/>
  <c r="X190" i="34" s="1"/>
  <c r="AJ272" i="1"/>
  <c r="AJ257" i="34" s="1"/>
  <c r="V970" i="34"/>
  <c r="X79" i="34"/>
  <c r="AB1120" i="34"/>
  <c r="U537" i="2"/>
  <c r="U783" i="34" s="1"/>
  <c r="BL196" i="2"/>
  <c r="BL195" i="2" s="1"/>
  <c r="BK449" i="2"/>
  <c r="BK1109" i="34" s="1"/>
  <c r="CD205" i="2"/>
  <c r="AN38" i="2"/>
  <c r="O314" i="34"/>
  <c r="Y1013" i="34"/>
  <c r="AI245" i="2"/>
  <c r="T407" i="34"/>
  <c r="BQ796" i="34"/>
  <c r="Q573" i="34"/>
  <c r="AQ363" i="34"/>
  <c r="AA577" i="34"/>
  <c r="O331" i="34"/>
  <c r="AG1027" i="34"/>
  <c r="BP61" i="2"/>
  <c r="AG58" i="2"/>
  <c r="AG718" i="34" s="1"/>
  <c r="AN49" i="2"/>
  <c r="AG71" i="2"/>
  <c r="AM524" i="2"/>
  <c r="AM760" i="34" s="1"/>
  <c r="R238" i="14"/>
  <c r="R691" i="34" s="1"/>
  <c r="AI108" i="14"/>
  <c r="BH186" i="14"/>
  <c r="AN647" i="34" s="1"/>
  <c r="AN495" i="2"/>
  <c r="AN732" i="34" s="1"/>
  <c r="AC570" i="2"/>
  <c r="AC332" i="34" s="1"/>
  <c r="AK493" i="2"/>
  <c r="AK730" i="34" s="1"/>
  <c r="Y475" i="2"/>
  <c r="Y420" i="34" s="1"/>
  <c r="AH485" i="34"/>
  <c r="AE502" i="2"/>
  <c r="AE738" i="34" s="1"/>
  <c r="AC190" i="2"/>
  <c r="M152" i="14"/>
  <c r="M636" i="34" s="1"/>
  <c r="AJ16" i="2"/>
  <c r="AJ700" i="34" s="1"/>
  <c r="AJ498" i="2"/>
  <c r="AJ735" i="34" s="1"/>
  <c r="AG493" i="2"/>
  <c r="AG730" i="34" s="1"/>
  <c r="AJ495" i="2"/>
  <c r="AJ732" i="34" s="1"/>
  <c r="AF548" i="2"/>
  <c r="W446" i="34"/>
  <c r="AJ493" i="2"/>
  <c r="AJ313" i="34" s="1"/>
  <c r="AC390" i="2"/>
  <c r="AC537" i="34" s="1"/>
  <c r="Z794" i="34"/>
  <c r="BK1020" i="34"/>
  <c r="AC922" i="34"/>
  <c r="AQ543" i="34"/>
  <c r="BK425" i="2"/>
  <c r="AE592" i="2"/>
  <c r="AE831" i="34" s="1"/>
  <c r="AG40" i="2"/>
  <c r="AG41" i="2" s="1"/>
  <c r="AG703" i="34" s="1"/>
  <c r="S570" i="2"/>
  <c r="S809" i="34" s="1"/>
  <c r="AG534" i="2"/>
  <c r="AG537" i="2" s="1"/>
  <c r="AG783" i="34" s="1"/>
  <c r="S572" i="2"/>
  <c r="S811" i="34" s="1"/>
  <c r="AG569" i="2"/>
  <c r="AG808" i="34" s="1"/>
  <c r="BQ357" i="2"/>
  <c r="BQ360" i="2" s="1"/>
  <c r="BQ967" i="34" s="1"/>
  <c r="AS119" i="2"/>
  <c r="Z392" i="2"/>
  <c r="Z539" i="34" s="1"/>
  <c r="AJ476" i="2"/>
  <c r="AJ421" i="34" s="1"/>
  <c r="Z396" i="34"/>
  <c r="AQ967" i="34"/>
  <c r="AN494" i="2"/>
  <c r="AN731" i="34" s="1"/>
  <c r="AG543" i="34"/>
  <c r="AG259" i="2"/>
  <c r="AG698" i="34"/>
  <c r="AG256" i="2"/>
  <c r="AG288" i="2" s="1"/>
  <c r="AG1095" i="34" s="1"/>
  <c r="AJ534" i="2"/>
  <c r="AJ780" i="34" s="1"/>
  <c r="AF605" i="2"/>
  <c r="AF848" i="34" s="1"/>
  <c r="AA447" i="2"/>
  <c r="AB448" i="2" s="1"/>
  <c r="AG727" i="34"/>
  <c r="AE499" i="2"/>
  <c r="AE736" i="34" s="1"/>
  <c r="AI243" i="2"/>
  <c r="AI74" i="2" s="1"/>
  <c r="AF606" i="2"/>
  <c r="AF849" i="34" s="1"/>
  <c r="O29" i="14"/>
  <c r="S30" i="14" s="1"/>
  <c r="R968" i="34"/>
  <c r="AJ60" i="2"/>
  <c r="AJ720" i="34" s="1"/>
  <c r="AG522" i="34"/>
  <c r="Z386" i="34"/>
  <c r="Z449" i="2"/>
  <c r="AQ530" i="34"/>
  <c r="AC1222" i="34"/>
  <c r="S1222" i="34"/>
  <c r="R29" i="1"/>
  <c r="R1222" i="34" s="1"/>
  <c r="BP34" i="1"/>
  <c r="BI289" i="1"/>
  <c r="AD1232" i="34"/>
  <c r="AN257" i="2"/>
  <c r="BI68" i="14"/>
  <c r="AO617" i="34" s="1"/>
  <c r="S72" i="40"/>
  <c r="S15" i="40" s="1"/>
  <c r="U1021" i="34"/>
  <c r="R17" i="40"/>
  <c r="BI155" i="14"/>
  <c r="AO639" i="34" s="1"/>
  <c r="AN258" i="1"/>
  <c r="S125" i="1"/>
  <c r="S113" i="34" s="1"/>
  <c r="AF121" i="14"/>
  <c r="AF627" i="34" s="1"/>
  <c r="AG31" i="14"/>
  <c r="AG605" i="34" s="1"/>
  <c r="AH39" i="1"/>
  <c r="AH189" i="1" s="1"/>
  <c r="AH178" i="34" s="1"/>
  <c r="M41" i="1"/>
  <c r="M46" i="1" s="1"/>
  <c r="M62" i="1" s="1"/>
  <c r="AD262" i="1"/>
  <c r="AD248" i="34" s="1"/>
  <c r="BN32" i="1"/>
  <c r="AS23" i="34" s="1"/>
  <c r="BQ220" i="1"/>
  <c r="T17" i="42" s="1"/>
  <c r="BK162" i="1"/>
  <c r="BK129" i="1" s="1"/>
  <c r="F21" i="3"/>
  <c r="F45" i="3" s="1"/>
  <c r="AK272" i="1"/>
  <c r="AK273" i="1" s="1"/>
  <c r="E22" i="3"/>
  <c r="E46" i="3" s="1"/>
  <c r="W1225" i="34"/>
  <c r="S207" i="34"/>
  <c r="AN646" i="34"/>
  <c r="BQ191" i="1"/>
  <c r="AV180" i="34" s="1"/>
  <c r="Z261" i="1"/>
  <c r="Z247" i="34" s="1"/>
  <c r="BP292" i="1"/>
  <c r="BN232" i="1"/>
  <c r="AS218" i="34" s="1"/>
  <c r="AA1279" i="34"/>
  <c r="S11" i="4"/>
  <c r="S1290" i="34" s="1"/>
  <c r="T257" i="34"/>
  <c r="BM120" i="1"/>
  <c r="AR108" i="34" s="1"/>
  <c r="Y1279" i="34"/>
  <c r="Z262" i="1"/>
  <c r="Z248" i="34" s="1"/>
  <c r="AW160" i="34"/>
  <c r="AO38" i="2"/>
  <c r="Z104" i="1"/>
  <c r="Z92" i="34" s="1"/>
  <c r="Z39" i="1"/>
  <c r="W120" i="1"/>
  <c r="W108" i="34" s="1"/>
  <c r="W79" i="34"/>
  <c r="X189" i="1"/>
  <c r="X178" i="34" s="1"/>
  <c r="X190" i="1"/>
  <c r="X179" i="34" s="1"/>
  <c r="AI1221" i="34"/>
  <c r="AI29" i="1"/>
  <c r="AI19" i="34"/>
  <c r="AD31" i="14"/>
  <c r="AD605" i="34" s="1"/>
  <c r="AA34" i="14"/>
  <c r="AA608" i="34" s="1"/>
  <c r="AN1279" i="34"/>
  <c r="AN87" i="1"/>
  <c r="AN1280" i="34" s="1"/>
  <c r="AA195" i="2"/>
  <c r="W27" i="34"/>
  <c r="CB35" i="1"/>
  <c r="AF68" i="14"/>
  <c r="AF617" i="34" s="1"/>
  <c r="AD32" i="14"/>
  <c r="AD606" i="34" s="1"/>
  <c r="T1279" i="34"/>
  <c r="AF267" i="1"/>
  <c r="AF252" i="34" s="1"/>
  <c r="AC71" i="14"/>
  <c r="AC620" i="34" s="1"/>
  <c r="T203" i="1"/>
  <c r="T189" i="34" s="1"/>
  <c r="AI82" i="14"/>
  <c r="AI84" i="14" s="1"/>
  <c r="AI615" i="34"/>
  <c r="X75" i="34"/>
  <c r="X1281" i="34"/>
  <c r="BO313" i="2"/>
  <c r="AU447" i="34" s="1"/>
  <c r="CE205" i="2"/>
  <c r="AB265" i="1"/>
  <c r="AB250" i="34" s="1"/>
  <c r="P121" i="14"/>
  <c r="P627" i="34" s="1"/>
  <c r="AM265" i="1"/>
  <c r="AM274" i="1" s="1"/>
  <c r="BJ133" i="1"/>
  <c r="AO121" i="34" s="1"/>
  <c r="BM236" i="1"/>
  <c r="AR222" i="34" s="1"/>
  <c r="AC604" i="34"/>
  <c r="M188" i="14"/>
  <c r="M649" i="34" s="1"/>
  <c r="M101" i="1"/>
  <c r="M89" i="34" s="1"/>
  <c r="M646" i="34"/>
  <c r="M187" i="14"/>
  <c r="M648" i="34" s="1"/>
  <c r="BO86" i="1"/>
  <c r="AT73" i="34" s="1"/>
  <c r="AC73" i="34"/>
  <c r="AF1225" i="34"/>
  <c r="AF23" i="34"/>
  <c r="AR493" i="34"/>
  <c r="AW26" i="34"/>
  <c r="Q31" i="14"/>
  <c r="Q605" i="34" s="1"/>
  <c r="U6" i="14"/>
  <c r="BO84" i="1"/>
  <c r="AT77" i="34"/>
  <c r="O180" i="1"/>
  <c r="BK125" i="1"/>
  <c r="AP113" i="34" s="1"/>
  <c r="AO1064" i="34"/>
  <c r="AW490" i="2"/>
  <c r="AW19" i="1" s="1"/>
  <c r="AA572" i="34"/>
  <c r="BK33" i="1"/>
  <c r="AP24" i="34" s="1"/>
  <c r="V155" i="14"/>
  <c r="V639" i="34" s="1"/>
  <c r="Q604" i="34"/>
  <c r="X198" i="34"/>
  <c r="BQ224" i="1"/>
  <c r="AV210" i="34" s="1"/>
  <c r="N1227" i="34"/>
  <c r="N25" i="34"/>
  <c r="BJ29" i="1"/>
  <c r="BJ188" i="1"/>
  <c r="AO177" i="34" s="1"/>
  <c r="T232" i="1"/>
  <c r="T218" i="34" s="1"/>
  <c r="S218" i="34"/>
  <c r="AM119" i="1"/>
  <c r="Z49" i="2"/>
  <c r="Z709" i="34" s="1"/>
  <c r="AS727" i="34"/>
  <c r="Z59" i="2"/>
  <c r="Z719" i="34" s="1"/>
  <c r="AD289" i="2"/>
  <c r="AD1096" i="34" s="1"/>
  <c r="BM64" i="14"/>
  <c r="AS615" i="34" s="1"/>
  <c r="AE34" i="14"/>
  <c r="AE608" i="34" s="1"/>
  <c r="AE604" i="34"/>
  <c r="AI153" i="14"/>
  <c r="AI637" i="34" s="1"/>
  <c r="AI635" i="34"/>
  <c r="AI1227" i="34"/>
  <c r="AI25" i="34"/>
  <c r="AA1225" i="34"/>
  <c r="AA23" i="34"/>
  <c r="X19" i="34"/>
  <c r="X1221" i="34"/>
  <c r="X188" i="1"/>
  <c r="X177" i="34" s="1"/>
  <c r="X29" i="1"/>
  <c r="AS491" i="2"/>
  <c r="AS728" i="34" s="1"/>
  <c r="AK28" i="1"/>
  <c r="AK29" i="1" s="1"/>
  <c r="O1279" i="34"/>
  <c r="AG75" i="34"/>
  <c r="AG1281" i="34"/>
  <c r="AH259" i="34"/>
  <c r="AH266" i="1"/>
  <c r="AH251" i="34" s="1"/>
  <c r="AB259" i="1"/>
  <c r="AB245" i="34" s="1"/>
  <c r="AB104" i="1"/>
  <c r="AB92" i="34" s="1"/>
  <c r="AN101" i="1"/>
  <c r="AU349" i="34"/>
  <c r="W204" i="1"/>
  <c r="W190" i="34" s="1"/>
  <c r="AF39" i="1"/>
  <c r="AF190" i="1" s="1"/>
  <c r="AF179" i="34" s="1"/>
  <c r="BL36" i="1"/>
  <c r="BL293" i="1" s="1"/>
  <c r="BN220" i="1"/>
  <c r="Q17" i="42" s="1"/>
  <c r="O87" i="1"/>
  <c r="O74" i="34" s="1"/>
  <c r="AD246" i="14"/>
  <c r="Z635" i="34"/>
  <c r="Z156" i="14"/>
  <c r="Z640" i="34" s="1"/>
  <c r="U248" i="14"/>
  <c r="U249" i="14" s="1"/>
  <c r="Y68" i="14"/>
  <c r="Y617" i="34" s="1"/>
  <c r="U615" i="34"/>
  <c r="AE1285" i="34"/>
  <c r="AE79" i="34"/>
  <c r="AE120" i="1"/>
  <c r="AE108" i="34" s="1"/>
  <c r="Z390" i="2"/>
  <c r="Z1014" i="34" s="1"/>
  <c r="AQ614" i="2"/>
  <c r="AP858" i="34"/>
  <c r="AC447" i="34"/>
  <c r="Z1122" i="34"/>
  <c r="Q24" i="34"/>
  <c r="AJ216" i="1"/>
  <c r="AJ239" i="1" s="1"/>
  <c r="AJ225" i="34" s="1"/>
  <c r="AH261" i="1"/>
  <c r="AH247" i="34" s="1"/>
  <c r="BG68" i="14"/>
  <c r="AM617" i="34" s="1"/>
  <c r="BH65" i="14"/>
  <c r="AN616" i="34" s="1"/>
  <c r="AA71" i="14"/>
  <c r="AA620" i="34" s="1"/>
  <c r="AH262" i="1"/>
  <c r="AH248" i="34" s="1"/>
  <c r="AH267" i="1"/>
  <c r="AH252" i="34" s="1"/>
  <c r="BQ203" i="1"/>
  <c r="AV189" i="34" s="1"/>
  <c r="P625" i="34"/>
  <c r="P124" i="14"/>
  <c r="P630" i="34" s="1"/>
  <c r="P122" i="14"/>
  <c r="P628" i="34" s="1"/>
  <c r="AC32" i="14"/>
  <c r="AC606" i="34" s="1"/>
  <c r="AD34" i="14"/>
  <c r="AD608" i="34" s="1"/>
  <c r="AO22" i="2"/>
  <c r="AO61" i="14" s="1"/>
  <c r="AO294" i="2"/>
  <c r="AO171" i="2"/>
  <c r="AO174" i="2" s="1"/>
  <c r="M122" i="14"/>
  <c r="M628" i="34" s="1"/>
  <c r="M625" i="34"/>
  <c r="Z388" i="2"/>
  <c r="Z535" i="34" s="1"/>
  <c r="AP857" i="34"/>
  <c r="BO34" i="1"/>
  <c r="AT25" i="34" s="1"/>
  <c r="AA152" i="14"/>
  <c r="X1280" i="34"/>
  <c r="O604" i="34"/>
  <c r="O31" i="14"/>
  <c r="O605" i="34" s="1"/>
  <c r="P34" i="14"/>
  <c r="P608" i="34" s="1"/>
  <c r="P32" i="14"/>
  <c r="P606" i="34" s="1"/>
  <c r="AH498" i="34"/>
  <c r="AH975" i="34"/>
  <c r="AH111" i="2"/>
  <c r="AH977" i="34" s="1"/>
  <c r="AB179" i="2"/>
  <c r="AB177" i="2"/>
  <c r="AM948" i="34"/>
  <c r="AM342" i="2"/>
  <c r="AM949" i="34" s="1"/>
  <c r="AQ573" i="34"/>
  <c r="BK1050" i="34"/>
  <c r="R794" i="34"/>
  <c r="R558" i="2"/>
  <c r="R341" i="34" s="1"/>
  <c r="R340" i="34"/>
  <c r="AE301" i="34"/>
  <c r="AE58" i="2"/>
  <c r="AE718" i="34" s="1"/>
  <c r="W1122" i="34"/>
  <c r="W412" i="34"/>
  <c r="AC927" i="34"/>
  <c r="AC448" i="34"/>
  <c r="S315" i="34"/>
  <c r="S732" i="34"/>
  <c r="AS255" i="2"/>
  <c r="AA1061" i="34"/>
  <c r="AE276" i="2"/>
  <c r="AE1083" i="34" s="1"/>
  <c r="AI296" i="2"/>
  <c r="AH235" i="2"/>
  <c r="AH236" i="2" s="1"/>
  <c r="BM998" i="34"/>
  <c r="AS521" i="34"/>
  <c r="R34" i="14"/>
  <c r="R608" i="34" s="1"/>
  <c r="S32" i="14"/>
  <c r="S606" i="34" s="1"/>
  <c r="AF185" i="2"/>
  <c r="AF187" i="2"/>
  <c r="AE186" i="2"/>
  <c r="T91" i="34"/>
  <c r="BL103" i="1"/>
  <c r="AA475" i="2"/>
  <c r="AA420" i="34" s="1"/>
  <c r="BM472" i="2"/>
  <c r="BM480" i="2" s="1"/>
  <c r="AS431" i="34" s="1"/>
  <c r="Z477" i="2"/>
  <c r="Z422" i="34" s="1"/>
  <c r="AA478" i="2"/>
  <c r="AA423" i="34" s="1"/>
  <c r="Z476" i="2"/>
  <c r="Z421" i="34" s="1"/>
  <c r="AL33" i="1"/>
  <c r="AL1226" i="34" s="1"/>
  <c r="AO190" i="14"/>
  <c r="AH153" i="14"/>
  <c r="AH637" i="34" s="1"/>
  <c r="AH242" i="2"/>
  <c r="AH62" i="14" s="1"/>
  <c r="AC966" i="34"/>
  <c r="AC489" i="34"/>
  <c r="AO1061" i="34"/>
  <c r="AD473" i="2"/>
  <c r="AD419" i="34" s="1"/>
  <c r="Z475" i="2"/>
  <c r="Z420" i="34" s="1"/>
  <c r="AS169" i="2"/>
  <c r="AS227" i="14" s="1"/>
  <c r="AS94" i="2"/>
  <c r="AL743" i="34"/>
  <c r="Q808" i="34"/>
  <c r="Q331" i="34"/>
  <c r="AN312" i="34"/>
  <c r="BH728" i="34"/>
  <c r="AS488" i="34"/>
  <c r="AR570" i="34"/>
  <c r="AP571" i="34"/>
  <c r="BJ1048" i="34"/>
  <c r="W699" i="34"/>
  <c r="AH958" i="34"/>
  <c r="AH481" i="34"/>
  <c r="AA1028" i="34"/>
  <c r="AA551" i="34"/>
  <c r="S34" i="14"/>
  <c r="S608" i="34" s="1"/>
  <c r="R32" i="14"/>
  <c r="R606" i="34" s="1"/>
  <c r="AK22" i="2"/>
  <c r="BP22" i="2" s="1"/>
  <c r="AO68" i="2"/>
  <c r="AK76" i="2"/>
  <c r="AK81" i="2" s="1"/>
  <c r="AL70" i="2"/>
  <c r="AK72" i="2"/>
  <c r="AK71" i="2"/>
  <c r="AU142" i="34"/>
  <c r="BP187" i="1"/>
  <c r="AU176" i="34" s="1"/>
  <c r="AK161" i="2"/>
  <c r="AJ158" i="2"/>
  <c r="AN159" i="2"/>
  <c r="AN160" i="2"/>
  <c r="AJ160" i="2"/>
  <c r="BO258" i="1"/>
  <c r="AF260" i="1"/>
  <c r="AF246" i="34" s="1"/>
  <c r="AF244" i="34"/>
  <c r="BI33" i="14"/>
  <c r="AO607" i="34" s="1"/>
  <c r="AN604" i="34"/>
  <c r="BH33" i="14"/>
  <c r="AN607" i="34" s="1"/>
  <c r="BH36" i="14"/>
  <c r="AN610" i="34" s="1"/>
  <c r="X122" i="14"/>
  <c r="X628" i="34" s="1"/>
  <c r="X124" i="14"/>
  <c r="X630" i="34" s="1"/>
  <c r="X625" i="34"/>
  <c r="AB123" i="14"/>
  <c r="AB629" i="34" s="1"/>
  <c r="BM93" i="14"/>
  <c r="BM103" i="14" s="1"/>
  <c r="BN93" i="14"/>
  <c r="BN103" i="14" s="1"/>
  <c r="Y632" i="2"/>
  <c r="Y877" i="34" s="1"/>
  <c r="U627" i="2"/>
  <c r="U368" i="34" s="1"/>
  <c r="AD480" i="2"/>
  <c r="AD431" i="34" s="1"/>
  <c r="AD475" i="2"/>
  <c r="AD420" i="34" s="1"/>
  <c r="AD476" i="2"/>
  <c r="AD421" i="34" s="1"/>
  <c r="AD418" i="34"/>
  <c r="AE475" i="2"/>
  <c r="AE420" i="34" s="1"/>
  <c r="AE478" i="2"/>
  <c r="AE423" i="34" s="1"/>
  <c r="AH473" i="2"/>
  <c r="AL474" i="2" s="1"/>
  <c r="AI497" i="34"/>
  <c r="AI974" i="34"/>
  <c r="R8" i="42"/>
  <c r="R5" i="42" s="1"/>
  <c r="AL139" i="14"/>
  <c r="AM140" i="14" s="1"/>
  <c r="AL176" i="14"/>
  <c r="AM177" i="14" s="1"/>
  <c r="AO25" i="34"/>
  <c r="BJ41" i="1"/>
  <c r="AO32" i="34" s="1"/>
  <c r="AF71" i="14"/>
  <c r="AF620" i="34" s="1"/>
  <c r="BN64" i="14"/>
  <c r="BN82" i="14" s="1"/>
  <c r="AM646" i="34"/>
  <c r="BG187" i="14"/>
  <c r="AM648" i="34" s="1"/>
  <c r="BH189" i="14"/>
  <c r="AN650" i="34" s="1"/>
  <c r="V604" i="34"/>
  <c r="V34" i="14"/>
  <c r="V608" i="34" s="1"/>
  <c r="Z33" i="14"/>
  <c r="Z607" i="34" s="1"/>
  <c r="Z31" i="14"/>
  <c r="Z605" i="34" s="1"/>
  <c r="AP165" i="34"/>
  <c r="BK181" i="1"/>
  <c r="AP170" i="34" s="1"/>
  <c r="BH187" i="14"/>
  <c r="AN648" i="34" s="1"/>
  <c r="AG74" i="34"/>
  <c r="AG1280" i="34"/>
  <c r="O117" i="34"/>
  <c r="O133" i="1"/>
  <c r="O121" i="34" s="1"/>
  <c r="BN225" i="1"/>
  <c r="AS211" i="34" s="1"/>
  <c r="AB211" i="34"/>
  <c r="U183" i="1"/>
  <c r="U172" i="34" s="1"/>
  <c r="U171" i="34"/>
  <c r="BI70" i="14"/>
  <c r="AO619" i="34" s="1"/>
  <c r="AL121" i="14"/>
  <c r="AB121" i="14"/>
  <c r="AB627" i="34" s="1"/>
  <c r="BN88" i="1"/>
  <c r="AS75" i="34" s="1"/>
  <c r="BP373" i="2"/>
  <c r="AV520" i="34" s="1"/>
  <c r="BJ39" i="1"/>
  <c r="AO30" i="34" s="1"/>
  <c r="AA260" i="1"/>
  <c r="AA246" i="34" s="1"/>
  <c r="AJ262" i="1"/>
  <c r="AJ248" i="34" s="1"/>
  <c r="M39" i="1"/>
  <c r="M30" i="34" s="1"/>
  <c r="AH228" i="2"/>
  <c r="Y368" i="34"/>
  <c r="AK73" i="2"/>
  <c r="U608" i="2"/>
  <c r="U353" i="34" s="1"/>
  <c r="AA1122" i="34"/>
  <c r="BL618" i="2"/>
  <c r="BL862" i="34" s="1"/>
  <c r="AL73" i="2"/>
  <c r="AF59" i="2"/>
  <c r="AF719" i="34" s="1"/>
  <c r="AD477" i="2"/>
  <c r="AD422" i="34" s="1"/>
  <c r="BO157" i="2"/>
  <c r="BP159" i="2" s="1"/>
  <c r="AH295" i="2"/>
  <c r="BN472" i="2"/>
  <c r="CE472" i="2" s="1"/>
  <c r="AA977" i="34"/>
  <c r="Z480" i="2"/>
  <c r="AA482" i="2" s="1"/>
  <c r="AA433" i="34" s="1"/>
  <c r="Z581" i="2"/>
  <c r="AA586" i="2" s="1"/>
  <c r="AA825" i="34" s="1"/>
  <c r="BM804" i="34"/>
  <c r="AS327" i="34"/>
  <c r="AH24" i="34"/>
  <c r="BH41" i="1"/>
  <c r="AA1234" i="34"/>
  <c r="AA32" i="34"/>
  <c r="AV665" i="34"/>
  <c r="AC189" i="14"/>
  <c r="AC650" i="34" s="1"/>
  <c r="BH31" i="14"/>
  <c r="AN605" i="34" s="1"/>
  <c r="BL119" i="14"/>
  <c r="AR625" i="34" s="1"/>
  <c r="W68" i="14"/>
  <c r="W617" i="34" s="1"/>
  <c r="S65" i="14"/>
  <c r="S616" i="34" s="1"/>
  <c r="U188" i="1"/>
  <c r="U177" i="34" s="1"/>
  <c r="U1221" i="34"/>
  <c r="U29" i="1"/>
  <c r="R190" i="14"/>
  <c r="R651" i="34" s="1"/>
  <c r="V187" i="14"/>
  <c r="V648" i="34" s="1"/>
  <c r="BN94" i="1"/>
  <c r="AS81" i="34" s="1"/>
  <c r="T87" i="1"/>
  <c r="AB24" i="34"/>
  <c r="AB1226" i="34"/>
  <c r="AJ261" i="1"/>
  <c r="AJ247" i="34" s="1"/>
  <c r="AG635" i="34"/>
  <c r="AG153" i="14"/>
  <c r="AG637" i="34" s="1"/>
  <c r="AG155" i="14"/>
  <c r="AG639" i="34" s="1"/>
  <c r="O32" i="14"/>
  <c r="O606" i="34" s="1"/>
  <c r="O34" i="14"/>
  <c r="O608" i="34" s="1"/>
  <c r="N31" i="14"/>
  <c r="N605" i="34" s="1"/>
  <c r="AD192" i="34"/>
  <c r="AE206" i="1"/>
  <c r="AG109" i="2"/>
  <c r="AG111" i="2" s="1"/>
  <c r="AG974" i="34"/>
  <c r="X119" i="1"/>
  <c r="X107" i="34" s="1"/>
  <c r="X209" i="34"/>
  <c r="BM223" i="1"/>
  <c r="AR209" i="34" s="1"/>
  <c r="AP257" i="34"/>
  <c r="BK273" i="1"/>
  <c r="AP258" i="34" s="1"/>
  <c r="X230" i="1"/>
  <c r="W216" i="34"/>
  <c r="AP216" i="1"/>
  <c r="AP106" i="1" s="1"/>
  <c r="AO615" i="34"/>
  <c r="S17" i="40"/>
  <c r="AH709" i="34"/>
  <c r="BS154" i="1"/>
  <c r="AX141" i="34" s="1"/>
  <c r="Y872" i="34"/>
  <c r="Y1107" i="34"/>
  <c r="AK68" i="2"/>
  <c r="AH296" i="2"/>
  <c r="AE960" i="34"/>
  <c r="AO72" i="2"/>
  <c r="AJ159" i="2"/>
  <c r="AK171" i="2"/>
  <c r="AK182" i="2" s="1"/>
  <c r="Z473" i="2"/>
  <c r="Z419" i="34" s="1"/>
  <c r="Z418" i="34"/>
  <c r="AJ364" i="34"/>
  <c r="AS524" i="34"/>
  <c r="BM380" i="2"/>
  <c r="AS527" i="34" s="1"/>
  <c r="AL884" i="34"/>
  <c r="AL644" i="2"/>
  <c r="AL891" i="34" s="1"/>
  <c r="BL803" i="34"/>
  <c r="AE65" i="14"/>
  <c r="AE616" i="34" s="1"/>
  <c r="AB1002" i="34"/>
  <c r="AE277" i="2"/>
  <c r="AE1084" i="34" s="1"/>
  <c r="W1117" i="34"/>
  <c r="W407" i="34"/>
  <c r="Z397" i="34"/>
  <c r="Z1107" i="34"/>
  <c r="Y186" i="2"/>
  <c r="AB449" i="34"/>
  <c r="AB928" i="34"/>
  <c r="AF394" i="2"/>
  <c r="AF539" i="34"/>
  <c r="AQ555" i="2"/>
  <c r="AR555" i="2" s="1"/>
  <c r="AG747" i="34"/>
  <c r="AG512" i="2"/>
  <c r="AG748" i="34" s="1"/>
  <c r="AH1226" i="34"/>
  <c r="AN36" i="1"/>
  <c r="AN289" i="1" s="1"/>
  <c r="AF41" i="1"/>
  <c r="AF32" i="34" s="1"/>
  <c r="X1232" i="34"/>
  <c r="AS326" i="34"/>
  <c r="BM803" i="34"/>
  <c r="AI68" i="14"/>
  <c r="AI617" i="34" s="1"/>
  <c r="Y273" i="1"/>
  <c r="Y258" i="34" s="1"/>
  <c r="R187" i="14"/>
  <c r="R648" i="34" s="1"/>
  <c r="BN120" i="1"/>
  <c r="AS108" i="34" s="1"/>
  <c r="BI31" i="14"/>
  <c r="AO605" i="34" s="1"/>
  <c r="BM225" i="1"/>
  <c r="AR211" i="34" s="1"/>
  <c r="O65" i="14"/>
  <c r="O616" i="34" s="1"/>
  <c r="Q33" i="14"/>
  <c r="Q607" i="34" s="1"/>
  <c r="U31" i="14"/>
  <c r="U605" i="34" s="1"/>
  <c r="U33" i="14"/>
  <c r="U607" i="34" s="1"/>
  <c r="V261" i="1"/>
  <c r="V247" i="34" s="1"/>
  <c r="AL216" i="1"/>
  <c r="AL247" i="1" s="1"/>
  <c r="AE234" i="1"/>
  <c r="AE220" i="34" s="1"/>
  <c r="N34" i="14"/>
  <c r="N608" i="34" s="1"/>
  <c r="AA69" i="14"/>
  <c r="AA618" i="34" s="1"/>
  <c r="AD70" i="14"/>
  <c r="AD619" i="34" s="1"/>
  <c r="AO188" i="14"/>
  <c r="AB409" i="2"/>
  <c r="AB1034" i="34" s="1"/>
  <c r="BK1114" i="34"/>
  <c r="O11" i="4"/>
  <c r="BV73" i="14"/>
  <c r="BV102" i="14" s="1"/>
  <c r="AI220" i="2"/>
  <c r="AI228" i="2"/>
  <c r="AI229" i="2" s="1"/>
  <c r="W65" i="14"/>
  <c r="W616" i="34" s="1"/>
  <c r="Q237" i="14"/>
  <c r="Q690" i="34" s="1"/>
  <c r="X20" i="2"/>
  <c r="AL495" i="2"/>
  <c r="AL732" i="34" s="1"/>
  <c r="AC731" i="34"/>
  <c r="AL498" i="2"/>
  <c r="W125" i="14"/>
  <c r="W631" i="34" s="1"/>
  <c r="AQ960" i="34"/>
  <c r="AC571" i="2"/>
  <c r="AC333" i="34" s="1"/>
  <c r="AB620" i="2"/>
  <c r="AB864" i="34" s="1"/>
  <c r="AB619" i="2"/>
  <c r="AB863" i="34" s="1"/>
  <c r="AL727" i="34"/>
  <c r="AI962" i="34"/>
  <c r="V342" i="34"/>
  <c r="AB997" i="34"/>
  <c r="AI19" i="2"/>
  <c r="CP35" i="1"/>
  <c r="AL64" i="14"/>
  <c r="AP70" i="14" s="1"/>
  <c r="AL230" i="14"/>
  <c r="AO36" i="1"/>
  <c r="AO289" i="1" s="1"/>
  <c r="AJ169" i="14"/>
  <c r="AO101" i="1"/>
  <c r="AK25" i="2"/>
  <c r="AD68" i="14"/>
  <c r="AD617" i="34" s="1"/>
  <c r="S5" i="14"/>
  <c r="AQ255" i="34"/>
  <c r="BL272" i="1"/>
  <c r="AO106" i="1"/>
  <c r="AO247" i="1"/>
  <c r="AO249" i="1" s="1"/>
  <c r="AO253" i="1" s="1"/>
  <c r="AL249" i="1"/>
  <c r="AL253" i="1" s="1"/>
  <c r="S625" i="34"/>
  <c r="S121" i="14"/>
  <c r="S627" i="34" s="1"/>
  <c r="S123" i="14"/>
  <c r="S629" i="34" s="1"/>
  <c r="W123" i="14"/>
  <c r="W629" i="34" s="1"/>
  <c r="AK106" i="1"/>
  <c r="AK247" i="1"/>
  <c r="AK249" i="1" s="1"/>
  <c r="AK253" i="1" s="1"/>
  <c r="AP151" i="14"/>
  <c r="AP34" i="1"/>
  <c r="AP1227" i="34" s="1"/>
  <c r="AF156" i="14"/>
  <c r="AF640" i="34" s="1"/>
  <c r="AF154" i="14"/>
  <c r="AF638" i="34" s="1"/>
  <c r="AG156" i="14"/>
  <c r="AG640" i="34" s="1"/>
  <c r="AF635" i="34"/>
  <c r="AG154" i="14"/>
  <c r="AG638" i="34" s="1"/>
  <c r="S1225" i="34"/>
  <c r="S23" i="34"/>
  <c r="O68" i="14"/>
  <c r="O617" i="34" s="1"/>
  <c r="O71" i="14"/>
  <c r="O620" i="34" s="1"/>
  <c r="O615" i="34"/>
  <c r="T161" i="34"/>
  <c r="T182" i="1"/>
  <c r="V1280" i="34"/>
  <c r="V74" i="34"/>
  <c r="T265" i="1"/>
  <c r="T188" i="34"/>
  <c r="BV209" i="14"/>
  <c r="BV35" i="1"/>
  <c r="AT170" i="34"/>
  <c r="BO182" i="1"/>
  <c r="AT171" i="34" s="1"/>
  <c r="BO232" i="1"/>
  <c r="AT218" i="34" s="1"/>
  <c r="BM233" i="1"/>
  <c r="AR219" i="34" s="1"/>
  <c r="X219" i="34"/>
  <c r="AG257" i="34"/>
  <c r="AG273" i="1"/>
  <c r="AG258" i="34" s="1"/>
  <c r="AI222" i="1"/>
  <c r="AI226" i="1" s="1"/>
  <c r="AI212" i="34" s="1"/>
  <c r="AH119" i="1"/>
  <c r="AH107" i="34" s="1"/>
  <c r="AH226" i="1"/>
  <c r="AH212" i="34" s="1"/>
  <c r="AF215" i="1"/>
  <c r="AF201" i="34" s="1"/>
  <c r="AA25" i="34"/>
  <c r="AA1227" i="34"/>
  <c r="N625" i="34"/>
  <c r="O122" i="14"/>
  <c r="O628" i="34" s="1"/>
  <c r="BJ119" i="14"/>
  <c r="O124" i="14"/>
  <c r="O630" i="34" s="1"/>
  <c r="N121" i="14"/>
  <c r="N627" i="34" s="1"/>
  <c r="R8" i="40"/>
  <c r="Q5" i="40"/>
  <c r="AQ266" i="34"/>
  <c r="BL282" i="1"/>
  <c r="AQ267" i="34" s="1"/>
  <c r="AA207" i="34"/>
  <c r="AB221" i="1"/>
  <c r="AB207" i="34" s="1"/>
  <c r="P199" i="34"/>
  <c r="P215" i="1"/>
  <c r="P201" i="34" s="1"/>
  <c r="BP206" i="1"/>
  <c r="AU192" i="34" s="1"/>
  <c r="AF1229" i="34"/>
  <c r="AF27" i="34"/>
  <c r="AF293" i="1"/>
  <c r="AF204" i="1"/>
  <c r="AF190" i="34" s="1"/>
  <c r="X635" i="34"/>
  <c r="Y154" i="14"/>
  <c r="Y638" i="34" s="1"/>
  <c r="X153" i="14"/>
  <c r="X637" i="34" s="1"/>
  <c r="AH71" i="14"/>
  <c r="AH620" i="34" s="1"/>
  <c r="AH68" i="14"/>
  <c r="AH617" i="34" s="1"/>
  <c r="AI71" i="14"/>
  <c r="AI620" i="34" s="1"/>
  <c r="AH82" i="14"/>
  <c r="AH615" i="34"/>
  <c r="AH70" i="14"/>
  <c r="AH619" i="34" s="1"/>
  <c r="AH248" i="14"/>
  <c r="AH249" i="14" s="1"/>
  <c r="AH69" i="14"/>
  <c r="AH618" i="34" s="1"/>
  <c r="S646" i="34"/>
  <c r="S101" i="1"/>
  <c r="S89" i="34" s="1"/>
  <c r="S188" i="14"/>
  <c r="S649" i="34" s="1"/>
  <c r="S187" i="14"/>
  <c r="S648" i="34" s="1"/>
  <c r="S189" i="14"/>
  <c r="S650" i="34" s="1"/>
  <c r="BG31" i="14"/>
  <c r="AM605" i="34" s="1"/>
  <c r="AM604" i="34"/>
  <c r="AR256" i="34"/>
  <c r="BM272" i="1"/>
  <c r="BL28" i="1"/>
  <c r="AQ676" i="34"/>
  <c r="W1229" i="34"/>
  <c r="W293" i="1"/>
  <c r="R293" i="1"/>
  <c r="R204" i="1"/>
  <c r="R190" i="34" s="1"/>
  <c r="R27" i="34"/>
  <c r="R1229" i="34"/>
  <c r="AE219" i="34"/>
  <c r="AF233" i="1"/>
  <c r="AF234" i="1" s="1"/>
  <c r="AF220" i="34" s="1"/>
  <c r="X91" i="34"/>
  <c r="BM103" i="1"/>
  <c r="BK87" i="1"/>
  <c r="AP74" i="34" s="1"/>
  <c r="AP75" i="34"/>
  <c r="Q87" i="1"/>
  <c r="Q1279" i="34"/>
  <c r="Q73" i="34"/>
  <c r="AJ107" i="2"/>
  <c r="R125" i="1"/>
  <c r="R113" i="34" s="1"/>
  <c r="R112" i="34"/>
  <c r="Q6" i="34"/>
  <c r="AB27" i="34"/>
  <c r="AB1229" i="34"/>
  <c r="AB204" i="1"/>
  <c r="AB190" i="34" s="1"/>
  <c r="AB293" i="1"/>
  <c r="AA635" i="34"/>
  <c r="AA154" i="14"/>
  <c r="AA638" i="34" s="1"/>
  <c r="AA156" i="14"/>
  <c r="AA640" i="34" s="1"/>
  <c r="AE155" i="14"/>
  <c r="AE639" i="34" s="1"/>
  <c r="AG30" i="1"/>
  <c r="AG20" i="34"/>
  <c r="AG1222" i="34"/>
  <c r="V30" i="1"/>
  <c r="V1222" i="34"/>
  <c r="V20" i="34"/>
  <c r="AN19" i="34"/>
  <c r="BI29" i="1"/>
  <c r="AB1225" i="34"/>
  <c r="AB23" i="34"/>
  <c r="AJ259" i="1"/>
  <c r="AJ245" i="34" s="1"/>
  <c r="AJ104" i="1"/>
  <c r="AJ92" i="34" s="1"/>
  <c r="AJ244" i="34"/>
  <c r="AJ260" i="1"/>
  <c r="AJ246" i="34" s="1"/>
  <c r="BK222" i="1"/>
  <c r="AP208" i="34" s="1"/>
  <c r="P208" i="34"/>
  <c r="AF199" i="34"/>
  <c r="BO213" i="1"/>
  <c r="AD87" i="1"/>
  <c r="AD1279" i="34"/>
  <c r="AD73" i="34"/>
  <c r="Y1280" i="34"/>
  <c r="Y27" i="34"/>
  <c r="Y204" i="1"/>
  <c r="Y190" i="34" s="1"/>
  <c r="Y293" i="1"/>
  <c r="Y1229" i="34"/>
  <c r="AM259" i="1"/>
  <c r="AM260" i="1"/>
  <c r="AM104" i="1"/>
  <c r="T231" i="1"/>
  <c r="T217" i="34" s="1"/>
  <c r="AP158" i="34"/>
  <c r="BK172" i="1"/>
  <c r="BQ271" i="1"/>
  <c r="BP271" i="1"/>
  <c r="AU256" i="34" s="1"/>
  <c r="AU148" i="34"/>
  <c r="AL1249" i="34"/>
  <c r="BQ56" i="1"/>
  <c r="AV44" i="34" s="1"/>
  <c r="AI216" i="34"/>
  <c r="AI234" i="1"/>
  <c r="AI220" i="34" s="1"/>
  <c r="AF225" i="1"/>
  <c r="AE211" i="34"/>
  <c r="AJ1283" i="34"/>
  <c r="BP90" i="1"/>
  <c r="AJ77" i="34"/>
  <c r="AK86" i="1"/>
  <c r="AK32" i="14"/>
  <c r="AF83" i="14"/>
  <c r="R604" i="34"/>
  <c r="R31" i="14"/>
  <c r="R605" i="34" s="1"/>
  <c r="V31" i="14"/>
  <c r="V605" i="34" s="1"/>
  <c r="V33" i="14"/>
  <c r="V607" i="34" s="1"/>
  <c r="R33" i="14"/>
  <c r="R607" i="34" s="1"/>
  <c r="U87" i="1"/>
  <c r="U73" i="34"/>
  <c r="U1279" i="34"/>
  <c r="W121" i="14"/>
  <c r="W627" i="34" s="1"/>
  <c r="O1225" i="34"/>
  <c r="O23" i="34"/>
  <c r="BM28" i="1"/>
  <c r="AR676" i="34"/>
  <c r="Q29" i="1"/>
  <c r="Q19" i="34"/>
  <c r="Q188" i="1"/>
  <c r="Q177" i="34" s="1"/>
  <c r="Q1221" i="34"/>
  <c r="W187" i="14"/>
  <c r="W648" i="34" s="1"/>
  <c r="AA189" i="14"/>
  <c r="AA650" i="34" s="1"/>
  <c r="AA187" i="14"/>
  <c r="AA648" i="34" s="1"/>
  <c r="W189" i="14"/>
  <c r="W650" i="34" s="1"/>
  <c r="W646" i="34"/>
  <c r="W190" i="14"/>
  <c r="W651" i="34" s="1"/>
  <c r="W188" i="14"/>
  <c r="W649" i="34" s="1"/>
  <c r="AA222" i="34"/>
  <c r="AB236" i="1"/>
  <c r="AB222" i="34" s="1"/>
  <c r="P112" i="34"/>
  <c r="P125" i="1"/>
  <c r="P113" i="34" s="1"/>
  <c r="AF75" i="34"/>
  <c r="AF1281" i="34"/>
  <c r="Y79" i="34"/>
  <c r="Y1285" i="34"/>
  <c r="Y120" i="1"/>
  <c r="Y108" i="34" s="1"/>
  <c r="AV79" i="34"/>
  <c r="BQ94" i="1"/>
  <c r="AV81" i="34" s="1"/>
  <c r="BQ120" i="1"/>
  <c r="AV108" i="34" s="1"/>
  <c r="W73" i="34"/>
  <c r="W1279" i="34"/>
  <c r="W87" i="1"/>
  <c r="T74" i="34"/>
  <c r="T1280" i="34"/>
  <c r="BO214" i="1"/>
  <c r="AT200" i="34" s="1"/>
  <c r="V117" i="34"/>
  <c r="V133" i="1"/>
  <c r="V121" i="34" s="1"/>
  <c r="BO222" i="1"/>
  <c r="AT208" i="34" s="1"/>
  <c r="P8" i="4"/>
  <c r="O5" i="4"/>
  <c r="X24" i="34"/>
  <c r="X1226" i="34"/>
  <c r="AB615" i="34"/>
  <c r="AB69" i="14"/>
  <c r="AB618" i="34" s="1"/>
  <c r="AB248" i="14"/>
  <c r="AB249" i="14" s="1"/>
  <c r="AB71" i="14"/>
  <c r="AB620" i="34" s="1"/>
  <c r="S210" i="34"/>
  <c r="T224" i="1"/>
  <c r="T210" i="34" s="1"/>
  <c r="S248" i="1"/>
  <c r="S234" i="34" s="1"/>
  <c r="S226" i="1"/>
  <c r="S212" i="34" s="1"/>
  <c r="S199" i="34"/>
  <c r="T213" i="1"/>
  <c r="T199" i="34" s="1"/>
  <c r="M106" i="1"/>
  <c r="M202" i="34"/>
  <c r="M247" i="1"/>
  <c r="AA191" i="34"/>
  <c r="AB205" i="1"/>
  <c r="BP203" i="1"/>
  <c r="AU189" i="34" s="1"/>
  <c r="AI189" i="34"/>
  <c r="AJ266" i="1"/>
  <c r="AJ251" i="34" s="1"/>
  <c r="AJ267" i="1"/>
  <c r="AJ252" i="34" s="1"/>
  <c r="AJ259" i="34"/>
  <c r="BP265" i="1"/>
  <c r="AJ250" i="34"/>
  <c r="AP151" i="34"/>
  <c r="S154" i="14"/>
  <c r="S638" i="34" s="1"/>
  <c r="R635" i="34"/>
  <c r="S156" i="14"/>
  <c r="S640" i="34" s="1"/>
  <c r="N1280" i="34"/>
  <c r="N74" i="34"/>
  <c r="AD183" i="2"/>
  <c r="AD184" i="2" s="1"/>
  <c r="BP220" i="14"/>
  <c r="AV676" i="34" s="1"/>
  <c r="Z625" i="34"/>
  <c r="AD121" i="14"/>
  <c r="AD627" i="34" s="1"/>
  <c r="AD123" i="14"/>
  <c r="AD629" i="34" s="1"/>
  <c r="Z123" i="14"/>
  <c r="Z629" i="34" s="1"/>
  <c r="Z121" i="14"/>
  <c r="Z627" i="34" s="1"/>
  <c r="AA124" i="14"/>
  <c r="AA630" i="34" s="1"/>
  <c r="BJ28" i="14"/>
  <c r="BK31" i="14" s="1"/>
  <c r="AQ605" i="34" s="1"/>
  <c r="M32" i="14"/>
  <c r="M606" i="34" s="1"/>
  <c r="M31" i="14"/>
  <c r="M605" i="34" s="1"/>
  <c r="M604" i="34"/>
  <c r="N32" i="14"/>
  <c r="N606" i="34" s="1"/>
  <c r="P216" i="34"/>
  <c r="BK230" i="1"/>
  <c r="P234" i="1"/>
  <c r="P220" i="34" s="1"/>
  <c r="AN73" i="34"/>
  <c r="BI87" i="1"/>
  <c r="AN74" i="34" s="1"/>
  <c r="U123" i="14"/>
  <c r="U629" i="34" s="1"/>
  <c r="V122" i="14"/>
  <c r="V628" i="34" s="1"/>
  <c r="V124" i="14"/>
  <c r="V630" i="34" s="1"/>
  <c r="U625" i="34"/>
  <c r="S615" i="34"/>
  <c r="S68" i="14"/>
  <c r="S617" i="34" s="1"/>
  <c r="S70" i="14"/>
  <c r="S619" i="34" s="1"/>
  <c r="R101" i="1"/>
  <c r="R89" i="34" s="1"/>
  <c r="R188" i="14"/>
  <c r="R649" i="34" s="1"/>
  <c r="V189" i="14"/>
  <c r="V650" i="34" s="1"/>
  <c r="R646" i="34"/>
  <c r="BM240" i="1"/>
  <c r="AR226" i="34" s="1"/>
  <c r="AB230" i="1"/>
  <c r="BN230" i="1" s="1"/>
  <c r="AA234" i="1"/>
  <c r="AA220" i="34" s="1"/>
  <c r="AA216" i="34"/>
  <c r="T112" i="34"/>
  <c r="T125" i="1"/>
  <c r="T113" i="34" s="1"/>
  <c r="O1280" i="34"/>
  <c r="P188" i="34"/>
  <c r="P265" i="1"/>
  <c r="S257" i="34"/>
  <c r="S273" i="1"/>
  <c r="S258" i="34" s="1"/>
  <c r="N24" i="34"/>
  <c r="N1226" i="34"/>
  <c r="W70" i="14"/>
  <c r="W619" i="34" s="1"/>
  <c r="AM234" i="1"/>
  <c r="AU91" i="34"/>
  <c r="S72" i="4"/>
  <c r="S15" i="4" s="1"/>
  <c r="S1294" i="34" s="1"/>
  <c r="BH70" i="14"/>
  <c r="AN619" i="34" s="1"/>
  <c r="AN615" i="34"/>
  <c r="BH68" i="14"/>
  <c r="AN617" i="34" s="1"/>
  <c r="AR208" i="34"/>
  <c r="R244" i="34"/>
  <c r="R259" i="1"/>
  <c r="R245" i="34" s="1"/>
  <c r="R261" i="1"/>
  <c r="R247" i="34" s="1"/>
  <c r="R260" i="1"/>
  <c r="R246" i="34" s="1"/>
  <c r="R104" i="1"/>
  <c r="R92" i="34" s="1"/>
  <c r="AA199" i="34"/>
  <c r="AB213" i="1"/>
  <c r="BK213" i="1"/>
  <c r="AP199" i="34" s="1"/>
  <c r="Z73" i="34"/>
  <c r="Z87" i="1"/>
  <c r="Z1279" i="34"/>
  <c r="W260" i="1"/>
  <c r="W246" i="34" s="1"/>
  <c r="W104" i="1"/>
  <c r="W92" i="34" s="1"/>
  <c r="W244" i="34"/>
  <c r="W259" i="1"/>
  <c r="W245" i="34" s="1"/>
  <c r="V273" i="1"/>
  <c r="V258" i="34" s="1"/>
  <c r="V257" i="34"/>
  <c r="AE69" i="14"/>
  <c r="AE618" i="34" s="1"/>
  <c r="AI70" i="14"/>
  <c r="AI619" i="34" s="1"/>
  <c r="AE82" i="14"/>
  <c r="AE83" i="14" s="1"/>
  <c r="AE248" i="14"/>
  <c r="AE249" i="14" s="1"/>
  <c r="AE68" i="14"/>
  <c r="AE617" i="34" s="1"/>
  <c r="AE70" i="14"/>
  <c r="AE619" i="34" s="1"/>
  <c r="AE615" i="34"/>
  <c r="Y101" i="1"/>
  <c r="Y89" i="34" s="1"/>
  <c r="Y646" i="34"/>
  <c r="AB209" i="34"/>
  <c r="BN223" i="1"/>
  <c r="AS209" i="34" s="1"/>
  <c r="X25" i="34"/>
  <c r="X1227" i="34"/>
  <c r="AH1225" i="34"/>
  <c r="AH23" i="34"/>
  <c r="BN203" i="1"/>
  <c r="AS189" i="34" s="1"/>
  <c r="Q25" i="35"/>
  <c r="P5" i="2"/>
  <c r="Q6" i="2"/>
  <c r="Q5" i="2" s="1"/>
  <c r="AS101" i="1"/>
  <c r="AS217" i="14"/>
  <c r="AS36" i="1" s="1"/>
  <c r="AW189" i="14"/>
  <c r="AS189" i="14"/>
  <c r="AI11" i="14"/>
  <c r="AI578" i="34" s="1"/>
  <c r="AI74" i="14"/>
  <c r="AH36" i="14"/>
  <c r="AH610" i="34" s="1"/>
  <c r="AH74" i="14"/>
  <c r="AO186" i="14"/>
  <c r="AO74" i="14"/>
  <c r="AO79" i="14" s="1"/>
  <c r="AE36" i="14"/>
  <c r="AE610" i="34" s="1"/>
  <c r="AE74" i="14"/>
  <c r="AE80" i="14" s="1"/>
  <c r="AF34" i="14"/>
  <c r="AF608" i="34" s="1"/>
  <c r="BN28" i="14"/>
  <c r="AT604" i="34" s="1"/>
  <c r="AG34" i="14"/>
  <c r="AG608" i="34" s="1"/>
  <c r="N635" i="34"/>
  <c r="N154" i="14"/>
  <c r="N638" i="34" s="1"/>
  <c r="N153" i="14"/>
  <c r="N637" i="34" s="1"/>
  <c r="R153" i="14"/>
  <c r="R637" i="34" s="1"/>
  <c r="N156" i="14"/>
  <c r="N640" i="34" s="1"/>
  <c r="P273" i="1"/>
  <c r="P258" i="34" s="1"/>
  <c r="P257" i="34"/>
  <c r="BM220" i="1"/>
  <c r="X248" i="1"/>
  <c r="X234" i="34" s="1"/>
  <c r="X226" i="1"/>
  <c r="X212" i="34" s="1"/>
  <c r="X258" i="1"/>
  <c r="AB262" i="1" s="1"/>
  <c r="AB248" i="34" s="1"/>
  <c r="X206" i="34"/>
  <c r="Y161" i="14"/>
  <c r="U161" i="14"/>
  <c r="N11" i="4"/>
  <c r="O72" i="42"/>
  <c r="O15" i="42" s="1"/>
  <c r="AF646" i="34"/>
  <c r="AF101" i="1"/>
  <c r="AF89" i="34" s="1"/>
  <c r="AF187" i="14"/>
  <c r="AF648" i="34" s="1"/>
  <c r="AF190" i="14"/>
  <c r="AF651" i="34" s="1"/>
  <c r="AF189" i="14"/>
  <c r="AF650" i="34" s="1"/>
  <c r="AI74" i="34"/>
  <c r="AI1280" i="34"/>
  <c r="AQ604" i="34"/>
  <c r="AN266" i="1"/>
  <c r="AF604" i="34"/>
  <c r="Y1048" i="34"/>
  <c r="AF188" i="14"/>
  <c r="AF649" i="34" s="1"/>
  <c r="AB877" i="34"/>
  <c r="BN320" i="2"/>
  <c r="BN321" i="2" s="1"/>
  <c r="AD412" i="34"/>
  <c r="BP995" i="34"/>
  <c r="AN262" i="1"/>
  <c r="AE187" i="2"/>
  <c r="AE49" i="2"/>
  <c r="AE52" i="2" s="1"/>
  <c r="BH699" i="34"/>
  <c r="Y619" i="2"/>
  <c r="Y863" i="34" s="1"/>
  <c r="AP362" i="2"/>
  <c r="AP969" i="34" s="1"/>
  <c r="V778" i="34"/>
  <c r="AF65" i="14"/>
  <c r="AF616" i="34" s="1"/>
  <c r="AF74" i="14"/>
  <c r="AG709" i="34"/>
  <c r="AI373" i="2"/>
  <c r="AI997" i="34" s="1"/>
  <c r="AG1050" i="34"/>
  <c r="V107" i="14"/>
  <c r="BN208" i="2"/>
  <c r="AE186" i="14"/>
  <c r="AE647" i="34" s="1"/>
  <c r="Y942" i="34"/>
  <c r="AB334" i="2"/>
  <c r="AB466" i="34" s="1"/>
  <c r="Z26" i="2"/>
  <c r="AT348" i="34"/>
  <c r="BN966" i="34"/>
  <c r="R1049" i="34"/>
  <c r="AH957" i="34"/>
  <c r="AC619" i="2"/>
  <c r="AC863" i="34" s="1"/>
  <c r="AK33" i="14"/>
  <c r="U30" i="1"/>
  <c r="U21" i="34" s="1"/>
  <c r="C13" i="35"/>
  <c r="C32" i="35" s="1"/>
  <c r="AB189" i="14"/>
  <c r="AB650" i="34" s="1"/>
  <c r="X188" i="14"/>
  <c r="X649" i="34" s="1"/>
  <c r="AB187" i="14"/>
  <c r="AB648" i="34" s="1"/>
  <c r="BL129" i="14"/>
  <c r="BL137" i="14" s="1"/>
  <c r="AR634" i="34"/>
  <c r="R155" i="14"/>
  <c r="R639" i="34" s="1"/>
  <c r="W218" i="34"/>
  <c r="BM232" i="1"/>
  <c r="AR218" i="34" s="1"/>
  <c r="W234" i="1"/>
  <c r="W220" i="34" s="1"/>
  <c r="AA261" i="1"/>
  <c r="AA247" i="34" s="1"/>
  <c r="AE261" i="1"/>
  <c r="AE247" i="34" s="1"/>
  <c r="AA104" i="1"/>
  <c r="AA92" i="34" s="1"/>
  <c r="AE262" i="1"/>
  <c r="AE248" i="34" s="1"/>
  <c r="AG646" i="34"/>
  <c r="AG188" i="14"/>
  <c r="AG649" i="34" s="1"/>
  <c r="AG189" i="14"/>
  <c r="AG650" i="34" s="1"/>
  <c r="AG101" i="1"/>
  <c r="AG89" i="34" s="1"/>
  <c r="AG187" i="14"/>
  <c r="AG648" i="34" s="1"/>
  <c r="AG190" i="14"/>
  <c r="AG651" i="34" s="1"/>
  <c r="BN129" i="14"/>
  <c r="BN137" i="14" s="1"/>
  <c r="AT634" i="34"/>
  <c r="BL161" i="14"/>
  <c r="BL169" i="14" s="1"/>
  <c r="BM161" i="14"/>
  <c r="BM169" i="14" s="1"/>
  <c r="M1280" i="34"/>
  <c r="M74" i="34"/>
  <c r="AT615" i="34"/>
  <c r="BN248" i="14"/>
  <c r="BN249" i="14" s="1"/>
  <c r="T216" i="34"/>
  <c r="BM129" i="14"/>
  <c r="BM137" i="14" s="1"/>
  <c r="BN258" i="1"/>
  <c r="AF32" i="14"/>
  <c r="AF606" i="34" s="1"/>
  <c r="AH190" i="14"/>
  <c r="AH651" i="34" s="1"/>
  <c r="AE61" i="2"/>
  <c r="AE305" i="34" s="1"/>
  <c r="AH634" i="2"/>
  <c r="AH879" i="34" s="1"/>
  <c r="AG515" i="2"/>
  <c r="AG751" i="34" s="1"/>
  <c r="BM507" i="2"/>
  <c r="BM743" i="34" s="1"/>
  <c r="X351" i="2"/>
  <c r="X481" i="34" s="1"/>
  <c r="X189" i="14"/>
  <c r="X650" i="34" s="1"/>
  <c r="X187" i="14"/>
  <c r="X648" i="34" s="1"/>
  <c r="AD410" i="34"/>
  <c r="AF305" i="2"/>
  <c r="AF918" i="34" s="1"/>
  <c r="BM408" i="2"/>
  <c r="AS556" i="34" s="1"/>
  <c r="CD371" i="2"/>
  <c r="AA244" i="34"/>
  <c r="AH51" i="2"/>
  <c r="AH295" i="34" s="1"/>
  <c r="AH296" i="34"/>
  <c r="AF1021" i="34"/>
  <c r="AE11" i="14"/>
  <c r="AE578" i="34" s="1"/>
  <c r="AH1110" i="34"/>
  <c r="BP927" i="34"/>
  <c r="BJ998" i="34"/>
  <c r="AE717" i="34"/>
  <c r="BL1020" i="34"/>
  <c r="AG25" i="2"/>
  <c r="Y620" i="2"/>
  <c r="Y864" i="34" s="1"/>
  <c r="AP754" i="34"/>
  <c r="O5" i="2"/>
  <c r="V227" i="14"/>
  <c r="AG52" i="2"/>
  <c r="AG296" i="34" s="1"/>
  <c r="AE29" i="14"/>
  <c r="AE30" i="14" s="1"/>
  <c r="AC572" i="2"/>
  <c r="AC811" i="34" s="1"/>
  <c r="AS24" i="1"/>
  <c r="AS1217" i="34" s="1"/>
  <c r="AC808" i="34"/>
  <c r="AD577" i="2"/>
  <c r="AD816" i="34" s="1"/>
  <c r="U731" i="34"/>
  <c r="T730" i="34"/>
  <c r="AE288" i="2"/>
  <c r="AE1095" i="34" s="1"/>
  <c r="AH373" i="2"/>
  <c r="AH520" i="34" s="1"/>
  <c r="AI548" i="2"/>
  <c r="AE387" i="34"/>
  <c r="W335" i="2"/>
  <c r="AA526" i="34"/>
  <c r="AP792" i="34"/>
  <c r="AE152" i="14"/>
  <c r="AE636" i="34" s="1"/>
  <c r="AE731" i="34"/>
  <c r="AA552" i="34"/>
  <c r="BK1115" i="34"/>
  <c r="AC449" i="34"/>
  <c r="AE481" i="34"/>
  <c r="BN842" i="34"/>
  <c r="AC441" i="34"/>
  <c r="AH338" i="2"/>
  <c r="AH468" i="34" s="1"/>
  <c r="AO544" i="34"/>
  <c r="Z558" i="2"/>
  <c r="AD961" i="34"/>
  <c r="BN195" i="2"/>
  <c r="AK31" i="14"/>
  <c r="AJ1227" i="34"/>
  <c r="E5" i="35"/>
  <c r="E9" i="35" s="1"/>
  <c r="F4" i="35"/>
  <c r="AI83" i="14"/>
  <c r="AD83" i="14"/>
  <c r="Q19" i="35"/>
  <c r="Q28" i="35" s="1"/>
  <c r="D28" i="35"/>
  <c r="K1200" i="34"/>
  <c r="R181" i="1"/>
  <c r="R169" i="34"/>
  <c r="R72" i="42"/>
  <c r="R15" i="42" s="1"/>
  <c r="R72" i="40"/>
  <c r="R15" i="40" s="1"/>
  <c r="R72" i="4"/>
  <c r="R15" i="4" s="1"/>
  <c r="R1294" i="34" s="1"/>
  <c r="AT91" i="34"/>
  <c r="AQ1277" i="34"/>
  <c r="Q267" i="1"/>
  <c r="Q252" i="34" s="1"/>
  <c r="Q274" i="1"/>
  <c r="Q259" i="34" s="1"/>
  <c r="Q266" i="1"/>
  <c r="Q251" i="34" s="1"/>
  <c r="Q250" i="34"/>
  <c r="AF31" i="14"/>
  <c r="AF605" i="34" s="1"/>
  <c r="AI58" i="2"/>
  <c r="AI302" i="34" s="1"/>
  <c r="AI61" i="2"/>
  <c r="AI721" i="34" s="1"/>
  <c r="BP225" i="1"/>
  <c r="AU211" i="34" s="1"/>
  <c r="X956" i="34"/>
  <c r="Z336" i="2"/>
  <c r="Z943" i="34" s="1"/>
  <c r="AA358" i="34"/>
  <c r="AL123" i="14"/>
  <c r="X190" i="14"/>
  <c r="X651" i="34" s="1"/>
  <c r="Y188" i="14"/>
  <c r="Y649" i="34" s="1"/>
  <c r="X30" i="34"/>
  <c r="AA260" i="2"/>
  <c r="AA1066" i="34" s="1"/>
  <c r="AF634" i="2"/>
  <c r="AF879" i="34" s="1"/>
  <c r="AF321" i="2"/>
  <c r="AF457" i="34" s="1"/>
  <c r="AG482" i="34"/>
  <c r="BP374" i="2"/>
  <c r="AV521" i="34" s="1"/>
  <c r="AM353" i="2"/>
  <c r="AM960" i="34" s="1"/>
  <c r="AA262" i="1"/>
  <c r="AA248" i="34" s="1"/>
  <c r="AM122" i="14"/>
  <c r="U313" i="34"/>
  <c r="AH278" i="2"/>
  <c r="AH1085" i="34" s="1"/>
  <c r="BM206" i="2"/>
  <c r="AF552" i="2"/>
  <c r="AF553" i="2" s="1"/>
  <c r="AH519" i="34"/>
  <c r="Y851" i="34"/>
  <c r="AH515" i="2"/>
  <c r="AH751" i="34" s="1"/>
  <c r="T571" i="34"/>
  <c r="AE582" i="2"/>
  <c r="AE821" i="34" s="1"/>
  <c r="BK388" i="2"/>
  <c r="BK1012" i="34" s="1"/>
  <c r="AP619" i="2"/>
  <c r="AP863" i="34" s="1"/>
  <c r="AQ518" i="2"/>
  <c r="AQ523" i="2" s="1"/>
  <c r="AP97" i="2"/>
  <c r="AM19" i="2"/>
  <c r="AA59" i="2"/>
  <c r="AA719" i="34" s="1"/>
  <c r="AP523" i="2"/>
  <c r="AP759" i="34" s="1"/>
  <c r="AO501" i="2"/>
  <c r="AO737" i="34" s="1"/>
  <c r="AH393" i="2"/>
  <c r="AH540" i="34" s="1"/>
  <c r="AJ644" i="2"/>
  <c r="AJ891" i="34" s="1"/>
  <c r="T316" i="34"/>
  <c r="T977" i="34"/>
  <c r="AF977" i="34"/>
  <c r="AP74" i="14"/>
  <c r="AP114" i="14"/>
  <c r="AP115" i="14" s="1"/>
  <c r="AC958" i="34"/>
  <c r="BN449" i="2"/>
  <c r="BN1109" i="34" s="1"/>
  <c r="Y482" i="2"/>
  <c r="Y433" i="34" s="1"/>
  <c r="AM346" i="2"/>
  <c r="AM953" i="34" s="1"/>
  <c r="AE287" i="2"/>
  <c r="AE1094" i="34" s="1"/>
  <c r="AI51" i="2"/>
  <c r="AI711" i="34" s="1"/>
  <c r="X397" i="34"/>
  <c r="AE584" i="2"/>
  <c r="AE823" i="34" s="1"/>
  <c r="AG969" i="34"/>
  <c r="AO618" i="2"/>
  <c r="AB566" i="34"/>
  <c r="AE577" i="34"/>
  <c r="CA446" i="2"/>
  <c r="AE183" i="2"/>
  <c r="AE184" i="2" s="1"/>
  <c r="AG720" i="34"/>
  <c r="BM559" i="2"/>
  <c r="AS342" i="34" s="1"/>
  <c r="T1109" i="34"/>
  <c r="AG429" i="2"/>
  <c r="W20" i="2"/>
  <c r="S20" i="2"/>
  <c r="AS530" i="34"/>
  <c r="AH933" i="34"/>
  <c r="AA962" i="34"/>
  <c r="BF1117" i="34"/>
  <c r="AB639" i="2"/>
  <c r="AB884" i="34" s="1"/>
  <c r="BN1106" i="34"/>
  <c r="CR35" i="1"/>
  <c r="AJ25" i="34"/>
  <c r="AU26" i="34"/>
  <c r="AH156" i="14"/>
  <c r="AH640" i="34" s="1"/>
  <c r="AH154" i="14"/>
  <c r="AH638" i="34" s="1"/>
  <c r="AI156" i="14"/>
  <c r="AI640" i="34" s="1"/>
  <c r="AH635" i="34"/>
  <c r="AI154" i="14"/>
  <c r="AI638" i="34" s="1"/>
  <c r="T188" i="14"/>
  <c r="T649" i="34" s="1"/>
  <c r="T646" i="34"/>
  <c r="T190" i="14"/>
  <c r="T651" i="34" s="1"/>
  <c r="T101" i="1"/>
  <c r="T89" i="34" s="1"/>
  <c r="BK185" i="14"/>
  <c r="BN106" i="14"/>
  <c r="BN107" i="14" s="1"/>
  <c r="BN111" i="14" s="1"/>
  <c r="AG32" i="14"/>
  <c r="AG606" i="34" s="1"/>
  <c r="AR1279" i="34"/>
  <c r="BN185" i="14"/>
  <c r="BQ202" i="1"/>
  <c r="AV188" i="34" s="1"/>
  <c r="AB260" i="1"/>
  <c r="AB246" i="34" s="1"/>
  <c r="AB244" i="34"/>
  <c r="AP62" i="14"/>
  <c r="AP84" i="14" s="1"/>
  <c r="T21" i="34"/>
  <c r="T1223" i="34"/>
  <c r="P1223" i="34"/>
  <c r="P21" i="34"/>
  <c r="AC25" i="2"/>
  <c r="AA26" i="2"/>
  <c r="AA25" i="2"/>
  <c r="AE25" i="2"/>
  <c r="AU25" i="34"/>
  <c r="Y265" i="1"/>
  <c r="Y188" i="34"/>
  <c r="AA190" i="1"/>
  <c r="AA179" i="34" s="1"/>
  <c r="AS229" i="14"/>
  <c r="AB1222" i="34"/>
  <c r="V577" i="34"/>
  <c r="AA120" i="14"/>
  <c r="AA125" i="14" s="1"/>
  <c r="AA631" i="34" s="1"/>
  <c r="BN228" i="14"/>
  <c r="AH190" i="1"/>
  <c r="AH179" i="34" s="1"/>
  <c r="AV660" i="34"/>
  <c r="BP41" i="14"/>
  <c r="AN155" i="14"/>
  <c r="AN153" i="14"/>
  <c r="BO151" i="14"/>
  <c r="AJ156" i="14"/>
  <c r="AJ640" i="34" s="1"/>
  <c r="AJ153" i="14"/>
  <c r="AJ637" i="34" s="1"/>
  <c r="AJ155" i="14"/>
  <c r="AJ639" i="34" s="1"/>
  <c r="AJ154" i="14"/>
  <c r="AJ638" i="34" s="1"/>
  <c r="AJ635" i="34"/>
  <c r="AI273" i="1"/>
  <c r="AI258" i="34" s="1"/>
  <c r="AI257" i="34"/>
  <c r="AO33" i="14"/>
  <c r="AO31" i="14"/>
  <c r="AH43" i="1"/>
  <c r="U265" i="1"/>
  <c r="BM265" i="1" s="1"/>
  <c r="U188" i="34"/>
  <c r="BM202" i="1"/>
  <c r="AR188" i="34" s="1"/>
  <c r="AK188" i="1"/>
  <c r="AS188" i="1" s="1"/>
  <c r="AA186" i="14"/>
  <c r="AA647" i="34" s="1"/>
  <c r="Z228" i="14"/>
  <c r="Y176" i="14"/>
  <c r="Y645" i="34" s="1"/>
  <c r="AO64" i="14"/>
  <c r="Q257" i="34"/>
  <c r="Q273" i="1"/>
  <c r="Q258" i="34" s="1"/>
  <c r="AN139" i="14"/>
  <c r="AN176" i="14"/>
  <c r="AJ33" i="1"/>
  <c r="BO222" i="14"/>
  <c r="AU678" i="34" s="1"/>
  <c r="AJ678" i="34"/>
  <c r="AJ119" i="14"/>
  <c r="AJ124" i="14" s="1"/>
  <c r="AJ630" i="34" s="1"/>
  <c r="AA30" i="1"/>
  <c r="AA20" i="34"/>
  <c r="AA46" i="1"/>
  <c r="AA1222" i="34"/>
  <c r="AC265" i="1"/>
  <c r="BO265" i="1" s="1"/>
  <c r="BO202" i="1"/>
  <c r="AT188" i="34" s="1"/>
  <c r="AC188" i="34"/>
  <c r="AA65" i="14"/>
  <c r="AA616" i="34" s="1"/>
  <c r="BN139" i="14"/>
  <c r="AO32" i="1"/>
  <c r="AO1225" i="34" s="1"/>
  <c r="AH1232" i="34"/>
  <c r="AP119" i="14"/>
  <c r="AP33" i="1"/>
  <c r="AL28" i="14"/>
  <c r="AM34" i="14" s="1"/>
  <c r="AL28" i="1"/>
  <c r="AP28" i="34"/>
  <c r="BK202" i="1"/>
  <c r="AQ27" i="34"/>
  <c r="R188" i="34"/>
  <c r="R265" i="1"/>
  <c r="AA273" i="1"/>
  <c r="AA258" i="34" s="1"/>
  <c r="AA257" i="34"/>
  <c r="AC21" i="34"/>
  <c r="AJ129" i="14"/>
  <c r="AJ137" i="14" s="1"/>
  <c r="AJ634" i="34"/>
  <c r="AV668" i="34"/>
  <c r="BP217" i="14"/>
  <c r="AV673" i="34" s="1"/>
  <c r="AF1232" i="34"/>
  <c r="AF43" i="1"/>
  <c r="AF189" i="1"/>
  <c r="AF178" i="34" s="1"/>
  <c r="AJ31" i="14"/>
  <c r="AJ605" i="34" s="1"/>
  <c r="AJ32" i="14"/>
  <c r="AJ606" i="34" s="1"/>
  <c r="BO28" i="14"/>
  <c r="AK34" i="14"/>
  <c r="AK36" i="1"/>
  <c r="AK185" i="14"/>
  <c r="AU668" i="34"/>
  <c r="BO217" i="14"/>
  <c r="AU673" i="34" s="1"/>
  <c r="BK30" i="1"/>
  <c r="AP21" i="34" s="1"/>
  <c r="AP20" i="34"/>
  <c r="AP185" i="14"/>
  <c r="AP36" i="1"/>
  <c r="AB274" i="1"/>
  <c r="AB259" i="34" s="1"/>
  <c r="AP65" i="14"/>
  <c r="AT65" i="14" s="1"/>
  <c r="AP171" i="14"/>
  <c r="AP147" i="14"/>
  <c r="AP148" i="14" s="1"/>
  <c r="AP53" i="14"/>
  <c r="AP54" i="14" s="1"/>
  <c r="AT28" i="34"/>
  <c r="CJ37" i="1"/>
  <c r="BO92" i="14"/>
  <c r="BO93" i="14" s="1"/>
  <c r="BO103" i="14" s="1"/>
  <c r="AU661" i="34"/>
  <c r="BL202" i="1"/>
  <c r="AQ188" i="34" s="1"/>
  <c r="CL37" i="1"/>
  <c r="AQ28" i="34"/>
  <c r="AB30" i="1"/>
  <c r="AB1223" i="34" s="1"/>
  <c r="AL1230" i="34"/>
  <c r="BQ37" i="1"/>
  <c r="AM185" i="14"/>
  <c r="AM36" i="1"/>
  <c r="AM64" i="14"/>
  <c r="AM32" i="1"/>
  <c r="AM224" i="14"/>
  <c r="BO41" i="14"/>
  <c r="AU660" i="34"/>
  <c r="BO203" i="14"/>
  <c r="AU659" i="34" s="1"/>
  <c r="AF266" i="1"/>
  <c r="AF251" i="34" s="1"/>
  <c r="AF274" i="1"/>
  <c r="AF259" i="34" s="1"/>
  <c r="AF250" i="34"/>
  <c r="AJ19" i="34"/>
  <c r="AJ29" i="1"/>
  <c r="AJ188" i="1"/>
  <c r="AJ177" i="34" s="1"/>
  <c r="AJ1221" i="34"/>
  <c r="AO139" i="14"/>
  <c r="AP140" i="14" s="1"/>
  <c r="AO230" i="14"/>
  <c r="AO176" i="14"/>
  <c r="AP177" i="14" s="1"/>
  <c r="AP230" i="14"/>
  <c r="AN93" i="14"/>
  <c r="AJ93" i="14"/>
  <c r="AX26" i="34"/>
  <c r="AF1223" i="34"/>
  <c r="AF21" i="34"/>
  <c r="AK34" i="1"/>
  <c r="AK1227" i="34" s="1"/>
  <c r="AK151" i="14"/>
  <c r="AK152" i="14" s="1"/>
  <c r="AM34" i="1"/>
  <c r="AM1227" i="34" s="1"/>
  <c r="AM151" i="14"/>
  <c r="AM152" i="14" s="1"/>
  <c r="BP92" i="14"/>
  <c r="AV661" i="34"/>
  <c r="AJ42" i="14"/>
  <c r="AJ51" i="14" s="1"/>
  <c r="AN42" i="14"/>
  <c r="AN51" i="14" s="1"/>
  <c r="N30" i="1"/>
  <c r="N20" i="34"/>
  <c r="N1222" i="34"/>
  <c r="BO129" i="14"/>
  <c r="BO137" i="14" s="1"/>
  <c r="AU634" i="34"/>
  <c r="AL185" i="14"/>
  <c r="AL186" i="14" s="1"/>
  <c r="AL36" i="1"/>
  <c r="AL289" i="1" s="1"/>
  <c r="AJ36" i="1"/>
  <c r="AJ185" i="14"/>
  <c r="AJ673" i="34"/>
  <c r="AM20" i="34"/>
  <c r="BH43" i="1"/>
  <c r="BH30" i="1"/>
  <c r="AM21" i="34" s="1"/>
  <c r="AJ64" i="14"/>
  <c r="BO221" i="14"/>
  <c r="AU677" i="34" s="1"/>
  <c r="AJ677" i="34"/>
  <c r="AJ32" i="1"/>
  <c r="BP32" i="1" s="1"/>
  <c r="AJ224" i="14"/>
  <c r="AJ680" i="34" s="1"/>
  <c r="BJ265" i="1"/>
  <c r="AO188" i="34"/>
  <c r="AD266" i="1"/>
  <c r="AD251" i="34" s="1"/>
  <c r="AD250" i="34"/>
  <c r="AD274" i="1"/>
  <c r="AD259" i="34" s="1"/>
  <c r="AD267" i="1"/>
  <c r="AD252" i="34" s="1"/>
  <c r="AF46" i="1"/>
  <c r="AR26" i="34"/>
  <c r="CM35" i="1"/>
  <c r="AN28" i="1"/>
  <c r="AN28" i="14"/>
  <c r="AN32" i="14" s="1"/>
  <c r="AU676" i="34"/>
  <c r="BP28" i="1"/>
  <c r="AK139" i="14"/>
  <c r="AK141" i="14" s="1"/>
  <c r="AK176" i="14"/>
  <c r="AL177" i="14" s="1"/>
  <c r="AK32" i="1"/>
  <c r="AK64" i="14"/>
  <c r="AK65" i="14" s="1"/>
  <c r="BP221" i="14"/>
  <c r="AV677" i="34" s="1"/>
  <c r="N1232" i="34"/>
  <c r="N30" i="34"/>
  <c r="AP224" i="14"/>
  <c r="AP28" i="14"/>
  <c r="AP29" i="14" s="1"/>
  <c r="AP28" i="1"/>
  <c r="AP141" i="14"/>
  <c r="AJ884" i="34"/>
  <c r="AD794" i="34"/>
  <c r="BL1007" i="34"/>
  <c r="AH193" i="2"/>
  <c r="BK208" i="2"/>
  <c r="AE195" i="2"/>
  <c r="R195" i="2"/>
  <c r="AH202" i="2"/>
  <c r="AG209" i="2"/>
  <c r="BK206" i="2"/>
  <c r="AG206" i="2"/>
  <c r="AH201" i="2"/>
  <c r="AG208" i="2"/>
  <c r="AO500" i="34"/>
  <c r="AO52" i="2"/>
  <c r="AO712" i="34" s="1"/>
  <c r="AG304" i="34"/>
  <c r="BJ208" i="2"/>
  <c r="CB205" i="2"/>
  <c r="X1110" i="34"/>
  <c r="X400" i="34"/>
  <c r="AF456" i="34"/>
  <c r="AH203" i="2"/>
  <c r="AI199" i="2"/>
  <c r="Y331" i="34"/>
  <c r="X1012" i="34"/>
  <c r="AE573" i="34"/>
  <c r="AA1050" i="34"/>
  <c r="S342" i="34"/>
  <c r="Z515" i="2"/>
  <c r="Z751" i="34" s="1"/>
  <c r="AR544" i="34"/>
  <c r="BL1021" i="34"/>
  <c r="AF960" i="34"/>
  <c r="S965" i="34"/>
  <c r="BL934" i="34"/>
  <c r="AA481" i="2"/>
  <c r="AA432" i="34" s="1"/>
  <c r="W966" i="34"/>
  <c r="AI483" i="34"/>
  <c r="BJ803" i="34"/>
  <c r="BK1011" i="34"/>
  <c r="Z1016" i="34"/>
  <c r="X493" i="34"/>
  <c r="AN618" i="2"/>
  <c r="AN619" i="2" s="1"/>
  <c r="AN863" i="34" s="1"/>
  <c r="BM627" i="2"/>
  <c r="BM872" i="34" s="1"/>
  <c r="Y952" i="34"/>
  <c r="BM557" i="2"/>
  <c r="AS340" i="34" s="1"/>
  <c r="AR339" i="34"/>
  <c r="AT327" i="34"/>
  <c r="BN804" i="34"/>
  <c r="AD195" i="2"/>
  <c r="Z354" i="2"/>
  <c r="Z961" i="34" s="1"/>
  <c r="AR405" i="34"/>
  <c r="AA618" i="2"/>
  <c r="AA862" i="34" s="1"/>
  <c r="W351" i="2"/>
  <c r="W481" i="34" s="1"/>
  <c r="AG605" i="2"/>
  <c r="AG848" i="34" s="1"/>
  <c r="AF558" i="2"/>
  <c r="AF341" i="34" s="1"/>
  <c r="AG545" i="34"/>
  <c r="AG1048" i="34"/>
  <c r="AC573" i="34"/>
  <c r="AF400" i="34"/>
  <c r="AR543" i="34"/>
  <c r="AQ940" i="34"/>
  <c r="AL524" i="2"/>
  <c r="AL760" i="34" s="1"/>
  <c r="AO314" i="34"/>
  <c r="BM397" i="2"/>
  <c r="BM1021" i="34" s="1"/>
  <c r="AO11" i="14"/>
  <c r="BT796" i="34"/>
  <c r="AR571" i="34"/>
  <c r="BM1044" i="34"/>
  <c r="AO152" i="14"/>
  <c r="AF1048" i="34"/>
  <c r="X399" i="34"/>
  <c r="AH456" i="34"/>
  <c r="AH321" i="2"/>
  <c r="AH457" i="34" s="1"/>
  <c r="AH305" i="2"/>
  <c r="AH307" i="2" s="1"/>
  <c r="AH324" i="2"/>
  <c r="BB124" i="2"/>
  <c r="BB126" i="2" s="1"/>
  <c r="BK803" i="34"/>
  <c r="AQ326" i="34"/>
  <c r="Z350" i="2"/>
  <c r="Z957" i="34" s="1"/>
  <c r="AE260" i="2"/>
  <c r="AE1066" i="34" s="1"/>
  <c r="AG606" i="2"/>
  <c r="AG849" i="34" s="1"/>
  <c r="AF794" i="34"/>
  <c r="BL997" i="34"/>
  <c r="AQ534" i="34"/>
  <c r="AB962" i="34"/>
  <c r="AH577" i="2"/>
  <c r="AH816" i="34" s="1"/>
  <c r="AM743" i="34"/>
  <c r="AF186" i="2"/>
  <c r="V544" i="34"/>
  <c r="AD920" i="34"/>
  <c r="AC1107" i="34"/>
  <c r="Z1110" i="34"/>
  <c r="BK1044" i="34"/>
  <c r="S796" i="34"/>
  <c r="BG152" i="14"/>
  <c r="AM636" i="34" s="1"/>
  <c r="AF316" i="34"/>
  <c r="AC1064" i="34"/>
  <c r="Z11" i="14"/>
  <c r="Z578" i="34" s="1"/>
  <c r="AQ941" i="34"/>
  <c r="X499" i="34"/>
  <c r="Q65" i="14"/>
  <c r="Q616" i="34" s="1"/>
  <c r="AE577" i="2"/>
  <c r="AE816" i="34" s="1"/>
  <c r="AC186" i="2"/>
  <c r="Y187" i="2"/>
  <c r="AJ304" i="34"/>
  <c r="AQ944" i="34"/>
  <c r="Z185" i="2"/>
  <c r="X572" i="2"/>
  <c r="X334" i="34" s="1"/>
  <c r="AK743" i="34"/>
  <c r="AC179" i="2"/>
  <c r="AO36" i="14"/>
  <c r="AS36" i="14" s="1"/>
  <c r="AW36" i="14" s="1"/>
  <c r="BA36" i="14" s="1"/>
  <c r="AO1060" i="34"/>
  <c r="AE280" i="2"/>
  <c r="AE1087" i="34" s="1"/>
  <c r="AR943" i="34"/>
  <c r="X492" i="2"/>
  <c r="X729" i="34" s="1"/>
  <c r="AC278" i="2"/>
  <c r="AC1085" i="34" s="1"/>
  <c r="AC228" i="14"/>
  <c r="AE291" i="2"/>
  <c r="AE1098" i="34" s="1"/>
  <c r="AH720" i="34"/>
  <c r="AM322" i="2"/>
  <c r="AM935" i="34" s="1"/>
  <c r="AM316" i="2"/>
  <c r="AM929" i="34" s="1"/>
  <c r="AM338" i="2"/>
  <c r="AM945" i="34" s="1"/>
  <c r="AE286" i="2"/>
  <c r="AE1093" i="34" s="1"/>
  <c r="BP396" i="2"/>
  <c r="BP1020" i="34" s="1"/>
  <c r="O36" i="14"/>
  <c r="O610" i="34" s="1"/>
  <c r="O120" i="14"/>
  <c r="O626" i="34" s="1"/>
  <c r="AJ535" i="2"/>
  <c r="AJ781" i="34" s="1"/>
  <c r="X500" i="34"/>
  <c r="AM352" i="2"/>
  <c r="AM959" i="34" s="1"/>
  <c r="U503" i="34"/>
  <c r="BK569" i="2"/>
  <c r="BK808" i="34" s="1"/>
  <c r="V537" i="2"/>
  <c r="V783" i="34" s="1"/>
  <c r="O186" i="14"/>
  <c r="O647" i="34" s="1"/>
  <c r="BN237" i="14"/>
  <c r="AT690" i="34" s="1"/>
  <c r="AJ277" i="34"/>
  <c r="AS1064" i="34"/>
  <c r="AI544" i="34"/>
  <c r="AM480" i="2"/>
  <c r="AE275" i="2"/>
  <c r="AE1082" i="34" s="1"/>
  <c r="O577" i="34"/>
  <c r="AO535" i="2"/>
  <c r="AO781" i="34" s="1"/>
  <c r="AO29" i="14"/>
  <c r="AO120" i="14"/>
  <c r="T1017" i="34"/>
  <c r="T540" i="34"/>
  <c r="AC919" i="34"/>
  <c r="AC440" i="34"/>
  <c r="Z1003" i="34"/>
  <c r="Z526" i="34"/>
  <c r="AH316" i="2"/>
  <c r="AH362" i="2"/>
  <c r="AH352" i="2"/>
  <c r="AH323" i="2"/>
  <c r="AH322" i="2"/>
  <c r="AH346" i="2"/>
  <c r="AH480" i="2"/>
  <c r="AH484" i="2" s="1"/>
  <c r="AH435" i="34" s="1"/>
  <c r="BN943" i="34"/>
  <c r="AT465" i="34"/>
  <c r="AG448" i="34"/>
  <c r="AG927" i="34"/>
  <c r="X558" i="2"/>
  <c r="X796" i="34"/>
  <c r="X342" i="34"/>
  <c r="T794" i="34"/>
  <c r="T340" i="34"/>
  <c r="V818" i="34"/>
  <c r="X581" i="2"/>
  <c r="AB584" i="2" s="1"/>
  <c r="AB823" i="34" s="1"/>
  <c r="AA19" i="2"/>
  <c r="T978" i="34"/>
  <c r="T501" i="34"/>
  <c r="X394" i="2"/>
  <c r="W539" i="34"/>
  <c r="W393" i="2"/>
  <c r="W1016" i="34"/>
  <c r="T1016" i="34"/>
  <c r="T539" i="34"/>
  <c r="X393" i="2"/>
  <c r="T394" i="2"/>
  <c r="T1122" i="34"/>
  <c r="T412" i="34"/>
  <c r="O1022" i="34"/>
  <c r="O545" i="34"/>
  <c r="BL998" i="34"/>
  <c r="AR521" i="34"/>
  <c r="BN967" i="34"/>
  <c r="AT490" i="34"/>
  <c r="AD962" i="34"/>
  <c r="AD485" i="34"/>
  <c r="Z483" i="34"/>
  <c r="Z960" i="34"/>
  <c r="X475" i="34"/>
  <c r="X952" i="34"/>
  <c r="AD919" i="34"/>
  <c r="AD440" i="34"/>
  <c r="AA373" i="34"/>
  <c r="AA881" i="34"/>
  <c r="AG619" i="2"/>
  <c r="AG863" i="34" s="1"/>
  <c r="AC620" i="2"/>
  <c r="AC864" i="34" s="1"/>
  <c r="AG620" i="2"/>
  <c r="AG864" i="34" s="1"/>
  <c r="AC862" i="34"/>
  <c r="BL1047" i="34"/>
  <c r="BL425" i="2"/>
  <c r="X794" i="34"/>
  <c r="X340" i="34"/>
  <c r="Y228" i="14"/>
  <c r="W314" i="34"/>
  <c r="W731" i="34"/>
  <c r="AB502" i="34"/>
  <c r="AB980" i="34"/>
  <c r="AC921" i="34"/>
  <c r="AC442" i="34"/>
  <c r="BK1120" i="34"/>
  <c r="AQ410" i="34"/>
  <c r="BK462" i="2"/>
  <c r="BK1106" i="34"/>
  <c r="S1048" i="34"/>
  <c r="S571" i="34"/>
  <c r="AS566" i="34"/>
  <c r="BM1043" i="34"/>
  <c r="Z1011" i="34"/>
  <c r="Z389" i="2"/>
  <c r="AS489" i="34"/>
  <c r="BM966" i="34"/>
  <c r="AD481" i="34"/>
  <c r="AD958" i="34"/>
  <c r="AD921" i="34"/>
  <c r="AD442" i="34"/>
  <c r="Q572" i="2"/>
  <c r="Q334" i="34" s="1"/>
  <c r="AF1043" i="34"/>
  <c r="AF566" i="34"/>
  <c r="AR566" i="34"/>
  <c r="BL1043" i="34"/>
  <c r="S1022" i="34"/>
  <c r="S545" i="34"/>
  <c r="AB966" i="34"/>
  <c r="AB489" i="34"/>
  <c r="AH483" i="34"/>
  <c r="AH960" i="34"/>
  <c r="X463" i="34"/>
  <c r="BL333" i="2"/>
  <c r="CC333" i="2" s="1"/>
  <c r="X335" i="2"/>
  <c r="X338" i="2"/>
  <c r="AB336" i="2"/>
  <c r="Y337" i="2"/>
  <c r="AR459" i="34"/>
  <c r="BL936" i="34"/>
  <c r="AD443" i="34"/>
  <c r="AD922" i="34"/>
  <c r="AB796" i="34"/>
  <c r="AB558" i="2"/>
  <c r="T796" i="34"/>
  <c r="T342" i="34"/>
  <c r="T558" i="2"/>
  <c r="AO632" i="2"/>
  <c r="AO877" i="34" s="1"/>
  <c r="AO872" i="34"/>
  <c r="AM891" i="34"/>
  <c r="AM645" i="2"/>
  <c r="AM892" i="34" s="1"/>
  <c r="AM646" i="2"/>
  <c r="AM893" i="34" s="1"/>
  <c r="AC585" i="2"/>
  <c r="AC824" i="34" s="1"/>
  <c r="AB585" i="2"/>
  <c r="AB824" i="34" s="1"/>
  <c r="AF584" i="2"/>
  <c r="AF823" i="34" s="1"/>
  <c r="AF323" i="2"/>
  <c r="AF459" i="34" s="1"/>
  <c r="AG326" i="2"/>
  <c r="AG330" i="2" s="1"/>
  <c r="AF362" i="2"/>
  <c r="AF492" i="34" s="1"/>
  <c r="AH340" i="34"/>
  <c r="Y573" i="34"/>
  <c r="BO508" i="2"/>
  <c r="BO744" i="34" s="1"/>
  <c r="AP628" i="2"/>
  <c r="AE1011" i="34"/>
  <c r="BN794" i="34"/>
  <c r="AF582" i="2"/>
  <c r="AC586" i="2"/>
  <c r="AC825" i="34" s="1"/>
  <c r="AX342" i="34"/>
  <c r="BR796" i="34"/>
  <c r="AR489" i="34"/>
  <c r="AF322" i="2"/>
  <c r="AF935" i="34" s="1"/>
  <c r="AF933" i="34"/>
  <c r="AF346" i="2"/>
  <c r="AF953" i="34" s="1"/>
  <c r="AG459" i="34"/>
  <c r="AC499" i="34"/>
  <c r="S316" i="34"/>
  <c r="U1049" i="34"/>
  <c r="AB586" i="2"/>
  <c r="AB825" i="34" s="1"/>
  <c r="AF326" i="2"/>
  <c r="AF327" i="2" s="1"/>
  <c r="X778" i="34"/>
  <c r="V1022" i="34"/>
  <c r="AC329" i="2"/>
  <c r="AF480" i="2"/>
  <c r="AF431" i="34" s="1"/>
  <c r="AF338" i="2"/>
  <c r="AF468" i="34" s="1"/>
  <c r="AB820" i="34"/>
  <c r="AL373" i="2"/>
  <c r="AL997" i="34" s="1"/>
  <c r="AF535" i="2"/>
  <c r="AF781" i="34" s="1"/>
  <c r="BM1117" i="34"/>
  <c r="W778" i="34"/>
  <c r="BM934" i="34"/>
  <c r="AE390" i="2"/>
  <c r="AB315" i="34"/>
  <c r="Y548" i="2"/>
  <c r="Y771" i="34"/>
  <c r="AH279" i="2"/>
  <c r="AH1086" i="34" s="1"/>
  <c r="BH808" i="34"/>
  <c r="AP61" i="2"/>
  <c r="AP721" i="34" s="1"/>
  <c r="M36" i="14"/>
  <c r="AP20" i="2"/>
  <c r="AJ14" i="14"/>
  <c r="AH276" i="34"/>
  <c r="X229" i="14"/>
  <c r="Y230" i="14" s="1"/>
  <c r="Y503" i="2"/>
  <c r="Y739" i="34" s="1"/>
  <c r="Y502" i="2"/>
  <c r="Y738" i="34" s="1"/>
  <c r="Q980" i="34"/>
  <c r="AP58" i="2"/>
  <c r="AP718" i="34" s="1"/>
  <c r="X106" i="14"/>
  <c r="AJ276" i="34"/>
  <c r="AV487" i="34"/>
  <c r="U327" i="2"/>
  <c r="W106" i="14"/>
  <c r="W107" i="14" s="1"/>
  <c r="AO755" i="34"/>
  <c r="AP62" i="2"/>
  <c r="AP722" i="34" s="1"/>
  <c r="Z545" i="2"/>
  <c r="Z548" i="2" s="1"/>
  <c r="AP346" i="2"/>
  <c r="AP953" i="34" s="1"/>
  <c r="W227" i="14"/>
  <c r="W229" i="14" s="1"/>
  <c r="X329" i="2"/>
  <c r="AP327" i="34"/>
  <c r="BJ804" i="34"/>
  <c r="AE485" i="34"/>
  <c r="AE962" i="34"/>
  <c r="Z632" i="2"/>
  <c r="Z877" i="34" s="1"/>
  <c r="Z872" i="34"/>
  <c r="Z368" i="34"/>
  <c r="AG805" i="34"/>
  <c r="AG328" i="34"/>
  <c r="U340" i="34"/>
  <c r="U794" i="34"/>
  <c r="Q558" i="2"/>
  <c r="Q342" i="34"/>
  <c r="Q796" i="34"/>
  <c r="AA1110" i="34"/>
  <c r="AA400" i="34"/>
  <c r="AF586" i="2"/>
  <c r="AF825" i="34" s="1"/>
  <c r="Y981" i="34"/>
  <c r="BJ793" i="34"/>
  <c r="AP339" i="34"/>
  <c r="AM884" i="34"/>
  <c r="AM640" i="2"/>
  <c r="AM885" i="34" s="1"/>
  <c r="AC795" i="34"/>
  <c r="AC341" i="34"/>
  <c r="AD633" i="2"/>
  <c r="AD878" i="34" s="1"/>
  <c r="AD877" i="34"/>
  <c r="AD639" i="2"/>
  <c r="AD644" i="2" s="1"/>
  <c r="AC342" i="34"/>
  <c r="AC796" i="34"/>
  <c r="AC1013" i="34"/>
  <c r="AN503" i="2"/>
  <c r="AN739" i="34" s="1"/>
  <c r="BN793" i="34"/>
  <c r="AT339" i="34"/>
  <c r="AD796" i="34"/>
  <c r="AD342" i="34"/>
  <c r="AD558" i="2"/>
  <c r="AA747" i="34"/>
  <c r="AE514" i="2"/>
  <c r="AE750" i="34" s="1"/>
  <c r="AB515" i="2"/>
  <c r="AB751" i="34" s="1"/>
  <c r="AB516" i="2"/>
  <c r="AB752" i="34" s="1"/>
  <c r="BM508" i="2"/>
  <c r="BM744" i="34" s="1"/>
  <c r="BL532" i="2"/>
  <c r="BL579" i="2"/>
  <c r="BL818" i="34" s="1"/>
  <c r="AE440" i="34"/>
  <c r="AE919" i="34"/>
  <c r="AI377" i="34"/>
  <c r="AI884" i="34"/>
  <c r="AH620" i="2"/>
  <c r="AH864" i="34" s="1"/>
  <c r="AD862" i="34"/>
  <c r="Z604" i="2"/>
  <c r="Z606" i="2" s="1"/>
  <c r="Z849" i="34" s="1"/>
  <c r="Z842" i="34"/>
  <c r="Q794" i="34"/>
  <c r="Q340" i="34"/>
  <c r="AG195" i="2"/>
  <c r="AM89" i="2"/>
  <c r="AC977" i="34"/>
  <c r="AT326" i="34"/>
  <c r="BN803" i="34"/>
  <c r="BK804" i="34"/>
  <c r="AQ327" i="34"/>
  <c r="V340" i="34"/>
  <c r="V794" i="34"/>
  <c r="AV965" i="34"/>
  <c r="AW359" i="2"/>
  <c r="AW966" i="34" s="1"/>
  <c r="AI958" i="34"/>
  <c r="AI481" i="34"/>
  <c r="AE480" i="34"/>
  <c r="AE957" i="34"/>
  <c r="AF585" i="2"/>
  <c r="AF824" i="34" s="1"/>
  <c r="U20" i="2"/>
  <c r="Z120" i="14"/>
  <c r="Z626" i="34" s="1"/>
  <c r="AW254" i="2"/>
  <c r="AE107" i="14"/>
  <c r="AM344" i="2"/>
  <c r="AM951" i="34" s="1"/>
  <c r="AN65" i="14"/>
  <c r="AA12" i="14"/>
  <c r="AA579" i="34" s="1"/>
  <c r="AD186" i="2"/>
  <c r="AM345" i="2"/>
  <c r="AM952" i="34" s="1"/>
  <c r="AH999" i="34"/>
  <c r="O981" i="34"/>
  <c r="BG29" i="14"/>
  <c r="AA728" i="34"/>
  <c r="Z19" i="2"/>
  <c r="M186" i="14"/>
  <c r="M647" i="34" s="1"/>
  <c r="R186" i="14"/>
  <c r="R647" i="34" s="1"/>
  <c r="U315" i="34"/>
  <c r="AS286" i="2"/>
  <c r="AS1093" i="34" s="1"/>
  <c r="AL132" i="2"/>
  <c r="BP964" i="34"/>
  <c r="AI114" i="14"/>
  <c r="AI115" i="14" s="1"/>
  <c r="S501" i="34"/>
  <c r="W484" i="2"/>
  <c r="W435" i="34" s="1"/>
  <c r="BP359" i="2"/>
  <c r="BP966" i="34" s="1"/>
  <c r="AM363" i="2"/>
  <c r="AM970" i="34" s="1"/>
  <c r="AN345" i="2"/>
  <c r="AN952" i="34" s="1"/>
  <c r="AA492" i="2"/>
  <c r="AA729" i="34" s="1"/>
  <c r="AI53" i="14"/>
  <c r="AI54" i="14" s="1"/>
  <c r="AN537" i="2"/>
  <c r="V19" i="2"/>
  <c r="BQ136" i="2"/>
  <c r="BQ139" i="2" s="1"/>
  <c r="BP360" i="2"/>
  <c r="BP967" i="34" s="1"/>
  <c r="AP49" i="2"/>
  <c r="AP59" i="2"/>
  <c r="AP719" i="34" s="1"/>
  <c r="Y549" i="2"/>
  <c r="AE549" i="2"/>
  <c r="AP352" i="2"/>
  <c r="AP959" i="34" s="1"/>
  <c r="AS32" i="2"/>
  <c r="M120" i="14"/>
  <c r="M626" i="34" s="1"/>
  <c r="AI113" i="2"/>
  <c r="AI980" i="34" s="1"/>
  <c r="U572" i="2"/>
  <c r="U811" i="34" s="1"/>
  <c r="AF62" i="2"/>
  <c r="AF722" i="34" s="1"/>
  <c r="Z186" i="2"/>
  <c r="BN85" i="2"/>
  <c r="AL353" i="2"/>
  <c r="AL960" i="34" s="1"/>
  <c r="AJ968" i="34"/>
  <c r="AN1060" i="34"/>
  <c r="AA780" i="34"/>
  <c r="BP68" i="2"/>
  <c r="AC279" i="2"/>
  <c r="AC1086" i="34" s="1"/>
  <c r="Y978" i="34"/>
  <c r="V29" i="14"/>
  <c r="V36" i="14"/>
  <c r="V610" i="34" s="1"/>
  <c r="BL114" i="2"/>
  <c r="BL981" i="34" s="1"/>
  <c r="W700" i="34"/>
  <c r="AC276" i="2"/>
  <c r="AC1083" i="34" s="1"/>
  <c r="AD80" i="14"/>
  <c r="AC289" i="2"/>
  <c r="AC1096" i="34" s="1"/>
  <c r="AT100" i="2"/>
  <c r="Y483" i="2"/>
  <c r="Y434" i="34" s="1"/>
  <c r="AJ1020" i="34"/>
  <c r="AJ398" i="2"/>
  <c r="AJ545" i="34" s="1"/>
  <c r="AA700" i="34"/>
  <c r="W12" i="14"/>
  <c r="W579" i="34" s="1"/>
  <c r="AA185" i="2"/>
  <c r="Z187" i="2"/>
  <c r="AK321" i="2"/>
  <c r="AK934" i="34" s="1"/>
  <c r="Z260" i="2"/>
  <c r="Z1066" i="34" s="1"/>
  <c r="AM343" i="2"/>
  <c r="AM950" i="34" s="1"/>
  <c r="AJ965" i="34"/>
  <c r="AJ966" i="34"/>
  <c r="AO289" i="2"/>
  <c r="AO1096" i="34" s="1"/>
  <c r="V152" i="14"/>
  <c r="V636" i="34" s="1"/>
  <c r="V277" i="34"/>
  <c r="AM280" i="2"/>
  <c r="AM1087" i="34" s="1"/>
  <c r="BL975" i="34"/>
  <c r="BO983" i="34"/>
  <c r="AA549" i="2"/>
  <c r="AH568" i="34"/>
  <c r="AB313" i="34"/>
  <c r="M333" i="34"/>
  <c r="AI502" i="2"/>
  <c r="AI738" i="34" s="1"/>
  <c r="AJ397" i="2"/>
  <c r="AJ544" i="34" s="1"/>
  <c r="AA187" i="2"/>
  <c r="AC287" i="2"/>
  <c r="AC1094" i="34" s="1"/>
  <c r="AN322" i="2"/>
  <c r="AN935" i="34" s="1"/>
  <c r="AL342" i="2"/>
  <c r="AL949" i="34" s="1"/>
  <c r="AK359" i="2"/>
  <c r="AK966" i="34" s="1"/>
  <c r="P316" i="34"/>
  <c r="AH499" i="2"/>
  <c r="AC290" i="2"/>
  <c r="AC1097" i="34" s="1"/>
  <c r="V186" i="14"/>
  <c r="AP933" i="34"/>
  <c r="AS101" i="2"/>
  <c r="AS97" i="2"/>
  <c r="AE546" i="2"/>
  <c r="AE547" i="2" s="1"/>
  <c r="AN501" i="2"/>
  <c r="AN737" i="34" s="1"/>
  <c r="AP480" i="2"/>
  <c r="AC315" i="34"/>
  <c r="AC502" i="34"/>
  <c r="BO85" i="2"/>
  <c r="AC327" i="2"/>
  <c r="BG186" i="14"/>
  <c r="AM647" i="34" s="1"/>
  <c r="Z12" i="14"/>
  <c r="Z579" i="34" s="1"/>
  <c r="V11" i="14"/>
  <c r="V578" i="34" s="1"/>
  <c r="Z1060" i="34"/>
  <c r="AL552" i="2"/>
  <c r="AN535" i="2"/>
  <c r="AN781" i="34" s="1"/>
  <c r="U977" i="34"/>
  <c r="Y732" i="34"/>
  <c r="AI498" i="34"/>
  <c r="AM171" i="14"/>
  <c r="AM173" i="14" s="1"/>
  <c r="AI565" i="34"/>
  <c r="BO359" i="2"/>
  <c r="AU489" i="34" s="1"/>
  <c r="BO360" i="2"/>
  <c r="AU490" i="34" s="1"/>
  <c r="AL242" i="2"/>
  <c r="AB316" i="34"/>
  <c r="Y550" i="2"/>
  <c r="AM577" i="34"/>
  <c r="BO396" i="2"/>
  <c r="CC396" i="2" s="1"/>
  <c r="AB187" i="2"/>
  <c r="AR968" i="34"/>
  <c r="R36" i="14"/>
  <c r="Z36" i="14"/>
  <c r="Z610" i="34" s="1"/>
  <c r="Z152" i="14"/>
  <c r="Z636" i="34" s="1"/>
  <c r="W536" i="2"/>
  <c r="W782" i="34" s="1"/>
  <c r="AI110" i="2"/>
  <c r="AI976" i="34" s="1"/>
  <c r="Q315" i="34"/>
  <c r="Z65" i="14"/>
  <c r="AO536" i="2"/>
  <c r="AO782" i="34" s="1"/>
  <c r="S277" i="34"/>
  <c r="S700" i="34"/>
  <c r="AO363" i="2"/>
  <c r="AO970" i="34" s="1"/>
  <c r="AO353" i="2"/>
  <c r="AO960" i="34" s="1"/>
  <c r="AO948" i="34"/>
  <c r="R29" i="14"/>
  <c r="AB499" i="34"/>
  <c r="AI186" i="14"/>
  <c r="AJ418" i="2"/>
  <c r="AJ1043" i="34" s="1"/>
  <c r="AI286" i="2"/>
  <c r="AI1093" i="34" s="1"/>
  <c r="BL569" i="2"/>
  <c r="BL808" i="34" s="1"/>
  <c r="AH567" i="34"/>
  <c r="AG702" i="34"/>
  <c r="AC288" i="2"/>
  <c r="AC1095" i="34" s="1"/>
  <c r="BO964" i="34"/>
  <c r="AU487" i="34"/>
  <c r="AN536" i="2"/>
  <c r="AN782" i="34" s="1"/>
  <c r="AB733" i="34"/>
  <c r="AC58" i="2"/>
  <c r="AC718" i="34" s="1"/>
  <c r="BP418" i="2"/>
  <c r="AV566" i="34" s="1"/>
  <c r="BH11" i="14"/>
  <c r="AN578" i="34" s="1"/>
  <c r="AI112" i="2"/>
  <c r="AI978" i="34" s="1"/>
  <c r="AB185" i="2"/>
  <c r="AA483" i="2"/>
  <c r="AA434" i="34" s="1"/>
  <c r="Z29" i="14"/>
  <c r="AF550" i="2"/>
  <c r="AI114" i="2"/>
  <c r="AI503" i="34" s="1"/>
  <c r="Y178" i="2"/>
  <c r="AJ967" i="34"/>
  <c r="AH502" i="2"/>
  <c r="AH738" i="34" s="1"/>
  <c r="AC330" i="2"/>
  <c r="U728" i="34"/>
  <c r="U492" i="2"/>
  <c r="U729" i="34" s="1"/>
  <c r="AD286" i="2"/>
  <c r="AD1093" i="34" s="1"/>
  <c r="AK316" i="2"/>
  <c r="AK929" i="34" s="1"/>
  <c r="R152" i="14"/>
  <c r="BL727" i="34"/>
  <c r="AH814" i="34"/>
  <c r="AC546" i="2"/>
  <c r="AC547" i="2" s="1"/>
  <c r="BG120" i="14"/>
  <c r="AM626" i="34" s="1"/>
  <c r="AB186" i="2"/>
  <c r="AD548" i="2"/>
  <c r="BG36" i="14"/>
  <c r="AM610" i="34" s="1"/>
  <c r="AI130" i="2"/>
  <c r="AI134" i="2" s="1"/>
  <c r="AP345" i="2"/>
  <c r="AP952" i="34" s="1"/>
  <c r="AI111" i="2"/>
  <c r="AI500" i="34" s="1"/>
  <c r="V20" i="2"/>
  <c r="AI288" i="2"/>
  <c r="AI1095" i="34" s="1"/>
  <c r="AP343" i="2"/>
  <c r="AP950" i="34" s="1"/>
  <c r="BP313" i="2"/>
  <c r="BP925" i="34"/>
  <c r="Z301" i="34"/>
  <c r="Z717" i="34"/>
  <c r="BI728" i="34"/>
  <c r="AC502" i="2"/>
  <c r="AC738" i="34" s="1"/>
  <c r="AJ1045" i="34"/>
  <c r="AM398" i="2"/>
  <c r="AM1022" i="34" s="1"/>
  <c r="AM502" i="2"/>
  <c r="AM738" i="34" s="1"/>
  <c r="AP152" i="14"/>
  <c r="AQ1045" i="34"/>
  <c r="BP477" i="2"/>
  <c r="AV422" i="34" s="1"/>
  <c r="U808" i="34"/>
  <c r="U570" i="2"/>
  <c r="U809" i="34" s="1"/>
  <c r="AH14" i="14"/>
  <c r="AC499" i="2"/>
  <c r="AC736" i="34" s="1"/>
  <c r="BH570" i="2"/>
  <c r="AN332" i="34" s="1"/>
  <c r="AB483" i="2"/>
  <c r="AB434" i="34" s="1"/>
  <c r="Y330" i="2"/>
  <c r="AH808" i="34"/>
  <c r="AG732" i="34"/>
  <c r="BP473" i="2"/>
  <c r="AV419" i="34" s="1"/>
  <c r="BO476" i="2"/>
  <c r="AU421" i="34" s="1"/>
  <c r="Y570" i="2"/>
  <c r="Y809" i="34" s="1"/>
  <c r="Y572" i="2"/>
  <c r="Y811" i="34" s="1"/>
  <c r="CF472" i="2"/>
  <c r="AG154" i="2"/>
  <c r="Y499" i="2"/>
  <c r="Y736" i="34" s="1"/>
  <c r="AN331" i="34"/>
  <c r="AH732" i="34"/>
  <c r="Y327" i="2"/>
  <c r="BI572" i="2"/>
  <c r="AO334" i="34" s="1"/>
  <c r="AP186" i="14"/>
  <c r="AG156" i="2"/>
  <c r="V329" i="2"/>
  <c r="BI809" i="34"/>
  <c r="AO332" i="34"/>
  <c r="U795" i="34"/>
  <c r="U341" i="34"/>
  <c r="AC728" i="34"/>
  <c r="AG492" i="2"/>
  <c r="AG729" i="34" s="1"/>
  <c r="AC492" i="2"/>
  <c r="AC729" i="34" s="1"/>
  <c r="AE525" i="34"/>
  <c r="AE1002" i="34"/>
  <c r="BN796" i="34"/>
  <c r="BN558" i="2"/>
  <c r="AT342" i="34"/>
  <c r="BM987" i="34"/>
  <c r="BN165" i="2"/>
  <c r="BN988" i="34" s="1"/>
  <c r="BH731" i="34"/>
  <c r="AN314" i="34"/>
  <c r="M312" i="34"/>
  <c r="M728" i="34"/>
  <c r="AE921" i="34"/>
  <c r="AE442" i="34"/>
  <c r="Y728" i="34"/>
  <c r="Y312" i="34"/>
  <c r="Y492" i="2"/>
  <c r="Y729" i="34" s="1"/>
  <c r="M332" i="34"/>
  <c r="M809" i="34"/>
  <c r="AB941" i="34"/>
  <c r="U195" i="2"/>
  <c r="BP350" i="2"/>
  <c r="AV480" i="34" s="1"/>
  <c r="AI262" i="2"/>
  <c r="AI1068" i="34" s="1"/>
  <c r="AA1030" i="34"/>
  <c r="AA553" i="34"/>
  <c r="AP429" i="2"/>
  <c r="AH277" i="2"/>
  <c r="AH1084" i="34" s="1"/>
  <c r="AC577" i="34"/>
  <c r="N570" i="2"/>
  <c r="N332" i="34" s="1"/>
  <c r="AK29" i="14"/>
  <c r="Q19" i="2"/>
  <c r="AO275" i="2"/>
  <c r="AO1082" i="34" s="1"/>
  <c r="AJ522" i="34"/>
  <c r="BQ83" i="2"/>
  <c r="BQ85" i="2" s="1"/>
  <c r="AP311" i="34"/>
  <c r="AF177" i="2"/>
  <c r="AO147" i="14"/>
  <c r="AO148" i="14" s="1"/>
  <c r="AS357" i="2"/>
  <c r="AS361" i="2" s="1"/>
  <c r="AS968" i="34" s="1"/>
  <c r="AG151" i="2"/>
  <c r="AH331" i="34"/>
  <c r="AO429" i="2"/>
  <c r="Z573" i="2"/>
  <c r="Z335" i="34" s="1"/>
  <c r="AK36" i="14"/>
  <c r="AK12" i="14"/>
  <c r="BQ964" i="34"/>
  <c r="AD176" i="14"/>
  <c r="AE177" i="14" s="1"/>
  <c r="AG1030" i="34"/>
  <c r="AC474" i="2"/>
  <c r="AL345" i="2"/>
  <c r="AL952" i="34" s="1"/>
  <c r="AO279" i="2"/>
  <c r="AO1086" i="34" s="1"/>
  <c r="AR964" i="34"/>
  <c r="AA722" i="34"/>
  <c r="AC276" i="34"/>
  <c r="R277" i="34"/>
  <c r="AK186" i="14"/>
  <c r="Z732" i="34"/>
  <c r="AW487" i="34"/>
  <c r="AO37" i="2"/>
  <c r="U19" i="2"/>
  <c r="AE175" i="2"/>
  <c r="AO53" i="14"/>
  <c r="AO54" i="14" s="1"/>
  <c r="AI503" i="2"/>
  <c r="AI739" i="34" s="1"/>
  <c r="AC186" i="14"/>
  <c r="AC647" i="34" s="1"/>
  <c r="AS256" i="2"/>
  <c r="AS1062" i="34" s="1"/>
  <c r="AP99" i="2"/>
  <c r="AC535" i="2"/>
  <c r="AC781" i="34" s="1"/>
  <c r="BJ491" i="2"/>
  <c r="AP312" i="34" s="1"/>
  <c r="AU96" i="2"/>
  <c r="AU99" i="2" s="1"/>
  <c r="AC178" i="2"/>
  <c r="Q981" i="34"/>
  <c r="U11" i="14"/>
  <c r="U578" i="34" s="1"/>
  <c r="P573" i="2"/>
  <c r="P812" i="34" s="1"/>
  <c r="AH120" i="14"/>
  <c r="AH626" i="34" s="1"/>
  <c r="AH577" i="34"/>
  <c r="AO50" i="2"/>
  <c r="AO710" i="34" s="1"/>
  <c r="AC11" i="14"/>
  <c r="AC578" i="34" s="1"/>
  <c r="BP76" i="2"/>
  <c r="AC260" i="2"/>
  <c r="AC1066" i="34" s="1"/>
  <c r="AB330" i="2"/>
  <c r="AA175" i="2"/>
  <c r="BO259" i="2"/>
  <c r="BO1065" i="34" s="1"/>
  <c r="AC29" i="14"/>
  <c r="AI12" i="14"/>
  <c r="AI579" i="34" s="1"/>
  <c r="AO262" i="2"/>
  <c r="AO1068" i="34" s="1"/>
  <c r="AJ32" i="2"/>
  <c r="AN31" i="2"/>
  <c r="AI501" i="2"/>
  <c r="AI737" i="34" s="1"/>
  <c r="AK37" i="2"/>
  <c r="P571" i="2"/>
  <c r="P333" i="34" s="1"/>
  <c r="AW491" i="2"/>
  <c r="AS93" i="2"/>
  <c r="AE190" i="2"/>
  <c r="U577" i="34"/>
  <c r="AH186" i="14"/>
  <c r="AH647" i="34" s="1"/>
  <c r="AA981" i="34"/>
  <c r="AH29" i="14"/>
  <c r="U976" i="34"/>
  <c r="AC152" i="14"/>
  <c r="AC636" i="34" s="1"/>
  <c r="N503" i="34"/>
  <c r="BO40" i="2"/>
  <c r="BO702" i="34" s="1"/>
  <c r="Q20" i="2"/>
  <c r="AW1064" i="34"/>
  <c r="AC36" i="14"/>
  <c r="AC610" i="34" s="1"/>
  <c r="X980" i="34"/>
  <c r="Q571" i="2"/>
  <c r="Q333" i="34" s="1"/>
  <c r="BJ495" i="2"/>
  <c r="AP315" i="34" s="1"/>
  <c r="AT91" i="2"/>
  <c r="AA312" i="34"/>
  <c r="AC185" i="2"/>
  <c r="AC65" i="14"/>
  <c r="AC616" i="34" s="1"/>
  <c r="AH65" i="14"/>
  <c r="AH616" i="34" s="1"/>
  <c r="AL53" i="14"/>
  <c r="AL54" i="14" s="1"/>
  <c r="AO53" i="2"/>
  <c r="AO713" i="34" s="1"/>
  <c r="AH152" i="14"/>
  <c r="AH636" i="34" s="1"/>
  <c r="AI592" i="2"/>
  <c r="AI831" i="34" s="1"/>
  <c r="AL11" i="14"/>
  <c r="Q29" i="14"/>
  <c r="Q36" i="14"/>
  <c r="Q610" i="34" s="1"/>
  <c r="AM42" i="2"/>
  <c r="AM704" i="34" s="1"/>
  <c r="Z52" i="2"/>
  <c r="AP727" i="34"/>
  <c r="AP496" i="2"/>
  <c r="AP733" i="34" s="1"/>
  <c r="AP493" i="2"/>
  <c r="AP730" i="34" s="1"/>
  <c r="AH41" i="2"/>
  <c r="AH703" i="34" s="1"/>
  <c r="AH702" i="34"/>
  <c r="AI20" i="2"/>
  <c r="AM537" i="2"/>
  <c r="AP280" i="2"/>
  <c r="AP1087" i="34" s="1"/>
  <c r="BO57" i="14"/>
  <c r="AI52" i="2"/>
  <c r="AI712" i="34" s="1"/>
  <c r="AI54" i="2"/>
  <c r="AI298" i="34" s="1"/>
  <c r="AC275" i="2"/>
  <c r="AC1082" i="34" s="1"/>
  <c r="AI275" i="2"/>
  <c r="AI1082" i="34" s="1"/>
  <c r="X12" i="14"/>
  <c r="X579" i="34" s="1"/>
  <c r="AS257" i="2"/>
  <c r="BO507" i="2"/>
  <c r="BO743" i="34" s="1"/>
  <c r="AP498" i="2"/>
  <c r="AM275" i="2"/>
  <c r="AM1082" i="34" s="1"/>
  <c r="AV121" i="2"/>
  <c r="AQ311" i="34"/>
  <c r="AK50" i="2"/>
  <c r="AK710" i="34" s="1"/>
  <c r="BP508" i="2"/>
  <c r="BP744" i="34" s="1"/>
  <c r="BP419" i="2"/>
  <c r="AV567" i="34" s="1"/>
  <c r="CC416" i="2"/>
  <c r="AL12" i="14"/>
  <c r="M577" i="34"/>
  <c r="AH1060" i="34"/>
  <c r="AC771" i="34"/>
  <c r="AM150" i="2"/>
  <c r="AM152" i="2" s="1"/>
  <c r="AN275" i="2"/>
  <c r="Y481" i="2"/>
  <c r="Y432" i="34" s="1"/>
  <c r="AK51" i="2"/>
  <c r="AK711" i="34" s="1"/>
  <c r="AH260" i="2"/>
  <c r="AH1066" i="34" s="1"/>
  <c r="AI537" i="2"/>
  <c r="AI783" i="34" s="1"/>
  <c r="AP534" i="2"/>
  <c r="AP494" i="2"/>
  <c r="AP731" i="34" s="1"/>
  <c r="AC978" i="34"/>
  <c r="AC501" i="34"/>
  <c r="Z503" i="34"/>
  <c r="X177" i="2"/>
  <c r="Y329" i="2"/>
  <c r="AI1065" i="34"/>
  <c r="T331" i="2"/>
  <c r="R484" i="2"/>
  <c r="R435" i="34" s="1"/>
  <c r="AI280" i="2"/>
  <c r="AI1087" i="34" s="1"/>
  <c r="AB327" i="2"/>
  <c r="AJ51" i="2"/>
  <c r="AJ295" i="34" s="1"/>
  <c r="AM536" i="2"/>
  <c r="AM782" i="34" s="1"/>
  <c r="X152" i="14"/>
  <c r="Y158" i="14" s="1"/>
  <c r="Y642" i="34" s="1"/>
  <c r="W329" i="2"/>
  <c r="AO278" i="2"/>
  <c r="AO1085" i="34" s="1"/>
  <c r="BP520" i="2"/>
  <c r="BP756" i="34" s="1"/>
  <c r="AP174" i="2"/>
  <c r="BO532" i="2"/>
  <c r="BO778" i="34" s="1"/>
  <c r="AC549" i="2"/>
  <c r="W177" i="2"/>
  <c r="BK491" i="2"/>
  <c r="AQ312" i="34" s="1"/>
  <c r="AK53" i="2"/>
  <c r="AK713" i="34" s="1"/>
  <c r="AG275" i="2"/>
  <c r="AG1082" i="34" s="1"/>
  <c r="BO419" i="2"/>
  <c r="BO1044" i="34" s="1"/>
  <c r="AU564" i="34"/>
  <c r="M29" i="14"/>
  <c r="U481" i="2"/>
  <c r="U432" i="34" s="1"/>
  <c r="AM260" i="2"/>
  <c r="AM1066" i="34" s="1"/>
  <c r="AC548" i="2"/>
  <c r="AH286" i="2"/>
  <c r="AH1093" i="34" s="1"/>
  <c r="BN189" i="2"/>
  <c r="AM983" i="34"/>
  <c r="Q978" i="34"/>
  <c r="BO49" i="2"/>
  <c r="AU293" i="34" s="1"/>
  <c r="AH262" i="2"/>
  <c r="AH1068" i="34" s="1"/>
  <c r="AF536" i="2"/>
  <c r="AF782" i="34" s="1"/>
  <c r="BM175" i="2"/>
  <c r="AT490" i="2"/>
  <c r="AT19" i="1" s="1"/>
  <c r="AI291" i="2"/>
  <c r="AI1098" i="34" s="1"/>
  <c r="AD980" i="34"/>
  <c r="AD502" i="34"/>
  <c r="AJ314" i="34"/>
  <c r="X186" i="14"/>
  <c r="Y331" i="2"/>
  <c r="AJ54" i="2"/>
  <c r="AJ714" i="34" s="1"/>
  <c r="W330" i="2"/>
  <c r="AF315" i="34"/>
  <c r="AC286" i="2"/>
  <c r="AC1093" i="34" s="1"/>
  <c r="AI260" i="2"/>
  <c r="AI1066" i="34" s="1"/>
  <c r="AK32" i="2"/>
  <c r="Y20" i="2"/>
  <c r="AB700" i="34"/>
  <c r="BO579" i="2"/>
  <c r="BO818" i="34" s="1"/>
  <c r="BK495" i="2"/>
  <c r="AQ315" i="34" s="1"/>
  <c r="BK727" i="34"/>
  <c r="AP545" i="2"/>
  <c r="AP550" i="2" s="1"/>
  <c r="AF537" i="2"/>
  <c r="AF540" i="2" s="1"/>
  <c r="AF786" i="34" s="1"/>
  <c r="BO418" i="2"/>
  <c r="AU566" i="34" s="1"/>
  <c r="M65" i="14"/>
  <c r="M616" i="34" s="1"/>
  <c r="AL171" i="14"/>
  <c r="AL173" i="14" s="1"/>
  <c r="AA139" i="14"/>
  <c r="U483" i="2"/>
  <c r="U434" i="34" s="1"/>
  <c r="AB107" i="14"/>
  <c r="AI277" i="2"/>
  <c r="AI1084" i="34" s="1"/>
  <c r="Z303" i="34"/>
  <c r="AA1022" i="34"/>
  <c r="AA545" i="34"/>
  <c r="AF1009" i="34"/>
  <c r="AG385" i="2"/>
  <c r="AH385" i="2" s="1"/>
  <c r="AF532" i="34"/>
  <c r="AF382" i="2"/>
  <c r="BM229" i="14"/>
  <c r="T276" i="34"/>
  <c r="AI290" i="2"/>
  <c r="AI1097" i="34" s="1"/>
  <c r="AC536" i="2"/>
  <c r="AC782" i="34" s="1"/>
  <c r="U1013" i="34"/>
  <c r="V12" i="14"/>
  <c r="V579" i="34" s="1"/>
  <c r="T1012" i="34"/>
  <c r="AM286" i="2"/>
  <c r="AM1093" i="34" s="1"/>
  <c r="AN228" i="2"/>
  <c r="AD503" i="2"/>
  <c r="AD739" i="34" s="1"/>
  <c r="Y977" i="34"/>
  <c r="AC175" i="2"/>
  <c r="AC176" i="2" s="1"/>
  <c r="AC981" i="34"/>
  <c r="V341" i="34"/>
  <c r="V795" i="34"/>
  <c r="AE548" i="2"/>
  <c r="P570" i="2"/>
  <c r="P809" i="34" s="1"/>
  <c r="AB537" i="2"/>
  <c r="AB783" i="34" s="1"/>
  <c r="AI1064" i="34"/>
  <c r="AR567" i="34"/>
  <c r="BL1044" i="34"/>
  <c r="AN474" i="2"/>
  <c r="AN89" i="2"/>
  <c r="Y260" i="2"/>
  <c r="BN71" i="2"/>
  <c r="AV25" i="1"/>
  <c r="AV1218" i="34" s="1"/>
  <c r="AV119" i="2"/>
  <c r="AN316" i="2"/>
  <c r="AN929" i="34" s="1"/>
  <c r="AN343" i="2"/>
  <c r="AN950" i="34" s="1"/>
  <c r="AA571" i="2"/>
  <c r="AA333" i="34" s="1"/>
  <c r="AD499" i="2"/>
  <c r="AI36" i="14"/>
  <c r="AI610" i="34" s="1"/>
  <c r="BP259" i="2"/>
  <c r="AI577" i="34"/>
  <c r="AM11" i="14"/>
  <c r="AM114" i="14"/>
  <c r="AM115" i="14" s="1"/>
  <c r="AE783" i="34"/>
  <c r="AU275" i="34"/>
  <c r="BA258" i="2"/>
  <c r="BA1064" i="34" s="1"/>
  <c r="Y484" i="2"/>
  <c r="Y435" i="34" s="1"/>
  <c r="AR1218" i="34"/>
  <c r="AJ567" i="34"/>
  <c r="BO60" i="2"/>
  <c r="BO720" i="34" s="1"/>
  <c r="AG61" i="2"/>
  <c r="AG721" i="34" s="1"/>
  <c r="AC277" i="2"/>
  <c r="AC1084" i="34" s="1"/>
  <c r="AO343" i="2"/>
  <c r="X537" i="2"/>
  <c r="AC709" i="34"/>
  <c r="W981" i="34"/>
  <c r="BO336" i="2"/>
  <c r="BO943" i="34" s="1"/>
  <c r="AO359" i="2"/>
  <c r="AO966" i="34" s="1"/>
  <c r="BN10" i="14"/>
  <c r="Z808" i="34"/>
  <c r="N573" i="2"/>
  <c r="N812" i="34" s="1"/>
  <c r="AI65" i="14"/>
  <c r="AI147" i="14"/>
  <c r="AI148" i="14" s="1"/>
  <c r="AM53" i="14"/>
  <c r="AM54" i="14" s="1"/>
  <c r="AB228" i="14"/>
  <c r="AS290" i="2"/>
  <c r="AS1097" i="34" s="1"/>
  <c r="BO10" i="14"/>
  <c r="BP34" i="2"/>
  <c r="BM111" i="2"/>
  <c r="BM977" i="34" s="1"/>
  <c r="BM178" i="2"/>
  <c r="AC301" i="34"/>
  <c r="S481" i="2"/>
  <c r="S432" i="34" s="1"/>
  <c r="BP15" i="2"/>
  <c r="BP699" i="34" s="1"/>
  <c r="AE228" i="14"/>
  <c r="AN948" i="34"/>
  <c r="BP341" i="2"/>
  <c r="CD341" i="2" s="1"/>
  <c r="AC573" i="2"/>
  <c r="AC812" i="34" s="1"/>
  <c r="AA107" i="14"/>
  <c r="P313" i="34"/>
  <c r="AG50" i="2"/>
  <c r="BO88" i="2"/>
  <c r="BO89" i="2" s="1"/>
  <c r="AI382" i="34"/>
  <c r="AI891" i="34"/>
  <c r="AM728" i="34"/>
  <c r="AD228" i="14"/>
  <c r="AN346" i="2"/>
  <c r="AN953" i="34" s="1"/>
  <c r="AM147" i="14"/>
  <c r="AM148" i="14" s="1"/>
  <c r="AI29" i="14"/>
  <c r="AI171" i="14"/>
  <c r="AI173" i="14" s="1"/>
  <c r="BO15" i="2"/>
  <c r="BO699" i="34" s="1"/>
  <c r="AK291" i="2"/>
  <c r="AK1098" i="34" s="1"/>
  <c r="AI276" i="34"/>
  <c r="AC52" i="2"/>
  <c r="AC296" i="34" s="1"/>
  <c r="AO291" i="2"/>
  <c r="AO1098" i="34" s="1"/>
  <c r="AC717" i="34"/>
  <c r="S431" i="34"/>
  <c r="AG53" i="2"/>
  <c r="AG297" i="34" s="1"/>
  <c r="BM814" i="34"/>
  <c r="AB229" i="14"/>
  <c r="AB176" i="14" s="1"/>
  <c r="AL537" i="2"/>
  <c r="AL783" i="34" s="1"/>
  <c r="P502" i="34"/>
  <c r="P980" i="34"/>
  <c r="AF501" i="34"/>
  <c r="AF978" i="34"/>
  <c r="BM945" i="34"/>
  <c r="AS468" i="34"/>
  <c r="AQ492" i="34"/>
  <c r="BK969" i="34"/>
  <c r="AX418" i="34"/>
  <c r="BS472" i="2"/>
  <c r="BR473" i="2"/>
  <c r="BM897" i="34"/>
  <c r="AS386" i="34"/>
  <c r="AC386" i="34"/>
  <c r="AC651" i="2"/>
  <c r="AC897" i="34"/>
  <c r="BH1117" i="34"/>
  <c r="AN407" i="34"/>
  <c r="BI1109" i="34"/>
  <c r="AO399" i="34"/>
  <c r="AD1016" i="34"/>
  <c r="AD394" i="2"/>
  <c r="AD539" i="34"/>
  <c r="W1110" i="34"/>
  <c r="W400" i="34"/>
  <c r="V1122" i="34"/>
  <c r="V412" i="34"/>
  <c r="AO571" i="34"/>
  <c r="BI1048" i="34"/>
  <c r="AD1049" i="34"/>
  <c r="AD572" i="34"/>
  <c r="BJ1043" i="34"/>
  <c r="AP566" i="34"/>
  <c r="AB1033" i="34"/>
  <c r="AB402" i="2"/>
  <c r="AB556" i="34"/>
  <c r="AC1022" i="34"/>
  <c r="AC545" i="34"/>
  <c r="U1022" i="34"/>
  <c r="U545" i="34"/>
  <c r="P545" i="34"/>
  <c r="P1022" i="34"/>
  <c r="AQ525" i="34"/>
  <c r="BK1002" i="34"/>
  <c r="X1004" i="34"/>
  <c r="X527" i="34"/>
  <c r="AA520" i="34"/>
  <c r="AA997" i="34"/>
  <c r="BJ997" i="34"/>
  <c r="AP520" i="34"/>
  <c r="AI489" i="34"/>
  <c r="AI966" i="34"/>
  <c r="R969" i="34"/>
  <c r="R492" i="34"/>
  <c r="AF485" i="34"/>
  <c r="AF962" i="34"/>
  <c r="AB482" i="34"/>
  <c r="AB959" i="34"/>
  <c r="W472" i="34"/>
  <c r="W950" i="34"/>
  <c r="Z949" i="34"/>
  <c r="Z474" i="34"/>
  <c r="V940" i="34"/>
  <c r="Z334" i="2"/>
  <c r="BM925" i="34"/>
  <c r="BN314" i="2"/>
  <c r="AS446" i="34"/>
  <c r="BN313" i="2"/>
  <c r="AQ373" i="34"/>
  <c r="BK881" i="34"/>
  <c r="AG882" i="34"/>
  <c r="AG374" i="34"/>
  <c r="BO847" i="34"/>
  <c r="Z620" i="2"/>
  <c r="Z864" i="34" s="1"/>
  <c r="Z619" i="2"/>
  <c r="Z863" i="34" s="1"/>
  <c r="Z862" i="34"/>
  <c r="AD619" i="2"/>
  <c r="AD863" i="34" s="1"/>
  <c r="AD620" i="2"/>
  <c r="AD864" i="34" s="1"/>
  <c r="AH558" i="2"/>
  <c r="AH796" i="34"/>
  <c r="AH342" i="34"/>
  <c r="AI748" i="34"/>
  <c r="AH966" i="34"/>
  <c r="AH489" i="34"/>
  <c r="S503" i="34"/>
  <c r="S981" i="34"/>
  <c r="AF324" i="2"/>
  <c r="AF316" i="2"/>
  <c r="AG322" i="2"/>
  <c r="BP857" i="34"/>
  <c r="BP614" i="2"/>
  <c r="AV358" i="34"/>
  <c r="AD1109" i="34"/>
  <c r="AN539" i="34"/>
  <c r="BH1016" i="34"/>
  <c r="BH393" i="2"/>
  <c r="BI393" i="2"/>
  <c r="AD400" i="34"/>
  <c r="AD1110" i="34"/>
  <c r="V400" i="34"/>
  <c r="V1110" i="34"/>
  <c r="AC571" i="34"/>
  <c r="AC1048" i="34"/>
  <c r="Z1049" i="34"/>
  <c r="Z572" i="34"/>
  <c r="U1048" i="34"/>
  <c r="U571" i="34"/>
  <c r="Q571" i="34"/>
  <c r="Q1048" i="34"/>
  <c r="AB1022" i="34"/>
  <c r="AB545" i="34"/>
  <c r="T1021" i="34"/>
  <c r="T544" i="34"/>
  <c r="AB1004" i="34"/>
  <c r="AB527" i="34"/>
  <c r="AB390" i="2"/>
  <c r="AB1011" i="34"/>
  <c r="BM387" i="2"/>
  <c r="AB534" i="34"/>
  <c r="AB388" i="2"/>
  <c r="X525" i="34"/>
  <c r="X1002" i="34"/>
  <c r="AU521" i="34"/>
  <c r="BO998" i="34"/>
  <c r="BY359" i="2"/>
  <c r="BY966" i="34" s="1"/>
  <c r="BX966" i="34"/>
  <c r="BK967" i="34"/>
  <c r="AQ490" i="34"/>
  <c r="BL967" i="34"/>
  <c r="AR490" i="34"/>
  <c r="R967" i="34"/>
  <c r="R490" i="34"/>
  <c r="AF957" i="34"/>
  <c r="AF480" i="34"/>
  <c r="W475" i="34"/>
  <c r="W952" i="34"/>
  <c r="AS476" i="34"/>
  <c r="BM953" i="34"/>
  <c r="AE847" i="34"/>
  <c r="AI605" i="2"/>
  <c r="AI848" i="34" s="1"/>
  <c r="AI606" i="2"/>
  <c r="AI849" i="34" s="1"/>
  <c r="AC603" i="2"/>
  <c r="BN604" i="2"/>
  <c r="BO605" i="2" s="1"/>
  <c r="BO848" i="34" s="1"/>
  <c r="BN524" i="2"/>
  <c r="BN760" i="34" s="1"/>
  <c r="AD966" i="34"/>
  <c r="AD489" i="34"/>
  <c r="AC195" i="2"/>
  <c r="Y195" i="2"/>
  <c r="S977" i="34"/>
  <c r="S500" i="34"/>
  <c r="AG485" i="34"/>
  <c r="AG962" i="34"/>
  <c r="W1107" i="34"/>
  <c r="W397" i="34"/>
  <c r="AA585" i="2"/>
  <c r="AA824" i="34" s="1"/>
  <c r="Z820" i="34"/>
  <c r="AT573" i="34"/>
  <c r="BN1050" i="34"/>
  <c r="AT539" i="34"/>
  <c r="CA392" i="2"/>
  <c r="AA419" i="34"/>
  <c r="AE474" i="2"/>
  <c r="BM1115" i="34"/>
  <c r="AS405" i="34"/>
  <c r="AD1116" i="34"/>
  <c r="AD406" i="34"/>
  <c r="AD407" i="34"/>
  <c r="AD1117" i="34"/>
  <c r="V399" i="34"/>
  <c r="V1109" i="34"/>
  <c r="V393" i="2"/>
  <c r="V1016" i="34"/>
  <c r="V539" i="34"/>
  <c r="W394" i="2"/>
  <c r="AN573" i="34"/>
  <c r="BH1050" i="34"/>
  <c r="V1049" i="34"/>
  <c r="V572" i="34"/>
  <c r="U573" i="34"/>
  <c r="U1050" i="34"/>
  <c r="M572" i="34"/>
  <c r="M1049" i="34"/>
  <c r="AC559" i="34"/>
  <c r="AC1036" i="34"/>
  <c r="AD411" i="2"/>
  <c r="AC408" i="2"/>
  <c r="X1021" i="34"/>
  <c r="X544" i="34"/>
  <c r="Q545" i="34"/>
  <c r="Q1022" i="34"/>
  <c r="AC1003" i="34"/>
  <c r="AC526" i="34"/>
  <c r="BM1001" i="34"/>
  <c r="BM378" i="2"/>
  <c r="AQ521" i="34"/>
  <c r="BK998" i="34"/>
  <c r="BJ1020" i="34"/>
  <c r="AP543" i="34"/>
  <c r="BJ397" i="2"/>
  <c r="AE966" i="34"/>
  <c r="AE489" i="34"/>
  <c r="V967" i="34"/>
  <c r="V490" i="34"/>
  <c r="AF481" i="34"/>
  <c r="AF958" i="34"/>
  <c r="AF961" i="34"/>
  <c r="AF484" i="34"/>
  <c r="BM352" i="2"/>
  <c r="BM956" i="34"/>
  <c r="BM353" i="2"/>
  <c r="AS479" i="34"/>
  <c r="AB960" i="34"/>
  <c r="AB483" i="34"/>
  <c r="W313" i="2"/>
  <c r="W316" i="2"/>
  <c r="W925" i="34"/>
  <c r="W314" i="2"/>
  <c r="W305" i="2"/>
  <c r="AA307" i="2" s="1"/>
  <c r="W315" i="2"/>
  <c r="AI633" i="2"/>
  <c r="AI878" i="34" s="1"/>
  <c r="AE639" i="2"/>
  <c r="AA353" i="34"/>
  <c r="AA851" i="34"/>
  <c r="AH987" i="34"/>
  <c r="AH165" i="2"/>
  <c r="AH988" i="34" s="1"/>
  <c r="BL1011" i="34"/>
  <c r="BL388" i="2"/>
  <c r="AT473" i="34"/>
  <c r="BN951" i="34"/>
  <c r="AA178" i="2"/>
  <c r="AE178" i="2"/>
  <c r="T976" i="34"/>
  <c r="T499" i="34"/>
  <c r="N572" i="34"/>
  <c r="N1049" i="34"/>
  <c r="AE448" i="2"/>
  <c r="AF448" i="2"/>
  <c r="AE397" i="34"/>
  <c r="AE1107" i="34"/>
  <c r="W481" i="2"/>
  <c r="W432" i="34" s="1"/>
  <c r="W483" i="2"/>
  <c r="W434" i="34" s="1"/>
  <c r="AS404" i="34"/>
  <c r="BM1114" i="34"/>
  <c r="AC1113" i="34"/>
  <c r="AC403" i="34"/>
  <c r="AC1115" i="34"/>
  <c r="AC405" i="34"/>
  <c r="BH1108" i="34"/>
  <c r="AN398" i="34"/>
  <c r="BI1108" i="34"/>
  <c r="AO398" i="34"/>
  <c r="AD397" i="34"/>
  <c r="AD1107" i="34"/>
  <c r="AD448" i="2"/>
  <c r="AD453" i="2"/>
  <c r="V407" i="34"/>
  <c r="V1117" i="34"/>
  <c r="AN571" i="34"/>
  <c r="BH1048" i="34"/>
  <c r="Q572" i="34"/>
  <c r="Q1049" i="34"/>
  <c r="M1050" i="34"/>
  <c r="M573" i="34"/>
  <c r="AP573" i="34"/>
  <c r="BJ1050" i="34"/>
  <c r="BJ1044" i="34"/>
  <c r="AP567" i="34"/>
  <c r="X1022" i="34"/>
  <c r="X545" i="34"/>
  <c r="T545" i="34"/>
  <c r="T1022" i="34"/>
  <c r="P1021" i="34"/>
  <c r="P544" i="34"/>
  <c r="BK1014" i="34"/>
  <c r="AQ537" i="34"/>
  <c r="T536" i="34"/>
  <c r="T1013" i="34"/>
  <c r="AB1003" i="34"/>
  <c r="AB526" i="34"/>
  <c r="S491" i="34"/>
  <c r="S968" i="34"/>
  <c r="BN353" i="2"/>
  <c r="BN354" i="2"/>
  <c r="AT479" i="34"/>
  <c r="BN350" i="2"/>
  <c r="BN956" i="34"/>
  <c r="AT474" i="34"/>
  <c r="BN949" i="34"/>
  <c r="V352" i="2"/>
  <c r="V479" i="34"/>
  <c r="V956" i="34"/>
  <c r="V353" i="2"/>
  <c r="Z473" i="34"/>
  <c r="Z951" i="34"/>
  <c r="AS492" i="34"/>
  <c r="BM969" i="34"/>
  <c r="AA927" i="34"/>
  <c r="AA448" i="34"/>
  <c r="AE927" i="34"/>
  <c r="AE448" i="34"/>
  <c r="Y881" i="34"/>
  <c r="Y373" i="34"/>
  <c r="AA368" i="34"/>
  <c r="AA872" i="34"/>
  <c r="AA632" i="2"/>
  <c r="BM613" i="2"/>
  <c r="BN614" i="2" s="1"/>
  <c r="BO927" i="34"/>
  <c r="AU448" i="34"/>
  <c r="AG953" i="34"/>
  <c r="AG476" i="34"/>
  <c r="AA566" i="34"/>
  <c r="AA1043" i="34"/>
  <c r="AE537" i="34"/>
  <c r="AE1014" i="34"/>
  <c r="AG431" i="34"/>
  <c r="AD960" i="34"/>
  <c r="AD483" i="34"/>
  <c r="AH1109" i="34"/>
  <c r="AH399" i="34"/>
  <c r="AH961" i="34"/>
  <c r="AH484" i="34"/>
  <c r="AG439" i="34"/>
  <c r="AG918" i="34"/>
  <c r="AG307" i="2"/>
  <c r="AG309" i="2"/>
  <c r="AM499" i="2"/>
  <c r="AC1014" i="34"/>
  <c r="AI450" i="2"/>
  <c r="AJ446" i="2"/>
  <c r="AI392" i="2"/>
  <c r="AI394" i="2" s="1"/>
  <c r="AI449" i="2"/>
  <c r="AI1106" i="34"/>
  <c r="AI396" i="34"/>
  <c r="AG934" i="34"/>
  <c r="AG457" i="34"/>
  <c r="BN965" i="34"/>
  <c r="AT488" i="34"/>
  <c r="AH327" i="34"/>
  <c r="AH804" i="34"/>
  <c r="AG468" i="34"/>
  <c r="AG945" i="34"/>
  <c r="AH803" i="34"/>
  <c r="AH326" i="34"/>
  <c r="U502" i="34"/>
  <c r="U980" i="34"/>
  <c r="Y499" i="34"/>
  <c r="Y976" i="34"/>
  <c r="AM771" i="34"/>
  <c r="AM546" i="2"/>
  <c r="AN1042" i="34"/>
  <c r="AN418" i="2"/>
  <c r="AN1043" i="34" s="1"/>
  <c r="AS121" i="2"/>
  <c r="AJ428" i="2"/>
  <c r="AJ429" i="2"/>
  <c r="AN428" i="2"/>
  <c r="AJ430" i="2"/>
  <c r="Q731" i="34"/>
  <c r="Q314" i="34"/>
  <c r="AO345" i="2"/>
  <c r="AO952" i="34" s="1"/>
  <c r="AN363" i="2"/>
  <c r="AN970" i="34" s="1"/>
  <c r="AN511" i="2"/>
  <c r="AN755" i="34"/>
  <c r="AI702" i="34"/>
  <c r="AI41" i="2"/>
  <c r="AI703" i="34" s="1"/>
  <c r="AI287" i="2"/>
  <c r="AI1094" i="34" s="1"/>
  <c r="AI1061" i="34"/>
  <c r="AI276" i="2"/>
  <c r="AI1083" i="34" s="1"/>
  <c r="BN814" i="34"/>
  <c r="BN576" i="2"/>
  <c r="AC331" i="2"/>
  <c r="AB329" i="2"/>
  <c r="X312" i="34"/>
  <c r="X728" i="34"/>
  <c r="X331" i="34"/>
  <c r="Y573" i="2"/>
  <c r="Q313" i="34"/>
  <c r="Q730" i="34"/>
  <c r="Q329" i="2"/>
  <c r="P329" i="2"/>
  <c r="P331" i="2"/>
  <c r="Q331" i="2"/>
  <c r="AA709" i="34"/>
  <c r="AA52" i="2"/>
  <c r="AA53" i="2"/>
  <c r="AA50" i="2"/>
  <c r="AA293" i="34"/>
  <c r="M502" i="34"/>
  <c r="M980" i="34"/>
  <c r="Q976" i="34"/>
  <c r="Q499" i="34"/>
  <c r="AM362" i="2"/>
  <c r="AM969" i="34" s="1"/>
  <c r="AM933" i="34"/>
  <c r="AV564" i="34"/>
  <c r="BP1041" i="34"/>
  <c r="CD416" i="2"/>
  <c r="Q186" i="14"/>
  <c r="Q577" i="34"/>
  <c r="M731" i="34"/>
  <c r="M314" i="34"/>
  <c r="AI293" i="34"/>
  <c r="AI709" i="34"/>
  <c r="M481" i="2"/>
  <c r="M432" i="34" s="1"/>
  <c r="M431" i="34"/>
  <c r="M482" i="2"/>
  <c r="M433" i="34" s="1"/>
  <c r="AF815" i="34"/>
  <c r="AF577" i="2"/>
  <c r="AF816" i="34" s="1"/>
  <c r="AF771" i="34"/>
  <c r="AC316" i="34"/>
  <c r="AC733" i="34"/>
  <c r="Y733" i="34"/>
  <c r="Y316" i="34"/>
  <c r="Y552" i="2"/>
  <c r="AC553" i="2" s="1"/>
  <c r="X732" i="34"/>
  <c r="X315" i="34"/>
  <c r="T732" i="34"/>
  <c r="T315" i="34"/>
  <c r="P808" i="34"/>
  <c r="Q573" i="2"/>
  <c r="AC280" i="2"/>
  <c r="AC1087" i="34" s="1"/>
  <c r="Q481" i="2"/>
  <c r="Q432" i="34" s="1"/>
  <c r="AO277" i="2"/>
  <c r="AO1084" i="34" s="1"/>
  <c r="Q977" i="34"/>
  <c r="Q500" i="34"/>
  <c r="U978" i="34"/>
  <c r="U501" i="34"/>
  <c r="Y179" i="2"/>
  <c r="Y177" i="2"/>
  <c r="AC183" i="2"/>
  <c r="AC184" i="2" s="1"/>
  <c r="AC187" i="2"/>
  <c r="Y731" i="34"/>
  <c r="Y314" i="34"/>
  <c r="Y276" i="34"/>
  <c r="Y699" i="34"/>
  <c r="U36" i="14"/>
  <c r="U610" i="34" s="1"/>
  <c r="U120" i="14"/>
  <c r="U626" i="34" s="1"/>
  <c r="U65" i="14"/>
  <c r="U29" i="14"/>
  <c r="N700" i="34"/>
  <c r="N277" i="34"/>
  <c r="AV479" i="34"/>
  <c r="BP956" i="34"/>
  <c r="AI14" i="14"/>
  <c r="AI152" i="14"/>
  <c r="AJ492" i="2"/>
  <c r="AJ729" i="34" s="1"/>
  <c r="AJ728" i="34"/>
  <c r="AJ312" i="34"/>
  <c r="AF592" i="2"/>
  <c r="AF831" i="34" s="1"/>
  <c r="AF830" i="34"/>
  <c r="AB492" i="2"/>
  <c r="AB729" i="34" s="1"/>
  <c r="AB312" i="34"/>
  <c r="AB728" i="34"/>
  <c r="U733" i="34"/>
  <c r="U316" i="34"/>
  <c r="AC291" i="2"/>
  <c r="AC1098" i="34" s="1"/>
  <c r="AA718" i="34"/>
  <c r="AA302" i="34"/>
  <c r="AO79" i="2"/>
  <c r="S728" i="34"/>
  <c r="S312" i="34"/>
  <c r="M501" i="34"/>
  <c r="M978" i="34"/>
  <c r="Y502" i="34"/>
  <c r="Y980" i="34"/>
  <c r="BP88" i="2"/>
  <c r="BP85" i="2"/>
  <c r="BP86" i="2"/>
  <c r="Z277" i="34"/>
  <c r="Z700" i="34"/>
  <c r="AI1063" i="34"/>
  <c r="AI278" i="2"/>
  <c r="AI1085" i="34" s="1"/>
  <c r="AI289" i="2"/>
  <c r="AI1096" i="34" s="1"/>
  <c r="AI277" i="34"/>
  <c r="AI700" i="34"/>
  <c r="AK106" i="14"/>
  <c r="AK778" i="34"/>
  <c r="AF492" i="2"/>
  <c r="AF729" i="34" s="1"/>
  <c r="AF312" i="34"/>
  <c r="AF728" i="34"/>
  <c r="AB499" i="2"/>
  <c r="AB736" i="34" s="1"/>
  <c r="AC501" i="2"/>
  <c r="AC737" i="34" s="1"/>
  <c r="AB502" i="2"/>
  <c r="AB738" i="34" s="1"/>
  <c r="AB501" i="2"/>
  <c r="AB737" i="34" s="1"/>
  <c r="AC503" i="2"/>
  <c r="AC739" i="34" s="1"/>
  <c r="AC730" i="34"/>
  <c r="AC313" i="34"/>
  <c r="AB331" i="34"/>
  <c r="AB570" i="2"/>
  <c r="AB572" i="2"/>
  <c r="AB808" i="34"/>
  <c r="Y313" i="34"/>
  <c r="Y730" i="34"/>
  <c r="AC229" i="2"/>
  <c r="AC232" i="2"/>
  <c r="AC231" i="2"/>
  <c r="AC230" i="2"/>
  <c r="Q483" i="2"/>
  <c r="Q434" i="34" s="1"/>
  <c r="AL276" i="2"/>
  <c r="AL1083" i="34" s="1"/>
  <c r="AL1061" i="34"/>
  <c r="AL287" i="2"/>
  <c r="AL1094" i="34" s="1"/>
  <c r="X316" i="34"/>
  <c r="X733" i="34"/>
  <c r="X536" i="2"/>
  <c r="X782" i="34" s="1"/>
  <c r="W537" i="2"/>
  <c r="W780" i="34"/>
  <c r="AB536" i="2"/>
  <c r="AB782" i="34" s="1"/>
  <c r="AB535" i="2"/>
  <c r="AB781" i="34" s="1"/>
  <c r="AN172" i="2"/>
  <c r="N980" i="34"/>
  <c r="N316" i="34"/>
  <c r="X535" i="2"/>
  <c r="X781" i="34" s="1"/>
  <c r="X730" i="34"/>
  <c r="X313" i="34"/>
  <c r="AA331" i="34"/>
  <c r="AE570" i="2"/>
  <c r="AA808" i="34"/>
  <c r="AB573" i="2"/>
  <c r="AA572" i="2"/>
  <c r="AA570" i="2"/>
  <c r="AB571" i="2"/>
  <c r="AE572" i="2"/>
  <c r="AK1064" i="34"/>
  <c r="AA732" i="34"/>
  <c r="AA315" i="34"/>
  <c r="AA731" i="34"/>
  <c r="AA314" i="34"/>
  <c r="AJ106" i="14"/>
  <c r="BO106" i="14" s="1"/>
  <c r="AJ778" i="34"/>
  <c r="AJ227" i="14"/>
  <c r="AL545" i="2"/>
  <c r="AO173" i="2"/>
  <c r="AO189" i="2" s="1"/>
  <c r="AA330" i="2"/>
  <c r="AL114" i="14"/>
  <c r="AL115" i="14" s="1"/>
  <c r="AL147" i="14"/>
  <c r="AL148" i="14" s="1"/>
  <c r="AL120" i="14"/>
  <c r="AO171" i="14"/>
  <c r="AO114" i="14"/>
  <c r="AO115" i="14" s="1"/>
  <c r="W331" i="34"/>
  <c r="X573" i="2"/>
  <c r="W572" i="2"/>
  <c r="W808" i="34"/>
  <c r="X571" i="2"/>
  <c r="W570" i="2"/>
  <c r="AA327" i="2"/>
  <c r="AO19" i="2"/>
  <c r="AN173" i="2"/>
  <c r="AN189" i="2" s="1"/>
  <c r="AR190" i="2" s="1"/>
  <c r="Z977" i="34"/>
  <c r="AJ485" i="34"/>
  <c r="AF151" i="2"/>
  <c r="AF154" i="2"/>
  <c r="AJ524" i="2"/>
  <c r="AJ760" i="34" s="1"/>
  <c r="AJ759" i="34"/>
  <c r="AM146" i="2"/>
  <c r="AM56" i="14"/>
  <c r="AM109" i="2"/>
  <c r="AM113" i="2" s="1"/>
  <c r="AM980" i="34" s="1"/>
  <c r="AK709" i="34"/>
  <c r="AK52" i="2"/>
  <c r="AK712" i="34" s="1"/>
  <c r="BP417" i="2"/>
  <c r="BO417" i="2"/>
  <c r="X482" i="2"/>
  <c r="X433" i="34" s="1"/>
  <c r="AB481" i="2"/>
  <c r="AB432" i="34" s="1"/>
  <c r="X484" i="2"/>
  <c r="X435" i="34" s="1"/>
  <c r="X431" i="34"/>
  <c r="X331" i="2"/>
  <c r="AN524" i="2"/>
  <c r="AN760" i="34" s="1"/>
  <c r="AH1016" i="34"/>
  <c r="BJ569" i="2"/>
  <c r="BJ808" i="34" s="1"/>
  <c r="AM295" i="2"/>
  <c r="AM242" i="2"/>
  <c r="Z499" i="34"/>
  <c r="BP698" i="34"/>
  <c r="AD570" i="2"/>
  <c r="AD332" i="34" s="1"/>
  <c r="AB550" i="2"/>
  <c r="AQ339" i="34"/>
  <c r="BL557" i="2"/>
  <c r="BK793" i="34"/>
  <c r="BL559" i="2"/>
  <c r="BK559" i="2"/>
  <c r="BK557" i="2"/>
  <c r="AR410" i="34"/>
  <c r="BL1120" i="34"/>
  <c r="AN399" i="34"/>
  <c r="BH1109" i="34"/>
  <c r="T573" i="34"/>
  <c r="T1050" i="34"/>
  <c r="Q967" i="34"/>
  <c r="Q490" i="34"/>
  <c r="AG843" i="34"/>
  <c r="AG349" i="34"/>
  <c r="R545" i="34"/>
  <c r="R1022" i="34"/>
  <c r="BN1108" i="34"/>
  <c r="AT398" i="34"/>
  <c r="P22" i="35"/>
  <c r="X479" i="34"/>
  <c r="AB350" i="2"/>
  <c r="AB480" i="34" s="1"/>
  <c r="X355" i="2"/>
  <c r="X485" i="34" s="1"/>
  <c r="AK480" i="2"/>
  <c r="AK481" i="2" s="1"/>
  <c r="AK323" i="2"/>
  <c r="AK936" i="34" s="1"/>
  <c r="BK1043" i="34"/>
  <c r="AE443" i="34"/>
  <c r="AN106" i="14"/>
  <c r="V331" i="2"/>
  <c r="BL491" i="2"/>
  <c r="BL728" i="34" s="1"/>
  <c r="BL534" i="2"/>
  <c r="BL780" i="34" s="1"/>
  <c r="AL512" i="2"/>
  <c r="AL748" i="34" s="1"/>
  <c r="AJ306" i="34"/>
  <c r="AH572" i="2"/>
  <c r="AH334" i="34" s="1"/>
  <c r="T731" i="34"/>
  <c r="AF545" i="34"/>
  <c r="AF1022" i="34"/>
  <c r="AA340" i="34"/>
  <c r="AA794" i="34"/>
  <c r="W818" i="34"/>
  <c r="Y581" i="2"/>
  <c r="Y780" i="34"/>
  <c r="Y537" i="2"/>
  <c r="Y535" i="2"/>
  <c r="Y781" i="34" s="1"/>
  <c r="Y536" i="2"/>
  <c r="Y782" i="34" s="1"/>
  <c r="Z411" i="34"/>
  <c r="Z1121" i="34"/>
  <c r="Z403" i="34"/>
  <c r="Z1113" i="34"/>
  <c r="AE399" i="34"/>
  <c r="AE1109" i="34"/>
  <c r="AC1049" i="34"/>
  <c r="AC572" i="34"/>
  <c r="P571" i="34"/>
  <c r="P1048" i="34"/>
  <c r="AB481" i="34"/>
  <c r="AB958" i="34"/>
  <c r="AJ448" i="34"/>
  <c r="AJ927" i="34"/>
  <c r="W639" i="2"/>
  <c r="N1021" i="34"/>
  <c r="N544" i="34"/>
  <c r="Z525" i="34"/>
  <c r="Z1002" i="34"/>
  <c r="AS399" i="34"/>
  <c r="BM1109" i="34"/>
  <c r="AD566" i="34"/>
  <c r="AD1043" i="34"/>
  <c r="W342" i="34"/>
  <c r="W796" i="34"/>
  <c r="BL897" i="34"/>
  <c r="AR386" i="34"/>
  <c r="X571" i="34"/>
  <c r="X1048" i="34"/>
  <c r="AI957" i="34"/>
  <c r="AI480" i="34"/>
  <c r="AD526" i="34"/>
  <c r="AD1003" i="34"/>
  <c r="V195" i="2"/>
  <c r="Y351" i="2"/>
  <c r="Y481" i="34" s="1"/>
  <c r="Y355" i="2"/>
  <c r="Y485" i="34" s="1"/>
  <c r="T728" i="34"/>
  <c r="AK352" i="2"/>
  <c r="AK959" i="34" s="1"/>
  <c r="X1049" i="34"/>
  <c r="X277" i="34"/>
  <c r="AL352" i="2"/>
  <c r="AL959" i="34" s="1"/>
  <c r="AO280" i="2"/>
  <c r="AO1087" i="34" s="1"/>
  <c r="W331" i="2"/>
  <c r="AT101" i="2"/>
  <c r="AL514" i="2"/>
  <c r="AL750" i="34" s="1"/>
  <c r="AO321" i="2"/>
  <c r="AO934" i="34" s="1"/>
  <c r="AM514" i="2"/>
  <c r="AM750" i="34" s="1"/>
  <c r="AK305" i="2"/>
  <c r="AE796" i="34"/>
  <c r="AE342" i="34"/>
  <c r="AE558" i="2"/>
  <c r="AA342" i="34"/>
  <c r="AA558" i="2"/>
  <c r="AC512" i="2"/>
  <c r="AC748" i="34" s="1"/>
  <c r="AC514" i="2"/>
  <c r="AC750" i="34" s="1"/>
  <c r="AM399" i="34"/>
  <c r="BG1109" i="34"/>
  <c r="AA1016" i="34"/>
  <c r="AA539" i="34"/>
  <c r="AA393" i="2"/>
  <c r="AB1050" i="34"/>
  <c r="AB573" i="34"/>
  <c r="P1050" i="34"/>
  <c r="P573" i="34"/>
  <c r="W997" i="34"/>
  <c r="W520" i="34"/>
  <c r="AI305" i="2"/>
  <c r="AM307" i="2" s="1"/>
  <c r="AM920" i="34" s="1"/>
  <c r="AM321" i="2"/>
  <c r="AM934" i="34" s="1"/>
  <c r="AI352" i="2"/>
  <c r="AI338" i="2"/>
  <c r="AI316" i="2"/>
  <c r="AI480" i="2"/>
  <c r="AI483" i="2" s="1"/>
  <c r="AI434" i="34" s="1"/>
  <c r="AI933" i="34"/>
  <c r="AI346" i="2"/>
  <c r="AI362" i="2"/>
  <c r="AI456" i="34"/>
  <c r="AM323" i="2"/>
  <c r="AM936" i="34" s="1"/>
  <c r="AI323" i="2"/>
  <c r="AI321" i="2"/>
  <c r="AI324" i="2"/>
  <c r="AI322" i="2"/>
  <c r="AI326" i="2"/>
  <c r="AA959" i="34"/>
  <c r="AA482" i="34"/>
  <c r="U948" i="34"/>
  <c r="V345" i="2"/>
  <c r="U363" i="2"/>
  <c r="U471" i="34"/>
  <c r="U333" i="2"/>
  <c r="Y342" i="2"/>
  <c r="Y344" i="2"/>
  <c r="V343" i="2"/>
  <c r="U349" i="2"/>
  <c r="AJ449" i="34"/>
  <c r="AJ928" i="34"/>
  <c r="X866" i="34"/>
  <c r="X363" i="34"/>
  <c r="AD1022" i="34"/>
  <c r="AD545" i="34"/>
  <c r="AD1004" i="34"/>
  <c r="AD527" i="34"/>
  <c r="BL1004" i="34"/>
  <c r="AR527" i="34"/>
  <c r="AA411" i="34"/>
  <c r="AA1121" i="34"/>
  <c r="AB571" i="34"/>
  <c r="AB1048" i="34"/>
  <c r="T953" i="34"/>
  <c r="T341" i="2"/>
  <c r="U343" i="2" s="1"/>
  <c r="T476" i="34"/>
  <c r="S346" i="2"/>
  <c r="AE545" i="34"/>
  <c r="AE1022" i="34"/>
  <c r="W536" i="34"/>
  <c r="W1013" i="34"/>
  <c r="AR532" i="34"/>
  <c r="BL1009" i="34"/>
  <c r="AP399" i="34"/>
  <c r="BJ1109" i="34"/>
  <c r="AB354" i="2"/>
  <c r="AB961" i="34" s="1"/>
  <c r="W558" i="2"/>
  <c r="W341" i="34" s="1"/>
  <c r="AK324" i="2"/>
  <c r="AK937" i="34" s="1"/>
  <c r="AE179" i="2"/>
  <c r="AL324" i="2"/>
  <c r="AL937" i="34" s="1"/>
  <c r="AH516" i="2"/>
  <c r="AH752" i="34" s="1"/>
  <c r="BT192" i="2"/>
  <c r="BU192" i="2" s="1"/>
  <c r="AN778" i="34"/>
  <c r="BO28" i="2"/>
  <c r="AR311" i="34"/>
  <c r="BL495" i="2"/>
  <c r="AR315" i="34" s="1"/>
  <c r="AJ80" i="2"/>
  <c r="AM515" i="2"/>
  <c r="AM751" i="34" s="1"/>
  <c r="BM255" i="2"/>
  <c r="BM1061" i="34" s="1"/>
  <c r="BQ117" i="2"/>
  <c r="AM512" i="2"/>
  <c r="V733" i="34"/>
  <c r="AM516" i="2"/>
  <c r="AM752" i="34" s="1"/>
  <c r="AD405" i="34"/>
  <c r="AD1115" i="34"/>
  <c r="AM398" i="34"/>
  <c r="BG1108" i="34"/>
  <c r="BG1122" i="34"/>
  <c r="AM412" i="34"/>
  <c r="AA1109" i="34"/>
  <c r="AA399" i="34"/>
  <c r="AF573" i="34"/>
  <c r="AF1050" i="34"/>
  <c r="Y1049" i="34"/>
  <c r="Y572" i="34"/>
  <c r="AC520" i="34"/>
  <c r="AC997" i="34"/>
  <c r="BM1020" i="34"/>
  <c r="AS543" i="34"/>
  <c r="BN397" i="2"/>
  <c r="Q491" i="34"/>
  <c r="Q968" i="34"/>
  <c r="AI484" i="34"/>
  <c r="AI961" i="34"/>
  <c r="AF364" i="34"/>
  <c r="AF867" i="34"/>
  <c r="AD1021" i="34"/>
  <c r="AD544" i="34"/>
  <c r="R1021" i="34"/>
  <c r="R544" i="34"/>
  <c r="BJ1108" i="34"/>
  <c r="AP398" i="34"/>
  <c r="AN877" i="34"/>
  <c r="AN634" i="2"/>
  <c r="AN879" i="34" s="1"/>
  <c r="AN633" i="2"/>
  <c r="AN878" i="34" s="1"/>
  <c r="AS398" i="34"/>
  <c r="BM1108" i="34"/>
  <c r="AP397" i="2"/>
  <c r="AP1021" i="34" s="1"/>
  <c r="AL343" i="2"/>
  <c r="AL950" i="34" s="1"/>
  <c r="AI61" i="14"/>
  <c r="N313" i="34"/>
  <c r="AT275" i="34"/>
  <c r="BN698" i="34"/>
  <c r="AJ926" i="34"/>
  <c r="AJ447" i="34"/>
  <c r="AK338" i="2"/>
  <c r="AK945" i="34" s="1"/>
  <c r="AK362" i="2"/>
  <c r="AK969" i="34" s="1"/>
  <c r="AI26" i="2"/>
  <c r="U571" i="2"/>
  <c r="U810" i="34" s="1"/>
  <c r="AC700" i="34"/>
  <c r="AS535" i="2"/>
  <c r="AS781" i="34" s="1"/>
  <c r="AG80" i="2"/>
  <c r="AG79" i="2"/>
  <c r="AG81" i="2"/>
  <c r="AG77" i="2"/>
  <c r="BN171" i="2"/>
  <c r="BN174" i="2" s="1"/>
  <c r="CA67" i="2"/>
  <c r="BN76" i="2"/>
  <c r="BN80" i="2" s="1"/>
  <c r="AF976" i="34"/>
  <c r="AF499" i="34"/>
  <c r="AN79" i="2"/>
  <c r="AL106" i="14"/>
  <c r="AL778" i="34"/>
  <c r="AX65" i="14"/>
  <c r="AP277" i="2"/>
  <c r="AP1084" i="34" s="1"/>
  <c r="AK346" i="2"/>
  <c r="AK953" i="34" s="1"/>
  <c r="X327" i="2"/>
  <c r="AF12" i="14"/>
  <c r="AF579" i="34" s="1"/>
  <c r="BO956" i="34"/>
  <c r="BP160" i="2"/>
  <c r="AL277" i="2"/>
  <c r="AL1084" i="34" s="1"/>
  <c r="AM50" i="2"/>
  <c r="AM710" i="34" s="1"/>
  <c r="BO498" i="2"/>
  <c r="BO735" i="34" s="1"/>
  <c r="BP58" i="2"/>
  <c r="BP718" i="34" s="1"/>
  <c r="AT99" i="2"/>
  <c r="X29" i="14"/>
  <c r="AN81" i="2"/>
  <c r="AQ727" i="34"/>
  <c r="AP11" i="14"/>
  <c r="AL228" i="2"/>
  <c r="AS99" i="2"/>
  <c r="AO77" i="2"/>
  <c r="AE139" i="14"/>
  <c r="AI141" i="14" s="1"/>
  <c r="AM142" i="14" s="1"/>
  <c r="AF152" i="14"/>
  <c r="AF636" i="34" s="1"/>
  <c r="AH546" i="2"/>
  <c r="AE550" i="2"/>
  <c r="V980" i="34"/>
  <c r="AD771" i="34"/>
  <c r="AD190" i="2"/>
  <c r="AO503" i="34"/>
  <c r="BI981" i="34"/>
  <c r="BP354" i="2"/>
  <c r="AV484" i="34" s="1"/>
  <c r="BP60" i="2"/>
  <c r="AV304" i="34" s="1"/>
  <c r="AP100" i="2"/>
  <c r="T19" i="2"/>
  <c r="BP71" i="2"/>
  <c r="X577" i="34"/>
  <c r="AN80" i="2"/>
  <c r="X699" i="34"/>
  <c r="BO350" i="2"/>
  <c r="AU490" i="2"/>
  <c r="AU19" i="1" s="1"/>
  <c r="AF331" i="34"/>
  <c r="AA980" i="34"/>
  <c r="AN61" i="14"/>
  <c r="AV275" i="34"/>
  <c r="AQ516" i="2"/>
  <c r="AQ752" i="34" s="1"/>
  <c r="BK111" i="2"/>
  <c r="BK977" i="34" s="1"/>
  <c r="Y12" i="14"/>
  <c r="Y579" i="34" s="1"/>
  <c r="X120" i="14"/>
  <c r="X126" i="14" s="1"/>
  <c r="X632" i="34" s="1"/>
  <c r="AO101" i="2"/>
  <c r="BO354" i="2"/>
  <c r="BO961" i="34" s="1"/>
  <c r="AL288" i="2"/>
  <c r="AL1095" i="34" s="1"/>
  <c r="AK287" i="2"/>
  <c r="AK1094" i="34" s="1"/>
  <c r="AT97" i="2"/>
  <c r="AT98" i="2" s="1"/>
  <c r="AP101" i="2"/>
  <c r="AE230" i="14"/>
  <c r="AO81" i="2"/>
  <c r="AQ493" i="2"/>
  <c r="AQ730" i="34" s="1"/>
  <c r="AH277" i="34"/>
  <c r="AP12" i="14"/>
  <c r="AN182" i="2"/>
  <c r="AN185" i="2" s="1"/>
  <c r="AJ289" i="2"/>
  <c r="AJ1096" i="34" s="1"/>
  <c r="X11" i="14"/>
  <c r="X578" i="34" s="1"/>
  <c r="AH549" i="2"/>
  <c r="AD550" i="2"/>
  <c r="AI720" i="34"/>
  <c r="AI304" i="34"/>
  <c r="X314" i="34"/>
  <c r="X731" i="34"/>
  <c r="S647" i="34"/>
  <c r="S626" i="34"/>
  <c r="AJ483" i="34"/>
  <c r="AJ960" i="34"/>
  <c r="BN494" i="2"/>
  <c r="CB490" i="2"/>
  <c r="BN727" i="34"/>
  <c r="BN498" i="2"/>
  <c r="CA490" i="2"/>
  <c r="AT311" i="34"/>
  <c r="AQ515" i="2"/>
  <c r="AQ751" i="34" s="1"/>
  <c r="AN338" i="2"/>
  <c r="AN945" i="34" s="1"/>
  <c r="BM698" i="34"/>
  <c r="AO276" i="34"/>
  <c r="T11" i="14"/>
  <c r="T578" i="34" s="1"/>
  <c r="AL260" i="2"/>
  <c r="BL111" i="2"/>
  <c r="BL977" i="34" s="1"/>
  <c r="V536" i="2"/>
  <c r="V782" i="34" s="1"/>
  <c r="BN534" i="2"/>
  <c r="BN537" i="2" s="1"/>
  <c r="V179" i="2"/>
  <c r="AD327" i="2"/>
  <c r="AM38" i="2"/>
  <c r="Y19" i="2"/>
  <c r="BM495" i="2"/>
  <c r="BM732" i="34" s="1"/>
  <c r="AM235" i="2"/>
  <c r="AF280" i="2"/>
  <c r="AF1087" i="34" s="1"/>
  <c r="AH521" i="34"/>
  <c r="AO503" i="2"/>
  <c r="AO739" i="34" s="1"/>
  <c r="AH537" i="2"/>
  <c r="AH780" i="34"/>
  <c r="AI536" i="2"/>
  <c r="AI782" i="34" s="1"/>
  <c r="AI535" i="2"/>
  <c r="AI781" i="34" s="1"/>
  <c r="AH830" i="34"/>
  <c r="AH592" i="2"/>
  <c r="AH831" i="34" s="1"/>
  <c r="AK552" i="2"/>
  <c r="AK733" i="34"/>
  <c r="AK728" i="34"/>
  <c r="AQ1041" i="34"/>
  <c r="AQ1044" i="34"/>
  <c r="BK473" i="2"/>
  <c r="AQ419" i="34" s="1"/>
  <c r="BK477" i="2"/>
  <c r="AQ422" i="34" s="1"/>
  <c r="BK480" i="2"/>
  <c r="AQ418" i="34"/>
  <c r="AE730" i="34"/>
  <c r="AE313" i="34"/>
  <c r="Z730" i="34"/>
  <c r="Z313" i="34"/>
  <c r="O733" i="34"/>
  <c r="O316" i="34"/>
  <c r="AG520" i="34"/>
  <c r="AG997" i="34"/>
  <c r="AH330" i="2"/>
  <c r="AF546" i="2"/>
  <c r="AF547" i="2" s="1"/>
  <c r="AB548" i="2"/>
  <c r="AL397" i="2"/>
  <c r="AL1021" i="34" s="1"/>
  <c r="AH543" i="34"/>
  <c r="AH397" i="2"/>
  <c r="AH398" i="2"/>
  <c r="AH1020" i="34"/>
  <c r="V731" i="34"/>
  <c r="V314" i="34"/>
  <c r="AN362" i="2"/>
  <c r="AN969" i="34" s="1"/>
  <c r="AN324" i="2"/>
  <c r="AN937" i="34" s="1"/>
  <c r="AN933" i="34"/>
  <c r="AB771" i="34"/>
  <c r="BM326" i="2"/>
  <c r="BM327" i="2" s="1"/>
  <c r="BN257" i="2"/>
  <c r="BN1063" i="34" s="1"/>
  <c r="BK112" i="2"/>
  <c r="AQ501" i="34" s="1"/>
  <c r="BL112" i="2"/>
  <c r="AR501" i="34" s="1"/>
  <c r="V780" i="34"/>
  <c r="V535" i="2"/>
  <c r="V781" i="34" s="1"/>
  <c r="AJ291" i="2"/>
  <c r="AJ1098" i="34" s="1"/>
  <c r="BL494" i="2"/>
  <c r="AR314" i="34" s="1"/>
  <c r="AP514" i="2"/>
  <c r="AP750" i="34" s="1"/>
  <c r="AP512" i="2"/>
  <c r="AN305" i="2"/>
  <c r="V981" i="34"/>
  <c r="AA316" i="34"/>
  <c r="AB549" i="2"/>
  <c r="AO552" i="2"/>
  <c r="AO733" i="34"/>
  <c r="AN548" i="2"/>
  <c r="AN771" i="34"/>
  <c r="AO548" i="2"/>
  <c r="AN550" i="2"/>
  <c r="AO550" i="2"/>
  <c r="AH731" i="34"/>
  <c r="AH314" i="34"/>
  <c r="AM52" i="2"/>
  <c r="AM712" i="34" s="1"/>
  <c r="AM709" i="34"/>
  <c r="V481" i="2"/>
  <c r="V432" i="34" s="1"/>
  <c r="V483" i="2"/>
  <c r="V434" i="34" s="1"/>
  <c r="V431" i="34"/>
  <c r="V482" i="2"/>
  <c r="V433" i="34" s="1"/>
  <c r="W482" i="2"/>
  <c r="W433" i="34" s="1"/>
  <c r="V484" i="2"/>
  <c r="V435" i="34" s="1"/>
  <c r="BJ480" i="2"/>
  <c r="AP418" i="34"/>
  <c r="BJ477" i="2"/>
  <c r="AP422" i="34" s="1"/>
  <c r="BJ473" i="2"/>
  <c r="AP419" i="34" s="1"/>
  <c r="Z728" i="34"/>
  <c r="Z492" i="2"/>
  <c r="Z729" i="34" s="1"/>
  <c r="Z312" i="34"/>
  <c r="W573" i="2"/>
  <c r="V808" i="34"/>
  <c r="V573" i="2"/>
  <c r="W571" i="2"/>
  <c r="V331" i="34"/>
  <c r="V571" i="2"/>
  <c r="V730" i="34"/>
  <c r="V313" i="34"/>
  <c r="W733" i="34"/>
  <c r="W316" i="34"/>
  <c r="AI398" i="2"/>
  <c r="AN733" i="34"/>
  <c r="AN552" i="2"/>
  <c r="AI316" i="34"/>
  <c r="W730" i="34"/>
  <c r="W313" i="34"/>
  <c r="AO492" i="2"/>
  <c r="AO729" i="34" s="1"/>
  <c r="AO728" i="34"/>
  <c r="S482" i="2"/>
  <c r="S433" i="34" s="1"/>
  <c r="R431" i="34"/>
  <c r="S484" i="2"/>
  <c r="S435" i="34" s="1"/>
  <c r="AD331" i="2"/>
  <c r="AD329" i="2"/>
  <c r="AE331" i="2"/>
  <c r="AH327" i="2"/>
  <c r="O313" i="34"/>
  <c r="O730" i="34"/>
  <c r="AN326" i="2"/>
  <c r="AR330" i="2" s="1"/>
  <c r="AN480" i="2"/>
  <c r="BP320" i="2"/>
  <c r="AV456" i="34" s="1"/>
  <c r="AF549" i="2"/>
  <c r="BK114" i="2"/>
  <c r="AQ503" i="34" s="1"/>
  <c r="W535" i="2"/>
  <c r="W781" i="34" s="1"/>
  <c r="BN569" i="2"/>
  <c r="CC12" i="2"/>
  <c r="AJ280" i="2"/>
  <c r="AJ1087" i="34" s="1"/>
  <c r="AA552" i="2"/>
  <c r="AI519" i="34"/>
  <c r="AI996" i="34"/>
  <c r="AQ1218" i="34"/>
  <c r="AE733" i="34"/>
  <c r="AE316" i="34"/>
  <c r="AE552" i="2"/>
  <c r="V312" i="34"/>
  <c r="V728" i="34"/>
  <c r="V732" i="34"/>
  <c r="V315" i="34"/>
  <c r="AC550" i="2"/>
  <c r="S313" i="34"/>
  <c r="S730" i="34"/>
  <c r="AT231" i="2"/>
  <c r="AT233" i="2"/>
  <c r="AF36" i="14"/>
  <c r="T152" i="14"/>
  <c r="T157" i="14" s="1"/>
  <c r="T641" i="34" s="1"/>
  <c r="AF29" i="14"/>
  <c r="AF11" i="14"/>
  <c r="AF578" i="34" s="1"/>
  <c r="AF186" i="14"/>
  <c r="Q626" i="34"/>
  <c r="AF577" i="34"/>
  <c r="AT219" i="2"/>
  <c r="AA783" i="34"/>
  <c r="AK1042" i="34"/>
  <c r="AK418" i="2"/>
  <c r="AK1043" i="34" s="1"/>
  <c r="AP398" i="2"/>
  <c r="AP1022" i="34" s="1"/>
  <c r="AO397" i="2"/>
  <c r="AO1021" i="34" s="1"/>
  <c r="AD296" i="2"/>
  <c r="AD242" i="2"/>
  <c r="AH220" i="2" s="1"/>
  <c r="AE296" i="2"/>
  <c r="AD228" i="2"/>
  <c r="AJ156" i="2"/>
  <c r="AJ151" i="2"/>
  <c r="AK154" i="2"/>
  <c r="AK151" i="2"/>
  <c r="AJ154" i="2"/>
  <c r="AB1062" i="34"/>
  <c r="BM256" i="2"/>
  <c r="BM1062" i="34" s="1"/>
  <c r="X503" i="34"/>
  <c r="X981" i="34"/>
  <c r="P276" i="34"/>
  <c r="P699" i="34"/>
  <c r="AN321" i="2"/>
  <c r="AN934" i="34" s="1"/>
  <c r="AN323" i="2"/>
  <c r="AN936" i="34" s="1"/>
  <c r="AP515" i="2"/>
  <c r="AP751" i="34" s="1"/>
  <c r="AP516" i="2"/>
  <c r="AP752" i="34" s="1"/>
  <c r="AN743" i="34"/>
  <c r="R503" i="34"/>
  <c r="R981" i="34"/>
  <c r="BK975" i="34"/>
  <c r="CB109" i="2"/>
  <c r="V500" i="34"/>
  <c r="V977" i="34"/>
  <c r="AE501" i="34"/>
  <c r="AE978" i="34"/>
  <c r="AH728" i="34"/>
  <c r="AH312" i="34"/>
  <c r="AH492" i="2"/>
  <c r="AH729" i="34" s="1"/>
  <c r="BP10" i="14"/>
  <c r="BP74" i="14" s="1"/>
  <c r="BP476" i="2"/>
  <c r="AV421" i="34" s="1"/>
  <c r="AG276" i="2"/>
  <c r="AG1083" i="34" s="1"/>
  <c r="AG287" i="2"/>
  <c r="AG1094" i="34" s="1"/>
  <c r="AG1061" i="34"/>
  <c r="AJ303" i="34"/>
  <c r="AJ719" i="34"/>
  <c r="BP792" i="34"/>
  <c r="AV338" i="34"/>
  <c r="AO418" i="2"/>
  <c r="AO1043" i="34" s="1"/>
  <c r="AO1042" i="34"/>
  <c r="AP418" i="2"/>
  <c r="AP1043" i="34" s="1"/>
  <c r="AD25" i="2"/>
  <c r="AD26" i="2"/>
  <c r="AB981" i="34"/>
  <c r="AB503" i="34"/>
  <c r="AO743" i="34"/>
  <c r="N499" i="34"/>
  <c r="N976" i="34"/>
  <c r="R976" i="34"/>
  <c r="R499" i="34"/>
  <c r="R502" i="34"/>
  <c r="R980" i="34"/>
  <c r="V499" i="34"/>
  <c r="V976" i="34"/>
  <c r="AD501" i="34"/>
  <c r="AD978" i="34"/>
  <c r="AD977" i="34"/>
  <c r="AD500" i="34"/>
  <c r="AJ344" i="2"/>
  <c r="AN342" i="2"/>
  <c r="AN949" i="34" s="1"/>
  <c r="BO341" i="2"/>
  <c r="BO353" i="2" s="1"/>
  <c r="AJ346" i="2"/>
  <c r="AJ363" i="2"/>
  <c r="AJ343" i="2"/>
  <c r="AJ948" i="34"/>
  <c r="AJ345" i="2"/>
  <c r="AN344" i="2"/>
  <c r="AN951" i="34" s="1"/>
  <c r="AJ342" i="2"/>
  <c r="AJ471" i="34"/>
  <c r="AJ305" i="2"/>
  <c r="AJ362" i="2"/>
  <c r="AJ480" i="2"/>
  <c r="BO320" i="2"/>
  <c r="BO321" i="2" s="1"/>
  <c r="AJ338" i="2"/>
  <c r="AJ316" i="2"/>
  <c r="AJ326" i="2"/>
  <c r="AJ322" i="2"/>
  <c r="AJ321" i="2"/>
  <c r="AK326" i="2"/>
  <c r="AJ324" i="2"/>
  <c r="AJ456" i="34"/>
  <c r="AJ933" i="34"/>
  <c r="AK322" i="2"/>
  <c r="AK935" i="34" s="1"/>
  <c r="AJ323" i="2"/>
  <c r="AJ352" i="2"/>
  <c r="AU338" i="34"/>
  <c r="BO792" i="34"/>
  <c r="AE571" i="2"/>
  <c r="AE573" i="2"/>
  <c r="AD571" i="2"/>
  <c r="AD573" i="2"/>
  <c r="AH570" i="2"/>
  <c r="AD808" i="34"/>
  <c r="AD331" i="34"/>
  <c r="AD537" i="2"/>
  <c r="AE536" i="2"/>
  <c r="AE782" i="34" s="1"/>
  <c r="AE535" i="2"/>
  <c r="AE781" i="34" s="1"/>
  <c r="AD536" i="2"/>
  <c r="AD782" i="34" s="1"/>
  <c r="AD535" i="2"/>
  <c r="AD781" i="34" s="1"/>
  <c r="AD780" i="34"/>
  <c r="AJ481" i="34"/>
  <c r="AJ958" i="34"/>
  <c r="AN50" i="2"/>
  <c r="AN710" i="34" s="1"/>
  <c r="AN53" i="2"/>
  <c r="AN713" i="34" s="1"/>
  <c r="BQ416" i="2"/>
  <c r="AR1041" i="34"/>
  <c r="AR1045" i="34"/>
  <c r="AS416" i="2"/>
  <c r="AR1044" i="34"/>
  <c r="AO315" i="34"/>
  <c r="BI732" i="34"/>
  <c r="AL1042" i="34"/>
  <c r="AM418" i="2"/>
  <c r="AM1043" i="34" s="1"/>
  <c r="AL418" i="2"/>
  <c r="AL1043" i="34" s="1"/>
  <c r="AK1020" i="34"/>
  <c r="AK398" i="2"/>
  <c r="AK1022" i="34" s="1"/>
  <c r="AL398" i="2"/>
  <c r="AL1022" i="34" s="1"/>
  <c r="AK397" i="2"/>
  <c r="AK1021" i="34" s="1"/>
  <c r="BJ68" i="2"/>
  <c r="BJ72" i="2"/>
  <c r="AF503" i="34"/>
  <c r="AF981" i="34"/>
  <c r="AB20" i="2"/>
  <c r="AC20" i="2"/>
  <c r="AB19" i="2"/>
  <c r="CD333" i="2"/>
  <c r="AV463" i="34"/>
  <c r="BP940" i="34"/>
  <c r="BJ112" i="2"/>
  <c r="AP498" i="34"/>
  <c r="BJ975" i="34"/>
  <c r="BJ111" i="2"/>
  <c r="R977" i="34"/>
  <c r="R500" i="34"/>
  <c r="W980" i="34"/>
  <c r="W502" i="34"/>
  <c r="AC815" i="34"/>
  <c r="AG577" i="2"/>
  <c r="AG816" i="34" s="1"/>
  <c r="AC577" i="2"/>
  <c r="AC816" i="34" s="1"/>
  <c r="Z229" i="14"/>
  <c r="AA228" i="14"/>
  <c r="AD730" i="34"/>
  <c r="AD313" i="34"/>
  <c r="AE501" i="2"/>
  <c r="AE737" i="34" s="1"/>
  <c r="AE503" i="2"/>
  <c r="AE739" i="34" s="1"/>
  <c r="AD502" i="2"/>
  <c r="AD738" i="34" s="1"/>
  <c r="AD501" i="2"/>
  <c r="AD737" i="34" s="1"/>
  <c r="AA501" i="2"/>
  <c r="AA737" i="34" s="1"/>
  <c r="Z501" i="2"/>
  <c r="Z737" i="34" s="1"/>
  <c r="AA503" i="2"/>
  <c r="AA739" i="34" s="1"/>
  <c r="Z502" i="2"/>
  <c r="Z738" i="34" s="1"/>
  <c r="Z499" i="2"/>
  <c r="Z736" i="34" s="1"/>
  <c r="Z503" i="2"/>
  <c r="Z739" i="34" s="1"/>
  <c r="AG419" i="34"/>
  <c r="AK474" i="2"/>
  <c r="AG474" i="2"/>
  <c r="AH539" i="34"/>
  <c r="AV28" i="2"/>
  <c r="AD728" i="34"/>
  <c r="AD312" i="34"/>
  <c r="AD492" i="2"/>
  <c r="AD729" i="34" s="1"/>
  <c r="BO717" i="34"/>
  <c r="AU301" i="34"/>
  <c r="N26" i="2"/>
  <c r="R25" i="2"/>
  <c r="AF120" i="14"/>
  <c r="AJ147" i="14"/>
  <c r="AJ148" i="14" s="1"/>
  <c r="BP742" i="34"/>
  <c r="BP532" i="2"/>
  <c r="BP507" i="2"/>
  <c r="BP743" i="34" s="1"/>
  <c r="N978" i="34"/>
  <c r="N501" i="34"/>
  <c r="W499" i="34"/>
  <c r="W976" i="34"/>
  <c r="V501" i="34"/>
  <c r="V978" i="34"/>
  <c r="CA109" i="2"/>
  <c r="BN975" i="34"/>
  <c r="AT498" i="34"/>
  <c r="BN114" i="2"/>
  <c r="N481" i="2"/>
  <c r="N432" i="34" s="1"/>
  <c r="O484" i="2"/>
  <c r="O435" i="34" s="1"/>
  <c r="O482" i="2"/>
  <c r="O433" i="34" s="1"/>
  <c r="N431" i="34"/>
  <c r="N482" i="2"/>
  <c r="N433" i="34" s="1"/>
  <c r="N484" i="2"/>
  <c r="N435" i="34" s="1"/>
  <c r="R483" i="2"/>
  <c r="R434" i="34" s="1"/>
  <c r="R481" i="2"/>
  <c r="R432" i="34" s="1"/>
  <c r="AJ480" i="34"/>
  <c r="AJ957" i="34"/>
  <c r="AD552" i="2"/>
  <c r="AD316" i="34"/>
  <c r="AC482" i="2"/>
  <c r="AC433" i="34" s="1"/>
  <c r="AG483" i="2"/>
  <c r="AG434" i="34" s="1"/>
  <c r="AC431" i="34"/>
  <c r="AC481" i="2"/>
  <c r="AC432" i="34" s="1"/>
  <c r="AC483" i="2"/>
  <c r="AC434" i="34" s="1"/>
  <c r="AG481" i="2"/>
  <c r="AG432" i="34" s="1"/>
  <c r="AC484" i="2"/>
  <c r="AC435" i="34" s="1"/>
  <c r="AK278" i="2"/>
  <c r="AK1085" i="34" s="1"/>
  <c r="BQ92" i="2"/>
  <c r="BQ169" i="2"/>
  <c r="BQ227" i="14" s="1"/>
  <c r="BQ93" i="2"/>
  <c r="BN254" i="2"/>
  <c r="AP159" i="2"/>
  <c r="AD178" i="2"/>
  <c r="AL316" i="2"/>
  <c r="AL929" i="34" s="1"/>
  <c r="AL322" i="2"/>
  <c r="AL935" i="34" s="1"/>
  <c r="AO480" i="2"/>
  <c r="AN26" i="2"/>
  <c r="AB11" i="14"/>
  <c r="AB578" i="34" s="1"/>
  <c r="BO294" i="2"/>
  <c r="AC12" i="14"/>
  <c r="AC579" i="34" s="1"/>
  <c r="AF1060" i="34"/>
  <c r="Y277" i="34"/>
  <c r="P728" i="34"/>
  <c r="AT238" i="2"/>
  <c r="AL61" i="14"/>
  <c r="T312" i="34"/>
  <c r="AP161" i="2"/>
  <c r="AD179" i="2"/>
  <c r="AL933" i="34"/>
  <c r="AM324" i="2"/>
  <c r="AM937" i="34" s="1"/>
  <c r="AV67" i="2"/>
  <c r="AV294" i="2" s="1"/>
  <c r="AS83" i="2"/>
  <c r="AS76" i="2" s="1"/>
  <c r="AD177" i="2"/>
  <c r="AM326" i="2"/>
  <c r="AL305" i="2"/>
  <c r="AL309" i="2" s="1"/>
  <c r="AL922" i="34" s="1"/>
  <c r="AM25" i="2"/>
  <c r="AO80" i="2"/>
  <c r="AF20" i="2"/>
  <c r="AF19" i="2"/>
  <c r="AG20" i="2"/>
  <c r="O501" i="34"/>
  <c r="O978" i="34"/>
  <c r="O980" i="34"/>
  <c r="O502" i="34"/>
  <c r="S980" i="34"/>
  <c r="S502" i="34"/>
  <c r="AA499" i="34"/>
  <c r="AA976" i="34"/>
  <c r="AE977" i="34"/>
  <c r="AE500" i="34"/>
  <c r="AO323" i="2"/>
  <c r="AO936" i="34" s="1"/>
  <c r="AO326" i="2"/>
  <c r="AO316" i="2"/>
  <c r="AO338" i="2"/>
  <c r="AO945" i="34" s="1"/>
  <c r="AO346" i="2"/>
  <c r="AO953" i="34" s="1"/>
  <c r="AO933" i="34"/>
  <c r="AO352" i="2"/>
  <c r="AO959" i="34" s="1"/>
  <c r="AO305" i="2"/>
  <c r="AO324" i="2"/>
  <c r="AO937" i="34" s="1"/>
  <c r="AP322" i="2"/>
  <c r="AP935" i="34" s="1"/>
  <c r="AO362" i="2"/>
  <c r="AO969" i="34" s="1"/>
  <c r="AP324" i="2"/>
  <c r="AP937" i="34" s="1"/>
  <c r="AP326" i="2"/>
  <c r="AO322" i="2"/>
  <c r="AO935" i="34" s="1"/>
  <c r="AO778" i="34"/>
  <c r="AO106" i="14"/>
  <c r="AE177" i="2"/>
  <c r="AD175" i="2"/>
  <c r="AI38" i="2"/>
  <c r="AH38" i="2"/>
  <c r="AK31" i="2"/>
  <c r="AG32" i="2"/>
  <c r="AF260" i="2"/>
  <c r="AJ281" i="2" s="1"/>
  <c r="AJ1088" i="34" s="1"/>
  <c r="AF275" i="2"/>
  <c r="AF1082" i="34" s="1"/>
  <c r="AF1064" i="34"/>
  <c r="AF279" i="2"/>
  <c r="AF1086" i="34" s="1"/>
  <c r="AF290" i="2"/>
  <c r="AF1097" i="34" s="1"/>
  <c r="AF276" i="2"/>
  <c r="AF1083" i="34" s="1"/>
  <c r="AF1061" i="34"/>
  <c r="AF287" i="2"/>
  <c r="AF1094" i="34" s="1"/>
  <c r="AB1060" i="34"/>
  <c r="AB260" i="2"/>
  <c r="AB1066" i="34" s="1"/>
  <c r="BM254" i="2"/>
  <c r="AB699" i="34"/>
  <c r="AB276" i="34"/>
  <c r="AB29" i="14"/>
  <c r="AB577" i="34"/>
  <c r="AB65" i="14"/>
  <c r="AB186" i="14"/>
  <c r="AB36" i="14"/>
  <c r="AB37" i="14" s="1"/>
  <c r="AB611" i="34" s="1"/>
  <c r="AB120" i="14"/>
  <c r="T700" i="34"/>
  <c r="T277" i="34"/>
  <c r="P277" i="34"/>
  <c r="P700" i="34"/>
  <c r="AK80" i="2"/>
  <c r="BI152" i="14"/>
  <c r="BI120" i="14"/>
  <c r="AO626" i="34" s="1"/>
  <c r="BI186" i="14"/>
  <c r="AO577" i="34"/>
  <c r="BI29" i="14"/>
  <c r="BI14" i="14"/>
  <c r="BI36" i="14"/>
  <c r="BI65" i="14"/>
  <c r="BI11" i="14"/>
  <c r="AO578" i="34" s="1"/>
  <c r="AH156" i="2"/>
  <c r="AH151" i="2"/>
  <c r="BO150" i="2"/>
  <c r="AH154" i="2"/>
  <c r="AI154" i="2"/>
  <c r="AI151" i="2"/>
  <c r="AL362" i="2"/>
  <c r="AL969" i="34" s="1"/>
  <c r="AL338" i="2"/>
  <c r="AL945" i="34" s="1"/>
  <c r="AL480" i="2"/>
  <c r="AL326" i="2"/>
  <c r="AL321" i="2"/>
  <c r="AL934" i="34" s="1"/>
  <c r="AL323" i="2"/>
  <c r="AL936" i="34" s="1"/>
  <c r="AP323" i="2"/>
  <c r="AP936" i="34" s="1"/>
  <c r="AP321" i="2"/>
  <c r="AP934" i="34" s="1"/>
  <c r="AJ466" i="34"/>
  <c r="AJ941" i="34"/>
  <c r="AJ942" i="34"/>
  <c r="AJ464" i="34"/>
  <c r="AG552" i="2"/>
  <c r="AG733" i="34"/>
  <c r="AM996" i="34"/>
  <c r="AM373" i="2"/>
  <c r="AM997" i="34" s="1"/>
  <c r="Q332" i="34"/>
  <c r="Q809" i="34"/>
  <c r="AR728" i="34"/>
  <c r="AM111" i="14"/>
  <c r="AM112" i="14" s="1"/>
  <c r="AM108" i="14"/>
  <c r="P499" i="34"/>
  <c r="P976" i="34"/>
  <c r="W501" i="34"/>
  <c r="W978" i="34"/>
  <c r="AE499" i="34"/>
  <c r="AE976" i="34"/>
  <c r="AF502" i="34"/>
  <c r="AF980" i="34"/>
  <c r="BP139" i="2"/>
  <c r="BP138" i="2"/>
  <c r="AM101" i="2"/>
  <c r="AM100" i="2"/>
  <c r="AO100" i="2"/>
  <c r="AF699" i="34"/>
  <c r="AF276" i="34"/>
  <c r="AB1064" i="34"/>
  <c r="BM258" i="2"/>
  <c r="BM1064" i="34" s="1"/>
  <c r="AB58" i="2"/>
  <c r="AB59" i="2"/>
  <c r="AC62" i="2"/>
  <c r="AB62" i="2"/>
  <c r="AB717" i="34"/>
  <c r="AB49" i="2"/>
  <c r="AF50" i="2" s="1"/>
  <c r="AC59" i="2"/>
  <c r="BM57" i="2"/>
  <c r="AB301" i="34"/>
  <c r="U277" i="34"/>
  <c r="U700" i="34"/>
  <c r="X19" i="2"/>
  <c r="T20" i="2"/>
  <c r="P981" i="34"/>
  <c r="P503" i="34"/>
  <c r="AK235" i="2"/>
  <c r="AK344" i="2"/>
  <c r="AK951" i="34" s="1"/>
  <c r="AK343" i="2"/>
  <c r="AK950" i="34" s="1"/>
  <c r="AK353" i="2"/>
  <c r="AK960" i="34" s="1"/>
  <c r="AK342" i="2"/>
  <c r="AK949" i="34" s="1"/>
  <c r="AK363" i="2"/>
  <c r="AK970" i="34" s="1"/>
  <c r="AK948" i="34"/>
  <c r="AK345" i="2"/>
  <c r="AK952" i="34" s="1"/>
  <c r="AO342" i="2"/>
  <c r="AO949" i="34" s="1"/>
  <c r="AO344" i="2"/>
  <c r="AO951" i="34" s="1"/>
  <c r="AJ465" i="34"/>
  <c r="AJ943" i="34"/>
  <c r="BL814" i="34"/>
  <c r="BL576" i="2"/>
  <c r="BO754" i="34"/>
  <c r="BO523" i="2"/>
  <c r="BP524" i="2" s="1"/>
  <c r="BP760" i="34" s="1"/>
  <c r="BO520" i="2"/>
  <c r="BO521" i="2"/>
  <c r="BO757" i="34" s="1"/>
  <c r="AF572" i="2"/>
  <c r="AF571" i="2"/>
  <c r="AF570" i="2"/>
  <c r="AF573" i="2"/>
  <c r="T330" i="2"/>
  <c r="U331" i="2"/>
  <c r="U329" i="2"/>
  <c r="T327" i="2"/>
  <c r="X330" i="2"/>
  <c r="AM290" i="2"/>
  <c r="AM1097" i="34" s="1"/>
  <c r="AM279" i="2"/>
  <c r="AM1086" i="34" s="1"/>
  <c r="AM1064" i="34"/>
  <c r="AV61" i="14"/>
  <c r="AV534" i="2"/>
  <c r="AV727" i="34"/>
  <c r="AV491" i="2"/>
  <c r="AZ490" i="2"/>
  <c r="AZ19" i="1" s="1"/>
  <c r="Z718" i="34"/>
  <c r="Z302" i="34"/>
  <c r="AN97" i="2"/>
  <c r="AN99" i="2"/>
  <c r="AN100" i="2"/>
  <c r="AN101" i="2"/>
  <c r="O499" i="34"/>
  <c r="O976" i="34"/>
  <c r="S499" i="34"/>
  <c r="S976" i="34"/>
  <c r="BM975" i="34"/>
  <c r="BM112" i="2"/>
  <c r="BN111" i="2"/>
  <c r="AS498" i="34"/>
  <c r="BN112" i="2"/>
  <c r="BM114" i="2"/>
  <c r="AQ747" i="34"/>
  <c r="AQ514" i="2"/>
  <c r="AQ750" i="34" s="1"/>
  <c r="AQ512" i="2"/>
  <c r="AD185" i="2"/>
  <c r="BN182" i="2"/>
  <c r="BN186" i="2" s="1"/>
  <c r="AD187" i="2"/>
  <c r="AM32" i="2"/>
  <c r="AM31" i="2"/>
  <c r="BP28" i="2"/>
  <c r="AN32" i="2"/>
  <c r="AF709" i="34"/>
  <c r="AF52" i="2"/>
  <c r="AG54" i="2"/>
  <c r="AF293" i="34"/>
  <c r="AG51" i="2"/>
  <c r="AG62" i="2"/>
  <c r="AF717" i="34"/>
  <c r="AF61" i="2"/>
  <c r="AJ58" i="2"/>
  <c r="AF301" i="34"/>
  <c r="AF58" i="2"/>
  <c r="AG59" i="2"/>
  <c r="AJ61" i="2"/>
  <c r="AB1065" i="34"/>
  <c r="BM259" i="2"/>
  <c r="BM1065" i="34" s="1"/>
  <c r="BK10" i="14"/>
  <c r="AQ275" i="34"/>
  <c r="BK698" i="34"/>
  <c r="CB12" i="2"/>
  <c r="BK476" i="2"/>
  <c r="AQ421" i="34" s="1"/>
  <c r="BK494" i="2"/>
  <c r="AL359" i="2"/>
  <c r="AL966" i="34" s="1"/>
  <c r="AL965" i="34"/>
  <c r="AL344" i="2"/>
  <c r="AL951" i="34" s="1"/>
  <c r="AL346" i="2"/>
  <c r="AL953" i="34" s="1"/>
  <c r="AL948" i="34"/>
  <c r="AP344" i="2"/>
  <c r="AP951" i="34" s="1"/>
  <c r="AP342" i="2"/>
  <c r="AP949" i="34" s="1"/>
  <c r="AF501" i="2"/>
  <c r="AF737" i="34" s="1"/>
  <c r="AF503" i="2"/>
  <c r="AF739" i="34" s="1"/>
  <c r="AG501" i="2"/>
  <c r="AG737" i="34" s="1"/>
  <c r="AF499" i="2"/>
  <c r="AF502" i="2"/>
  <c r="AF738" i="34" s="1"/>
  <c r="AF731" i="34"/>
  <c r="AF314" i="34"/>
  <c r="AQ534" i="2"/>
  <c r="AQ545" i="2"/>
  <c r="AQ491" i="2"/>
  <c r="AR493" i="2"/>
  <c r="AR730" i="34" s="1"/>
  <c r="AR496" i="2"/>
  <c r="AQ496" i="2"/>
  <c r="BQ490" i="2"/>
  <c r="AM1063" i="34"/>
  <c r="AM278" i="2"/>
  <c r="AM1085" i="34" s="1"/>
  <c r="AM289" i="2"/>
  <c r="AM1096" i="34" s="1"/>
  <c r="AM1065" i="34"/>
  <c r="AM291" i="2"/>
  <c r="AM1098" i="34" s="1"/>
  <c r="AM1062" i="34"/>
  <c r="AM277" i="2"/>
  <c r="AM288" i="2"/>
  <c r="AM1095" i="34" s="1"/>
  <c r="AA636" i="34"/>
  <c r="Y107" i="14"/>
  <c r="AF291" i="2"/>
  <c r="AF1098" i="34" s="1"/>
  <c r="AF419" i="34"/>
  <c r="AJ474" i="2"/>
  <c r="AF474" i="2"/>
  <c r="AI178" i="14"/>
  <c r="W977" i="34"/>
  <c r="W500" i="34"/>
  <c r="Z980" i="34"/>
  <c r="Z502" i="34"/>
  <c r="AE503" i="34"/>
  <c r="AE981" i="34"/>
  <c r="AE502" i="34"/>
  <c r="AE980" i="34"/>
  <c r="AR511" i="2"/>
  <c r="AP742" i="34"/>
  <c r="AP509" i="2"/>
  <c r="AP745" i="34" s="1"/>
  <c r="AP532" i="2"/>
  <c r="AP508" i="2"/>
  <c r="AP744" i="34" s="1"/>
  <c r="AP579" i="2"/>
  <c r="AP818" i="34" s="1"/>
  <c r="AQ506" i="2"/>
  <c r="W179" i="2"/>
  <c r="V177" i="2"/>
  <c r="Z179" i="2"/>
  <c r="Z177" i="2"/>
  <c r="AA179" i="2"/>
  <c r="Z175" i="2"/>
  <c r="Z178" i="2"/>
  <c r="AA177" i="2"/>
  <c r="AL38" i="2"/>
  <c r="AL37" i="2"/>
  <c r="BO34" i="2"/>
  <c r="AF1063" i="34"/>
  <c r="AF278" i="2"/>
  <c r="AF1085" i="34" s="1"/>
  <c r="AF289" i="2"/>
  <c r="AF1096" i="34" s="1"/>
  <c r="AF700" i="34"/>
  <c r="AF277" i="34"/>
  <c r="AF288" i="2"/>
  <c r="AF1095" i="34" s="1"/>
  <c r="AF277" i="2"/>
  <c r="AF1084" i="34" s="1"/>
  <c r="AF1062" i="34"/>
  <c r="AB1063" i="34"/>
  <c r="BM257" i="2"/>
  <c r="BM1063" i="34" s="1"/>
  <c r="BM10" i="14"/>
  <c r="BN15" i="2"/>
  <c r="BM171" i="14"/>
  <c r="BM15" i="2"/>
  <c r="CD12" i="2"/>
  <c r="BL15" i="2"/>
  <c r="BL171" i="14"/>
  <c r="BL10" i="14"/>
  <c r="AR275" i="34"/>
  <c r="BL698" i="34"/>
  <c r="T36" i="14"/>
  <c r="X37" i="14" s="1"/>
  <c r="X611" i="34" s="1"/>
  <c r="T12" i="14"/>
  <c r="T579" i="34" s="1"/>
  <c r="T29" i="14"/>
  <c r="T30" i="14" s="1"/>
  <c r="T577" i="34"/>
  <c r="T186" i="14"/>
  <c r="U12" i="14"/>
  <c r="U579" i="34" s="1"/>
  <c r="T503" i="34"/>
  <c r="T981" i="34"/>
  <c r="Q277" i="34"/>
  <c r="Q700" i="34"/>
  <c r="AL56" i="14"/>
  <c r="AL146" i="2"/>
  <c r="AL983" i="34"/>
  <c r="AP144" i="2"/>
  <c r="AL150" i="2"/>
  <c r="AM145" i="2"/>
  <c r="AM148" i="2"/>
  <c r="AM985" i="34" s="1"/>
  <c r="AU463" i="34"/>
  <c r="BO334" i="2"/>
  <c r="BP336" i="2"/>
  <c r="BP334" i="2"/>
  <c r="AJ755" i="34"/>
  <c r="AJ511" i="2"/>
  <c r="AJ514" i="2" s="1"/>
  <c r="AJ750" i="34" s="1"/>
  <c r="T808" i="34"/>
  <c r="T570" i="2"/>
  <c r="T572" i="2"/>
  <c r="U573" i="2"/>
  <c r="T331" i="34"/>
  <c r="X570" i="2"/>
  <c r="T571" i="2"/>
  <c r="T573" i="2"/>
  <c r="P731" i="34"/>
  <c r="P314" i="34"/>
  <c r="AM120" i="14"/>
  <c r="AM65" i="14"/>
  <c r="AM14" i="14"/>
  <c r="AM12" i="14"/>
  <c r="AM1060" i="34"/>
  <c r="AM262" i="2"/>
  <c r="AM1068" i="34" s="1"/>
  <c r="AM276" i="2"/>
  <c r="AM1061" i="34"/>
  <c r="AM287" i="2"/>
  <c r="AM1094" i="34" s="1"/>
  <c r="V229" i="14"/>
  <c r="AM309" i="2"/>
  <c r="AM922" i="34" s="1"/>
  <c r="AM918" i="34"/>
  <c r="AB12" i="14"/>
  <c r="AB579" i="34" s="1"/>
  <c r="AE185" i="2"/>
  <c r="AC53" i="2"/>
  <c r="AO537" i="2"/>
  <c r="AX235" i="2"/>
  <c r="Y842" i="34"/>
  <c r="Y348" i="34"/>
  <c r="Y604" i="2"/>
  <c r="BM599" i="2"/>
  <c r="U599" i="2"/>
  <c r="BN37" i="2"/>
  <c r="CB34" i="2"/>
  <c r="CA34" i="2"/>
  <c r="AM61" i="14"/>
  <c r="AM26" i="2"/>
  <c r="AQ294" i="2"/>
  <c r="AR296" i="2" s="1"/>
  <c r="BQ67" i="2"/>
  <c r="AU67" i="2"/>
  <c r="AN235" i="2"/>
  <c r="AN296" i="2"/>
  <c r="AN242" i="2"/>
  <c r="AQ997" i="34"/>
  <c r="AQ996" i="34"/>
  <c r="AD997" i="34"/>
  <c r="AD520" i="34"/>
  <c r="AL174" i="2"/>
  <c r="AR1217" i="34"/>
  <c r="AQ754" i="34"/>
  <c r="AM173" i="2"/>
  <c r="AM189" i="2" s="1"/>
  <c r="BF1122" i="34"/>
  <c r="AL412" i="34"/>
  <c r="BK997" i="34"/>
  <c r="AQ520" i="34"/>
  <c r="AC544" i="34"/>
  <c r="AC1021" i="34"/>
  <c r="X352" i="2"/>
  <c r="X353" i="2"/>
  <c r="AD315" i="34"/>
  <c r="AD732" i="34"/>
  <c r="Z536" i="2"/>
  <c r="Z782" i="34" s="1"/>
  <c r="Z535" i="2"/>
  <c r="Z781" i="34" s="1"/>
  <c r="Z780" i="34"/>
  <c r="AA536" i="2"/>
  <c r="AA782" i="34" s="1"/>
  <c r="AA535" i="2"/>
  <c r="AA781" i="34" s="1"/>
  <c r="Z537" i="2"/>
  <c r="O331" i="2"/>
  <c r="O329" i="2"/>
  <c r="AE1048" i="34"/>
  <c r="AE571" i="34"/>
  <c r="W1049" i="34"/>
  <c r="W572" i="34"/>
  <c r="S572" i="34"/>
  <c r="S1049" i="34"/>
  <c r="O572" i="34"/>
  <c r="O1049" i="34"/>
  <c r="AF966" i="34"/>
  <c r="AF489" i="34"/>
  <c r="W126" i="14"/>
  <c r="W632" i="34" s="1"/>
  <c r="V626" i="34"/>
  <c r="AG235" i="2"/>
  <c r="AG228" i="2"/>
  <c r="AG242" i="2"/>
  <c r="AK295" i="2"/>
  <c r="AG295" i="2"/>
  <c r="AN77" i="2"/>
  <c r="BF1109" i="34"/>
  <c r="AL399" i="34"/>
  <c r="AD388" i="2"/>
  <c r="AD534" i="34"/>
  <c r="AD389" i="2"/>
  <c r="AE389" i="2"/>
  <c r="AD1011" i="34"/>
  <c r="AD390" i="2"/>
  <c r="AA449" i="34"/>
  <c r="AA928" i="34"/>
  <c r="AA926" i="34"/>
  <c r="AA447" i="34"/>
  <c r="AE566" i="34"/>
  <c r="AE1043" i="34"/>
  <c r="Z731" i="34"/>
  <c r="Z314" i="34"/>
  <c r="Z570" i="2"/>
  <c r="AD572" i="2"/>
  <c r="Z572" i="2"/>
  <c r="Z571" i="2"/>
  <c r="AA573" i="2"/>
  <c r="N808" i="34"/>
  <c r="O571" i="2"/>
  <c r="O573" i="2"/>
  <c r="N571" i="2"/>
  <c r="Z20" i="2"/>
  <c r="AJ1064" i="34"/>
  <c r="BP258" i="2"/>
  <c r="BP1064" i="34" s="1"/>
  <c r="AJ279" i="2"/>
  <c r="AJ1086" i="34" s="1"/>
  <c r="AJ290" i="2"/>
  <c r="AJ1097" i="34" s="1"/>
  <c r="AG182" i="2"/>
  <c r="AG173" i="2"/>
  <c r="AG189" i="2" s="1"/>
  <c r="AG190" i="2" s="1"/>
  <c r="AG174" i="2"/>
  <c r="AG172" i="2"/>
  <c r="W1050" i="34"/>
  <c r="W573" i="34"/>
  <c r="S573" i="34"/>
  <c r="S1050" i="34"/>
  <c r="P572" i="34"/>
  <c r="P1049" i="34"/>
  <c r="AK56" i="14"/>
  <c r="AK145" i="2"/>
  <c r="AL145" i="2"/>
  <c r="AK147" i="2"/>
  <c r="AK984" i="34" s="1"/>
  <c r="AL148" i="2"/>
  <c r="AL985" i="34" s="1"/>
  <c r="AO144" i="2"/>
  <c r="AO260" i="2" s="1"/>
  <c r="AK109" i="2"/>
  <c r="AK260" i="2"/>
  <c r="AK1066" i="34" s="1"/>
  <c r="AK148" i="2"/>
  <c r="AK985" i="34" s="1"/>
  <c r="AK983" i="34"/>
  <c r="BP144" i="2"/>
  <c r="AG884" i="34"/>
  <c r="AG377" i="34"/>
  <c r="AG644" i="2"/>
  <c r="AD820" i="34"/>
  <c r="AD585" i="2"/>
  <c r="AD824" i="34" s="1"/>
  <c r="AE586" i="2"/>
  <c r="AE825" i="34" s="1"/>
  <c r="AD586" i="2"/>
  <c r="AD825" i="34" s="1"/>
  <c r="AE585" i="2"/>
  <c r="AE824" i="34" s="1"/>
  <c r="AD584" i="2"/>
  <c r="AD823" i="34" s="1"/>
  <c r="AH570" i="34"/>
  <c r="AH424" i="2"/>
  <c r="AH1047" i="34"/>
  <c r="AH425" i="2"/>
  <c r="AH423" i="2"/>
  <c r="AH237" i="14"/>
  <c r="AH690" i="34" s="1"/>
  <c r="AH689" i="34"/>
  <c r="AH238" i="14"/>
  <c r="AH691" i="34" s="1"/>
  <c r="V536" i="34"/>
  <c r="V1013" i="34"/>
  <c r="AQ527" i="34"/>
  <c r="BK1004" i="34"/>
  <c r="AB447" i="34"/>
  <c r="AB926" i="34"/>
  <c r="AA1034" i="34"/>
  <c r="AA557" i="34"/>
  <c r="S341" i="34"/>
  <c r="S795" i="34"/>
  <c r="AB949" i="34"/>
  <c r="AB474" i="34"/>
  <c r="Z733" i="34"/>
  <c r="Z316" i="34"/>
  <c r="N728" i="34"/>
  <c r="N312" i="34"/>
  <c r="Z552" i="2"/>
  <c r="AJ276" i="2"/>
  <c r="AJ1083" i="34" s="1"/>
  <c r="AJ287" i="2"/>
  <c r="AJ1094" i="34" s="1"/>
  <c r="AJ262" i="2"/>
  <c r="AJ1068" i="34" s="1"/>
  <c r="BO255" i="2"/>
  <c r="AF1049" i="34"/>
  <c r="AF572" i="34"/>
  <c r="AB1049" i="34"/>
  <c r="AB572" i="34"/>
  <c r="W571" i="34"/>
  <c r="W1048" i="34"/>
  <c r="AN146" i="2"/>
  <c r="AN150" i="2"/>
  <c r="AN260" i="2"/>
  <c r="AN983" i="34"/>
  <c r="AN148" i="2"/>
  <c r="AN985" i="34" s="1"/>
  <c r="AN145" i="2"/>
  <c r="AN56" i="14"/>
  <c r="AN109" i="2"/>
  <c r="AA387" i="34"/>
  <c r="AA898" i="34"/>
  <c r="X881" i="34"/>
  <c r="X373" i="34"/>
  <c r="BO614" i="2"/>
  <c r="AT358" i="34"/>
  <c r="BN857" i="34"/>
  <c r="AH512" i="2"/>
  <c r="AH747" i="34"/>
  <c r="AH514" i="2"/>
  <c r="AH750" i="34" s="1"/>
  <c r="AI515" i="2"/>
  <c r="AI751" i="34" s="1"/>
  <c r="AI516" i="2"/>
  <c r="AI752" i="34" s="1"/>
  <c r="AA516" i="2"/>
  <c r="AA752" i="34" s="1"/>
  <c r="Z747" i="34"/>
  <c r="AA515" i="2"/>
  <c r="AA751" i="34" s="1"/>
  <c r="AD514" i="2"/>
  <c r="AD750" i="34" s="1"/>
  <c r="AQ535" i="34"/>
  <c r="AH805" i="34"/>
  <c r="AH328" i="34"/>
  <c r="AS544" i="34"/>
  <c r="V1014" i="34"/>
  <c r="V537" i="34"/>
  <c r="AA308" i="2"/>
  <c r="AA918" i="34"/>
  <c r="AB306" i="2"/>
  <c r="AA439" i="34"/>
  <c r="BM305" i="2"/>
  <c r="AA306" i="2"/>
  <c r="AA309" i="2"/>
  <c r="AB308" i="2"/>
  <c r="AE307" i="2"/>
  <c r="BM491" i="2"/>
  <c r="BM727" i="34"/>
  <c r="BM534" i="2"/>
  <c r="BM494" i="2"/>
  <c r="BM569" i="2"/>
  <c r="BN491" i="2"/>
  <c r="BN495" i="2"/>
  <c r="AA329" i="2"/>
  <c r="Z331" i="2"/>
  <c r="Z329" i="2"/>
  <c r="AD330" i="2"/>
  <c r="Z327" i="2"/>
  <c r="Z330" i="2"/>
  <c r="AE606" i="2"/>
  <c r="AE849" i="34" s="1"/>
  <c r="AA605" i="2"/>
  <c r="AA848" i="34" s="1"/>
  <c r="AA847" i="34"/>
  <c r="AE605" i="2"/>
  <c r="AE848" i="34" s="1"/>
  <c r="AA606" i="2"/>
  <c r="AA849" i="34" s="1"/>
  <c r="U851" i="34"/>
  <c r="AC19" i="2"/>
  <c r="AE1049" i="34"/>
  <c r="AE572" i="34"/>
  <c r="AA571" i="34"/>
  <c r="AA1048" i="34"/>
  <c r="O1048" i="34"/>
  <c r="O571" i="34"/>
  <c r="AG966" i="34"/>
  <c r="AG489" i="34"/>
  <c r="AB898" i="34"/>
  <c r="AB387" i="34"/>
  <c r="AJ620" i="2"/>
  <c r="AJ864" i="34" s="1"/>
  <c r="AF862" i="34"/>
  <c r="AJ619" i="2"/>
  <c r="AJ863" i="34" s="1"/>
  <c r="AF620" i="2"/>
  <c r="AF864" i="34" s="1"/>
  <c r="AF639" i="2"/>
  <c r="AF619" i="2"/>
  <c r="AF863" i="34" s="1"/>
  <c r="BN618" i="2"/>
  <c r="AE748" i="34"/>
  <c r="AI513" i="2"/>
  <c r="AI749" i="34" s="1"/>
  <c r="AI236" i="14"/>
  <c r="AI566" i="2"/>
  <c r="AI422" i="2"/>
  <c r="AJ562" i="2"/>
  <c r="AJ569" i="2" s="1"/>
  <c r="AI164" i="2"/>
  <c r="AI565" i="2"/>
  <c r="AI556" i="2"/>
  <c r="AI564" i="2"/>
  <c r="AI801" i="34"/>
  <c r="AI575" i="2"/>
  <c r="AI569" i="2"/>
  <c r="AI324" i="34"/>
  <c r="AT182" i="2"/>
  <c r="AX68" i="2"/>
  <c r="AX69" i="2" s="1"/>
  <c r="BB67" i="2"/>
  <c r="AX24" i="1"/>
  <c r="AX1217" i="34" s="1"/>
  <c r="AX22" i="2"/>
  <c r="AX25" i="2" s="1"/>
  <c r="AX171" i="2"/>
  <c r="AX294" i="2"/>
  <c r="AG645" i="34"/>
  <c r="AI80" i="2"/>
  <c r="AI77" i="2"/>
  <c r="AM80" i="2"/>
  <c r="AM77" i="2"/>
  <c r="AJ182" i="2"/>
  <c r="AJ172" i="2"/>
  <c r="AJ173" i="2"/>
  <c r="AJ189" i="2" s="1"/>
  <c r="AJ296" i="2"/>
  <c r="AJ242" i="2"/>
  <c r="AJ62" i="14" s="1"/>
  <c r="AK296" i="2"/>
  <c r="AN295" i="2"/>
  <c r="AJ235" i="2"/>
  <c r="AJ219" i="2" s="1"/>
  <c r="AJ228" i="2"/>
  <c r="BP759" i="34"/>
  <c r="BP987" i="34"/>
  <c r="BM195" i="2"/>
  <c r="AP539" i="34"/>
  <c r="BJ1016" i="34"/>
  <c r="BJ393" i="2"/>
  <c r="AI182" i="2"/>
  <c r="AI174" i="2"/>
  <c r="AN25" i="2"/>
  <c r="AJ61" i="14"/>
  <c r="AJ26" i="2"/>
  <c r="AN177" i="2"/>
  <c r="AN179" i="2"/>
  <c r="Z866" i="34"/>
  <c r="Z363" i="34"/>
  <c r="AI520" i="34"/>
  <c r="AJ81" i="2"/>
  <c r="AG484" i="34"/>
  <c r="AG961" i="34"/>
  <c r="U872" i="34"/>
  <c r="BO22" i="2"/>
  <c r="AH61" i="14"/>
  <c r="AL25" i="2"/>
  <c r="AH26" i="2"/>
  <c r="AH25" i="2"/>
  <c r="AJ79" i="2"/>
  <c r="AI246" i="2"/>
  <c r="AI244" i="2"/>
  <c r="AI81" i="2"/>
  <c r="AH79" i="2"/>
  <c r="AH80" i="2"/>
  <c r="AH77" i="2"/>
  <c r="AI79" i="2"/>
  <c r="AH81" i="2"/>
  <c r="AI230" i="2"/>
  <c r="BP72" i="2"/>
  <c r="BO171" i="2"/>
  <c r="BO71" i="2"/>
  <c r="BO72" i="2"/>
  <c r="BO68" i="2"/>
  <c r="BO76" i="2"/>
  <c r="AI173" i="2"/>
  <c r="AI189" i="2" s="1"/>
  <c r="AH174" i="2"/>
  <c r="AH172" i="2"/>
  <c r="AI172" i="2"/>
  <c r="AH173" i="2"/>
  <c r="AH189" i="2" s="1"/>
  <c r="AH182" i="2"/>
  <c r="AX228" i="2"/>
  <c r="AT218" i="2"/>
  <c r="AT256" i="2"/>
  <c r="AP1062" i="34"/>
  <c r="AP288" i="2"/>
  <c r="AP1095" i="34" s="1"/>
  <c r="J25" i="35"/>
  <c r="J22" i="35"/>
  <c r="J30" i="35"/>
  <c r="AH53" i="2"/>
  <c r="AD709" i="34"/>
  <c r="AD54" i="2"/>
  <c r="AD293" i="34"/>
  <c r="AD52" i="2"/>
  <c r="AD51" i="2"/>
  <c r="AH50" i="2"/>
  <c r="AP615" i="34"/>
  <c r="BJ70" i="14"/>
  <c r="AP619" i="34" s="1"/>
  <c r="BJ68" i="14"/>
  <c r="AP617" i="34" s="1"/>
  <c r="AP278" i="2"/>
  <c r="AP1085" i="34" s="1"/>
  <c r="AT257" i="2"/>
  <c r="AP1063" i="34"/>
  <c r="AP289" i="2"/>
  <c r="AP1096" i="34" s="1"/>
  <c r="W24" i="34"/>
  <c r="W41" i="1"/>
  <c r="W1226" i="34"/>
  <c r="W39" i="1"/>
  <c r="BM33" i="1"/>
  <c r="AA390" i="2"/>
  <c r="AA534" i="34"/>
  <c r="AB389" i="2"/>
  <c r="AE388" i="2"/>
  <c r="AA1011" i="34"/>
  <c r="AA388" i="2"/>
  <c r="AA389" i="2"/>
  <c r="AB214" i="1"/>
  <c r="AB200" i="34" s="1"/>
  <c r="AA200" i="34"/>
  <c r="S265" i="1"/>
  <c r="S188" i="34"/>
  <c r="BQ35" i="1"/>
  <c r="AL1228" i="34"/>
  <c r="AG23" i="34"/>
  <c r="AG1225" i="34"/>
  <c r="AG41" i="1"/>
  <c r="AG39" i="1"/>
  <c r="W273" i="1"/>
  <c r="W258" i="34" s="1"/>
  <c r="W257" i="34"/>
  <c r="J19" i="35"/>
  <c r="J28" i="35" s="1"/>
  <c r="W545" i="34"/>
  <c r="W1022" i="34"/>
  <c r="AQ119" i="34"/>
  <c r="BL133" i="1"/>
  <c r="AQ121" i="34" s="1"/>
  <c r="X266" i="1"/>
  <c r="X251" i="34" s="1"/>
  <c r="X250" i="34"/>
  <c r="X274" i="1"/>
  <c r="X259" i="34" s="1"/>
  <c r="BN22" i="2"/>
  <c r="AG26" i="2"/>
  <c r="AF26" i="2"/>
  <c r="AF25" i="2"/>
  <c r="AJ25" i="2"/>
  <c r="AD65" i="14"/>
  <c r="AD186" i="14"/>
  <c r="AD36" i="14"/>
  <c r="AD577" i="34"/>
  <c r="AD29" i="14"/>
  <c r="AH147" i="14"/>
  <c r="AH148" i="14" s="1"/>
  <c r="AE12" i="14"/>
  <c r="AE579" i="34" s="1"/>
  <c r="AD120" i="14"/>
  <c r="AD152" i="14"/>
  <c r="AH171" i="14"/>
  <c r="AD11" i="14"/>
  <c r="AD578" i="34" s="1"/>
  <c r="AD12" i="14"/>
  <c r="AD579" i="34" s="1"/>
  <c r="AH53" i="14"/>
  <c r="AH54" i="14" s="1"/>
  <c r="AH11" i="14"/>
  <c r="AH578" i="34" s="1"/>
  <c r="AH114" i="14"/>
  <c r="AH115" i="14" s="1"/>
  <c r="AE520" i="34"/>
  <c r="AE997" i="34"/>
  <c r="AD480" i="34"/>
  <c r="AD957" i="34"/>
  <c r="AQ368" i="34"/>
  <c r="BK872" i="34"/>
  <c r="O244" i="34"/>
  <c r="O104" i="1"/>
  <c r="O92" i="34" s="1"/>
  <c r="O267" i="1"/>
  <c r="O252" i="34" s="1"/>
  <c r="O259" i="1"/>
  <c r="O245" i="34" s="1"/>
  <c r="O260" i="1"/>
  <c r="O246" i="34" s="1"/>
  <c r="O261" i="1"/>
  <c r="O247" i="34" s="1"/>
  <c r="AH139" i="14"/>
  <c r="AH176" i="14"/>
  <c r="AI230" i="14"/>
  <c r="AH230" i="14"/>
  <c r="AP133" i="2"/>
  <c r="AP132" i="2"/>
  <c r="BJ189" i="14"/>
  <c r="AP650" i="34" s="1"/>
  <c r="AP646" i="34"/>
  <c r="AH75" i="34"/>
  <c r="AH1281" i="34"/>
  <c r="AH87" i="1"/>
  <c r="BP88" i="1"/>
  <c r="AU75" i="34" s="1"/>
  <c r="U117" i="34"/>
  <c r="U133" i="1"/>
  <c r="U121" i="34" s="1"/>
  <c r="AC176" i="14"/>
  <c r="AC139" i="14"/>
  <c r="AD230" i="14"/>
  <c r="AB400" i="34"/>
  <c r="AB1110" i="34"/>
  <c r="Y341" i="34"/>
  <c r="AB1035" i="34"/>
  <c r="AB558" i="34"/>
  <c r="AM1280" i="34"/>
  <c r="AA274" i="1"/>
  <c r="AA259" i="34" s="1"/>
  <c r="AA250" i="34"/>
  <c r="AA267" i="1"/>
  <c r="AA252" i="34" s="1"/>
  <c r="AA266" i="1"/>
  <c r="AA251" i="34" s="1"/>
  <c r="T625" i="34"/>
  <c r="T120" i="14"/>
  <c r="T124" i="14"/>
  <c r="T630" i="34" s="1"/>
  <c r="T122" i="14"/>
  <c r="T628" i="34" s="1"/>
  <c r="T123" i="14"/>
  <c r="T629" i="34" s="1"/>
  <c r="T121" i="14"/>
  <c r="T627" i="34" s="1"/>
  <c r="U124" i="14"/>
  <c r="U630" i="34" s="1"/>
  <c r="U122" i="14"/>
  <c r="U628" i="34" s="1"/>
  <c r="AL114" i="2"/>
  <c r="AL981" i="34" s="1"/>
  <c r="AL975" i="34"/>
  <c r="AL111" i="2"/>
  <c r="AL977" i="34" s="1"/>
  <c r="AL112" i="2"/>
  <c r="AL978" i="34" s="1"/>
  <c r="BA171" i="1"/>
  <c r="BB171" i="1" s="1"/>
  <c r="BC171" i="1" s="1"/>
  <c r="BD171" i="1" s="1"/>
  <c r="BU171" i="1" s="1"/>
  <c r="BT171" i="1"/>
  <c r="AY160" i="34" s="1"/>
  <c r="AP81" i="2"/>
  <c r="AP79" i="2"/>
  <c r="BL34" i="1"/>
  <c r="Q41" i="1"/>
  <c r="Q39" i="1"/>
  <c r="Q1227" i="34"/>
  <c r="Q25" i="34"/>
  <c r="AE625" i="34"/>
  <c r="AF122" i="14"/>
  <c r="AF628" i="34" s="1"/>
  <c r="AE122" i="14"/>
  <c r="AE628" i="34" s="1"/>
  <c r="AF124" i="14"/>
  <c r="AF630" i="34" s="1"/>
  <c r="AE124" i="14"/>
  <c r="AE630" i="34" s="1"/>
  <c r="AE123" i="14"/>
  <c r="AE629" i="34" s="1"/>
  <c r="AE121" i="14"/>
  <c r="AE627" i="34" s="1"/>
  <c r="AE120" i="14"/>
  <c r="N27" i="34"/>
  <c r="N289" i="1"/>
  <c r="BK36" i="1"/>
  <c r="N1229" i="34"/>
  <c r="N41" i="1"/>
  <c r="N293" i="1"/>
  <c r="AR689" i="34"/>
  <c r="BM237" i="14"/>
  <c r="AS690" i="34" s="1"/>
  <c r="BL237" i="14"/>
  <c r="AR690" i="34" s="1"/>
  <c r="AP69" i="2"/>
  <c r="AT69" i="2"/>
  <c r="Y1226" i="34"/>
  <c r="Y24" i="34"/>
  <c r="Y39" i="1"/>
  <c r="BN33" i="1"/>
  <c r="Y41" i="1"/>
  <c r="BK32" i="1"/>
  <c r="P41" i="1"/>
  <c r="P39" i="1"/>
  <c r="P1225" i="34"/>
  <c r="P23" i="34"/>
  <c r="P186" i="14"/>
  <c r="T187" i="14"/>
  <c r="T648" i="34" s="1"/>
  <c r="P101" i="1"/>
  <c r="P89" i="34" s="1"/>
  <c r="P646" i="34"/>
  <c r="Q190" i="14"/>
  <c r="Q651" i="34" s="1"/>
  <c r="P190" i="14"/>
  <c r="P651" i="34" s="1"/>
  <c r="P188" i="14"/>
  <c r="P649" i="34" s="1"/>
  <c r="P187" i="14"/>
  <c r="P648" i="34" s="1"/>
  <c r="T189" i="14"/>
  <c r="T650" i="34" s="1"/>
  <c r="Q188" i="14"/>
  <c r="Q649" i="34" s="1"/>
  <c r="AD250" i="14"/>
  <c r="S200" i="34"/>
  <c r="S215" i="1"/>
  <c r="S201" i="34" s="1"/>
  <c r="AA192" i="34"/>
  <c r="AB206" i="1"/>
  <c r="Y183" i="1"/>
  <c r="Y172" i="34" s="1"/>
  <c r="Y151" i="34"/>
  <c r="Y129" i="1"/>
  <c r="AJ73" i="34"/>
  <c r="AJ87" i="1"/>
  <c r="AJ1279" i="34"/>
  <c r="AE74" i="34"/>
  <c r="AE1280" i="34"/>
  <c r="AF217" i="34"/>
  <c r="K5" i="35"/>
  <c r="K9" i="35" s="1"/>
  <c r="L4" i="35"/>
  <c r="L5" i="35" s="1"/>
  <c r="L9" i="35" s="1"/>
  <c r="AG418" i="2"/>
  <c r="AG1042" i="34"/>
  <c r="AG565" i="34"/>
  <c r="AG567" i="34"/>
  <c r="AG1044" i="34"/>
  <c r="X154" i="14"/>
  <c r="X638" i="34" s="1"/>
  <c r="W152" i="14"/>
  <c r="W153" i="14"/>
  <c r="W637" i="34" s="1"/>
  <c r="W154" i="14"/>
  <c r="W638" i="34" s="1"/>
  <c r="X156" i="14"/>
  <c r="X640" i="34" s="1"/>
  <c r="W156" i="14"/>
  <c r="W640" i="34" s="1"/>
  <c r="W635" i="34"/>
  <c r="AA155" i="14"/>
  <c r="AA639" i="34" s="1"/>
  <c r="W155" i="14"/>
  <c r="W639" i="34" s="1"/>
  <c r="AI1226" i="34"/>
  <c r="AI39" i="1"/>
  <c r="AI24" i="34"/>
  <c r="AI41" i="1"/>
  <c r="AI210" i="34"/>
  <c r="BP224" i="1"/>
  <c r="AU210" i="34" s="1"/>
  <c r="W199" i="34"/>
  <c r="X213" i="1"/>
  <c r="W215" i="1"/>
  <c r="W201" i="34" s="1"/>
  <c r="AI191" i="34"/>
  <c r="BP205" i="1"/>
  <c r="AU191" i="34" s="1"/>
  <c r="AI207" i="1"/>
  <c r="AQ158" i="34"/>
  <c r="BL172" i="1"/>
  <c r="BL124" i="1"/>
  <c r="AP207" i="34"/>
  <c r="AC1109" i="34"/>
  <c r="AC399" i="34"/>
  <c r="Q169" i="34"/>
  <c r="Q181" i="1"/>
  <c r="AI998" i="34"/>
  <c r="AI521" i="34"/>
  <c r="BK72" i="2"/>
  <c r="BK71" i="2"/>
  <c r="BK68" i="2"/>
  <c r="CB67" i="2"/>
  <c r="BM72" i="2"/>
  <c r="BN72" i="2"/>
  <c r="BM71" i="2"/>
  <c r="BN68" i="2"/>
  <c r="BM68" i="2"/>
  <c r="CD67" i="2"/>
  <c r="BO92" i="2"/>
  <c r="BO93" i="2"/>
  <c r="BO169" i="2"/>
  <c r="BO227" i="14" s="1"/>
  <c r="BP92" i="2"/>
  <c r="AH429" i="2"/>
  <c r="AH430" i="2"/>
  <c r="AH428" i="2"/>
  <c r="AI429" i="2"/>
  <c r="AL428" i="2"/>
  <c r="AO99" i="2"/>
  <c r="AK100" i="2"/>
  <c r="AL101" i="2"/>
  <c r="AK101" i="2"/>
  <c r="AO97" i="2"/>
  <c r="AK99" i="2"/>
  <c r="AL100" i="2"/>
  <c r="AK97" i="2"/>
  <c r="AD276" i="34"/>
  <c r="AD699" i="34"/>
  <c r="AD1062" i="34"/>
  <c r="AD277" i="2"/>
  <c r="AD1084" i="34" s="1"/>
  <c r="AD288" i="2"/>
  <c r="AD1095" i="34" s="1"/>
  <c r="BN256" i="2"/>
  <c r="AD277" i="34"/>
  <c r="AD700" i="34"/>
  <c r="AD287" i="2"/>
  <c r="AD1094" i="34" s="1"/>
  <c r="AD276" i="2"/>
  <c r="AD1083" i="34" s="1"/>
  <c r="AD1061" i="34"/>
  <c r="AH287" i="2"/>
  <c r="AH1094" i="34" s="1"/>
  <c r="BN255" i="2"/>
  <c r="AH276" i="2"/>
  <c r="AH1083" i="34" s="1"/>
  <c r="N152" i="14"/>
  <c r="N29" i="14"/>
  <c r="N577" i="34"/>
  <c r="N120" i="14"/>
  <c r="N65" i="14"/>
  <c r="N36" i="14"/>
  <c r="N186" i="14"/>
  <c r="AU16" i="34"/>
  <c r="AN431" i="34"/>
  <c r="BI481" i="2"/>
  <c r="AO432" i="34" s="1"/>
  <c r="BH481" i="2"/>
  <c r="AN432" i="34" s="1"/>
  <c r="T431" i="34"/>
  <c r="U482" i="2"/>
  <c r="U433" i="34" s="1"/>
  <c r="T484" i="2"/>
  <c r="T435" i="34" s="1"/>
  <c r="T483" i="2"/>
  <c r="T434" i="34" s="1"/>
  <c r="U484" i="2"/>
  <c r="U435" i="34" s="1"/>
  <c r="T481" i="2"/>
  <c r="T432" i="34" s="1"/>
  <c r="T482" i="2"/>
  <c r="T433" i="34" s="1"/>
  <c r="X481" i="2"/>
  <c r="X432" i="34" s="1"/>
  <c r="X483" i="2"/>
  <c r="X434" i="34" s="1"/>
  <c r="AC411" i="34"/>
  <c r="AC1121" i="34"/>
  <c r="U393" i="2"/>
  <c r="V394" i="2"/>
  <c r="U539" i="34"/>
  <c r="U1016" i="34"/>
  <c r="U394" i="2"/>
  <c r="AF520" i="34"/>
  <c r="AF997" i="34"/>
  <c r="AU520" i="34"/>
  <c r="BO997" i="34"/>
  <c r="Z482" i="34"/>
  <c r="Z959" i="34"/>
  <c r="AT466" i="34"/>
  <c r="BN941" i="34"/>
  <c r="BP877" i="34"/>
  <c r="BP633" i="2"/>
  <c r="BP878" i="34" s="1"/>
  <c r="BP634" i="2"/>
  <c r="BP879" i="34" s="1"/>
  <c r="AK755" i="34"/>
  <c r="AK511" i="2"/>
  <c r="R731" i="34"/>
  <c r="R314" i="34"/>
  <c r="R330" i="2"/>
  <c r="V327" i="2"/>
  <c r="V330" i="2"/>
  <c r="S329" i="2"/>
  <c r="R331" i="2"/>
  <c r="R329" i="2"/>
  <c r="R327" i="2"/>
  <c r="AE119" i="1"/>
  <c r="AE107" i="34" s="1"/>
  <c r="AE207" i="34"/>
  <c r="AF221" i="1"/>
  <c r="BO221" i="1" s="1"/>
  <c r="AE226" i="1"/>
  <c r="AE212" i="34" s="1"/>
  <c r="N17" i="42"/>
  <c r="AP206" i="34"/>
  <c r="N17" i="40"/>
  <c r="BK258" i="1"/>
  <c r="AR158" i="34"/>
  <c r="BM172" i="1"/>
  <c r="T209" i="34"/>
  <c r="BT94" i="1"/>
  <c r="AY81" i="34" s="1"/>
  <c r="BT120" i="1"/>
  <c r="AY108" i="34" s="1"/>
  <c r="AY79" i="34"/>
  <c r="P6" i="1"/>
  <c r="AV206" i="34"/>
  <c r="T17" i="40"/>
  <c r="AM178" i="14"/>
  <c r="BP93" i="2"/>
  <c r="AN119" i="14"/>
  <c r="AN33" i="1"/>
  <c r="AN224" i="14"/>
  <c r="BP160" i="14"/>
  <c r="BP161" i="14" s="1"/>
  <c r="BP169" i="14" s="1"/>
  <c r="AN169" i="14" s="1"/>
  <c r="AV663" i="34"/>
  <c r="BP128" i="14"/>
  <c r="AV662" i="34"/>
  <c r="BP203" i="14"/>
  <c r="AV659" i="34" s="1"/>
  <c r="X121" i="14"/>
  <c r="X627" i="34" s="1"/>
  <c r="Y1012" i="34"/>
  <c r="AG460" i="34"/>
  <c r="BN338" i="2"/>
  <c r="BN346" i="2"/>
  <c r="CA320" i="2"/>
  <c r="BN326" i="2"/>
  <c r="BN305" i="2"/>
  <c r="AB1109" i="34"/>
  <c r="AB399" i="34"/>
  <c r="AN207" i="1"/>
  <c r="AH273" i="1"/>
  <c r="AH258" i="34" s="1"/>
  <c r="AH257" i="34"/>
  <c r="W482" i="34"/>
  <c r="W959" i="34"/>
  <c r="AU255" i="34"/>
  <c r="Y250" i="14"/>
  <c r="Y251" i="14"/>
  <c r="BP998" i="34"/>
  <c r="AW101" i="1"/>
  <c r="AG251" i="14"/>
  <c r="AG250" i="14"/>
  <c r="X32" i="34"/>
  <c r="AJ273" i="1"/>
  <c r="AJ258" i="34" s="1"/>
  <c r="AE540" i="34"/>
  <c r="AE1017" i="34"/>
  <c r="P626" i="34"/>
  <c r="P126" i="14"/>
  <c r="P632" i="34" s="1"/>
  <c r="AM54" i="2"/>
  <c r="AM714" i="34" s="1"/>
  <c r="AL50" i="2"/>
  <c r="AL710" i="34" s="1"/>
  <c r="AL709" i="34"/>
  <c r="AM51" i="2"/>
  <c r="AM711" i="34" s="1"/>
  <c r="AL53" i="2"/>
  <c r="AL713" i="34" s="1"/>
  <c r="AL51" i="2"/>
  <c r="AL711" i="34" s="1"/>
  <c r="AL54" i="2"/>
  <c r="AL714" i="34" s="1"/>
  <c r="AL52" i="2"/>
  <c r="AL712" i="34" s="1"/>
  <c r="AM20" i="2"/>
  <c r="AL20" i="2"/>
  <c r="AL19" i="2"/>
  <c r="AP19" i="2"/>
  <c r="AL278" i="2"/>
  <c r="AL1085" i="34" s="1"/>
  <c r="AL289" i="2"/>
  <c r="AL1096" i="34" s="1"/>
  <c r="AL1063" i="34"/>
  <c r="AS573" i="34"/>
  <c r="BM1050" i="34"/>
  <c r="AC41" i="1"/>
  <c r="AC24" i="34"/>
  <c r="AC39" i="1"/>
  <c r="AC1226" i="34"/>
  <c r="BO33" i="1"/>
  <c r="Y29" i="1"/>
  <c r="Y30" i="1" s="1"/>
  <c r="Y188" i="1"/>
  <c r="Y177" i="34" s="1"/>
  <c r="Y1221" i="34"/>
  <c r="Y19" i="34"/>
  <c r="BL223" i="14"/>
  <c r="AR679" i="34" s="1"/>
  <c r="U151" i="14"/>
  <c r="U34" i="1"/>
  <c r="U224" i="14"/>
  <c r="U680" i="34" s="1"/>
  <c r="U679" i="34"/>
  <c r="AM1221" i="34"/>
  <c r="AM29" i="1"/>
  <c r="AM30" i="1" s="1"/>
  <c r="AM226" i="1"/>
  <c r="AD251" i="14"/>
  <c r="AE266" i="1"/>
  <c r="AE251" i="34" s="1"/>
  <c r="AE250" i="34"/>
  <c r="AE274" i="1"/>
  <c r="AE259" i="34" s="1"/>
  <c r="AE267" i="1"/>
  <c r="AE252" i="34" s="1"/>
  <c r="AR537" i="34"/>
  <c r="BL1014" i="34"/>
  <c r="BL1109" i="34"/>
  <c r="AR399" i="34"/>
  <c r="AR398" i="34"/>
  <c r="BP721" i="34"/>
  <c r="AV305" i="34"/>
  <c r="BA154" i="1"/>
  <c r="BB154" i="1" s="1"/>
  <c r="BC154" i="1" s="1"/>
  <c r="BD154" i="1" s="1"/>
  <c r="BU154" i="1" s="1"/>
  <c r="BT154" i="1"/>
  <c r="AY141" i="34" s="1"/>
  <c r="BR223" i="1"/>
  <c r="AO226" i="1"/>
  <c r="AO239" i="1" s="1"/>
  <c r="AO119" i="1"/>
  <c r="AE1226" i="34"/>
  <c r="AE24" i="34"/>
  <c r="V39" i="1"/>
  <c r="V1225" i="34"/>
  <c r="BM32" i="1"/>
  <c r="V41" i="1"/>
  <c r="V23" i="34"/>
  <c r="Y1110" i="34"/>
  <c r="Y400" i="34"/>
  <c r="AT256" i="34"/>
  <c r="BO272" i="1"/>
  <c r="S41" i="1"/>
  <c r="S39" i="1"/>
  <c r="S1227" i="34"/>
  <c r="S25" i="34"/>
  <c r="AS255" i="34"/>
  <c r="BN272" i="1"/>
  <c r="AC1285" i="34"/>
  <c r="AC120" i="1"/>
  <c r="AC108" i="34" s="1"/>
  <c r="BO92" i="1"/>
  <c r="AC79" i="34"/>
  <c r="AF1279" i="34"/>
  <c r="AF73" i="34"/>
  <c r="AF87" i="1"/>
  <c r="AE273" i="1"/>
  <c r="AE258" i="34" s="1"/>
  <c r="AE257" i="34"/>
  <c r="AU188" i="34"/>
  <c r="AP234" i="1"/>
  <c r="BR230" i="1"/>
  <c r="AI121" i="14"/>
  <c r="AI627" i="34" s="1"/>
  <c r="AI625" i="34"/>
  <c r="AI124" i="14"/>
  <c r="AI630" i="34" s="1"/>
  <c r="AI123" i="14"/>
  <c r="AI629" i="34" s="1"/>
  <c r="AI122" i="14"/>
  <c r="AI628" i="34" s="1"/>
  <c r="AI120" i="14"/>
  <c r="V121" i="14"/>
  <c r="V627" i="34" s="1"/>
  <c r="R123" i="14"/>
  <c r="R629" i="34" s="1"/>
  <c r="R625" i="34"/>
  <c r="BK119" i="14"/>
  <c r="S122" i="14"/>
  <c r="S628" i="34" s="1"/>
  <c r="S124" i="14"/>
  <c r="S630" i="34" s="1"/>
  <c r="R124" i="14"/>
  <c r="R630" i="34" s="1"/>
  <c r="R122" i="14"/>
  <c r="R628" i="34" s="1"/>
  <c r="R121" i="14"/>
  <c r="R627" i="34" s="1"/>
  <c r="V123" i="14"/>
  <c r="V629" i="34" s="1"/>
  <c r="R120" i="14"/>
  <c r="AH201" i="34"/>
  <c r="AH216" i="1"/>
  <c r="AJ174" i="2"/>
  <c r="AL182" i="2"/>
  <c r="N276" i="34"/>
  <c r="N699" i="34"/>
  <c r="AB1121" i="34"/>
  <c r="AB411" i="34"/>
  <c r="U1122" i="34"/>
  <c r="U412" i="34"/>
  <c r="Z545" i="34"/>
  <c r="Z1022" i="34"/>
  <c r="AK524" i="2"/>
  <c r="AK760" i="34" s="1"/>
  <c r="AK759" i="34"/>
  <c r="AO524" i="2"/>
  <c r="AO760" i="34" s="1"/>
  <c r="R730" i="34"/>
  <c r="R313" i="34"/>
  <c r="AE620" i="2"/>
  <c r="AE864" i="34" s="1"/>
  <c r="AK119" i="14"/>
  <c r="AK33" i="1"/>
  <c r="BP222" i="14"/>
  <c r="AV678" i="34" s="1"/>
  <c r="AK224" i="14"/>
  <c r="AB397" i="34"/>
  <c r="AB1107" i="34"/>
  <c r="AC448" i="2"/>
  <c r="W960" i="34"/>
  <c r="W483" i="34"/>
  <c r="AN1065" i="34"/>
  <c r="AN291" i="2"/>
  <c r="AN1098" i="34" s="1"/>
  <c r="AN280" i="2"/>
  <c r="AN1087" i="34" s="1"/>
  <c r="AE541" i="34"/>
  <c r="AE1018" i="34"/>
  <c r="BM1048" i="34"/>
  <c r="AM121" i="14"/>
  <c r="BA160" i="1"/>
  <c r="BB160" i="1" s="1"/>
  <c r="BC160" i="1" s="1"/>
  <c r="BD160" i="1" s="1"/>
  <c r="BU160" i="1" s="1"/>
  <c r="BT160" i="1"/>
  <c r="AY149" i="34" s="1"/>
  <c r="BT178" i="1"/>
  <c r="AY167" i="34" s="1"/>
  <c r="BA178" i="1"/>
  <c r="BB178" i="1" s="1"/>
  <c r="BC178" i="1" s="1"/>
  <c r="BD178" i="1" s="1"/>
  <c r="BU178" i="1" s="1"/>
  <c r="AP275" i="2"/>
  <c r="AP1082" i="34" s="1"/>
  <c r="AP1060" i="34"/>
  <c r="AP286" i="2"/>
  <c r="AP1093" i="34" s="1"/>
  <c r="AT254" i="2"/>
  <c r="AP262" i="2"/>
  <c r="AP1068" i="34" s="1"/>
  <c r="L1334" i="34"/>
  <c r="L44" i="4"/>
  <c r="AL25" i="34"/>
  <c r="BG41" i="1"/>
  <c r="BG39" i="1"/>
  <c r="Q635" i="34"/>
  <c r="Q154" i="14"/>
  <c r="Q638" i="34" s="1"/>
  <c r="R156" i="14"/>
  <c r="R640" i="34" s="1"/>
  <c r="R154" i="14"/>
  <c r="R638" i="34" s="1"/>
  <c r="Q156" i="14"/>
  <c r="Q640" i="34" s="1"/>
  <c r="Q152" i="14"/>
  <c r="BK151" i="14"/>
  <c r="Q155" i="14"/>
  <c r="Q639" i="34" s="1"/>
  <c r="Q153" i="14"/>
  <c r="Q637" i="34" s="1"/>
  <c r="AE39" i="1"/>
  <c r="AE1225" i="34"/>
  <c r="BO32" i="1"/>
  <c r="AE41" i="1"/>
  <c r="AE23" i="34"/>
  <c r="V68" i="14"/>
  <c r="V617" i="34" s="1"/>
  <c r="V615" i="34"/>
  <c r="V71" i="14"/>
  <c r="V620" i="34" s="1"/>
  <c r="W71" i="14"/>
  <c r="W620" i="34" s="1"/>
  <c r="W69" i="14"/>
  <c r="W618" i="34" s="1"/>
  <c r="V70" i="14"/>
  <c r="V619" i="34" s="1"/>
  <c r="Z68" i="14"/>
  <c r="Z617" i="34" s="1"/>
  <c r="V248" i="14"/>
  <c r="V249" i="14" s="1"/>
  <c r="Z250" i="14" s="1"/>
  <c r="V69" i="14"/>
  <c r="V618" i="34" s="1"/>
  <c r="BL64" i="14"/>
  <c r="V65" i="14"/>
  <c r="Z1229" i="34"/>
  <c r="Z293" i="1"/>
  <c r="Z27" i="34"/>
  <c r="BN36" i="1"/>
  <c r="Z289" i="1"/>
  <c r="Z41" i="1"/>
  <c r="Z204" i="1"/>
  <c r="AH108" i="14"/>
  <c r="AJ98" i="14"/>
  <c r="AH103" i="14"/>
  <c r="Y1117" i="34"/>
  <c r="Y407" i="34"/>
  <c r="AP198" i="34"/>
  <c r="AQ75" i="34"/>
  <c r="BL87" i="1"/>
  <c r="AQ74" i="34" s="1"/>
  <c r="P1280" i="34"/>
  <c r="BP107" i="2"/>
  <c r="AP61" i="14"/>
  <c r="AP25" i="2"/>
  <c r="AT25" i="2"/>
  <c r="AO1279" i="34"/>
  <c r="BR86" i="1"/>
  <c r="AO87" i="1"/>
  <c r="AG121" i="14"/>
  <c r="AG627" i="34" s="1"/>
  <c r="AG122" i="14"/>
  <c r="AG628" i="34" s="1"/>
  <c r="AG123" i="14"/>
  <c r="AG629" i="34" s="1"/>
  <c r="AG625" i="34"/>
  <c r="AG124" i="14"/>
  <c r="AG630" i="34" s="1"/>
  <c r="Y122" i="14"/>
  <c r="Y628" i="34" s="1"/>
  <c r="Y625" i="34"/>
  <c r="Y124" i="14"/>
  <c r="Y630" i="34" s="1"/>
  <c r="Z124" i="14"/>
  <c r="Z630" i="34" s="1"/>
  <c r="BM119" i="14"/>
  <c r="Y121" i="14"/>
  <c r="Y627" i="34" s="1"/>
  <c r="Y123" i="14"/>
  <c r="Y629" i="34" s="1"/>
  <c r="Z122" i="14"/>
  <c r="Z628" i="34" s="1"/>
  <c r="Y120" i="14"/>
  <c r="AP677" i="34"/>
  <c r="BJ224" i="14"/>
  <c r="AP680" i="34" s="1"/>
  <c r="P27" i="34"/>
  <c r="P289" i="1"/>
  <c r="P1229" i="34"/>
  <c r="P293" i="1"/>
  <c r="P204" i="1"/>
  <c r="P190" i="34" s="1"/>
  <c r="BN1043" i="34"/>
  <c r="AT566" i="34"/>
  <c r="AE222" i="34"/>
  <c r="AF236" i="1"/>
  <c r="AF222" i="34" s="1"/>
  <c r="AB87" i="1"/>
  <c r="AB1279" i="34"/>
  <c r="AB73" i="34"/>
  <c r="AT217" i="34"/>
  <c r="AG558" i="2"/>
  <c r="AG796" i="34"/>
  <c r="AG342" i="34"/>
  <c r="AG1045" i="34"/>
  <c r="AG568" i="34"/>
  <c r="BL33" i="1"/>
  <c r="R1226" i="34"/>
  <c r="R24" i="34"/>
  <c r="R23" i="34"/>
  <c r="R41" i="1"/>
  <c r="R39" i="1"/>
  <c r="R1225" i="34"/>
  <c r="BL32" i="1"/>
  <c r="W29" i="1"/>
  <c r="W30" i="1" s="1"/>
  <c r="W19" i="34"/>
  <c r="W1221" i="34"/>
  <c r="W188" i="1"/>
  <c r="W177" i="34" s="1"/>
  <c r="AH41" i="1"/>
  <c r="AH27" i="34"/>
  <c r="AH289" i="1"/>
  <c r="AH293" i="1"/>
  <c r="AH1229" i="34"/>
  <c r="BP36" i="1"/>
  <c r="AT497" i="34"/>
  <c r="BN974" i="34"/>
  <c r="AP276" i="2"/>
  <c r="AP1083" i="34" s="1"/>
  <c r="AT255" i="2"/>
  <c r="AP1061" i="34"/>
  <c r="AP287" i="2"/>
  <c r="AP1094" i="34" s="1"/>
  <c r="Z195" i="2"/>
  <c r="AJ519" i="34"/>
  <c r="AJ996" i="34"/>
  <c r="AJ373" i="2"/>
  <c r="AK373" i="2"/>
  <c r="AK997" i="34" s="1"/>
  <c r="U26" i="2"/>
  <c r="T25" i="2"/>
  <c r="T26" i="2"/>
  <c r="AC26" i="2"/>
  <c r="AB25" i="2"/>
  <c r="AB26" i="2"/>
  <c r="AI99" i="2"/>
  <c r="AI101" i="2"/>
  <c r="AI100" i="2"/>
  <c r="AJ100" i="2"/>
  <c r="AM97" i="2"/>
  <c r="AJ101" i="2"/>
  <c r="AK89" i="2"/>
  <c r="AO89" i="2"/>
  <c r="AK430" i="2"/>
  <c r="AK428" i="2"/>
  <c r="AO428" i="2"/>
  <c r="AL429" i="2"/>
  <c r="AK429" i="2"/>
  <c r="BN258" i="2"/>
  <c r="AD279" i="2"/>
  <c r="AD1086" i="34" s="1"/>
  <c r="AD290" i="2"/>
  <c r="AD1097" i="34" s="1"/>
  <c r="AD1064" i="34"/>
  <c r="AH290" i="2"/>
  <c r="AH1097" i="34" s="1"/>
  <c r="AD503" i="34"/>
  <c r="AD981" i="34"/>
  <c r="N731" i="34"/>
  <c r="N314" i="34"/>
  <c r="R276" i="34"/>
  <c r="R699" i="34"/>
  <c r="R19" i="2"/>
  <c r="O20" i="2"/>
  <c r="N20" i="2"/>
  <c r="Q484" i="2"/>
  <c r="Q435" i="34" s="1"/>
  <c r="P481" i="2"/>
  <c r="P432" i="34" s="1"/>
  <c r="P431" i="34"/>
  <c r="Q482" i="2"/>
  <c r="Q433" i="34" s="1"/>
  <c r="P482" i="2"/>
  <c r="P433" i="34" s="1"/>
  <c r="P484" i="2"/>
  <c r="P435" i="34" s="1"/>
  <c r="AB412" i="34"/>
  <c r="AB1122" i="34"/>
  <c r="U399" i="34"/>
  <c r="U1109" i="34"/>
  <c r="U407" i="34"/>
  <c r="U1117" i="34"/>
  <c r="Z544" i="34"/>
  <c r="Z1021" i="34"/>
  <c r="BH977" i="34"/>
  <c r="AN500" i="34"/>
  <c r="AN503" i="34"/>
  <c r="BH981" i="34"/>
  <c r="Z958" i="34"/>
  <c r="Z481" i="34"/>
  <c r="AK644" i="2"/>
  <c r="AK640" i="2"/>
  <c r="AK885" i="34" s="1"/>
  <c r="AK884" i="34"/>
  <c r="BO877" i="34"/>
  <c r="BO639" i="2"/>
  <c r="BN872" i="34"/>
  <c r="BO628" i="2"/>
  <c r="AT368" i="34"/>
  <c r="BV796" i="34"/>
  <c r="AF512" i="2"/>
  <c r="AF748" i="34" s="1"/>
  <c r="AF747" i="34"/>
  <c r="AF514" i="2"/>
  <c r="AF750" i="34" s="1"/>
  <c r="AF515" i="2"/>
  <c r="AF751" i="34" s="1"/>
  <c r="AF516" i="2"/>
  <c r="AF752" i="34" s="1"/>
  <c r="R315" i="34"/>
  <c r="R732" i="34"/>
  <c r="V492" i="2"/>
  <c r="V729" i="34" s="1"/>
  <c r="R728" i="34"/>
  <c r="R312" i="34"/>
  <c r="R573" i="2"/>
  <c r="R571" i="2"/>
  <c r="S573" i="2"/>
  <c r="V572" i="2"/>
  <c r="R572" i="2"/>
  <c r="R808" i="34"/>
  <c r="S571" i="2"/>
  <c r="R570" i="2"/>
  <c r="V570" i="2"/>
  <c r="R331" i="34"/>
  <c r="AE209" i="34"/>
  <c r="AF223" i="1"/>
  <c r="AF209" i="34" s="1"/>
  <c r="P206" i="34"/>
  <c r="P258" i="1"/>
  <c r="P248" i="1"/>
  <c r="P234" i="34" s="1"/>
  <c r="P226" i="1"/>
  <c r="P212" i="34" s="1"/>
  <c r="P189" i="34"/>
  <c r="BK203" i="1"/>
  <c r="AP189" i="34" s="1"/>
  <c r="T206" i="34"/>
  <c r="T258" i="1"/>
  <c r="BL258" i="1" s="1"/>
  <c r="T248" i="1"/>
  <c r="T234" i="34" s="1"/>
  <c r="BI123" i="14"/>
  <c r="AO629" i="34" s="1"/>
  <c r="BH123" i="14"/>
  <c r="AN629" i="34" s="1"/>
  <c r="BI121" i="14"/>
  <c r="AO627" i="34" s="1"/>
  <c r="AN625" i="34"/>
  <c r="BH121" i="14"/>
  <c r="AN627" i="34" s="1"/>
  <c r="BH120" i="14"/>
  <c r="AT119" i="2"/>
  <c r="AT28" i="2"/>
  <c r="AT25" i="1"/>
  <c r="AT130" i="2"/>
  <c r="AT121" i="2"/>
  <c r="AP31" i="2"/>
  <c r="AP32" i="2"/>
  <c r="V266" i="1"/>
  <c r="V251" i="34" s="1"/>
  <c r="V250" i="34"/>
  <c r="V267" i="1"/>
  <c r="V252" i="34" s="1"/>
  <c r="V274" i="1"/>
  <c r="V259" i="34" s="1"/>
  <c r="Y610" i="34"/>
  <c r="Y38" i="14"/>
  <c r="Y612" i="34" s="1"/>
  <c r="AM99" i="2"/>
  <c r="AN373" i="2"/>
  <c r="AN997" i="34" s="1"/>
  <c r="AN996" i="34"/>
  <c r="BP223" i="14"/>
  <c r="AV679" i="34" s="1"/>
  <c r="AL151" i="14"/>
  <c r="AL34" i="1"/>
  <c r="AL224" i="14"/>
  <c r="AO129" i="14"/>
  <c r="AO137" i="14" s="1"/>
  <c r="AK129" i="14"/>
  <c r="AK137" i="14" s="1"/>
  <c r="AH122" i="14"/>
  <c r="AH628" i="34" s="1"/>
  <c r="X123" i="14"/>
  <c r="X629" i="34" s="1"/>
  <c r="AA943" i="34"/>
  <c r="AA465" i="34"/>
  <c r="AF399" i="34"/>
  <c r="AF1109" i="34"/>
  <c r="AR412" i="34"/>
  <c r="BN103" i="1"/>
  <c r="AA957" i="34"/>
  <c r="AA480" i="34"/>
  <c r="AN279" i="2"/>
  <c r="AN1086" i="34" s="1"/>
  <c r="AM215" i="1"/>
  <c r="AG539" i="34"/>
  <c r="AG393" i="2"/>
  <c r="AG1016" i="34"/>
  <c r="AH394" i="2"/>
  <c r="AG394" i="2"/>
  <c r="AG87" i="14"/>
  <c r="AG89" i="14"/>
  <c r="AG88" i="14"/>
  <c r="AG90" i="14"/>
  <c r="BO205" i="1"/>
  <c r="AT191" i="34" s="1"/>
  <c r="P636" i="34"/>
  <c r="AL1060" i="34"/>
  <c r="AL286" i="2"/>
  <c r="AL1093" i="34" s="1"/>
  <c r="AL275" i="2"/>
  <c r="AL1082" i="34" s="1"/>
  <c r="AL262" i="2"/>
  <c r="AL1068" i="34" s="1"/>
  <c r="AB1227" i="34"/>
  <c r="AB25" i="34"/>
  <c r="AB39" i="1"/>
  <c r="AB41" i="1"/>
  <c r="BN34" i="1"/>
  <c r="O635" i="34"/>
  <c r="O153" i="14"/>
  <c r="O637" i="34" s="1"/>
  <c r="O156" i="14"/>
  <c r="O640" i="34" s="1"/>
  <c r="O154" i="14"/>
  <c r="O638" i="34" s="1"/>
  <c r="P156" i="14"/>
  <c r="P640" i="34" s="1"/>
  <c r="P154" i="14"/>
  <c r="P638" i="34" s="1"/>
  <c r="O152" i="14"/>
  <c r="BJ151" i="14"/>
  <c r="T23" i="34"/>
  <c r="T1225" i="34"/>
  <c r="T41" i="1"/>
  <c r="T39" i="1"/>
  <c r="BN28" i="1"/>
  <c r="BM224" i="14"/>
  <c r="AS680" i="34" s="1"/>
  <c r="AS676" i="34"/>
  <c r="BG293" i="1"/>
  <c r="AL27" i="34"/>
  <c r="U36" i="1"/>
  <c r="U673" i="34"/>
  <c r="U185" i="14"/>
  <c r="AS222" i="14"/>
  <c r="AS121" i="14"/>
  <c r="AW119" i="14"/>
  <c r="BI483" i="2"/>
  <c r="AO434" i="34" s="1"/>
  <c r="M1239" i="34"/>
  <c r="M37" i="34"/>
  <c r="M137" i="1"/>
  <c r="S331" i="2"/>
  <c r="BA179" i="1"/>
  <c r="BB179" i="1" s="1"/>
  <c r="BC179" i="1" s="1"/>
  <c r="BD179" i="1" s="1"/>
  <c r="BU179" i="1" s="1"/>
  <c r="BT179" i="1"/>
  <c r="AY168" i="34" s="1"/>
  <c r="AT676" i="34"/>
  <c r="BO28" i="1"/>
  <c r="BN224" i="14"/>
  <c r="AT680" i="34" s="1"/>
  <c r="X206" i="1"/>
  <c r="X192" i="34" s="1"/>
  <c r="W192" i="34"/>
  <c r="T200" i="34"/>
  <c r="R1280" i="34"/>
  <c r="R74" i="34"/>
  <c r="AH107" i="14"/>
  <c r="AH111" i="14"/>
  <c r="AI107" i="14"/>
  <c r="R615" i="34"/>
  <c r="S69" i="14"/>
  <c r="S618" i="34" s="1"/>
  <c r="S71" i="14"/>
  <c r="S620" i="34" s="1"/>
  <c r="BK64" i="14"/>
  <c r="R69" i="14"/>
  <c r="R618" i="34" s="1"/>
  <c r="R71" i="14"/>
  <c r="R620" i="34" s="1"/>
  <c r="R68" i="14"/>
  <c r="R617" i="34" s="1"/>
  <c r="R65" i="14"/>
  <c r="R70" i="14"/>
  <c r="R619" i="34" s="1"/>
  <c r="AC251" i="14"/>
  <c r="AC250" i="14"/>
  <c r="Y363" i="34"/>
  <c r="Y866" i="34"/>
  <c r="U622" i="2"/>
  <c r="N202" i="34"/>
  <c r="N106" i="1"/>
  <c r="N247" i="1"/>
  <c r="Q117" i="34"/>
  <c r="Q133" i="1"/>
  <c r="Q121" i="34" s="1"/>
  <c r="X26" i="2"/>
  <c r="X25" i="2"/>
  <c r="Y26" i="2"/>
  <c r="BG11" i="14"/>
  <c r="AM578" i="34" s="1"/>
  <c r="AL577" i="34"/>
  <c r="BF11" i="14"/>
  <c r="AL578" i="34" s="1"/>
  <c r="BN57" i="2"/>
  <c r="AD301" i="34"/>
  <c r="AD717" i="34"/>
  <c r="AD58" i="2"/>
  <c r="AD61" i="2"/>
  <c r="AD62" i="2"/>
  <c r="AH58" i="2"/>
  <c r="AE59" i="2"/>
  <c r="AD59" i="2"/>
  <c r="AH61" i="2"/>
  <c r="AE62" i="2"/>
  <c r="BM460" i="2"/>
  <c r="BM1119" i="34"/>
  <c r="AS409" i="34"/>
  <c r="BM462" i="2"/>
  <c r="Y1109" i="34"/>
  <c r="Y399" i="34"/>
  <c r="AO501" i="34"/>
  <c r="BI978" i="34"/>
  <c r="AG633" i="2"/>
  <c r="AG878" i="34" s="1"/>
  <c r="BN632" i="2"/>
  <c r="BO634" i="2" s="1"/>
  <c r="BO879" i="34" s="1"/>
  <c r="AC877" i="34"/>
  <c r="AG634" i="2"/>
  <c r="AG879" i="34" s="1"/>
  <c r="AC639" i="2"/>
  <c r="AC633" i="2"/>
  <c r="AC878" i="34" s="1"/>
  <c r="AG193" i="34"/>
  <c r="AG216" i="1"/>
  <c r="AS158" i="34"/>
  <c r="BN172" i="1"/>
  <c r="AP600" i="2"/>
  <c r="AO843" i="34"/>
  <c r="AO599" i="2"/>
  <c r="BL956" i="34"/>
  <c r="BM354" i="2"/>
  <c r="BL353" i="2"/>
  <c r="AR479" i="34"/>
  <c r="BM350" i="2"/>
  <c r="BL352" i="2"/>
  <c r="AP262" i="1"/>
  <c r="AP261" i="1"/>
  <c r="AP260" i="1"/>
  <c r="AP104" i="1"/>
  <c r="AP259" i="1"/>
  <c r="AL104" i="1"/>
  <c r="AL261" i="1"/>
  <c r="AL259" i="1"/>
  <c r="AL262" i="1"/>
  <c r="AL260" i="1"/>
  <c r="AO996" i="34"/>
  <c r="AO373" i="2"/>
  <c r="AO997" i="34" s="1"/>
  <c r="AN397" i="2"/>
  <c r="AN1021" i="34" s="1"/>
  <c r="AN398" i="2"/>
  <c r="AN1022" i="34" s="1"/>
  <c r="AN1020" i="34"/>
  <c r="AU54" i="34"/>
  <c r="BP161" i="1"/>
  <c r="AU150" i="34" s="1"/>
  <c r="AJ150" i="34"/>
  <c r="AF230" i="14"/>
  <c r="AF139" i="14"/>
  <c r="AG230" i="14"/>
  <c r="AF176" i="14"/>
  <c r="AF959" i="34"/>
  <c r="AF482" i="34"/>
  <c r="AR539" i="34"/>
  <c r="BL1016" i="34"/>
  <c r="BM393" i="2"/>
  <c r="AA484" i="34"/>
  <c r="AA961" i="34"/>
  <c r="AG1109" i="34"/>
  <c r="AG399" i="34"/>
  <c r="AL1065" i="34"/>
  <c r="AL291" i="2"/>
  <c r="AL1098" i="34" s="1"/>
  <c r="AL280" i="2"/>
  <c r="AL1087" i="34" s="1"/>
  <c r="AP291" i="2"/>
  <c r="AP1098" i="34" s="1"/>
  <c r="AL279" i="2"/>
  <c r="AL1086" i="34" s="1"/>
  <c r="AL1064" i="34"/>
  <c r="AL290" i="2"/>
  <c r="AL1097" i="34" s="1"/>
  <c r="O25" i="34"/>
  <c r="O41" i="1"/>
  <c r="O1227" i="34"/>
  <c r="O39" i="1"/>
  <c r="AB606" i="2"/>
  <c r="AB849" i="34" s="1"/>
  <c r="X639" i="2"/>
  <c r="X847" i="34"/>
  <c r="AB605" i="2"/>
  <c r="AB848" i="34" s="1"/>
  <c r="BQ28" i="1"/>
  <c r="BK1117" i="34"/>
  <c r="AQ407" i="34"/>
  <c r="BA161" i="1"/>
  <c r="BB161" i="1" s="1"/>
  <c r="BC161" i="1" s="1"/>
  <c r="BD161" i="1" s="1"/>
  <c r="BU161" i="1" s="1"/>
  <c r="BT161" i="1"/>
  <c r="AY150" i="34" s="1"/>
  <c r="AP161" i="14"/>
  <c r="AP169" i="14" s="1"/>
  <c r="AP279" i="2"/>
  <c r="AP1086" i="34" s="1"/>
  <c r="AT258" i="2"/>
  <c r="AP1064" i="34"/>
  <c r="AP290" i="2"/>
  <c r="AP1097" i="34" s="1"/>
  <c r="AR677" i="34"/>
  <c r="Z646" i="34"/>
  <c r="Z188" i="14"/>
  <c r="Z649" i="34" s="1"/>
  <c r="Z190" i="14"/>
  <c r="Z651" i="34" s="1"/>
  <c r="AA188" i="14"/>
  <c r="AA649" i="34" s="1"/>
  <c r="Z186" i="14"/>
  <c r="Z101" i="1"/>
  <c r="Z89" i="34" s="1"/>
  <c r="AD189" i="14"/>
  <c r="AD650" i="34" s="1"/>
  <c r="AD187" i="14"/>
  <c r="AD648" i="34" s="1"/>
  <c r="Z189" i="14"/>
  <c r="Z650" i="34" s="1"/>
  <c r="BM185" i="14"/>
  <c r="Z187" i="14"/>
  <c r="Z648" i="34" s="1"/>
  <c r="BL217" i="14"/>
  <c r="AR673" i="34" s="1"/>
  <c r="Y539" i="34"/>
  <c r="Y1016" i="34"/>
  <c r="AC393" i="2"/>
  <c r="Y393" i="2"/>
  <c r="Y394" i="2"/>
  <c r="Y412" i="34"/>
  <c r="Y1122" i="34"/>
  <c r="T236" i="1"/>
  <c r="T222" i="34" s="1"/>
  <c r="P209" i="34"/>
  <c r="P119" i="1"/>
  <c r="P107" i="34" s="1"/>
  <c r="X27" i="4"/>
  <c r="W1306" i="34"/>
  <c r="X69" i="14"/>
  <c r="X618" i="34" s="1"/>
  <c r="AB68" i="14"/>
  <c r="AB617" i="34" s="1"/>
  <c r="X70" i="14"/>
  <c r="X619" i="34" s="1"/>
  <c r="X248" i="14"/>
  <c r="X249" i="14" s="1"/>
  <c r="AB70" i="14"/>
  <c r="AB619" i="34" s="1"/>
  <c r="X71" i="14"/>
  <c r="X620" i="34" s="1"/>
  <c r="X615" i="34"/>
  <c r="X65" i="14"/>
  <c r="X68" i="14"/>
  <c r="X617" i="34" s="1"/>
  <c r="Y71" i="14"/>
  <c r="Y620" i="34" s="1"/>
  <c r="Y69" i="14"/>
  <c r="Y618" i="34" s="1"/>
  <c r="Q71" i="14"/>
  <c r="Q620" i="34" s="1"/>
  <c r="P71" i="14"/>
  <c r="P620" i="34" s="1"/>
  <c r="P615" i="34"/>
  <c r="P68" i="14"/>
  <c r="P617" i="34" s="1"/>
  <c r="Q69" i="14"/>
  <c r="Q618" i="34" s="1"/>
  <c r="P65" i="14"/>
  <c r="P69" i="14"/>
  <c r="P618" i="34" s="1"/>
  <c r="AE1229" i="34"/>
  <c r="AE27" i="34"/>
  <c r="AE293" i="1"/>
  <c r="BO36" i="1"/>
  <c r="BO289" i="1" s="1"/>
  <c r="AE204" i="1"/>
  <c r="AE190" i="34" s="1"/>
  <c r="Z70" i="14"/>
  <c r="Z619" i="34" s="1"/>
  <c r="AT567" i="34"/>
  <c r="BN1044" i="34"/>
  <c r="AQ358" i="34"/>
  <c r="BK857" i="34"/>
  <c r="X189" i="34"/>
  <c r="BM203" i="1"/>
  <c r="AR189" i="34" s="1"/>
  <c r="AC161" i="34"/>
  <c r="AC182" i="1"/>
  <c r="AC171" i="34" s="1"/>
  <c r="AC1281" i="34"/>
  <c r="AC75" i="34"/>
  <c r="BO88" i="1"/>
  <c r="AT75" i="34" s="1"/>
  <c r="AC87" i="1"/>
  <c r="AC190" i="34"/>
  <c r="AM262" i="1"/>
  <c r="AI207" i="34"/>
  <c r="BP221" i="1"/>
  <c r="AH1042" i="34"/>
  <c r="AH565" i="34"/>
  <c r="AH418" i="2"/>
  <c r="AI418" i="2"/>
  <c r="AQ677" i="34"/>
  <c r="BK224" i="14"/>
  <c r="AQ680" i="34" s="1"/>
  <c r="W31" i="14"/>
  <c r="W605" i="34" s="1"/>
  <c r="W32" i="14"/>
  <c r="W606" i="34" s="1"/>
  <c r="W29" i="14"/>
  <c r="W604" i="34"/>
  <c r="BL28" i="14"/>
  <c r="W34" i="14"/>
  <c r="W608" i="34" s="1"/>
  <c r="W36" i="14"/>
  <c r="W33" i="14"/>
  <c r="W607" i="34" s="1"/>
  <c r="X32" i="14"/>
  <c r="X606" i="34" s="1"/>
  <c r="X34" i="14"/>
  <c r="X608" i="34" s="1"/>
  <c r="AA33" i="14"/>
  <c r="AA607" i="34" s="1"/>
  <c r="AA31" i="14"/>
  <c r="AA605" i="34" s="1"/>
  <c r="AI197" i="34"/>
  <c r="BP211" i="1"/>
  <c r="AI215" i="1"/>
  <c r="AI201" i="34" s="1"/>
  <c r="AA198" i="34"/>
  <c r="AB212" i="1"/>
  <c r="BN212" i="1" s="1"/>
  <c r="AA215" i="1"/>
  <c r="AA201" i="34" s="1"/>
  <c r="AF161" i="34"/>
  <c r="AF182" i="1"/>
  <c r="AF171" i="34" s="1"/>
  <c r="BJ183" i="1"/>
  <c r="AO172" i="34" s="1"/>
  <c r="AO171" i="34"/>
  <c r="AI999" i="34"/>
  <c r="AI522" i="34"/>
  <c r="BL72" i="2"/>
  <c r="BL68" i="2"/>
  <c r="BL71" i="2"/>
  <c r="CC67" i="2"/>
  <c r="AF296" i="2"/>
  <c r="BN294" i="2"/>
  <c r="AF228" i="2"/>
  <c r="AG296" i="2"/>
  <c r="AF242" i="2"/>
  <c r="AJ295" i="2"/>
  <c r="AH99" i="2"/>
  <c r="AH100" i="2"/>
  <c r="AH101" i="2"/>
  <c r="AL99" i="2"/>
  <c r="AL97" i="2"/>
  <c r="AM276" i="34"/>
  <c r="BG699" i="34"/>
  <c r="AD314" i="34"/>
  <c r="AD731" i="34"/>
  <c r="AD20" i="2"/>
  <c r="AE20" i="2"/>
  <c r="AD19" i="2"/>
  <c r="AH19" i="2"/>
  <c r="AD1065" i="34"/>
  <c r="BN259" i="2"/>
  <c r="AD280" i="2"/>
  <c r="AD1087" i="34" s="1"/>
  <c r="AD291" i="2"/>
  <c r="AD1098" i="34" s="1"/>
  <c r="AH280" i="2"/>
  <c r="AH1087" i="34" s="1"/>
  <c r="AH291" i="2"/>
  <c r="AH1098" i="34" s="1"/>
  <c r="AE700" i="34"/>
  <c r="AE277" i="34"/>
  <c r="BJ15" i="2"/>
  <c r="BK15" i="2"/>
  <c r="BJ698" i="34"/>
  <c r="BJ10" i="14"/>
  <c r="BJ186" i="14" s="1"/>
  <c r="AP275" i="34"/>
  <c r="BJ114" i="2"/>
  <c r="BJ494" i="2"/>
  <c r="BJ71" i="2"/>
  <c r="BJ476" i="2"/>
  <c r="AP421" i="34" s="1"/>
  <c r="W448" i="2"/>
  <c r="V1107" i="34"/>
  <c r="V397" i="34"/>
  <c r="AN501" i="34"/>
  <c r="BH978" i="34"/>
  <c r="AA958" i="34"/>
  <c r="AA481" i="34"/>
  <c r="AH884" i="34"/>
  <c r="AL640" i="2"/>
  <c r="AL885" i="34" s="1"/>
  <c r="AH377" i="34"/>
  <c r="AH644" i="2"/>
  <c r="AG369" i="34"/>
  <c r="AG873" i="34"/>
  <c r="V877" i="34"/>
  <c r="V639" i="2"/>
  <c r="V847" i="34"/>
  <c r="BU796" i="34"/>
  <c r="AL501" i="2"/>
  <c r="AL737" i="34" s="1"/>
  <c r="AL504" i="2"/>
  <c r="AL740" i="34" s="1"/>
  <c r="AO502" i="2"/>
  <c r="AO738" i="34" s="1"/>
  <c r="AO499" i="2"/>
  <c r="BN528" i="2"/>
  <c r="BN772" i="34" s="1"/>
  <c r="BN771" i="34"/>
  <c r="R316" i="34"/>
  <c r="R733" i="34"/>
  <c r="AB224" i="1"/>
  <c r="BN224" i="1" s="1"/>
  <c r="AA119" i="1"/>
  <c r="AA107" i="34" s="1"/>
  <c r="AA226" i="1"/>
  <c r="AA212" i="34" s="1"/>
  <c r="AA210" i="34"/>
  <c r="AU160" i="34"/>
  <c r="CO35" i="1"/>
  <c r="CL35" i="1"/>
  <c r="AT26" i="34"/>
  <c r="AN604" i="2"/>
  <c r="BP599" i="2"/>
  <c r="AN842" i="34"/>
  <c r="Y958" i="34"/>
  <c r="AU217" i="34"/>
  <c r="BP234" i="1"/>
  <c r="AU220" i="34" s="1"/>
  <c r="S104" i="1"/>
  <c r="S92" i="34" s="1"/>
  <c r="W261" i="1"/>
  <c r="W247" i="34" s="1"/>
  <c r="S244" i="34"/>
  <c r="S260" i="1"/>
  <c r="S246" i="34" s="1"/>
  <c r="W262" i="1"/>
  <c r="W248" i="34" s="1"/>
  <c r="S261" i="1"/>
  <c r="S247" i="34" s="1"/>
  <c r="S259" i="1"/>
  <c r="S245" i="34" s="1"/>
  <c r="AN24" i="34"/>
  <c r="BI41" i="1"/>
  <c r="BI39" i="1"/>
  <c r="V468" i="34"/>
  <c r="AV369" i="34"/>
  <c r="BP873" i="34"/>
  <c r="AD260" i="2"/>
  <c r="AO398" i="2"/>
  <c r="AO1022" i="34" s="1"/>
  <c r="AP182" i="1"/>
  <c r="AV187" i="1"/>
  <c r="AZ187" i="1" s="1"/>
  <c r="AM965" i="34"/>
  <c r="AN359" i="2"/>
  <c r="AN966" i="34" s="1"/>
  <c r="AM359" i="2"/>
  <c r="AM966" i="34" s="1"/>
  <c r="AH120" i="1"/>
  <c r="AH108" i="34" s="1"/>
  <c r="AH1285" i="34"/>
  <c r="AH79" i="34"/>
  <c r="BP92" i="1"/>
  <c r="Y1014" i="34"/>
  <c r="W467" i="34"/>
  <c r="W944" i="34"/>
  <c r="AF476" i="34"/>
  <c r="AC400" i="34"/>
  <c r="AC1110" i="34"/>
  <c r="AB394" i="2"/>
  <c r="AC394" i="2"/>
  <c r="AB393" i="2"/>
  <c r="AB1016" i="34"/>
  <c r="AB539" i="34"/>
  <c r="AF393" i="2"/>
  <c r="AR407" i="34"/>
  <c r="AB257" i="34"/>
  <c r="AB273" i="1"/>
  <c r="AB258" i="34" s="1"/>
  <c r="W485" i="34"/>
  <c r="W962" i="34"/>
  <c r="AE483" i="2"/>
  <c r="AE434" i="34" s="1"/>
  <c r="AE431" i="34"/>
  <c r="AE481" i="2"/>
  <c r="AE432" i="34" s="1"/>
  <c r="AV197" i="34"/>
  <c r="AG1110" i="34"/>
  <c r="AG400" i="34"/>
  <c r="BW147" i="2"/>
  <c r="BV984" i="34"/>
  <c r="P610" i="34"/>
  <c r="Q12" i="42"/>
  <c r="AB153" i="14"/>
  <c r="AB637" i="34" s="1"/>
  <c r="AB155" i="14"/>
  <c r="AB639" i="34" s="1"/>
  <c r="AC154" i="14"/>
  <c r="AC638" i="34" s="1"/>
  <c r="AB635" i="34"/>
  <c r="AF155" i="14"/>
  <c r="AF639" i="34" s="1"/>
  <c r="AC156" i="14"/>
  <c r="AC640" i="34" s="1"/>
  <c r="AB152" i="14"/>
  <c r="AB154" i="14"/>
  <c r="AB638" i="34" s="1"/>
  <c r="AF153" i="14"/>
  <c r="AF637" i="34" s="1"/>
  <c r="AB156" i="14"/>
  <c r="AB640" i="34" s="1"/>
  <c r="BM151" i="14"/>
  <c r="AC122" i="14"/>
  <c r="AC628" i="34" s="1"/>
  <c r="AC124" i="14"/>
  <c r="AC630" i="34" s="1"/>
  <c r="AD122" i="14"/>
  <c r="AD628" i="34" s="1"/>
  <c r="AC120" i="14"/>
  <c r="AC123" i="14"/>
  <c r="AC629" i="34" s="1"/>
  <c r="BN119" i="14"/>
  <c r="AC121" i="14"/>
  <c r="AC627" i="34" s="1"/>
  <c r="AC625" i="34"/>
  <c r="T24" i="34"/>
  <c r="T1226" i="34"/>
  <c r="U69" i="14"/>
  <c r="U618" i="34" s="1"/>
  <c r="T71" i="14"/>
  <c r="T620" i="34" s="1"/>
  <c r="T615" i="34"/>
  <c r="T69" i="14"/>
  <c r="T618" i="34" s="1"/>
  <c r="U71" i="14"/>
  <c r="U620" i="34" s="1"/>
  <c r="T70" i="14"/>
  <c r="T619" i="34" s="1"/>
  <c r="T65" i="14"/>
  <c r="T68" i="14"/>
  <c r="T617" i="34" s="1"/>
  <c r="Y32" i="14"/>
  <c r="Y606" i="34" s="1"/>
  <c r="Y34" i="14"/>
  <c r="Y608" i="34" s="1"/>
  <c r="Z34" i="14"/>
  <c r="Z608" i="34" s="1"/>
  <c r="Y33" i="14"/>
  <c r="Y607" i="34" s="1"/>
  <c r="AC33" i="14"/>
  <c r="AC607" i="34" s="1"/>
  <c r="AC31" i="14"/>
  <c r="AC605" i="34" s="1"/>
  <c r="Y604" i="34"/>
  <c r="Z32" i="14"/>
  <c r="Z606" i="34" s="1"/>
  <c r="Y31" i="14"/>
  <c r="Y605" i="34" s="1"/>
  <c r="BM28" i="14"/>
  <c r="Y29" i="14"/>
  <c r="AM29" i="14"/>
  <c r="AM31" i="14"/>
  <c r="AM33" i="14"/>
  <c r="AM36" i="14"/>
  <c r="AM32" i="14"/>
  <c r="AW188" i="1"/>
  <c r="BA188" i="1" s="1"/>
  <c r="O12" i="35"/>
  <c r="O13" i="35" s="1"/>
  <c r="O32" i="35" s="1"/>
  <c r="AO1222" i="34"/>
  <c r="BK34" i="1"/>
  <c r="AP25" i="34" s="1"/>
  <c r="AH288" i="2"/>
  <c r="AH1095" i="34" s="1"/>
  <c r="AG516" i="2"/>
  <c r="AG752" i="34" s="1"/>
  <c r="AI296" i="34"/>
  <c r="AI295" i="34"/>
  <c r="BK393" i="2"/>
  <c r="AQ398" i="34"/>
  <c r="BK1108" i="34"/>
  <c r="K1204" i="34"/>
  <c r="AN306" i="2" l="1"/>
  <c r="AN919" i="34" s="1"/>
  <c r="AR307" i="2"/>
  <c r="AN140" i="14"/>
  <c r="AR144" i="14"/>
  <c r="AR141" i="14"/>
  <c r="AR278" i="2"/>
  <c r="AR1085" i="34" s="1"/>
  <c r="AR289" i="2"/>
  <c r="AN709" i="34"/>
  <c r="AR50" i="2"/>
  <c r="AR53" i="2"/>
  <c r="AR148" i="2"/>
  <c r="AR985" i="34" s="1"/>
  <c r="AR327" i="2"/>
  <c r="AN188" i="14"/>
  <c r="AQ189" i="14"/>
  <c r="AQ187" i="14"/>
  <c r="AR280" i="2"/>
  <c r="AR291" i="2"/>
  <c r="AR58" i="14"/>
  <c r="AR57" i="14"/>
  <c r="AR331" i="2"/>
  <c r="AT185" i="14"/>
  <c r="AX185" i="14" s="1"/>
  <c r="AQ190" i="14"/>
  <c r="AQ188" i="14"/>
  <c r="AR261" i="1"/>
  <c r="AR262" i="1"/>
  <c r="AR277" i="2"/>
  <c r="AR288" i="2"/>
  <c r="AR161" i="2"/>
  <c r="AR158" i="2"/>
  <c r="AR152" i="2"/>
  <c r="AR153" i="2"/>
  <c r="AR186" i="2"/>
  <c r="AN177" i="14"/>
  <c r="AR178" i="14"/>
  <c r="AN290" i="2"/>
  <c r="AN1097" i="34" s="1"/>
  <c r="AR279" i="2"/>
  <c r="AR1086" i="34" s="1"/>
  <c r="AR290" i="2"/>
  <c r="AN20" i="2"/>
  <c r="AR19" i="2"/>
  <c r="AN1061" i="34"/>
  <c r="AR276" i="2"/>
  <c r="AR287" i="2"/>
  <c r="AN74" i="14"/>
  <c r="AR79" i="14" s="1"/>
  <c r="AR147" i="14"/>
  <c r="AR148" i="14" s="1"/>
  <c r="AR53" i="14"/>
  <c r="AR54" i="14" s="1"/>
  <c r="AR171" i="14"/>
  <c r="AR114" i="14"/>
  <c r="AR115" i="14" s="1"/>
  <c r="AR11" i="14"/>
  <c r="AR292" i="2"/>
  <c r="AR281" i="2"/>
  <c r="AR145" i="2"/>
  <c r="AR183" i="2"/>
  <c r="AR500" i="34"/>
  <c r="AH503" i="34"/>
  <c r="AR218" i="2"/>
  <c r="AR229" i="2"/>
  <c r="AR231" i="2"/>
  <c r="AN62" i="14"/>
  <c r="AN84" i="14" s="1"/>
  <c r="AR243" i="2"/>
  <c r="AR74" i="2" s="1"/>
  <c r="AR245" i="2"/>
  <c r="AR220" i="2"/>
  <c r="AR219" i="2"/>
  <c r="AR238" i="2"/>
  <c r="AR236" i="2"/>
  <c r="AI499" i="2"/>
  <c r="AI736" i="34" s="1"/>
  <c r="AI735" i="34"/>
  <c r="AP503" i="2"/>
  <c r="AP739" i="34" s="1"/>
  <c r="AP735" i="34"/>
  <c r="AL502" i="2"/>
  <c r="AL738" i="34" s="1"/>
  <c r="AL735" i="34"/>
  <c r="AH501" i="2"/>
  <c r="AH737" i="34" s="1"/>
  <c r="AG735" i="34"/>
  <c r="BR19" i="1"/>
  <c r="BS19" i="1"/>
  <c r="AT496" i="2"/>
  <c r="AT733" i="34" s="1"/>
  <c r="AP491" i="2"/>
  <c r="AP728" i="34" s="1"/>
  <c r="AV493" i="2"/>
  <c r="AV730" i="34" s="1"/>
  <c r="T133" i="1"/>
  <c r="T121" i="34" s="1"/>
  <c r="T117" i="34"/>
  <c r="BO69" i="2"/>
  <c r="AK147" i="14"/>
  <c r="AK148" i="14" s="1"/>
  <c r="AG114" i="14"/>
  <c r="AG115" i="14" s="1"/>
  <c r="AG65" i="14"/>
  <c r="AG616" i="34" s="1"/>
  <c r="AG12" i="14"/>
  <c r="AG579" i="34" s="1"/>
  <c r="AG36" i="14"/>
  <c r="AG610" i="34" s="1"/>
  <c r="CC34" i="2"/>
  <c r="BO35" i="2"/>
  <c r="AJ702" i="34"/>
  <c r="AJ41" i="2"/>
  <c r="AJ703" i="34" s="1"/>
  <c r="CD28" i="2"/>
  <c r="BP29" i="2"/>
  <c r="CC28" i="2"/>
  <c r="BO29" i="2"/>
  <c r="BO23" i="2"/>
  <c r="CD34" i="2"/>
  <c r="BP35" i="2"/>
  <c r="BP69" i="2"/>
  <c r="CD22" i="2"/>
  <c r="BP23" i="2"/>
  <c r="AH84" i="14"/>
  <c r="AJ503" i="2"/>
  <c r="AJ739" i="34" s="1"/>
  <c r="AG1062" i="34"/>
  <c r="AT70" i="2"/>
  <c r="AF176" i="2"/>
  <c r="AQ98" i="2"/>
  <c r="BN31" i="2"/>
  <c r="CB28" i="2"/>
  <c r="AQ950" i="34"/>
  <c r="AU343" i="2"/>
  <c r="BQ120" i="2"/>
  <c r="BQ119" i="2"/>
  <c r="AI315" i="34"/>
  <c r="AG1060" i="34"/>
  <c r="AG260" i="2"/>
  <c r="AO26" i="2"/>
  <c r="AO295" i="2"/>
  <c r="AN1082" i="34"/>
  <c r="U1223" i="34"/>
  <c r="AX160" i="34"/>
  <c r="L35" i="4"/>
  <c r="L36" i="40" s="1"/>
  <c r="AJ382" i="34"/>
  <c r="AM549" i="2"/>
  <c r="AM535" i="2"/>
  <c r="AM781" i="34" s="1"/>
  <c r="AG536" i="2"/>
  <c r="AG782" i="34" s="1"/>
  <c r="AI546" i="2"/>
  <c r="AI547" i="2" s="1"/>
  <c r="AI550" i="2"/>
  <c r="AW61" i="14"/>
  <c r="AI549" i="2"/>
  <c r="AE541" i="2"/>
  <c r="AE787" i="34" s="1"/>
  <c r="AH503" i="2"/>
  <c r="AH739" i="34" s="1"/>
  <c r="AJ19" i="2"/>
  <c r="AI731" i="34"/>
  <c r="CD490" i="2"/>
  <c r="AM552" i="2"/>
  <c r="AK537" i="2"/>
  <c r="AG731" i="34"/>
  <c r="AQ329" i="2"/>
  <c r="AQ331" i="2"/>
  <c r="AQ327" i="2"/>
  <c r="AQ330" i="2"/>
  <c r="AP56" i="14"/>
  <c r="AP58" i="14" s="1"/>
  <c r="AP260" i="2"/>
  <c r="AQ160" i="2"/>
  <c r="AQ161" i="2"/>
  <c r="AQ159" i="2"/>
  <c r="AQ56" i="14"/>
  <c r="AQ57" i="14" s="1"/>
  <c r="AQ150" i="2"/>
  <c r="AI104" i="1"/>
  <c r="AI92" i="34" s="1"/>
  <c r="AI238" i="2"/>
  <c r="AM229" i="2"/>
  <c r="AK492" i="2"/>
  <c r="AK729" i="34" s="1"/>
  <c r="AM238" i="2"/>
  <c r="AM218" i="2"/>
  <c r="BQ225" i="1"/>
  <c r="AV211" i="34" s="1"/>
  <c r="AI259" i="1"/>
  <c r="AI245" i="34" s="1"/>
  <c r="BJ189" i="1"/>
  <c r="AO178" i="34" s="1"/>
  <c r="AI231" i="2"/>
  <c r="BH66" i="14"/>
  <c r="AG542" i="2"/>
  <c r="AG788" i="34" s="1"/>
  <c r="AN152" i="14"/>
  <c r="AJ106" i="1"/>
  <c r="AJ113" i="1" s="1"/>
  <c r="AJ101" i="34" s="1"/>
  <c r="BQ206" i="1"/>
  <c r="AV192" i="34" s="1"/>
  <c r="AK501" i="2"/>
  <c r="AK737" i="34" s="1"/>
  <c r="AM261" i="1"/>
  <c r="O1222" i="34"/>
  <c r="AN12" i="14"/>
  <c r="AW492" i="2"/>
  <c r="AW729" i="34" s="1"/>
  <c r="R30" i="1"/>
  <c r="AJ247" i="1"/>
  <c r="AJ233" i="34" s="1"/>
  <c r="AJ202" i="34"/>
  <c r="AH298" i="34"/>
  <c r="AJ499" i="2"/>
  <c r="BO257" i="2"/>
  <c r="BO1063" i="34" s="1"/>
  <c r="AG289" i="2"/>
  <c r="AG1096" i="34" s="1"/>
  <c r="AK289" i="2"/>
  <c r="AK1096" i="34" s="1"/>
  <c r="AG302" i="34"/>
  <c r="AH730" i="34"/>
  <c r="AN549" i="2"/>
  <c r="AP492" i="2"/>
  <c r="AP729" i="34" s="1"/>
  <c r="AN186" i="14"/>
  <c r="AO192" i="14" s="1"/>
  <c r="AN114" i="14"/>
  <c r="AN115" i="14" s="1"/>
  <c r="AG312" i="34"/>
  <c r="AK276" i="2"/>
  <c r="AK1083" i="34" s="1"/>
  <c r="AQ78" i="2"/>
  <c r="AH711" i="34"/>
  <c r="AF306" i="34"/>
  <c r="AI419" i="34"/>
  <c r="AI239" i="2"/>
  <c r="AI219" i="2"/>
  <c r="AJ502" i="2"/>
  <c r="AJ738" i="34" s="1"/>
  <c r="BI30" i="14"/>
  <c r="AL79" i="2"/>
  <c r="AG1063" i="34"/>
  <c r="AN728" i="34"/>
  <c r="AI552" i="2"/>
  <c r="AI553" i="2" s="1"/>
  <c r="AM79" i="2"/>
  <c r="AL492" i="2"/>
  <c r="AL729" i="34" s="1"/>
  <c r="AJ549" i="2"/>
  <c r="AS536" i="2"/>
  <c r="AS782" i="34" s="1"/>
  <c r="AL728" i="34"/>
  <c r="AG728" i="34"/>
  <c r="AO276" i="2"/>
  <c r="AO1083" i="34" s="1"/>
  <c r="AN287" i="2"/>
  <c r="AN1094" i="34" s="1"/>
  <c r="AQ190" i="2"/>
  <c r="AK503" i="2"/>
  <c r="AK739" i="34" s="1"/>
  <c r="S157" i="14"/>
  <c r="S641" i="34" s="1"/>
  <c r="AR492" i="2"/>
  <c r="AR729" i="34" s="1"/>
  <c r="BO495" i="2"/>
  <c r="BO732" i="34" s="1"/>
  <c r="BO491" i="2"/>
  <c r="BO728" i="34" s="1"/>
  <c r="CC490" i="2"/>
  <c r="AJ501" i="2"/>
  <c r="AJ737" i="34" s="1"/>
  <c r="AK546" i="2"/>
  <c r="AK547" i="2" s="1"/>
  <c r="AJ733" i="34"/>
  <c r="BO534" i="2"/>
  <c r="BO780" i="34" s="1"/>
  <c r="AJ771" i="34"/>
  <c r="AN546" i="2"/>
  <c r="AN547" i="2" s="1"/>
  <c r="AK262" i="2"/>
  <c r="AK1068" i="34" s="1"/>
  <c r="AO12" i="14"/>
  <c r="BH30" i="14"/>
  <c r="AH20" i="2"/>
  <c r="AJ550" i="2"/>
  <c r="AN83" i="14"/>
  <c r="AQ185" i="2"/>
  <c r="AQ187" i="2"/>
  <c r="AP709" i="34"/>
  <c r="AQ51" i="2"/>
  <c r="AQ54" i="2"/>
  <c r="AQ179" i="14"/>
  <c r="AI30" i="14"/>
  <c r="AQ179" i="2"/>
  <c r="AQ177" i="2"/>
  <c r="AQ242" i="2"/>
  <c r="AQ235" i="2"/>
  <c r="AQ228" i="2"/>
  <c r="CB472" i="2"/>
  <c r="AI312" i="34"/>
  <c r="AC541" i="2"/>
  <c r="AC787" i="34" s="1"/>
  <c r="AJ536" i="2"/>
  <c r="AJ782" i="34" s="1"/>
  <c r="AJ315" i="34"/>
  <c r="AJ537" i="2"/>
  <c r="AI728" i="34"/>
  <c r="AM492" i="2"/>
  <c r="AM729" i="34" s="1"/>
  <c r="AI313" i="34"/>
  <c r="BL473" i="2"/>
  <c r="AR419" i="34" s="1"/>
  <c r="AI492" i="2"/>
  <c r="AI729" i="34" s="1"/>
  <c r="X877" i="34"/>
  <c r="AB633" i="2"/>
  <c r="AB878" i="34" s="1"/>
  <c r="AH30" i="1"/>
  <c r="D12" i="35"/>
  <c r="AH20" i="34"/>
  <c r="AH1222" i="34"/>
  <c r="AG771" i="34"/>
  <c r="AH548" i="2"/>
  <c r="AI119" i="1"/>
  <c r="AI107" i="34" s="1"/>
  <c r="O20" i="34"/>
  <c r="AI474" i="2"/>
  <c r="AF306" i="2"/>
  <c r="AF919" i="34" s="1"/>
  <c r="X467" i="34"/>
  <c r="BK119" i="1"/>
  <c r="AP107" i="34" s="1"/>
  <c r="AP80" i="2"/>
  <c r="AD50" i="2"/>
  <c r="AD710" i="34" s="1"/>
  <c r="AL77" i="2"/>
  <c r="AL80" i="2"/>
  <c r="AC50" i="2"/>
  <c r="AC294" i="34" s="1"/>
  <c r="AJ286" i="2"/>
  <c r="AJ1093" i="34" s="1"/>
  <c r="AK592" i="2"/>
  <c r="AK831" i="34" s="1"/>
  <c r="AK279" i="2"/>
  <c r="AK1086" i="34" s="1"/>
  <c r="AA54" i="2"/>
  <c r="AA714" i="34" s="1"/>
  <c r="AK548" i="2"/>
  <c r="BO256" i="2"/>
  <c r="BO277" i="2" s="1"/>
  <c r="BO1084" i="34" s="1"/>
  <c r="AL536" i="2"/>
  <c r="AL782" i="34" s="1"/>
  <c r="AK277" i="2"/>
  <c r="AK1084" i="34" s="1"/>
  <c r="AK288" i="2"/>
  <c r="AK1095" i="34" s="1"/>
  <c r="BP494" i="2"/>
  <c r="AV314" i="34" s="1"/>
  <c r="AK286" i="2"/>
  <c r="AK1093" i="34" s="1"/>
  <c r="AK275" i="2"/>
  <c r="AK1082" i="34" s="1"/>
  <c r="AL535" i="2"/>
  <c r="AL781" i="34" s="1"/>
  <c r="AG572" i="2"/>
  <c r="AG811" i="34" s="1"/>
  <c r="Z393" i="2"/>
  <c r="Z540" i="34" s="1"/>
  <c r="AA1232" i="34"/>
  <c r="Z407" i="34"/>
  <c r="AH83" i="14"/>
  <c r="T12" i="40"/>
  <c r="L1314" i="34"/>
  <c r="Q126" i="14"/>
  <c r="Q632" i="34" s="1"/>
  <c r="AS22" i="2"/>
  <c r="AW67" i="2"/>
  <c r="AW73" i="2" s="1"/>
  <c r="BL987" i="34"/>
  <c r="BM165" i="2"/>
  <c r="BM988" i="34" s="1"/>
  <c r="AE484" i="2"/>
  <c r="AE435" i="34" s="1"/>
  <c r="AE721" i="34"/>
  <c r="O43" i="1"/>
  <c r="O60" i="1" s="1"/>
  <c r="Y810" i="34"/>
  <c r="AH90" i="14"/>
  <c r="BP997" i="34"/>
  <c r="AC191" i="14"/>
  <c r="AC652" i="34" s="1"/>
  <c r="AD46" i="1"/>
  <c r="AD37" i="34" s="1"/>
  <c r="X962" i="34"/>
  <c r="AQ399" i="34"/>
  <c r="W945" i="34"/>
  <c r="BP49" i="2"/>
  <c r="AV293" i="34" s="1"/>
  <c r="AF308" i="2"/>
  <c r="BK226" i="1"/>
  <c r="AP212" i="34" s="1"/>
  <c r="V183" i="1"/>
  <c r="V172" i="34" s="1"/>
  <c r="BN265" i="1"/>
  <c r="AD32" i="34"/>
  <c r="AP247" i="1"/>
  <c r="AP249" i="1" s="1"/>
  <c r="AV22" i="2"/>
  <c r="AV25" i="2" s="1"/>
  <c r="U632" i="2"/>
  <c r="BL632" i="2" s="1"/>
  <c r="Y709" i="34"/>
  <c r="AA303" i="34"/>
  <c r="AJ53" i="2"/>
  <c r="AJ297" i="34" s="1"/>
  <c r="AG571" i="2"/>
  <c r="AG810" i="34" s="1"/>
  <c r="BL480" i="2"/>
  <c r="BM483" i="2" s="1"/>
  <c r="AS434" i="34" s="1"/>
  <c r="BL477" i="2"/>
  <c r="AR422" i="34" s="1"/>
  <c r="AG975" i="34"/>
  <c r="BL476" i="2"/>
  <c r="AR421" i="34" s="1"/>
  <c r="AI131" i="2"/>
  <c r="AH997" i="34"/>
  <c r="AQ949" i="34"/>
  <c r="AG538" i="2"/>
  <c r="AG784" i="34" s="1"/>
  <c r="AH500" i="34"/>
  <c r="AG550" i="2"/>
  <c r="AQ571" i="34"/>
  <c r="AQ544" i="34"/>
  <c r="AO546" i="2"/>
  <c r="Z53" i="2"/>
  <c r="Z297" i="34" s="1"/>
  <c r="AK550" i="2"/>
  <c r="BO254" i="2"/>
  <c r="BO1060" i="34" s="1"/>
  <c r="BP491" i="2"/>
  <c r="AV311" i="34"/>
  <c r="AH571" i="2"/>
  <c r="AH810" i="34" s="1"/>
  <c r="BP727" i="34"/>
  <c r="AI191" i="14"/>
  <c r="AI652" i="34" s="1"/>
  <c r="AH573" i="2"/>
  <c r="AH812" i="34" s="1"/>
  <c r="AN286" i="2"/>
  <c r="AN1093" i="34" s="1"/>
  <c r="Z1012" i="34"/>
  <c r="AG570" i="2"/>
  <c r="AG332" i="34" s="1"/>
  <c r="BM951" i="34"/>
  <c r="AG277" i="2"/>
  <c r="AG1084" i="34" s="1"/>
  <c r="Z387" i="34"/>
  <c r="AP178" i="14"/>
  <c r="CM37" i="1"/>
  <c r="AA43" i="1"/>
  <c r="AK1221" i="34"/>
  <c r="AA189" i="1"/>
  <c r="AA178" i="34" s="1"/>
  <c r="AS171" i="2"/>
  <c r="AT172" i="2" s="1"/>
  <c r="AJ52" i="2"/>
  <c r="AJ296" i="34" s="1"/>
  <c r="AT73" i="2"/>
  <c r="AG290" i="2"/>
  <c r="AG1097" i="34" s="1"/>
  <c r="AB634" i="2"/>
  <c r="AB879" i="34" s="1"/>
  <c r="AS68" i="2"/>
  <c r="AS69" i="2" s="1"/>
  <c r="O12" i="4"/>
  <c r="O1291" i="34" s="1"/>
  <c r="AF262" i="1"/>
  <c r="AF248" i="34" s="1"/>
  <c r="BQ205" i="1"/>
  <c r="AV191" i="34" s="1"/>
  <c r="AG549" i="2"/>
  <c r="AB197" i="34"/>
  <c r="BN211" i="1"/>
  <c r="AS197" i="34" s="1"/>
  <c r="AG1021" i="34"/>
  <c r="AG544" i="34"/>
  <c r="P11" i="4"/>
  <c r="P171" i="34"/>
  <c r="P183" i="1"/>
  <c r="P172" i="34" s="1"/>
  <c r="AE20" i="34"/>
  <c r="AE30" i="1"/>
  <c r="AE1222" i="34"/>
  <c r="BW73" i="14"/>
  <c r="BX73" i="14" s="1"/>
  <c r="O1290" i="34"/>
  <c r="AE482" i="2"/>
  <c r="AE433" i="34" s="1"/>
  <c r="BP172" i="1"/>
  <c r="AU161" i="34" s="1"/>
  <c r="AI267" i="1"/>
  <c r="AI252" i="34" s="1"/>
  <c r="Z394" i="2"/>
  <c r="Z541" i="34" s="1"/>
  <c r="M43" i="1"/>
  <c r="AH88" i="14"/>
  <c r="AD1222" i="34"/>
  <c r="BK215" i="1"/>
  <c r="AV158" i="34"/>
  <c r="AP239" i="1"/>
  <c r="X958" i="34"/>
  <c r="AP77" i="2"/>
  <c r="AM231" i="2"/>
  <c r="AK173" i="2"/>
  <c r="AK189" i="2" s="1"/>
  <c r="BM628" i="2"/>
  <c r="AN276" i="2"/>
  <c r="AJ1061" i="34"/>
  <c r="AD582" i="2"/>
  <c r="AD821" i="34" s="1"/>
  <c r="R795" i="34"/>
  <c r="AQ521" i="2"/>
  <c r="AQ757" i="34" s="1"/>
  <c r="AS73" i="2"/>
  <c r="Y53" i="2"/>
  <c r="Y297" i="34" s="1"/>
  <c r="AF329" i="2"/>
  <c r="AJ288" i="2"/>
  <c r="AJ1095" i="34" s="1"/>
  <c r="AJ50" i="2"/>
  <c r="AJ710" i="34" s="1"/>
  <c r="AG573" i="2"/>
  <c r="AG812" i="34" s="1"/>
  <c r="BP498" i="2"/>
  <c r="BP257" i="2"/>
  <c r="BP1063" i="34" s="1"/>
  <c r="AP54" i="2"/>
  <c r="AP714" i="34" s="1"/>
  <c r="AJ114" i="14"/>
  <c r="AJ115" i="14" s="1"/>
  <c r="BO477" i="2"/>
  <c r="AU422" i="34" s="1"/>
  <c r="W191" i="14"/>
  <c r="W652" i="34" s="1"/>
  <c r="AC809" i="34"/>
  <c r="AH535" i="2"/>
  <c r="AH781" i="34" s="1"/>
  <c r="AN502" i="2"/>
  <c r="AN738" i="34" s="1"/>
  <c r="S125" i="14"/>
  <c r="S631" i="34" s="1"/>
  <c r="AL235" i="2"/>
  <c r="AP219" i="2" s="1"/>
  <c r="AL295" i="2"/>
  <c r="AM296" i="2"/>
  <c r="AA394" i="2"/>
  <c r="AG548" i="2"/>
  <c r="AA51" i="2"/>
  <c r="AA295" i="34" s="1"/>
  <c r="BN393" i="2"/>
  <c r="AT540" i="34" s="1"/>
  <c r="AO549" i="2"/>
  <c r="BO494" i="2"/>
  <c r="AU314" i="34" s="1"/>
  <c r="BP291" i="2"/>
  <c r="BP1098" i="34" s="1"/>
  <c r="AK54" i="2"/>
  <c r="AK714" i="34" s="1"/>
  <c r="BP495" i="2"/>
  <c r="AV315" i="34" s="1"/>
  <c r="Z50" i="2"/>
  <c r="Z710" i="34" s="1"/>
  <c r="BA490" i="2"/>
  <c r="BA19" i="1" s="1"/>
  <c r="BP255" i="2"/>
  <c r="BP1061" i="34" s="1"/>
  <c r="BO258" i="2"/>
  <c r="BO1064" i="34" s="1"/>
  <c r="AJ548" i="2"/>
  <c r="AK1060" i="34"/>
  <c r="BP534" i="2"/>
  <c r="BP780" i="34" s="1"/>
  <c r="AJ709" i="34"/>
  <c r="AJ552" i="2"/>
  <c r="AN553" i="2" s="1"/>
  <c r="AO288" i="2"/>
  <c r="AO1095" i="34" s="1"/>
  <c r="AK536" i="2"/>
  <c r="AK782" i="34" s="1"/>
  <c r="S158" i="14"/>
  <c r="S642" i="34" s="1"/>
  <c r="BO727" i="34"/>
  <c r="AK19" i="2"/>
  <c r="W192" i="14"/>
  <c r="W653" i="34" s="1"/>
  <c r="AG331" i="34"/>
  <c r="AJ152" i="14"/>
  <c r="AJ636" i="34" s="1"/>
  <c r="AK535" i="2"/>
  <c r="AK781" i="34" s="1"/>
  <c r="AG279" i="2"/>
  <c r="AG1086" i="34" s="1"/>
  <c r="AK549" i="2"/>
  <c r="AJ34" i="14"/>
  <c r="AJ608" i="34" s="1"/>
  <c r="AF30" i="34"/>
  <c r="AS294" i="2"/>
  <c r="AS295" i="2" s="1"/>
  <c r="AJ33" i="14"/>
  <c r="AJ607" i="34" s="1"/>
  <c r="AO250" i="1"/>
  <c r="T12" i="42"/>
  <c r="X46" i="1"/>
  <c r="X137" i="1" s="1"/>
  <c r="AN19" i="2"/>
  <c r="AI500" i="2"/>
  <c r="AH550" i="2"/>
  <c r="AD393" i="2"/>
  <c r="AO287" i="2"/>
  <c r="AO1094" i="34" s="1"/>
  <c r="AO177" i="2"/>
  <c r="AO179" i="2"/>
  <c r="AN260" i="1"/>
  <c r="AN104" i="1"/>
  <c r="AN1063" i="34"/>
  <c r="AA1107" i="34"/>
  <c r="AA397" i="34"/>
  <c r="AN1062" i="34"/>
  <c r="AN288" i="2"/>
  <c r="AN1095" i="34" s="1"/>
  <c r="AG276" i="34"/>
  <c r="AG699" i="34"/>
  <c r="T1290" i="34"/>
  <c r="T12" i="4"/>
  <c r="T1291" i="34" s="1"/>
  <c r="CB392" i="2"/>
  <c r="AK502" i="2"/>
  <c r="AK738" i="34" s="1"/>
  <c r="BL393" i="2"/>
  <c r="BL1017" i="34" s="1"/>
  <c r="AA1280" i="34"/>
  <c r="AN1064" i="34"/>
  <c r="AA620" i="2"/>
  <c r="AA864" i="34" s="1"/>
  <c r="BN316" i="2"/>
  <c r="BN933" i="34"/>
  <c r="BN362" i="2"/>
  <c r="BN969" i="34" s="1"/>
  <c r="BK187" i="14"/>
  <c r="AQ648" i="34" s="1"/>
  <c r="BK189" i="14"/>
  <c r="AQ650" i="34" s="1"/>
  <c r="BM949" i="34"/>
  <c r="AA66" i="14"/>
  <c r="BQ333" i="2"/>
  <c r="BQ336" i="2" s="1"/>
  <c r="Z771" i="34"/>
  <c r="AK228" i="2"/>
  <c r="AL232" i="2" s="1"/>
  <c r="AM109" i="14"/>
  <c r="AN52" i="2"/>
  <c r="AN712" i="34" s="1"/>
  <c r="AN51" i="2"/>
  <c r="AN711" i="34" s="1"/>
  <c r="AH316" i="34"/>
  <c r="AG110" i="2"/>
  <c r="AG976" i="34" s="1"/>
  <c r="AQ958" i="34"/>
  <c r="AQ956" i="34"/>
  <c r="BP294" i="2"/>
  <c r="BP295" i="2" s="1"/>
  <c r="AJ730" i="34"/>
  <c r="BL953" i="34"/>
  <c r="AO172" i="2"/>
  <c r="AP177" i="2"/>
  <c r="AG147" i="14"/>
  <c r="AG148" i="14" s="1"/>
  <c r="S334" i="34"/>
  <c r="AG53" i="14"/>
  <c r="AG54" i="14" s="1"/>
  <c r="AK53" i="14"/>
  <c r="AK54" i="14" s="1"/>
  <c r="AK171" i="14"/>
  <c r="AK172" i="14" s="1"/>
  <c r="AG14" i="14"/>
  <c r="AG577" i="34"/>
  <c r="AH309" i="2"/>
  <c r="AH922" i="34" s="1"/>
  <c r="AG152" i="14"/>
  <c r="AG636" i="34" s="1"/>
  <c r="AG186" i="14"/>
  <c r="AK191" i="14" s="1"/>
  <c r="AB266" i="1"/>
  <c r="AB251" i="34" s="1"/>
  <c r="BN1048" i="34"/>
  <c r="AN261" i="1"/>
  <c r="BN70" i="14"/>
  <c r="AT619" i="34" s="1"/>
  <c r="S8" i="42"/>
  <c r="T8" i="42" s="1"/>
  <c r="AG291" i="2"/>
  <c r="AG1098" i="34" s="1"/>
  <c r="AG280" i="2"/>
  <c r="AG1087" i="34" s="1"/>
  <c r="AG1065" i="34"/>
  <c r="AD387" i="34"/>
  <c r="AD898" i="34"/>
  <c r="AO20" i="2"/>
  <c r="BK1016" i="34"/>
  <c r="BP258" i="1"/>
  <c r="BP260" i="1" s="1"/>
  <c r="AF458" i="34"/>
  <c r="AA941" i="34"/>
  <c r="BO291" i="2"/>
  <c r="BO1098" i="34" s="1"/>
  <c r="AI262" i="1"/>
  <c r="AI248" i="34" s="1"/>
  <c r="AI244" i="34"/>
  <c r="AJ711" i="34"/>
  <c r="BQ258" i="1"/>
  <c r="BQ260" i="1" s="1"/>
  <c r="M47" i="1"/>
  <c r="M38" i="34" s="1"/>
  <c r="M1232" i="34"/>
  <c r="R6" i="2"/>
  <c r="R5" i="2" s="1"/>
  <c r="AR1064" i="34"/>
  <c r="AC535" i="34"/>
  <c r="AD43" i="1"/>
  <c r="AD34" i="34" s="1"/>
  <c r="AJ512" i="2"/>
  <c r="AJ513" i="2" s="1"/>
  <c r="AJ749" i="34" s="1"/>
  <c r="BP961" i="34"/>
  <c r="BM618" i="2"/>
  <c r="BM862" i="34" s="1"/>
  <c r="AA619" i="2"/>
  <c r="AA863" i="34" s="1"/>
  <c r="AF309" i="2"/>
  <c r="AF922" i="34" s="1"/>
  <c r="AG308" i="2"/>
  <c r="AG442" i="34" s="1"/>
  <c r="BN323" i="2"/>
  <c r="BN936" i="34" s="1"/>
  <c r="CB320" i="2"/>
  <c r="AI718" i="34"/>
  <c r="AG482" i="2"/>
  <c r="AG433" i="34" s="1"/>
  <c r="BJ187" i="14"/>
  <c r="AP648" i="34" s="1"/>
  <c r="AN215" i="1"/>
  <c r="AN216" i="1" s="1"/>
  <c r="AN106" i="1" s="1"/>
  <c r="AD53" i="2"/>
  <c r="AD297" i="34" s="1"/>
  <c r="AH219" i="2"/>
  <c r="BP80" i="2"/>
  <c r="AI218" i="2"/>
  <c r="AR518" i="2"/>
  <c r="AL172" i="2"/>
  <c r="Z51" i="2"/>
  <c r="Z295" i="34" s="1"/>
  <c r="AG503" i="2"/>
  <c r="AG739" i="34" s="1"/>
  <c r="AL296" i="2"/>
  <c r="AW493" i="2"/>
  <c r="AW730" i="34" s="1"/>
  <c r="AJ275" i="2"/>
  <c r="AJ1082" i="34" s="1"/>
  <c r="AJ53" i="14"/>
  <c r="AJ54" i="14" s="1"/>
  <c r="AO54" i="2"/>
  <c r="AO714" i="34" s="1"/>
  <c r="AN54" i="2"/>
  <c r="AN714" i="34" s="1"/>
  <c r="AC334" i="34"/>
  <c r="AS492" i="2"/>
  <c r="AS729" i="34" s="1"/>
  <c r="AH733" i="34"/>
  <c r="AH110" i="2"/>
  <c r="AH499" i="34" s="1"/>
  <c r="AG112" i="2"/>
  <c r="AG501" i="34" s="1"/>
  <c r="AN278" i="2"/>
  <c r="AN1085" i="34" s="1"/>
  <c r="AQ951" i="34"/>
  <c r="U334" i="34"/>
  <c r="BP618" i="2"/>
  <c r="BP620" i="2" s="1"/>
  <c r="BP864" i="34" s="1"/>
  <c r="AJ12" i="14"/>
  <c r="AJ579" i="34" s="1"/>
  <c r="AQ952" i="34"/>
  <c r="AK541" i="2"/>
  <c r="AK787" i="34" s="1"/>
  <c r="AG313" i="34"/>
  <c r="CC472" i="2"/>
  <c r="AG535" i="2"/>
  <c r="AG781" i="34" s="1"/>
  <c r="BP254" i="2"/>
  <c r="BP1060" i="34" s="1"/>
  <c r="AK20" i="2"/>
  <c r="AG502" i="2"/>
  <c r="AG738" i="34" s="1"/>
  <c r="AH12" i="14"/>
  <c r="AH579" i="34" s="1"/>
  <c r="AG171" i="14"/>
  <c r="AG173" i="14" s="1"/>
  <c r="AO51" i="2"/>
  <c r="AO711" i="34" s="1"/>
  <c r="AR967" i="34"/>
  <c r="BQ359" i="2"/>
  <c r="AW489" i="34" s="1"/>
  <c r="CD472" i="2"/>
  <c r="AN147" i="14"/>
  <c r="AN148" i="14" s="1"/>
  <c r="AN262" i="2"/>
  <c r="AN1068" i="34" s="1"/>
  <c r="AN53" i="14"/>
  <c r="AN54" i="14" s="1"/>
  <c r="AG11" i="14"/>
  <c r="AG578" i="34" s="1"/>
  <c r="AK114" i="14"/>
  <c r="AK115" i="14" s="1"/>
  <c r="AJ29" i="14"/>
  <c r="AJ30" i="14" s="1"/>
  <c r="AN11" i="14"/>
  <c r="AG780" i="34"/>
  <c r="AJ186" i="14"/>
  <c r="AJ647" i="34" s="1"/>
  <c r="AB267" i="1"/>
  <c r="AB252" i="34" s="1"/>
  <c r="AN1229" i="34"/>
  <c r="AU28" i="34"/>
  <c r="O18" i="42"/>
  <c r="R20" i="34"/>
  <c r="AN277" i="2"/>
  <c r="AL106" i="1"/>
  <c r="AL113" i="1" s="1"/>
  <c r="BL289" i="1"/>
  <c r="AN259" i="1"/>
  <c r="O18" i="40"/>
  <c r="BN68" i="14"/>
  <c r="AT617" i="34" s="1"/>
  <c r="AN267" i="1"/>
  <c r="X43" i="1"/>
  <c r="G21" i="3"/>
  <c r="H21" i="3" s="1"/>
  <c r="H45" i="3" s="1"/>
  <c r="AA250" i="14"/>
  <c r="M1234" i="34"/>
  <c r="BM248" i="14"/>
  <c r="BM249" i="14" s="1"/>
  <c r="BN250" i="14" s="1"/>
  <c r="Z190" i="1"/>
  <c r="Z179" i="34" s="1"/>
  <c r="Z30" i="34"/>
  <c r="Z1232" i="34"/>
  <c r="Z189" i="1"/>
  <c r="Z178" i="34" s="1"/>
  <c r="Z399" i="34"/>
  <c r="Z1109" i="34"/>
  <c r="AG700" i="34"/>
  <c r="AG277" i="34"/>
  <c r="AF67" i="14"/>
  <c r="BM411" i="2"/>
  <c r="BM1036" i="34" s="1"/>
  <c r="AL503" i="2"/>
  <c r="AL739" i="34" s="1"/>
  <c r="AK499" i="2"/>
  <c r="AO500" i="2" s="1"/>
  <c r="AI261" i="1"/>
  <c r="AI247" i="34" s="1"/>
  <c r="AH331" i="2"/>
  <c r="Z465" i="34"/>
  <c r="AD20" i="34"/>
  <c r="AG120" i="14"/>
  <c r="AG626" i="34" s="1"/>
  <c r="AP26" i="2"/>
  <c r="AE619" i="2"/>
  <c r="AE863" i="34" s="1"/>
  <c r="AK174" i="2"/>
  <c r="AK175" i="2" s="1"/>
  <c r="AI305" i="34"/>
  <c r="BJ190" i="1"/>
  <c r="AO179" i="34" s="1"/>
  <c r="AF439" i="34"/>
  <c r="AF307" i="2"/>
  <c r="AF920" i="34" s="1"/>
  <c r="BN352" i="2"/>
  <c r="AT482" i="34" s="1"/>
  <c r="AT456" i="34"/>
  <c r="AM207" i="1"/>
  <c r="AM216" i="1" s="1"/>
  <c r="AH238" i="2"/>
  <c r="AK172" i="2"/>
  <c r="Z37" i="14"/>
  <c r="Z611" i="34" s="1"/>
  <c r="AE302" i="34"/>
  <c r="AQ520" i="2"/>
  <c r="AQ756" i="34" s="1"/>
  <c r="AQ498" i="2"/>
  <c r="AL173" i="2"/>
  <c r="AL189" i="2" s="1"/>
  <c r="AL190" i="2" s="1"/>
  <c r="AL81" i="2"/>
  <c r="AJ277" i="2"/>
  <c r="AJ1084" i="34" s="1"/>
  <c r="AW496" i="2"/>
  <c r="AW733" i="34" s="1"/>
  <c r="AK77" i="2"/>
  <c r="AO78" i="2" s="1"/>
  <c r="AK79" i="2"/>
  <c r="AO483" i="2"/>
  <c r="AD484" i="2"/>
  <c r="AD435" i="34" s="1"/>
  <c r="AJ11" i="14"/>
  <c r="AJ578" i="34" s="1"/>
  <c r="AJ171" i="14"/>
  <c r="AJ172" i="14" s="1"/>
  <c r="AJ307" i="2"/>
  <c r="AJ441" i="34" s="1"/>
  <c r="AG498" i="34"/>
  <c r="AH536" i="2"/>
  <c r="AH782" i="34" s="1"/>
  <c r="AN499" i="2"/>
  <c r="AJ278" i="2"/>
  <c r="AJ1085" i="34" s="1"/>
  <c r="AP36" i="14"/>
  <c r="AT36" i="14" s="1"/>
  <c r="AG262" i="2"/>
  <c r="AG1068" i="34" s="1"/>
  <c r="AG541" i="2"/>
  <c r="AG787" i="34" s="1"/>
  <c r="AH308" i="2"/>
  <c r="AH442" i="34" s="1"/>
  <c r="AA639" i="2"/>
  <c r="AA644" i="2" s="1"/>
  <c r="AN289" i="2"/>
  <c r="AN1096" i="34" s="1"/>
  <c r="AK280" i="2"/>
  <c r="AK1087" i="34" s="1"/>
  <c r="AG1066" i="34"/>
  <c r="X192" i="14"/>
  <c r="X653" i="34" s="1"/>
  <c r="Z293" i="34"/>
  <c r="AG499" i="2"/>
  <c r="AG736" i="34" s="1"/>
  <c r="BP256" i="2"/>
  <c r="BP1062" i="34" s="1"/>
  <c r="AH504" i="2"/>
  <c r="AH740" i="34" s="1"/>
  <c r="AW534" i="2"/>
  <c r="AW780" i="34" s="1"/>
  <c r="AG592" i="2"/>
  <c r="AG831" i="34" s="1"/>
  <c r="AK290" i="2"/>
  <c r="AK1097" i="34" s="1"/>
  <c r="CE357" i="2"/>
  <c r="AK11" i="14"/>
  <c r="AJ36" i="14"/>
  <c r="AJ610" i="34" s="1"/>
  <c r="AG29" i="14"/>
  <c r="AK30" i="14" s="1"/>
  <c r="S332" i="34"/>
  <c r="AW727" i="34"/>
  <c r="AN171" i="14"/>
  <c r="AN173" i="14" s="1"/>
  <c r="AJ577" i="34"/>
  <c r="BO926" i="34"/>
  <c r="Z537" i="34"/>
  <c r="AL68" i="14"/>
  <c r="AA448" i="2"/>
  <c r="AA398" i="34" s="1"/>
  <c r="AH30" i="34"/>
  <c r="V228" i="14"/>
  <c r="AG74" i="14"/>
  <c r="AK79" i="14" s="1"/>
  <c r="BM119" i="1"/>
  <c r="AR107" i="34" s="1"/>
  <c r="BN221" i="1"/>
  <c r="AS207" i="34" s="1"/>
  <c r="AO107" i="1"/>
  <c r="M32" i="34"/>
  <c r="Z30" i="1"/>
  <c r="Z20" i="34"/>
  <c r="Z1222" i="34"/>
  <c r="Z43" i="1"/>
  <c r="AB281" i="1"/>
  <c r="Y266" i="34"/>
  <c r="BO204" i="1"/>
  <c r="AT190" i="34" s="1"/>
  <c r="BL224" i="14"/>
  <c r="AR680" i="34" s="1"/>
  <c r="AN862" i="34"/>
  <c r="BM796" i="34"/>
  <c r="AH439" i="34"/>
  <c r="AN620" i="2"/>
  <c r="AN864" i="34" s="1"/>
  <c r="AH918" i="34"/>
  <c r="AT71" i="34"/>
  <c r="BO83" i="1"/>
  <c r="AT70" i="34" s="1"/>
  <c r="V6" i="14"/>
  <c r="U5" i="14"/>
  <c r="BQ223" i="1"/>
  <c r="AV209" i="34" s="1"/>
  <c r="O169" i="34"/>
  <c r="O181" i="1"/>
  <c r="AU100" i="2"/>
  <c r="AH306" i="2"/>
  <c r="AL239" i="1"/>
  <c r="AI1222" i="34"/>
  <c r="AI20" i="34"/>
  <c r="AI30" i="1"/>
  <c r="E12" i="35"/>
  <c r="E13" i="35" s="1"/>
  <c r="E32" i="35" s="1"/>
  <c r="AN34" i="14"/>
  <c r="AH329" i="2"/>
  <c r="BP272" i="1"/>
  <c r="BP273" i="1" s="1"/>
  <c r="AU258" i="34" s="1"/>
  <c r="AO113" i="1"/>
  <c r="AE54" i="2"/>
  <c r="AE298" i="34" s="1"/>
  <c r="Z125" i="14"/>
  <c r="Z631" i="34" s="1"/>
  <c r="W66" i="14"/>
  <c r="AA126" i="14"/>
  <c r="AA632" i="34" s="1"/>
  <c r="AM504" i="2"/>
  <c r="AM740" i="34" s="1"/>
  <c r="AL499" i="2"/>
  <c r="AL65" i="14"/>
  <c r="AP66" i="14" s="1"/>
  <c r="AV489" i="34"/>
  <c r="AS418" i="34"/>
  <c r="AH500" i="2"/>
  <c r="AO37" i="14"/>
  <c r="AN36" i="14"/>
  <c r="AN38" i="14" s="1"/>
  <c r="BP93" i="14"/>
  <c r="BP103" i="14" s="1"/>
  <c r="AN103" i="14" s="1"/>
  <c r="AL70" i="14"/>
  <c r="AQ792" i="34"/>
  <c r="T234" i="1"/>
  <c r="T220" i="34" s="1"/>
  <c r="BQ555" i="2"/>
  <c r="X30" i="1"/>
  <c r="X20" i="34"/>
  <c r="X1222" i="34"/>
  <c r="BJ30" i="1"/>
  <c r="AO21" i="34" s="1"/>
  <c r="AO20" i="34"/>
  <c r="AG327" i="2"/>
  <c r="AG328" i="2" s="1"/>
  <c r="AO115" i="1"/>
  <c r="AF51" i="2"/>
  <c r="AF295" i="34" s="1"/>
  <c r="AD546" i="2"/>
  <c r="AD547" i="2" s="1"/>
  <c r="BM476" i="2"/>
  <c r="AS421" i="34" s="1"/>
  <c r="AE66" i="14"/>
  <c r="AM503" i="2"/>
  <c r="AM739" i="34" s="1"/>
  <c r="AD481" i="2"/>
  <c r="AD432" i="34" s="1"/>
  <c r="AP68" i="14"/>
  <c r="AL82" i="14"/>
  <c r="AL83" i="14" s="1"/>
  <c r="BK33" i="14"/>
  <c r="AQ607" i="34" s="1"/>
  <c r="AE50" i="2"/>
  <c r="AE294" i="34" s="1"/>
  <c r="AI53" i="2"/>
  <c r="AI297" i="34" s="1"/>
  <c r="AD482" i="2"/>
  <c r="AD433" i="34" s="1"/>
  <c r="AK327" i="2"/>
  <c r="AK328" i="2" s="1"/>
  <c r="BM473" i="2"/>
  <c r="AS419" i="34" s="1"/>
  <c r="BM477" i="2"/>
  <c r="AS422" i="34" s="1"/>
  <c r="AM501" i="2"/>
  <c r="AM737" i="34" s="1"/>
  <c r="P332" i="34"/>
  <c r="AI502" i="34"/>
  <c r="AN29" i="14"/>
  <c r="AO228" i="2"/>
  <c r="AO232" i="2" s="1"/>
  <c r="AO235" i="2"/>
  <c r="AO236" i="2" s="1"/>
  <c r="AO242" i="2"/>
  <c r="AO245" i="2" s="1"/>
  <c r="AP296" i="2"/>
  <c r="AI501" i="34"/>
  <c r="AS206" i="34"/>
  <c r="Q17" i="40"/>
  <c r="AP121" i="14"/>
  <c r="BP274" i="1"/>
  <c r="AU259" i="34" s="1"/>
  <c r="BP266" i="1"/>
  <c r="AU251" i="34" s="1"/>
  <c r="AI232" i="2"/>
  <c r="AO69" i="2"/>
  <c r="O18" i="4"/>
  <c r="O1297" i="34" s="1"/>
  <c r="BL204" i="1"/>
  <c r="AQ190" i="34" s="1"/>
  <c r="AO296" i="2"/>
  <c r="AP173" i="2"/>
  <c r="AP189" i="2" s="1"/>
  <c r="AO182" i="2"/>
  <c r="AO185" i="2" s="1"/>
  <c r="AP172" i="2"/>
  <c r="AQ613" i="2"/>
  <c r="AR614" i="2"/>
  <c r="AQ858" i="34"/>
  <c r="AM153" i="2"/>
  <c r="X234" i="1"/>
  <c r="X220" i="34" s="1"/>
  <c r="X216" i="34"/>
  <c r="BO104" i="1"/>
  <c r="AT92" i="34" s="1"/>
  <c r="BO259" i="1"/>
  <c r="AT245" i="34" s="1"/>
  <c r="BO248" i="1"/>
  <c r="AT234" i="34" s="1"/>
  <c r="R17" i="4"/>
  <c r="R1296" i="34" s="1"/>
  <c r="AT244" i="34"/>
  <c r="BV75" i="14"/>
  <c r="BN87" i="1"/>
  <c r="AS74" i="34" s="1"/>
  <c r="AB557" i="34"/>
  <c r="X267" i="1"/>
  <c r="X252" i="34" s="1"/>
  <c r="AD645" i="34"/>
  <c r="AE583" i="2"/>
  <c r="AE822" i="34" s="1"/>
  <c r="AA626" i="34"/>
  <c r="BN476" i="2"/>
  <c r="AT421" i="34" s="1"/>
  <c r="AH474" i="2"/>
  <c r="AP144" i="14"/>
  <c r="AO41" i="1"/>
  <c r="AO1234" i="34" s="1"/>
  <c r="AF541" i="34"/>
  <c r="AF1018" i="34"/>
  <c r="AL115" i="1"/>
  <c r="AL121" i="1" s="1"/>
  <c r="AC634" i="2"/>
  <c r="AC879" i="34" s="1"/>
  <c r="T215" i="1"/>
  <c r="T201" i="34" s="1"/>
  <c r="BJ46" i="1"/>
  <c r="BJ62" i="1" s="1"/>
  <c r="AD809" i="34"/>
  <c r="T226" i="1"/>
  <c r="T212" i="34" s="1"/>
  <c r="BJ43" i="1"/>
  <c r="AO34" i="34" s="1"/>
  <c r="AE292" i="2"/>
  <c r="AE1099" i="34" s="1"/>
  <c r="AI237" i="2"/>
  <c r="AH237" i="2"/>
  <c r="BM1004" i="34"/>
  <c r="AG712" i="34"/>
  <c r="BO473" i="2"/>
  <c r="AU419" i="34" s="1"/>
  <c r="CA472" i="2"/>
  <c r="AD474" i="2"/>
  <c r="AG114" i="2"/>
  <c r="AG503" i="34" s="1"/>
  <c r="AG113" i="2"/>
  <c r="AG980" i="34" s="1"/>
  <c r="AP120" i="14"/>
  <c r="AP125" i="14" s="1"/>
  <c r="Z481" i="2"/>
  <c r="Z432" i="34" s="1"/>
  <c r="AQ970" i="34"/>
  <c r="AQ957" i="34"/>
  <c r="AQ953" i="34"/>
  <c r="AL29" i="14"/>
  <c r="AP30" i="14" s="1"/>
  <c r="Y334" i="34"/>
  <c r="Z482" i="2"/>
  <c r="Z433" i="34" s="1"/>
  <c r="AQ961" i="34"/>
  <c r="AC810" i="34"/>
  <c r="AO191" i="14"/>
  <c r="AB377" i="34"/>
  <c r="AN293" i="1"/>
  <c r="AO1229" i="34"/>
  <c r="AF1234" i="34"/>
  <c r="O72" i="4"/>
  <c r="O15" i="4" s="1"/>
  <c r="O1294" i="34" s="1"/>
  <c r="AE192" i="34"/>
  <c r="AF206" i="1"/>
  <c r="AS287" i="2"/>
  <c r="AS1094" i="34" s="1"/>
  <c r="AS1061" i="34"/>
  <c r="AW255" i="2"/>
  <c r="AQ257" i="34"/>
  <c r="BL273" i="1"/>
  <c r="AQ258" i="34" s="1"/>
  <c r="Z431" i="34"/>
  <c r="AA484" i="2"/>
  <c r="AA435" i="34" s="1"/>
  <c r="BH809" i="34"/>
  <c r="AH230" i="2"/>
  <c r="AH1017" i="34"/>
  <c r="BN473" i="2"/>
  <c r="AT419" i="34" s="1"/>
  <c r="Z483" i="2"/>
  <c r="Z434" i="34" s="1"/>
  <c r="AD483" i="2"/>
  <c r="AD434" i="34" s="1"/>
  <c r="AQ91" i="34"/>
  <c r="BM230" i="1"/>
  <c r="AK61" i="14"/>
  <c r="AO25" i="2"/>
  <c r="BP28" i="14"/>
  <c r="BP33" i="14" s="1"/>
  <c r="AV607" i="34" s="1"/>
  <c r="Z634" i="2"/>
  <c r="Z879" i="34" s="1"/>
  <c r="AL41" i="1"/>
  <c r="AL1234" i="34" s="1"/>
  <c r="BN480" i="2"/>
  <c r="BN483" i="2" s="1"/>
  <c r="AT434" i="34" s="1"/>
  <c r="T119" i="1"/>
  <c r="T107" i="34" s="1"/>
  <c r="AK26" i="2"/>
  <c r="BO967" i="34"/>
  <c r="AM482" i="2"/>
  <c r="AR503" i="34"/>
  <c r="AL26" i="2"/>
  <c r="AT418" i="34"/>
  <c r="BN477" i="2"/>
  <c r="AT422" i="34" s="1"/>
  <c r="AH218" i="2"/>
  <c r="AN484" i="2"/>
  <c r="AH419" i="34"/>
  <c r="AH113" i="2"/>
  <c r="AH980" i="34" s="1"/>
  <c r="AO80" i="14"/>
  <c r="AL231" i="2"/>
  <c r="AR970" i="34"/>
  <c r="AQ962" i="34"/>
  <c r="AQ948" i="34"/>
  <c r="AF303" i="34"/>
  <c r="AL36" i="14"/>
  <c r="AL37" i="14" s="1"/>
  <c r="BN108" i="14"/>
  <c r="S66" i="14"/>
  <c r="AP192" i="14"/>
  <c r="AA67" i="14"/>
  <c r="Z484" i="2"/>
  <c r="Z435" i="34" s="1"/>
  <c r="AP123" i="14"/>
  <c r="AO293" i="1"/>
  <c r="O72" i="40"/>
  <c r="O15" i="40" s="1"/>
  <c r="AS555" i="2"/>
  <c r="AR792" i="34"/>
  <c r="U1222" i="34"/>
  <c r="U20" i="34"/>
  <c r="AM32" i="34"/>
  <c r="BH46" i="1"/>
  <c r="X107" i="14"/>
  <c r="AS216" i="34"/>
  <c r="BN234" i="1"/>
  <c r="AS220" i="34" s="1"/>
  <c r="AP216" i="34"/>
  <c r="BK234" i="1"/>
  <c r="AP220" i="34" s="1"/>
  <c r="S27" i="42"/>
  <c r="S5" i="42"/>
  <c r="AB191" i="34"/>
  <c r="BN205" i="1"/>
  <c r="AS191" i="34" s="1"/>
  <c r="M115" i="1"/>
  <c r="M113" i="1"/>
  <c r="M101" i="34" s="1"/>
  <c r="M94" i="34"/>
  <c r="AF251" i="14"/>
  <c r="AF250" i="14"/>
  <c r="BN236" i="1"/>
  <c r="AS222" i="34" s="1"/>
  <c r="BP84" i="1"/>
  <c r="AU71" i="34" s="1"/>
  <c r="AU77" i="34"/>
  <c r="AN20" i="34"/>
  <c r="BI30" i="1"/>
  <c r="AN21" i="34" s="1"/>
  <c r="V21" i="34"/>
  <c r="V1223" i="34"/>
  <c r="R6" i="34"/>
  <c r="AJ974" i="34"/>
  <c r="AJ497" i="34"/>
  <c r="AJ109" i="2"/>
  <c r="AN112" i="2" s="1"/>
  <c r="AN978" i="34" s="1"/>
  <c r="Q74" i="34"/>
  <c r="Q1280" i="34"/>
  <c r="T171" i="34"/>
  <c r="T183" i="1"/>
  <c r="T172" i="34" s="1"/>
  <c r="AE251" i="14"/>
  <c r="AI251" i="14"/>
  <c r="AI250" i="14"/>
  <c r="AE250" i="14"/>
  <c r="AB199" i="34"/>
  <c r="BN213" i="1"/>
  <c r="AS199" i="34" s="1"/>
  <c r="AN234" i="1"/>
  <c r="Q20" i="34"/>
  <c r="Q1222" i="34"/>
  <c r="Q30" i="1"/>
  <c r="U1280" i="34"/>
  <c r="U74" i="34"/>
  <c r="AD1280" i="34"/>
  <c r="AD74" i="34"/>
  <c r="AF219" i="34"/>
  <c r="BO233" i="1"/>
  <c r="AH87" i="14"/>
  <c r="AI88" i="14"/>
  <c r="AH89" i="14"/>
  <c r="AI90" i="14"/>
  <c r="T274" i="1"/>
  <c r="T259" i="34" s="1"/>
  <c r="T250" i="34"/>
  <c r="T266" i="1"/>
  <c r="T251" i="34" s="1"/>
  <c r="AP154" i="14"/>
  <c r="AP156" i="14"/>
  <c r="AT151" i="14"/>
  <c r="AI87" i="14"/>
  <c r="AI89" i="14"/>
  <c r="BO107" i="2"/>
  <c r="Z1280" i="34"/>
  <c r="Z74" i="34"/>
  <c r="BJ33" i="14"/>
  <c r="AP607" i="34" s="1"/>
  <c r="BJ31" i="14"/>
  <c r="AP605" i="34" s="1"/>
  <c r="AP604" i="34"/>
  <c r="AP117" i="34"/>
  <c r="BK133" i="1"/>
  <c r="AP121" i="34" s="1"/>
  <c r="AU250" i="34"/>
  <c r="M249" i="1"/>
  <c r="M233" i="34"/>
  <c r="P5" i="4"/>
  <c r="Q8" i="4"/>
  <c r="BQ86" i="1"/>
  <c r="AV73" i="34" s="1"/>
  <c r="AK1279" i="34"/>
  <c r="AK87" i="1"/>
  <c r="AV256" i="34"/>
  <c r="BQ272" i="1"/>
  <c r="AT199" i="34"/>
  <c r="BO215" i="1"/>
  <c r="BL188" i="1"/>
  <c r="AQ177" i="34" s="1"/>
  <c r="BL29" i="1"/>
  <c r="AQ19" i="34"/>
  <c r="AH251" i="14"/>
  <c r="AH250" i="14"/>
  <c r="BJ121" i="14"/>
  <c r="AP627" i="34" s="1"/>
  <c r="AP625" i="34"/>
  <c r="BJ123" i="14"/>
  <c r="AP629" i="34" s="1"/>
  <c r="BP222" i="1"/>
  <c r="AU208" i="34" s="1"/>
  <c r="AI208" i="34"/>
  <c r="BM206" i="1"/>
  <c r="AR192" i="34" s="1"/>
  <c r="BO223" i="1"/>
  <c r="AT209" i="34" s="1"/>
  <c r="P266" i="1"/>
  <c r="P251" i="34" s="1"/>
  <c r="P250" i="34"/>
  <c r="P274" i="1"/>
  <c r="P259" i="34" s="1"/>
  <c r="AB216" i="34"/>
  <c r="AB234" i="1"/>
  <c r="AB220" i="34" s="1"/>
  <c r="R11" i="4"/>
  <c r="BO260" i="1"/>
  <c r="AT246" i="34" s="1"/>
  <c r="W74" i="34"/>
  <c r="W1280" i="34"/>
  <c r="BM29" i="1"/>
  <c r="BM188" i="1"/>
  <c r="AR177" i="34" s="1"/>
  <c r="AR19" i="34"/>
  <c r="AF211" i="34"/>
  <c r="BO225" i="1"/>
  <c r="AT211" i="34" s="1"/>
  <c r="BK182" i="1"/>
  <c r="AP161" i="34"/>
  <c r="B48" i="3"/>
  <c r="Q11" i="4"/>
  <c r="AG1223" i="34"/>
  <c r="AG21" i="34"/>
  <c r="P72" i="40"/>
  <c r="P15" i="40" s="1"/>
  <c r="P72" i="4"/>
  <c r="P15" i="4" s="1"/>
  <c r="P1294" i="34" s="1"/>
  <c r="AR91" i="34"/>
  <c r="P72" i="42"/>
  <c r="P15" i="42" s="1"/>
  <c r="BM273" i="1"/>
  <c r="AR258" i="34" s="1"/>
  <c r="AR257" i="34"/>
  <c r="S8" i="40"/>
  <c r="R5" i="40"/>
  <c r="BW35" i="1"/>
  <c r="BW209" i="14"/>
  <c r="AK113" i="1"/>
  <c r="AK115" i="1"/>
  <c r="AK121" i="1" s="1"/>
  <c r="E30" i="35"/>
  <c r="L1202" i="34"/>
  <c r="L1203" i="34"/>
  <c r="E25" i="35"/>
  <c r="L1204" i="34" s="1"/>
  <c r="E22" i="35"/>
  <c r="BQ265" i="1"/>
  <c r="AM266" i="1"/>
  <c r="AM267" i="1"/>
  <c r="P38" i="14"/>
  <c r="P612" i="34" s="1"/>
  <c r="AH640" i="2"/>
  <c r="AH885" i="34" s="1"/>
  <c r="AF945" i="34"/>
  <c r="AF795" i="34"/>
  <c r="AC230" i="14"/>
  <c r="AB484" i="34"/>
  <c r="AF54" i="2"/>
  <c r="AF714" i="34" s="1"/>
  <c r="AE53" i="2"/>
  <c r="AE297" i="34" s="1"/>
  <c r="AP524" i="2"/>
  <c r="AP760" i="34" s="1"/>
  <c r="AG713" i="34"/>
  <c r="AT399" i="34"/>
  <c r="W542" i="2"/>
  <c r="W788" i="34" s="1"/>
  <c r="BP106" i="14"/>
  <c r="BP107" i="14" s="1"/>
  <c r="AI50" i="2"/>
  <c r="AI710" i="34" s="1"/>
  <c r="AJ120" i="14"/>
  <c r="AJ626" i="34" s="1"/>
  <c r="AO39" i="1"/>
  <c r="AO43" i="1" s="1"/>
  <c r="AO136" i="1" s="1"/>
  <c r="BN196" i="14"/>
  <c r="AT646" i="34"/>
  <c r="BO101" i="1"/>
  <c r="AT89" i="34" s="1"/>
  <c r="AA4" i="35"/>
  <c r="F5" i="35"/>
  <c r="F9" i="35" s="1"/>
  <c r="AS244" i="34"/>
  <c r="BN260" i="1"/>
  <c r="AS246" i="34" s="1"/>
  <c r="BN259" i="1"/>
  <c r="AS245" i="34" s="1"/>
  <c r="Q17" i="4"/>
  <c r="Q1296" i="34" s="1"/>
  <c r="BN248" i="1"/>
  <c r="AS234" i="34" s="1"/>
  <c r="BN104" i="1"/>
  <c r="AS92" i="34" s="1"/>
  <c r="BO262" i="1"/>
  <c r="AT248" i="34" s="1"/>
  <c r="BO261" i="1"/>
  <c r="AT247" i="34" s="1"/>
  <c r="P17" i="40"/>
  <c r="BM226" i="1"/>
  <c r="AR212" i="34" s="1"/>
  <c r="P17" i="42"/>
  <c r="AR206" i="34"/>
  <c r="BM1033" i="34"/>
  <c r="Z484" i="34"/>
  <c r="AP98" i="2"/>
  <c r="AF969" i="34"/>
  <c r="BN628" i="2"/>
  <c r="AT369" i="34" s="1"/>
  <c r="AJ122" i="14"/>
  <c r="AJ628" i="34" s="1"/>
  <c r="AF934" i="34"/>
  <c r="AE281" i="2"/>
  <c r="AE1088" i="34" s="1"/>
  <c r="BN49" i="2"/>
  <c r="AT293" i="34" s="1"/>
  <c r="AS136" i="2"/>
  <c r="AS140" i="2" s="1"/>
  <c r="AU304" i="34"/>
  <c r="AK178" i="14"/>
  <c r="AE293" i="34"/>
  <c r="AS85" i="2"/>
  <c r="BQ294" i="2"/>
  <c r="W228" i="14"/>
  <c r="AM186" i="14"/>
  <c r="AN192" i="14" s="1"/>
  <c r="AF38" i="14"/>
  <c r="AF612" i="34" s="1"/>
  <c r="AB139" i="14"/>
  <c r="AB140" i="14" s="1"/>
  <c r="AI79" i="14"/>
  <c r="AA634" i="2"/>
  <c r="AA879" i="34" s="1"/>
  <c r="AG540" i="2"/>
  <c r="AG786" i="34" s="1"/>
  <c r="BO14" i="14"/>
  <c r="BO74" i="14"/>
  <c r="BN65" i="14"/>
  <c r="AT616" i="34" s="1"/>
  <c r="BN74" i="14"/>
  <c r="AJ1022" i="34"/>
  <c r="AO38" i="14"/>
  <c r="AE157" i="14"/>
  <c r="AE641" i="34" s="1"/>
  <c r="Y332" i="34"/>
  <c r="AE37" i="14"/>
  <c r="AE611" i="34" s="1"/>
  <c r="AR1283" i="34"/>
  <c r="AS86" i="1"/>
  <c r="AO619" i="2"/>
  <c r="AO863" i="34" s="1"/>
  <c r="AO620" i="2"/>
  <c r="AO864" i="34" s="1"/>
  <c r="AO862" i="34"/>
  <c r="AQ1276" i="34"/>
  <c r="R182" i="1"/>
  <c r="R170" i="34"/>
  <c r="E19" i="35"/>
  <c r="Z795" i="34"/>
  <c r="Z341" i="34"/>
  <c r="BN83" i="14"/>
  <c r="BM258" i="1"/>
  <c r="BN262" i="1" s="1"/>
  <c r="AS248" i="34" s="1"/>
  <c r="X260" i="1"/>
  <c r="X246" i="34" s="1"/>
  <c r="X104" i="1"/>
  <c r="X92" i="34" s="1"/>
  <c r="X259" i="1"/>
  <c r="X245" i="34" s="1"/>
  <c r="X244" i="34"/>
  <c r="Q38" i="14"/>
  <c r="Q612" i="34" s="1"/>
  <c r="BO171" i="14"/>
  <c r="BO173" i="14" s="1"/>
  <c r="BH191" i="14"/>
  <c r="AN652" i="34" s="1"/>
  <c r="BO236" i="1"/>
  <c r="AT222" i="34" s="1"/>
  <c r="BO119" i="14"/>
  <c r="BO121" i="14" s="1"/>
  <c r="AU627" i="34" s="1"/>
  <c r="AW217" i="14"/>
  <c r="AG306" i="2"/>
  <c r="AG919" i="34" s="1"/>
  <c r="AE51" i="2"/>
  <c r="AE295" i="34" s="1"/>
  <c r="AE709" i="34"/>
  <c r="AH244" i="2"/>
  <c r="AG62" i="14"/>
  <c r="AG84" i="14" s="1"/>
  <c r="AQ522" i="2"/>
  <c r="AQ758" i="34" s="1"/>
  <c r="AS333" i="2"/>
  <c r="AS336" i="2" s="1"/>
  <c r="AS943" i="34" s="1"/>
  <c r="AB644" i="2"/>
  <c r="AB382" i="34" s="1"/>
  <c r="AF66" i="14"/>
  <c r="AL172" i="14"/>
  <c r="AF192" i="14"/>
  <c r="AF653" i="34" s="1"/>
  <c r="AV276" i="34"/>
  <c r="AP552" i="2"/>
  <c r="AP553" i="2" s="1"/>
  <c r="AI977" i="34"/>
  <c r="R192" i="14"/>
  <c r="R653" i="34" s="1"/>
  <c r="X228" i="14"/>
  <c r="AN541" i="2"/>
  <c r="AN787" i="34" s="1"/>
  <c r="S37" i="14"/>
  <c r="S611" i="34" s="1"/>
  <c r="AH945" i="34"/>
  <c r="AH934" i="34"/>
  <c r="BO224" i="14"/>
  <c r="AU680" i="34" s="1"/>
  <c r="AO82" i="14"/>
  <c r="AP88" i="14" s="1"/>
  <c r="AO65" i="14"/>
  <c r="AO67" i="14" s="1"/>
  <c r="AB261" i="1"/>
  <c r="AB247" i="34" s="1"/>
  <c r="BK196" i="14"/>
  <c r="AQ646" i="34"/>
  <c r="BL101" i="1"/>
  <c r="AQ89" i="34" s="1"/>
  <c r="CA185" i="14"/>
  <c r="AA1108" i="34"/>
  <c r="W464" i="34"/>
  <c r="W942" i="34"/>
  <c r="CA28" i="14"/>
  <c r="N12" i="4"/>
  <c r="N1291" i="34" s="1"/>
  <c r="N1290" i="34"/>
  <c r="AT247" i="2"/>
  <c r="AT225" i="2" s="1"/>
  <c r="AT223" i="2"/>
  <c r="AP220" i="2"/>
  <c r="AL62" i="14"/>
  <c r="AK62" i="14"/>
  <c r="AM243" i="2"/>
  <c r="AM74" i="2" s="1"/>
  <c r="AM62" i="14"/>
  <c r="AB21" i="34"/>
  <c r="AJ538" i="2"/>
  <c r="AJ784" i="34" s="1"/>
  <c r="AJ1226" i="34"/>
  <c r="AJ24" i="34"/>
  <c r="AH60" i="1"/>
  <c r="AH49" i="1"/>
  <c r="AH44" i="1"/>
  <c r="AH1236" i="34"/>
  <c r="AH34" i="34"/>
  <c r="AH136" i="1"/>
  <c r="AH124" i="34" s="1"/>
  <c r="BO155" i="14"/>
  <c r="AU639" i="34" s="1"/>
  <c r="BO162" i="14"/>
  <c r="BO163" i="14" s="1"/>
  <c r="BO153" i="14"/>
  <c r="AU637" i="34" s="1"/>
  <c r="AU635" i="34"/>
  <c r="AK37" i="14"/>
  <c r="BP33" i="1"/>
  <c r="BP39" i="1" s="1"/>
  <c r="AK144" i="14"/>
  <c r="AI144" i="14"/>
  <c r="AM145" i="14" s="1"/>
  <c r="AL174" i="14"/>
  <c r="AP158" i="14"/>
  <c r="AN189" i="14"/>
  <c r="AP71" i="14"/>
  <c r="R250" i="34"/>
  <c r="R274" i="1"/>
  <c r="R259" i="34" s="1"/>
  <c r="R266" i="1"/>
  <c r="R251" i="34" s="1"/>
  <c r="R267" i="1"/>
  <c r="R252" i="34" s="1"/>
  <c r="AL32" i="14"/>
  <c r="AL33" i="14"/>
  <c r="AL31" i="14"/>
  <c r="AL34" i="14"/>
  <c r="AP1226" i="34"/>
  <c r="AP39" i="1"/>
  <c r="R636" i="34"/>
  <c r="AE191" i="14"/>
  <c r="AE652" i="34" s="1"/>
  <c r="AP188" i="34"/>
  <c r="BK265" i="1"/>
  <c r="BK267" i="1" s="1"/>
  <c r="AP252" i="34" s="1"/>
  <c r="AT119" i="14"/>
  <c r="AP122" i="14"/>
  <c r="AP124" i="14"/>
  <c r="AC266" i="1"/>
  <c r="AC251" i="34" s="1"/>
  <c r="AC274" i="1"/>
  <c r="AC259" i="34" s="1"/>
  <c r="AC250" i="34"/>
  <c r="AC267" i="1"/>
  <c r="AC252" i="34" s="1"/>
  <c r="AA34" i="34"/>
  <c r="AA44" i="1"/>
  <c r="AA49" i="1"/>
  <c r="AA1236" i="34"/>
  <c r="AA60" i="1"/>
  <c r="AA136" i="1"/>
  <c r="AA124" i="34" s="1"/>
  <c r="R21" i="34"/>
  <c r="R1223" i="34"/>
  <c r="AK1222" i="34"/>
  <c r="I12" i="35"/>
  <c r="AK30" i="1"/>
  <c r="U266" i="1"/>
  <c r="U251" i="34" s="1"/>
  <c r="U250" i="34"/>
  <c r="U267" i="1"/>
  <c r="U252" i="34" s="1"/>
  <c r="U274" i="1"/>
  <c r="U259" i="34" s="1"/>
  <c r="Y266" i="1"/>
  <c r="Y251" i="34" s="1"/>
  <c r="Y274" i="1"/>
  <c r="Y259" i="34" s="1"/>
  <c r="Y267" i="1"/>
  <c r="Y252" i="34" s="1"/>
  <c r="Y250" i="34"/>
  <c r="AA21" i="34"/>
  <c r="AA1223" i="34"/>
  <c r="AO71" i="14"/>
  <c r="AO69" i="14"/>
  <c r="AC37" i="14"/>
  <c r="AC611" i="34" s="1"/>
  <c r="AA191" i="14"/>
  <c r="AA652" i="34" s="1"/>
  <c r="Q125" i="14"/>
  <c r="Q631" i="34" s="1"/>
  <c r="AP69" i="14"/>
  <c r="AL188" i="1"/>
  <c r="AT188" i="1" s="1"/>
  <c r="AL29" i="1"/>
  <c r="AL1221" i="34"/>
  <c r="AA47" i="1"/>
  <c r="AA62" i="1"/>
  <c r="AA137" i="1"/>
  <c r="AA1239" i="34"/>
  <c r="AA37" i="34"/>
  <c r="AJ121" i="14"/>
  <c r="AJ627" i="34" s="1"/>
  <c r="AJ625" i="34"/>
  <c r="AJ123" i="14"/>
  <c r="AJ629" i="34" s="1"/>
  <c r="AT229" i="14"/>
  <c r="AS176" i="14"/>
  <c r="AS177" i="14" s="1"/>
  <c r="AS139" i="14"/>
  <c r="AS140" i="14" s="1"/>
  <c r="AK70" i="14"/>
  <c r="BP64" i="14"/>
  <c r="BP65" i="14" s="1"/>
  <c r="AV616" i="34" s="1"/>
  <c r="AK68" i="14"/>
  <c r="AK71" i="14"/>
  <c r="AK82" i="14"/>
  <c r="AK69" i="14"/>
  <c r="CM28" i="1"/>
  <c r="BP29" i="1"/>
  <c r="BP188" i="1"/>
  <c r="AU177" i="34" s="1"/>
  <c r="AU19" i="34"/>
  <c r="AF137" i="1"/>
  <c r="AF1239" i="34"/>
  <c r="AF62" i="1"/>
  <c r="AF37" i="34"/>
  <c r="AF47" i="1"/>
  <c r="AJ1225" i="34"/>
  <c r="AJ23" i="34"/>
  <c r="AJ39" i="1"/>
  <c r="AJ41" i="1"/>
  <c r="AL188" i="14"/>
  <c r="AL101" i="1"/>
  <c r="AL187" i="14"/>
  <c r="AL189" i="14"/>
  <c r="AL190" i="14"/>
  <c r="AM153" i="14"/>
  <c r="AN154" i="14"/>
  <c r="AM155" i="14"/>
  <c r="AN156" i="14"/>
  <c r="AO68" i="14"/>
  <c r="AO177" i="14"/>
  <c r="AO178" i="14"/>
  <c r="AM1225" i="34"/>
  <c r="AM39" i="1"/>
  <c r="AM43" i="1" s="1"/>
  <c r="AM41" i="1"/>
  <c r="AM1234" i="34" s="1"/>
  <c r="CN37" i="1"/>
  <c r="AV28" i="34"/>
  <c r="AP1229" i="34"/>
  <c r="AP41" i="1"/>
  <c r="AP1234" i="34" s="1"/>
  <c r="AK1225" i="34"/>
  <c r="BQ32" i="1"/>
  <c r="AJ190" i="14"/>
  <c r="AJ651" i="34" s="1"/>
  <c r="AJ187" i="14"/>
  <c r="AJ648" i="34" s="1"/>
  <c r="AJ101" i="1"/>
  <c r="AJ89" i="34" s="1"/>
  <c r="AJ646" i="34"/>
  <c r="BO185" i="14"/>
  <c r="BO186" i="14" s="1"/>
  <c r="AU647" i="34" s="1"/>
  <c r="AJ188" i="14"/>
  <c r="AJ649" i="34" s="1"/>
  <c r="AJ189" i="14"/>
  <c r="AJ650" i="34" s="1"/>
  <c r="AO70" i="14"/>
  <c r="AM82" i="14"/>
  <c r="AM83" i="14" s="1"/>
  <c r="AM69" i="14"/>
  <c r="AN71" i="14"/>
  <c r="AM68" i="14"/>
  <c r="AM70" i="14"/>
  <c r="AM71" i="14"/>
  <c r="AN69" i="14"/>
  <c r="AP190" i="14"/>
  <c r="AP101" i="1"/>
  <c r="AP187" i="14"/>
  <c r="AP188" i="14"/>
  <c r="AP189" i="14"/>
  <c r="BO33" i="14"/>
  <c r="AU607" i="34" s="1"/>
  <c r="BO31" i="14"/>
  <c r="AU605" i="34" s="1"/>
  <c r="AU604" i="34"/>
  <c r="AL71" i="14"/>
  <c r="AL89" i="14"/>
  <c r="AP1221" i="34"/>
  <c r="AP188" i="1"/>
  <c r="AX188" i="1" s="1"/>
  <c r="BB188" i="1" s="1"/>
  <c r="AP29" i="1"/>
  <c r="AO34" i="14"/>
  <c r="AN33" i="14"/>
  <c r="AN31" i="14"/>
  <c r="AO32" i="14"/>
  <c r="AN187" i="14"/>
  <c r="BJ266" i="1"/>
  <c r="AO251" i="34" s="1"/>
  <c r="AO250" i="34"/>
  <c r="BJ267" i="1"/>
  <c r="AO252" i="34" s="1"/>
  <c r="BH60" i="1"/>
  <c r="BH49" i="1"/>
  <c r="BH44" i="1"/>
  <c r="AM35" i="34" s="1"/>
  <c r="AM34" i="34"/>
  <c r="AJ1229" i="34"/>
  <c r="AJ289" i="1"/>
  <c r="AJ27" i="34"/>
  <c r="AJ293" i="1"/>
  <c r="N1236" i="34"/>
  <c r="N49" i="1"/>
  <c r="N34" i="34"/>
  <c r="N136" i="1"/>
  <c r="N124" i="34" s="1"/>
  <c r="N44" i="1"/>
  <c r="N60" i="1"/>
  <c r="AO141" i="14"/>
  <c r="AO142" i="14" s="1"/>
  <c r="AO140" i="14"/>
  <c r="BO42" i="14"/>
  <c r="BO51" i="14" s="1"/>
  <c r="BP42" i="14"/>
  <c r="BP51" i="14" s="1"/>
  <c r="AM293" i="1"/>
  <c r="AM1229" i="34"/>
  <c r="AM289" i="1"/>
  <c r="AP172" i="14"/>
  <c r="AP173" i="14"/>
  <c r="AP174" i="14"/>
  <c r="AO189" i="14"/>
  <c r="AK189" i="14"/>
  <c r="AK190" i="14"/>
  <c r="AK187" i="14"/>
  <c r="AK101" i="1"/>
  <c r="AO187" i="14"/>
  <c r="AK188" i="14"/>
  <c r="BP185" i="14"/>
  <c r="BP186" i="14" s="1"/>
  <c r="AV647" i="34" s="1"/>
  <c r="AF44" i="1"/>
  <c r="AF34" i="34"/>
  <c r="AF1236" i="34"/>
  <c r="AF49" i="1"/>
  <c r="AF60" i="1"/>
  <c r="AF136" i="1"/>
  <c r="AF124" i="34" s="1"/>
  <c r="AP33" i="14"/>
  <c r="AP31" i="14"/>
  <c r="AP34" i="14"/>
  <c r="AP32" i="14"/>
  <c r="AO144" i="14"/>
  <c r="AL140" i="14"/>
  <c r="AN188" i="1"/>
  <c r="AN1221" i="34"/>
  <c r="AN29" i="1"/>
  <c r="AJ71" i="14"/>
  <c r="AJ620" i="34" s="1"/>
  <c r="AJ82" i="14"/>
  <c r="AJ83" i="14" s="1"/>
  <c r="AJ615" i="34"/>
  <c r="AJ69" i="14"/>
  <c r="AJ618" i="34" s="1"/>
  <c r="AJ68" i="14"/>
  <c r="AJ617" i="34" s="1"/>
  <c r="AJ248" i="14"/>
  <c r="AJ249" i="14" s="1"/>
  <c r="BO64" i="14"/>
  <c r="CB64" i="14" s="1"/>
  <c r="AN70" i="14"/>
  <c r="AJ70" i="14"/>
  <c r="AJ619" i="34" s="1"/>
  <c r="AN68" i="14"/>
  <c r="AL1229" i="34"/>
  <c r="AL293" i="1"/>
  <c r="N1223" i="34"/>
  <c r="N21" i="34"/>
  <c r="AK155" i="14"/>
  <c r="AK153" i="14"/>
  <c r="AK156" i="14"/>
  <c r="AK154" i="14"/>
  <c r="AO155" i="14"/>
  <c r="AO153" i="14"/>
  <c r="AJ30" i="1"/>
  <c r="F12" i="35"/>
  <c r="F13" i="35" s="1"/>
  <c r="AJ1222" i="34"/>
  <c r="AJ20" i="34"/>
  <c r="AU185" i="14"/>
  <c r="AY185" i="14" s="1"/>
  <c r="AM187" i="14"/>
  <c r="AM190" i="14"/>
  <c r="AN190" i="14"/>
  <c r="AM189" i="14"/>
  <c r="AM101" i="1"/>
  <c r="AM188" i="14"/>
  <c r="AJ65" i="14"/>
  <c r="AN66" i="14" s="1"/>
  <c r="AK293" i="1"/>
  <c r="AK1229" i="34"/>
  <c r="BQ36" i="1"/>
  <c r="BQ289" i="1" s="1"/>
  <c r="AK289" i="1"/>
  <c r="AL69" i="14"/>
  <c r="X811" i="34"/>
  <c r="V542" i="2"/>
  <c r="V788" i="34" s="1"/>
  <c r="BO537" i="2"/>
  <c r="BO783" i="34" s="1"/>
  <c r="BO228" i="14"/>
  <c r="Z549" i="2"/>
  <c r="AD549" i="2"/>
  <c r="AJ783" i="34"/>
  <c r="AP548" i="2"/>
  <c r="AP549" i="2"/>
  <c r="AB582" i="2"/>
  <c r="AB821" i="34" s="1"/>
  <c r="AS368" i="34"/>
  <c r="BK732" i="34"/>
  <c r="AA548" i="2"/>
  <c r="BJ732" i="34"/>
  <c r="AP771" i="34"/>
  <c r="AC328" i="2"/>
  <c r="AA550" i="2"/>
  <c r="AK540" i="2"/>
  <c r="AK786" i="34" s="1"/>
  <c r="Z550" i="2"/>
  <c r="AC302" i="34"/>
  <c r="AH194" i="2"/>
  <c r="AH196" i="2"/>
  <c r="AM245" i="14"/>
  <c r="AM248" i="14" s="1"/>
  <c r="AM249" i="14" s="1"/>
  <c r="AM251" i="14" s="1"/>
  <c r="AP57" i="14"/>
  <c r="AI499" i="34"/>
  <c r="AS296" i="2"/>
  <c r="AU97" i="2"/>
  <c r="AU98" i="2" s="1"/>
  <c r="AU101" i="2"/>
  <c r="AI201" i="2"/>
  <c r="AI193" i="2"/>
  <c r="AJ199" i="2"/>
  <c r="AI211" i="2"/>
  <c r="AI203" i="2"/>
  <c r="AI202" i="2"/>
  <c r="R38" i="14"/>
  <c r="R612" i="34" s="1"/>
  <c r="AH460" i="34"/>
  <c r="AH937" i="34"/>
  <c r="Z605" i="2"/>
  <c r="Z848" i="34" s="1"/>
  <c r="Y962" i="34"/>
  <c r="AI647" i="34"/>
  <c r="BH157" i="14"/>
  <c r="AN641" i="34" s="1"/>
  <c r="BI811" i="34"/>
  <c r="AR940" i="34"/>
  <c r="AR941" i="34"/>
  <c r="AO540" i="2"/>
  <c r="AO786" i="34" s="1"/>
  <c r="AV543" i="34"/>
  <c r="AL553" i="2"/>
  <c r="U332" i="34"/>
  <c r="BM558" i="2"/>
  <c r="AS341" i="34" s="1"/>
  <c r="V30" i="14"/>
  <c r="Q811" i="34"/>
  <c r="BO41" i="2"/>
  <c r="BO703" i="34" s="1"/>
  <c r="W958" i="34"/>
  <c r="Z480" i="34"/>
  <c r="AM110" i="2"/>
  <c r="AM976" i="34" s="1"/>
  <c r="AN783" i="34"/>
  <c r="AV490" i="34"/>
  <c r="AR944" i="34"/>
  <c r="AU25" i="1"/>
  <c r="AU1218" i="34" s="1"/>
  <c r="AM327" i="2"/>
  <c r="CB569" i="2"/>
  <c r="AA538" i="2"/>
  <c r="AA784" i="34" s="1"/>
  <c r="S191" i="14"/>
  <c r="S652" i="34" s="1"/>
  <c r="BM794" i="34"/>
  <c r="AT343" i="2"/>
  <c r="Z30" i="14"/>
  <c r="BL570" i="2"/>
  <c r="AR332" i="34" s="1"/>
  <c r="AQ331" i="34"/>
  <c r="CD396" i="2"/>
  <c r="Z1017" i="34"/>
  <c r="AW256" i="2"/>
  <c r="AW288" i="2" s="1"/>
  <c r="AW1095" i="34" s="1"/>
  <c r="W540" i="2"/>
  <c r="W786" i="34" s="1"/>
  <c r="AA541" i="2"/>
  <c r="AA787" i="34" s="1"/>
  <c r="U66" i="14"/>
  <c r="AP546" i="2"/>
  <c r="AB328" i="2"/>
  <c r="BP89" i="2"/>
  <c r="Q37" i="14"/>
  <c r="Q611" i="34" s="1"/>
  <c r="AF328" i="2"/>
  <c r="AQ412" i="34"/>
  <c r="BK1122" i="34"/>
  <c r="AH959" i="34"/>
  <c r="AH482" i="34"/>
  <c r="T158" i="14"/>
  <c r="T642" i="34" s="1"/>
  <c r="AG329" i="2"/>
  <c r="AF936" i="34"/>
  <c r="AB957" i="34"/>
  <c r="W795" i="34"/>
  <c r="AF481" i="2"/>
  <c r="AF432" i="34" s="1"/>
  <c r="AF482" i="2"/>
  <c r="AF433" i="34" s="1"/>
  <c r="AD328" i="2"/>
  <c r="AJ327" i="2"/>
  <c r="AJ328" i="2" s="1"/>
  <c r="AJ483" i="2"/>
  <c r="AJ434" i="34" s="1"/>
  <c r="BP397" i="2"/>
  <c r="BP1021" i="34" s="1"/>
  <c r="M610" i="34"/>
  <c r="S192" i="14"/>
  <c r="S653" i="34" s="1"/>
  <c r="AB230" i="14"/>
  <c r="AH482" i="2"/>
  <c r="AH433" i="34" s="1"/>
  <c r="AB943" i="34"/>
  <c r="AB465" i="34"/>
  <c r="BL1050" i="34"/>
  <c r="AR573" i="34"/>
  <c r="T541" i="34"/>
  <c r="T1018" i="34"/>
  <c r="AH935" i="34"/>
  <c r="AH458" i="34"/>
  <c r="AH492" i="34"/>
  <c r="AH969" i="34"/>
  <c r="AH483" i="2"/>
  <c r="AH434" i="34" s="1"/>
  <c r="AH481" i="2"/>
  <c r="AH432" i="34" s="1"/>
  <c r="AH431" i="34"/>
  <c r="V157" i="14"/>
  <c r="V641" i="34" s="1"/>
  <c r="AM172" i="14"/>
  <c r="AF483" i="2"/>
  <c r="AF434" i="34" s="1"/>
  <c r="AF484" i="2"/>
  <c r="AF435" i="34" s="1"/>
  <c r="AN67" i="14"/>
  <c r="AW728" i="34"/>
  <c r="AU543" i="34"/>
  <c r="Q66" i="14"/>
  <c r="AP245" i="2"/>
  <c r="AF330" i="2"/>
  <c r="AB341" i="34"/>
  <c r="AB795" i="34"/>
  <c r="X468" i="34"/>
  <c r="X945" i="34"/>
  <c r="X1017" i="34"/>
  <c r="X540" i="34"/>
  <c r="W1017" i="34"/>
  <c r="W540" i="34"/>
  <c r="X795" i="34"/>
  <c r="X341" i="34"/>
  <c r="AH459" i="34"/>
  <c r="AH936" i="34"/>
  <c r="AH929" i="34"/>
  <c r="AH450" i="34"/>
  <c r="T795" i="34"/>
  <c r="T341" i="34"/>
  <c r="X464" i="34"/>
  <c r="X942" i="34"/>
  <c r="AD736" i="34"/>
  <c r="AG331" i="2"/>
  <c r="AP191" i="14"/>
  <c r="R30" i="14"/>
  <c r="AG484" i="2"/>
  <c r="AG435" i="34" s="1"/>
  <c r="V191" i="14"/>
  <c r="V652" i="34" s="1"/>
  <c r="AF331" i="2"/>
  <c r="AN108" i="14"/>
  <c r="Y944" i="34"/>
  <c r="Y467" i="34"/>
  <c r="BL338" i="2"/>
  <c r="BL940" i="34"/>
  <c r="BM334" i="2"/>
  <c r="AR463" i="34"/>
  <c r="BM336" i="2"/>
  <c r="Z536" i="34"/>
  <c r="Z1013" i="34"/>
  <c r="X1018" i="34"/>
  <c r="X541" i="34"/>
  <c r="X820" i="34"/>
  <c r="X586" i="2"/>
  <c r="X825" i="34" s="1"/>
  <c r="X585" i="2"/>
  <c r="X824" i="34" s="1"/>
  <c r="AH476" i="34"/>
  <c r="AH953" i="34"/>
  <c r="AO634" i="2"/>
  <c r="AO879" i="34" s="1"/>
  <c r="AI292" i="2"/>
  <c r="AI1099" i="34" s="1"/>
  <c r="Z633" i="2"/>
  <c r="Z878" i="34" s="1"/>
  <c r="AS288" i="2"/>
  <c r="AS1095" i="34" s="1"/>
  <c r="AM174" i="14"/>
  <c r="AO481" i="2"/>
  <c r="AL243" i="2"/>
  <c r="AL74" i="2" s="1"/>
  <c r="AO633" i="2"/>
  <c r="AO878" i="34" s="1"/>
  <c r="V647" i="34"/>
  <c r="AU28" i="2"/>
  <c r="AU31" i="2" s="1"/>
  <c r="AP51" i="2"/>
  <c r="AP711" i="34" s="1"/>
  <c r="AP52" i="2"/>
  <c r="AP712" i="34" s="1"/>
  <c r="AG305" i="34"/>
  <c r="BO1020" i="34"/>
  <c r="AI538" i="2"/>
  <c r="AI784" i="34" s="1"/>
  <c r="AP243" i="2"/>
  <c r="AP74" i="2" s="1"/>
  <c r="BQ28" i="2"/>
  <c r="AA810" i="34"/>
  <c r="AP50" i="2"/>
  <c r="AP710" i="34" s="1"/>
  <c r="AJ566" i="34"/>
  <c r="AL245" i="2"/>
  <c r="V37" i="14"/>
  <c r="V611" i="34" s="1"/>
  <c r="AU119" i="2"/>
  <c r="AJ542" i="2"/>
  <c r="AJ788" i="34" s="1"/>
  <c r="BO397" i="2"/>
  <c r="AU544" i="34" s="1"/>
  <c r="BP1043" i="34"/>
  <c r="AM40" i="2"/>
  <c r="AM702" i="34" s="1"/>
  <c r="BH37" i="14"/>
  <c r="AN611" i="34" s="1"/>
  <c r="AA38" i="14"/>
  <c r="AA612" i="34" s="1"/>
  <c r="Z639" i="2"/>
  <c r="Z377" i="34" s="1"/>
  <c r="P810" i="34"/>
  <c r="X230" i="14"/>
  <c r="BQ474" i="2"/>
  <c r="AD634" i="2"/>
  <c r="AD879" i="34" s="1"/>
  <c r="AP627" i="2"/>
  <c r="AQ628" i="2"/>
  <c r="AP873" i="34"/>
  <c r="Z38" i="14"/>
  <c r="Z612" i="34" s="1"/>
  <c r="BR117" i="2"/>
  <c r="AU121" i="2"/>
  <c r="AP53" i="2"/>
  <c r="AP713" i="34" s="1"/>
  <c r="AU276" i="34"/>
  <c r="AL220" i="2"/>
  <c r="AN187" i="2"/>
  <c r="AN186" i="2"/>
  <c r="AM481" i="2"/>
  <c r="AJ540" i="2"/>
  <c r="AJ786" i="34" s="1"/>
  <c r="BO1043" i="34"/>
  <c r="AL107" i="14"/>
  <c r="AI541" i="2"/>
  <c r="AI787" i="34" s="1"/>
  <c r="AW490" i="34"/>
  <c r="AF821" i="34"/>
  <c r="AM292" i="2"/>
  <c r="AM1099" i="34" s="1"/>
  <c r="AL192" i="14"/>
  <c r="AM281" i="2"/>
  <c r="AM1088" i="34" s="1"/>
  <c r="BK728" i="34"/>
  <c r="AM538" i="2"/>
  <c r="AM784" i="34" s="1"/>
  <c r="AD795" i="34"/>
  <c r="AD341" i="34"/>
  <c r="AD377" i="34"/>
  <c r="AD884" i="34"/>
  <c r="AN538" i="2"/>
  <c r="AN784" i="34" s="1"/>
  <c r="AR331" i="34"/>
  <c r="AH736" i="34"/>
  <c r="AR1219" i="34"/>
  <c r="AN309" i="2"/>
  <c r="AN922" i="34" s="1"/>
  <c r="BP363" i="2"/>
  <c r="BP970" i="34" s="1"/>
  <c r="AI124" i="2"/>
  <c r="AM124" i="2" s="1"/>
  <c r="AQ124" i="2" s="1"/>
  <c r="AS262" i="2"/>
  <c r="AS1068" i="34" s="1"/>
  <c r="AH443" i="34"/>
  <c r="Z847" i="34"/>
  <c r="AD606" i="2"/>
  <c r="AD849" i="34" s="1"/>
  <c r="AD605" i="2"/>
  <c r="AD848" i="34" s="1"/>
  <c r="BN780" i="34"/>
  <c r="N809" i="34"/>
  <c r="AP179" i="2"/>
  <c r="BQ138" i="2"/>
  <c r="Y328" i="2"/>
  <c r="AP178" i="2"/>
  <c r="AO107" i="14"/>
  <c r="AO308" i="2"/>
  <c r="AO921" i="34" s="1"/>
  <c r="AB540" i="2"/>
  <c r="AB786" i="34" s="1"/>
  <c r="BP948" i="34"/>
  <c r="AJ130" i="2"/>
  <c r="AJ134" i="2" s="1"/>
  <c r="AB541" i="2"/>
  <c r="AB787" i="34" s="1"/>
  <c r="AC542" i="2"/>
  <c r="AC788" i="34" s="1"/>
  <c r="AH920" i="34"/>
  <c r="AH441" i="34"/>
  <c r="BL106" i="14"/>
  <c r="BM107" i="14" s="1"/>
  <c r="BL227" i="14"/>
  <c r="BL778" i="34"/>
  <c r="AL111" i="14"/>
  <c r="AL112" i="14" s="1"/>
  <c r="AI714" i="34"/>
  <c r="R157" i="14"/>
  <c r="R641" i="34" s="1"/>
  <c r="BQ34" i="2"/>
  <c r="BQ35" i="2" s="1"/>
  <c r="AS964" i="34"/>
  <c r="BL572" i="2"/>
  <c r="AR334" i="34" s="1"/>
  <c r="BO52" i="2"/>
  <c r="AU296" i="34" s="1"/>
  <c r="AO158" i="14"/>
  <c r="Q795" i="34"/>
  <c r="Q341" i="34"/>
  <c r="AG547" i="2"/>
  <c r="AW286" i="2"/>
  <c r="AW1093" i="34" s="1"/>
  <c r="BA254" i="2"/>
  <c r="BA1060" i="34" s="1"/>
  <c r="AW1060" i="34"/>
  <c r="CA10" i="14"/>
  <c r="AJ1021" i="34"/>
  <c r="AJ298" i="34"/>
  <c r="Z157" i="14"/>
  <c r="Z641" i="34" s="1"/>
  <c r="BO966" i="34"/>
  <c r="U333" i="34"/>
  <c r="Z158" i="14"/>
  <c r="Z642" i="34" s="1"/>
  <c r="P335" i="34"/>
  <c r="AI981" i="34"/>
  <c r="BP720" i="34"/>
  <c r="CA569" i="2"/>
  <c r="BA290" i="2"/>
  <c r="BA1097" i="34" s="1"/>
  <c r="BQ86" i="2"/>
  <c r="BN152" i="14"/>
  <c r="AT636" i="34" s="1"/>
  <c r="BP280" i="2"/>
  <c r="BP1087" i="34" s="1"/>
  <c r="AU465" i="34"/>
  <c r="AU61" i="14"/>
  <c r="AA158" i="14"/>
  <c r="AA642" i="34" s="1"/>
  <c r="X783" i="34"/>
  <c r="AM542" i="2"/>
  <c r="AM788" i="34" s="1"/>
  <c r="Z616" i="34"/>
  <c r="Z67" i="14"/>
  <c r="AV447" i="34"/>
  <c r="BP926" i="34"/>
  <c r="AL306" i="2"/>
  <c r="AL919" i="34" s="1"/>
  <c r="S38" i="14"/>
  <c r="S612" i="34" s="1"/>
  <c r="R610" i="34"/>
  <c r="T636" i="34"/>
  <c r="BP957" i="34"/>
  <c r="AF80" i="14"/>
  <c r="AC157" i="14"/>
  <c r="AC641" i="34" s="1"/>
  <c r="AM541" i="2"/>
  <c r="AM787" i="34" s="1"/>
  <c r="AN540" i="2"/>
  <c r="AN786" i="34" s="1"/>
  <c r="BP527" i="2"/>
  <c r="BP771" i="34" s="1"/>
  <c r="AN308" i="2"/>
  <c r="AN921" i="34" s="1"/>
  <c r="AP501" i="2"/>
  <c r="AP737" i="34" s="1"/>
  <c r="AP502" i="2"/>
  <c r="AP738" i="34" s="1"/>
  <c r="AL292" i="2"/>
  <c r="AL1099" i="34" s="1"/>
  <c r="AK538" i="2"/>
  <c r="AK784" i="34" s="1"/>
  <c r="AE176" i="2"/>
  <c r="X157" i="14"/>
  <c r="X641" i="34" s="1"/>
  <c r="AI38" i="14"/>
  <c r="AI612" i="34" s="1"/>
  <c r="AN542" i="2"/>
  <c r="AN788" i="34" s="1"/>
  <c r="AM783" i="34"/>
  <c r="AL191" i="14"/>
  <c r="AI85" i="14"/>
  <c r="AN918" i="34"/>
  <c r="AJ541" i="2"/>
  <c r="AJ787" i="34" s="1"/>
  <c r="BQ88" i="2"/>
  <c r="BQ89" i="2" s="1"/>
  <c r="AF542" i="2"/>
  <c r="AF788" i="34" s="1"/>
  <c r="AP499" i="2"/>
  <c r="AF783" i="34"/>
  <c r="AI281" i="2"/>
  <c r="AI1088" i="34" s="1"/>
  <c r="AI66" i="14"/>
  <c r="Y30" i="14"/>
  <c r="AI192" i="14"/>
  <c r="AI653" i="34" s="1"/>
  <c r="AK542" i="2"/>
  <c r="AK788" i="34" s="1"/>
  <c r="AK783" i="34"/>
  <c r="AC281" i="2"/>
  <c r="AC1088" i="34" s="1"/>
  <c r="BN795" i="34"/>
  <c r="AT341" i="34"/>
  <c r="AC335" i="34"/>
  <c r="AT357" i="2"/>
  <c r="AT361" i="2" s="1"/>
  <c r="AT968" i="34" s="1"/>
  <c r="AP231" i="2"/>
  <c r="AC712" i="34"/>
  <c r="AC66" i="14"/>
  <c r="AS360" i="2"/>
  <c r="AS967" i="34" s="1"/>
  <c r="BN289" i="2"/>
  <c r="BN1096" i="34" s="1"/>
  <c r="AT577" i="34"/>
  <c r="BN36" i="14"/>
  <c r="AT610" i="34" s="1"/>
  <c r="Y1066" i="34"/>
  <c r="AU567" i="34"/>
  <c r="AM246" i="2"/>
  <c r="AC540" i="2"/>
  <c r="AC786" i="34" s="1"/>
  <c r="BP1044" i="34"/>
  <c r="AL125" i="14"/>
  <c r="BN14" i="14"/>
  <c r="BN186" i="14"/>
  <c r="AT647" i="34" s="1"/>
  <c r="AG281" i="2"/>
  <c r="AG1088" i="34" s="1"/>
  <c r="AO30" i="14"/>
  <c r="BO499" i="2"/>
  <c r="BO736" i="34" s="1"/>
  <c r="BP1065" i="34"/>
  <c r="Z812" i="34"/>
  <c r="AC292" i="2"/>
  <c r="AC1099" i="34" s="1"/>
  <c r="AN232" i="2"/>
  <c r="BJ728" i="34"/>
  <c r="Q810" i="34"/>
  <c r="AF538" i="2"/>
  <c r="X636" i="34"/>
  <c r="AB538" i="2"/>
  <c r="AB784" i="34" s="1"/>
  <c r="U30" i="14"/>
  <c r="Q30" i="14"/>
  <c r="AI713" i="34"/>
  <c r="BN29" i="14"/>
  <c r="AN231" i="2"/>
  <c r="AN230" i="2"/>
  <c r="BN114" i="14"/>
  <c r="BN115" i="14" s="1"/>
  <c r="AF541" i="2"/>
  <c r="AF787" i="34" s="1"/>
  <c r="AB542" i="2"/>
  <c r="AB788" i="34" s="1"/>
  <c r="BO709" i="34"/>
  <c r="X191" i="14"/>
  <c r="X652" i="34" s="1"/>
  <c r="AU91" i="2"/>
  <c r="AT93" i="2"/>
  <c r="AT169" i="2"/>
  <c r="AV96" i="2"/>
  <c r="AT94" i="2"/>
  <c r="Y192" i="14"/>
  <c r="Y653" i="34" s="1"/>
  <c r="BO147" i="14"/>
  <c r="BO148" i="14" s="1"/>
  <c r="X647" i="34"/>
  <c r="BO152" i="14"/>
  <c r="AU636" i="34" s="1"/>
  <c r="AL108" i="14"/>
  <c r="AL109" i="14" s="1"/>
  <c r="AM107" i="14"/>
  <c r="Z713" i="34"/>
  <c r="AS1063" i="34"/>
  <c r="AW257" i="2"/>
  <c r="AS289" i="2"/>
  <c r="AS1096" i="34" s="1"/>
  <c r="AP780" i="34"/>
  <c r="AP536" i="2"/>
  <c r="AP782" i="34" s="1"/>
  <c r="AP535" i="2"/>
  <c r="AP781" i="34" s="1"/>
  <c r="Z296" i="34"/>
  <c r="Z712" i="34"/>
  <c r="AT491" i="2"/>
  <c r="AT61" i="14"/>
  <c r="AT727" i="34"/>
  <c r="AT534" i="2"/>
  <c r="AT493" i="2"/>
  <c r="AT730" i="34" s="1"/>
  <c r="AX490" i="2"/>
  <c r="AX19" i="1" s="1"/>
  <c r="AG382" i="2"/>
  <c r="AG1009" i="34"/>
  <c r="AG532" i="34"/>
  <c r="BP305" i="2"/>
  <c r="BP918" i="34" s="1"/>
  <c r="AF383" i="2"/>
  <c r="BN382" i="2"/>
  <c r="AF1006" i="34"/>
  <c r="AF529" i="34"/>
  <c r="AF384" i="2"/>
  <c r="AI385" i="2"/>
  <c r="AJ385" i="2" s="1"/>
  <c r="AH382" i="2"/>
  <c r="AH532" i="34"/>
  <c r="AH1009" i="34"/>
  <c r="BM139" i="14"/>
  <c r="BN140" i="14" s="1"/>
  <c r="BM176" i="14"/>
  <c r="BN230" i="14"/>
  <c r="BO53" i="14"/>
  <c r="BO54" i="14" s="1"/>
  <c r="AL482" i="2"/>
  <c r="BP346" i="2"/>
  <c r="BP953" i="34" s="1"/>
  <c r="BN808" i="34"/>
  <c r="N335" i="34"/>
  <c r="AU577" i="34"/>
  <c r="BL732" i="34"/>
  <c r="AH811" i="34"/>
  <c r="AN244" i="2"/>
  <c r="BP61" i="14"/>
  <c r="CB10" i="14"/>
  <c r="AL542" i="2"/>
  <c r="AL788" i="34" s="1"/>
  <c r="AV471" i="34"/>
  <c r="BO114" i="14"/>
  <c r="BO115" i="14" s="1"/>
  <c r="Y37" i="14"/>
  <c r="Y611" i="34" s="1"/>
  <c r="AT331" i="34"/>
  <c r="AM306" i="2"/>
  <c r="AM919" i="34" s="1"/>
  <c r="AO542" i="2"/>
  <c r="AO788" i="34" s="1"/>
  <c r="BP147" i="14"/>
  <c r="BP148" i="14" s="1"/>
  <c r="BO29" i="14"/>
  <c r="AH245" i="2"/>
  <c r="BN572" i="2"/>
  <c r="AT334" i="34" s="1"/>
  <c r="V38" i="14"/>
  <c r="V612" i="34" s="1"/>
  <c r="AK309" i="2"/>
  <c r="AK922" i="34" s="1"/>
  <c r="BP353" i="2"/>
  <c r="AV483" i="34" s="1"/>
  <c r="AL540" i="2"/>
  <c r="AL786" i="34" s="1"/>
  <c r="AM30" i="14"/>
  <c r="BO11" i="14"/>
  <c r="AU578" i="34" s="1"/>
  <c r="CE569" i="2"/>
  <c r="AM540" i="2"/>
  <c r="AM786" i="34" s="1"/>
  <c r="BO36" i="14"/>
  <c r="AU610" i="34" s="1"/>
  <c r="BP11" i="14"/>
  <c r="AV578" i="34" s="1"/>
  <c r="AM245" i="2"/>
  <c r="AP175" i="2"/>
  <c r="AI67" i="14"/>
  <c r="AM66" i="14"/>
  <c r="BN53" i="14"/>
  <c r="BN54" i="14" s="1"/>
  <c r="AN482" i="2"/>
  <c r="AI172" i="14"/>
  <c r="AH231" i="2"/>
  <c r="AL513" i="2"/>
  <c r="AL749" i="34" s="1"/>
  <c r="AT83" i="2"/>
  <c r="AT87" i="2" s="1"/>
  <c r="AS500" i="34"/>
  <c r="AM126" i="14"/>
  <c r="AG710" i="34"/>
  <c r="AG294" i="34"/>
  <c r="AS343" i="2"/>
  <c r="AO950" i="34"/>
  <c r="AI616" i="34"/>
  <c r="AQ500" i="34"/>
  <c r="AI174" i="14"/>
  <c r="AI37" i="14"/>
  <c r="AI611" i="34" s="1"/>
  <c r="AM330" i="2"/>
  <c r="AS86" i="2"/>
  <c r="AS87" i="2"/>
  <c r="U125" i="14"/>
  <c r="U631" i="34" s="1"/>
  <c r="AU484" i="34"/>
  <c r="AH246" i="2"/>
  <c r="AS427" i="2"/>
  <c r="AS430" i="2" s="1"/>
  <c r="BO279" i="2"/>
  <c r="BO1086" i="34" s="1"/>
  <c r="AS358" i="34"/>
  <c r="BM857" i="34"/>
  <c r="BM614" i="2"/>
  <c r="BN960" i="34"/>
  <c r="AT483" i="34"/>
  <c r="AD1108" i="34"/>
  <c r="AD398" i="34"/>
  <c r="AE398" i="34"/>
  <c r="AE1108" i="34"/>
  <c r="AE644" i="2"/>
  <c r="AE377" i="34"/>
  <c r="AI640" i="2"/>
  <c r="AE884" i="34"/>
  <c r="W309" i="2"/>
  <c r="W308" i="2"/>
  <c r="W306" i="2"/>
  <c r="W439" i="34"/>
  <c r="W918" i="34"/>
  <c r="W307" i="2"/>
  <c r="W926" i="34"/>
  <c r="W447" i="34"/>
  <c r="AS483" i="34"/>
  <c r="BM960" i="34"/>
  <c r="BM1002" i="34"/>
  <c r="AS525" i="34"/>
  <c r="AC410" i="2"/>
  <c r="AC1033" i="34"/>
  <c r="AC402" i="2"/>
  <c r="AG409" i="2"/>
  <c r="AC556" i="34"/>
  <c r="AC409" i="2"/>
  <c r="W541" i="34"/>
  <c r="W1018" i="34"/>
  <c r="AB1012" i="34"/>
  <c r="AB535" i="34"/>
  <c r="AB1014" i="34"/>
  <c r="AB537" i="34"/>
  <c r="AN540" i="34"/>
  <c r="BH1017" i="34"/>
  <c r="AG935" i="34"/>
  <c r="AG458" i="34"/>
  <c r="AT448" i="34"/>
  <c r="BN927" i="34"/>
  <c r="AD1018" i="34"/>
  <c r="AD541" i="34"/>
  <c r="AY418" i="34"/>
  <c r="BT472" i="2"/>
  <c r="BS473" i="2"/>
  <c r="CG472" i="2"/>
  <c r="AA877" i="34"/>
  <c r="BM632" i="2"/>
  <c r="BM877" i="34" s="1"/>
  <c r="AA633" i="2"/>
  <c r="AA878" i="34" s="1"/>
  <c r="V482" i="34"/>
  <c r="V959" i="34"/>
  <c r="BN957" i="34"/>
  <c r="AT480" i="34"/>
  <c r="AR535" i="34"/>
  <c r="BL1012" i="34"/>
  <c r="AE634" i="2"/>
  <c r="AE879" i="34" s="1"/>
  <c r="W448" i="34"/>
  <c r="W927" i="34"/>
  <c r="AE411" i="2"/>
  <c r="AD408" i="2"/>
  <c r="AD559" i="34"/>
  <c r="AD1036" i="34"/>
  <c r="BO606" i="2"/>
  <c r="BO849" i="34" s="1"/>
  <c r="BN847" i="34"/>
  <c r="AF450" i="34"/>
  <c r="AF929" i="34"/>
  <c r="AH341" i="34"/>
  <c r="AH795" i="34"/>
  <c r="V960" i="34"/>
  <c r="V483" i="34"/>
  <c r="BM959" i="34"/>
  <c r="AS482" i="34"/>
  <c r="BN1017" i="34"/>
  <c r="AC352" i="34"/>
  <c r="AC846" i="34"/>
  <c r="BM390" i="2"/>
  <c r="AS534" i="34"/>
  <c r="BM388" i="2"/>
  <c r="BM1011" i="34"/>
  <c r="AV359" i="34"/>
  <c r="BP858" i="34"/>
  <c r="AF460" i="34"/>
  <c r="AF937" i="34"/>
  <c r="BN926" i="34"/>
  <c r="AT447" i="34"/>
  <c r="Z466" i="34"/>
  <c r="Z941" i="34"/>
  <c r="AT484" i="34"/>
  <c r="BN961" i="34"/>
  <c r="AE453" i="2"/>
  <c r="AD1113" i="34"/>
  <c r="AD403" i="34"/>
  <c r="AF398" i="34"/>
  <c r="AF1108" i="34"/>
  <c r="AE633" i="2"/>
  <c r="AE878" i="34" s="1"/>
  <c r="W449" i="34"/>
  <c r="W928" i="34"/>
  <c r="W929" i="34"/>
  <c r="W450" i="34"/>
  <c r="BJ1021" i="34"/>
  <c r="AP544" i="34"/>
  <c r="V540" i="34"/>
  <c r="V1017" i="34"/>
  <c r="AO540" i="34"/>
  <c r="BI1017" i="34"/>
  <c r="BM402" i="2"/>
  <c r="AB405" i="2"/>
  <c r="AB404" i="2"/>
  <c r="AB403" i="2"/>
  <c r="AB550" i="34"/>
  <c r="AB1027" i="34"/>
  <c r="AC387" i="34"/>
  <c r="AC898" i="34"/>
  <c r="BR474" i="2"/>
  <c r="AX419" i="34"/>
  <c r="BP862" i="34"/>
  <c r="AM329" i="2"/>
  <c r="AF30" i="14"/>
  <c r="BP933" i="34"/>
  <c r="CD320" i="2"/>
  <c r="BP352" i="2"/>
  <c r="AV482" i="34" s="1"/>
  <c r="AK330" i="2"/>
  <c r="BQ22" i="2"/>
  <c r="AM331" i="2"/>
  <c r="AJ481" i="2"/>
  <c r="AJ432" i="34" s="1"/>
  <c r="AV171" i="2"/>
  <c r="AJ292" i="2"/>
  <c r="AJ1099" i="34" s="1"/>
  <c r="AO306" i="2"/>
  <c r="AO919" i="34" s="1"/>
  <c r="AJ330" i="2"/>
  <c r="AJ392" i="2"/>
  <c r="AJ450" i="2"/>
  <c r="AJ396" i="34"/>
  <c r="AK446" i="2"/>
  <c r="AJ1106" i="34"/>
  <c r="AJ449" i="2"/>
  <c r="BO446" i="2"/>
  <c r="AM736" i="34"/>
  <c r="AG443" i="34"/>
  <c r="AG922" i="34"/>
  <c r="AI1109" i="34"/>
  <c r="AI399" i="34"/>
  <c r="AG920" i="34"/>
  <c r="AG441" i="34"/>
  <c r="X626" i="34"/>
  <c r="BP338" i="2"/>
  <c r="AV468" i="34" s="1"/>
  <c r="BP362" i="2"/>
  <c r="BP969" i="34" s="1"/>
  <c r="AV302" i="34"/>
  <c r="AV68" i="2"/>
  <c r="AV69" i="2" s="1"/>
  <c r="AZ67" i="2"/>
  <c r="AZ68" i="2" s="1"/>
  <c r="AU496" i="2"/>
  <c r="AU733" i="34" s="1"/>
  <c r="V126" i="14"/>
  <c r="V632" i="34" s="1"/>
  <c r="AF647" i="34"/>
  <c r="BP326" i="2"/>
  <c r="AC538" i="2"/>
  <c r="AC539" i="2" s="1"/>
  <c r="AC785" i="34" s="1"/>
  <c r="AI400" i="34"/>
  <c r="AI1110" i="34"/>
  <c r="AH919" i="34"/>
  <c r="AH440" i="34"/>
  <c r="Y541" i="2"/>
  <c r="Y787" i="34" s="1"/>
  <c r="BP480" i="2"/>
  <c r="CD480" i="2" s="1"/>
  <c r="BP316" i="2"/>
  <c r="AV450" i="34" s="1"/>
  <c r="AV24" i="1"/>
  <c r="AV1217" i="34" s="1"/>
  <c r="AS315" i="34"/>
  <c r="AI1016" i="34"/>
  <c r="AI393" i="2"/>
  <c r="AI539" i="34"/>
  <c r="U37" i="14"/>
  <c r="U611" i="34" s="1"/>
  <c r="Y66" i="14"/>
  <c r="U616" i="34"/>
  <c r="Q812" i="34"/>
  <c r="Q335" i="34"/>
  <c r="AA712" i="34"/>
  <c r="AA296" i="34"/>
  <c r="Y812" i="34"/>
  <c r="Y335" i="34"/>
  <c r="AB811" i="34"/>
  <c r="AB334" i="34"/>
  <c r="AI158" i="14"/>
  <c r="AI642" i="34" s="1"/>
  <c r="AI636" i="34"/>
  <c r="AI157" i="14"/>
  <c r="AI641" i="34" s="1"/>
  <c r="AA298" i="34"/>
  <c r="Q647" i="34"/>
  <c r="Q191" i="14"/>
  <c r="Q652" i="34" s="1"/>
  <c r="AA711" i="34"/>
  <c r="BN815" i="34"/>
  <c r="BN577" i="2"/>
  <c r="BN816" i="34" s="1"/>
  <c r="AN747" i="34"/>
  <c r="AO516" i="2"/>
  <c r="AO752" i="34" s="1"/>
  <c r="AO515" i="2"/>
  <c r="AO751" i="34" s="1"/>
  <c r="AN516" i="2"/>
  <c r="AN752" i="34" s="1"/>
  <c r="AN515" i="2"/>
  <c r="AN751" i="34" s="1"/>
  <c r="AO553" i="2"/>
  <c r="AB809" i="34"/>
  <c r="AB332" i="34"/>
  <c r="AK111" i="14"/>
  <c r="AK112" i="14" s="1"/>
  <c r="AK108" i="14"/>
  <c r="AK109" i="14" s="1"/>
  <c r="AA294" i="34"/>
  <c r="AA710" i="34"/>
  <c r="AA713" i="34"/>
  <c r="AA297" i="34"/>
  <c r="AU565" i="34"/>
  <c r="BO1042" i="34"/>
  <c r="AM975" i="34"/>
  <c r="AM111" i="2"/>
  <c r="AM977" i="34" s="1"/>
  <c r="AM114" i="2"/>
  <c r="AM981" i="34" s="1"/>
  <c r="AM112" i="2"/>
  <c r="AM978" i="34" s="1"/>
  <c r="AM548" i="2"/>
  <c r="AL548" i="2"/>
  <c r="AL549" i="2"/>
  <c r="AM550" i="2"/>
  <c r="AL550" i="2"/>
  <c r="AL546" i="2"/>
  <c r="AL547" i="2" s="1"/>
  <c r="AL771" i="34"/>
  <c r="AA809" i="34"/>
  <c r="AA332" i="34"/>
  <c r="AE809" i="34"/>
  <c r="AE332" i="34"/>
  <c r="AO329" i="2"/>
  <c r="AV565" i="34"/>
  <c r="BP1042" i="34"/>
  <c r="AU144" i="2"/>
  <c r="AQ983" i="34"/>
  <c r="AA328" i="2"/>
  <c r="AE328" i="2"/>
  <c r="W811" i="34"/>
  <c r="W334" i="34"/>
  <c r="AO172" i="14"/>
  <c r="AO174" i="14"/>
  <c r="AO173" i="14"/>
  <c r="AK228" i="14"/>
  <c r="AJ228" i="14"/>
  <c r="AJ229" i="14"/>
  <c r="AA334" i="34"/>
  <c r="AA811" i="34"/>
  <c r="BR25" i="1"/>
  <c r="AW16" i="34" s="1"/>
  <c r="AM58" i="14"/>
  <c r="AM57" i="14"/>
  <c r="W332" i="34"/>
  <c r="W809" i="34"/>
  <c r="X812" i="34"/>
  <c r="X335" i="34"/>
  <c r="AO157" i="14"/>
  <c r="AE334" i="34"/>
  <c r="AE811" i="34"/>
  <c r="AB335" i="34"/>
  <c r="AB812" i="34"/>
  <c r="W783" i="34"/>
  <c r="X542" i="2"/>
  <c r="X788" i="34" s="1"/>
  <c r="X540" i="2"/>
  <c r="X786" i="34" s="1"/>
  <c r="X810" i="34"/>
  <c r="X333" i="34"/>
  <c r="AK107" i="14"/>
  <c r="AJ111" i="14"/>
  <c r="AJ107" i="14"/>
  <c r="AB810" i="34"/>
  <c r="AB333" i="34"/>
  <c r="BK978" i="34"/>
  <c r="AL308" i="2"/>
  <c r="AL921" i="34" s="1"/>
  <c r="AN111" i="14"/>
  <c r="AH229" i="2"/>
  <c r="AM484" i="2"/>
  <c r="AB30" i="14"/>
  <c r="AP331" i="34"/>
  <c r="AM220" i="2"/>
  <c r="AM244" i="2"/>
  <c r="AL307" i="2"/>
  <c r="AL920" i="34" s="1"/>
  <c r="AL918" i="34"/>
  <c r="BO31" i="2"/>
  <c r="BJ572" i="2"/>
  <c r="BJ811" i="34" s="1"/>
  <c r="BK572" i="2"/>
  <c r="AQ334" i="34" s="1"/>
  <c r="BL537" i="2"/>
  <c r="BL783" i="34" s="1"/>
  <c r="AF610" i="34"/>
  <c r="AM308" i="2"/>
  <c r="AM921" i="34" s="1"/>
  <c r="AN107" i="14"/>
  <c r="AM513" i="2"/>
  <c r="AM749" i="34" s="1"/>
  <c r="AH553" i="2"/>
  <c r="AQ933" i="34"/>
  <c r="BJ570" i="2"/>
  <c r="BJ809" i="34" s="1"/>
  <c r="BK570" i="2"/>
  <c r="AQ332" i="34" s="1"/>
  <c r="U950" i="34"/>
  <c r="U472" i="34"/>
  <c r="U493" i="34"/>
  <c r="U970" i="34"/>
  <c r="AI969" i="34"/>
  <c r="AI492" i="34"/>
  <c r="AK484" i="2"/>
  <c r="AK482" i="2"/>
  <c r="AP482" i="2"/>
  <c r="AL218" i="2"/>
  <c r="AR312" i="34"/>
  <c r="BR490" i="2"/>
  <c r="AX311" i="34" s="1"/>
  <c r="AL484" i="2"/>
  <c r="AO331" i="2"/>
  <c r="AF158" i="14"/>
  <c r="AF642" i="34" s="1"/>
  <c r="AH328" i="2"/>
  <c r="AM748" i="34"/>
  <c r="S953" i="34"/>
  <c r="S341" i="2"/>
  <c r="T345" i="2" s="1"/>
  <c r="S476" i="34"/>
  <c r="R346" i="2"/>
  <c r="AI460" i="34"/>
  <c r="AI937" i="34"/>
  <c r="AE795" i="34"/>
  <c r="AE341" i="34"/>
  <c r="Y540" i="2"/>
  <c r="Y786" i="34" s="1"/>
  <c r="Y542" i="2"/>
  <c r="Y788" i="34" s="1"/>
  <c r="Y783" i="34"/>
  <c r="BL796" i="34"/>
  <c r="BL558" i="2"/>
  <c r="AR342" i="34"/>
  <c r="Y354" i="2"/>
  <c r="V351" i="2"/>
  <c r="Y350" i="2"/>
  <c r="U353" i="2"/>
  <c r="U479" i="34"/>
  <c r="U352" i="2"/>
  <c r="U956" i="34"/>
  <c r="V355" i="2"/>
  <c r="AI431" i="34"/>
  <c r="AI482" i="2"/>
  <c r="AI433" i="34" s="1"/>
  <c r="AI484" i="2"/>
  <c r="AI435" i="34" s="1"/>
  <c r="AI481" i="2"/>
  <c r="AI432" i="34" s="1"/>
  <c r="AK483" i="2"/>
  <c r="AS157" i="2"/>
  <c r="AP484" i="2"/>
  <c r="BL978" i="34"/>
  <c r="AL229" i="2"/>
  <c r="AV496" i="2"/>
  <c r="AV733" i="34" s="1"/>
  <c r="AU493" i="2"/>
  <c r="AU730" i="34" s="1"/>
  <c r="AM483" i="2"/>
  <c r="AM232" i="2"/>
  <c r="AP229" i="2"/>
  <c r="AM230" i="2"/>
  <c r="AP218" i="2"/>
  <c r="AT544" i="34"/>
  <c r="BN1021" i="34"/>
  <c r="T471" i="34"/>
  <c r="T349" i="2"/>
  <c r="T363" i="2"/>
  <c r="X342" i="2"/>
  <c r="T333" i="2"/>
  <c r="X344" i="2"/>
  <c r="T948" i="34"/>
  <c r="T342" i="2"/>
  <c r="U345" i="2"/>
  <c r="Y474" i="34"/>
  <c r="Y949" i="34"/>
  <c r="V952" i="34"/>
  <c r="V475" i="34"/>
  <c r="AI327" i="2"/>
  <c r="AI328" i="2" s="1"/>
  <c r="AI329" i="2"/>
  <c r="AI331" i="2"/>
  <c r="AI330" i="2"/>
  <c r="AI936" i="34"/>
  <c r="AI459" i="34"/>
  <c r="AI953" i="34"/>
  <c r="AI476" i="34"/>
  <c r="AI929" i="34"/>
  <c r="AI450" i="34"/>
  <c r="AA540" i="34"/>
  <c r="AA1017" i="34"/>
  <c r="AA795" i="34"/>
  <c r="AA341" i="34"/>
  <c r="AK307" i="2"/>
  <c r="AK920" i="34" s="1"/>
  <c r="AK918" i="34"/>
  <c r="W644" i="2"/>
  <c r="W884" i="34"/>
  <c r="W377" i="34"/>
  <c r="Y820" i="34"/>
  <c r="AC584" i="2"/>
  <c r="AC823" i="34" s="1"/>
  <c r="AC582" i="2"/>
  <c r="AC821" i="34" s="1"/>
  <c r="Z585" i="2"/>
  <c r="Z824" i="34" s="1"/>
  <c r="Y586" i="2"/>
  <c r="Y825" i="34" s="1"/>
  <c r="Z586" i="2"/>
  <c r="Z825" i="34" s="1"/>
  <c r="Y585" i="2"/>
  <c r="Y824" i="34" s="1"/>
  <c r="AQ340" i="34"/>
  <c r="BK794" i="34"/>
  <c r="BL794" i="34"/>
  <c r="AR340" i="34"/>
  <c r="Y473" i="34"/>
  <c r="Y951" i="34"/>
  <c r="AI457" i="34"/>
  <c r="AI934" i="34"/>
  <c r="AI959" i="34"/>
  <c r="AI482" i="34"/>
  <c r="BN570" i="2"/>
  <c r="AT332" i="34" s="1"/>
  <c r="X125" i="14"/>
  <c r="X631" i="34" s="1"/>
  <c r="AU727" i="34"/>
  <c r="AB125" i="14"/>
  <c r="AB631" i="34" s="1"/>
  <c r="V472" i="34"/>
  <c r="V950" i="34"/>
  <c r="U940" i="34"/>
  <c r="Y334" i="2"/>
  <c r="U463" i="34"/>
  <c r="V335" i="2"/>
  <c r="Y336" i="2"/>
  <c r="U338" i="2"/>
  <c r="V337" i="2"/>
  <c r="AI935" i="34"/>
  <c r="AI458" i="34"/>
  <c r="AI945" i="34"/>
  <c r="AI468" i="34"/>
  <c r="AI918" i="34"/>
  <c r="AI306" i="2"/>
  <c r="AI308" i="2"/>
  <c r="AI439" i="34"/>
  <c r="AI309" i="2"/>
  <c r="AI307" i="2"/>
  <c r="AA541" i="34"/>
  <c r="AA1018" i="34"/>
  <c r="AQ935" i="34"/>
  <c r="AQ945" i="34"/>
  <c r="BK796" i="34"/>
  <c r="AQ342" i="34"/>
  <c r="BK558" i="2"/>
  <c r="AN329" i="2"/>
  <c r="BN286" i="2"/>
  <c r="BN1093" i="34" s="1"/>
  <c r="AM1211" i="34"/>
  <c r="BN278" i="2"/>
  <c r="BN1085" i="34" s="1"/>
  <c r="AL1066" i="34"/>
  <c r="T37" i="14"/>
  <c r="T611" i="34" s="1"/>
  <c r="BP321" i="2"/>
  <c r="BP934" i="34" s="1"/>
  <c r="AN331" i="2"/>
  <c r="BO502" i="2"/>
  <c r="BO738" i="34" s="1"/>
  <c r="AH243" i="2"/>
  <c r="AH74" i="2" s="1"/>
  <c r="BO242" i="2"/>
  <c r="BO62" i="14" s="1"/>
  <c r="AC38" i="14"/>
  <c r="AC612" i="34" s="1"/>
  <c r="BP533" i="2"/>
  <c r="BP779" i="34" s="1"/>
  <c r="AV70" i="2"/>
  <c r="BO338" i="2"/>
  <c r="BO945" i="34" s="1"/>
  <c r="AE553" i="2"/>
  <c r="BO957" i="34"/>
  <c r="AU480" i="34"/>
  <c r="AP38" i="14"/>
  <c r="AL281" i="2"/>
  <c r="AL1088" i="34" s="1"/>
  <c r="BP323" i="2"/>
  <c r="BP936" i="34" s="1"/>
  <c r="AN327" i="2"/>
  <c r="BO323" i="2"/>
  <c r="BO936" i="34" s="1"/>
  <c r="AE140" i="14"/>
  <c r="BO326" i="2"/>
  <c r="BO327" i="2" s="1"/>
  <c r="AN330" i="2"/>
  <c r="BN275" i="2"/>
  <c r="BN1082" i="34" s="1"/>
  <c r="AD553" i="2"/>
  <c r="BO37" i="2"/>
  <c r="X328" i="2"/>
  <c r="AJ547" i="2"/>
  <c r="AU534" i="2"/>
  <c r="AV535" i="2" s="1"/>
  <c r="AV781" i="34" s="1"/>
  <c r="AU491" i="2"/>
  <c r="AU728" i="34" s="1"/>
  <c r="AY490" i="2"/>
  <c r="AY19" i="1" s="1"/>
  <c r="BB65" i="14"/>
  <c r="AB645" i="34"/>
  <c r="AB177" i="14"/>
  <c r="BB235" i="2"/>
  <c r="BP290" i="2"/>
  <c r="BP1097" i="34" s="1"/>
  <c r="BK981" i="34"/>
  <c r="AN481" i="2"/>
  <c r="BN1060" i="34"/>
  <c r="BP171" i="14"/>
  <c r="BP173" i="14" s="1"/>
  <c r="BR67" i="2"/>
  <c r="CF67" i="2" s="1"/>
  <c r="BL731" i="34"/>
  <c r="AP748" i="34"/>
  <c r="AN307" i="2"/>
  <c r="AN920" i="34" s="1"/>
  <c r="AX238" i="2"/>
  <c r="AL246" i="2"/>
  <c r="W812" i="34"/>
  <c r="W335" i="34"/>
  <c r="AH545" i="34"/>
  <c r="AH1022" i="34"/>
  <c r="BK483" i="2"/>
  <c r="AQ434" i="34" s="1"/>
  <c r="BK481" i="2"/>
  <c r="AQ432" i="34" s="1"/>
  <c r="AQ431" i="34"/>
  <c r="BN499" i="2"/>
  <c r="BN736" i="34" s="1"/>
  <c r="AT314" i="34"/>
  <c r="BN731" i="34"/>
  <c r="AF37" i="14"/>
  <c r="AF611" i="34" s="1"/>
  <c r="AO482" i="2"/>
  <c r="AN483" i="2"/>
  <c r="BP114" i="14"/>
  <c r="BP115" i="14" s="1"/>
  <c r="BP53" i="14"/>
  <c r="BP54" i="14" s="1"/>
  <c r="AV73" i="2"/>
  <c r="AP513" i="2"/>
  <c r="AP749" i="34" s="1"/>
  <c r="AN246" i="2"/>
  <c r="AX240" i="2"/>
  <c r="AX224" i="2" s="1"/>
  <c r="AK306" i="2"/>
  <c r="AK919" i="34" s="1"/>
  <c r="V335" i="34"/>
  <c r="V812" i="34"/>
  <c r="W333" i="34"/>
  <c r="W810" i="34"/>
  <c r="AH1021" i="34"/>
  <c r="AH544" i="34"/>
  <c r="AL538" i="2"/>
  <c r="AL784" i="34" s="1"/>
  <c r="AH783" i="34"/>
  <c r="AH540" i="2"/>
  <c r="AH786" i="34" s="1"/>
  <c r="AL541" i="2"/>
  <c r="AL787" i="34" s="1"/>
  <c r="AI542" i="2"/>
  <c r="AI788" i="34" s="1"/>
  <c r="AH542" i="2"/>
  <c r="AH788" i="34" s="1"/>
  <c r="AI540" i="2"/>
  <c r="AI786" i="34" s="1"/>
  <c r="BO295" i="2"/>
  <c r="AO484" i="2"/>
  <c r="BP31" i="2"/>
  <c r="AM219" i="2"/>
  <c r="AM236" i="2"/>
  <c r="AS88" i="2"/>
  <c r="AS89" i="2" s="1"/>
  <c r="AI545" i="34"/>
  <c r="AI1022" i="34"/>
  <c r="V333" i="34"/>
  <c r="V810" i="34"/>
  <c r="BJ483" i="2"/>
  <c r="AP434" i="34" s="1"/>
  <c r="BJ481" i="2"/>
  <c r="AP432" i="34" s="1"/>
  <c r="AP431" i="34"/>
  <c r="AG500" i="34"/>
  <c r="AG977" i="34"/>
  <c r="BN171" i="14"/>
  <c r="BN174" i="14" s="1"/>
  <c r="BN147" i="14"/>
  <c r="BN148" i="14" s="1"/>
  <c r="BN11" i="14"/>
  <c r="AT578" i="34" s="1"/>
  <c r="BP109" i="2"/>
  <c r="CD109" i="2" s="1"/>
  <c r="BN981" i="34"/>
  <c r="AT503" i="34"/>
  <c r="AF626" i="34"/>
  <c r="AI1018" i="34"/>
  <c r="AI541" i="34"/>
  <c r="AP501" i="34"/>
  <c r="BJ978" i="34"/>
  <c r="AD783" i="34"/>
  <c r="AH538" i="2"/>
  <c r="AD531" i="2"/>
  <c r="AD777" i="34" s="1"/>
  <c r="AD540" i="2"/>
  <c r="AD786" i="34" s="1"/>
  <c r="AE542" i="2"/>
  <c r="AE788" i="34" s="1"/>
  <c r="AD542" i="2"/>
  <c r="AD788" i="34" s="1"/>
  <c r="AH541" i="2"/>
  <c r="AH787" i="34" s="1"/>
  <c r="AE540" i="2"/>
  <c r="AE786" i="34" s="1"/>
  <c r="AD812" i="34"/>
  <c r="AD335" i="34"/>
  <c r="AK331" i="2"/>
  <c r="AK329" i="2"/>
  <c r="AJ329" i="2"/>
  <c r="AJ331" i="2"/>
  <c r="AJ484" i="2"/>
  <c r="AJ435" i="34" s="1"/>
  <c r="AJ482" i="2"/>
  <c r="AJ433" i="34" s="1"/>
  <c r="AJ431" i="34"/>
  <c r="AJ949" i="34"/>
  <c r="AJ474" i="34"/>
  <c r="AJ950" i="34"/>
  <c r="AJ472" i="34"/>
  <c r="Z139" i="14"/>
  <c r="Z230" i="14"/>
  <c r="Z176" i="14"/>
  <c r="AA230" i="14"/>
  <c r="BJ977" i="34"/>
  <c r="AP500" i="34"/>
  <c r="BQ418" i="2"/>
  <c r="BQ1041" i="34"/>
  <c r="BQ419" i="2"/>
  <c r="BQ417" i="2"/>
  <c r="CE416" i="2"/>
  <c r="AW564" i="34"/>
  <c r="AD810" i="34"/>
  <c r="AD333" i="34"/>
  <c r="AJ934" i="34"/>
  <c r="AJ457" i="34"/>
  <c r="AJ929" i="34"/>
  <c r="AJ450" i="34"/>
  <c r="AJ969" i="34"/>
  <c r="AJ492" i="34"/>
  <c r="AJ493" i="34"/>
  <c r="AJ970" i="34"/>
  <c r="AJ951" i="34"/>
  <c r="AJ473" i="34"/>
  <c r="AD231" i="2"/>
  <c r="AD232" i="2"/>
  <c r="AE232" i="2"/>
  <c r="AD229" i="2"/>
  <c r="AD230" i="2"/>
  <c r="AE230" i="2"/>
  <c r="AS419" i="2"/>
  <c r="AS1044" i="34" s="1"/>
  <c r="AS420" i="2"/>
  <c r="AS1045" i="34" s="1"/>
  <c r="AT416" i="2"/>
  <c r="AS1041" i="34"/>
  <c r="AE812" i="34"/>
  <c r="AE335" i="34"/>
  <c r="AJ959" i="34"/>
  <c r="AJ482" i="34"/>
  <c r="AJ935" i="34"/>
  <c r="AJ458" i="34"/>
  <c r="AJ945" i="34"/>
  <c r="AJ468" i="34"/>
  <c r="AJ308" i="2"/>
  <c r="AJ309" i="2"/>
  <c r="AJ306" i="2"/>
  <c r="AJ439" i="34"/>
  <c r="AJ918" i="34"/>
  <c r="BO305" i="2"/>
  <c r="AK308" i="2"/>
  <c r="AK921" i="34" s="1"/>
  <c r="AJ475" i="34"/>
  <c r="AJ952" i="34"/>
  <c r="AJ476" i="34"/>
  <c r="AJ953" i="34"/>
  <c r="AV577" i="34"/>
  <c r="BO960" i="34"/>
  <c r="AU483" i="34"/>
  <c r="BP229" i="14"/>
  <c r="BP778" i="34"/>
  <c r="AV31" i="2"/>
  <c r="AH332" i="34"/>
  <c r="AH809" i="34"/>
  <c r="AE810" i="34"/>
  <c r="AE333" i="34"/>
  <c r="AJ459" i="34"/>
  <c r="AJ936" i="34"/>
  <c r="AJ937" i="34"/>
  <c r="AJ460" i="34"/>
  <c r="BO933" i="34"/>
  <c r="BO352" i="2"/>
  <c r="CC320" i="2"/>
  <c r="BO362" i="2"/>
  <c r="AU456" i="34"/>
  <c r="BO480" i="2"/>
  <c r="BO316" i="2"/>
  <c r="AU471" i="34"/>
  <c r="BP342" i="2"/>
  <c r="CC341" i="2"/>
  <c r="BO342" i="2"/>
  <c r="BO344" i="2"/>
  <c r="BO346" i="2"/>
  <c r="BP344" i="2"/>
  <c r="BO948" i="34"/>
  <c r="BO363" i="2"/>
  <c r="AL110" i="2"/>
  <c r="AL976" i="34" s="1"/>
  <c r="BO228" i="2"/>
  <c r="AL113" i="2"/>
  <c r="AL980" i="34" s="1"/>
  <c r="AH232" i="2"/>
  <c r="BP37" i="2"/>
  <c r="AL80" i="14"/>
  <c r="BO235" i="2"/>
  <c r="AF710" i="34"/>
  <c r="AF294" i="34"/>
  <c r="AC297" i="34"/>
  <c r="AC713" i="34"/>
  <c r="T335" i="34"/>
  <c r="T812" i="34"/>
  <c r="AL57" i="14"/>
  <c r="AL58" i="14"/>
  <c r="AH239" i="2"/>
  <c r="AO783" i="34"/>
  <c r="AO538" i="2"/>
  <c r="AO541" i="2"/>
  <c r="AO787" i="34" s="1"/>
  <c r="Y713" i="34"/>
  <c r="AM1083" i="34"/>
  <c r="AJ747" i="34"/>
  <c r="AJ515" i="2"/>
  <c r="AJ751" i="34" s="1"/>
  <c r="AJ516" i="2"/>
  <c r="AJ752" i="34" s="1"/>
  <c r="AN512" i="2"/>
  <c r="AN513" i="2" s="1"/>
  <c r="AN749" i="34" s="1"/>
  <c r="AN514" i="2"/>
  <c r="AN750" i="34" s="1"/>
  <c r="AV465" i="34"/>
  <c r="BP943" i="34"/>
  <c r="AL152" i="2"/>
  <c r="AL151" i="2"/>
  <c r="AM151" i="2"/>
  <c r="AL153" i="2"/>
  <c r="AM154" i="2"/>
  <c r="BL699" i="34"/>
  <c r="AR276" i="34"/>
  <c r="BM172" i="14"/>
  <c r="BM173" i="14"/>
  <c r="BM174" i="14"/>
  <c r="AQ742" i="34"/>
  <c r="AQ508" i="2"/>
  <c r="AQ744" i="34" s="1"/>
  <c r="AQ579" i="2"/>
  <c r="AQ818" i="34" s="1"/>
  <c r="AQ532" i="2"/>
  <c r="AQ509" i="2"/>
  <c r="AQ745" i="34" s="1"/>
  <c r="AS511" i="2"/>
  <c r="AR506" i="2"/>
  <c r="AF736" i="34"/>
  <c r="AF302" i="34"/>
  <c r="AF718" i="34"/>
  <c r="AF53" i="2"/>
  <c r="AG298" i="34"/>
  <c r="AG714" i="34"/>
  <c r="BN977" i="34"/>
  <c r="AT500" i="34"/>
  <c r="AV780" i="34"/>
  <c r="AC719" i="34"/>
  <c r="AC303" i="34"/>
  <c r="AC722" i="34"/>
  <c r="AC306" i="34"/>
  <c r="AO636" i="34"/>
  <c r="BI157" i="14"/>
  <c r="AO641" i="34" s="1"/>
  <c r="AB610" i="34"/>
  <c r="AB38" i="14"/>
  <c r="AB612" i="34" s="1"/>
  <c r="AD176" i="2"/>
  <c r="AO330" i="2"/>
  <c r="AO327" i="2"/>
  <c r="AN158" i="14"/>
  <c r="AM157" i="14"/>
  <c r="U335" i="34"/>
  <c r="U812" i="34"/>
  <c r="AL14" i="14"/>
  <c r="AL42" i="2"/>
  <c r="BN699" i="34"/>
  <c r="AT276" i="34"/>
  <c r="BQ495" i="2"/>
  <c r="AW311" i="34"/>
  <c r="BQ727" i="34"/>
  <c r="CE490" i="2"/>
  <c r="BQ534" i="2"/>
  <c r="BQ491" i="2"/>
  <c r="BM978" i="34"/>
  <c r="AS501" i="34"/>
  <c r="AZ61" i="14"/>
  <c r="AZ534" i="2"/>
  <c r="BA496" i="2"/>
  <c r="BA733" i="34" s="1"/>
  <c r="BD490" i="2"/>
  <c r="BD19" i="1" s="1"/>
  <c r="AZ491" i="2"/>
  <c r="AZ727" i="34"/>
  <c r="AB719" i="34"/>
  <c r="AB303" i="34"/>
  <c r="AB647" i="34"/>
  <c r="AB192" i="14"/>
  <c r="AB653" i="34" s="1"/>
  <c r="X30" i="14"/>
  <c r="AN183" i="2"/>
  <c r="AL244" i="2"/>
  <c r="Z711" i="34"/>
  <c r="V230" i="14"/>
  <c r="W230" i="14"/>
  <c r="T333" i="34"/>
  <c r="T810" i="34"/>
  <c r="T334" i="34"/>
  <c r="T811" i="34"/>
  <c r="BO941" i="34"/>
  <c r="AU466" i="34"/>
  <c r="AT144" i="2"/>
  <c r="AP983" i="34"/>
  <c r="AP150" i="2"/>
  <c r="AR577" i="34"/>
  <c r="BL147" i="14"/>
  <c r="BL11" i="14"/>
  <c r="AR578" i="34" s="1"/>
  <c r="BL14" i="14"/>
  <c r="BL120" i="14"/>
  <c r="AR626" i="34" s="1"/>
  <c r="BL114" i="14"/>
  <c r="BL115" i="14" s="1"/>
  <c r="BL53" i="14"/>
  <c r="BL54" i="14" s="1"/>
  <c r="BM65" i="14"/>
  <c r="AS616" i="34" s="1"/>
  <c r="BM53" i="14"/>
  <c r="BM54" i="14" s="1"/>
  <c r="AS577" i="34"/>
  <c r="BM114" i="14"/>
  <c r="BM115" i="14" s="1"/>
  <c r="BM14" i="14"/>
  <c r="CC10" i="14"/>
  <c r="BM11" i="14"/>
  <c r="AS578" i="34" s="1"/>
  <c r="BM147" i="14"/>
  <c r="BM148" i="14" s="1"/>
  <c r="AR515" i="2"/>
  <c r="AR751" i="34" s="1"/>
  <c r="AR747" i="34"/>
  <c r="AR516" i="2"/>
  <c r="AR752" i="34" s="1"/>
  <c r="AR512" i="2"/>
  <c r="AR514" i="2"/>
  <c r="AR750" i="34" s="1"/>
  <c r="AQ733" i="34"/>
  <c r="AQ552" i="2"/>
  <c r="AQ548" i="2"/>
  <c r="AQ546" i="2"/>
  <c r="AQ547" i="2" s="1"/>
  <c r="AQ550" i="2"/>
  <c r="AQ549" i="2"/>
  <c r="AQ771" i="34"/>
  <c r="BK731" i="34"/>
  <c r="AQ314" i="34"/>
  <c r="AJ721" i="34"/>
  <c r="AJ305" i="34"/>
  <c r="AJ718" i="34"/>
  <c r="AJ302" i="34"/>
  <c r="AG711" i="34"/>
  <c r="AG295" i="34"/>
  <c r="AQ513" i="2"/>
  <c r="AQ749" i="34" s="1"/>
  <c r="AQ748" i="34"/>
  <c r="AT501" i="34"/>
  <c r="BN978" i="34"/>
  <c r="AV492" i="2"/>
  <c r="AV729" i="34" s="1"/>
  <c r="AV728" i="34"/>
  <c r="AF335" i="34"/>
  <c r="AF812" i="34"/>
  <c r="AF333" i="34"/>
  <c r="AF810" i="34"/>
  <c r="BO756" i="34"/>
  <c r="BO527" i="2"/>
  <c r="AB302" i="34"/>
  <c r="AB718" i="34"/>
  <c r="AL330" i="2"/>
  <c r="AL329" i="2"/>
  <c r="AL331" i="2"/>
  <c r="AL327" i="2"/>
  <c r="AL328" i="2" s="1"/>
  <c r="AO610" i="34"/>
  <c r="BI37" i="14"/>
  <c r="AO611" i="34" s="1"/>
  <c r="AO647" i="34"/>
  <c r="BI191" i="14"/>
  <c r="AO652" i="34" s="1"/>
  <c r="AB616" i="34"/>
  <c r="AB67" i="14"/>
  <c r="AC67" i="14"/>
  <c r="AF281" i="2"/>
  <c r="AF1088" i="34" s="1"/>
  <c r="AF292" i="2"/>
  <c r="AF1099" i="34" s="1"/>
  <c r="AF1066" i="34"/>
  <c r="AO111" i="14"/>
  <c r="AO108" i="14"/>
  <c r="AO307" i="2"/>
  <c r="AO920" i="34" s="1"/>
  <c r="AO918" i="34"/>
  <c r="AO309" i="2"/>
  <c r="AO922" i="34" s="1"/>
  <c r="AQ728" i="34"/>
  <c r="AQ492" i="2"/>
  <c r="AQ729" i="34" s="1"/>
  <c r="AG306" i="34"/>
  <c r="AG722" i="34"/>
  <c r="AF296" i="34"/>
  <c r="AF712" i="34"/>
  <c r="AS503" i="34"/>
  <c r="BM981" i="34"/>
  <c r="AF809" i="34"/>
  <c r="AF332" i="34"/>
  <c r="BL577" i="2"/>
  <c r="BL816" i="34" s="1"/>
  <c r="BM577" i="2"/>
  <c r="BM816" i="34" s="1"/>
  <c r="BL815" i="34"/>
  <c r="AB54" i="2"/>
  <c r="AC51" i="2"/>
  <c r="AB51" i="2"/>
  <c r="AB709" i="34"/>
  <c r="AB53" i="2"/>
  <c r="AB52" i="2"/>
  <c r="AB50" i="2"/>
  <c r="AB293" i="34"/>
  <c r="AC54" i="2"/>
  <c r="AG553" i="2"/>
  <c r="AK553" i="2"/>
  <c r="AO616" i="34"/>
  <c r="BI66" i="14"/>
  <c r="AP331" i="2"/>
  <c r="AP327" i="2"/>
  <c r="AP330" i="2"/>
  <c r="AP329" i="2"/>
  <c r="AB191" i="14"/>
  <c r="AB652" i="34" s="1"/>
  <c r="AC192" i="14"/>
  <c r="AC653" i="34" s="1"/>
  <c r="AM179" i="14"/>
  <c r="BM49" i="2"/>
  <c r="X332" i="34"/>
  <c r="X809" i="34"/>
  <c r="T332" i="34"/>
  <c r="T809" i="34"/>
  <c r="BP941" i="34"/>
  <c r="AV466" i="34"/>
  <c r="T192" i="14"/>
  <c r="T653" i="34" s="1"/>
  <c r="T647" i="34"/>
  <c r="U38" i="14"/>
  <c r="U612" i="34" s="1"/>
  <c r="T38" i="14"/>
  <c r="T612" i="34" s="1"/>
  <c r="T610" i="34"/>
  <c r="BL172" i="14"/>
  <c r="BL174" i="14"/>
  <c r="BL173" i="14"/>
  <c r="BM699" i="34"/>
  <c r="AS276" i="34"/>
  <c r="AR545" i="2"/>
  <c r="AP778" i="34"/>
  <c r="AP106" i="14"/>
  <c r="AP537" i="2"/>
  <c r="AF191" i="14"/>
  <c r="AF652" i="34" s="1"/>
  <c r="AM1084" i="34"/>
  <c r="AR733" i="34"/>
  <c r="AR552" i="2"/>
  <c r="AR553" i="2" s="1"/>
  <c r="AQ780" i="34"/>
  <c r="AQ536" i="2"/>
  <c r="AQ782" i="34" s="1"/>
  <c r="AQ535" i="2"/>
  <c r="AQ781" i="34" s="1"/>
  <c r="AR535" i="2"/>
  <c r="AR781" i="34" s="1"/>
  <c r="AR536" i="2"/>
  <c r="AR782" i="34" s="1"/>
  <c r="BK186" i="14"/>
  <c r="AQ647" i="34" s="1"/>
  <c r="BK29" i="14"/>
  <c r="AQ577" i="34"/>
  <c r="BK36" i="14"/>
  <c r="AQ610" i="34" s="1"/>
  <c r="BK14" i="14"/>
  <c r="AG719" i="34"/>
  <c r="AG303" i="34"/>
  <c r="AF305" i="34"/>
  <c r="AF721" i="34"/>
  <c r="AJ713" i="34"/>
  <c r="AF811" i="34"/>
  <c r="AF334" i="34"/>
  <c r="BO759" i="34"/>
  <c r="BO524" i="2"/>
  <c r="BO760" i="34" s="1"/>
  <c r="BM717" i="34"/>
  <c r="AS301" i="34"/>
  <c r="AB722" i="34"/>
  <c r="AB306" i="34"/>
  <c r="AL483" i="2"/>
  <c r="AP483" i="2"/>
  <c r="AP481" i="2"/>
  <c r="AL481" i="2"/>
  <c r="AB626" i="34"/>
  <c r="AB126" i="14"/>
  <c r="AB632" i="34" s="1"/>
  <c r="AF125" i="14"/>
  <c r="AF631" i="34" s="1"/>
  <c r="BM1060" i="34"/>
  <c r="BM262" i="2"/>
  <c r="BM1068" i="34" s="1"/>
  <c r="BM260" i="2"/>
  <c r="AO929" i="34"/>
  <c r="AP316" i="2"/>
  <c r="U348" i="34"/>
  <c r="U604" i="2"/>
  <c r="Y605" i="2" s="1"/>
  <c r="Y848" i="34" s="1"/>
  <c r="U842" i="34"/>
  <c r="BM600" i="2"/>
  <c r="BM842" i="34"/>
  <c r="AS348" i="34"/>
  <c r="BN600" i="2"/>
  <c r="AC606" i="2"/>
  <c r="AC849" i="34" s="1"/>
  <c r="Y639" i="2"/>
  <c r="AC640" i="2" s="1"/>
  <c r="AC605" i="2"/>
  <c r="AC848" i="34" s="1"/>
  <c r="BM604" i="2"/>
  <c r="Y847" i="34"/>
  <c r="AQ524" i="2"/>
  <c r="AQ760" i="34" s="1"/>
  <c r="AQ759" i="34"/>
  <c r="BP242" i="2"/>
  <c r="AU24" i="1"/>
  <c r="AU1217" i="34" s="1"/>
  <c r="AU68" i="2"/>
  <c r="AU69" i="2" s="1"/>
  <c r="AU73" i="2"/>
  <c r="AU171" i="2"/>
  <c r="AY67" i="2"/>
  <c r="AU70" i="2"/>
  <c r="AU22" i="2"/>
  <c r="AU294" i="2"/>
  <c r="AV296" i="2" s="1"/>
  <c r="AW463" i="34"/>
  <c r="AM177" i="2"/>
  <c r="AM179" i="2"/>
  <c r="BQ68" i="2"/>
  <c r="BQ69" i="2" s="1"/>
  <c r="BQ171" i="2"/>
  <c r="BQ174" i="2" s="1"/>
  <c r="CE67" i="2"/>
  <c r="BQ76" i="2"/>
  <c r="BQ72" i="2"/>
  <c r="AQ501" i="2"/>
  <c r="AQ737" i="34" s="1"/>
  <c r="AS81" i="2"/>
  <c r="AS80" i="2"/>
  <c r="AS79" i="2"/>
  <c r="AS77" i="2"/>
  <c r="AS78" i="2" s="1"/>
  <c r="AQ995" i="34"/>
  <c r="AQ999" i="34"/>
  <c r="AQ998" i="34"/>
  <c r="AN239" i="2"/>
  <c r="AN237" i="2"/>
  <c r="AM79" i="14"/>
  <c r="AR997" i="34"/>
  <c r="AS372" i="2"/>
  <c r="AR996" i="34"/>
  <c r="BR24" i="1"/>
  <c r="AW15" i="34" s="1"/>
  <c r="AQ1217" i="34"/>
  <c r="AQ295" i="2"/>
  <c r="AQ296" i="2"/>
  <c r="AX295" i="2"/>
  <c r="AI814" i="34"/>
  <c r="AI576" i="2"/>
  <c r="AJ572" i="2"/>
  <c r="AJ570" i="2"/>
  <c r="AJ808" i="34"/>
  <c r="AJ571" i="2"/>
  <c r="AJ331" i="34"/>
  <c r="AJ573" i="2"/>
  <c r="AI425" i="2"/>
  <c r="AI570" i="34"/>
  <c r="AI1047" i="34"/>
  <c r="AI423" i="2"/>
  <c r="AI424" i="2"/>
  <c r="BN732" i="34"/>
  <c r="AT315" i="34"/>
  <c r="AS314" i="34"/>
  <c r="BM731" i="34"/>
  <c r="AA920" i="34"/>
  <c r="AA441" i="34"/>
  <c r="AB919" i="34"/>
  <c r="AB440" i="34"/>
  <c r="AT359" i="34"/>
  <c r="BN858" i="34"/>
  <c r="AN113" i="2"/>
  <c r="AN980" i="34" s="1"/>
  <c r="AN110" i="2"/>
  <c r="AN976" i="34" s="1"/>
  <c r="AN114" i="2"/>
  <c r="AN981" i="34" s="1"/>
  <c r="AN975" i="34"/>
  <c r="AN152" i="2"/>
  <c r="AN151" i="2"/>
  <c r="AN154" i="2"/>
  <c r="AN153" i="2"/>
  <c r="BP150" i="2"/>
  <c r="AH571" i="34"/>
  <c r="AH1048" i="34"/>
  <c r="AG891" i="34"/>
  <c r="AG382" i="34"/>
  <c r="AO56" i="14"/>
  <c r="AO983" i="34"/>
  <c r="AS144" i="2"/>
  <c r="AO150" i="2"/>
  <c r="AO109" i="2"/>
  <c r="BQ144" i="2"/>
  <c r="AG183" i="2"/>
  <c r="AG184" i="2" s="1"/>
  <c r="AK186" i="2"/>
  <c r="AG186" i="2"/>
  <c r="AK183" i="2"/>
  <c r="AG187" i="2"/>
  <c r="AG185" i="2"/>
  <c r="N333" i="34"/>
  <c r="N810" i="34"/>
  <c r="AA812" i="34"/>
  <c r="AA335" i="34"/>
  <c r="Z809" i="34"/>
  <c r="Z332" i="34"/>
  <c r="AE536" i="34"/>
  <c r="AE1013" i="34"/>
  <c r="AK243" i="2"/>
  <c r="AK74" i="2" s="1"/>
  <c r="AG243" i="2"/>
  <c r="AG74" i="2" s="1"/>
  <c r="AK220" i="2"/>
  <c r="AG220" i="2"/>
  <c r="AK245" i="2"/>
  <c r="AG245" i="2"/>
  <c r="AA540" i="2"/>
  <c r="AA786" i="34" s="1"/>
  <c r="AD538" i="2"/>
  <c r="Z783" i="34"/>
  <c r="AD541" i="2"/>
  <c r="AD787" i="34" s="1"/>
  <c r="AA542" i="2"/>
  <c r="AA788" i="34" s="1"/>
  <c r="Z542" i="2"/>
  <c r="Z788" i="34" s="1"/>
  <c r="Z540" i="2"/>
  <c r="Z786" i="34" s="1"/>
  <c r="Z538" i="2"/>
  <c r="Z784" i="34" s="1"/>
  <c r="Z541" i="2"/>
  <c r="Z787" i="34" s="1"/>
  <c r="X482" i="34"/>
  <c r="X959" i="34"/>
  <c r="BP77" i="2"/>
  <c r="AT186" i="2"/>
  <c r="AT183" i="2"/>
  <c r="AN229" i="2"/>
  <c r="BB22" i="2"/>
  <c r="BB25" i="2" s="1"/>
  <c r="BB68" i="2"/>
  <c r="BB69" i="2" s="1"/>
  <c r="BB171" i="2"/>
  <c r="BB24" i="1"/>
  <c r="BB1217" i="34" s="1"/>
  <c r="BB294" i="2"/>
  <c r="AI804" i="34"/>
  <c r="AI327" i="34"/>
  <c r="AI328" i="34"/>
  <c r="AI805" i="34"/>
  <c r="AF377" i="34"/>
  <c r="AF644" i="2"/>
  <c r="AJ640" i="2"/>
  <c r="AF884" i="34"/>
  <c r="AF640" i="2"/>
  <c r="BM780" i="34"/>
  <c r="BM537" i="2"/>
  <c r="BN541" i="2" s="1"/>
  <c r="BN787" i="34" s="1"/>
  <c r="AE920" i="34"/>
  <c r="AE441" i="34"/>
  <c r="AA919" i="34"/>
  <c r="AA440" i="34"/>
  <c r="AN57" i="14"/>
  <c r="AN58" i="14"/>
  <c r="AE712" i="34"/>
  <c r="AE296" i="34"/>
  <c r="AH573" i="34"/>
  <c r="AH1050" i="34"/>
  <c r="AK42" i="2"/>
  <c r="AK14" i="14"/>
  <c r="O335" i="34"/>
  <c r="O812" i="34"/>
  <c r="Z333" i="34"/>
  <c r="Z810" i="34"/>
  <c r="AD1013" i="34"/>
  <c r="AD536" i="34"/>
  <c r="AX219" i="2"/>
  <c r="AG218" i="2"/>
  <c r="AG229" i="2"/>
  <c r="AG231" i="2"/>
  <c r="AI803" i="34"/>
  <c r="AI326" i="34"/>
  <c r="AI165" i="2"/>
  <c r="AI988" i="34" s="1"/>
  <c r="AI987" i="34"/>
  <c r="AI237" i="14"/>
  <c r="AI690" i="34" s="1"/>
  <c r="AI238" i="14"/>
  <c r="AI691" i="34" s="1"/>
  <c r="AI689" i="34"/>
  <c r="BN728" i="34"/>
  <c r="AT312" i="34"/>
  <c r="AB921" i="34"/>
  <c r="AB442" i="34"/>
  <c r="BM918" i="34"/>
  <c r="AS439" i="34"/>
  <c r="AA921" i="34"/>
  <c r="AA442" i="34"/>
  <c r="AN42" i="2"/>
  <c r="AN14" i="14"/>
  <c r="BO1061" i="34"/>
  <c r="AK57" i="14"/>
  <c r="AK58" i="14"/>
  <c r="AG178" i="2"/>
  <c r="AG179" i="2"/>
  <c r="AG175" i="2"/>
  <c r="AG176" i="2" s="1"/>
  <c r="AG177" i="2"/>
  <c r="O810" i="34"/>
  <c r="O333" i="34"/>
  <c r="Z334" i="34"/>
  <c r="Z811" i="34"/>
  <c r="AD537" i="34"/>
  <c r="AD1014" i="34"/>
  <c r="AF390" i="2"/>
  <c r="AG238" i="2"/>
  <c r="AG239" i="2"/>
  <c r="AG219" i="2"/>
  <c r="AK236" i="2"/>
  <c r="AG237" i="2"/>
  <c r="AK219" i="2"/>
  <c r="AK238" i="2"/>
  <c r="AG236" i="2"/>
  <c r="AI808" i="34"/>
  <c r="AI331" i="34"/>
  <c r="AI573" i="2"/>
  <c r="AI571" i="2"/>
  <c r="AI570" i="2"/>
  <c r="AI572" i="2"/>
  <c r="AI557" i="2"/>
  <c r="AI339" i="34"/>
  <c r="AI559" i="2"/>
  <c r="AI793" i="34"/>
  <c r="AJ575" i="2"/>
  <c r="AJ564" i="2"/>
  <c r="AK562" i="2"/>
  <c r="AJ422" i="2"/>
  <c r="AJ236" i="14"/>
  <c r="AJ324" i="34"/>
  <c r="AJ565" i="2"/>
  <c r="AJ556" i="2"/>
  <c r="AJ164" i="2"/>
  <c r="BO562" i="2"/>
  <c r="AJ801" i="34"/>
  <c r="AJ566" i="2"/>
  <c r="BO620" i="2"/>
  <c r="BO864" i="34" s="1"/>
  <c r="BN862" i="34"/>
  <c r="BO619" i="2"/>
  <c r="BO863" i="34" s="1"/>
  <c r="BM570" i="2"/>
  <c r="BM808" i="34"/>
  <c r="BM572" i="2"/>
  <c r="AS331" i="34"/>
  <c r="CD569" i="2"/>
  <c r="AS312" i="34"/>
  <c r="BM728" i="34"/>
  <c r="AA922" i="34"/>
  <c r="AA443" i="34"/>
  <c r="AH748" i="34"/>
  <c r="AH513" i="2"/>
  <c r="AH749" i="34" s="1"/>
  <c r="AU359" i="34"/>
  <c r="BO858" i="34"/>
  <c r="AV144" i="2"/>
  <c r="AR983" i="34"/>
  <c r="AN1066" i="34"/>
  <c r="AN292" i="2"/>
  <c r="AN1099" i="34" s="1"/>
  <c r="AN281" i="2"/>
  <c r="AN1088" i="34" s="1"/>
  <c r="AF298" i="34"/>
  <c r="AE713" i="34"/>
  <c r="AH572" i="34"/>
  <c r="AH1049" i="34"/>
  <c r="BP56" i="14"/>
  <c r="BP147" i="2"/>
  <c r="BP984" i="34" s="1"/>
  <c r="BP983" i="34"/>
  <c r="BP146" i="2"/>
  <c r="BP148" i="2"/>
  <c r="BP985" i="34" s="1"/>
  <c r="AK114" i="2"/>
  <c r="AK981" i="34" s="1"/>
  <c r="AK111" i="2"/>
  <c r="AK977" i="34" s="1"/>
  <c r="AK112" i="2"/>
  <c r="AK978" i="34" s="1"/>
  <c r="AK975" i="34"/>
  <c r="AD334" i="34"/>
  <c r="AD811" i="34"/>
  <c r="AD535" i="34"/>
  <c r="AD1012" i="34"/>
  <c r="BO107" i="14"/>
  <c r="X483" i="34"/>
  <c r="X960" i="34"/>
  <c r="AP540" i="34"/>
  <c r="BJ1017" i="34"/>
  <c r="AJ236" i="2"/>
  <c r="AK239" i="2"/>
  <c r="AK237" i="2"/>
  <c r="AJ238" i="2"/>
  <c r="AJ239" i="2"/>
  <c r="AJ237" i="2"/>
  <c r="AN236" i="2"/>
  <c r="AN219" i="2"/>
  <c r="AN238" i="2"/>
  <c r="AK185" i="2"/>
  <c r="AJ186" i="2"/>
  <c r="AJ187" i="2"/>
  <c r="AK187" i="2"/>
  <c r="AJ185" i="2"/>
  <c r="AJ183" i="2"/>
  <c r="AS369" i="34"/>
  <c r="BM873" i="34"/>
  <c r="AT136" i="2"/>
  <c r="Y633" i="2"/>
  <c r="Y878" i="34" s="1"/>
  <c r="Y634" i="2"/>
  <c r="Y879" i="34" s="1"/>
  <c r="U877" i="34"/>
  <c r="AM186" i="2"/>
  <c r="AI183" i="2"/>
  <c r="AI184" i="2" s="1"/>
  <c r="AI186" i="2"/>
  <c r="AM183" i="2"/>
  <c r="AQ184" i="2" s="1"/>
  <c r="AI178" i="2"/>
  <c r="AM178" i="2"/>
  <c r="AI175" i="2"/>
  <c r="AI176" i="2" s="1"/>
  <c r="AM175" i="2"/>
  <c r="AQ176" i="2" s="1"/>
  <c r="AJ190" i="2"/>
  <c r="AN190" i="2"/>
  <c r="BO61" i="14"/>
  <c r="CC22" i="2"/>
  <c r="BP25" i="2"/>
  <c r="AJ230" i="2"/>
  <c r="AJ232" i="2"/>
  <c r="AJ244" i="2"/>
  <c r="AK244" i="2"/>
  <c r="AN245" i="2"/>
  <c r="AJ246" i="2"/>
  <c r="AN243" i="2"/>
  <c r="AN74" i="2" s="1"/>
  <c r="AN220" i="2"/>
  <c r="AK246" i="2"/>
  <c r="AN218" i="2"/>
  <c r="AH187" i="2"/>
  <c r="AH186" i="2"/>
  <c r="BO182" i="2"/>
  <c r="AH183" i="2"/>
  <c r="AH184" i="2" s="1"/>
  <c r="AI185" i="2"/>
  <c r="AH185" i="2"/>
  <c r="AI187" i="2"/>
  <c r="AH177" i="2"/>
  <c r="AH175" i="2"/>
  <c r="AH176" i="2" s="1"/>
  <c r="AL178" i="2"/>
  <c r="AH179" i="2"/>
  <c r="AL175" i="2"/>
  <c r="AI177" i="2"/>
  <c r="AI179" i="2"/>
  <c r="AH178" i="2"/>
  <c r="BO77" i="2"/>
  <c r="BO80" i="2"/>
  <c r="BO189" i="2"/>
  <c r="AH190" i="2"/>
  <c r="AI190" i="2"/>
  <c r="AM190" i="2"/>
  <c r="AV295" i="2"/>
  <c r="BO280" i="2"/>
  <c r="BO1087" i="34" s="1"/>
  <c r="AT288" i="2"/>
  <c r="AT1095" i="34" s="1"/>
  <c r="AT1062" i="34"/>
  <c r="AX256" i="2"/>
  <c r="BB228" i="2"/>
  <c r="AX233" i="2"/>
  <c r="AX223" i="2" s="1"/>
  <c r="AX218" i="2"/>
  <c r="AX231" i="2"/>
  <c r="L22" i="35"/>
  <c r="L30" i="35"/>
  <c r="L25" i="35"/>
  <c r="K25" i="35"/>
  <c r="K30" i="35"/>
  <c r="K22" i="35"/>
  <c r="O49" i="1"/>
  <c r="O34" i="34"/>
  <c r="AS198" i="34"/>
  <c r="AF232" i="2"/>
  <c r="AF229" i="2"/>
  <c r="AG232" i="2"/>
  <c r="AF230" i="2"/>
  <c r="AF231" i="2"/>
  <c r="AG230" i="2"/>
  <c r="AJ218" i="2"/>
  <c r="AJ231" i="2"/>
  <c r="AJ229" i="2"/>
  <c r="X67" i="14"/>
  <c r="X66" i="14"/>
  <c r="AB66" i="14"/>
  <c r="X616" i="34"/>
  <c r="Y67" i="14"/>
  <c r="T17" i="4"/>
  <c r="T1296" i="34" s="1"/>
  <c r="BQ259" i="1"/>
  <c r="AV245" i="34" s="1"/>
  <c r="BQ262" i="1"/>
  <c r="AV248" i="34" s="1"/>
  <c r="AV246" i="34"/>
  <c r="AS161" i="34"/>
  <c r="BN182" i="1"/>
  <c r="AS171" i="34" s="1"/>
  <c r="BM1122" i="34"/>
  <c r="AS412" i="34"/>
  <c r="AE303" i="34"/>
  <c r="AE719" i="34"/>
  <c r="AD718" i="34"/>
  <c r="AD302" i="34"/>
  <c r="AS19" i="34"/>
  <c r="BN29" i="1"/>
  <c r="CN28" i="1"/>
  <c r="BN188" i="1"/>
  <c r="AS177" i="34" s="1"/>
  <c r="AH1018" i="34"/>
  <c r="AH541" i="34"/>
  <c r="AT133" i="2"/>
  <c r="AT132" i="2"/>
  <c r="V809" i="34"/>
  <c r="V332" i="34"/>
  <c r="AJ748" i="34"/>
  <c r="V189" i="1"/>
  <c r="V178" i="34" s="1"/>
  <c r="V30" i="34"/>
  <c r="V1232" i="34"/>
  <c r="V190" i="1"/>
  <c r="V179" i="34" s="1"/>
  <c r="V43" i="1"/>
  <c r="AF921" i="34"/>
  <c r="AF442" i="34"/>
  <c r="BN953" i="34"/>
  <c r="AT476" i="34"/>
  <c r="N17" i="4"/>
  <c r="N1296" i="34" s="1"/>
  <c r="BK259" i="1"/>
  <c r="AP245" i="34" s="1"/>
  <c r="BK262" i="1"/>
  <c r="AP248" i="34" s="1"/>
  <c r="BK248" i="1"/>
  <c r="AP234" i="34" s="1"/>
  <c r="BK260" i="1"/>
  <c r="AP246" i="34" s="1"/>
  <c r="AP244" i="34"/>
  <c r="BK104" i="1"/>
  <c r="AP92" i="34" s="1"/>
  <c r="BK261" i="1"/>
  <c r="AP247" i="34" s="1"/>
  <c r="Y32" i="34"/>
  <c r="Y1234" i="34"/>
  <c r="AD140" i="14"/>
  <c r="AG141" i="14"/>
  <c r="AK142" i="14" s="1"/>
  <c r="AC140" i="14"/>
  <c r="AG144" i="14"/>
  <c r="AD626" i="34"/>
  <c r="AD125" i="14"/>
  <c r="AD631" i="34" s="1"/>
  <c r="AH125" i="14"/>
  <c r="AH631" i="34" s="1"/>
  <c r="AD126" i="14"/>
  <c r="AD632" i="34" s="1"/>
  <c r="AG46" i="1"/>
  <c r="AG1234" i="34"/>
  <c r="AG32" i="34"/>
  <c r="BK1017" i="34"/>
  <c r="AQ540" i="34"/>
  <c r="AO1223" i="34"/>
  <c r="BP29" i="14"/>
  <c r="BP36" i="14"/>
  <c r="AT207" i="34"/>
  <c r="BN120" i="14"/>
  <c r="AT625" i="34"/>
  <c r="BN123" i="14"/>
  <c r="AT629" i="34" s="1"/>
  <c r="BN121" i="14"/>
  <c r="AT627" i="34" s="1"/>
  <c r="AF540" i="34"/>
  <c r="AF1017" i="34"/>
  <c r="AC1018" i="34"/>
  <c r="AC541" i="34"/>
  <c r="AD281" i="2"/>
  <c r="AD1088" i="34" s="1"/>
  <c r="AD1066" i="34"/>
  <c r="AD292" i="2"/>
  <c r="AD1099" i="34" s="1"/>
  <c r="AH281" i="2"/>
  <c r="AH1088" i="34" s="1"/>
  <c r="AH292" i="2"/>
  <c r="AH1099" i="34" s="1"/>
  <c r="AN32" i="34"/>
  <c r="BI46" i="1"/>
  <c r="AO736" i="34"/>
  <c r="V644" i="2"/>
  <c r="V377" i="34"/>
  <c r="V884" i="34"/>
  <c r="AH382" i="34"/>
  <c r="AH646" i="2"/>
  <c r="AH893" i="34" s="1"/>
  <c r="AL645" i="2"/>
  <c r="AL646" i="2"/>
  <c r="AL893" i="34" s="1"/>
  <c r="AH645" i="2"/>
  <c r="AH891" i="34"/>
  <c r="BJ699" i="34"/>
  <c r="AP276" i="34"/>
  <c r="AG246" i="2"/>
  <c r="AG244" i="2"/>
  <c r="AJ245" i="2"/>
  <c r="AJ220" i="2"/>
  <c r="AJ243" i="2"/>
  <c r="AJ74" i="2" s="1"/>
  <c r="AU197" i="34"/>
  <c r="BP215" i="1"/>
  <c r="R18" i="42"/>
  <c r="R18" i="40"/>
  <c r="AT27" i="34"/>
  <c r="CL36" i="1"/>
  <c r="BO293" i="1"/>
  <c r="R18" i="4"/>
  <c r="R1297" i="34" s="1"/>
  <c r="AC1017" i="34"/>
  <c r="AC540" i="34"/>
  <c r="AZ150" i="34"/>
  <c r="BV161" i="1"/>
  <c r="BW161" i="1" s="1"/>
  <c r="BX161" i="1" s="1"/>
  <c r="BY161" i="1" s="1"/>
  <c r="BZ161" i="1" s="1"/>
  <c r="BV192" i="2"/>
  <c r="X377" i="34"/>
  <c r="X644" i="2"/>
  <c r="X884" i="34"/>
  <c r="AB640" i="2"/>
  <c r="O1234" i="34"/>
  <c r="O32" i="34"/>
  <c r="AR482" i="34"/>
  <c r="BL959" i="34"/>
  <c r="BL960" i="34"/>
  <c r="AR483" i="34"/>
  <c r="AG239" i="1"/>
  <c r="AG225" i="34" s="1"/>
  <c r="AG106" i="1"/>
  <c r="AG202" i="34"/>
  <c r="AG247" i="1"/>
  <c r="AH721" i="34"/>
  <c r="AH305" i="34"/>
  <c r="AD306" i="34"/>
  <c r="AD722" i="34"/>
  <c r="N115" i="1"/>
  <c r="N94" i="34"/>
  <c r="N113" i="1"/>
  <c r="N101" i="34" s="1"/>
  <c r="R66" i="14"/>
  <c r="R616" i="34"/>
  <c r="R67" i="14"/>
  <c r="S67" i="14"/>
  <c r="BK70" i="14"/>
  <c r="AQ619" i="34" s="1"/>
  <c r="BK68" i="14"/>
  <c r="AQ617" i="34" s="1"/>
  <c r="AQ615" i="34"/>
  <c r="CA64" i="14"/>
  <c r="BK65" i="14"/>
  <c r="AZ168" i="34"/>
  <c r="BV179" i="1"/>
  <c r="BW179" i="1" s="1"/>
  <c r="BX179" i="1" s="1"/>
  <c r="BY179" i="1" s="1"/>
  <c r="BZ179" i="1" s="1"/>
  <c r="X62" i="1"/>
  <c r="X37" i="34"/>
  <c r="M73" i="1"/>
  <c r="M67" i="1"/>
  <c r="M50" i="34"/>
  <c r="M1255" i="34"/>
  <c r="T32" i="34"/>
  <c r="T46" i="1"/>
  <c r="T1234" i="34"/>
  <c r="O158" i="14"/>
  <c r="O642" i="34" s="1"/>
  <c r="O636" i="34"/>
  <c r="AB1234" i="34"/>
  <c r="AB32" i="34"/>
  <c r="AB46" i="1"/>
  <c r="P158" i="14"/>
  <c r="P642" i="34" s="1"/>
  <c r="AG540" i="34"/>
  <c r="AG1017" i="34"/>
  <c r="AL1227" i="34"/>
  <c r="BQ34" i="1"/>
  <c r="CN34" i="1" s="1"/>
  <c r="AL39" i="1"/>
  <c r="O21" i="34"/>
  <c r="O1223" i="34"/>
  <c r="AD137" i="1"/>
  <c r="AD47" i="1"/>
  <c r="AT32" i="2"/>
  <c r="AT31" i="2"/>
  <c r="P244" i="34"/>
  <c r="P259" i="1"/>
  <c r="P245" i="34" s="1"/>
  <c r="P104" i="1"/>
  <c r="P92" i="34" s="1"/>
  <c r="P260" i="1"/>
  <c r="P246" i="34" s="1"/>
  <c r="P261" i="1"/>
  <c r="P247" i="34" s="1"/>
  <c r="P267" i="1"/>
  <c r="P252" i="34" s="1"/>
  <c r="S810" i="34"/>
  <c r="S333" i="34"/>
  <c r="S812" i="34"/>
  <c r="S335" i="34"/>
  <c r="BN279" i="2"/>
  <c r="BN1086" i="34" s="1"/>
  <c r="BN290" i="2"/>
  <c r="BN1097" i="34" s="1"/>
  <c r="BN1064" i="34"/>
  <c r="BL41" i="1"/>
  <c r="AQ23" i="34"/>
  <c r="CL32" i="1"/>
  <c r="BL39" i="1"/>
  <c r="AH126" i="14"/>
  <c r="AH632" i="34" s="1"/>
  <c r="AG126" i="14"/>
  <c r="AG632" i="34" s="1"/>
  <c r="Z190" i="34"/>
  <c r="BN204" i="1"/>
  <c r="AS190" i="34" s="1"/>
  <c r="AR615" i="34"/>
  <c r="BL248" i="14"/>
  <c r="BL249" i="14" s="1"/>
  <c r="BL70" i="14"/>
  <c r="AR619" i="34" s="1"/>
  <c r="BL68" i="14"/>
  <c r="AR617" i="34" s="1"/>
  <c r="BM70" i="14"/>
  <c r="AS619" i="34" s="1"/>
  <c r="BM68" i="14"/>
  <c r="AS617" i="34" s="1"/>
  <c r="BL65" i="14"/>
  <c r="AT23" i="34"/>
  <c r="BO39" i="1"/>
  <c r="BO41" i="1"/>
  <c r="AL30" i="34"/>
  <c r="BG43" i="1"/>
  <c r="AT1060" i="34"/>
  <c r="AX254" i="2"/>
  <c r="AT286" i="2"/>
  <c r="AT1093" i="34" s="1"/>
  <c r="AT262" i="2"/>
  <c r="AT1068" i="34" s="1"/>
  <c r="AB1108" i="34"/>
  <c r="AB398" i="34"/>
  <c r="AK1226" i="34"/>
  <c r="AK41" i="1"/>
  <c r="BQ33" i="1"/>
  <c r="AK39" i="1"/>
  <c r="R626" i="34"/>
  <c r="R126" i="14"/>
  <c r="R632" i="34" s="1"/>
  <c r="S126" i="14"/>
  <c r="S632" i="34" s="1"/>
  <c r="V125" i="14"/>
  <c r="V631" i="34" s="1"/>
  <c r="R125" i="14"/>
  <c r="R631" i="34" s="1"/>
  <c r="BN273" i="1"/>
  <c r="AS258" i="34" s="1"/>
  <c r="AS257" i="34"/>
  <c r="S1232" i="34"/>
  <c r="S190" i="1"/>
  <c r="S179" i="34" s="1"/>
  <c r="S43" i="1"/>
  <c r="S30" i="34"/>
  <c r="S189" i="1"/>
  <c r="S178" i="34" s="1"/>
  <c r="AR23" i="34"/>
  <c r="CM32" i="1"/>
  <c r="CJ32" i="1"/>
  <c r="AW209" i="34"/>
  <c r="BR119" i="1"/>
  <c r="AW107" i="34" s="1"/>
  <c r="BO267" i="1"/>
  <c r="AT252" i="34" s="1"/>
  <c r="BO266" i="1"/>
  <c r="AT251" i="34" s="1"/>
  <c r="AT250" i="34"/>
  <c r="BO274" i="1"/>
  <c r="AT259" i="34" s="1"/>
  <c r="K12" i="35"/>
  <c r="K13" i="35" s="1"/>
  <c r="K32" i="35" s="1"/>
  <c r="AM1222" i="34"/>
  <c r="Y20" i="34"/>
  <c r="Y1222" i="34"/>
  <c r="Y43" i="1"/>
  <c r="Y46" i="1"/>
  <c r="BP52" i="2"/>
  <c r="AU257" i="34"/>
  <c r="BO934" i="34"/>
  <c r="AU457" i="34"/>
  <c r="U541" i="34"/>
  <c r="U1018" i="34"/>
  <c r="U1017" i="34"/>
  <c r="U540" i="34"/>
  <c r="N126" i="14"/>
  <c r="N632" i="34" s="1"/>
  <c r="O126" i="14"/>
  <c r="O632" i="34" s="1"/>
  <c r="N626" i="34"/>
  <c r="BN277" i="2"/>
  <c r="BN1084" i="34" s="1"/>
  <c r="BN1062" i="34"/>
  <c r="BN288" i="2"/>
  <c r="BN1095" i="34" s="1"/>
  <c r="BP174" i="2"/>
  <c r="BO174" i="2"/>
  <c r="Q170" i="34"/>
  <c r="Q182" i="1"/>
  <c r="AI189" i="1"/>
  <c r="AI178" i="34" s="1"/>
  <c r="AI1232" i="34"/>
  <c r="AI30" i="34"/>
  <c r="AI190" i="1"/>
  <c r="AI179" i="34" s="1"/>
  <c r="AI43" i="1"/>
  <c r="L19" i="35"/>
  <c r="L28" i="35" s="1"/>
  <c r="AB192" i="34"/>
  <c r="BN206" i="1"/>
  <c r="AS192" i="34" s="1"/>
  <c r="Z251" i="14"/>
  <c r="P647" i="34"/>
  <c r="T191" i="14"/>
  <c r="T652" i="34" s="1"/>
  <c r="P192" i="14"/>
  <c r="P653" i="34" s="1"/>
  <c r="Q192" i="14"/>
  <c r="Q653" i="34" s="1"/>
  <c r="P32" i="34"/>
  <c r="P1234" i="34"/>
  <c r="P46" i="1"/>
  <c r="Y1232" i="34"/>
  <c r="Y30" i="34"/>
  <c r="Y189" i="1"/>
  <c r="Y178" i="34" s="1"/>
  <c r="Y190" i="1"/>
  <c r="Y179" i="34" s="1"/>
  <c r="AE126" i="14"/>
  <c r="AE632" i="34" s="1"/>
  <c r="AE626" i="34"/>
  <c r="AE125" i="14"/>
  <c r="AE631" i="34" s="1"/>
  <c r="AF126" i="14"/>
  <c r="AF632" i="34" s="1"/>
  <c r="CL34" i="1"/>
  <c r="AQ25" i="34"/>
  <c r="AZ160" i="34"/>
  <c r="BV171" i="1"/>
  <c r="BW171" i="1" s="1"/>
  <c r="BX171" i="1" s="1"/>
  <c r="BY171" i="1" s="1"/>
  <c r="BZ171" i="1" s="1"/>
  <c r="BQ201" i="1"/>
  <c r="AL144" i="14"/>
  <c r="AL141" i="14"/>
  <c r="AP142" i="14" s="1"/>
  <c r="AH141" i="14"/>
  <c r="AH144" i="14"/>
  <c r="AI140" i="14"/>
  <c r="AH140" i="14"/>
  <c r="AH173" i="14"/>
  <c r="AH172" i="14"/>
  <c r="AH174" i="14"/>
  <c r="AD192" i="14"/>
  <c r="AD653" i="34" s="1"/>
  <c r="AD647" i="34"/>
  <c r="AD191" i="14"/>
  <c r="AD652" i="34" s="1"/>
  <c r="AE192" i="14"/>
  <c r="AE653" i="34" s="1"/>
  <c r="AH191" i="14"/>
  <c r="AH652" i="34" s="1"/>
  <c r="AU23" i="34"/>
  <c r="BN214" i="1"/>
  <c r="AS200" i="34" s="1"/>
  <c r="AE1012" i="34"/>
  <c r="AE535" i="34"/>
  <c r="CJ33" i="1"/>
  <c r="AR24" i="34"/>
  <c r="AD711" i="34"/>
  <c r="AD295" i="34"/>
  <c r="BN709" i="34"/>
  <c r="AH713" i="34"/>
  <c r="AH297" i="34"/>
  <c r="AB157" i="14"/>
  <c r="AB641" i="34" s="1"/>
  <c r="AB636" i="34"/>
  <c r="AF157" i="14"/>
  <c r="AF641" i="34" s="1"/>
  <c r="AB158" i="14"/>
  <c r="AB642" i="34" s="1"/>
  <c r="AV348" i="34"/>
  <c r="BP842" i="34"/>
  <c r="BP600" i="2"/>
  <c r="BJ731" i="34"/>
  <c r="AP314" i="34"/>
  <c r="AH566" i="34"/>
  <c r="AH1043" i="34"/>
  <c r="X251" i="14"/>
  <c r="AB250" i="14"/>
  <c r="AB251" i="14"/>
  <c r="Z1018" i="34"/>
  <c r="Z647" i="34"/>
  <c r="AA192" i="14"/>
  <c r="AA653" i="34" s="1"/>
  <c r="Z192" i="14"/>
  <c r="Z653" i="34" s="1"/>
  <c r="Z191" i="14"/>
  <c r="Z652" i="34" s="1"/>
  <c r="O1232" i="34"/>
  <c r="O30" i="34"/>
  <c r="AS540" i="34"/>
  <c r="BM1017" i="34"/>
  <c r="M49" i="1"/>
  <c r="M34" i="34"/>
  <c r="M136" i="1"/>
  <c r="M124" i="34" s="1"/>
  <c r="M1236" i="34"/>
  <c r="AW222" i="14"/>
  <c r="BA119" i="14"/>
  <c r="AW121" i="14"/>
  <c r="AD44" i="1"/>
  <c r="R335" i="34"/>
  <c r="R812" i="34"/>
  <c r="AJ108" i="14"/>
  <c r="AJ103" i="14"/>
  <c r="Q157" i="14"/>
  <c r="Q641" i="34" s="1"/>
  <c r="Q158" i="14"/>
  <c r="Q642" i="34" s="1"/>
  <c r="Q636" i="34"/>
  <c r="BV178" i="1"/>
  <c r="BW178" i="1" s="1"/>
  <c r="BX178" i="1" s="1"/>
  <c r="BY178" i="1" s="1"/>
  <c r="BZ178" i="1" s="1"/>
  <c r="AZ167" i="34"/>
  <c r="AC158" i="14"/>
  <c r="AC642" i="34" s="1"/>
  <c r="BN619" i="2"/>
  <c r="BN863" i="34" s="1"/>
  <c r="AT468" i="34"/>
  <c r="BN945" i="34"/>
  <c r="Q6" i="1"/>
  <c r="N610" i="34"/>
  <c r="N38" i="14"/>
  <c r="N612" i="34" s="1"/>
  <c r="R37" i="14"/>
  <c r="R611" i="34" s="1"/>
  <c r="O38" i="14"/>
  <c r="O612" i="34" s="1"/>
  <c r="AI1234" i="34"/>
  <c r="AI32" i="34"/>
  <c r="AI46" i="1"/>
  <c r="AS250" i="34"/>
  <c r="BN266" i="1"/>
  <c r="AS251" i="34" s="1"/>
  <c r="BN267" i="1"/>
  <c r="AS252" i="34" s="1"/>
  <c r="BP268" i="1"/>
  <c r="AU253" i="34" s="1"/>
  <c r="BN274" i="1"/>
  <c r="AS259" i="34" s="1"/>
  <c r="BJ191" i="14"/>
  <c r="AP652" i="34" s="1"/>
  <c r="AP647" i="34"/>
  <c r="CB22" i="2"/>
  <c r="BN61" i="14"/>
  <c r="BN25" i="2"/>
  <c r="CA22" i="2"/>
  <c r="BO25" i="2"/>
  <c r="AP113" i="1"/>
  <c r="AP115" i="1"/>
  <c r="AP121" i="1" s="1"/>
  <c r="AP107" i="1"/>
  <c r="AD712" i="34"/>
  <c r="AD296" i="34"/>
  <c r="AM37" i="14"/>
  <c r="T67" i="14"/>
  <c r="T66" i="14"/>
  <c r="T616" i="34"/>
  <c r="U67" i="14"/>
  <c r="BW984" i="34"/>
  <c r="BX147" i="2"/>
  <c r="R158" i="14"/>
  <c r="R642" i="34" s="1"/>
  <c r="AB1018" i="34"/>
  <c r="AB541" i="34"/>
  <c r="BD187" i="1"/>
  <c r="AB210" i="34"/>
  <c r="AB119" i="1"/>
  <c r="AB107" i="34" s="1"/>
  <c r="AB226" i="1"/>
  <c r="AB212" i="34" s="1"/>
  <c r="BJ120" i="14"/>
  <c r="BJ11" i="14"/>
  <c r="AP578" i="34" s="1"/>
  <c r="BK11" i="14"/>
  <c r="AQ578" i="34" s="1"/>
  <c r="BJ29" i="14"/>
  <c r="BJ36" i="14"/>
  <c r="AP577" i="34"/>
  <c r="BJ14" i="14"/>
  <c r="AB198" i="34"/>
  <c r="AB215" i="1"/>
  <c r="AB201" i="34" s="1"/>
  <c r="AR604" i="34"/>
  <c r="CB28" i="14"/>
  <c r="BL31" i="14"/>
  <c r="AR605" i="34" s="1"/>
  <c r="BL33" i="14"/>
  <c r="AR607" i="34" s="1"/>
  <c r="BL29" i="14"/>
  <c r="BL36" i="14"/>
  <c r="AI566" i="34"/>
  <c r="AI1043" i="34"/>
  <c r="AU207" i="34"/>
  <c r="BP119" i="1"/>
  <c r="AU107" i="34" s="1"/>
  <c r="P616" i="34"/>
  <c r="P67" i="14"/>
  <c r="Q67" i="14"/>
  <c r="Y541" i="34"/>
  <c r="Y1018" i="34"/>
  <c r="BN101" i="1"/>
  <c r="AS89" i="34" s="1"/>
  <c r="AS646" i="34"/>
  <c r="BN187" i="14"/>
  <c r="AT648" i="34" s="1"/>
  <c r="BM186" i="14"/>
  <c r="BM196" i="14"/>
  <c r="BN189" i="14"/>
  <c r="AT650" i="34" s="1"/>
  <c r="AV19" i="34"/>
  <c r="BQ188" i="1"/>
  <c r="AV177" i="34" s="1"/>
  <c r="BQ29" i="1"/>
  <c r="AF140" i="14"/>
  <c r="AG140" i="14"/>
  <c r="BM957" i="34"/>
  <c r="AS480" i="34"/>
  <c r="AS484" i="34"/>
  <c r="BM961" i="34"/>
  <c r="AQ600" i="2"/>
  <c r="AP843" i="34"/>
  <c r="AP599" i="2"/>
  <c r="AS410" i="34"/>
  <c r="BM1120" i="34"/>
  <c r="AD719" i="34"/>
  <c r="AD303" i="34"/>
  <c r="AD721" i="34"/>
  <c r="AD305" i="34"/>
  <c r="BO61" i="2"/>
  <c r="BN717" i="34"/>
  <c r="AT301" i="34"/>
  <c r="BN60" i="2"/>
  <c r="BO58" i="2"/>
  <c r="BN61" i="2"/>
  <c r="BN58" i="2"/>
  <c r="M125" i="34"/>
  <c r="M140" i="1"/>
  <c r="M128" i="34" s="1"/>
  <c r="AS33" i="1"/>
  <c r="U204" i="1"/>
  <c r="BM36" i="1"/>
  <c r="U1229" i="34"/>
  <c r="U289" i="1"/>
  <c r="U293" i="1"/>
  <c r="U27" i="34"/>
  <c r="AB189" i="1"/>
  <c r="AB178" i="34" s="1"/>
  <c r="AB190" i="1"/>
  <c r="AB179" i="34" s="1"/>
  <c r="AB1232" i="34"/>
  <c r="AB30" i="34"/>
  <c r="AB43" i="1"/>
  <c r="AG541" i="34"/>
  <c r="AG1018" i="34"/>
  <c r="AL154" i="14"/>
  <c r="AL155" i="14"/>
  <c r="AL153" i="14"/>
  <c r="AL156" i="14"/>
  <c r="BP151" i="14"/>
  <c r="CC151" i="14" s="1"/>
  <c r="AM156" i="14"/>
  <c r="AM154" i="14"/>
  <c r="AL152" i="14"/>
  <c r="AP155" i="14"/>
  <c r="AP153" i="14"/>
  <c r="BO268" i="1"/>
  <c r="AT253" i="34" s="1"/>
  <c r="AR250" i="34"/>
  <c r="BM274" i="1"/>
  <c r="AR259" i="34" s="1"/>
  <c r="BM266" i="1"/>
  <c r="AR251" i="34" s="1"/>
  <c r="AD21" i="34"/>
  <c r="AD1223" i="34"/>
  <c r="T267" i="1"/>
  <c r="T252" i="34" s="1"/>
  <c r="X262" i="1"/>
  <c r="X248" i="34" s="1"/>
  <c r="T259" i="1"/>
  <c r="T245" i="34" s="1"/>
  <c r="T104" i="1"/>
  <c r="T92" i="34" s="1"/>
  <c r="X261" i="1"/>
  <c r="X247" i="34" s="1"/>
  <c r="T260" i="1"/>
  <c r="T246" i="34" s="1"/>
  <c r="T261" i="1"/>
  <c r="T247" i="34" s="1"/>
  <c r="T244" i="34"/>
  <c r="R810" i="34"/>
  <c r="R333" i="34"/>
  <c r="BO644" i="2"/>
  <c r="AU377" i="34"/>
  <c r="BO884" i="34"/>
  <c r="AT1061" i="34"/>
  <c r="AT287" i="2"/>
  <c r="AT1094" i="34" s="1"/>
  <c r="AX255" i="2"/>
  <c r="AU625" i="34"/>
  <c r="AO1280" i="34"/>
  <c r="BR87" i="1"/>
  <c r="AW74" i="34" s="1"/>
  <c r="N16" i="4"/>
  <c r="N1295" i="34" s="1"/>
  <c r="N16" i="40"/>
  <c r="N16" i="42"/>
  <c r="Z1234" i="34"/>
  <c r="Z32" i="34"/>
  <c r="Z46" i="1"/>
  <c r="AQ635" i="34"/>
  <c r="BK155" i="14"/>
  <c r="AQ639" i="34" s="1"/>
  <c r="BK152" i="14"/>
  <c r="CA151" i="14"/>
  <c r="BK153" i="14"/>
  <c r="AQ637" i="34" s="1"/>
  <c r="AL32" i="34"/>
  <c r="BG46" i="1"/>
  <c r="BV160" i="1"/>
  <c r="BW160" i="1" s="1"/>
  <c r="BX160" i="1" s="1"/>
  <c r="BY160" i="1" s="1"/>
  <c r="BZ160" i="1" s="1"/>
  <c r="AZ149" i="34"/>
  <c r="AK121" i="14"/>
  <c r="BP119" i="14"/>
  <c r="CC119" i="14" s="1"/>
  <c r="AO121" i="14"/>
  <c r="AK123" i="14"/>
  <c r="AK124" i="14"/>
  <c r="AK122" i="14"/>
  <c r="AK120" i="14"/>
  <c r="AL122" i="14"/>
  <c r="AO123" i="14"/>
  <c r="AL124" i="14"/>
  <c r="AA884" i="34"/>
  <c r="AA640" i="2"/>
  <c r="AE640" i="2"/>
  <c r="BP207" i="1"/>
  <c r="AF74" i="34"/>
  <c r="AF1280" i="34"/>
  <c r="AT79" i="34"/>
  <c r="BO94" i="1"/>
  <c r="AT81" i="34" s="1"/>
  <c r="BO120" i="1"/>
  <c r="AT108" i="34" s="1"/>
  <c r="S32" i="34"/>
  <c r="S46" i="1"/>
  <c r="S1234" i="34"/>
  <c r="BV154" i="1"/>
  <c r="BW154" i="1" s="1"/>
  <c r="BX154" i="1" s="1"/>
  <c r="BY154" i="1" s="1"/>
  <c r="BZ154" i="1" s="1"/>
  <c r="AZ141" i="34"/>
  <c r="AT24" i="34"/>
  <c r="AC46" i="1"/>
  <c r="AC1234" i="34"/>
  <c r="AC32" i="34"/>
  <c r="AS1229" i="34"/>
  <c r="AS204" i="1"/>
  <c r="BN307" i="2"/>
  <c r="AT439" i="34"/>
  <c r="BN309" i="2"/>
  <c r="BN306" i="2"/>
  <c r="BN918" i="34"/>
  <c r="AF440" i="34"/>
  <c r="BN959" i="34"/>
  <c r="BN934" i="34"/>
  <c r="AT457" i="34"/>
  <c r="BN262" i="2"/>
  <c r="O192" i="14"/>
  <c r="O653" i="34" s="1"/>
  <c r="R191" i="14"/>
  <c r="R652" i="34" s="1"/>
  <c r="N647" i="34"/>
  <c r="N192" i="14"/>
  <c r="N653" i="34" s="1"/>
  <c r="BN1061" i="34"/>
  <c r="BO276" i="2"/>
  <c r="BO1083" i="34" s="1"/>
  <c r="BN287" i="2"/>
  <c r="BN1094" i="34" s="1"/>
  <c r="BN276" i="2"/>
  <c r="BN1083" i="34" s="1"/>
  <c r="BO287" i="2"/>
  <c r="BO1094" i="34" s="1"/>
  <c r="AO98" i="2"/>
  <c r="AS98" i="2"/>
  <c r="AI216" i="1"/>
  <c r="AI193" i="34"/>
  <c r="X199" i="34"/>
  <c r="X215" i="1"/>
  <c r="X201" i="34" s="1"/>
  <c r="BM213" i="1"/>
  <c r="W636" i="34"/>
  <c r="W157" i="14"/>
  <c r="W641" i="34" s="1"/>
  <c r="W158" i="14"/>
  <c r="W642" i="34" s="1"/>
  <c r="AA157" i="14"/>
  <c r="AA641" i="34" s="1"/>
  <c r="X158" i="14"/>
  <c r="X642" i="34" s="1"/>
  <c r="K19" i="35"/>
  <c r="K28" i="35" s="1"/>
  <c r="Y133" i="1"/>
  <c r="Y121" i="34" s="1"/>
  <c r="Y117" i="34"/>
  <c r="BK41" i="1"/>
  <c r="AP23" i="34"/>
  <c r="BK39" i="1"/>
  <c r="AP27" i="34"/>
  <c r="BK289" i="1"/>
  <c r="BK293" i="1"/>
  <c r="N18" i="4"/>
  <c r="N1297" i="34" s="1"/>
  <c r="N18" i="42"/>
  <c r="N18" i="40"/>
  <c r="BK204" i="1"/>
  <c r="AP190" i="34" s="1"/>
  <c r="O31" i="35"/>
  <c r="AD157" i="14"/>
  <c r="AD641" i="34" s="1"/>
  <c r="AD636" i="34"/>
  <c r="AE158" i="14"/>
  <c r="AE642" i="34" s="1"/>
  <c r="AD158" i="14"/>
  <c r="AD642" i="34" s="1"/>
  <c r="AH157" i="14"/>
  <c r="AH641" i="34" s="1"/>
  <c r="AD30" i="14"/>
  <c r="AH30" i="14"/>
  <c r="AD66" i="14"/>
  <c r="AE67" i="14"/>
  <c r="AD616" i="34"/>
  <c r="AD67" i="14"/>
  <c r="AH66" i="14"/>
  <c r="AG189" i="1"/>
  <c r="AG178" i="34" s="1"/>
  <c r="AG43" i="1"/>
  <c r="AG1232" i="34"/>
  <c r="AG30" i="34"/>
  <c r="S266" i="1"/>
  <c r="S251" i="34" s="1"/>
  <c r="S250" i="34"/>
  <c r="S267" i="1"/>
  <c r="S252" i="34" s="1"/>
  <c r="S274" i="1"/>
  <c r="S259" i="34" s="1"/>
  <c r="BL265" i="1"/>
  <c r="AA536" i="34"/>
  <c r="AA1013" i="34"/>
  <c r="AB1013" i="34"/>
  <c r="AB536" i="34"/>
  <c r="W189" i="1"/>
  <c r="W178" i="34" s="1"/>
  <c r="W30" i="34"/>
  <c r="W190" i="1"/>
  <c r="W179" i="34" s="1"/>
  <c r="W1232" i="34"/>
  <c r="AH294" i="34"/>
  <c r="AH710" i="34"/>
  <c r="AD298" i="34"/>
  <c r="AD714" i="34"/>
  <c r="AS604" i="34"/>
  <c r="BM31" i="14"/>
  <c r="AS605" i="34" s="1"/>
  <c r="BM36" i="14"/>
  <c r="BM29" i="14"/>
  <c r="BN31" i="14"/>
  <c r="AT605" i="34" s="1"/>
  <c r="BN33" i="14"/>
  <c r="AT607" i="34" s="1"/>
  <c r="BM33" i="14"/>
  <c r="AS607" i="34" s="1"/>
  <c r="AC626" i="34"/>
  <c r="AC125" i="14"/>
  <c r="AC631" i="34" s="1"/>
  <c r="AC126" i="14"/>
  <c r="AC632" i="34" s="1"/>
  <c r="BN155" i="14"/>
  <c r="AT639" i="34" s="1"/>
  <c r="BN162" i="14"/>
  <c r="BN163" i="14" s="1"/>
  <c r="AS635" i="34"/>
  <c r="BN153" i="14"/>
  <c r="AT637" i="34" s="1"/>
  <c r="BM152" i="14"/>
  <c r="BP120" i="1"/>
  <c r="AU108" i="34" s="1"/>
  <c r="BP94" i="1"/>
  <c r="AU81" i="34" s="1"/>
  <c r="AU79" i="34"/>
  <c r="BL248" i="1"/>
  <c r="BL259" i="1"/>
  <c r="AQ245" i="34" s="1"/>
  <c r="BL262" i="1"/>
  <c r="AQ248" i="34" s="1"/>
  <c r="AQ244" i="34"/>
  <c r="BL260" i="1"/>
  <c r="AQ246" i="34" s="1"/>
  <c r="O17" i="4"/>
  <c r="O1296" i="34" s="1"/>
  <c r="BL261" i="1"/>
  <c r="AQ247" i="34" s="1"/>
  <c r="BL104" i="1"/>
  <c r="AQ92" i="34" s="1"/>
  <c r="AS176" i="1"/>
  <c r="BR176" i="1"/>
  <c r="AC1280" i="34"/>
  <c r="BO87" i="1"/>
  <c r="AT74" i="34" s="1"/>
  <c r="AC74" i="34"/>
  <c r="AD891" i="34"/>
  <c r="AD382" i="34"/>
  <c r="AD653" i="2"/>
  <c r="U363" i="34"/>
  <c r="U866" i="34"/>
  <c r="AG85" i="14"/>
  <c r="AG86" i="14"/>
  <c r="BI125" i="14"/>
  <c r="AO631" i="34" s="1"/>
  <c r="AN626" i="34"/>
  <c r="BH125" i="14"/>
  <c r="AN631" i="34" s="1"/>
  <c r="R334" i="34"/>
  <c r="R811" i="34"/>
  <c r="S18" i="42"/>
  <c r="BP293" i="1"/>
  <c r="S18" i="4"/>
  <c r="S1297" i="34" s="1"/>
  <c r="BP289" i="1"/>
  <c r="S18" i="40"/>
  <c r="AU27" i="34"/>
  <c r="R1232" i="34"/>
  <c r="R30" i="34"/>
  <c r="R189" i="1"/>
  <c r="R178" i="34" s="1"/>
  <c r="R43" i="1"/>
  <c r="R190" i="1"/>
  <c r="R179" i="34" s="1"/>
  <c r="AB74" i="34"/>
  <c r="AB1280" i="34"/>
  <c r="AW73" i="34"/>
  <c r="AE190" i="1"/>
  <c r="AE43" i="1"/>
  <c r="AE30" i="34"/>
  <c r="AE1232" i="34"/>
  <c r="AE189" i="1"/>
  <c r="AE178" i="34" s="1"/>
  <c r="AN119" i="1"/>
  <c r="AN226" i="1"/>
  <c r="AM185" i="2"/>
  <c r="AL185" i="2"/>
  <c r="AP183" i="2"/>
  <c r="AL186" i="2"/>
  <c r="BP182" i="2"/>
  <c r="AM187" i="2"/>
  <c r="AL183" i="2"/>
  <c r="AL187" i="2"/>
  <c r="AP186" i="2"/>
  <c r="AH239" i="1"/>
  <c r="AH225" i="34" s="1"/>
  <c r="AH247" i="1"/>
  <c r="AH202" i="34"/>
  <c r="AH106" i="1"/>
  <c r="AT257" i="34"/>
  <c r="BO273" i="1"/>
  <c r="AT258" i="34" s="1"/>
  <c r="U25" i="34"/>
  <c r="U1227" i="34"/>
  <c r="BM34" i="1"/>
  <c r="BM39" i="1" s="1"/>
  <c r="U41" i="1"/>
  <c r="U39" i="1"/>
  <c r="AN1226" i="34"/>
  <c r="AN39" i="1"/>
  <c r="AN41" i="1"/>
  <c r="AQ112" i="34"/>
  <c r="BL125" i="1"/>
  <c r="AQ113" i="34" s="1"/>
  <c r="Q1232" i="34"/>
  <c r="Q43" i="1"/>
  <c r="Q30" i="34"/>
  <c r="Q190" i="1"/>
  <c r="Q179" i="34" s="1"/>
  <c r="Q189" i="1"/>
  <c r="Q178" i="34" s="1"/>
  <c r="T126" i="14"/>
  <c r="T632" i="34" s="1"/>
  <c r="T626" i="34"/>
  <c r="U126" i="14"/>
  <c r="U632" i="34" s="1"/>
  <c r="T125" i="14"/>
  <c r="T631" i="34" s="1"/>
  <c r="AA535" i="34"/>
  <c r="AA1012" i="34"/>
  <c r="AS210" i="34"/>
  <c r="BP248" i="1"/>
  <c r="BP104" i="1"/>
  <c r="AU92" i="34" s="1"/>
  <c r="AU244" i="34"/>
  <c r="AU246" i="34"/>
  <c r="BP267" i="1"/>
  <c r="AU252" i="34" s="1"/>
  <c r="AB1017" i="34"/>
  <c r="AB540" i="34"/>
  <c r="AC30" i="14"/>
  <c r="AN30" i="34"/>
  <c r="BI43" i="1"/>
  <c r="BP604" i="2"/>
  <c r="AN847" i="34"/>
  <c r="AN639" i="2"/>
  <c r="AN605" i="2"/>
  <c r="AN848" i="34" s="1"/>
  <c r="AN606" i="2"/>
  <c r="AN849" i="34" s="1"/>
  <c r="BL877" i="34"/>
  <c r="W1108" i="34"/>
  <c r="W398" i="34"/>
  <c r="BJ981" i="34"/>
  <c r="AP503" i="34"/>
  <c r="AQ276" i="34"/>
  <c r="BK699" i="34"/>
  <c r="BN291" i="2"/>
  <c r="BN1098" i="34" s="1"/>
  <c r="BN1065" i="34"/>
  <c r="BN280" i="2"/>
  <c r="BN1087" i="34" s="1"/>
  <c r="X38" i="14"/>
  <c r="X612" i="34" s="1"/>
  <c r="W37" i="14"/>
  <c r="W611" i="34" s="1"/>
  <c r="W38" i="14"/>
  <c r="W612" i="34" s="1"/>
  <c r="W610" i="34"/>
  <c r="AA37" i="14"/>
  <c r="AA611" i="34" s="1"/>
  <c r="AA30" i="14"/>
  <c r="W30" i="14"/>
  <c r="Y27" i="4"/>
  <c r="X1306" i="34"/>
  <c r="Y1017" i="34"/>
  <c r="Y540" i="34"/>
  <c r="AX258" i="2"/>
  <c r="AT1064" i="34"/>
  <c r="AT290" i="2"/>
  <c r="AT1097" i="34" s="1"/>
  <c r="BP224" i="14"/>
  <c r="AV680" i="34" s="1"/>
  <c r="AR540" i="34"/>
  <c r="AF645" i="34"/>
  <c r="AG177" i="14"/>
  <c r="AF177" i="14"/>
  <c r="AO604" i="2"/>
  <c r="AO842" i="34"/>
  <c r="AG640" i="2"/>
  <c r="AC377" i="34"/>
  <c r="AC884" i="34"/>
  <c r="AC644" i="2"/>
  <c r="BN877" i="34"/>
  <c r="BN639" i="2"/>
  <c r="AE722" i="34"/>
  <c r="AE306" i="34"/>
  <c r="AH718" i="34"/>
  <c r="AH302" i="34"/>
  <c r="N233" i="34"/>
  <c r="N249" i="1"/>
  <c r="AT19" i="34"/>
  <c r="BO29" i="1"/>
  <c r="CJ28" i="1"/>
  <c r="BO188" i="1"/>
  <c r="AT177" i="34" s="1"/>
  <c r="CL28" i="1"/>
  <c r="BN783" i="34"/>
  <c r="M1240" i="34"/>
  <c r="Y189" i="14"/>
  <c r="Y650" i="34" s="1"/>
  <c r="U186" i="14"/>
  <c r="U190" i="14"/>
  <c r="U651" i="34" s="1"/>
  <c r="U189" i="14"/>
  <c r="U650" i="34" s="1"/>
  <c r="U646" i="34"/>
  <c r="BL185" i="14"/>
  <c r="BM187" i="14" s="1"/>
  <c r="AS648" i="34" s="1"/>
  <c r="U188" i="14"/>
  <c r="U649" i="34" s="1"/>
  <c r="U101" i="1"/>
  <c r="U89" i="34" s="1"/>
  <c r="V190" i="14"/>
  <c r="V651" i="34" s="1"/>
  <c r="U187" i="14"/>
  <c r="U648" i="34" s="1"/>
  <c r="V188" i="14"/>
  <c r="V649" i="34" s="1"/>
  <c r="Y187" i="14"/>
  <c r="Y648" i="34" s="1"/>
  <c r="T43" i="1"/>
  <c r="T189" i="1"/>
  <c r="T178" i="34" s="1"/>
  <c r="T30" i="34"/>
  <c r="T1232" i="34"/>
  <c r="T190" i="1"/>
  <c r="T179" i="34" s="1"/>
  <c r="BJ153" i="14"/>
  <c r="AP637" i="34" s="1"/>
  <c r="AP635" i="34"/>
  <c r="BJ152" i="14"/>
  <c r="BJ155" i="14"/>
  <c r="AP639" i="34" s="1"/>
  <c r="AS25" i="34"/>
  <c r="Q72" i="42"/>
  <c r="AS91" i="34"/>
  <c r="Q72" i="4"/>
  <c r="Q72" i="40"/>
  <c r="O46" i="1"/>
  <c r="AT1218" i="34"/>
  <c r="R809" i="34"/>
  <c r="R332" i="34"/>
  <c r="V334" i="34"/>
  <c r="V811" i="34"/>
  <c r="AU369" i="34"/>
  <c r="BO873" i="34"/>
  <c r="BO633" i="2"/>
  <c r="BO878" i="34" s="1"/>
  <c r="AK645" i="2"/>
  <c r="AK891" i="34"/>
  <c r="AK646" i="2"/>
  <c r="AK893" i="34" s="1"/>
  <c r="AJ997" i="34"/>
  <c r="AJ520" i="34"/>
  <c r="AH46" i="1"/>
  <c r="AH1234" i="34"/>
  <c r="AH32" i="34"/>
  <c r="W1222" i="34"/>
  <c r="W20" i="34"/>
  <c r="W43" i="1"/>
  <c r="W46" i="1"/>
  <c r="R32" i="34"/>
  <c r="R1234" i="34"/>
  <c r="R46" i="1"/>
  <c r="AQ24" i="34"/>
  <c r="CL33" i="1"/>
  <c r="AG341" i="34"/>
  <c r="AG795" i="34"/>
  <c r="Z126" i="14"/>
  <c r="Z632" i="34" s="1"/>
  <c r="Y626" i="34"/>
  <c r="Y125" i="14"/>
  <c r="Y631" i="34" s="1"/>
  <c r="Y126" i="14"/>
  <c r="Y632" i="34" s="1"/>
  <c r="BM123" i="14"/>
  <c r="AS629" i="34" s="1"/>
  <c r="AS625" i="34"/>
  <c r="BM121" i="14"/>
  <c r="AS627" i="34" s="1"/>
  <c r="BM120" i="14"/>
  <c r="AV497" i="34"/>
  <c r="BP974" i="34"/>
  <c r="BN289" i="1"/>
  <c r="Q18" i="42"/>
  <c r="BN293" i="1"/>
  <c r="Q18" i="40"/>
  <c r="Q18" i="4"/>
  <c r="Q1297" i="34" s="1"/>
  <c r="AS27" i="34"/>
  <c r="V66" i="14"/>
  <c r="Z66" i="14"/>
  <c r="V616" i="34"/>
  <c r="W67" i="14"/>
  <c r="V67" i="14"/>
  <c r="AE1234" i="34"/>
  <c r="AE32" i="34"/>
  <c r="AE46" i="1"/>
  <c r="L45" i="42"/>
  <c r="L49" i="42" s="1"/>
  <c r="L48" i="4"/>
  <c r="L45" i="40"/>
  <c r="L49" i="40" s="1"/>
  <c r="L1323" i="34"/>
  <c r="BQ182" i="1"/>
  <c r="AV171" i="34" s="1"/>
  <c r="AV161" i="34"/>
  <c r="AC398" i="34"/>
  <c r="AC1108" i="34"/>
  <c r="AJ178" i="2"/>
  <c r="AJ177" i="2"/>
  <c r="AJ179" i="2"/>
  <c r="AN178" i="2"/>
  <c r="AJ175" i="2"/>
  <c r="AJ176" i="2" s="1"/>
  <c r="AN175" i="2"/>
  <c r="AR176" i="2" s="1"/>
  <c r="AQ625" i="34"/>
  <c r="BK121" i="14"/>
  <c r="AQ627" i="34" s="1"/>
  <c r="BK123" i="14"/>
  <c r="AQ629" i="34" s="1"/>
  <c r="CA119" i="14"/>
  <c r="BL123" i="14"/>
  <c r="AR629" i="34" s="1"/>
  <c r="BL121" i="14"/>
  <c r="AR627" i="34" s="1"/>
  <c r="BK120" i="14"/>
  <c r="AI626" i="34"/>
  <c r="AM125" i="14"/>
  <c r="AI126" i="14"/>
  <c r="AI632" i="34" s="1"/>
  <c r="AI125" i="14"/>
  <c r="AI631" i="34" s="1"/>
  <c r="AW216" i="34"/>
  <c r="BR234" i="1"/>
  <c r="AW220" i="34" s="1"/>
  <c r="V1234" i="34"/>
  <c r="V46" i="1"/>
  <c r="V32" i="34"/>
  <c r="U635" i="34"/>
  <c r="Y153" i="14"/>
  <c r="Y637" i="34" s="1"/>
  <c r="BL151" i="14"/>
  <c r="U155" i="14"/>
  <c r="U639" i="34" s="1"/>
  <c r="V154" i="14"/>
  <c r="V638" i="34" s="1"/>
  <c r="U152" i="14"/>
  <c r="V156" i="14"/>
  <c r="V640" i="34" s="1"/>
  <c r="U153" i="14"/>
  <c r="U637" i="34" s="1"/>
  <c r="U154" i="14"/>
  <c r="U638" i="34" s="1"/>
  <c r="Y155" i="14"/>
  <c r="Y639" i="34" s="1"/>
  <c r="U156" i="14"/>
  <c r="U640" i="34" s="1"/>
  <c r="AC43" i="1"/>
  <c r="AC189" i="1"/>
  <c r="AC178" i="34" s="1"/>
  <c r="AC190" i="1"/>
  <c r="AC179" i="34" s="1"/>
  <c r="AC1232" i="34"/>
  <c r="AC30" i="34"/>
  <c r="BJ60" i="1"/>
  <c r="BJ49" i="1"/>
  <c r="AW36" i="1"/>
  <c r="AO121" i="1"/>
  <c r="BQ222" i="1"/>
  <c r="BN330" i="2"/>
  <c r="BN327" i="2"/>
  <c r="BN328" i="2" s="1"/>
  <c r="AT450" i="34"/>
  <c r="BN929" i="34"/>
  <c r="AT492" i="34"/>
  <c r="BP129" i="14"/>
  <c r="BP137" i="14" s="1"/>
  <c r="AN137" i="14" s="1"/>
  <c r="AV634" i="34"/>
  <c r="AN122" i="14"/>
  <c r="AN124" i="14"/>
  <c r="AO122" i="14"/>
  <c r="AN121" i="14"/>
  <c r="AN123" i="14"/>
  <c r="AN120" i="14"/>
  <c r="AO124" i="14"/>
  <c r="BN260" i="2"/>
  <c r="BM182" i="1"/>
  <c r="AR171" i="34" s="1"/>
  <c r="AR161" i="34"/>
  <c r="AF119" i="1"/>
  <c r="AF107" i="34" s="1"/>
  <c r="AF207" i="34"/>
  <c r="AF226" i="1"/>
  <c r="AF212" i="34" s="1"/>
  <c r="Z328" i="2"/>
  <c r="V328" i="2"/>
  <c r="AK514" i="2"/>
  <c r="AK750" i="34" s="1"/>
  <c r="AK747" i="34"/>
  <c r="AL516" i="2"/>
  <c r="AL752" i="34" s="1"/>
  <c r="AO514" i="2"/>
  <c r="AO750" i="34" s="1"/>
  <c r="AK516" i="2"/>
  <c r="AK752" i="34" s="1"/>
  <c r="AK512" i="2"/>
  <c r="AL515" i="2"/>
  <c r="AL751" i="34" s="1"/>
  <c r="AO512" i="2"/>
  <c r="AK515" i="2"/>
  <c r="AK751" i="34" s="1"/>
  <c r="V1018" i="34"/>
  <c r="V541" i="34"/>
  <c r="O67" i="14"/>
  <c r="N616" i="34"/>
  <c r="N67" i="14"/>
  <c r="N636" i="34"/>
  <c r="N158" i="14"/>
  <c r="N642" i="34" s="1"/>
  <c r="AQ161" i="34"/>
  <c r="BL182" i="1"/>
  <c r="AG1043" i="34"/>
  <c r="AG566" i="34"/>
  <c r="AJ1280" i="34"/>
  <c r="AJ74" i="34"/>
  <c r="P43" i="1"/>
  <c r="P189" i="1"/>
  <c r="P178" i="34" s="1"/>
  <c r="P1232" i="34"/>
  <c r="P30" i="34"/>
  <c r="P190" i="1"/>
  <c r="P179" i="34" s="1"/>
  <c r="BN39" i="1"/>
  <c r="AS24" i="34"/>
  <c r="CN33" i="1"/>
  <c r="BN41" i="1"/>
  <c r="N46" i="1"/>
  <c r="N1234" i="34"/>
  <c r="N32" i="34"/>
  <c r="Q1234" i="34"/>
  <c r="Q32" i="34"/>
  <c r="Q46" i="1"/>
  <c r="AC645" i="34"/>
  <c r="AD177" i="14"/>
  <c r="AC177" i="14"/>
  <c r="AG178" i="14"/>
  <c r="AH74" i="34"/>
  <c r="BP87" i="1"/>
  <c r="AU74" i="34" s="1"/>
  <c r="AH1280" i="34"/>
  <c r="AL178" i="14"/>
  <c r="AH645" i="34"/>
  <c r="AH178" i="14"/>
  <c r="AI177" i="14"/>
  <c r="AH177" i="14"/>
  <c r="AD37" i="14"/>
  <c r="AD611" i="34" s="1"/>
  <c r="AD610" i="34"/>
  <c r="AE38" i="14"/>
  <c r="AE612" i="34" s="1"/>
  <c r="AD38" i="14"/>
  <c r="AD612" i="34" s="1"/>
  <c r="AH37" i="14"/>
  <c r="AH611" i="34" s="1"/>
  <c r="AV26" i="34"/>
  <c r="CN35" i="1"/>
  <c r="CQ35" i="1"/>
  <c r="AA537" i="34"/>
  <c r="AA1014" i="34"/>
  <c r="W32" i="34"/>
  <c r="W1234" i="34"/>
  <c r="AT289" i="2"/>
  <c r="AT1096" i="34" s="1"/>
  <c r="AT1063" i="34"/>
  <c r="AX257" i="2"/>
  <c r="BJ65" i="14"/>
  <c r="AO44" i="1" l="1"/>
  <c r="AO1237" i="34" s="1"/>
  <c r="AJ37" i="14"/>
  <c r="AJ611" i="34" s="1"/>
  <c r="AM500" i="2"/>
  <c r="AL46" i="1"/>
  <c r="AN172" i="14"/>
  <c r="AM547" i="2"/>
  <c r="AR521" i="2"/>
  <c r="AR757" i="34" s="1"/>
  <c r="AR164" i="2"/>
  <c r="AR328" i="2"/>
  <c r="AO49" i="1"/>
  <c r="BP53" i="2"/>
  <c r="AJ38" i="14"/>
  <c r="AJ612" i="34" s="1"/>
  <c r="AR173" i="14"/>
  <c r="AR172" i="14"/>
  <c r="AR174" i="14"/>
  <c r="BO492" i="2"/>
  <c r="BO729" i="34" s="1"/>
  <c r="BP278" i="2"/>
  <c r="BP1085" i="34" s="1"/>
  <c r="AJ173" i="14"/>
  <c r="AG38" i="14"/>
  <c r="AG612" i="34" s="1"/>
  <c r="AK38" i="14"/>
  <c r="AO190" i="1"/>
  <c r="AS190" i="1" s="1"/>
  <c r="AG37" i="14"/>
  <c r="AG611" i="34" s="1"/>
  <c r="AH38" i="14"/>
  <c r="AH612" i="34" s="1"/>
  <c r="AR184" i="2"/>
  <c r="BW75" i="14"/>
  <c r="AL237" i="2"/>
  <c r="AM237" i="2"/>
  <c r="AL219" i="2"/>
  <c r="AP238" i="2"/>
  <c r="AL236" i="2"/>
  <c r="AR232" i="2"/>
  <c r="AR230" i="2"/>
  <c r="AT174" i="2"/>
  <c r="AT178" i="2" s="1"/>
  <c r="AT227" i="14"/>
  <c r="AS182" i="2"/>
  <c r="AS186" i="2" s="1"/>
  <c r="AS172" i="2"/>
  <c r="AS173" i="2"/>
  <c r="AS189" i="2" s="1"/>
  <c r="AS190" i="2" s="1"/>
  <c r="AQ62" i="14"/>
  <c r="AR244" i="2"/>
  <c r="AR246" i="2"/>
  <c r="AR151" i="2"/>
  <c r="AR154" i="2"/>
  <c r="AR237" i="2"/>
  <c r="AR239" i="2"/>
  <c r="AR42" i="2"/>
  <c r="AR40" i="2" s="1"/>
  <c r="AR13" i="1"/>
  <c r="BR13" i="1" s="1"/>
  <c r="L36" i="42"/>
  <c r="AQ735" i="34"/>
  <c r="BP735" i="34"/>
  <c r="AG67" i="14"/>
  <c r="AN157" i="14"/>
  <c r="AN191" i="14"/>
  <c r="BT19" i="1"/>
  <c r="CQ19" i="1" s="1"/>
  <c r="CK19" i="1"/>
  <c r="CP19" i="1"/>
  <c r="CO19" i="1"/>
  <c r="BA534" i="2"/>
  <c r="BA780" i="34" s="1"/>
  <c r="AK66" i="14"/>
  <c r="AH67" i="14"/>
  <c r="AG66" i="14"/>
  <c r="BA61" i="14"/>
  <c r="BA727" i="34"/>
  <c r="BQ61" i="14"/>
  <c r="BQ23" i="2"/>
  <c r="CE28" i="2"/>
  <c r="BQ29" i="2"/>
  <c r="AG333" i="34"/>
  <c r="BA493" i="2"/>
  <c r="BA730" i="34" s="1"/>
  <c r="BP289" i="2"/>
  <c r="BP1096" i="34" s="1"/>
  <c r="BO278" i="2"/>
  <c r="BO1085" i="34" s="1"/>
  <c r="BO286" i="2"/>
  <c r="BO1093" i="34" s="1"/>
  <c r="AG334" i="34"/>
  <c r="AJ712" i="34"/>
  <c r="AS518" i="2"/>
  <c r="BA491" i="2"/>
  <c r="BA728" i="34" s="1"/>
  <c r="AJ553" i="2"/>
  <c r="AD294" i="34"/>
  <c r="AN1083" i="34"/>
  <c r="AO231" i="2"/>
  <c r="AJ157" i="14"/>
  <c r="AJ641" i="34" s="1"/>
  <c r="BO289" i="2"/>
  <c r="BO1096" i="34" s="1"/>
  <c r="AR523" i="2"/>
  <c r="AR759" i="34" s="1"/>
  <c r="AO187" i="2"/>
  <c r="AN37" i="14"/>
  <c r="AR520" i="2"/>
  <c r="AR756" i="34" s="1"/>
  <c r="AR522" i="2"/>
  <c r="AR758" i="34" s="1"/>
  <c r="BR119" i="2"/>
  <c r="BR120" i="2"/>
  <c r="AY343" i="2"/>
  <c r="AU950" i="34"/>
  <c r="AQ537" i="2"/>
  <c r="AQ540" i="2" s="1"/>
  <c r="AQ786" i="34" s="1"/>
  <c r="AQ106" i="14"/>
  <c r="AQ107" i="14"/>
  <c r="AJ249" i="1"/>
  <c r="AR1082" i="34"/>
  <c r="M14" i="42"/>
  <c r="M14" i="40"/>
  <c r="AR1084" i="34"/>
  <c r="AP250" i="1"/>
  <c r="AP253" i="1"/>
  <c r="BW102" i="14"/>
  <c r="AT431" i="34"/>
  <c r="BL483" i="2"/>
  <c r="AR434" i="34" s="1"/>
  <c r="AM553" i="2"/>
  <c r="AG499" i="34"/>
  <c r="AG500" i="2"/>
  <c r="AH976" i="34"/>
  <c r="AN111" i="2"/>
  <c r="AN977" i="34" s="1"/>
  <c r="AL736" i="34"/>
  <c r="AQ553" i="2"/>
  <c r="BP492" i="2"/>
  <c r="BP729" i="34" s="1"/>
  <c r="AU312" i="34"/>
  <c r="AH335" i="34"/>
  <c r="AL500" i="2"/>
  <c r="BP537" i="2"/>
  <c r="BP783" i="34" s="1"/>
  <c r="AQ328" i="2"/>
  <c r="AQ128" i="2"/>
  <c r="AQ130" i="2"/>
  <c r="AQ126" i="2"/>
  <c r="AQ125" i="2"/>
  <c r="AH502" i="34"/>
  <c r="BQ334" i="2"/>
  <c r="CE333" i="2"/>
  <c r="BQ940" i="34"/>
  <c r="AQ58" i="14"/>
  <c r="AQ154" i="2"/>
  <c r="AQ153" i="2"/>
  <c r="AJ94" i="34"/>
  <c r="AJ115" i="1"/>
  <c r="AW1062" i="34"/>
  <c r="BO174" i="14"/>
  <c r="AN30" i="14"/>
  <c r="AP190" i="2"/>
  <c r="BP276" i="2"/>
  <c r="BP1083" i="34" s="1"/>
  <c r="AO219" i="2"/>
  <c r="AJ294" i="34"/>
  <c r="BP287" i="2"/>
  <c r="BP1094" i="34" s="1"/>
  <c r="AN500" i="2"/>
  <c r="AV258" i="2"/>
  <c r="AZ258" i="2" s="1"/>
  <c r="AO178" i="2"/>
  <c r="AE710" i="34"/>
  <c r="AO246" i="2"/>
  <c r="AC710" i="34"/>
  <c r="AJ736" i="34"/>
  <c r="Z294" i="34"/>
  <c r="BP275" i="2"/>
  <c r="BP1082" i="34" s="1"/>
  <c r="AS183" i="2"/>
  <c r="AO547" i="2"/>
  <c r="AT173" i="2"/>
  <c r="AT189" i="2" s="1"/>
  <c r="AT190" i="2" s="1"/>
  <c r="AS174" i="2"/>
  <c r="AS177" i="2" s="1"/>
  <c r="AU315" i="34"/>
  <c r="AO243" i="2"/>
  <c r="AO74" i="2" s="1"/>
  <c r="AJ500" i="2"/>
  <c r="AW70" i="2"/>
  <c r="AL179" i="2"/>
  <c r="AO220" i="2"/>
  <c r="AL30" i="14"/>
  <c r="BP189" i="2"/>
  <c r="AP78" i="2"/>
  <c r="AQ42" i="2"/>
  <c r="AQ40" i="2" s="1"/>
  <c r="AQ41" i="2" s="1"/>
  <c r="AQ231" i="2"/>
  <c r="AQ229" i="2"/>
  <c r="AQ230" i="2"/>
  <c r="AQ218" i="2"/>
  <c r="AQ232" i="2"/>
  <c r="AU228" i="2"/>
  <c r="AU218" i="2" s="1"/>
  <c r="AQ237" i="2"/>
  <c r="AQ219" i="2"/>
  <c r="AQ236" i="2"/>
  <c r="AQ239" i="2"/>
  <c r="AQ238" i="2"/>
  <c r="AQ243" i="2"/>
  <c r="AQ74" i="2" s="1"/>
  <c r="AQ245" i="2"/>
  <c r="AQ246" i="2"/>
  <c r="AQ244" i="2"/>
  <c r="AQ220" i="2"/>
  <c r="BO731" i="34"/>
  <c r="BP731" i="34"/>
  <c r="AH333" i="34"/>
  <c r="BP502" i="2"/>
  <c r="BP738" i="34" s="1"/>
  <c r="BP499" i="2"/>
  <c r="BP736" i="34" s="1"/>
  <c r="AP37" i="14"/>
  <c r="P12" i="4"/>
  <c r="P1291" i="34" s="1"/>
  <c r="P1290" i="34"/>
  <c r="AS25" i="2"/>
  <c r="AT26" i="2"/>
  <c r="D13" i="35"/>
  <c r="D32" i="35" s="1"/>
  <c r="D31" i="35"/>
  <c r="AJ126" i="14"/>
  <c r="AJ632" i="34" s="1"/>
  <c r="BN620" i="2"/>
  <c r="BN864" i="34" s="1"/>
  <c r="AD60" i="1"/>
  <c r="BP50" i="2"/>
  <c r="BP710" i="34" s="1"/>
  <c r="AD1239" i="34"/>
  <c r="BP182" i="1"/>
  <c r="AU171" i="34" s="1"/>
  <c r="AK190" i="2"/>
  <c r="BR22" i="2"/>
  <c r="BR23" i="2" s="1"/>
  <c r="AG335" i="34"/>
  <c r="AM239" i="2"/>
  <c r="BP235" i="2"/>
  <c r="BP236" i="2" s="1"/>
  <c r="BO1062" i="34"/>
  <c r="BO290" i="2"/>
  <c r="BO1097" i="34" s="1"/>
  <c r="AT296" i="2"/>
  <c r="AD540" i="34"/>
  <c r="AD1017" i="34"/>
  <c r="AE1223" i="34"/>
  <c r="AE21" i="34"/>
  <c r="BP728" i="34"/>
  <c r="AV312" i="34"/>
  <c r="AH21" i="34"/>
  <c r="AH1223" i="34"/>
  <c r="AG921" i="34"/>
  <c r="BJ137" i="1"/>
  <c r="BN119" i="1"/>
  <c r="AS107" i="34" s="1"/>
  <c r="AA377" i="34"/>
  <c r="BM620" i="2"/>
  <c r="BM864" i="34" s="1"/>
  <c r="AD1236" i="34"/>
  <c r="AD49" i="1"/>
  <c r="M60" i="1"/>
  <c r="M48" i="34" s="1"/>
  <c r="BO288" i="2"/>
  <c r="BO1095" i="34" s="1"/>
  <c r="BP709" i="34"/>
  <c r="BM250" i="14"/>
  <c r="AG125" i="14"/>
  <c r="AG631" i="34" s="1"/>
  <c r="AD62" i="1"/>
  <c r="X1239" i="34"/>
  <c r="X47" i="1"/>
  <c r="AK736" i="34"/>
  <c r="BO119" i="1"/>
  <c r="AT107" i="34" s="1"/>
  <c r="AV604" i="34"/>
  <c r="AD713" i="34"/>
  <c r="O1236" i="34"/>
  <c r="O136" i="1"/>
  <c r="O124" i="34" s="1"/>
  <c r="AO190" i="2"/>
  <c r="BO260" i="2"/>
  <c r="AQ499" i="2"/>
  <c r="AQ502" i="2"/>
  <c r="AQ738" i="34" s="1"/>
  <c r="AR754" i="34"/>
  <c r="AR498" i="2"/>
  <c r="AR735" i="34" s="1"/>
  <c r="AO244" i="2"/>
  <c r="AH547" i="2"/>
  <c r="BS490" i="2"/>
  <c r="BS491" i="2" s="1"/>
  <c r="BQ341" i="2"/>
  <c r="BQ344" i="2" s="1"/>
  <c r="AR431" i="34"/>
  <c r="BP732" i="34"/>
  <c r="AL67" i="14"/>
  <c r="AG809" i="34"/>
  <c r="I21" i="3"/>
  <c r="I45" i="3" s="1"/>
  <c r="AN1084" i="34"/>
  <c r="BM481" i="2"/>
  <c r="AS432" i="34" s="1"/>
  <c r="AP179" i="14"/>
  <c r="BJ44" i="1"/>
  <c r="AO35" i="34" s="1"/>
  <c r="BO541" i="2"/>
  <c r="BO787" i="34" s="1"/>
  <c r="S6" i="2"/>
  <c r="AP201" i="34"/>
  <c r="BP226" i="1"/>
  <c r="AU212" i="34" s="1"/>
  <c r="BM619" i="2"/>
  <c r="BM863" i="34" s="1"/>
  <c r="AD136" i="1"/>
  <c r="AD124" i="34" s="1"/>
  <c r="M44" i="1"/>
  <c r="M1237" i="34" s="1"/>
  <c r="BO50" i="2"/>
  <c r="AP145" i="14"/>
  <c r="AT459" i="34"/>
  <c r="BN481" i="2"/>
  <c r="AT432" i="34" s="1"/>
  <c r="AF443" i="34"/>
  <c r="AH378" i="34"/>
  <c r="O44" i="1"/>
  <c r="AK113" i="2"/>
  <c r="AK980" i="34" s="1"/>
  <c r="BO262" i="2"/>
  <c r="AK218" i="2"/>
  <c r="AQ503" i="2"/>
  <c r="AQ739" i="34" s="1"/>
  <c r="BQ518" i="2"/>
  <c r="CA518" i="2" s="1"/>
  <c r="AW535" i="2"/>
  <c r="AW781" i="34" s="1"/>
  <c r="BP279" i="2"/>
  <c r="BP1086" i="34" s="1"/>
  <c r="BO275" i="2"/>
  <c r="BO1082" i="34" s="1"/>
  <c r="AP236" i="2"/>
  <c r="AM192" i="14"/>
  <c r="AL239" i="2"/>
  <c r="BL481" i="2"/>
  <c r="AR432" i="34" s="1"/>
  <c r="AL238" i="2"/>
  <c r="AK158" i="14"/>
  <c r="AJ158" i="14"/>
  <c r="AJ642" i="34" s="1"/>
  <c r="BP286" i="2"/>
  <c r="BP1093" i="34" s="1"/>
  <c r="AL66" i="14"/>
  <c r="AG157" i="14"/>
  <c r="AG641" i="34" s="1"/>
  <c r="AS26" i="2"/>
  <c r="BQ966" i="34"/>
  <c r="BQ213" i="1"/>
  <c r="G45" i="3"/>
  <c r="AW294" i="2"/>
  <c r="BA67" i="2"/>
  <c r="BA70" i="2" s="1"/>
  <c r="AX73" i="2"/>
  <c r="AW22" i="2"/>
  <c r="AW171" i="2"/>
  <c r="AW173" i="2" s="1"/>
  <c r="AW68" i="2"/>
  <c r="AW69" i="2" s="1"/>
  <c r="AW24" i="1"/>
  <c r="AW1217" i="34" s="1"/>
  <c r="AX70" i="2"/>
  <c r="BN281" i="1"/>
  <c r="AS266" i="34" s="1"/>
  <c r="AB266" i="34"/>
  <c r="AG647" i="34"/>
  <c r="AG191" i="14"/>
  <c r="AG652" i="34" s="1"/>
  <c r="AV257" i="2"/>
  <c r="AR1063" i="34"/>
  <c r="AR1096" i="34"/>
  <c r="AK179" i="14"/>
  <c r="AE714" i="34"/>
  <c r="AF441" i="34"/>
  <c r="AK179" i="2"/>
  <c r="AO175" i="2"/>
  <c r="AO176" i="2" s="1"/>
  <c r="AK232" i="2"/>
  <c r="AF711" i="34"/>
  <c r="AO239" i="2"/>
  <c r="AO218" i="2"/>
  <c r="AM67" i="14"/>
  <c r="BP260" i="2"/>
  <c r="BP270" i="2" s="1"/>
  <c r="BP1077" i="34" s="1"/>
  <c r="AG192" i="14"/>
  <c r="AG653" i="34" s="1"/>
  <c r="AQ936" i="34"/>
  <c r="AH921" i="34"/>
  <c r="AH192" i="14"/>
  <c r="AH653" i="34" s="1"/>
  <c r="AF583" i="2"/>
  <c r="AF822" i="34" s="1"/>
  <c r="AG30" i="14"/>
  <c r="AO88" i="14"/>
  <c r="AL87" i="14"/>
  <c r="AL84" i="14"/>
  <c r="BQ295" i="2"/>
  <c r="AG80" i="14"/>
  <c r="AG79" i="14"/>
  <c r="Z21" i="34"/>
  <c r="Z1223" i="34"/>
  <c r="AG172" i="14"/>
  <c r="AG174" i="14"/>
  <c r="AS559" i="34"/>
  <c r="BP261" i="1"/>
  <c r="AU247" i="34" s="1"/>
  <c r="BP259" i="1"/>
  <c r="AU245" i="34" s="1"/>
  <c r="AR1097" i="34"/>
  <c r="AJ920" i="34"/>
  <c r="AK177" i="2"/>
  <c r="AK178" i="2"/>
  <c r="BQ104" i="1"/>
  <c r="AV92" i="34" s="1"/>
  <c r="BQ248" i="1"/>
  <c r="CN248" i="1" s="1"/>
  <c r="AK230" i="2"/>
  <c r="BR26" i="1"/>
  <c r="AW17" i="34" s="1"/>
  <c r="AK229" i="2"/>
  <c r="AO237" i="2"/>
  <c r="AS940" i="34"/>
  <c r="AL230" i="2"/>
  <c r="AO229" i="2"/>
  <c r="AO238" i="2"/>
  <c r="AB891" i="34"/>
  <c r="AJ174" i="14"/>
  <c r="BP474" i="2"/>
  <c r="AU357" i="2"/>
  <c r="AU361" i="2" s="1"/>
  <c r="AU968" i="34" s="1"/>
  <c r="AG978" i="34"/>
  <c r="AN736" i="34"/>
  <c r="AK292" i="2"/>
  <c r="AK1099" i="34" s="1"/>
  <c r="AJ191" i="14"/>
  <c r="AJ652" i="34" s="1"/>
  <c r="AQ969" i="34"/>
  <c r="AG158" i="14"/>
  <c r="AG642" i="34" s="1"/>
  <c r="BP228" i="2"/>
  <c r="BP233" i="2" s="1"/>
  <c r="BP223" i="2" s="1"/>
  <c r="AK157" i="14"/>
  <c r="BP619" i="2"/>
  <c r="BP863" i="34" s="1"/>
  <c r="AH158" i="14"/>
  <c r="AH642" i="34" s="1"/>
  <c r="BP288" i="2"/>
  <c r="BP1095" i="34" s="1"/>
  <c r="AO90" i="14"/>
  <c r="AP87" i="14"/>
  <c r="AO1232" i="34"/>
  <c r="AO179" i="14"/>
  <c r="Z136" i="1"/>
  <c r="Z124" i="34" s="1"/>
  <c r="Z60" i="1"/>
  <c r="Z1236" i="34"/>
  <c r="Z49" i="1"/>
  <c r="AD53" i="1" s="1"/>
  <c r="Z34" i="34"/>
  <c r="Z44" i="1"/>
  <c r="BP262" i="1"/>
  <c r="AU248" i="34" s="1"/>
  <c r="S17" i="4"/>
  <c r="S1296" i="34" s="1"/>
  <c r="BN226" i="1"/>
  <c r="AS212" i="34" s="1"/>
  <c r="AE711" i="34"/>
  <c r="AO1236" i="34"/>
  <c r="AL177" i="2"/>
  <c r="AK500" i="2"/>
  <c r="BQ261" i="1"/>
  <c r="AV247" i="34" s="1"/>
  <c r="AV244" i="34"/>
  <c r="AK231" i="2"/>
  <c r="AS334" i="2"/>
  <c r="AS941" i="34" s="1"/>
  <c r="AO328" i="2"/>
  <c r="AW536" i="2"/>
  <c r="AW782" i="34" s="1"/>
  <c r="BP262" i="2"/>
  <c r="BP1068" i="34" s="1"/>
  <c r="AJ125" i="14"/>
  <c r="AJ631" i="34" s="1"/>
  <c r="AQ934" i="34"/>
  <c r="AK281" i="2"/>
  <c r="AK1088" i="34" s="1"/>
  <c r="AK173" i="14"/>
  <c r="AK174" i="14"/>
  <c r="AG292" i="2"/>
  <c r="AG1099" i="34" s="1"/>
  <c r="BM795" i="34"/>
  <c r="AO230" i="2"/>
  <c r="AJ192" i="14"/>
  <c r="AJ653" i="34" s="1"/>
  <c r="AK192" i="14"/>
  <c r="AP126" i="14"/>
  <c r="AO89" i="14"/>
  <c r="AP89" i="14"/>
  <c r="AO189" i="1"/>
  <c r="AN174" i="14"/>
  <c r="E31" i="35"/>
  <c r="X136" i="1"/>
  <c r="X124" i="34" s="1"/>
  <c r="X60" i="1"/>
  <c r="X49" i="1"/>
  <c r="X1236" i="34"/>
  <c r="X34" i="34"/>
  <c r="X44" i="1"/>
  <c r="BP277" i="2"/>
  <c r="BP1084" i="34" s="1"/>
  <c r="AI1223" i="34"/>
  <c r="AI21" i="34"/>
  <c r="O170" i="34"/>
  <c r="O182" i="1"/>
  <c r="W6" i="14"/>
  <c r="V5" i="14"/>
  <c r="X21" i="34"/>
  <c r="X1223" i="34"/>
  <c r="BQ792" i="34"/>
  <c r="AW338" i="34"/>
  <c r="BQ557" i="2"/>
  <c r="BQ266" i="1"/>
  <c r="AV251" i="34" s="1"/>
  <c r="BQ274" i="1"/>
  <c r="AS235" i="2"/>
  <c r="AS237" i="2" s="1"/>
  <c r="AP239" i="2"/>
  <c r="AP237" i="2"/>
  <c r="BO65" i="14"/>
  <c r="BO66" i="14" s="1"/>
  <c r="AS228" i="2"/>
  <c r="AS232" i="2" s="1"/>
  <c r="AP232" i="2"/>
  <c r="AP230" i="2"/>
  <c r="AS614" i="2"/>
  <c r="AR613" i="2"/>
  <c r="AR858" i="34"/>
  <c r="AQ857" i="34"/>
  <c r="AQ618" i="2"/>
  <c r="AP187" i="2"/>
  <c r="AO183" i="2"/>
  <c r="AO186" i="2"/>
  <c r="AP185" i="2"/>
  <c r="AO62" i="14"/>
  <c r="AO84" i="14" s="1"/>
  <c r="AP244" i="2"/>
  <c r="AP246" i="2"/>
  <c r="AG502" i="34"/>
  <c r="BM234" i="1"/>
  <c r="AR220" i="34" s="1"/>
  <c r="AR216" i="34"/>
  <c r="AO37" i="34"/>
  <c r="BM262" i="1"/>
  <c r="AR248" i="34" s="1"/>
  <c r="BO123" i="14"/>
  <c r="AU629" i="34" s="1"/>
  <c r="AS26" i="1"/>
  <c r="AS23" i="1" s="1"/>
  <c r="AG981" i="34"/>
  <c r="AR949" i="34"/>
  <c r="AR948" i="34"/>
  <c r="BH62" i="1"/>
  <c r="BH47" i="1"/>
  <c r="AM38" i="34" s="1"/>
  <c r="AM37" i="34"/>
  <c r="BJ136" i="1"/>
  <c r="AO124" i="34" s="1"/>
  <c r="BJ47" i="1"/>
  <c r="AO38" i="34" s="1"/>
  <c r="BR90" i="1"/>
  <c r="C6" i="3" s="1"/>
  <c r="BM261" i="1"/>
  <c r="AR247" i="34" s="1"/>
  <c r="CC28" i="14"/>
  <c r="CB119" i="14"/>
  <c r="BN873" i="34"/>
  <c r="BM267" i="1"/>
  <c r="AR252" i="34" s="1"/>
  <c r="AM38" i="14"/>
  <c r="BQ31" i="2"/>
  <c r="BN52" i="2"/>
  <c r="AT296" i="34" s="1"/>
  <c r="BO226" i="1"/>
  <c r="AT212" i="34" s="1"/>
  <c r="BP31" i="14"/>
  <c r="AV605" i="34" s="1"/>
  <c r="CB480" i="2"/>
  <c r="CA480" i="2"/>
  <c r="BO172" i="14"/>
  <c r="AS138" i="2"/>
  <c r="BO483" i="2"/>
  <c r="AU434" i="34" s="1"/>
  <c r="AR951" i="34"/>
  <c r="AI539" i="2"/>
  <c r="AI785" i="34" s="1"/>
  <c r="AK539" i="2"/>
  <c r="AK785" i="34" s="1"/>
  <c r="AL38" i="14"/>
  <c r="AR952" i="34"/>
  <c r="AM191" i="14"/>
  <c r="AP90" i="14"/>
  <c r="AT555" i="2"/>
  <c r="AS792" i="34"/>
  <c r="BO206" i="1"/>
  <c r="AT192" i="34" s="1"/>
  <c r="AF192" i="34"/>
  <c r="BO120" i="14"/>
  <c r="BO125" i="14" s="1"/>
  <c r="AU631" i="34" s="1"/>
  <c r="AO60" i="1"/>
  <c r="AO1253" i="34" s="1"/>
  <c r="BO53" i="2"/>
  <c r="BO713" i="34" s="1"/>
  <c r="CM33" i="1"/>
  <c r="AG440" i="34"/>
  <c r="AK110" i="2"/>
  <c r="AK976" i="34" s="1"/>
  <c r="CF490" i="2"/>
  <c r="AT187" i="2"/>
  <c r="AT333" i="2"/>
  <c r="AT334" i="2" s="1"/>
  <c r="AT941" i="34" s="1"/>
  <c r="AQ959" i="34"/>
  <c r="AQ480" i="2"/>
  <c r="AQ482" i="2" s="1"/>
  <c r="AQ937" i="34"/>
  <c r="BQ349" i="2"/>
  <c r="BQ354" i="2" s="1"/>
  <c r="AO46" i="1"/>
  <c r="BA255" i="2"/>
  <c r="BA1061" i="34" s="1"/>
  <c r="AW1061" i="34"/>
  <c r="AW287" i="2"/>
  <c r="AW1094" i="34" s="1"/>
  <c r="AK84" i="14"/>
  <c r="AN239" i="1"/>
  <c r="Q1290" i="34"/>
  <c r="Q12" i="4"/>
  <c r="Q1291" i="34" s="1"/>
  <c r="R8" i="4"/>
  <c r="Q5" i="4"/>
  <c r="AT219" i="34"/>
  <c r="BO234" i="1"/>
  <c r="AT220" i="34" s="1"/>
  <c r="Q1223" i="34"/>
  <c r="Q21" i="34"/>
  <c r="M121" i="1"/>
  <c r="M109" i="34" s="1"/>
  <c r="M103" i="34"/>
  <c r="S5" i="40"/>
  <c r="T8" i="40"/>
  <c r="S27" i="40"/>
  <c r="C48" i="3"/>
  <c r="AP171" i="34"/>
  <c r="BK183" i="1"/>
  <c r="AP172" i="34" s="1"/>
  <c r="AT201" i="34"/>
  <c r="R16" i="42"/>
  <c r="R16" i="40"/>
  <c r="R16" i="4"/>
  <c r="R1295" i="34" s="1"/>
  <c r="AK1280" i="34"/>
  <c r="BQ87" i="1"/>
  <c r="AV74" i="34" s="1"/>
  <c r="U8" i="42"/>
  <c r="T5" i="42"/>
  <c r="T27" i="42"/>
  <c r="AM84" i="14"/>
  <c r="BX209" i="14"/>
  <c r="BX35" i="1"/>
  <c r="BM30" i="1"/>
  <c r="AR21" i="34" s="1"/>
  <c r="AR20" i="34"/>
  <c r="S12" i="4"/>
  <c r="S1291" i="34" s="1"/>
  <c r="R1290" i="34"/>
  <c r="R12" i="4"/>
  <c r="R1291" i="34" s="1"/>
  <c r="AU497" i="34"/>
  <c r="BO974" i="34"/>
  <c r="AT223" i="14"/>
  <c r="AT34" i="1" s="1"/>
  <c r="AT1227" i="34" s="1"/>
  <c r="AT153" i="14"/>
  <c r="AX151" i="14"/>
  <c r="S6" i="34"/>
  <c r="BQ230" i="1"/>
  <c r="BL30" i="1"/>
  <c r="AQ21" i="34" s="1"/>
  <c r="AQ20" i="34"/>
  <c r="AV257" i="34"/>
  <c r="BQ273" i="1"/>
  <c r="AV258" i="34" s="1"/>
  <c r="M235" i="34"/>
  <c r="M250" i="1"/>
  <c r="M236" i="34" s="1"/>
  <c r="M253" i="1"/>
  <c r="M239" i="34" s="1"/>
  <c r="AJ112" i="2"/>
  <c r="AJ111" i="2"/>
  <c r="AJ114" i="2"/>
  <c r="AJ498" i="34"/>
  <c r="AJ975" i="34"/>
  <c r="BO109" i="2"/>
  <c r="BP112" i="2" s="1"/>
  <c r="BP978" i="34" s="1"/>
  <c r="AJ113" i="2"/>
  <c r="AJ110" i="2"/>
  <c r="F30" i="35"/>
  <c r="M1202" i="34"/>
  <c r="F25" i="35"/>
  <c r="M1204" i="34" s="1"/>
  <c r="M1203" i="34"/>
  <c r="F22" i="35"/>
  <c r="F31" i="35" s="1"/>
  <c r="AJ84" i="14"/>
  <c r="BA256" i="2"/>
  <c r="BA1062" i="34" s="1"/>
  <c r="BM639" i="2"/>
  <c r="BM884" i="34" s="1"/>
  <c r="AR1277" i="34"/>
  <c r="BR84" i="1"/>
  <c r="AW71" i="34" s="1"/>
  <c r="AV250" i="34"/>
  <c r="AV259" i="34"/>
  <c r="AN247" i="1"/>
  <c r="AN249" i="1" s="1"/>
  <c r="AR250" i="1" s="1"/>
  <c r="AS34" i="2"/>
  <c r="AS37" i="2" s="1"/>
  <c r="AJ539" i="2"/>
  <c r="AJ785" i="34" s="1"/>
  <c r="AO145" i="14"/>
  <c r="F19" i="35"/>
  <c r="BN633" i="2"/>
  <c r="BN878" i="34" s="1"/>
  <c r="AB653" i="2"/>
  <c r="AB660" i="2" s="1"/>
  <c r="AB907" i="34" s="1"/>
  <c r="F32" i="35"/>
  <c r="AL88" i="14"/>
  <c r="AK83" i="14"/>
  <c r="AK86" i="14" s="1"/>
  <c r="E28" i="35"/>
  <c r="L1200" i="34"/>
  <c r="AM46" i="1"/>
  <c r="AM1239" i="34" s="1"/>
  <c r="BP309" i="2"/>
  <c r="AV443" i="34" s="1"/>
  <c r="AK145" i="14"/>
  <c r="AS337" i="2"/>
  <c r="AS944" i="34" s="1"/>
  <c r="CC185" i="14"/>
  <c r="BQ268" i="1"/>
  <c r="AV253" i="34" s="1"/>
  <c r="BQ267" i="1"/>
  <c r="AV252" i="34" s="1"/>
  <c r="AS139" i="2"/>
  <c r="BN50" i="2"/>
  <c r="BN710" i="34" s="1"/>
  <c r="BO1021" i="34"/>
  <c r="AE539" i="2"/>
  <c r="AE785" i="34" s="1"/>
  <c r="AM250" i="14"/>
  <c r="AW262" i="2"/>
  <c r="AW1068" i="34" s="1"/>
  <c r="AI294" i="34"/>
  <c r="AO83" i="14"/>
  <c r="AO86" i="14" s="1"/>
  <c r="BN261" i="1"/>
  <c r="AS247" i="34" s="1"/>
  <c r="P17" i="4"/>
  <c r="P1296" i="34" s="1"/>
  <c r="AR244" i="34"/>
  <c r="BM104" i="1"/>
  <c r="AR92" i="34" s="1"/>
  <c r="BM259" i="1"/>
  <c r="AR245" i="34" s="1"/>
  <c r="BM260" i="1"/>
  <c r="AR246" i="34" s="1"/>
  <c r="BM248" i="1"/>
  <c r="AR234" i="34" s="1"/>
  <c r="R183" i="1"/>
  <c r="R172" i="34" s="1"/>
  <c r="R171" i="34"/>
  <c r="AS1279" i="34"/>
  <c r="AS90" i="1"/>
  <c r="AA5" i="35"/>
  <c r="AA9" i="35" s="1"/>
  <c r="AB4" i="35"/>
  <c r="AT242" i="2"/>
  <c r="AT220" i="2" s="1"/>
  <c r="BP247" i="2"/>
  <c r="BP225" i="2" s="1"/>
  <c r="BP62" i="14"/>
  <c r="CN36" i="1"/>
  <c r="BO538" i="2"/>
  <c r="BP541" i="2"/>
  <c r="BP787" i="34" s="1"/>
  <c r="AU24" i="34"/>
  <c r="BP41" i="1"/>
  <c r="AU32" i="34" s="1"/>
  <c r="AO87" i="14"/>
  <c r="AL90" i="14"/>
  <c r="AA50" i="34"/>
  <c r="AA73" i="1"/>
  <c r="AA67" i="1"/>
  <c r="AA1255" i="34"/>
  <c r="J12" i="35"/>
  <c r="AL30" i="1"/>
  <c r="AL1222" i="34"/>
  <c r="BK274" i="1"/>
  <c r="AP259" i="34" s="1"/>
  <c r="BK266" i="1"/>
  <c r="AP251" i="34" s="1"/>
  <c r="AP250" i="34"/>
  <c r="AH1242" i="34"/>
  <c r="AH100" i="1"/>
  <c r="AH109" i="1" s="1"/>
  <c r="AH97" i="34" s="1"/>
  <c r="AH51" i="1"/>
  <c r="AH40" i="34"/>
  <c r="AH18" i="14"/>
  <c r="AH582" i="34" s="1"/>
  <c r="D14" i="35"/>
  <c r="AT176" i="14"/>
  <c r="AT177" i="14" s="1"/>
  <c r="AU229" i="14"/>
  <c r="AT139" i="14"/>
  <c r="AT140" i="14" s="1"/>
  <c r="AH1253" i="34"/>
  <c r="AH64" i="1"/>
  <c r="AH71" i="1" s="1"/>
  <c r="AH48" i="34"/>
  <c r="M142" i="1"/>
  <c r="M130" i="34" s="1"/>
  <c r="I13" i="35"/>
  <c r="I32" i="35" s="1"/>
  <c r="I31" i="35"/>
  <c r="AA100" i="1"/>
  <c r="AA88" i="34" s="1"/>
  <c r="AA1242" i="34"/>
  <c r="AA40" i="34"/>
  <c r="AA18" i="14"/>
  <c r="AA51" i="1"/>
  <c r="AS65" i="14"/>
  <c r="AP67" i="14"/>
  <c r="AO66" i="14"/>
  <c r="AP1232" i="34"/>
  <c r="AP189" i="1"/>
  <c r="AP190" i="1"/>
  <c r="AT190" i="1" s="1"/>
  <c r="AA38" i="34"/>
  <c r="AA1240" i="34"/>
  <c r="AK1223" i="34"/>
  <c r="AA125" i="34"/>
  <c r="AA140" i="1"/>
  <c r="AA1253" i="34"/>
  <c r="AA48" i="34"/>
  <c r="AA64" i="1"/>
  <c r="AA71" i="1" s="1"/>
  <c r="AA1237" i="34"/>
  <c r="AA35" i="34"/>
  <c r="AT121" i="14"/>
  <c r="AT122" i="14"/>
  <c r="AT124" i="14"/>
  <c r="AX119" i="14"/>
  <c r="AT222" i="14"/>
  <c r="AT33" i="1" s="1"/>
  <c r="AT1226" i="34" s="1"/>
  <c r="AH1237" i="34"/>
  <c r="AH35" i="34"/>
  <c r="BO229" i="14"/>
  <c r="BP230" i="14" s="1"/>
  <c r="AQ36" i="1"/>
  <c r="AF1237" i="34"/>
  <c r="AF35" i="34"/>
  <c r="N51" i="1"/>
  <c r="N100" i="1"/>
  <c r="N1242" i="34"/>
  <c r="N40" i="34"/>
  <c r="AM88" i="14"/>
  <c r="AM90" i="14"/>
  <c r="AM87" i="14"/>
  <c r="AM89" i="14"/>
  <c r="AN90" i="14"/>
  <c r="AN88" i="14"/>
  <c r="AJ46" i="1"/>
  <c r="AJ32" i="34"/>
  <c r="AJ1234" i="34"/>
  <c r="AF38" i="34"/>
  <c r="AF1240" i="34"/>
  <c r="AF140" i="1"/>
  <c r="AF128" i="34" s="1"/>
  <c r="AF125" i="34"/>
  <c r="AJ616" i="34"/>
  <c r="AK67" i="14"/>
  <c r="AJ66" i="14"/>
  <c r="BO68" i="14"/>
  <c r="AU617" i="34" s="1"/>
  <c r="AU615" i="34"/>
  <c r="BO248" i="14"/>
  <c r="BO249" i="14" s="1"/>
  <c r="BO250" i="14" s="1"/>
  <c r="BO70" i="14"/>
  <c r="AU619" i="34" s="1"/>
  <c r="BO82" i="14"/>
  <c r="BO83" i="14" s="1"/>
  <c r="AF18" i="14"/>
  <c r="AF582" i="34" s="1"/>
  <c r="AF40" i="34"/>
  <c r="AF1242" i="34"/>
  <c r="AF100" i="1"/>
  <c r="AF88" i="34" s="1"/>
  <c r="AF51" i="1"/>
  <c r="AM48" i="34"/>
  <c r="BH64" i="1"/>
  <c r="AJ67" i="14"/>
  <c r="AT190" i="14"/>
  <c r="AT189" i="14"/>
  <c r="AT101" i="1"/>
  <c r="AT217" i="14"/>
  <c r="AT36" i="1" s="1"/>
  <c r="AT188" i="14"/>
  <c r="AU646" i="34"/>
  <c r="BO189" i="14"/>
  <c r="AU650" i="34" s="1"/>
  <c r="BO196" i="14"/>
  <c r="BO197" i="14" s="1"/>
  <c r="BP101" i="1"/>
  <c r="AU89" i="34" s="1"/>
  <c r="BO187" i="14"/>
  <c r="AU648" i="34" s="1"/>
  <c r="AJ30" i="34"/>
  <c r="AJ189" i="1"/>
  <c r="AJ178" i="34" s="1"/>
  <c r="AJ1232" i="34"/>
  <c r="AJ43" i="1"/>
  <c r="AJ190" i="1"/>
  <c r="AJ179" i="34" s="1"/>
  <c r="BP68" i="14"/>
  <c r="AV617" i="34" s="1"/>
  <c r="AV615" i="34"/>
  <c r="BP82" i="14"/>
  <c r="BP83" i="14" s="1"/>
  <c r="CC64" i="14"/>
  <c r="BP70" i="14"/>
  <c r="AV619" i="34" s="1"/>
  <c r="N64" i="1"/>
  <c r="N71" i="1" s="1"/>
  <c r="N1253" i="34"/>
  <c r="N48" i="34"/>
  <c r="AA12" i="35"/>
  <c r="CM29" i="1"/>
  <c r="BP30" i="1"/>
  <c r="AU20" i="34"/>
  <c r="AJ21" i="34"/>
  <c r="AJ1223" i="34"/>
  <c r="L12" i="35"/>
  <c r="L13" i="35" s="1"/>
  <c r="L32" i="35" s="1"/>
  <c r="AN30" i="1"/>
  <c r="AN1222" i="34"/>
  <c r="AF1253" i="34"/>
  <c r="AF48" i="34"/>
  <c r="AF64" i="1"/>
  <c r="N1237" i="34"/>
  <c r="N35" i="34"/>
  <c r="BH51" i="1"/>
  <c r="AM41" i="34" s="1"/>
  <c r="AM40" i="34"/>
  <c r="AV23" i="34"/>
  <c r="CN32" i="1"/>
  <c r="T18" i="40"/>
  <c r="T18" i="42"/>
  <c r="BQ293" i="1"/>
  <c r="AV27" i="34"/>
  <c r="T18" i="4"/>
  <c r="T1297" i="34" s="1"/>
  <c r="AJ250" i="14"/>
  <c r="AJ251" i="14"/>
  <c r="AJ90" i="14"/>
  <c r="AJ89" i="14"/>
  <c r="AJ88" i="14"/>
  <c r="AJ87" i="14"/>
  <c r="AN89" i="14"/>
  <c r="AN87" i="14"/>
  <c r="BP196" i="14"/>
  <c r="BQ101" i="1"/>
  <c r="AV89" i="34" s="1"/>
  <c r="BP187" i="14"/>
  <c r="AV648" i="34" s="1"/>
  <c r="AV646" i="34"/>
  <c r="BP189" i="14"/>
  <c r="AV650" i="34" s="1"/>
  <c r="AP46" i="1"/>
  <c r="AP30" i="1"/>
  <c r="AP1222" i="34"/>
  <c r="P12" i="35"/>
  <c r="AP43" i="1"/>
  <c r="AM189" i="1"/>
  <c r="AM1232" i="34"/>
  <c r="AM190" i="1"/>
  <c r="AF73" i="1"/>
  <c r="AF67" i="1"/>
  <c r="AF1255" i="34"/>
  <c r="AF50" i="34"/>
  <c r="AK88" i="14"/>
  <c r="AK90" i="14"/>
  <c r="AK87" i="14"/>
  <c r="AK89" i="14"/>
  <c r="AH195" i="2"/>
  <c r="AM41" i="2"/>
  <c r="AM703" i="34" s="1"/>
  <c r="AJ193" i="2"/>
  <c r="AJ201" i="2"/>
  <c r="AJ211" i="2"/>
  <c r="BO211" i="2" s="1"/>
  <c r="AJ203" i="2"/>
  <c r="AJ202" i="2"/>
  <c r="AK199" i="2"/>
  <c r="BO199" i="2"/>
  <c r="Z884" i="34"/>
  <c r="AI196" i="2"/>
  <c r="AI194" i="2"/>
  <c r="BS25" i="1"/>
  <c r="AX16" i="34" s="1"/>
  <c r="AV544" i="34"/>
  <c r="AI128" i="2"/>
  <c r="BL809" i="34"/>
  <c r="BR28" i="2"/>
  <c r="AX343" i="2"/>
  <c r="AT950" i="34"/>
  <c r="AM539" i="2"/>
  <c r="AM785" i="34" s="1"/>
  <c r="AV228" i="2"/>
  <c r="AZ228" i="2" s="1"/>
  <c r="AI125" i="2"/>
  <c r="AI205" i="2" s="1"/>
  <c r="AI206" i="2" s="1"/>
  <c r="BN157" i="14"/>
  <c r="AT641" i="34" s="1"/>
  <c r="BQ228" i="2"/>
  <c r="BL811" i="34"/>
  <c r="AN539" i="2"/>
  <c r="AN785" i="34" s="1"/>
  <c r="BM633" i="2"/>
  <c r="BM878" i="34" s="1"/>
  <c r="BN30" i="14"/>
  <c r="AV32" i="2"/>
  <c r="AT360" i="2"/>
  <c r="AT967" i="34" s="1"/>
  <c r="AJ124" i="2"/>
  <c r="AJ128" i="2" s="1"/>
  <c r="AS466" i="34"/>
  <c r="BM941" i="34"/>
  <c r="AU32" i="2"/>
  <c r="AI86" i="14"/>
  <c r="BP307" i="2"/>
  <c r="AV441" i="34" s="1"/>
  <c r="AT964" i="34"/>
  <c r="AV493" i="34"/>
  <c r="BM943" i="34"/>
  <c r="AS465" i="34"/>
  <c r="AR468" i="34"/>
  <c r="BL945" i="34"/>
  <c r="BP327" i="2"/>
  <c r="BP328" i="2" s="1"/>
  <c r="BN634" i="2"/>
  <c r="BN879" i="34" s="1"/>
  <c r="BM634" i="2"/>
  <c r="BM879" i="34" s="1"/>
  <c r="BN191" i="14"/>
  <c r="AT652" i="34" s="1"/>
  <c r="AN109" i="14"/>
  <c r="AV476" i="34"/>
  <c r="BO157" i="14"/>
  <c r="AU641" i="34" s="1"/>
  <c r="AV439" i="34"/>
  <c r="AM85" i="14"/>
  <c r="AN328" i="2"/>
  <c r="Z644" i="2"/>
  <c r="AD646" i="2" s="1"/>
  <c r="AD893" i="34" s="1"/>
  <c r="BO712" i="34"/>
  <c r="AD640" i="2"/>
  <c r="AD378" i="34" s="1"/>
  <c r="AQ873" i="34"/>
  <c r="AQ627" i="2"/>
  <c r="AR628" i="2"/>
  <c r="Z640" i="2"/>
  <c r="Z378" i="34" s="1"/>
  <c r="AP632" i="2"/>
  <c r="AP872" i="34"/>
  <c r="AF784" i="34"/>
  <c r="AJ131" i="2"/>
  <c r="BM108" i="14"/>
  <c r="BN109" i="14" s="1"/>
  <c r="BM111" i="14"/>
  <c r="BN112" i="14" s="1"/>
  <c r="BL229" i="14"/>
  <c r="BM228" i="14"/>
  <c r="AV459" i="34"/>
  <c r="AK176" i="2"/>
  <c r="BR68" i="2"/>
  <c r="BR69" i="2" s="1"/>
  <c r="AS428" i="2"/>
  <c r="AV172" i="2"/>
  <c r="AF539" i="2"/>
  <c r="AF785" i="34" s="1"/>
  <c r="AK130" i="2"/>
  <c r="AL131" i="2" s="1"/>
  <c r="BO191" i="14"/>
  <c r="AU652" i="34" s="1"/>
  <c r="AP500" i="2"/>
  <c r="AP736" i="34"/>
  <c r="BA286" i="2"/>
  <c r="BA1093" i="34" s="1"/>
  <c r="AN85" i="14"/>
  <c r="BP30" i="14"/>
  <c r="BO30" i="14"/>
  <c r="AZ69" i="2"/>
  <c r="AT85" i="2"/>
  <c r="AZ24" i="1"/>
  <c r="AZ1217" i="34" s="1"/>
  <c r="AT427" i="2"/>
  <c r="AT428" i="2" s="1"/>
  <c r="AT76" i="2"/>
  <c r="AT80" i="2" s="1"/>
  <c r="AZ73" i="2"/>
  <c r="BR294" i="2"/>
  <c r="BR295" i="2" s="1"/>
  <c r="BR495" i="2"/>
  <c r="AX315" i="34" s="1"/>
  <c r="AU83" i="2"/>
  <c r="AU76" i="2" s="1"/>
  <c r="AU77" i="2" s="1"/>
  <c r="AU78" i="2" s="1"/>
  <c r="AT88" i="2"/>
  <c r="AT89" i="2" s="1"/>
  <c r="BP945" i="34"/>
  <c r="BN37" i="14"/>
  <c r="AT611" i="34" s="1"/>
  <c r="AT86" i="2"/>
  <c r="AV91" i="2"/>
  <c r="AU93" i="2"/>
  <c r="AU169" i="2"/>
  <c r="AU227" i="14" s="1"/>
  <c r="AU94" i="2"/>
  <c r="AW96" i="2"/>
  <c r="AV100" i="2"/>
  <c r="AV99" i="2"/>
  <c r="AV101" i="2"/>
  <c r="AV97" i="2"/>
  <c r="AV98" i="2" s="1"/>
  <c r="BQ25" i="2"/>
  <c r="BO37" i="14"/>
  <c r="AU611" i="34" s="1"/>
  <c r="AO109" i="14"/>
  <c r="AX493" i="2"/>
  <c r="AX730" i="34" s="1"/>
  <c r="AX727" i="34"/>
  <c r="AX534" i="2"/>
  <c r="AX61" i="14"/>
  <c r="BB490" i="2"/>
  <c r="BB19" i="1" s="1"/>
  <c r="AX491" i="2"/>
  <c r="AX496" i="2"/>
  <c r="AX733" i="34" s="1"/>
  <c r="AT536" i="2"/>
  <c r="AT782" i="34" s="1"/>
  <c r="AT535" i="2"/>
  <c r="AT781" i="34" s="1"/>
  <c r="AT780" i="34"/>
  <c r="AT492" i="2"/>
  <c r="AT729" i="34" s="1"/>
  <c r="AT728" i="34"/>
  <c r="AW289" i="2"/>
  <c r="AW1096" i="34" s="1"/>
  <c r="AW1063" i="34"/>
  <c r="BA257" i="2"/>
  <c r="BA1063" i="34" s="1"/>
  <c r="BP959" i="34"/>
  <c r="BR727" i="34"/>
  <c r="AO112" i="14"/>
  <c r="BP114" i="2"/>
  <c r="BP981" i="34" s="1"/>
  <c r="BR534" i="2"/>
  <c r="BR780" i="34" s="1"/>
  <c r="BP219" i="2"/>
  <c r="BR491" i="2"/>
  <c r="BR728" i="34" s="1"/>
  <c r="AI382" i="2"/>
  <c r="AI532" i="34"/>
  <c r="AI1009" i="34"/>
  <c r="AK385" i="2"/>
  <c r="AL385" i="2" s="1"/>
  <c r="CA382" i="2"/>
  <c r="BN383" i="2"/>
  <c r="CB382" i="2"/>
  <c r="BN1006" i="34"/>
  <c r="BN385" i="2"/>
  <c r="AT529" i="34"/>
  <c r="AS645" i="34"/>
  <c r="BN177" i="14"/>
  <c r="AH384" i="2"/>
  <c r="AH383" i="2"/>
  <c r="AH529" i="34"/>
  <c r="AH1006" i="34"/>
  <c r="AF531" i="34"/>
  <c r="AF1008" i="34"/>
  <c r="AF1007" i="34"/>
  <c r="AF530" i="34"/>
  <c r="AG1006" i="34"/>
  <c r="AG384" i="2"/>
  <c r="AG529" i="34"/>
  <c r="AG383" i="2"/>
  <c r="BN144" i="14"/>
  <c r="BN141" i="14"/>
  <c r="AJ532" i="34"/>
  <c r="AJ382" i="2"/>
  <c r="AJ1009" i="34"/>
  <c r="BN811" i="34"/>
  <c r="AZ171" i="2"/>
  <c r="AZ294" i="2"/>
  <c r="BP960" i="34"/>
  <c r="AC784" i="34"/>
  <c r="BP929" i="34"/>
  <c r="BP174" i="14"/>
  <c r="BQ174" i="14" s="1"/>
  <c r="BR174" i="14" s="1"/>
  <c r="BS174" i="14" s="1"/>
  <c r="BT174" i="14" s="1"/>
  <c r="BU174" i="14" s="1"/>
  <c r="BV174" i="14" s="1"/>
  <c r="BW174" i="14" s="1"/>
  <c r="BX174" i="14" s="1"/>
  <c r="BY174" i="14" s="1"/>
  <c r="AZ22" i="2"/>
  <c r="BL30" i="14"/>
  <c r="BD67" i="2"/>
  <c r="BD68" i="2" s="1"/>
  <c r="BD69" i="2" s="1"/>
  <c r="BB238" i="2"/>
  <c r="AG539" i="2"/>
  <c r="AG785" i="34" s="1"/>
  <c r="T343" i="2"/>
  <c r="T950" i="34" s="1"/>
  <c r="BN809" i="34"/>
  <c r="AV182" i="2"/>
  <c r="AV186" i="2" s="1"/>
  <c r="AS429" i="2"/>
  <c r="AS950" i="34"/>
  <c r="AW343" i="2"/>
  <c r="AS341" i="2"/>
  <c r="BO307" i="2"/>
  <c r="AU441" i="34" s="1"/>
  <c r="AV173" i="2"/>
  <c r="AV189" i="2" s="1"/>
  <c r="AV190" i="2" s="1"/>
  <c r="AP334" i="34"/>
  <c r="BP243" i="2"/>
  <c r="BP74" i="2" s="1"/>
  <c r="AV457" i="34"/>
  <c r="BP245" i="2"/>
  <c r="AU468" i="34"/>
  <c r="AB551" i="34"/>
  <c r="AB1028" i="34"/>
  <c r="BS474" i="2"/>
  <c r="AY419" i="34"/>
  <c r="AC403" i="2"/>
  <c r="AC405" i="2"/>
  <c r="AC1027" i="34"/>
  <c r="AC404" i="2"/>
  <c r="AC550" i="34"/>
  <c r="AG403" i="2"/>
  <c r="W919" i="34"/>
  <c r="W440" i="34"/>
  <c r="AI885" i="34"/>
  <c r="AI378" i="34"/>
  <c r="AB1030" i="34"/>
  <c r="AB553" i="34"/>
  <c r="BO330" i="2"/>
  <c r="AH86" i="14"/>
  <c r="AB552" i="34"/>
  <c r="AB1029" i="34"/>
  <c r="BM1014" i="34"/>
  <c r="AS537" i="34"/>
  <c r="AD1033" i="34"/>
  <c r="AD556" i="34"/>
  <c r="AD410" i="2"/>
  <c r="AD402" i="2"/>
  <c r="AD409" i="2"/>
  <c r="BU472" i="2"/>
  <c r="BT473" i="2"/>
  <c r="AZ418" i="34"/>
  <c r="AC557" i="34"/>
  <c r="AC1034" i="34"/>
  <c r="W920" i="34"/>
  <c r="W441" i="34"/>
  <c r="W442" i="34"/>
  <c r="W921" i="34"/>
  <c r="AS359" i="34"/>
  <c r="BM858" i="34"/>
  <c r="AE559" i="34"/>
  <c r="AF411" i="2"/>
  <c r="AE1036" i="34"/>
  <c r="AE408" i="2"/>
  <c r="AC558" i="34"/>
  <c r="AC1035" i="34"/>
  <c r="W922" i="34"/>
  <c r="W443" i="34"/>
  <c r="AI645" i="2"/>
  <c r="AE653" i="2"/>
  <c r="AE382" i="34"/>
  <c r="AI646" i="2"/>
  <c r="AI893" i="34" s="1"/>
  <c r="AE891" i="34"/>
  <c r="BQ157" i="2"/>
  <c r="BQ160" i="2" s="1"/>
  <c r="BP191" i="14"/>
  <c r="AV652" i="34" s="1"/>
  <c r="AV492" i="34"/>
  <c r="BP481" i="2"/>
  <c r="AV432" i="34" s="1"/>
  <c r="BO481" i="2"/>
  <c r="AU432" i="34" s="1"/>
  <c r="BK809" i="34"/>
  <c r="BM1027" i="34"/>
  <c r="AS550" i="34"/>
  <c r="BM405" i="2"/>
  <c r="AE403" i="34"/>
  <c r="AE1113" i="34"/>
  <c r="AF453" i="2"/>
  <c r="AS535" i="34"/>
  <c r="BM1012" i="34"/>
  <c r="AG557" i="34"/>
  <c r="AG1034" i="34"/>
  <c r="BP483" i="2"/>
  <c r="AV434" i="34" s="1"/>
  <c r="BP330" i="2"/>
  <c r="AK449" i="2"/>
  <c r="AK1109" i="34" s="1"/>
  <c r="AK1106" i="34"/>
  <c r="AK450" i="2"/>
  <c r="AK1110" i="34" s="1"/>
  <c r="AL446" i="2"/>
  <c r="AK392" i="2"/>
  <c r="BN538" i="2"/>
  <c r="AL184" i="2"/>
  <c r="CE22" i="2"/>
  <c r="AV431" i="34"/>
  <c r="BS67" i="2"/>
  <c r="BS72" i="2" s="1"/>
  <c r="U639" i="2"/>
  <c r="U644" i="2" s="1"/>
  <c r="BB240" i="2"/>
  <c r="BB224" i="2" s="1"/>
  <c r="BK811" i="34"/>
  <c r="CC446" i="2"/>
  <c r="BO392" i="2"/>
  <c r="BO449" i="2"/>
  <c r="AU396" i="34"/>
  <c r="BO448" i="2"/>
  <c r="BO1106" i="34"/>
  <c r="AI1017" i="34"/>
  <c r="AI540" i="34"/>
  <c r="AJ1109" i="34"/>
  <c r="AJ399" i="34"/>
  <c r="AJ1110" i="34"/>
  <c r="AJ400" i="34"/>
  <c r="AN86" i="14"/>
  <c r="BN173" i="14"/>
  <c r="BP220" i="2"/>
  <c r="AU235" i="2"/>
  <c r="AY235" i="2" s="1"/>
  <c r="AP332" i="34"/>
  <c r="AJ539" i="34"/>
  <c r="AJ394" i="2"/>
  <c r="AJ1016" i="34"/>
  <c r="AJ393" i="2"/>
  <c r="AN112" i="14"/>
  <c r="AJ230" i="14"/>
  <c r="AK230" i="14"/>
  <c r="AJ139" i="14"/>
  <c r="AJ176" i="14"/>
  <c r="AU56" i="14"/>
  <c r="AU150" i="2"/>
  <c r="AU983" i="34"/>
  <c r="AY144" i="2"/>
  <c r="AQ1211" i="34"/>
  <c r="AP547" i="2"/>
  <c r="BK795" i="34"/>
  <c r="AQ341" i="34"/>
  <c r="AI920" i="34"/>
  <c r="AI441" i="34"/>
  <c r="AI919" i="34"/>
  <c r="AI440" i="34"/>
  <c r="V464" i="34"/>
  <c r="V942" i="34"/>
  <c r="X473" i="34"/>
  <c r="X951" i="34"/>
  <c r="T493" i="34"/>
  <c r="T970" i="34"/>
  <c r="V481" i="34"/>
  <c r="V958" i="34"/>
  <c r="AW471" i="34"/>
  <c r="S333" i="2"/>
  <c r="T335" i="2" s="1"/>
  <c r="W344" i="2"/>
  <c r="S349" i="2"/>
  <c r="S342" i="2"/>
  <c r="S363" i="2"/>
  <c r="S948" i="34"/>
  <c r="W342" i="2"/>
  <c r="S471" i="34"/>
  <c r="AM328" i="2"/>
  <c r="AI922" i="34"/>
  <c r="AI443" i="34"/>
  <c r="V944" i="34"/>
  <c r="V467" i="34"/>
  <c r="W653" i="2"/>
  <c r="W382" i="34"/>
  <c r="W891" i="34"/>
  <c r="T334" i="2"/>
  <c r="X336" i="2"/>
  <c r="T338" i="2"/>
  <c r="T463" i="34"/>
  <c r="U337" i="2"/>
  <c r="X334" i="2"/>
  <c r="T940" i="34"/>
  <c r="U335" i="2"/>
  <c r="T952" i="34"/>
  <c r="T475" i="34"/>
  <c r="V962" i="34"/>
  <c r="V485" i="34"/>
  <c r="U960" i="34"/>
  <c r="U483" i="34"/>
  <c r="Y961" i="34"/>
  <c r="Y484" i="34"/>
  <c r="U468" i="34"/>
  <c r="U945" i="34"/>
  <c r="Y466" i="34"/>
  <c r="Y941" i="34"/>
  <c r="U475" i="34"/>
  <c r="U952" i="34"/>
  <c r="T474" i="34"/>
  <c r="T949" i="34"/>
  <c r="X949" i="34"/>
  <c r="X474" i="34"/>
  <c r="T956" i="34"/>
  <c r="T350" i="2"/>
  <c r="T479" i="34"/>
  <c r="BK349" i="2"/>
  <c r="T352" i="2"/>
  <c r="T353" i="2"/>
  <c r="X350" i="2"/>
  <c r="U351" i="2"/>
  <c r="Q346" i="2"/>
  <c r="R341" i="2"/>
  <c r="S345" i="2" s="1"/>
  <c r="R476" i="34"/>
  <c r="R953" i="34"/>
  <c r="AI921" i="34"/>
  <c r="AI442" i="34"/>
  <c r="Y943" i="34"/>
  <c r="Y465" i="34"/>
  <c r="U482" i="34"/>
  <c r="U959" i="34"/>
  <c r="Y957" i="34"/>
  <c r="Y480" i="34"/>
  <c r="BL795" i="34"/>
  <c r="AR341" i="34"/>
  <c r="AM125" i="2"/>
  <c r="AM126" i="2"/>
  <c r="AM130" i="2"/>
  <c r="AM128" i="2"/>
  <c r="AM1213" i="34"/>
  <c r="AM1212" i="34"/>
  <c r="AU459" i="34"/>
  <c r="BK191" i="14"/>
  <c r="AQ652" i="34" s="1"/>
  <c r="BQ182" i="2"/>
  <c r="BQ186" i="2" s="1"/>
  <c r="AS187" i="2"/>
  <c r="AY491" i="2"/>
  <c r="AY493" i="2"/>
  <c r="AY730" i="34" s="1"/>
  <c r="BC490" i="2"/>
  <c r="BC19" i="1" s="1"/>
  <c r="AY496" i="2"/>
  <c r="AY733" i="34" s="1"/>
  <c r="AY534" i="2"/>
  <c r="AZ535" i="2" s="1"/>
  <c r="AZ781" i="34" s="1"/>
  <c r="AY61" i="14"/>
  <c r="AY727" i="34"/>
  <c r="BO306" i="2"/>
  <c r="AU440" i="34" s="1"/>
  <c r="BP306" i="2"/>
  <c r="AV440" i="34" s="1"/>
  <c r="AZ70" i="2"/>
  <c r="AZ496" i="2"/>
  <c r="AZ733" i="34" s="1"/>
  <c r="AU492" i="2"/>
  <c r="AU729" i="34" s="1"/>
  <c r="BP238" i="2"/>
  <c r="AZ493" i="2"/>
  <c r="AZ730" i="34" s="1"/>
  <c r="AU780" i="34"/>
  <c r="AU536" i="2"/>
  <c r="AU782" i="34" s="1"/>
  <c r="AU535" i="2"/>
  <c r="AU781" i="34" s="1"/>
  <c r="AT38" i="14"/>
  <c r="AX36" i="14"/>
  <c r="AV536" i="2"/>
  <c r="AV782" i="34" s="1"/>
  <c r="BR171" i="2"/>
  <c r="BN172" i="14"/>
  <c r="BR72" i="2"/>
  <c r="AL245" i="14"/>
  <c r="AL248" i="14" s="1"/>
  <c r="AL249" i="14" s="1"/>
  <c r="AL250" i="14" s="1"/>
  <c r="BP975" i="34"/>
  <c r="BP172" i="14"/>
  <c r="BQ235" i="2"/>
  <c r="AN245" i="14"/>
  <c r="AN248" i="14" s="1"/>
  <c r="AN249" i="14" s="1"/>
  <c r="AN251" i="14" s="1"/>
  <c r="AM86" i="14"/>
  <c r="AV498" i="34"/>
  <c r="AX247" i="2"/>
  <c r="BQ189" i="2"/>
  <c r="BP228" i="14"/>
  <c r="AL179" i="14"/>
  <c r="BS24" i="1"/>
  <c r="AX15" i="34" s="1"/>
  <c r="AU474" i="34"/>
  <c r="BO949" i="34"/>
  <c r="AU450" i="34"/>
  <c r="BO929" i="34"/>
  <c r="BP176" i="14"/>
  <c r="AV645" i="34" s="1"/>
  <c r="BP139" i="14"/>
  <c r="BO309" i="2"/>
  <c r="BO918" i="34"/>
  <c r="AU439" i="34"/>
  <c r="AJ922" i="34"/>
  <c r="AJ443" i="34"/>
  <c r="AW566" i="34"/>
  <c r="BQ1043" i="34"/>
  <c r="AH784" i="34"/>
  <c r="AL539" i="2"/>
  <c r="AL785" i="34" s="1"/>
  <c r="BP951" i="34"/>
  <c r="AV473" i="34"/>
  <c r="AU431" i="34"/>
  <c r="CC480" i="2"/>
  <c r="BO959" i="34"/>
  <c r="AU482" i="34"/>
  <c r="AJ442" i="34"/>
  <c r="AJ921" i="34"/>
  <c r="BQ1042" i="34"/>
  <c r="AW565" i="34"/>
  <c r="Z177" i="14"/>
  <c r="Z645" i="34"/>
  <c r="AA177" i="14"/>
  <c r="AU476" i="34"/>
  <c r="BO953" i="34"/>
  <c r="AV474" i="34"/>
  <c r="BP949" i="34"/>
  <c r="AW567" i="34"/>
  <c r="BQ1044" i="34"/>
  <c r="AU493" i="34"/>
  <c r="BO970" i="34"/>
  <c r="BO951" i="34"/>
  <c r="AU473" i="34"/>
  <c r="BO969" i="34"/>
  <c r="AU492" i="34"/>
  <c r="AJ440" i="34"/>
  <c r="AJ919" i="34"/>
  <c r="AU416" i="2"/>
  <c r="AT420" i="2"/>
  <c r="AT1045" i="34" s="1"/>
  <c r="AT419" i="2"/>
  <c r="AT1044" i="34" s="1"/>
  <c r="AT1041" i="34"/>
  <c r="Z140" i="14"/>
  <c r="AA140" i="14"/>
  <c r="BN66" i="14"/>
  <c r="AV26" i="2"/>
  <c r="BN53" i="2"/>
  <c r="BN713" i="34" s="1"/>
  <c r="AS293" i="34"/>
  <c r="BM709" i="34"/>
  <c r="AC298" i="34"/>
  <c r="AC714" i="34"/>
  <c r="AB297" i="34"/>
  <c r="AB713" i="34"/>
  <c r="AB714" i="34"/>
  <c r="AB298" i="34"/>
  <c r="BO771" i="34"/>
  <c r="BO528" i="2"/>
  <c r="BO772" i="34" s="1"/>
  <c r="BO529" i="2"/>
  <c r="BO773" i="34" s="1"/>
  <c r="BP528" i="2"/>
  <c r="BP772" i="34" s="1"/>
  <c r="AP42" i="2"/>
  <c r="AP14" i="14"/>
  <c r="BD727" i="34"/>
  <c r="BD61" i="14"/>
  <c r="BD491" i="2"/>
  <c r="BD534" i="2"/>
  <c r="BD780" i="34" s="1"/>
  <c r="BQ492" i="2"/>
  <c r="BQ729" i="34" s="1"/>
  <c r="BQ728" i="34"/>
  <c r="AW312" i="34"/>
  <c r="AL40" i="2"/>
  <c r="AL704" i="34"/>
  <c r="AQ778" i="34"/>
  <c r="AS545" i="2"/>
  <c r="AS552" i="2"/>
  <c r="AS553" i="2" s="1"/>
  <c r="BM266" i="2"/>
  <c r="BM1073" i="34" s="1"/>
  <c r="BM268" i="2"/>
  <c r="BM1075" i="34" s="1"/>
  <c r="BM1066" i="34"/>
  <c r="BM269" i="2"/>
  <c r="BM1076" i="34" s="1"/>
  <c r="BM270" i="2"/>
  <c r="BM1077" i="34" s="1"/>
  <c r="BM267" i="2"/>
  <c r="BM1074" i="34" s="1"/>
  <c r="BM265" i="2"/>
  <c r="AR549" i="2"/>
  <c r="AR771" i="34"/>
  <c r="AR546" i="2"/>
  <c r="AR547" i="2" s="1"/>
  <c r="AR550" i="2"/>
  <c r="AR548" i="2"/>
  <c r="AP328" i="2"/>
  <c r="AP1066" i="34"/>
  <c r="AP281" i="2"/>
  <c r="AP1088" i="34" s="1"/>
  <c r="AP292" i="2"/>
  <c r="AP1099" i="34" s="1"/>
  <c r="AT56" i="14"/>
  <c r="AT983" i="34"/>
  <c r="AX144" i="2"/>
  <c r="AT150" i="2"/>
  <c r="BQ780" i="34"/>
  <c r="AL1211" i="34"/>
  <c r="AF297" i="34"/>
  <c r="AF713" i="34"/>
  <c r="AR579" i="2"/>
  <c r="AR818" i="34" s="1"/>
  <c r="BQ506" i="2"/>
  <c r="AT511" i="2"/>
  <c r="AS506" i="2"/>
  <c r="AR509" i="2"/>
  <c r="AR745" i="34" s="1"/>
  <c r="AR508" i="2"/>
  <c r="AR744" i="34" s="1"/>
  <c r="AR742" i="34"/>
  <c r="AR532" i="2"/>
  <c r="AR106" i="14" s="1"/>
  <c r="AN748" i="34"/>
  <c r="AP538" i="2"/>
  <c r="AP783" i="34"/>
  <c r="AP541" i="2"/>
  <c r="AP787" i="34" s="1"/>
  <c r="AP540" i="2"/>
  <c r="AP786" i="34" s="1"/>
  <c r="AP542" i="2"/>
  <c r="AP788" i="34" s="1"/>
  <c r="AB710" i="34"/>
  <c r="AB294" i="34"/>
  <c r="AB711" i="34"/>
  <c r="AB295" i="34"/>
  <c r="AR513" i="2"/>
  <c r="AR749" i="34" s="1"/>
  <c r="AR748" i="34"/>
  <c r="AP153" i="2"/>
  <c r="BQ732" i="34"/>
  <c r="AW315" i="34"/>
  <c r="AS515" i="2"/>
  <c r="AS751" i="34" s="1"/>
  <c r="AS747" i="34"/>
  <c r="AS512" i="2"/>
  <c r="AS513" i="2" s="1"/>
  <c r="AS749" i="34" s="1"/>
  <c r="AS516" i="2"/>
  <c r="AS752" i="34" s="1"/>
  <c r="AS514" i="2"/>
  <c r="AS750" i="34" s="1"/>
  <c r="AP929" i="34"/>
  <c r="AQ316" i="2"/>
  <c r="AP312" i="2"/>
  <c r="AP107" i="14"/>
  <c r="AP108" i="14"/>
  <c r="AP109" i="14" s="1"/>
  <c r="AP111" i="14"/>
  <c r="AP112" i="14" s="1"/>
  <c r="AB296" i="34"/>
  <c r="AB712" i="34"/>
  <c r="AC711" i="34"/>
  <c r="AC295" i="34"/>
  <c r="BP529" i="2"/>
  <c r="BP773" i="34" s="1"/>
  <c r="AZ492" i="2"/>
  <c r="AZ729" i="34" s="1"/>
  <c r="AZ728" i="34"/>
  <c r="AZ780" i="34"/>
  <c r="BA536" i="2"/>
  <c r="BA782" i="34" s="1"/>
  <c r="BA535" i="2"/>
  <c r="BA781" i="34" s="1"/>
  <c r="AO784" i="34"/>
  <c r="AO539" i="2"/>
  <c r="AO785" i="34" s="1"/>
  <c r="Y377" i="34"/>
  <c r="Y644" i="2"/>
  <c r="AC645" i="2" s="1"/>
  <c r="Y884" i="34"/>
  <c r="AS349" i="34"/>
  <c r="BM843" i="34"/>
  <c r="U847" i="34"/>
  <c r="BL604" i="2"/>
  <c r="BN606" i="2"/>
  <c r="BN849" i="34" s="1"/>
  <c r="BN605" i="2"/>
  <c r="BN848" i="34" s="1"/>
  <c r="BM847" i="34"/>
  <c r="Y606" i="2"/>
  <c r="Y849" i="34" s="1"/>
  <c r="AT349" i="34"/>
  <c r="BN843" i="34"/>
  <c r="AU295" i="2"/>
  <c r="AU296" i="2"/>
  <c r="AU182" i="2"/>
  <c r="AU173" i="2"/>
  <c r="AU189" i="2" s="1"/>
  <c r="AU190" i="2" s="1"/>
  <c r="AU172" i="2"/>
  <c r="Q11" i="35"/>
  <c r="AQ1216" i="34"/>
  <c r="AS996" i="34"/>
  <c r="AT372" i="2"/>
  <c r="AS373" i="2"/>
  <c r="AS997" i="34" s="1"/>
  <c r="AN80" i="14"/>
  <c r="AM80" i="14"/>
  <c r="BQ371" i="2"/>
  <c r="AR999" i="34"/>
  <c r="AR998" i="34"/>
  <c r="AR995" i="34"/>
  <c r="AS371" i="2"/>
  <c r="AU26" i="2"/>
  <c r="AU25" i="2"/>
  <c r="AQ1020" i="34"/>
  <c r="AQ1022" i="34"/>
  <c r="AQ1021" i="34"/>
  <c r="AW465" i="34"/>
  <c r="BQ943" i="34"/>
  <c r="AS498" i="2"/>
  <c r="AS735" i="34" s="1"/>
  <c r="AS522" i="2"/>
  <c r="AS758" i="34" s="1"/>
  <c r="AS520" i="2"/>
  <c r="AS756" i="34" s="1"/>
  <c r="AS754" i="34"/>
  <c r="AS521" i="2"/>
  <c r="AS757" i="34" s="1"/>
  <c r="AT518" i="2"/>
  <c r="AS523" i="2"/>
  <c r="AV235" i="2"/>
  <c r="BQ77" i="2"/>
  <c r="BQ78" i="2" s="1"/>
  <c r="BQ80" i="2"/>
  <c r="BQ941" i="34"/>
  <c r="AW466" i="34"/>
  <c r="AR502" i="2"/>
  <c r="AR738" i="34" s="1"/>
  <c r="AR501" i="2"/>
  <c r="AR737" i="34" s="1"/>
  <c r="AY24" i="1"/>
  <c r="AY1217" i="34" s="1"/>
  <c r="AY70" i="2"/>
  <c r="AY68" i="2"/>
  <c r="AY69" i="2" s="1"/>
  <c r="AY73" i="2"/>
  <c r="AY22" i="2"/>
  <c r="AY171" i="2"/>
  <c r="AY294" i="2"/>
  <c r="BC67" i="2"/>
  <c r="BP58" i="14"/>
  <c r="BQ58" i="14" s="1"/>
  <c r="BR58" i="14" s="1"/>
  <c r="BS58" i="14" s="1"/>
  <c r="BT58" i="14" s="1"/>
  <c r="BU58" i="14" s="1"/>
  <c r="BV58" i="14" s="1"/>
  <c r="BW58" i="14" s="1"/>
  <c r="BX58" i="14" s="1"/>
  <c r="BY58" i="14" s="1"/>
  <c r="BP57" i="14"/>
  <c r="BM811" i="34"/>
  <c r="AS334" i="34"/>
  <c r="AJ804" i="34"/>
  <c r="AJ327" i="34"/>
  <c r="AI334" i="34"/>
  <c r="AI811" i="34"/>
  <c r="AK245" i="14"/>
  <c r="AO114" i="2"/>
  <c r="AO981" i="34" s="1"/>
  <c r="AO111" i="2"/>
  <c r="AO977" i="34" s="1"/>
  <c r="AP109" i="2"/>
  <c r="AP21" i="1" s="1"/>
  <c r="AO975" i="34"/>
  <c r="AO112" i="2"/>
  <c r="AO978" i="34" s="1"/>
  <c r="AO113" i="2"/>
  <c r="AO980" i="34" s="1"/>
  <c r="AO110" i="2"/>
  <c r="AO976" i="34" s="1"/>
  <c r="AO1066" i="34"/>
  <c r="AO292" i="2"/>
  <c r="AO1099" i="34" s="1"/>
  <c r="AO281" i="2"/>
  <c r="AO1088" i="34" s="1"/>
  <c r="AI572" i="34"/>
  <c r="AI1049" i="34"/>
  <c r="AI1050" i="34"/>
  <c r="AI573" i="34"/>
  <c r="BO801" i="34"/>
  <c r="BO164" i="2"/>
  <c r="BO422" i="2"/>
  <c r="BO564" i="2"/>
  <c r="BO556" i="2"/>
  <c r="BO569" i="2"/>
  <c r="BO236" i="14"/>
  <c r="CF562" i="2"/>
  <c r="BO565" i="2"/>
  <c r="CC562" i="2"/>
  <c r="AU324" i="34"/>
  <c r="AK236" i="14"/>
  <c r="AK564" i="2"/>
  <c r="AK803" i="34" s="1"/>
  <c r="AK556" i="2"/>
  <c r="AK422" i="2"/>
  <c r="AK575" i="2"/>
  <c r="AL562" i="2"/>
  <c r="AK164" i="2"/>
  <c r="AK566" i="2"/>
  <c r="AK805" i="34" s="1"/>
  <c r="AK801" i="34"/>
  <c r="AK565" i="2"/>
  <c r="AK804" i="34" s="1"/>
  <c r="AI342" i="34"/>
  <c r="AI558" i="2"/>
  <c r="AI796" i="34"/>
  <c r="AI332" i="34"/>
  <c r="AI809" i="34"/>
  <c r="AF537" i="34"/>
  <c r="AF387" i="2"/>
  <c r="AF1014" i="34"/>
  <c r="AG390" i="2"/>
  <c r="AH390" i="2" s="1"/>
  <c r="AN40" i="2"/>
  <c r="AN704" i="34"/>
  <c r="AK704" i="34"/>
  <c r="AK40" i="2"/>
  <c r="BP42" i="2"/>
  <c r="BP704" i="34" s="1"/>
  <c r="AJ378" i="34"/>
  <c r="AJ885" i="34"/>
  <c r="AO42" i="2"/>
  <c r="AO14" i="14"/>
  <c r="AI1048" i="34"/>
  <c r="AI571" i="34"/>
  <c r="AJ335" i="34"/>
  <c r="AJ812" i="34"/>
  <c r="AJ332" i="34"/>
  <c r="AJ809" i="34"/>
  <c r="BP108" i="14"/>
  <c r="BP111" i="14"/>
  <c r="AR704" i="34"/>
  <c r="AR1211" i="34"/>
  <c r="AS332" i="34"/>
  <c r="BM809" i="34"/>
  <c r="AK569" i="2"/>
  <c r="AJ165" i="2"/>
  <c r="AJ988" i="34" s="1"/>
  <c r="AJ987" i="34"/>
  <c r="AJ238" i="14"/>
  <c r="AJ691" i="34" s="1"/>
  <c r="AJ237" i="14"/>
  <c r="AJ690" i="34" s="1"/>
  <c r="AJ689" i="34"/>
  <c r="AJ803" i="34"/>
  <c r="AJ326" i="34"/>
  <c r="AI333" i="34"/>
  <c r="AI810" i="34"/>
  <c r="BO270" i="2"/>
  <c r="BO1077" i="34" s="1"/>
  <c r="BO266" i="2"/>
  <c r="BO1073" i="34" s="1"/>
  <c r="BO268" i="2"/>
  <c r="BO1075" i="34" s="1"/>
  <c r="BO265" i="2"/>
  <c r="BO1066" i="34"/>
  <c r="BO269" i="2"/>
  <c r="BO1076" i="34" s="1"/>
  <c r="BO267" i="2"/>
  <c r="BO1074" i="34" s="1"/>
  <c r="AN1211" i="34"/>
  <c r="AK1211" i="34"/>
  <c r="BM783" i="34"/>
  <c r="BM541" i="2"/>
  <c r="BM787" i="34" s="1"/>
  <c r="BM538" i="2"/>
  <c r="BM784" i="34" s="1"/>
  <c r="AF382" i="34"/>
  <c r="AF891" i="34"/>
  <c r="AJ645" i="2"/>
  <c r="AJ646" i="2"/>
  <c r="AJ893" i="34" s="1"/>
  <c r="AF645" i="2"/>
  <c r="AF646" i="2"/>
  <c r="AF893" i="34" s="1"/>
  <c r="BB295" i="2"/>
  <c r="BB219" i="2"/>
  <c r="AO154" i="2"/>
  <c r="AP154" i="2"/>
  <c r="BQ150" i="2"/>
  <c r="AO58" i="14"/>
  <c r="AO57" i="14"/>
  <c r="AJ811" i="34"/>
  <c r="AJ334" i="34"/>
  <c r="BO111" i="14"/>
  <c r="BO112" i="14" s="1"/>
  <c r="BO108" i="14"/>
  <c r="AR1083" i="34"/>
  <c r="AV56" i="14"/>
  <c r="AZ144" i="2"/>
  <c r="AV983" i="34"/>
  <c r="AV150" i="2"/>
  <c r="AJ805" i="34"/>
  <c r="AJ328" i="34"/>
  <c r="AJ793" i="34"/>
  <c r="AJ559" i="2"/>
  <c r="AJ339" i="34"/>
  <c r="AJ557" i="2"/>
  <c r="AJ425" i="2"/>
  <c r="AJ1047" i="34"/>
  <c r="AJ423" i="2"/>
  <c r="AJ424" i="2"/>
  <c r="AJ570" i="34"/>
  <c r="AJ814" i="34"/>
  <c r="AJ576" i="2"/>
  <c r="BO575" i="2"/>
  <c r="AI794" i="34"/>
  <c r="AI340" i="34"/>
  <c r="AI812" i="34"/>
  <c r="AI335" i="34"/>
  <c r="BO1068" i="34"/>
  <c r="BP14" i="14"/>
  <c r="AF378" i="34"/>
  <c r="AF885" i="34"/>
  <c r="AH539" i="2"/>
  <c r="AH785" i="34" s="1"/>
  <c r="AD784" i="34"/>
  <c r="AD539" i="2"/>
  <c r="AD785" i="34" s="1"/>
  <c r="AK184" i="2"/>
  <c r="BQ147" i="2"/>
  <c r="BQ984" i="34" s="1"/>
  <c r="BQ983" i="34"/>
  <c r="BQ56" i="14"/>
  <c r="BQ148" i="2"/>
  <c r="BQ985" i="34" s="1"/>
  <c r="BQ146" i="2"/>
  <c r="AS56" i="14"/>
  <c r="AS983" i="34"/>
  <c r="AS150" i="2"/>
  <c r="AW144" i="2"/>
  <c r="BR144" i="2"/>
  <c r="BP153" i="2"/>
  <c r="BP152" i="2"/>
  <c r="AJ810" i="34"/>
  <c r="AJ333" i="34"/>
  <c r="AI815" i="34"/>
  <c r="AI577" i="2"/>
  <c r="AI816" i="34" s="1"/>
  <c r="AN184" i="2"/>
  <c r="AJ184" i="2"/>
  <c r="AJ85" i="14"/>
  <c r="BP79" i="14"/>
  <c r="AL79" i="14"/>
  <c r="AH80" i="14"/>
  <c r="AH79" i="14"/>
  <c r="AT139" i="2"/>
  <c r="AT140" i="2"/>
  <c r="AT34" i="2"/>
  <c r="AT26" i="1"/>
  <c r="AT138" i="2"/>
  <c r="AU136" i="2"/>
  <c r="CE34" i="2"/>
  <c r="BQ37" i="2"/>
  <c r="AM176" i="2"/>
  <c r="AM184" i="2"/>
  <c r="AI80" i="14"/>
  <c r="BM30" i="14"/>
  <c r="AJ80" i="14"/>
  <c r="AN79" i="14"/>
  <c r="AK80" i="14"/>
  <c r="AJ79" i="14"/>
  <c r="AJ86" i="14"/>
  <c r="AL85" i="14"/>
  <c r="AH85" i="14"/>
  <c r="AL176" i="2"/>
  <c r="AP176" i="2"/>
  <c r="BO186" i="2"/>
  <c r="BO183" i="2"/>
  <c r="BO184" i="2" s="1"/>
  <c r="AL142" i="14"/>
  <c r="BB231" i="2"/>
  <c r="BB233" i="2"/>
  <c r="BB223" i="2" s="1"/>
  <c r="BB218" i="2"/>
  <c r="AX1062" i="34"/>
  <c r="AX288" i="2"/>
  <c r="AX1095" i="34" s="1"/>
  <c r="BB256" i="2"/>
  <c r="BB1062" i="34" s="1"/>
  <c r="BM43" i="1"/>
  <c r="CJ39" i="1"/>
  <c r="BM190" i="1"/>
  <c r="AR179" i="34" s="1"/>
  <c r="AR30" i="34"/>
  <c r="BM189" i="1"/>
  <c r="AR178" i="34" s="1"/>
  <c r="CM39" i="1"/>
  <c r="BJ66" i="14"/>
  <c r="AP616" i="34"/>
  <c r="BN292" i="2"/>
  <c r="BN1099" i="34" s="1"/>
  <c r="BN281" i="2"/>
  <c r="BN1088" i="34" s="1"/>
  <c r="BN1066" i="34"/>
  <c r="BO281" i="2"/>
  <c r="BO1088" i="34" s="1"/>
  <c r="BN268" i="2"/>
  <c r="BN1075" i="34" s="1"/>
  <c r="BO292" i="2"/>
  <c r="BO1099" i="34" s="1"/>
  <c r="BN265" i="2"/>
  <c r="W137" i="1"/>
  <c r="W62" i="1"/>
  <c r="W1239" i="34"/>
  <c r="W37" i="34"/>
  <c r="W47" i="1"/>
  <c r="AN1232" i="34"/>
  <c r="AN189" i="1"/>
  <c r="AN43" i="1"/>
  <c r="AN190" i="1"/>
  <c r="AH94" i="34"/>
  <c r="AH115" i="1"/>
  <c r="AH113" i="1"/>
  <c r="AH101" i="34" s="1"/>
  <c r="AL107" i="1"/>
  <c r="AP85" i="14"/>
  <c r="AX1061" i="34"/>
  <c r="BB255" i="2"/>
  <c r="BB1061" i="34" s="1"/>
  <c r="AX287" i="2"/>
  <c r="AX1094" i="34" s="1"/>
  <c r="M144" i="1"/>
  <c r="M132" i="34" s="1"/>
  <c r="AP626" i="34"/>
  <c r="BJ125" i="14"/>
  <c r="AP631" i="34" s="1"/>
  <c r="BY147" i="2"/>
  <c r="BY984" i="34" s="1"/>
  <c r="BX984" i="34"/>
  <c r="AD48" i="34"/>
  <c r="AD1253" i="34"/>
  <c r="AD64" i="1"/>
  <c r="AD71" i="1" s="1"/>
  <c r="BP843" i="34"/>
  <c r="AV349" i="34"/>
  <c r="BN267" i="2"/>
  <c r="BN1074" i="34" s="1"/>
  <c r="M55" i="34"/>
  <c r="M1260" i="34"/>
  <c r="AH892" i="34"/>
  <c r="AH383" i="34"/>
  <c r="AM106" i="1"/>
  <c r="AM239" i="1"/>
  <c r="AM247" i="1"/>
  <c r="AM249" i="1" s="1"/>
  <c r="AM253" i="1" s="1"/>
  <c r="Q137" i="1"/>
  <c r="Q47" i="1"/>
  <c r="Q37" i="34"/>
  <c r="Q1239" i="34"/>
  <c r="Q62" i="1"/>
  <c r="AQ171" i="34"/>
  <c r="BL183" i="1"/>
  <c r="AQ172" i="34" s="1"/>
  <c r="AW1229" i="34"/>
  <c r="AW204" i="1"/>
  <c r="BL155" i="14"/>
  <c r="AR639" i="34" s="1"/>
  <c r="BL152" i="14"/>
  <c r="BM157" i="14" s="1"/>
  <c r="AS641" i="34" s="1"/>
  <c r="AR635" i="34"/>
  <c r="CB151" i="14"/>
  <c r="BL153" i="14"/>
  <c r="AR637" i="34" s="1"/>
  <c r="R137" i="1"/>
  <c r="R1239" i="34"/>
  <c r="R47" i="1"/>
  <c r="R62" i="1"/>
  <c r="R37" i="34"/>
  <c r="W49" i="1"/>
  <c r="W60" i="1"/>
  <c r="W34" i="34"/>
  <c r="W1236" i="34"/>
  <c r="W44" i="1"/>
  <c r="W136" i="1"/>
  <c r="W124" i="34" s="1"/>
  <c r="Q15" i="40"/>
  <c r="CJ29" i="1"/>
  <c r="BO43" i="1"/>
  <c r="BO30" i="1"/>
  <c r="AT21" i="34" s="1"/>
  <c r="AT20" i="34"/>
  <c r="BO46" i="1"/>
  <c r="CL29" i="1"/>
  <c r="AC885" i="34"/>
  <c r="AC378" i="34"/>
  <c r="AG885" i="34"/>
  <c r="AG378" i="34"/>
  <c r="AO605" i="2"/>
  <c r="AO848" i="34" s="1"/>
  <c r="AO606" i="2"/>
  <c r="AO849" i="34" s="1"/>
  <c r="AO639" i="2"/>
  <c r="AO847" i="34"/>
  <c r="AE44" i="1"/>
  <c r="AE1236" i="34"/>
  <c r="AE34" i="34"/>
  <c r="AE60" i="1"/>
  <c r="AE136" i="1"/>
  <c r="AE124" i="34" s="1"/>
  <c r="AE49" i="1"/>
  <c r="CL248" i="1"/>
  <c r="AQ234" i="34"/>
  <c r="AG34" i="34"/>
  <c r="AG44" i="1"/>
  <c r="AG49" i="1"/>
  <c r="AG60" i="1"/>
  <c r="AG1236" i="34"/>
  <c r="AG136" i="1"/>
  <c r="AG124" i="34" s="1"/>
  <c r="BK43" i="1"/>
  <c r="AP30" i="34"/>
  <c r="BK190" i="1"/>
  <c r="AP179" i="34" s="1"/>
  <c r="BK189" i="1"/>
  <c r="AP178" i="34" s="1"/>
  <c r="AR199" i="34"/>
  <c r="BM215" i="1"/>
  <c r="AI239" i="1"/>
  <c r="AI225" i="34" s="1"/>
  <c r="AI202" i="34"/>
  <c r="AI106" i="1"/>
  <c r="AI247" i="1"/>
  <c r="AT440" i="34"/>
  <c r="BN919" i="34"/>
  <c r="S37" i="34"/>
  <c r="S62" i="1"/>
  <c r="S47" i="1"/>
  <c r="S1239" i="34"/>
  <c r="S137" i="1"/>
  <c r="AE378" i="34"/>
  <c r="AE885" i="34"/>
  <c r="AL126" i="14"/>
  <c r="AK125" i="14"/>
  <c r="AK126" i="14"/>
  <c r="AO125" i="14"/>
  <c r="Z137" i="1"/>
  <c r="Z47" i="1"/>
  <c r="Z37" i="34"/>
  <c r="Z62" i="1"/>
  <c r="Z1239" i="34"/>
  <c r="AP80" i="14"/>
  <c r="AP79" i="14"/>
  <c r="AB34" i="34"/>
  <c r="AB49" i="1"/>
  <c r="AB44" i="1"/>
  <c r="AB136" i="1"/>
  <c r="AB124" i="34" s="1"/>
  <c r="AB60" i="1"/>
  <c r="AB1236" i="34"/>
  <c r="AS1226" i="34"/>
  <c r="BO718" i="34"/>
  <c r="AU302" i="34"/>
  <c r="BO721" i="34"/>
  <c r="AU305" i="34"/>
  <c r="BN197" i="14"/>
  <c r="BJ30" i="14"/>
  <c r="BK30" i="14"/>
  <c r="BM644" i="2"/>
  <c r="AH50" i="1"/>
  <c r="AH1243" i="34" s="1"/>
  <c r="AH53" i="1"/>
  <c r="AD1242" i="34"/>
  <c r="AD40" i="34"/>
  <c r="AD18" i="14"/>
  <c r="AD50" i="1"/>
  <c r="AD1243" i="34" s="1"/>
  <c r="AD100" i="1"/>
  <c r="AD51" i="1"/>
  <c r="BA121" i="14"/>
  <c r="BA222" i="14"/>
  <c r="AU294" i="34"/>
  <c r="BO710" i="34"/>
  <c r="AL145" i="14"/>
  <c r="AV297" i="34"/>
  <c r="BP713" i="34"/>
  <c r="AV296" i="34"/>
  <c r="BP712" i="34"/>
  <c r="AM1223" i="34"/>
  <c r="BB254" i="2"/>
  <c r="BB1060" i="34" s="1"/>
  <c r="AX1060" i="34"/>
  <c r="AX286" i="2"/>
  <c r="AX1093" i="34" s="1"/>
  <c r="AX262" i="2"/>
  <c r="AX1068" i="34" s="1"/>
  <c r="CL41" i="1"/>
  <c r="AQ32" i="34"/>
  <c r="BL46" i="1"/>
  <c r="AD67" i="1"/>
  <c r="AD73" i="1"/>
  <c r="AD50" i="34"/>
  <c r="AD1255" i="34"/>
  <c r="M60" i="34"/>
  <c r="M78" i="1"/>
  <c r="M77" i="1"/>
  <c r="M1266" i="34"/>
  <c r="X140" i="1"/>
  <c r="X128" i="34" s="1"/>
  <c r="X125" i="34"/>
  <c r="AQ616" i="34"/>
  <c r="BK66" i="14"/>
  <c r="S16" i="4"/>
  <c r="S1295" i="34" s="1"/>
  <c r="S16" i="42"/>
  <c r="AU201" i="34"/>
  <c r="S16" i="40"/>
  <c r="Z885" i="34"/>
  <c r="BI47" i="1"/>
  <c r="AN38" i="34" s="1"/>
  <c r="BI62" i="1"/>
  <c r="AN37" i="34"/>
  <c r="AG62" i="1"/>
  <c r="AG47" i="1"/>
  <c r="AG37" i="34"/>
  <c r="AG1239" i="34"/>
  <c r="AG137" i="1"/>
  <c r="BN215" i="1"/>
  <c r="O1237" i="34"/>
  <c r="O35" i="34"/>
  <c r="O48" i="34"/>
  <c r="O1253" i="34"/>
  <c r="O64" i="1"/>
  <c r="O71" i="1" s="1"/>
  <c r="BJ51" i="1"/>
  <c r="AO40" i="34"/>
  <c r="BJ100" i="1"/>
  <c r="M14" i="4"/>
  <c r="BI18" i="14"/>
  <c r="W34" i="4"/>
  <c r="L52" i="3"/>
  <c r="L1327" i="34"/>
  <c r="Z27" i="4"/>
  <c r="Y1306" i="34"/>
  <c r="AN644" i="2"/>
  <c r="AN640" i="2"/>
  <c r="AN885" i="34" s="1"/>
  <c r="AN884" i="34"/>
  <c r="R34" i="34"/>
  <c r="R49" i="1"/>
  <c r="R44" i="1"/>
  <c r="R60" i="1"/>
  <c r="R136" i="1"/>
  <c r="R124" i="34" s="1"/>
  <c r="R1236" i="34"/>
  <c r="AA382" i="34"/>
  <c r="AA891" i="34"/>
  <c r="AA653" i="2"/>
  <c r="AE645" i="2"/>
  <c r="AA645" i="2"/>
  <c r="AE646" i="2"/>
  <c r="AE893" i="34" s="1"/>
  <c r="AA646" i="2"/>
  <c r="AA893" i="34" s="1"/>
  <c r="AT305" i="34"/>
  <c r="BN721" i="34"/>
  <c r="M35" i="34"/>
  <c r="AO1242" i="34"/>
  <c r="AO51" i="1"/>
  <c r="AO18" i="14"/>
  <c r="O14" i="35"/>
  <c r="AO100" i="1"/>
  <c r="AO252" i="1"/>
  <c r="P1239" i="34"/>
  <c r="P37" i="34"/>
  <c r="P137" i="1"/>
  <c r="P47" i="1"/>
  <c r="P62" i="1"/>
  <c r="Y44" i="1"/>
  <c r="Y34" i="34"/>
  <c r="Y1236" i="34"/>
  <c r="Y49" i="1"/>
  <c r="Y136" i="1"/>
  <c r="Y124" i="34" s="1"/>
  <c r="Y60" i="1"/>
  <c r="S1236" i="34"/>
  <c r="S49" i="1"/>
  <c r="S136" i="1"/>
  <c r="S124" i="34" s="1"/>
  <c r="S34" i="34"/>
  <c r="S44" i="1"/>
  <c r="S60" i="1"/>
  <c r="T1239" i="34"/>
  <c r="T137" i="1"/>
  <c r="T47" i="1"/>
  <c r="T62" i="1"/>
  <c r="T37" i="34"/>
  <c r="N1239" i="34"/>
  <c r="N62" i="1"/>
  <c r="N137" i="1"/>
  <c r="N37" i="34"/>
  <c r="N47" i="1"/>
  <c r="BN189" i="1"/>
  <c r="AS178" i="34" s="1"/>
  <c r="BN190" i="1"/>
  <c r="AS179" i="34" s="1"/>
  <c r="AS30" i="34"/>
  <c r="AK748" i="34"/>
  <c r="AK513" i="2"/>
  <c r="AK749" i="34" s="1"/>
  <c r="AO126" i="14"/>
  <c r="AN125" i="14"/>
  <c r="AN126" i="14"/>
  <c r="U158" i="14"/>
  <c r="U642" i="34" s="1"/>
  <c r="V158" i="14"/>
  <c r="V642" i="34" s="1"/>
  <c r="U636" i="34"/>
  <c r="U157" i="14"/>
  <c r="U641" i="34" s="1"/>
  <c r="Y157" i="14"/>
  <c r="Y641" i="34" s="1"/>
  <c r="V137" i="1"/>
  <c r="V37" i="34"/>
  <c r="V47" i="1"/>
  <c r="V62" i="1"/>
  <c r="V1239" i="34"/>
  <c r="AN176" i="2"/>
  <c r="AE37" i="34"/>
  <c r="AE47" i="1"/>
  <c r="AE62" i="1"/>
  <c r="AE1239" i="34"/>
  <c r="AE137" i="1"/>
  <c r="W21" i="34"/>
  <c r="W1223" i="34"/>
  <c r="AK892" i="34"/>
  <c r="Q15" i="4"/>
  <c r="Q1294" i="34" s="1"/>
  <c r="BJ73" i="1"/>
  <c r="BJ67" i="1"/>
  <c r="AO55" i="34" s="1"/>
  <c r="AO50" i="34"/>
  <c r="AR646" i="34"/>
  <c r="BM101" i="1"/>
  <c r="AR89" i="34" s="1"/>
  <c r="BL196" i="14"/>
  <c r="BL197" i="14" s="1"/>
  <c r="BL189" i="14"/>
  <c r="AR650" i="34" s="1"/>
  <c r="BL187" i="14"/>
  <c r="AR648" i="34" s="1"/>
  <c r="CB185" i="14"/>
  <c r="BL186" i="14"/>
  <c r="BM191" i="14" s="1"/>
  <c r="AS652" i="34" s="1"/>
  <c r="U647" i="34"/>
  <c r="U192" i="14"/>
  <c r="U653" i="34" s="1"/>
  <c r="V192" i="14"/>
  <c r="V653" i="34" s="1"/>
  <c r="U191" i="14"/>
  <c r="U652" i="34" s="1"/>
  <c r="Y191" i="14"/>
  <c r="Y652" i="34" s="1"/>
  <c r="BO328" i="2"/>
  <c r="AG645" i="2"/>
  <c r="AC891" i="34"/>
  <c r="AG646" i="2"/>
  <c r="AG893" i="34" s="1"/>
  <c r="AC382" i="34"/>
  <c r="AC653" i="2"/>
  <c r="BP847" i="34"/>
  <c r="BP605" i="2"/>
  <c r="BP848" i="34" s="1"/>
  <c r="BP606" i="2"/>
  <c r="BP849" i="34" s="1"/>
  <c r="BP639" i="2"/>
  <c r="AU234" i="34"/>
  <c r="U1232" i="34"/>
  <c r="U190" i="1"/>
  <c r="U179" i="34" s="1"/>
  <c r="U189" i="1"/>
  <c r="U178" i="34" s="1"/>
  <c r="U30" i="34"/>
  <c r="U43" i="1"/>
  <c r="AH249" i="1"/>
  <c r="AH253" i="1" s="1"/>
  <c r="AH233" i="34"/>
  <c r="AP184" i="2"/>
  <c r="AT184" i="2"/>
  <c r="AE179" i="34"/>
  <c r="AG190" i="1"/>
  <c r="AG179" i="34" s="1"/>
  <c r="S5" i="2"/>
  <c r="T6" i="2"/>
  <c r="AS159" i="2"/>
  <c r="AT157" i="2"/>
  <c r="AS161" i="2"/>
  <c r="AS160" i="2"/>
  <c r="AW165" i="34"/>
  <c r="BM153" i="14"/>
  <c r="AS637" i="34" s="1"/>
  <c r="BL267" i="1"/>
  <c r="AQ252" i="34" s="1"/>
  <c r="BL274" i="1"/>
  <c r="AQ259" i="34" s="1"/>
  <c r="BL268" i="1"/>
  <c r="AQ253" i="34" s="1"/>
  <c r="BN268" i="1"/>
  <c r="AS253" i="34" s="1"/>
  <c r="BL266" i="1"/>
  <c r="AQ251" i="34" s="1"/>
  <c r="AQ250" i="34"/>
  <c r="BM268" i="1"/>
  <c r="AR253" i="34" s="1"/>
  <c r="BN283" i="2"/>
  <c r="BN1090" i="34" s="1"/>
  <c r="BN1068" i="34"/>
  <c r="BN273" i="2"/>
  <c r="BO273" i="2"/>
  <c r="BO283" i="2"/>
  <c r="BO1090" i="34" s="1"/>
  <c r="AT443" i="34"/>
  <c r="BN922" i="34"/>
  <c r="AN107" i="1"/>
  <c r="AN113" i="1"/>
  <c r="AN115" i="1"/>
  <c r="AN121" i="1" s="1"/>
  <c r="AC37" i="34"/>
  <c r="AC62" i="1"/>
  <c r="AC47" i="1"/>
  <c r="AC137" i="1"/>
  <c r="AC1239" i="34"/>
  <c r="AA378" i="34"/>
  <c r="AA885" i="34"/>
  <c r="AV625" i="34"/>
  <c r="BP123" i="14"/>
  <c r="AV629" i="34" s="1"/>
  <c r="BP121" i="14"/>
  <c r="AV627" i="34" s="1"/>
  <c r="BP120" i="14"/>
  <c r="AL37" i="34"/>
  <c r="BG47" i="1"/>
  <c r="AL38" i="34" s="1"/>
  <c r="BG62" i="1"/>
  <c r="AQ636" i="34"/>
  <c r="BK157" i="14"/>
  <c r="AQ641" i="34" s="1"/>
  <c r="BO891" i="34"/>
  <c r="AU382" i="34"/>
  <c r="AV635" i="34"/>
  <c r="BP162" i="14"/>
  <c r="BP163" i="14" s="1"/>
  <c r="BP155" i="14"/>
  <c r="AV639" i="34" s="1"/>
  <c r="BP153" i="14"/>
  <c r="AV637" i="34" s="1"/>
  <c r="BP152" i="14"/>
  <c r="P18" i="42"/>
  <c r="BM289" i="1"/>
  <c r="CM36" i="1"/>
  <c r="P18" i="4"/>
  <c r="P1297" i="34" s="1"/>
  <c r="BM293" i="1"/>
  <c r="CJ36" i="1"/>
  <c r="AR27" i="34"/>
  <c r="P18" i="40"/>
  <c r="BN720" i="34"/>
  <c r="AT304" i="34"/>
  <c r="AQ599" i="2"/>
  <c r="AQ843" i="34"/>
  <c r="AR600" i="2"/>
  <c r="AB12" i="35"/>
  <c r="BQ30" i="1"/>
  <c r="AV20" i="34"/>
  <c r="AS647" i="34"/>
  <c r="BL37" i="14"/>
  <c r="AR611" i="34" s="1"/>
  <c r="AR610" i="34"/>
  <c r="R6" i="1"/>
  <c r="AW33" i="1"/>
  <c r="M51" i="1"/>
  <c r="M1242" i="34"/>
  <c r="M100" i="1"/>
  <c r="M252" i="1"/>
  <c r="M238" i="34" s="1"/>
  <c r="M40" i="34"/>
  <c r="AV187" i="34"/>
  <c r="BQ207" i="1"/>
  <c r="BO178" i="2"/>
  <c r="BO175" i="2"/>
  <c r="AV294" i="34"/>
  <c r="Y1239" i="34"/>
  <c r="Y62" i="1"/>
  <c r="Y37" i="34"/>
  <c r="Y137" i="1"/>
  <c r="Y47" i="1"/>
  <c r="AK1232" i="34"/>
  <c r="AK43" i="1"/>
  <c r="AK190" i="1"/>
  <c r="AK189" i="1"/>
  <c r="BL66" i="14"/>
  <c r="AR616" i="34"/>
  <c r="BM66" i="14"/>
  <c r="BL189" i="1"/>
  <c r="AQ178" i="34" s="1"/>
  <c r="CL39" i="1"/>
  <c r="BL190" i="1"/>
  <c r="AQ179" i="34" s="1"/>
  <c r="AQ30" i="34"/>
  <c r="BL43" i="1"/>
  <c r="BN269" i="2"/>
  <c r="BN1076" i="34" s="1"/>
  <c r="AL190" i="1"/>
  <c r="AL189" i="1"/>
  <c r="AL1232" i="34"/>
  <c r="AL43" i="1"/>
  <c r="AB137" i="1"/>
  <c r="AB37" i="34"/>
  <c r="AB47" i="1"/>
  <c r="AB62" i="1"/>
  <c r="AB1239" i="34"/>
  <c r="N121" i="1"/>
  <c r="N109" i="34" s="1"/>
  <c r="N103" i="34"/>
  <c r="AG94" i="34"/>
  <c r="AG115" i="1"/>
  <c r="AK107" i="1"/>
  <c r="AG113" i="1"/>
  <c r="AG101" i="34" s="1"/>
  <c r="X382" i="34"/>
  <c r="X891" i="34"/>
  <c r="AB645" i="2"/>
  <c r="AB646" i="2"/>
  <c r="AB893" i="34" s="1"/>
  <c r="X653" i="2"/>
  <c r="BW192" i="2"/>
  <c r="AL892" i="34"/>
  <c r="AL647" i="2"/>
  <c r="AL894" i="34" s="1"/>
  <c r="V49" i="1"/>
  <c r="V136" i="1"/>
  <c r="V124" i="34" s="1"/>
  <c r="V1236" i="34"/>
  <c r="V34" i="34"/>
  <c r="V60" i="1"/>
  <c r="V44" i="1"/>
  <c r="AV234" i="34"/>
  <c r="K31" i="35"/>
  <c r="AP636" i="34"/>
  <c r="BJ157" i="14"/>
  <c r="AP641" i="34" s="1"/>
  <c r="BN270" i="2"/>
  <c r="BN1077" i="34" s="1"/>
  <c r="AR25" i="34"/>
  <c r="CJ34" i="1"/>
  <c r="CM34" i="1"/>
  <c r="BP183" i="2"/>
  <c r="BP186" i="2"/>
  <c r="BN266" i="2"/>
  <c r="BN1073" i="34" s="1"/>
  <c r="AP842" i="34"/>
  <c r="AP604" i="2"/>
  <c r="Q183" i="1"/>
  <c r="Q172" i="34" s="1"/>
  <c r="Q171" i="34"/>
  <c r="X38" i="34"/>
  <c r="X1240" i="34"/>
  <c r="V653" i="2"/>
  <c r="V891" i="34"/>
  <c r="V382" i="34"/>
  <c r="BB257" i="2"/>
  <c r="BB1063" i="34" s="1"/>
  <c r="AX1063" i="34"/>
  <c r="AX289" i="2"/>
  <c r="AX1096" i="34" s="1"/>
  <c r="AS32" i="34"/>
  <c r="P1236" i="34"/>
  <c r="P34" i="34"/>
  <c r="P136" i="1"/>
  <c r="P124" i="34" s="1"/>
  <c r="P60" i="1"/>
  <c r="P44" i="1"/>
  <c r="P49" i="1"/>
  <c r="AV208" i="34"/>
  <c r="BQ119" i="1"/>
  <c r="AV107" i="34" s="1"/>
  <c r="BQ226" i="1"/>
  <c r="AV212" i="34" s="1"/>
  <c r="AO48" i="34"/>
  <c r="BJ64" i="1"/>
  <c r="BJ71" i="1" s="1"/>
  <c r="AQ626" i="34"/>
  <c r="BK125" i="14"/>
  <c r="AQ631" i="34" s="1"/>
  <c r="BL125" i="14"/>
  <c r="AR631" i="34" s="1"/>
  <c r="P98" i="40"/>
  <c r="T98" i="40"/>
  <c r="W98" i="40"/>
  <c r="Q98" i="40"/>
  <c r="X98" i="40"/>
  <c r="V98" i="40"/>
  <c r="U98" i="40"/>
  <c r="S98" i="40"/>
  <c r="N98" i="40"/>
  <c r="M98" i="40"/>
  <c r="O98" i="40"/>
  <c r="R98" i="40"/>
  <c r="AS626" i="34"/>
  <c r="BM125" i="14"/>
  <c r="AS631" i="34" s="1"/>
  <c r="AH47" i="1"/>
  <c r="AH1239" i="34"/>
  <c r="AH37" i="34"/>
  <c r="AH137" i="1"/>
  <c r="AH62" i="1"/>
  <c r="BJ140" i="1"/>
  <c r="AO128" i="34" s="1"/>
  <c r="AO125" i="34"/>
  <c r="T34" i="34"/>
  <c r="T136" i="1"/>
  <c r="T124" i="34" s="1"/>
  <c r="T1236" i="34"/>
  <c r="T44" i="1"/>
  <c r="T49" i="1"/>
  <c r="T60" i="1"/>
  <c r="N250" i="1"/>
  <c r="N236" i="34" s="1"/>
  <c r="N235" i="34"/>
  <c r="N253" i="1"/>
  <c r="N239" i="34" s="1"/>
  <c r="N252" i="1"/>
  <c r="N238" i="34" s="1"/>
  <c r="BN644" i="2"/>
  <c r="BO646" i="2" s="1"/>
  <c r="BO893" i="34" s="1"/>
  <c r="AT377" i="34"/>
  <c r="BN884" i="34"/>
  <c r="BI60" i="1"/>
  <c r="BI49" i="1"/>
  <c r="BI44" i="1"/>
  <c r="AN35" i="34" s="1"/>
  <c r="AN34" i="34"/>
  <c r="Q1236" i="34"/>
  <c r="Q49" i="1"/>
  <c r="Q44" i="1"/>
  <c r="Q60" i="1"/>
  <c r="Q136" i="1"/>
  <c r="Q124" i="34" s="1"/>
  <c r="Q34" i="34"/>
  <c r="AN46" i="1"/>
  <c r="AN1234" i="34"/>
  <c r="U1234" i="34"/>
  <c r="U46" i="1"/>
  <c r="U32" i="34"/>
  <c r="AD900" i="34"/>
  <c r="AD660" i="2"/>
  <c r="AD657" i="2"/>
  <c r="AD904" i="34" s="1"/>
  <c r="AD389" i="34"/>
  <c r="AT176" i="1"/>
  <c r="BM155" i="14"/>
  <c r="AS639" i="34" s="1"/>
  <c r="AS610" i="34"/>
  <c r="BM37" i="14"/>
  <c r="AS611" i="34" s="1"/>
  <c r="AP32" i="34"/>
  <c r="BK46" i="1"/>
  <c r="BO640" i="2"/>
  <c r="AL158" i="14"/>
  <c r="AL157" i="14"/>
  <c r="AM158" i="14"/>
  <c r="AP157" i="14"/>
  <c r="U190" i="34"/>
  <c r="BM204" i="1"/>
  <c r="AR190" i="34" s="1"/>
  <c r="BN718" i="34"/>
  <c r="AT302" i="34"/>
  <c r="BM189" i="14"/>
  <c r="AS650" i="34" s="1"/>
  <c r="AI1239" i="34"/>
  <c r="AI62" i="1"/>
  <c r="AI37" i="34"/>
  <c r="AI47" i="1"/>
  <c r="AI137" i="1"/>
  <c r="AD1237" i="34"/>
  <c r="AD35" i="34"/>
  <c r="AL137" i="1"/>
  <c r="AL1239" i="34"/>
  <c r="AL47" i="1"/>
  <c r="AL1240" i="34" s="1"/>
  <c r="AL62" i="1"/>
  <c r="BP190" i="1"/>
  <c r="AU179" i="34" s="1"/>
  <c r="BP43" i="1"/>
  <c r="AU30" i="34"/>
  <c r="BP189" i="1"/>
  <c r="AU178" i="34" s="1"/>
  <c r="AI136" i="1"/>
  <c r="AI124" i="34" s="1"/>
  <c r="AI44" i="1"/>
  <c r="AI34" i="34"/>
  <c r="AI1236" i="34"/>
  <c r="AI60" i="1"/>
  <c r="AI49" i="1"/>
  <c r="BP178" i="2"/>
  <c r="BP175" i="2"/>
  <c r="BQ178" i="2"/>
  <c r="BQ175" i="2"/>
  <c r="Y21" i="34"/>
  <c r="Y1223" i="34"/>
  <c r="AM1236" i="34"/>
  <c r="AM60" i="1"/>
  <c r="AM49" i="1"/>
  <c r="AM44" i="1"/>
  <c r="AM1237" i="34" s="1"/>
  <c r="AM136" i="1"/>
  <c r="AV24" i="34"/>
  <c r="BQ41" i="1"/>
  <c r="BQ46" i="1" s="1"/>
  <c r="BQ39" i="1"/>
  <c r="CN39" i="1" s="1"/>
  <c r="BG60" i="1"/>
  <c r="AL34" i="34"/>
  <c r="BG44" i="1"/>
  <c r="AL35" i="34" s="1"/>
  <c r="BG49" i="1"/>
  <c r="AT32" i="34"/>
  <c r="AD38" i="34"/>
  <c r="AD1240" i="34"/>
  <c r="AD125" i="34"/>
  <c r="AD140" i="1"/>
  <c r="AD128" i="34" s="1"/>
  <c r="AV25" i="34"/>
  <c r="X1255" i="34"/>
  <c r="X67" i="1"/>
  <c r="X50" i="34"/>
  <c r="X73" i="1"/>
  <c r="AT626" i="34"/>
  <c r="BN125" i="14"/>
  <c r="AT631" i="34" s="1"/>
  <c r="BY73" i="14"/>
  <c r="BX75" i="14"/>
  <c r="BX102" i="14"/>
  <c r="O51" i="1"/>
  <c r="O100" i="1"/>
  <c r="O1242" i="34"/>
  <c r="O40" i="34"/>
  <c r="AO748" i="34"/>
  <c r="AO513" i="2"/>
  <c r="AO749" i="34" s="1"/>
  <c r="AC136" i="1"/>
  <c r="AC124" i="34" s="1"/>
  <c r="AC34" i="34"/>
  <c r="AC44" i="1"/>
  <c r="AC1236" i="34"/>
  <c r="AC49" i="1"/>
  <c r="AC60" i="1"/>
  <c r="O47" i="1"/>
  <c r="O62" i="1"/>
  <c r="O37" i="34"/>
  <c r="O137" i="1"/>
  <c r="O1239" i="34"/>
  <c r="Q15" i="42"/>
  <c r="AX290" i="2"/>
  <c r="AX1097" i="34" s="1"/>
  <c r="AX1064" i="34"/>
  <c r="BB258" i="2"/>
  <c r="BB1064" i="34" s="1"/>
  <c r="AS636" i="34"/>
  <c r="AT441" i="34"/>
  <c r="BN920" i="34"/>
  <c r="BP216" i="1"/>
  <c r="AU193" i="34"/>
  <c r="AP610" i="34"/>
  <c r="BK37" i="14"/>
  <c r="AQ611" i="34" s="1"/>
  <c r="BJ37" i="14"/>
  <c r="AP611" i="34" s="1"/>
  <c r="AM137" i="1"/>
  <c r="BM41" i="1"/>
  <c r="AK46" i="1"/>
  <c r="AK1234" i="34"/>
  <c r="BO190" i="1"/>
  <c r="AT179" i="34" s="1"/>
  <c r="BO189" i="1"/>
  <c r="AT178" i="34" s="1"/>
  <c r="AT30" i="34"/>
  <c r="AG233" i="34"/>
  <c r="AG249" i="1"/>
  <c r="AG253" i="1" s="1"/>
  <c r="AB885" i="34"/>
  <c r="AB378" i="34"/>
  <c r="AV610" i="34"/>
  <c r="BP37" i="14"/>
  <c r="AV611" i="34" s="1"/>
  <c r="BN46" i="1"/>
  <c r="CN29" i="1"/>
  <c r="BN43" i="1"/>
  <c r="AS20" i="34"/>
  <c r="BN30" i="1"/>
  <c r="AS21" i="34" s="1"/>
  <c r="AR41" i="2" l="1"/>
  <c r="AR111" i="14"/>
  <c r="AR112" i="14" s="1"/>
  <c r="AR108" i="14"/>
  <c r="AR109" i="14" s="1"/>
  <c r="AR107" i="14"/>
  <c r="AT175" i="2"/>
  <c r="AT176" i="2" s="1"/>
  <c r="AS1219" i="34"/>
  <c r="BQ231" i="2"/>
  <c r="AS185" i="2"/>
  <c r="AT185" i="2"/>
  <c r="BR61" i="14"/>
  <c r="CF22" i="2"/>
  <c r="BR25" i="2"/>
  <c r="AR524" i="2"/>
  <c r="AR760" i="34" s="1"/>
  <c r="AT179" i="2"/>
  <c r="AS258" i="1"/>
  <c r="AS14" i="1"/>
  <c r="AV13" i="1"/>
  <c r="BS13" i="1" s="1"/>
  <c r="AR14" i="1"/>
  <c r="BU19" i="1"/>
  <c r="CB19" i="1" s="1"/>
  <c r="AP18" i="1"/>
  <c r="BP538" i="2"/>
  <c r="BP784" i="34" s="1"/>
  <c r="AQ109" i="2"/>
  <c r="BB727" i="34"/>
  <c r="BA492" i="2"/>
  <c r="BA729" i="34" s="1"/>
  <c r="AW182" i="2"/>
  <c r="AW186" i="2" s="1"/>
  <c r="AS179" i="2"/>
  <c r="AT177" i="2"/>
  <c r="BR31" i="2"/>
  <c r="BR29" i="2"/>
  <c r="AQ542" i="2"/>
  <c r="AQ788" i="34" s="1"/>
  <c r="BQ521" i="2"/>
  <c r="BQ757" i="34" s="1"/>
  <c r="BP66" i="14"/>
  <c r="AQ538" i="2"/>
  <c r="AQ783" i="34"/>
  <c r="AB657" i="2"/>
  <c r="AB904" i="34" s="1"/>
  <c r="BS727" i="34"/>
  <c r="BA73" i="2"/>
  <c r="AU616" i="34"/>
  <c r="AS38" i="2"/>
  <c r="BQ498" i="2"/>
  <c r="BQ735" i="34" s="1"/>
  <c r="AQ541" i="2"/>
  <c r="AQ787" i="34" s="1"/>
  <c r="AV357" i="2"/>
  <c r="AQ704" i="34"/>
  <c r="BQ754" i="34"/>
  <c r="BS495" i="2"/>
  <c r="AY315" i="34" s="1"/>
  <c r="AS184" i="2"/>
  <c r="BP240" i="2"/>
  <c r="BP224" i="2" s="1"/>
  <c r="AV256" i="2"/>
  <c r="AZ256" i="2" s="1"/>
  <c r="AQ108" i="14"/>
  <c r="AQ109" i="14" s="1"/>
  <c r="AQ111" i="14"/>
  <c r="AQ112" i="14" s="1"/>
  <c r="AY950" i="34"/>
  <c r="BC343" i="2"/>
  <c r="BC950" i="34" s="1"/>
  <c r="AR1060" i="34"/>
  <c r="AV254" i="2"/>
  <c r="AR1093" i="34"/>
  <c r="AN250" i="1"/>
  <c r="AN253" i="1"/>
  <c r="AJ253" i="1"/>
  <c r="AJ239" i="34" s="1"/>
  <c r="AJ235" i="34"/>
  <c r="AK85" i="14"/>
  <c r="AR1216" i="34"/>
  <c r="BS534" i="2"/>
  <c r="BS780" i="34" s="1"/>
  <c r="AY311" i="34"/>
  <c r="CG490" i="2"/>
  <c r="AQ132" i="2"/>
  <c r="AQ131" i="2"/>
  <c r="AQ133" i="2"/>
  <c r="AQ134" i="2"/>
  <c r="AR962" i="34"/>
  <c r="AR958" i="34"/>
  <c r="AT337" i="2"/>
  <c r="AT944" i="34" s="1"/>
  <c r="BQ956" i="34"/>
  <c r="AQ481" i="2"/>
  <c r="CE341" i="2"/>
  <c r="BQ948" i="34"/>
  <c r="AZ296" i="2"/>
  <c r="AM47" i="1"/>
  <c r="AM1240" i="34" s="1"/>
  <c r="M64" i="1"/>
  <c r="M71" i="1" s="1"/>
  <c r="AW77" i="34"/>
  <c r="AM62" i="1"/>
  <c r="M1253" i="34"/>
  <c r="AJ103" i="34"/>
  <c r="AJ121" i="1"/>
  <c r="AJ109" i="34" s="1"/>
  <c r="AV1064" i="34"/>
  <c r="AV290" i="2"/>
  <c r="AV1097" i="34" s="1"/>
  <c r="AQ500" i="2"/>
  <c r="BP1066" i="34"/>
  <c r="AQ113" i="2"/>
  <c r="AS175" i="2"/>
  <c r="AS176" i="2" s="1"/>
  <c r="AS178" i="2"/>
  <c r="BN712" i="34"/>
  <c r="BP500" i="2"/>
  <c r="AY228" i="2"/>
  <c r="AY218" i="2" s="1"/>
  <c r="AU232" i="2"/>
  <c r="AU233" i="2"/>
  <c r="AU223" i="2" s="1"/>
  <c r="AU230" i="2"/>
  <c r="AU231" i="2"/>
  <c r="AQ736" i="34"/>
  <c r="Z382" i="34"/>
  <c r="AV199" i="34"/>
  <c r="BQ215" i="1"/>
  <c r="R11" i="35"/>
  <c r="R30" i="35" s="1"/>
  <c r="AB38" i="35" s="1"/>
  <c r="AR503" i="2"/>
  <c r="AR739" i="34" s="1"/>
  <c r="BQ520" i="2"/>
  <c r="BQ527" i="2" s="1"/>
  <c r="BQ523" i="2"/>
  <c r="BQ759" i="34" s="1"/>
  <c r="BP111" i="2"/>
  <c r="BP977" i="34" s="1"/>
  <c r="BQ238" i="2"/>
  <c r="BQ342" i="2"/>
  <c r="BQ949" i="34" s="1"/>
  <c r="BP231" i="2"/>
  <c r="BP281" i="2"/>
  <c r="BP1088" i="34" s="1"/>
  <c r="BP218" i="2"/>
  <c r="BP268" i="2"/>
  <c r="BP1075" i="34" s="1"/>
  <c r="BP267" i="2"/>
  <c r="BP1074" i="34" s="1"/>
  <c r="BA294" i="2"/>
  <c r="BA68" i="2"/>
  <c r="BA69" i="2" s="1"/>
  <c r="BA171" i="2"/>
  <c r="BA22" i="2"/>
  <c r="BB70" i="2"/>
  <c r="BA24" i="1"/>
  <c r="BA1217" i="34" s="1"/>
  <c r="BB73" i="2"/>
  <c r="AX173" i="2"/>
  <c r="AX172" i="2"/>
  <c r="AW295" i="2"/>
  <c r="AX296" i="2"/>
  <c r="AW296" i="2"/>
  <c r="BP922" i="34"/>
  <c r="AO64" i="1"/>
  <c r="AO1262" i="34" s="1"/>
  <c r="AR499" i="2"/>
  <c r="AR500" i="2" s="1"/>
  <c r="BQ164" i="2"/>
  <c r="BQ363" i="2"/>
  <c r="BQ970" i="34" s="1"/>
  <c r="AW172" i="2"/>
  <c r="AW25" i="2"/>
  <c r="AX26" i="2"/>
  <c r="AW26" i="2"/>
  <c r="X100" i="1"/>
  <c r="X88" i="34" s="1"/>
  <c r="X18" i="14"/>
  <c r="X582" i="34" s="1"/>
  <c r="X51" i="1"/>
  <c r="X1242" i="34"/>
  <c r="X40" i="34"/>
  <c r="Z1237" i="34"/>
  <c r="Z35" i="34"/>
  <c r="AU297" i="34"/>
  <c r="BP273" i="2"/>
  <c r="BP1080" i="34" s="1"/>
  <c r="AU360" i="2"/>
  <c r="AU967" i="34" s="1"/>
  <c r="AQ483" i="2"/>
  <c r="X1237" i="34"/>
  <c r="X35" i="34"/>
  <c r="X48" i="34"/>
  <c r="X1253" i="34"/>
  <c r="X64" i="1"/>
  <c r="Z64" i="1"/>
  <c r="Z48" i="34"/>
  <c r="Z1253" i="34"/>
  <c r="CM248" i="1"/>
  <c r="BP283" i="2"/>
  <c r="BP1090" i="34" s="1"/>
  <c r="AU964" i="34"/>
  <c r="BP265" i="2"/>
  <c r="BP1072" i="34" s="1"/>
  <c r="BP269" i="2"/>
  <c r="BP1076" i="34" s="1"/>
  <c r="Z100" i="1"/>
  <c r="Z88" i="34" s="1"/>
  <c r="Z1242" i="34"/>
  <c r="Z40" i="34"/>
  <c r="Z18" i="14"/>
  <c r="Z582" i="34" s="1"/>
  <c r="Z51" i="1"/>
  <c r="BN640" i="2"/>
  <c r="AT378" i="34" s="1"/>
  <c r="BA288" i="2"/>
  <c r="BA1095" i="34" s="1"/>
  <c r="AO184" i="2"/>
  <c r="AS239" i="2"/>
  <c r="AB389" i="34"/>
  <c r="BP229" i="2"/>
  <c r="AQ484" i="2"/>
  <c r="BP292" i="2"/>
  <c r="BP1099" i="34" s="1"/>
  <c r="BP266" i="2"/>
  <c r="BP1073" i="34" s="1"/>
  <c r="AV289" i="2"/>
  <c r="AV1096" i="34" s="1"/>
  <c r="AV1063" i="34"/>
  <c r="AZ257" i="2"/>
  <c r="O183" i="1"/>
  <c r="O172" i="34" s="1"/>
  <c r="O171" i="34"/>
  <c r="T337" i="2"/>
  <c r="T467" i="34" s="1"/>
  <c r="X6" i="14"/>
  <c r="W5" i="14"/>
  <c r="BQ794" i="34"/>
  <c r="AW340" i="34"/>
  <c r="BQ558" i="2"/>
  <c r="AQ862" i="34"/>
  <c r="AQ620" i="2"/>
  <c r="AQ864" i="34" s="1"/>
  <c r="AQ619" i="2"/>
  <c r="AQ863" i="34" s="1"/>
  <c r="AS613" i="2"/>
  <c r="AS858" i="34"/>
  <c r="AT614" i="2"/>
  <c r="AW228" i="2"/>
  <c r="AW232" i="2" s="1"/>
  <c r="AS233" i="2"/>
  <c r="AS223" i="2" s="1"/>
  <c r="AS231" i="2"/>
  <c r="AT232" i="2"/>
  <c r="AT230" i="2"/>
  <c r="AS218" i="2"/>
  <c r="AS230" i="2"/>
  <c r="AR857" i="34"/>
  <c r="BQ613" i="2"/>
  <c r="AR618" i="2"/>
  <c r="AS238" i="2"/>
  <c r="AT239" i="2"/>
  <c r="AS240" i="2"/>
  <c r="AW235" i="2"/>
  <c r="AW239" i="2" s="1"/>
  <c r="AT237" i="2"/>
  <c r="AS219" i="2"/>
  <c r="AU333" i="2"/>
  <c r="AU940" i="34" s="1"/>
  <c r="AR960" i="34"/>
  <c r="AR959" i="34"/>
  <c r="AO62" i="1"/>
  <c r="AO1239" i="34"/>
  <c r="BQ353" i="2"/>
  <c r="AW483" i="34" s="1"/>
  <c r="BA287" i="2"/>
  <c r="BA1094" i="34" s="1"/>
  <c r="AU626" i="34"/>
  <c r="AT294" i="34"/>
  <c r="AP86" i="14"/>
  <c r="AH105" i="1"/>
  <c r="AZ295" i="2"/>
  <c r="AT940" i="34"/>
  <c r="AT336" i="2"/>
  <c r="AT943" i="34" s="1"/>
  <c r="AW479" i="34"/>
  <c r="BS492" i="2"/>
  <c r="BS729" i="34" s="1"/>
  <c r="AR961" i="34"/>
  <c r="BA262" i="2"/>
  <c r="BA1068" i="34" s="1"/>
  <c r="AO137" i="1"/>
  <c r="AO140" i="1" s="1"/>
  <c r="AT792" i="34"/>
  <c r="AU555" i="2"/>
  <c r="BS86" i="1"/>
  <c r="AX73" i="34" s="1"/>
  <c r="BR23" i="1"/>
  <c r="BO230" i="14"/>
  <c r="AB900" i="34"/>
  <c r="BQ350" i="2"/>
  <c r="BQ957" i="34" s="1"/>
  <c r="AN124" i="2"/>
  <c r="AR957" i="34"/>
  <c r="AR956" i="34"/>
  <c r="AO47" i="1"/>
  <c r="AO1240" i="34" s="1"/>
  <c r="AM50" i="34"/>
  <c r="BH67" i="1"/>
  <c r="AM55" i="34" s="1"/>
  <c r="BH73" i="1"/>
  <c r="BO784" i="34"/>
  <c r="BP920" i="34"/>
  <c r="AV232" i="2"/>
  <c r="AO142" i="1"/>
  <c r="AJ501" i="34"/>
  <c r="AJ978" i="34"/>
  <c r="T6" i="34"/>
  <c r="BQ229" i="2"/>
  <c r="AJ499" i="34"/>
  <c r="AJ976" i="34"/>
  <c r="AJ980" i="34"/>
  <c r="AJ502" i="34"/>
  <c r="AJ981" i="34"/>
  <c r="AJ503" i="34"/>
  <c r="BB151" i="14"/>
  <c r="AX223" i="14"/>
  <c r="AX34" i="1" s="1"/>
  <c r="AX1227" i="34" s="1"/>
  <c r="AX153" i="14"/>
  <c r="BY209" i="14"/>
  <c r="BZ35" i="1" s="1"/>
  <c r="BY35" i="1"/>
  <c r="U5" i="42"/>
  <c r="V8" i="42"/>
  <c r="U27" i="42"/>
  <c r="T5" i="40"/>
  <c r="U8" i="40"/>
  <c r="T27" i="40"/>
  <c r="AS377" i="34"/>
  <c r="BR228" i="2"/>
  <c r="BR229" i="2" s="1"/>
  <c r="BO114" i="2"/>
  <c r="BO111" i="2"/>
  <c r="BO975" i="34"/>
  <c r="BO112" i="2"/>
  <c r="AU498" i="34"/>
  <c r="CC109" i="2"/>
  <c r="AJ977" i="34"/>
  <c r="AJ500" i="34"/>
  <c r="AV216" i="34"/>
  <c r="BQ234" i="1"/>
  <c r="AV220" i="34" s="1"/>
  <c r="R5" i="4"/>
  <c r="S8" i="4"/>
  <c r="AA30" i="35"/>
  <c r="D45" i="35"/>
  <c r="E45" i="35" s="1"/>
  <c r="O1202" i="34"/>
  <c r="D48" i="35"/>
  <c r="O1203" i="34"/>
  <c r="AA25" i="35"/>
  <c r="D47" i="35"/>
  <c r="AA22" i="35"/>
  <c r="D46" i="35" s="1"/>
  <c r="D50" i="35"/>
  <c r="BP84" i="14"/>
  <c r="B44" i="35"/>
  <c r="AA19" i="35"/>
  <c r="F28" i="35"/>
  <c r="M1200" i="34"/>
  <c r="T472" i="34"/>
  <c r="AT86" i="1"/>
  <c r="AS1283" i="34"/>
  <c r="AS84" i="1"/>
  <c r="AR1276" i="34"/>
  <c r="BR83" i="1"/>
  <c r="AW70" i="34" s="1"/>
  <c r="BO176" i="14"/>
  <c r="BP177" i="14" s="1"/>
  <c r="AX312" i="34"/>
  <c r="AZ218" i="2"/>
  <c r="BP197" i="14"/>
  <c r="AC4" i="35"/>
  <c r="AB5" i="35"/>
  <c r="AB9" i="35" s="1"/>
  <c r="BO84" i="14"/>
  <c r="AT62" i="14"/>
  <c r="AT245" i="2"/>
  <c r="AT243" i="2"/>
  <c r="AT74" i="2" s="1"/>
  <c r="AV218" i="2"/>
  <c r="AV230" i="2"/>
  <c r="AV233" i="2"/>
  <c r="AV223" i="2" s="1"/>
  <c r="AV231" i="2"/>
  <c r="BQ218" i="2"/>
  <c r="BQ233" i="2"/>
  <c r="BQ223" i="2" s="1"/>
  <c r="AX242" i="2"/>
  <c r="AX245" i="2" s="1"/>
  <c r="AX225" i="2"/>
  <c r="CF28" i="2"/>
  <c r="BS171" i="2"/>
  <c r="L31" i="35"/>
  <c r="AF142" i="1"/>
  <c r="AF130" i="34" s="1"/>
  <c r="BO139" i="14"/>
  <c r="BO140" i="14" s="1"/>
  <c r="AZ26" i="2"/>
  <c r="BO539" i="2"/>
  <c r="BO785" i="34" s="1"/>
  <c r="AH58" i="34"/>
  <c r="AH1264" i="34"/>
  <c r="AH75" i="1"/>
  <c r="AA128" i="34"/>
  <c r="AA142" i="1"/>
  <c r="AA130" i="34" s="1"/>
  <c r="J13" i="35"/>
  <c r="J32" i="35" s="1"/>
  <c r="J31" i="35"/>
  <c r="BP46" i="1"/>
  <c r="AU37" i="34" s="1"/>
  <c r="AA52" i="34"/>
  <c r="AA1257" i="34"/>
  <c r="AA294" i="1"/>
  <c r="AA582" i="34"/>
  <c r="D15" i="35"/>
  <c r="D34" i="35" s="1"/>
  <c r="D33" i="35"/>
  <c r="AA75" i="1"/>
  <c r="AA1264" i="34"/>
  <c r="AA58" i="34"/>
  <c r="BJ142" i="1"/>
  <c r="AO130" i="34" s="1"/>
  <c r="AX222" i="14"/>
  <c r="AX33" i="1" s="1"/>
  <c r="AX1226" i="34" s="1"/>
  <c r="AX121" i="14"/>
  <c r="BB119" i="14"/>
  <c r="AX124" i="14"/>
  <c r="AX122" i="14"/>
  <c r="AW65" i="14"/>
  <c r="AT67" i="14"/>
  <c r="AH1244" i="34"/>
  <c r="AH19" i="14"/>
  <c r="AH583" i="34" s="1"/>
  <c r="AH41" i="34"/>
  <c r="AA1260" i="34"/>
  <c r="AA55" i="34"/>
  <c r="AH294" i="1"/>
  <c r="AH1257" i="34"/>
  <c r="AH52" i="34"/>
  <c r="AA1244" i="34"/>
  <c r="AA19" i="14"/>
  <c r="AA583" i="34" s="1"/>
  <c r="AA41" i="34"/>
  <c r="AU176" i="14"/>
  <c r="AU177" i="14" s="1"/>
  <c r="AU139" i="14"/>
  <c r="AU140" i="14" s="1"/>
  <c r="AV229" i="14"/>
  <c r="AH88" i="34"/>
  <c r="AH110" i="1"/>
  <c r="AH98" i="34" s="1"/>
  <c r="AL1223" i="34"/>
  <c r="AA201" i="1"/>
  <c r="AA60" i="34"/>
  <c r="AA78" i="1"/>
  <c r="AA1266" i="34"/>
  <c r="AA77" i="1"/>
  <c r="AJ49" i="1"/>
  <c r="AJ44" i="1"/>
  <c r="AJ136" i="1"/>
  <c r="AJ124" i="34" s="1"/>
  <c r="AJ34" i="34"/>
  <c r="AJ1236" i="34"/>
  <c r="AJ60" i="1"/>
  <c r="AT1229" i="34"/>
  <c r="AT204" i="1"/>
  <c r="N1244" i="34"/>
  <c r="N41" i="34"/>
  <c r="AD142" i="1"/>
  <c r="AD130" i="34" s="1"/>
  <c r="C46" i="35"/>
  <c r="AA13" i="35"/>
  <c r="N1257" i="34"/>
  <c r="N52" i="34"/>
  <c r="N294" i="1"/>
  <c r="AO85" i="14"/>
  <c r="BO85" i="14"/>
  <c r="BO87" i="14"/>
  <c r="N88" i="34"/>
  <c r="N110" i="1"/>
  <c r="N98" i="34" s="1"/>
  <c r="N109" i="1"/>
  <c r="N97" i="34" s="1"/>
  <c r="N105" i="1"/>
  <c r="AP49" i="1"/>
  <c r="AP136" i="1"/>
  <c r="AP60" i="1"/>
  <c r="AP1236" i="34"/>
  <c r="AP44" i="1"/>
  <c r="AP1237" i="34" s="1"/>
  <c r="AF52" i="34"/>
  <c r="AF1257" i="34"/>
  <c r="AF294" i="1"/>
  <c r="AF1244" i="34"/>
  <c r="AF19" i="14"/>
  <c r="AF583" i="34" s="1"/>
  <c r="AF41" i="34"/>
  <c r="AU189" i="14"/>
  <c r="AU217" i="14"/>
  <c r="AU36" i="1" s="1"/>
  <c r="AU204" i="1" s="1"/>
  <c r="AU188" i="14"/>
  <c r="AU190" i="14"/>
  <c r="AU101" i="1"/>
  <c r="AF201" i="1"/>
  <c r="AF60" i="34"/>
  <c r="AF78" i="1"/>
  <c r="AF1266" i="34"/>
  <c r="AF77" i="1"/>
  <c r="P13" i="35"/>
  <c r="P32" i="35" s="1"/>
  <c r="P31" i="35"/>
  <c r="AL86" i="14"/>
  <c r="AF71" i="1"/>
  <c r="AN1223" i="34"/>
  <c r="AU21" i="34"/>
  <c r="BH71" i="1"/>
  <c r="BH294" i="1"/>
  <c r="AM52" i="34"/>
  <c r="AF1260" i="34"/>
  <c r="AF55" i="34"/>
  <c r="AP62" i="1"/>
  <c r="AP137" i="1"/>
  <c r="AP140" i="1" s="1"/>
  <c r="AP142" i="1" s="1"/>
  <c r="AP1239" i="34"/>
  <c r="AP47" i="1"/>
  <c r="AP1240" i="34" s="1"/>
  <c r="BP85" i="14"/>
  <c r="BP87" i="14"/>
  <c r="BP89" i="14"/>
  <c r="N58" i="34"/>
  <c r="N75" i="1"/>
  <c r="N1264" i="34"/>
  <c r="AX189" i="14"/>
  <c r="AX217" i="14"/>
  <c r="AX36" i="1" s="1"/>
  <c r="AX101" i="1"/>
  <c r="AX188" i="14"/>
  <c r="AX190" i="14"/>
  <c r="AJ37" i="34"/>
  <c r="AJ62" i="1"/>
  <c r="AJ47" i="1"/>
  <c r="AJ137" i="1"/>
  <c r="AJ1239" i="34"/>
  <c r="AK131" i="2"/>
  <c r="AJ125" i="2"/>
  <c r="AJ205" i="2" s="1"/>
  <c r="AJ207" i="2" s="1"/>
  <c r="AI208" i="2"/>
  <c r="AV503" i="34"/>
  <c r="AU427" i="2"/>
  <c r="AU429" i="2" s="1"/>
  <c r="AU80" i="2"/>
  <c r="AU85" i="2"/>
  <c r="AV83" i="2"/>
  <c r="AV76" i="2" s="1"/>
  <c r="AV77" i="2" s="1"/>
  <c r="AV78" i="2" s="1"/>
  <c r="BS68" i="2"/>
  <c r="BS69" i="2" s="1"/>
  <c r="CG67" i="2"/>
  <c r="AU174" i="2"/>
  <c r="AU175" i="2" s="1"/>
  <c r="AU176" i="2" s="1"/>
  <c r="BO201" i="2"/>
  <c r="BO193" i="2"/>
  <c r="BO205" i="2"/>
  <c r="CC199" i="2"/>
  <c r="BO202" i="2"/>
  <c r="AK202" i="2"/>
  <c r="AK203" i="2"/>
  <c r="AK201" i="2"/>
  <c r="AK193" i="2"/>
  <c r="AL199" i="2"/>
  <c r="AK211" i="2"/>
  <c r="AI195" i="2"/>
  <c r="AJ194" i="2"/>
  <c r="AJ196" i="2"/>
  <c r="AX950" i="34"/>
  <c r="BB343" i="2"/>
  <c r="BB950" i="34" s="1"/>
  <c r="AT79" i="2"/>
  <c r="AL134" i="2"/>
  <c r="Z646" i="2"/>
  <c r="Z893" i="34" s="1"/>
  <c r="BB247" i="2"/>
  <c r="BR732" i="34"/>
  <c r="Z645" i="2"/>
  <c r="Z383" i="34" s="1"/>
  <c r="AT81" i="2"/>
  <c r="AK124" i="2"/>
  <c r="AO124" i="2" s="1"/>
  <c r="Z653" i="2"/>
  <c r="AD654" i="2" s="1"/>
  <c r="AD901" i="34" s="1"/>
  <c r="AD885" i="34"/>
  <c r="AD645" i="2"/>
  <c r="AD383" i="34" s="1"/>
  <c r="AT77" i="2"/>
  <c r="AT78" i="2" s="1"/>
  <c r="AK134" i="2"/>
  <c r="Z891" i="34"/>
  <c r="AR627" i="2"/>
  <c r="AR873" i="34"/>
  <c r="AS628" i="2"/>
  <c r="AT429" i="2"/>
  <c r="AU240" i="2"/>
  <c r="AP877" i="34"/>
  <c r="AP633" i="2"/>
  <c r="AP878" i="34" s="1"/>
  <c r="AP634" i="2"/>
  <c r="AP879" i="34" s="1"/>
  <c r="AQ632" i="2"/>
  <c r="AQ872" i="34"/>
  <c r="AU238" i="2"/>
  <c r="U884" i="34"/>
  <c r="U377" i="34"/>
  <c r="BL139" i="14"/>
  <c r="BM140" i="14" s="1"/>
  <c r="BM144" i="14" s="1"/>
  <c r="BN145" i="14" s="1"/>
  <c r="BM230" i="14"/>
  <c r="BL176" i="14"/>
  <c r="AU81" i="2"/>
  <c r="AU237" i="2"/>
  <c r="BR492" i="2"/>
  <c r="BR729" i="34" s="1"/>
  <c r="AU79" i="2"/>
  <c r="AU86" i="2"/>
  <c r="AT430" i="2"/>
  <c r="BS728" i="34"/>
  <c r="AT297" i="34"/>
  <c r="BD24" i="1"/>
  <c r="BD1217" i="34" s="1"/>
  <c r="AU239" i="2"/>
  <c r="AZ173" i="2"/>
  <c r="AV239" i="2"/>
  <c r="AU87" i="2"/>
  <c r="AV183" i="2"/>
  <c r="AV184" i="2" s="1"/>
  <c r="BR189" i="2"/>
  <c r="AV185" i="2"/>
  <c r="AW189" i="2"/>
  <c r="AW190" i="2" s="1"/>
  <c r="AW100" i="2"/>
  <c r="AW97" i="2"/>
  <c r="AW98" i="2" s="1"/>
  <c r="AW101" i="2"/>
  <c r="AW99" i="2"/>
  <c r="AV169" i="2"/>
  <c r="AV227" i="14" s="1"/>
  <c r="AX96" i="2"/>
  <c r="AV93" i="2"/>
  <c r="AW91" i="2"/>
  <c r="AV94" i="2"/>
  <c r="BR91" i="2"/>
  <c r="BA289" i="2"/>
  <c r="BA1096" i="34" s="1"/>
  <c r="AX780" i="34"/>
  <c r="AX536" i="2"/>
  <c r="AX782" i="34" s="1"/>
  <c r="AX535" i="2"/>
  <c r="AX781" i="34" s="1"/>
  <c r="AX728" i="34"/>
  <c r="AX492" i="2"/>
  <c r="AX729" i="34" s="1"/>
  <c r="BB493" i="2"/>
  <c r="BB730" i="34" s="1"/>
  <c r="BB496" i="2"/>
  <c r="BB733" i="34" s="1"/>
  <c r="BB491" i="2"/>
  <c r="BB728" i="34" s="1"/>
  <c r="BB61" i="14"/>
  <c r="BB534" i="2"/>
  <c r="BB780" i="34" s="1"/>
  <c r="BD22" i="2"/>
  <c r="BD25" i="2" s="1"/>
  <c r="BQ159" i="2"/>
  <c r="BO920" i="34"/>
  <c r="AV187" i="2"/>
  <c r="BD294" i="2"/>
  <c r="BD295" i="2" s="1"/>
  <c r="AZ25" i="2"/>
  <c r="AU219" i="2"/>
  <c r="BD70" i="2"/>
  <c r="AL251" i="14"/>
  <c r="BD171" i="2"/>
  <c r="BP184" i="2"/>
  <c r="BN178" i="14"/>
  <c r="BN181" i="14"/>
  <c r="AK382" i="2"/>
  <c r="AK1009" i="34"/>
  <c r="AM385" i="2"/>
  <c r="AL1009" i="34"/>
  <c r="AL382" i="2"/>
  <c r="AG1008" i="34"/>
  <c r="AG531" i="34"/>
  <c r="AH1007" i="34"/>
  <c r="AH530" i="34"/>
  <c r="BN1007" i="34"/>
  <c r="AT530" i="34"/>
  <c r="AJ1006" i="34"/>
  <c r="AJ529" i="34"/>
  <c r="BO382" i="2"/>
  <c r="AJ383" i="2"/>
  <c r="AJ384" i="2"/>
  <c r="AG1007" i="34"/>
  <c r="AG530" i="34"/>
  <c r="AH531" i="34"/>
  <c r="AH1008" i="34"/>
  <c r="AT532" i="34"/>
  <c r="BN1009" i="34"/>
  <c r="AI529" i="34"/>
  <c r="AI383" i="2"/>
  <c r="AI1006" i="34"/>
  <c r="AI384" i="2"/>
  <c r="AS948" i="34"/>
  <c r="AS342" i="2"/>
  <c r="AS949" i="34" s="1"/>
  <c r="AS345" i="2"/>
  <c r="AS952" i="34" s="1"/>
  <c r="AS344" i="2"/>
  <c r="AS951" i="34" s="1"/>
  <c r="AS363" i="2"/>
  <c r="AS970" i="34" s="1"/>
  <c r="AT341" i="2"/>
  <c r="AS349" i="2"/>
  <c r="AW950" i="34"/>
  <c r="BA343" i="2"/>
  <c r="BA950" i="34" s="1"/>
  <c r="BN539" i="2"/>
  <c r="BN785" i="34" s="1"/>
  <c r="AG453" i="2"/>
  <c r="AF403" i="34"/>
  <c r="AF452" i="2"/>
  <c r="AF1113" i="34"/>
  <c r="AI383" i="34"/>
  <c r="AI892" i="34"/>
  <c r="AM647" i="2"/>
  <c r="AM894" i="34" s="1"/>
  <c r="AD557" i="34"/>
  <c r="AD1034" i="34"/>
  <c r="AC1028" i="34"/>
  <c r="AC551" i="34"/>
  <c r="BM1030" i="34"/>
  <c r="AS553" i="34"/>
  <c r="AE660" i="2"/>
  <c r="AE900" i="34"/>
  <c r="AE389" i="34"/>
  <c r="AE657" i="2"/>
  <c r="AE904" i="34" s="1"/>
  <c r="AF408" i="2"/>
  <c r="AF559" i="34"/>
  <c r="AG411" i="2"/>
  <c r="AF1036" i="34"/>
  <c r="BV472" i="2"/>
  <c r="BU473" i="2"/>
  <c r="BU474" i="2" s="1"/>
  <c r="AG1028" i="34"/>
  <c r="AG551" i="34"/>
  <c r="AC553" i="34"/>
  <c r="AC1030" i="34"/>
  <c r="BN784" i="34"/>
  <c r="BS22" i="2"/>
  <c r="AE409" i="2"/>
  <c r="AE556" i="34"/>
  <c r="AE402" i="2"/>
  <c r="AE410" i="2"/>
  <c r="AE1033" i="34"/>
  <c r="AD404" i="2"/>
  <c r="AD550" i="34"/>
  <c r="AD405" i="2"/>
  <c r="AD403" i="2"/>
  <c r="AD1027" i="34"/>
  <c r="AC1029" i="34"/>
  <c r="AC552" i="34"/>
  <c r="AZ419" i="34"/>
  <c r="BT474" i="2"/>
  <c r="AD558" i="34"/>
  <c r="AD1035" i="34"/>
  <c r="AU398" i="34"/>
  <c r="BO1108" i="34"/>
  <c r="AJ1017" i="34"/>
  <c r="AJ540" i="34"/>
  <c r="AN250" i="14"/>
  <c r="BO1109" i="34"/>
  <c r="AU399" i="34"/>
  <c r="AK393" i="2"/>
  <c r="AK1017" i="34" s="1"/>
  <c r="AK394" i="2"/>
  <c r="AK1018" i="34" s="1"/>
  <c r="AK1016" i="34"/>
  <c r="AZ172" i="2"/>
  <c r="AY312" i="34"/>
  <c r="BP919" i="34"/>
  <c r="AU154" i="2"/>
  <c r="AZ536" i="2"/>
  <c r="AZ782" i="34" s="1"/>
  <c r="AJ541" i="34"/>
  <c r="AJ1018" i="34"/>
  <c r="AU539" i="34"/>
  <c r="BO393" i="2"/>
  <c r="BO1016" i="34"/>
  <c r="CC392" i="2"/>
  <c r="AM446" i="2"/>
  <c r="AL1106" i="34"/>
  <c r="AL392" i="2"/>
  <c r="AL449" i="2"/>
  <c r="AL1109" i="34" s="1"/>
  <c r="AL450" i="2"/>
  <c r="AL1110" i="34" s="1"/>
  <c r="AV237" i="2"/>
  <c r="AV501" i="34"/>
  <c r="BO919" i="34"/>
  <c r="BR182" i="2"/>
  <c r="BR186" i="2" s="1"/>
  <c r="BS294" i="2"/>
  <c r="BS295" i="2" s="1"/>
  <c r="AV154" i="2"/>
  <c r="AU1211" i="34"/>
  <c r="AU42" i="2"/>
  <c r="AU704" i="34" s="1"/>
  <c r="AJ140" i="14"/>
  <c r="AN141" i="14"/>
  <c r="AR142" i="14" s="1"/>
  <c r="AN144" i="14"/>
  <c r="AR145" i="14" s="1"/>
  <c r="AK140" i="14"/>
  <c r="AJ144" i="14"/>
  <c r="AJ141" i="14"/>
  <c r="AN142" i="14" s="1"/>
  <c r="AQ245" i="14"/>
  <c r="BC144" i="2"/>
  <c r="AY983" i="34"/>
  <c r="AY56" i="14"/>
  <c r="AK177" i="14"/>
  <c r="AJ177" i="14"/>
  <c r="AJ645" i="34"/>
  <c r="AN178" i="14"/>
  <c r="AR179" i="14" s="1"/>
  <c r="AJ178" i="14"/>
  <c r="U481" i="34"/>
  <c r="U958" i="34"/>
  <c r="AQ479" i="34"/>
  <c r="BK956" i="34"/>
  <c r="BL350" i="2"/>
  <c r="W657" i="2"/>
  <c r="W904" i="34" s="1"/>
  <c r="W900" i="34"/>
  <c r="W389" i="34"/>
  <c r="S474" i="34"/>
  <c r="S949" i="34"/>
  <c r="X957" i="34"/>
  <c r="X480" i="34"/>
  <c r="T468" i="34"/>
  <c r="T945" i="34"/>
  <c r="W474" i="34"/>
  <c r="W949" i="34"/>
  <c r="S353" i="2"/>
  <c r="S956" i="34"/>
  <c r="S350" i="2"/>
  <c r="S352" i="2"/>
  <c r="S479" i="34"/>
  <c r="W350" i="2"/>
  <c r="BQ951" i="34"/>
  <c r="AW473" i="34"/>
  <c r="V342" i="2"/>
  <c r="R471" i="34"/>
  <c r="R349" i="2"/>
  <c r="S351" i="2" s="1"/>
  <c r="R342" i="2"/>
  <c r="R333" i="2"/>
  <c r="S335" i="2" s="1"/>
  <c r="R363" i="2"/>
  <c r="V344" i="2"/>
  <c r="R948" i="34"/>
  <c r="T960" i="34"/>
  <c r="T483" i="34"/>
  <c r="T351" i="2"/>
  <c r="U942" i="34"/>
  <c r="U464" i="34"/>
  <c r="X466" i="34"/>
  <c r="X941" i="34"/>
  <c r="X465" i="34"/>
  <c r="X943" i="34"/>
  <c r="S343" i="2"/>
  <c r="W951" i="34"/>
  <c r="W473" i="34"/>
  <c r="Q476" i="34"/>
  <c r="Q953" i="34"/>
  <c r="Q341" i="2"/>
  <c r="R343" i="2" s="1"/>
  <c r="T482" i="34"/>
  <c r="T959" i="34"/>
  <c r="T480" i="34"/>
  <c r="T957" i="34"/>
  <c r="T464" i="34"/>
  <c r="T942" i="34"/>
  <c r="U467" i="34"/>
  <c r="U944" i="34"/>
  <c r="T941" i="34"/>
  <c r="T466" i="34"/>
  <c r="S475" i="34"/>
  <c r="S952" i="34"/>
  <c r="S493" i="34"/>
  <c r="S970" i="34"/>
  <c r="W336" i="2"/>
  <c r="S940" i="34"/>
  <c r="S334" i="2"/>
  <c r="S338" i="2"/>
  <c r="S463" i="34"/>
  <c r="W334" i="2"/>
  <c r="AU124" i="2"/>
  <c r="AM131" i="2"/>
  <c r="AM134" i="2"/>
  <c r="AM132" i="2"/>
  <c r="AM133" i="2"/>
  <c r="AY780" i="34"/>
  <c r="AY536" i="2"/>
  <c r="AY782" i="34" s="1"/>
  <c r="AY535" i="2"/>
  <c r="AY781" i="34" s="1"/>
  <c r="BQ183" i="2"/>
  <c r="BQ184" i="2" s="1"/>
  <c r="BS732" i="34"/>
  <c r="BT67" i="2"/>
  <c r="BT68" i="2" s="1"/>
  <c r="AX38" i="14"/>
  <c r="BB36" i="14"/>
  <c r="BB38" i="14" s="1"/>
  <c r="AY492" i="2"/>
  <c r="AY729" i="34" s="1"/>
  <c r="AY728" i="34"/>
  <c r="BD73" i="2"/>
  <c r="BC534" i="2"/>
  <c r="BC61" i="14"/>
  <c r="BC493" i="2"/>
  <c r="BC730" i="34" s="1"/>
  <c r="BC496" i="2"/>
  <c r="BC733" i="34" s="1"/>
  <c r="BC491" i="2"/>
  <c r="BC727" i="34"/>
  <c r="BT490" i="2"/>
  <c r="BD493" i="2"/>
  <c r="BD730" i="34" s="1"/>
  <c r="BD496" i="2"/>
  <c r="BD733" i="34" s="1"/>
  <c r="BQ236" i="2"/>
  <c r="AR245" i="14"/>
  <c r="AP245" i="14"/>
  <c r="AP248" i="14" s="1"/>
  <c r="AP249" i="14" s="1"/>
  <c r="AP251" i="14" s="1"/>
  <c r="AV360" i="2"/>
  <c r="AV967" i="34" s="1"/>
  <c r="AV361" i="2"/>
  <c r="AV968" i="34" s="1"/>
  <c r="AW357" i="2"/>
  <c r="AV964" i="34"/>
  <c r="BR357" i="2"/>
  <c r="BQ219" i="2"/>
  <c r="BQ240" i="2"/>
  <c r="BQ224" i="2" s="1"/>
  <c r="BO89" i="14"/>
  <c r="AW484" i="34"/>
  <c r="BQ961" i="34"/>
  <c r="AU1041" i="34"/>
  <c r="AV416" i="2"/>
  <c r="AU420" i="2"/>
  <c r="AU1045" i="34" s="1"/>
  <c r="AU88" i="2"/>
  <c r="AU89" i="2" s="1"/>
  <c r="AU419" i="2"/>
  <c r="AU1044" i="34" s="1"/>
  <c r="BO922" i="34"/>
  <c r="AU443" i="34"/>
  <c r="BT24" i="1"/>
  <c r="AY15" i="34" s="1"/>
  <c r="AC646" i="2"/>
  <c r="AC893" i="34" s="1"/>
  <c r="BO79" i="14"/>
  <c r="BR235" i="2"/>
  <c r="BR236" i="2" s="1"/>
  <c r="AT512" i="2"/>
  <c r="AT514" i="2"/>
  <c r="AT750" i="34" s="1"/>
  <c r="AT515" i="2"/>
  <c r="AT751" i="34" s="1"/>
  <c r="AT747" i="34"/>
  <c r="AT516" i="2"/>
  <c r="AT752" i="34" s="1"/>
  <c r="AT1211" i="34"/>
  <c r="AT42" i="2"/>
  <c r="AT704" i="34" s="1"/>
  <c r="AP1211" i="34"/>
  <c r="AQ784" i="34"/>
  <c r="AQ539" i="2"/>
  <c r="AQ785" i="34" s="1"/>
  <c r="BQ507" i="2"/>
  <c r="BQ743" i="34" s="1"/>
  <c r="BQ742" i="34"/>
  <c r="BQ508" i="2"/>
  <c r="BQ744" i="34" s="1"/>
  <c r="BQ532" i="2"/>
  <c r="AS550" i="2"/>
  <c r="AS548" i="2"/>
  <c r="AS546" i="2"/>
  <c r="AS547" i="2" s="1"/>
  <c r="AS549" i="2"/>
  <c r="AP305" i="2"/>
  <c r="AP925" i="34"/>
  <c r="AP314" i="2"/>
  <c r="AP927" i="34" s="1"/>
  <c r="AP313" i="2"/>
  <c r="AP926" i="34" s="1"/>
  <c r="AP315" i="2"/>
  <c r="AP928" i="34" s="1"/>
  <c r="AP539" i="2"/>
  <c r="AP785" i="34" s="1"/>
  <c r="AP784" i="34"/>
  <c r="AL702" i="34"/>
  <c r="AL41" i="2"/>
  <c r="AL703" i="34" s="1"/>
  <c r="AP704" i="34"/>
  <c r="AP40" i="2"/>
  <c r="AQ312" i="2"/>
  <c r="AQ929" i="34"/>
  <c r="AS748" i="34"/>
  <c r="AT545" i="2"/>
  <c r="AT552" i="2"/>
  <c r="AT553" i="2" s="1"/>
  <c r="AR778" i="34"/>
  <c r="AS509" i="2"/>
  <c r="AS745" i="34" s="1"/>
  <c r="AS508" i="2"/>
  <c r="AS744" i="34" s="1"/>
  <c r="AT506" i="2"/>
  <c r="AS742" i="34"/>
  <c r="AU511" i="2"/>
  <c r="AS532" i="2"/>
  <c r="AS537" i="2" s="1"/>
  <c r="AS579" i="2"/>
  <c r="AS818" i="34" s="1"/>
  <c r="AL1213" i="34"/>
  <c r="AL1212" i="34"/>
  <c r="AX56" i="14"/>
  <c r="AX983" i="34"/>
  <c r="BB144" i="2"/>
  <c r="BB983" i="34" s="1"/>
  <c r="BM1072" i="34"/>
  <c r="BM272" i="2"/>
  <c r="BM1079" i="34" s="1"/>
  <c r="AR537" i="2"/>
  <c r="BD728" i="34"/>
  <c r="BD492" i="2"/>
  <c r="BD729" i="34" s="1"/>
  <c r="BL847" i="34"/>
  <c r="BM605" i="2"/>
  <c r="BM848" i="34" s="1"/>
  <c r="BM606" i="2"/>
  <c r="BM849" i="34" s="1"/>
  <c r="BL639" i="2"/>
  <c r="Y891" i="34"/>
  <c r="Y382" i="34"/>
  <c r="Y653" i="2"/>
  <c r="AC654" i="2" s="1"/>
  <c r="AY295" i="2"/>
  <c r="AY296" i="2"/>
  <c r="AS759" i="34"/>
  <c r="AS524" i="2"/>
  <c r="AS760" i="34" s="1"/>
  <c r="AU337" i="2"/>
  <c r="AU944" i="34" s="1"/>
  <c r="AR1022" i="34"/>
  <c r="AR1020" i="34"/>
  <c r="AR1021" i="34"/>
  <c r="CE371" i="2"/>
  <c r="AW518" i="34"/>
  <c r="BQ396" i="2"/>
  <c r="BQ373" i="2"/>
  <c r="BQ995" i="34"/>
  <c r="BQ374" i="2"/>
  <c r="AT996" i="34"/>
  <c r="AU372" i="2"/>
  <c r="AT373" i="2"/>
  <c r="AT997" i="34" s="1"/>
  <c r="AU183" i="2"/>
  <c r="AU184" i="2" s="1"/>
  <c r="AU186" i="2"/>
  <c r="AU187" i="2"/>
  <c r="AU185" i="2"/>
  <c r="BQ524" i="2"/>
  <c r="BQ760" i="34" s="1"/>
  <c r="AY173" i="2"/>
  <c r="AY172" i="2"/>
  <c r="AT498" i="2"/>
  <c r="AT735" i="34" s="1"/>
  <c r="AT521" i="2"/>
  <c r="AT757" i="34" s="1"/>
  <c r="AT520" i="2"/>
  <c r="AT756" i="34" s="1"/>
  <c r="AU518" i="2"/>
  <c r="AT754" i="34"/>
  <c r="AT522" i="2"/>
  <c r="AT758" i="34" s="1"/>
  <c r="AT523" i="2"/>
  <c r="AQ700" i="34"/>
  <c r="AQ494" i="2"/>
  <c r="AQ731" i="34" s="1"/>
  <c r="AQ698" i="34"/>
  <c r="AQ10" i="14"/>
  <c r="AR12" i="14" s="1"/>
  <c r="AQ476" i="2"/>
  <c r="AQ699" i="34"/>
  <c r="AY25" i="2"/>
  <c r="AY26" i="2"/>
  <c r="AW237" i="2"/>
  <c r="AV238" i="2"/>
  <c r="AV240" i="2"/>
  <c r="AZ235" i="2"/>
  <c r="AV219" i="2"/>
  <c r="AS503" i="2"/>
  <c r="AS739" i="34" s="1"/>
  <c r="AS501" i="2"/>
  <c r="AS737" i="34" s="1"/>
  <c r="AS502" i="2"/>
  <c r="AS738" i="34" s="1"/>
  <c r="AS499" i="2"/>
  <c r="AV86" i="2"/>
  <c r="BQ987" i="34"/>
  <c r="BQ165" i="2"/>
  <c r="BQ988" i="34" s="1"/>
  <c r="BC294" i="2"/>
  <c r="BC24" i="1"/>
  <c r="BC1217" i="34" s="1"/>
  <c r="BC22" i="2"/>
  <c r="BC171" i="2"/>
  <c r="BC70" i="2"/>
  <c r="BC68" i="2"/>
  <c r="BC69" i="2" s="1"/>
  <c r="BC73" i="2"/>
  <c r="AS374" i="2"/>
  <c r="AS998" i="34" s="1"/>
  <c r="AT371" i="2"/>
  <c r="AS375" i="2"/>
  <c r="AS999" i="34" s="1"/>
  <c r="AS995" i="34"/>
  <c r="AS396" i="2"/>
  <c r="Q30" i="35"/>
  <c r="Q22" i="35"/>
  <c r="BQ499" i="2"/>
  <c r="AW56" i="14"/>
  <c r="AW983" i="34"/>
  <c r="BA144" i="2"/>
  <c r="BA983" i="34" s="1"/>
  <c r="BS144" i="2"/>
  <c r="AU645" i="34"/>
  <c r="AJ342" i="34"/>
  <c r="AJ796" i="34"/>
  <c r="BN387" i="2"/>
  <c r="AF388" i="2"/>
  <c r="AF1011" i="34"/>
  <c r="AF534" i="34"/>
  <c r="AF389" i="2"/>
  <c r="AF377" i="2"/>
  <c r="AK423" i="2"/>
  <c r="AK1048" i="34" s="1"/>
  <c r="AK425" i="2"/>
  <c r="AK1050" i="34" s="1"/>
  <c r="AK424" i="2"/>
  <c r="AK1049" i="34" s="1"/>
  <c r="AK1047" i="34"/>
  <c r="BO237" i="14"/>
  <c r="AU690" i="34" s="1"/>
  <c r="AU689" i="34"/>
  <c r="BP237" i="14"/>
  <c r="AV690" i="34" s="1"/>
  <c r="AU326" i="34"/>
  <c r="BO803" i="34"/>
  <c r="AS154" i="2"/>
  <c r="AT154" i="2"/>
  <c r="BR150" i="2"/>
  <c r="BQ50" i="14"/>
  <c r="BQ49" i="14"/>
  <c r="AJ573" i="34"/>
  <c r="AJ1050" i="34"/>
  <c r="AV255" i="2"/>
  <c r="AR1061" i="34"/>
  <c r="AR1094" i="34"/>
  <c r="BO109" i="14"/>
  <c r="BQ153" i="2"/>
  <c r="BQ152" i="2"/>
  <c r="AF383" i="34"/>
  <c r="AF892" i="34"/>
  <c r="AN1213" i="34"/>
  <c r="AN1212" i="34"/>
  <c r="BO1072" i="34"/>
  <c r="BO272" i="2"/>
  <c r="BO1079" i="34" s="1"/>
  <c r="AK572" i="2"/>
  <c r="AK811" i="34" s="1"/>
  <c r="AK571" i="2"/>
  <c r="AK810" i="34" s="1"/>
  <c r="AK570" i="2"/>
  <c r="AK809" i="34" s="1"/>
  <c r="AK573" i="2"/>
  <c r="AK812" i="34" s="1"/>
  <c r="AK808" i="34"/>
  <c r="BP112" i="14"/>
  <c r="AO704" i="34"/>
  <c r="AO40" i="2"/>
  <c r="BQ42" i="2"/>
  <c r="BQ704" i="34" s="1"/>
  <c r="AK702" i="34"/>
  <c r="AK41" i="2"/>
  <c r="AK703" i="34" s="1"/>
  <c r="BP40" i="2"/>
  <c r="AH537" i="34"/>
  <c r="AH1014" i="34"/>
  <c r="AH387" i="2"/>
  <c r="AK987" i="34"/>
  <c r="AK165" i="2"/>
  <c r="AK988" i="34" s="1"/>
  <c r="AK793" i="34"/>
  <c r="AK559" i="2"/>
  <c r="AK557" i="2"/>
  <c r="AK794" i="34" s="1"/>
  <c r="CC569" i="2"/>
  <c r="CF569" i="2"/>
  <c r="BO808" i="34"/>
  <c r="AU331" i="34"/>
  <c r="BO572" i="2"/>
  <c r="BO570" i="2"/>
  <c r="AU570" i="34"/>
  <c r="BO1047" i="34"/>
  <c r="BO423" i="2"/>
  <c r="BO425" i="2"/>
  <c r="AP113" i="2"/>
  <c r="AP980" i="34" s="1"/>
  <c r="AP975" i="34"/>
  <c r="AP114" i="2"/>
  <c r="AP981" i="34" s="1"/>
  <c r="AP112" i="2"/>
  <c r="AP978" i="34" s="1"/>
  <c r="AP111" i="2"/>
  <c r="AP977" i="34" s="1"/>
  <c r="BO576" i="2"/>
  <c r="BO814" i="34"/>
  <c r="AJ1049" i="34"/>
  <c r="AJ572" i="34"/>
  <c r="AJ558" i="2"/>
  <c r="AJ794" i="34"/>
  <c r="AJ340" i="34"/>
  <c r="AV1211" i="34"/>
  <c r="AV42" i="2"/>
  <c r="AV704" i="34" s="1"/>
  <c r="AK1212" i="34"/>
  <c r="AK1213" i="34"/>
  <c r="BQ108" i="14"/>
  <c r="BP109" i="14"/>
  <c r="AO1211" i="34"/>
  <c r="AG1014" i="34"/>
  <c r="AI390" i="2"/>
  <c r="AJ390" i="2" s="1"/>
  <c r="AG387" i="2"/>
  <c r="AG537" i="34"/>
  <c r="AL569" i="2"/>
  <c r="AL564" i="2"/>
  <c r="AL803" i="34" s="1"/>
  <c r="AL556" i="2"/>
  <c r="AL236" i="14"/>
  <c r="AL164" i="2"/>
  <c r="AL801" i="34"/>
  <c r="AL422" i="2"/>
  <c r="AL566" i="2"/>
  <c r="AL805" i="34" s="1"/>
  <c r="AM562" i="2"/>
  <c r="AL565" i="2"/>
  <c r="AL804" i="34" s="1"/>
  <c r="AL575" i="2"/>
  <c r="AU327" i="34"/>
  <c r="BO804" i="34"/>
  <c r="BO559" i="2"/>
  <c r="AU339" i="34"/>
  <c r="BP559" i="2"/>
  <c r="BO557" i="2"/>
  <c r="BP557" i="2"/>
  <c r="BO793" i="34"/>
  <c r="BO987" i="34"/>
  <c r="BO165" i="2"/>
  <c r="BO988" i="34" s="1"/>
  <c r="BP165" i="2"/>
  <c r="BP988" i="34" s="1"/>
  <c r="AK248" i="14"/>
  <c r="AK249" i="14" s="1"/>
  <c r="BP245" i="14"/>
  <c r="BP248" i="14" s="1"/>
  <c r="BP249" i="14" s="1"/>
  <c r="BP250" i="14" s="1"/>
  <c r="BR148" i="2"/>
  <c r="BR985" i="34" s="1"/>
  <c r="BR147" i="2"/>
  <c r="BR984" i="34" s="1"/>
  <c r="BR56" i="14"/>
  <c r="BR983" i="34"/>
  <c r="BR146" i="2"/>
  <c r="AS42" i="2"/>
  <c r="AJ577" i="2"/>
  <c r="AJ816" i="34" s="1"/>
  <c r="AJ815" i="34"/>
  <c r="AJ571" i="34"/>
  <c r="AJ1048" i="34"/>
  <c r="AZ56" i="14"/>
  <c r="BD144" i="2"/>
  <c r="AZ983" i="34"/>
  <c r="AJ892" i="34"/>
  <c r="AJ647" i="2"/>
  <c r="AJ383" i="34"/>
  <c r="AY239" i="2"/>
  <c r="AY237" i="2"/>
  <c r="BC235" i="2"/>
  <c r="AY238" i="2"/>
  <c r="AY240" i="2"/>
  <c r="AY219" i="2"/>
  <c r="AO245" i="14"/>
  <c r="AO248" i="14" s="1"/>
  <c r="AO249" i="14" s="1"/>
  <c r="AN702" i="34"/>
  <c r="AN41" i="2"/>
  <c r="AN703" i="34" s="1"/>
  <c r="AI795" i="34"/>
  <c r="AI341" i="34"/>
  <c r="AK576" i="2"/>
  <c r="AK814" i="34"/>
  <c r="AK237" i="14"/>
  <c r="AK238" i="14"/>
  <c r="AS12" i="2"/>
  <c r="AS1216" i="34"/>
  <c r="AS155" i="1"/>
  <c r="U382" i="34"/>
  <c r="Y645" i="2"/>
  <c r="AC647" i="2" s="1"/>
  <c r="U653" i="2"/>
  <c r="U891" i="34"/>
  <c r="Y646" i="2"/>
  <c r="Y893" i="34" s="1"/>
  <c r="BP176" i="2"/>
  <c r="AT1219" i="34"/>
  <c r="AT23" i="1"/>
  <c r="BD228" i="2"/>
  <c r="AZ231" i="2"/>
  <c r="AZ233" i="2"/>
  <c r="AZ223" i="2" s="1"/>
  <c r="AT38" i="2"/>
  <c r="AT37" i="2"/>
  <c r="AU139" i="2"/>
  <c r="AU138" i="2"/>
  <c r="AU140" i="2"/>
  <c r="AU34" i="2"/>
  <c r="AU26" i="1"/>
  <c r="AV136" i="2"/>
  <c r="BB288" i="2"/>
  <c r="BB1095" i="34" s="1"/>
  <c r="AD75" i="1"/>
  <c r="AD58" i="34"/>
  <c r="AD1264" i="34"/>
  <c r="AV37" i="34"/>
  <c r="BQ62" i="1"/>
  <c r="BQ47" i="1"/>
  <c r="AV38" i="34" s="1"/>
  <c r="BQ137" i="1"/>
  <c r="BP247" i="1"/>
  <c r="BP106" i="1"/>
  <c r="AU202" i="34"/>
  <c r="BP239" i="1"/>
  <c r="AU225" i="34" s="1"/>
  <c r="O1240" i="34"/>
  <c r="O38" i="34"/>
  <c r="AC100" i="1"/>
  <c r="AC53" i="1"/>
  <c r="AC50" i="1"/>
  <c r="AC1243" i="34" s="1"/>
  <c r="AC51" i="1"/>
  <c r="AC1242" i="34"/>
  <c r="AC18" i="14"/>
  <c r="AD22" i="14" s="1"/>
  <c r="AD586" i="34" s="1"/>
  <c r="AC40" i="34"/>
  <c r="O41" i="34"/>
  <c r="O1244" i="34"/>
  <c r="X55" i="34"/>
  <c r="X1260" i="34"/>
  <c r="BG51" i="1"/>
  <c r="BH50" i="1"/>
  <c r="BH53" i="1"/>
  <c r="AM42" i="34" s="1"/>
  <c r="AL40" i="34"/>
  <c r="BQ176" i="2"/>
  <c r="E14" i="35"/>
  <c r="AI18" i="14"/>
  <c r="AI1242" i="34"/>
  <c r="AI50" i="1"/>
  <c r="AI1243" i="34" s="1"/>
  <c r="AI100" i="1"/>
  <c r="AI109" i="1" s="1"/>
  <c r="AI97" i="34" s="1"/>
  <c r="AI51" i="1"/>
  <c r="AI53" i="1"/>
  <c r="AI40" i="34"/>
  <c r="AN137" i="1"/>
  <c r="AN62" i="1"/>
  <c r="AN47" i="1"/>
  <c r="AN1240" i="34" s="1"/>
  <c r="AN1239" i="34"/>
  <c r="Q48" i="34"/>
  <c r="Q64" i="1"/>
  <c r="Q71" i="1" s="1"/>
  <c r="Q1253" i="34"/>
  <c r="BI51" i="1"/>
  <c r="BJ52" i="1" s="1"/>
  <c r="BI100" i="1"/>
  <c r="AN40" i="34"/>
  <c r="BI53" i="1"/>
  <c r="AN42" i="34" s="1"/>
  <c r="BI50" i="1"/>
  <c r="AH140" i="1"/>
  <c r="AH128" i="34" s="1"/>
  <c r="AH125" i="34"/>
  <c r="P40" i="34"/>
  <c r="P1242" i="34"/>
  <c r="P100" i="1"/>
  <c r="P51" i="1"/>
  <c r="AG103" i="34"/>
  <c r="AG121" i="1"/>
  <c r="AG109" i="34" s="1"/>
  <c r="Y67" i="1"/>
  <c r="Y1255" i="34"/>
  <c r="Y50" i="34"/>
  <c r="Y73" i="1"/>
  <c r="AV193" i="34"/>
  <c r="AW1226" i="34"/>
  <c r="S6" i="1"/>
  <c r="AU157" i="2"/>
  <c r="AT160" i="2"/>
  <c r="AT161" i="2"/>
  <c r="AT159" i="2"/>
  <c r="BL191" i="14"/>
  <c r="AR652" i="34" s="1"/>
  <c r="AR647" i="34"/>
  <c r="AE50" i="34"/>
  <c r="AE1255" i="34"/>
  <c r="AE67" i="1"/>
  <c r="AE73" i="1"/>
  <c r="V38" i="34"/>
  <c r="V1240" i="34"/>
  <c r="N1240" i="34"/>
  <c r="N38" i="34"/>
  <c r="T125" i="34"/>
  <c r="T140" i="1"/>
  <c r="T128" i="34" s="1"/>
  <c r="P50" i="34"/>
  <c r="P73" i="1"/>
  <c r="P67" i="1"/>
  <c r="P1255" i="34"/>
  <c r="O15" i="35"/>
  <c r="O34" i="35" s="1"/>
  <c r="O33" i="35"/>
  <c r="AA383" i="34"/>
  <c r="AA892" i="34"/>
  <c r="R35" i="34"/>
  <c r="R1237" i="34"/>
  <c r="V34" i="4"/>
  <c r="W1313" i="34"/>
  <c r="X34" i="4"/>
  <c r="M22" i="42"/>
  <c r="M19" i="42"/>
  <c r="BJ50" i="1"/>
  <c r="M1271" i="34"/>
  <c r="M65" i="34"/>
  <c r="AD78" i="1"/>
  <c r="AD201" i="1"/>
  <c r="AD60" i="34"/>
  <c r="AD77" i="1"/>
  <c r="AD1266" i="34"/>
  <c r="BL47" i="1"/>
  <c r="AQ38" i="34" s="1"/>
  <c r="BL62" i="1"/>
  <c r="BL137" i="1"/>
  <c r="CL46" i="1"/>
  <c r="AQ37" i="34"/>
  <c r="AD88" i="34"/>
  <c r="BM197" i="14"/>
  <c r="Z38" i="34"/>
  <c r="Z1240" i="34"/>
  <c r="AG35" i="34"/>
  <c r="AG1237" i="34"/>
  <c r="AE40" i="34"/>
  <c r="AE18" i="14"/>
  <c r="AE53" i="1"/>
  <c r="AE100" i="1"/>
  <c r="AE1242" i="34"/>
  <c r="AE50" i="1"/>
  <c r="AE1243" i="34" s="1"/>
  <c r="AE51" i="1"/>
  <c r="W64" i="1"/>
  <c r="W71" i="1" s="1"/>
  <c r="W1253" i="34"/>
  <c r="W48" i="34"/>
  <c r="R50" i="34"/>
  <c r="R67" i="1"/>
  <c r="R73" i="1"/>
  <c r="R1255" i="34"/>
  <c r="BL157" i="14"/>
  <c r="AR641" i="34" s="1"/>
  <c r="AR636" i="34"/>
  <c r="AH103" i="34"/>
  <c r="AH121" i="1"/>
  <c r="AH109" i="34" s="1"/>
  <c r="BN272" i="2"/>
  <c r="BN1079" i="34" s="1"/>
  <c r="BN1072" i="34"/>
  <c r="AR34" i="34"/>
  <c r="BM49" i="1"/>
  <c r="BM136" i="1"/>
  <c r="AR124" i="34" s="1"/>
  <c r="BM60" i="1"/>
  <c r="CM43" i="1"/>
  <c r="BM44" i="1"/>
  <c r="AR35" i="34" s="1"/>
  <c r="O125" i="34"/>
  <c r="O140" i="1"/>
  <c r="O128" i="34" s="1"/>
  <c r="BQ189" i="1"/>
  <c r="AV178" i="34" s="1"/>
  <c r="BQ190" i="1"/>
  <c r="AV179" i="34" s="1"/>
  <c r="AV30" i="34"/>
  <c r="AI1237" i="34"/>
  <c r="AI35" i="34"/>
  <c r="AO294" i="1"/>
  <c r="M1264" i="34"/>
  <c r="M58" i="34"/>
  <c r="M75" i="1"/>
  <c r="AI1255" i="34"/>
  <c r="AI67" i="1"/>
  <c r="AI73" i="1"/>
  <c r="AI50" i="34"/>
  <c r="AU378" i="34"/>
  <c r="BO885" i="34"/>
  <c r="AU176" i="1"/>
  <c r="AD907" i="34"/>
  <c r="AD659" i="2"/>
  <c r="AD906" i="34" s="1"/>
  <c r="U1239" i="34"/>
  <c r="U137" i="1"/>
  <c r="U47" i="1"/>
  <c r="U62" i="1"/>
  <c r="U37" i="34"/>
  <c r="Q35" i="34"/>
  <c r="Q1237" i="34"/>
  <c r="BI64" i="1"/>
  <c r="BI71" i="1" s="1"/>
  <c r="AN48" i="34"/>
  <c r="BN646" i="2"/>
  <c r="BN893" i="34" s="1"/>
  <c r="AT382" i="34"/>
  <c r="BN645" i="2"/>
  <c r="BN891" i="34"/>
  <c r="T1253" i="34"/>
  <c r="T48" i="34"/>
  <c r="T64" i="1"/>
  <c r="T71" i="1" s="1"/>
  <c r="AO58" i="34"/>
  <c r="BJ75" i="1"/>
  <c r="P1237" i="34"/>
  <c r="P35" i="34"/>
  <c r="BB289" i="2"/>
  <c r="BB1096" i="34" s="1"/>
  <c r="V1237" i="34"/>
  <c r="V35" i="34"/>
  <c r="AF647" i="2"/>
  <c r="AB892" i="34"/>
  <c r="AB383" i="34"/>
  <c r="AB140" i="1"/>
  <c r="AB128" i="34" s="1"/>
  <c r="AB125" i="34"/>
  <c r="Y1240" i="34"/>
  <c r="Y38" i="34"/>
  <c r="M41" i="34"/>
  <c r="M1244" i="34"/>
  <c r="AQ604" i="2"/>
  <c r="AQ842" i="34"/>
  <c r="AC140" i="1"/>
  <c r="AC128" i="34" s="1"/>
  <c r="AC125" i="34"/>
  <c r="AC383" i="34"/>
  <c r="AC892" i="34"/>
  <c r="AG647" i="2"/>
  <c r="AG892" i="34"/>
  <c r="AG383" i="34"/>
  <c r="AO60" i="34"/>
  <c r="BJ78" i="1"/>
  <c r="AO65" i="34" s="1"/>
  <c r="BJ77" i="1"/>
  <c r="AO64" i="34" s="1"/>
  <c r="BJ201" i="1"/>
  <c r="AK647" i="2"/>
  <c r="AK894" i="34" s="1"/>
  <c r="AE1240" i="34"/>
  <c r="AE38" i="34"/>
  <c r="Y1253" i="34"/>
  <c r="Y48" i="34"/>
  <c r="Y64" i="1"/>
  <c r="Y71" i="1" s="1"/>
  <c r="P1240" i="34"/>
  <c r="P38" i="34"/>
  <c r="AE383" i="34"/>
  <c r="AE892" i="34"/>
  <c r="AE647" i="2"/>
  <c r="AI647" i="2"/>
  <c r="Z1306" i="34"/>
  <c r="AA27" i="4"/>
  <c r="BI21" i="14"/>
  <c r="AO585" i="34" s="1"/>
  <c r="AO582" i="34"/>
  <c r="M19" i="40"/>
  <c r="M22" i="40"/>
  <c r="Q16" i="4"/>
  <c r="Q1295" i="34" s="1"/>
  <c r="AS201" i="34"/>
  <c r="Q16" i="42"/>
  <c r="Q16" i="40"/>
  <c r="X142" i="1"/>
  <c r="AD1260" i="34"/>
  <c r="AD55" i="34"/>
  <c r="AB35" i="34"/>
  <c r="AB1237" i="34"/>
  <c r="Z140" i="1"/>
  <c r="Z128" i="34" s="1"/>
  <c r="Z125" i="34"/>
  <c r="S1240" i="34"/>
  <c r="S38" i="34"/>
  <c r="AI249" i="1"/>
  <c r="AI233" i="34"/>
  <c r="AT34" i="34"/>
  <c r="BO49" i="1"/>
  <c r="BO60" i="1"/>
  <c r="BO44" i="1"/>
  <c r="AT35" i="34" s="1"/>
  <c r="BO136" i="1"/>
  <c r="AT124" i="34" s="1"/>
  <c r="W35" i="34"/>
  <c r="W1237" i="34"/>
  <c r="W1242" i="34"/>
  <c r="AA53" i="1"/>
  <c r="W18" i="14"/>
  <c r="W53" i="1"/>
  <c r="AA50" i="1"/>
  <c r="AA1243" i="34" s="1"/>
  <c r="W40" i="34"/>
  <c r="W50" i="1"/>
  <c r="W1243" i="34" s="1"/>
  <c r="W51" i="1"/>
  <c r="W100" i="1"/>
  <c r="R38" i="34"/>
  <c r="R1240" i="34"/>
  <c r="AM252" i="1"/>
  <c r="AD294" i="1"/>
  <c r="AD1257" i="34"/>
  <c r="AD52" i="34"/>
  <c r="AN49" i="1"/>
  <c r="AN1236" i="34"/>
  <c r="AN60" i="1"/>
  <c r="AN44" i="1"/>
  <c r="AN1237" i="34" s="1"/>
  <c r="AN136" i="1"/>
  <c r="BN137" i="1"/>
  <c r="AS37" i="34"/>
  <c r="BN62" i="1"/>
  <c r="BN47" i="1"/>
  <c r="AS38" i="34" s="1"/>
  <c r="CN46" i="1"/>
  <c r="AK250" i="1"/>
  <c r="AG235" i="34"/>
  <c r="AG239" i="34"/>
  <c r="AG252" i="1"/>
  <c r="AG238" i="34" s="1"/>
  <c r="AK47" i="1"/>
  <c r="AK1240" i="34" s="1"/>
  <c r="AK62" i="1"/>
  <c r="AK137" i="1"/>
  <c r="AK1239" i="34"/>
  <c r="AM140" i="1"/>
  <c r="AM142" i="1" s="1"/>
  <c r="BB290" i="2"/>
  <c r="BB1097" i="34" s="1"/>
  <c r="AC35" i="34"/>
  <c r="AC1237" i="34"/>
  <c r="BY102" i="14"/>
  <c r="BY75" i="14"/>
  <c r="X1266" i="34"/>
  <c r="X60" i="34"/>
  <c r="X78" i="1"/>
  <c r="X77" i="1"/>
  <c r="X201" i="1"/>
  <c r="AV32" i="34"/>
  <c r="AM1242" i="34"/>
  <c r="K14" i="35"/>
  <c r="AM53" i="1"/>
  <c r="AM100" i="1"/>
  <c r="AM109" i="1" s="1"/>
  <c r="AM50" i="1"/>
  <c r="AM1243" i="34" s="1"/>
  <c r="AM18" i="14"/>
  <c r="AM51" i="1"/>
  <c r="AI1253" i="34"/>
  <c r="AI48" i="34"/>
  <c r="AI64" i="1"/>
  <c r="AI71" i="1" s="1"/>
  <c r="M52" i="34"/>
  <c r="M1257" i="34"/>
  <c r="M294" i="1"/>
  <c r="AL140" i="1"/>
  <c r="AL142" i="1" s="1"/>
  <c r="AI125" i="34"/>
  <c r="AI140" i="1"/>
  <c r="AI128" i="34" s="1"/>
  <c r="AP37" i="34"/>
  <c r="BK137" i="1"/>
  <c r="BK47" i="1"/>
  <c r="AP38" i="34" s="1"/>
  <c r="BK62" i="1"/>
  <c r="Q50" i="1"/>
  <c r="Q1243" i="34" s="1"/>
  <c r="Q18" i="14"/>
  <c r="Q51" i="1"/>
  <c r="Q100" i="1"/>
  <c r="Q53" i="1"/>
  <c r="Q40" i="34"/>
  <c r="Q1242" i="34"/>
  <c r="T50" i="1"/>
  <c r="T1243" i="34" s="1"/>
  <c r="T1242" i="34"/>
  <c r="T53" i="1"/>
  <c r="T18" i="14"/>
  <c r="T51" i="1"/>
  <c r="T40" i="34"/>
  <c r="T100" i="1"/>
  <c r="X53" i="1"/>
  <c r="X50" i="1"/>
  <c r="X1243" i="34" s="1"/>
  <c r="BJ294" i="1"/>
  <c r="AO52" i="34"/>
  <c r="P1253" i="34"/>
  <c r="P64" i="1"/>
  <c r="P71" i="1" s="1"/>
  <c r="P48" i="34"/>
  <c r="V657" i="2"/>
  <c r="V904" i="34" s="1"/>
  <c r="V900" i="34"/>
  <c r="V389" i="34"/>
  <c r="V64" i="1"/>
  <c r="V71" i="1" s="1"/>
  <c r="V1253" i="34"/>
  <c r="V48" i="34"/>
  <c r="BX192" i="2"/>
  <c r="AB50" i="34"/>
  <c r="AB73" i="1"/>
  <c r="AB1255" i="34"/>
  <c r="AB67" i="1"/>
  <c r="AU1229" i="34"/>
  <c r="AL49" i="1"/>
  <c r="AL136" i="1"/>
  <c r="AL60" i="1"/>
  <c r="AL44" i="1"/>
  <c r="AL1237" i="34" s="1"/>
  <c r="AL1236" i="34"/>
  <c r="AK60" i="1"/>
  <c r="AK1236" i="34"/>
  <c r="AK44" i="1"/>
  <c r="AK1237" i="34" s="1"/>
  <c r="AK49" i="1"/>
  <c r="AK136" i="1"/>
  <c r="Y140" i="1"/>
  <c r="Y128" i="34" s="1"/>
  <c r="Y125" i="34"/>
  <c r="AV21" i="34"/>
  <c r="AV636" i="34"/>
  <c r="BP157" i="14"/>
  <c r="AV641" i="34" s="1"/>
  <c r="AL50" i="34"/>
  <c r="BG73" i="1"/>
  <c r="BG67" i="1"/>
  <c r="AL55" i="34" s="1"/>
  <c r="AV626" i="34"/>
  <c r="BP125" i="14"/>
  <c r="AV631" i="34" s="1"/>
  <c r="AC1240" i="34"/>
  <c r="AC38" i="34"/>
  <c r="U6" i="2"/>
  <c r="T5" i="2"/>
  <c r="AV377" i="34"/>
  <c r="BP884" i="34"/>
  <c r="BP644" i="2"/>
  <c r="BP640" i="2"/>
  <c r="AE140" i="1"/>
  <c r="AE128" i="34" s="1"/>
  <c r="AE125" i="34"/>
  <c r="V140" i="1"/>
  <c r="V128" i="34" s="1"/>
  <c r="V125" i="34"/>
  <c r="N125" i="34"/>
  <c r="N140" i="1"/>
  <c r="N128" i="34" s="1"/>
  <c r="T1255" i="34"/>
  <c r="T50" i="34"/>
  <c r="T73" i="1"/>
  <c r="T67" i="1"/>
  <c r="S48" i="34"/>
  <c r="S1253" i="34"/>
  <c r="S64" i="1"/>
  <c r="S71" i="1" s="1"/>
  <c r="S100" i="1"/>
  <c r="S51" i="1"/>
  <c r="S53" i="1"/>
  <c r="S1242" i="34"/>
  <c r="S18" i="14"/>
  <c r="S50" i="1"/>
  <c r="S1243" i="34" s="1"/>
  <c r="S40" i="34"/>
  <c r="P125" i="34"/>
  <c r="P140" i="1"/>
  <c r="P128" i="34" s="1"/>
  <c r="AO110" i="1"/>
  <c r="AO109" i="1"/>
  <c r="AA657" i="2"/>
  <c r="AA904" i="34" s="1"/>
  <c r="AA900" i="34"/>
  <c r="AA660" i="2"/>
  <c r="AA907" i="34" s="1"/>
  <c r="AA389" i="34"/>
  <c r="AA654" i="2"/>
  <c r="AE654" i="2"/>
  <c r="R40" i="34"/>
  <c r="R100" i="1"/>
  <c r="R1242" i="34"/>
  <c r="R18" i="14"/>
  <c r="R53" i="1"/>
  <c r="R51" i="1"/>
  <c r="R50" i="1"/>
  <c r="R1243" i="34" s="1"/>
  <c r="M19" i="4"/>
  <c r="M1293" i="34"/>
  <c r="M22" i="4"/>
  <c r="M1301" i="34" s="1"/>
  <c r="AO41" i="34"/>
  <c r="BI19" i="14"/>
  <c r="AO583" i="34" s="1"/>
  <c r="O75" i="1"/>
  <c r="O1264" i="34"/>
  <c r="O58" i="34"/>
  <c r="AG1240" i="34"/>
  <c r="AG38" i="34"/>
  <c r="BA33" i="1"/>
  <c r="BA1226" i="34" s="1"/>
  <c r="AD42" i="34"/>
  <c r="AD20" i="14"/>
  <c r="AD584" i="34" s="1"/>
  <c r="AD1246" i="34"/>
  <c r="BM891" i="34"/>
  <c r="BM653" i="2"/>
  <c r="AS382" i="34"/>
  <c r="AB1242" i="34"/>
  <c r="AB51" i="1"/>
  <c r="AB100" i="1"/>
  <c r="AB40" i="34"/>
  <c r="AB18" i="14"/>
  <c r="AB53" i="1"/>
  <c r="AB50" i="1"/>
  <c r="AB1243" i="34" s="1"/>
  <c r="AF50" i="1"/>
  <c r="AF1243" i="34" s="1"/>
  <c r="AF53" i="1"/>
  <c r="Z50" i="34"/>
  <c r="Z73" i="1"/>
  <c r="Z1255" i="34"/>
  <c r="Z67" i="1"/>
  <c r="S73" i="1"/>
  <c r="S1255" i="34"/>
  <c r="S67" i="1"/>
  <c r="S50" i="34"/>
  <c r="AI94" i="34"/>
  <c r="AI113" i="1"/>
  <c r="AI101" i="34" s="1"/>
  <c r="AI115" i="1"/>
  <c r="P16" i="42"/>
  <c r="P16" i="4"/>
  <c r="P1295" i="34" s="1"/>
  <c r="P16" i="40"/>
  <c r="AR201" i="34"/>
  <c r="AG48" i="34"/>
  <c r="AG1253" i="34"/>
  <c r="AG64" i="1"/>
  <c r="AG71" i="1" s="1"/>
  <c r="AE64" i="1"/>
  <c r="AE71" i="1" s="1"/>
  <c r="AE1253" i="34"/>
  <c r="AE48" i="34"/>
  <c r="AE1237" i="34"/>
  <c r="AE35" i="34"/>
  <c r="BO47" i="1"/>
  <c r="AT38" i="34" s="1"/>
  <c r="BO137" i="1"/>
  <c r="AT37" i="34"/>
  <c r="BO62" i="1"/>
  <c r="Q38" i="34"/>
  <c r="Q1240" i="34"/>
  <c r="AZ1064" i="34"/>
  <c r="AZ290" i="2"/>
  <c r="AZ1097" i="34" s="1"/>
  <c r="BD258" i="2"/>
  <c r="W1255" i="34"/>
  <c r="W67" i="1"/>
  <c r="W73" i="1"/>
  <c r="W50" i="34"/>
  <c r="BN49" i="1"/>
  <c r="BN44" i="1"/>
  <c r="AS35" i="34" s="1"/>
  <c r="BN136" i="1"/>
  <c r="AS124" i="34" s="1"/>
  <c r="BN60" i="1"/>
  <c r="AS34" i="34"/>
  <c r="CJ41" i="1"/>
  <c r="CM41" i="1"/>
  <c r="BM46" i="1"/>
  <c r="AR32" i="34"/>
  <c r="AM1255" i="34"/>
  <c r="AM73" i="1"/>
  <c r="AM67" i="1"/>
  <c r="AM1260" i="34" s="1"/>
  <c r="O73" i="1"/>
  <c r="O67" i="1"/>
  <c r="O50" i="34"/>
  <c r="O1255" i="34"/>
  <c r="AC48" i="34"/>
  <c r="AC64" i="1"/>
  <c r="AC1253" i="34"/>
  <c r="O88" i="34"/>
  <c r="AL48" i="34"/>
  <c r="BG64" i="1"/>
  <c r="AM1253" i="34"/>
  <c r="AM64" i="1"/>
  <c r="BP44" i="1"/>
  <c r="AU35" i="34" s="1"/>
  <c r="AU34" i="34"/>
  <c r="BP60" i="1"/>
  <c r="BP49" i="1"/>
  <c r="BP136" i="1"/>
  <c r="AU124" i="34" s="1"/>
  <c r="AL73" i="1"/>
  <c r="AL1255" i="34"/>
  <c r="AL67" i="1"/>
  <c r="AL1260" i="34" s="1"/>
  <c r="AI38" i="34"/>
  <c r="AI1240" i="34"/>
  <c r="T1237" i="34"/>
  <c r="T35" i="34"/>
  <c r="AH1255" i="34"/>
  <c r="AH50" i="34"/>
  <c r="AH73" i="1"/>
  <c r="AH67" i="1"/>
  <c r="AH1240" i="34"/>
  <c r="AH38" i="34"/>
  <c r="CN41" i="1"/>
  <c r="AP606" i="2"/>
  <c r="AP849" i="34" s="1"/>
  <c r="AP847" i="34"/>
  <c r="AP605" i="2"/>
  <c r="AP848" i="34" s="1"/>
  <c r="AP639" i="2"/>
  <c r="V100" i="1"/>
  <c r="V18" i="14"/>
  <c r="Z50" i="1"/>
  <c r="Z1243" i="34" s="1"/>
  <c r="V50" i="1"/>
  <c r="V1243" i="34" s="1"/>
  <c r="Z53" i="1"/>
  <c r="V53" i="1"/>
  <c r="V1242" i="34"/>
  <c r="V51" i="1"/>
  <c r="V40" i="34"/>
  <c r="X900" i="34"/>
  <c r="X389" i="34"/>
  <c r="X657" i="2"/>
  <c r="X904" i="34" s="1"/>
  <c r="AB654" i="2"/>
  <c r="AB1240" i="34"/>
  <c r="AB38" i="34"/>
  <c r="BL60" i="1"/>
  <c r="AQ34" i="34"/>
  <c r="CL43" i="1"/>
  <c r="BL44" i="1"/>
  <c r="AQ35" i="34" s="1"/>
  <c r="BL49" i="1"/>
  <c r="BL136" i="1"/>
  <c r="AQ124" i="34" s="1"/>
  <c r="M110" i="1"/>
  <c r="M98" i="34" s="1"/>
  <c r="M105" i="1"/>
  <c r="M109" i="1"/>
  <c r="M97" i="34" s="1"/>
  <c r="M88" i="34"/>
  <c r="BQ43" i="1"/>
  <c r="CN43" i="1" s="1"/>
  <c r="AB13" i="35"/>
  <c r="I46" i="35"/>
  <c r="AS600" i="2"/>
  <c r="AR843" i="34"/>
  <c r="AR599" i="2"/>
  <c r="BO645" i="2"/>
  <c r="AC73" i="1"/>
  <c r="AC50" i="34"/>
  <c r="AC67" i="1"/>
  <c r="AC1255" i="34"/>
  <c r="AH252" i="1"/>
  <c r="AH238" i="34" s="1"/>
  <c r="AH235" i="34"/>
  <c r="AH239" i="34"/>
  <c r="AL250" i="1"/>
  <c r="U34" i="34"/>
  <c r="U60" i="1"/>
  <c r="U136" i="1"/>
  <c r="U124" i="34" s="1"/>
  <c r="U1236" i="34"/>
  <c r="U49" i="1"/>
  <c r="Y50" i="1" s="1"/>
  <c r="Y1243" i="34" s="1"/>
  <c r="U44" i="1"/>
  <c r="AC900" i="34"/>
  <c r="AC389" i="34"/>
  <c r="AC660" i="2"/>
  <c r="AC657" i="2"/>
  <c r="AC904" i="34" s="1"/>
  <c r="V50" i="34"/>
  <c r="V1255" i="34"/>
  <c r="V67" i="1"/>
  <c r="V73" i="1"/>
  <c r="N1255" i="34"/>
  <c r="N73" i="1"/>
  <c r="N67" i="1"/>
  <c r="N50" i="34"/>
  <c r="T1240" i="34"/>
  <c r="T38" i="34"/>
  <c r="S35" i="34"/>
  <c r="S1237" i="34"/>
  <c r="Y18" i="14"/>
  <c r="Y100" i="1"/>
  <c r="Y51" i="1"/>
  <c r="Y40" i="34"/>
  <c r="Y1242" i="34"/>
  <c r="Y1237" i="34"/>
  <c r="Y35" i="34"/>
  <c r="AO1244" i="34"/>
  <c r="AO19" i="14"/>
  <c r="R48" i="34"/>
  <c r="R1253" i="34"/>
  <c r="R64" i="1"/>
  <c r="AN645" i="2"/>
  <c r="AN891" i="34"/>
  <c r="AN646" i="2"/>
  <c r="AN893" i="34" s="1"/>
  <c r="AO88" i="34"/>
  <c r="BJ53" i="1"/>
  <c r="O294" i="1"/>
  <c r="O1257" i="34"/>
  <c r="O52" i="34"/>
  <c r="AG125" i="34"/>
  <c r="AG140" i="1"/>
  <c r="AG128" i="34" s="1"/>
  <c r="AG73" i="1"/>
  <c r="AG1255" i="34"/>
  <c r="AG50" i="34"/>
  <c r="AG67" i="1"/>
  <c r="BI73" i="1"/>
  <c r="BI67" i="1"/>
  <c r="AN55" i="34" s="1"/>
  <c r="AN50" i="34"/>
  <c r="M64" i="34"/>
  <c r="M1270" i="34"/>
  <c r="BB286" i="2"/>
  <c r="BB1093" i="34" s="1"/>
  <c r="BB262" i="2"/>
  <c r="BB1068" i="34" s="1"/>
  <c r="AD41" i="34"/>
  <c r="AH52" i="1"/>
  <c r="AH1245" i="34" s="1"/>
  <c r="AD1244" i="34"/>
  <c r="AD19" i="14"/>
  <c r="AD583" i="34" s="1"/>
  <c r="AD582" i="34"/>
  <c r="AH21" i="14"/>
  <c r="AH585" i="34" s="1"/>
  <c r="AH42" i="34"/>
  <c r="AH1246" i="34"/>
  <c r="AH20" i="14"/>
  <c r="AH584" i="34" s="1"/>
  <c r="AB48" i="34"/>
  <c r="AB1253" i="34"/>
  <c r="AB64" i="1"/>
  <c r="S140" i="1"/>
  <c r="S128" i="34" s="1"/>
  <c r="S125" i="34"/>
  <c r="AP34" i="34"/>
  <c r="BK60" i="1"/>
  <c r="BK49" i="1"/>
  <c r="BK136" i="1"/>
  <c r="AP124" i="34" s="1"/>
  <c r="BK44" i="1"/>
  <c r="AP35" i="34" s="1"/>
  <c r="AG40" i="34"/>
  <c r="AG18" i="14"/>
  <c r="AG51" i="1"/>
  <c r="AG50" i="1"/>
  <c r="AG1243" i="34" s="1"/>
  <c r="AG100" i="1"/>
  <c r="C14" i="35"/>
  <c r="AG53" i="1"/>
  <c r="AG1242" i="34"/>
  <c r="AO644" i="2"/>
  <c r="AO884" i="34"/>
  <c r="AO640" i="2"/>
  <c r="AO885" i="34" s="1"/>
  <c r="R125" i="34"/>
  <c r="R140" i="1"/>
  <c r="R128" i="34" s="1"/>
  <c r="Q50" i="34"/>
  <c r="Q1255" i="34"/>
  <c r="Q73" i="1"/>
  <c r="Q67" i="1"/>
  <c r="Q125" i="34"/>
  <c r="Q140" i="1"/>
  <c r="Q128" i="34" s="1"/>
  <c r="AM115" i="1"/>
  <c r="AM121" i="1" s="1"/>
  <c r="AM107" i="1"/>
  <c r="AM113" i="1"/>
  <c r="BP137" i="1"/>
  <c r="BB287" i="2"/>
  <c r="BB1094" i="34" s="1"/>
  <c r="W1240" i="34"/>
  <c r="W38" i="34"/>
  <c r="W125" i="34"/>
  <c r="W140" i="1"/>
  <c r="W128" i="34" s="1"/>
  <c r="AR315" i="2" l="1"/>
  <c r="AR313" i="2"/>
  <c r="AN126" i="2"/>
  <c r="AR124" i="2"/>
  <c r="U11" i="40"/>
  <c r="U12" i="40" s="1"/>
  <c r="U11" i="42"/>
  <c r="U12" i="42" s="1"/>
  <c r="AQ21" i="1"/>
  <c r="AQ18" i="1" s="1"/>
  <c r="AR109" i="2"/>
  <c r="AQ111" i="2"/>
  <c r="AQ112" i="2"/>
  <c r="AQ114" i="2"/>
  <c r="AQ981" i="34" s="1"/>
  <c r="AV87" i="2"/>
  <c r="AW183" i="2"/>
  <c r="AW184" i="2" s="1"/>
  <c r="AW187" i="2"/>
  <c r="AZ13" i="1"/>
  <c r="BT13" i="1" s="1"/>
  <c r="AS15" i="1"/>
  <c r="AS1213" i="34" s="1"/>
  <c r="AT258" i="1"/>
  <c r="AT14" i="1"/>
  <c r="AT15" i="1" s="1"/>
  <c r="U11" i="35"/>
  <c r="AW185" i="2"/>
  <c r="AR15" i="1"/>
  <c r="AR1213" i="34" s="1"/>
  <c r="BR14" i="1"/>
  <c r="CR19" i="1"/>
  <c r="BP539" i="2"/>
  <c r="BP785" i="34" s="1"/>
  <c r="BR155" i="1"/>
  <c r="BQ502" i="2"/>
  <c r="BQ738" i="34" s="1"/>
  <c r="AM250" i="1"/>
  <c r="AI253" i="1"/>
  <c r="BS228" i="2"/>
  <c r="BS229" i="2" s="1"/>
  <c r="AR736" i="34"/>
  <c r="BS25" i="2"/>
  <c r="BS23" i="2"/>
  <c r="AS14" i="2"/>
  <c r="AS13" i="2"/>
  <c r="AR700" i="34"/>
  <c r="AJ206" i="2"/>
  <c r="AZ288" i="2"/>
  <c r="AZ1095" i="34" s="1"/>
  <c r="AZ1062" i="34"/>
  <c r="AR1068" i="34"/>
  <c r="AW83" i="2"/>
  <c r="AW427" i="2" s="1"/>
  <c r="BQ756" i="34"/>
  <c r="AU334" i="2"/>
  <c r="AU941" i="34" s="1"/>
  <c r="AW474" i="34"/>
  <c r="AV333" i="2"/>
  <c r="AR1062" i="34"/>
  <c r="AR1095" i="34"/>
  <c r="AV288" i="2"/>
  <c r="AV1095" i="34" s="1"/>
  <c r="AV1062" i="34"/>
  <c r="O14" i="40"/>
  <c r="O14" i="42"/>
  <c r="R14" i="40"/>
  <c r="R14" i="42"/>
  <c r="R19" i="42" s="1"/>
  <c r="N14" i="40"/>
  <c r="N14" i="42"/>
  <c r="AH93" i="34"/>
  <c r="AH123" i="1"/>
  <c r="AV1060" i="34"/>
  <c r="AZ254" i="2"/>
  <c r="AV286" i="2"/>
  <c r="AV1093" i="34" s="1"/>
  <c r="S14" i="40"/>
  <c r="S14" i="42"/>
  <c r="Q14" i="42"/>
  <c r="Q14" i="40"/>
  <c r="P14" i="40"/>
  <c r="P14" i="42"/>
  <c r="AS260" i="2"/>
  <c r="AW493" i="34"/>
  <c r="BR218" i="2"/>
  <c r="BQ12" i="2"/>
  <c r="AR494" i="2"/>
  <c r="AR731" i="34" s="1"/>
  <c r="AR476" i="2"/>
  <c r="AR699" i="34"/>
  <c r="BQ40" i="2"/>
  <c r="AR698" i="34"/>
  <c r="AR712" i="34"/>
  <c r="AZ232" i="2"/>
  <c r="AW230" i="2"/>
  <c r="AD21" i="14"/>
  <c r="AD585" i="34" s="1"/>
  <c r="AZ230" i="2"/>
  <c r="AA22" i="14"/>
  <c r="AA586" i="34" s="1"/>
  <c r="BD256" i="2"/>
  <c r="Z892" i="34"/>
  <c r="BP272" i="2"/>
  <c r="BP1079" i="34" s="1"/>
  <c r="BS235" i="2"/>
  <c r="BS219" i="2" s="1"/>
  <c r="AQ114" i="14"/>
  <c r="AQ115" i="14" s="1"/>
  <c r="AQ74" i="14"/>
  <c r="AR80" i="14" s="1"/>
  <c r="AQ171" i="14"/>
  <c r="AQ53" i="14"/>
  <c r="AQ54" i="14" s="1"/>
  <c r="AQ147" i="14"/>
  <c r="AQ148" i="14" s="1"/>
  <c r="AQ186" i="14"/>
  <c r="AY231" i="2"/>
  <c r="BC228" i="2"/>
  <c r="AY232" i="2"/>
  <c r="AY230" i="2"/>
  <c r="AY233" i="2"/>
  <c r="AY223" i="2" s="1"/>
  <c r="BB172" i="2"/>
  <c r="BB173" i="2"/>
  <c r="AO1257" i="34"/>
  <c r="T944" i="34"/>
  <c r="AR935" i="34"/>
  <c r="AO71" i="1"/>
  <c r="AO75" i="1" s="1"/>
  <c r="AO1268" i="34" s="1"/>
  <c r="AD390" i="34"/>
  <c r="R22" i="35"/>
  <c r="AJ209" i="2"/>
  <c r="BA172" i="2"/>
  <c r="BA295" i="2"/>
  <c r="BB296" i="2"/>
  <c r="T16" i="4"/>
  <c r="T1295" i="34" s="1"/>
  <c r="T16" i="42"/>
  <c r="AV201" i="34"/>
  <c r="T16" i="40"/>
  <c r="BP47" i="1"/>
  <c r="AU38" i="34" s="1"/>
  <c r="BS90" i="1"/>
  <c r="BQ216" i="1"/>
  <c r="BQ106" i="1" s="1"/>
  <c r="U11" i="4"/>
  <c r="U1290" i="34" s="1"/>
  <c r="BR83" i="2"/>
  <c r="BR85" i="2" s="1"/>
  <c r="AU336" i="2"/>
  <c r="AU943" i="34" s="1"/>
  <c r="AJ208" i="2"/>
  <c r="Z900" i="34"/>
  <c r="AV500" i="34"/>
  <c r="BM141" i="14"/>
  <c r="BN142" i="14" s="1"/>
  <c r="BA173" i="2"/>
  <c r="BA296" i="2"/>
  <c r="BA25" i="2"/>
  <c r="BB26" i="2"/>
  <c r="BA26" i="2"/>
  <c r="X71" i="1"/>
  <c r="X1257" i="34"/>
  <c r="X294" i="1"/>
  <c r="X52" i="34"/>
  <c r="X41" i="34"/>
  <c r="X19" i="14"/>
  <c r="X583" i="34" s="1"/>
  <c r="X1244" i="34"/>
  <c r="BR211" i="1"/>
  <c r="AW197" i="34" s="1"/>
  <c r="AR936" i="34"/>
  <c r="BD257" i="2"/>
  <c r="AZ289" i="2"/>
  <c r="AZ1096" i="34" s="1"/>
  <c r="AZ1063" i="34"/>
  <c r="Z654" i="2"/>
  <c r="AD655" i="2" s="1"/>
  <c r="AD391" i="34" s="1"/>
  <c r="BN885" i="34"/>
  <c r="CO23" i="1"/>
  <c r="D24" i="3" s="1"/>
  <c r="AS211" i="1"/>
  <c r="AW480" i="34"/>
  <c r="AN125" i="2"/>
  <c r="Z19" i="14"/>
  <c r="Z583" i="34" s="1"/>
  <c r="Z41" i="34"/>
  <c r="Z1244" i="34"/>
  <c r="AD52" i="1"/>
  <c r="AD1245" i="34" s="1"/>
  <c r="Z657" i="2"/>
  <c r="Z904" i="34" s="1"/>
  <c r="AR953" i="34"/>
  <c r="Z71" i="1"/>
  <c r="Z294" i="1"/>
  <c r="Z52" i="34"/>
  <c r="Z1257" i="34"/>
  <c r="Y6" i="14"/>
  <c r="X5" i="14"/>
  <c r="BQ795" i="34"/>
  <c r="AW341" i="34"/>
  <c r="O142" i="1"/>
  <c r="O144" i="1" s="1"/>
  <c r="O132" i="34" s="1"/>
  <c r="BA235" i="2"/>
  <c r="BA237" i="2" s="1"/>
  <c r="AW240" i="2"/>
  <c r="AX237" i="2"/>
  <c r="AX239" i="2"/>
  <c r="AW219" i="2"/>
  <c r="AW238" i="2"/>
  <c r="AR862" i="34"/>
  <c r="AR620" i="2"/>
  <c r="AR864" i="34" s="1"/>
  <c r="BQ618" i="2"/>
  <c r="AR619" i="2"/>
  <c r="AR863" i="34" s="1"/>
  <c r="AS857" i="34"/>
  <c r="AS618" i="2"/>
  <c r="AS247" i="2"/>
  <c r="AS224" i="2"/>
  <c r="AW358" i="34"/>
  <c r="BQ614" i="2"/>
  <c r="BQ857" i="34"/>
  <c r="BA228" i="2"/>
  <c r="AW231" i="2"/>
  <c r="AW233" i="2"/>
  <c r="AW223" i="2" s="1"/>
  <c r="AX230" i="2"/>
  <c r="AW218" i="2"/>
  <c r="AX232" i="2"/>
  <c r="AU614" i="2"/>
  <c r="AT858" i="34"/>
  <c r="AT613" i="2"/>
  <c r="AO73" i="1"/>
  <c r="AO1255" i="34"/>
  <c r="AO67" i="1"/>
  <c r="AO1260" i="34" s="1"/>
  <c r="BR231" i="2"/>
  <c r="BQ960" i="34"/>
  <c r="AV555" i="2"/>
  <c r="AU792" i="34"/>
  <c r="AR937" i="34"/>
  <c r="BQ320" i="2"/>
  <c r="AR933" i="34"/>
  <c r="AH111" i="34"/>
  <c r="BR233" i="2"/>
  <c r="BR223" i="2" s="1"/>
  <c r="AC11" i="35"/>
  <c r="O45" i="35" s="1"/>
  <c r="AN128" i="2"/>
  <c r="AR934" i="34"/>
  <c r="AR480" i="2"/>
  <c r="AR969" i="34"/>
  <c r="AW14" i="34"/>
  <c r="AV427" i="2"/>
  <c r="AV428" i="2" s="1"/>
  <c r="AV85" i="2"/>
  <c r="AV80" i="2"/>
  <c r="AN130" i="2"/>
  <c r="AN134" i="2" s="1"/>
  <c r="AR945" i="34"/>
  <c r="BH77" i="1"/>
  <c r="AM64" i="34" s="1"/>
  <c r="AM60" i="34"/>
  <c r="BH78" i="1"/>
  <c r="AM65" i="34" s="1"/>
  <c r="AZ237" i="2"/>
  <c r="AU503" i="34"/>
  <c r="BO981" i="34"/>
  <c r="U5" i="40"/>
  <c r="V8" i="40"/>
  <c r="U27" i="40"/>
  <c r="E46" i="35"/>
  <c r="S26" i="4"/>
  <c r="S1305" i="34" s="1"/>
  <c r="T8" i="4"/>
  <c r="S5" i="4"/>
  <c r="AU501" i="34"/>
  <c r="BO978" i="34"/>
  <c r="BB153" i="14"/>
  <c r="BB223" i="14"/>
  <c r="BB34" i="1" s="1"/>
  <c r="BB1227" i="34" s="1"/>
  <c r="AA31" i="35"/>
  <c r="BO977" i="34"/>
  <c r="AU500" i="34"/>
  <c r="V27" i="42"/>
  <c r="V5" i="42"/>
  <c r="W8" i="42"/>
  <c r="U6" i="34"/>
  <c r="J45" i="35"/>
  <c r="K45" i="35" s="1"/>
  <c r="P1202" i="34"/>
  <c r="AB30" i="35"/>
  <c r="AB25" i="35"/>
  <c r="P1203" i="34"/>
  <c r="J48" i="35"/>
  <c r="AB22" i="35"/>
  <c r="J47" i="35"/>
  <c r="J50" i="35"/>
  <c r="BO177" i="14"/>
  <c r="BO178" i="14" s="1"/>
  <c r="BO179" i="14" s="1"/>
  <c r="AU430" i="2"/>
  <c r="BQ106" i="14"/>
  <c r="BQ107" i="14" s="1"/>
  <c r="O1200" i="34"/>
  <c r="AA28" i="35"/>
  <c r="AD4" i="35"/>
  <c r="AC5" i="35"/>
  <c r="AC9" i="35" s="1"/>
  <c r="AU428" i="2"/>
  <c r="AS1277" i="34"/>
  <c r="AS83" i="1"/>
  <c r="AD647" i="2"/>
  <c r="AD894" i="34" s="1"/>
  <c r="BT69" i="2"/>
  <c r="AB19" i="35"/>
  <c r="H44" i="35"/>
  <c r="AT90" i="1"/>
  <c r="AT1279" i="34"/>
  <c r="O1204" i="34"/>
  <c r="D49" i="35"/>
  <c r="AX220" i="2"/>
  <c r="BB242" i="2"/>
  <c r="BB245" i="2" s="1"/>
  <c r="BB225" i="2"/>
  <c r="AX243" i="2"/>
  <c r="AX74" i="2" s="1"/>
  <c r="AX62" i="14"/>
  <c r="AU178" i="2"/>
  <c r="AV79" i="2"/>
  <c r="AV247" i="2"/>
  <c r="AV224" i="2"/>
  <c r="AV81" i="2"/>
  <c r="BQ242" i="2"/>
  <c r="AU177" i="2"/>
  <c r="AU179" i="2"/>
  <c r="AY224" i="2"/>
  <c r="AU247" i="2"/>
  <c r="AU224" i="2"/>
  <c r="AL125" i="2"/>
  <c r="AL205" i="2" s="1"/>
  <c r="BP62" i="1"/>
  <c r="AI142" i="1"/>
  <c r="AI130" i="34" s="1"/>
  <c r="BP140" i="14"/>
  <c r="BP141" i="14" s="1"/>
  <c r="AK125" i="2"/>
  <c r="AK205" i="2" s="1"/>
  <c r="AK209" i="2" s="1"/>
  <c r="BP124" i="2"/>
  <c r="BP130" i="2" s="1"/>
  <c r="AL128" i="2"/>
  <c r="AA64" i="34"/>
  <c r="AA1270" i="34"/>
  <c r="AA187" i="34"/>
  <c r="AA207" i="1"/>
  <c r="AA1268" i="34"/>
  <c r="AA62" i="34"/>
  <c r="Z142" i="1"/>
  <c r="Z130" i="34" s="1"/>
  <c r="BJ144" i="1"/>
  <c r="AO132" i="34" s="1"/>
  <c r="AV176" i="14"/>
  <c r="AV177" i="14" s="1"/>
  <c r="AW229" i="14"/>
  <c r="AV139" i="14"/>
  <c r="AV140" i="14" s="1"/>
  <c r="BB121" i="14"/>
  <c r="BB222" i="14"/>
  <c r="BB33" i="1" s="1"/>
  <c r="BB1226" i="34" s="1"/>
  <c r="BB122" i="14"/>
  <c r="BB124" i="14"/>
  <c r="AA1271" i="34"/>
  <c r="AA65" i="34"/>
  <c r="BA65" i="14"/>
  <c r="BB67" i="14" s="1"/>
  <c r="AX67" i="14"/>
  <c r="T142" i="1"/>
  <c r="T130" i="34" s="1"/>
  <c r="AH62" i="34"/>
  <c r="AH1268" i="34"/>
  <c r="AJ38" i="34"/>
  <c r="AJ1240" i="34"/>
  <c r="N62" i="34"/>
  <c r="N1268" i="34"/>
  <c r="AM58" i="34"/>
  <c r="BH75" i="1"/>
  <c r="AM62" i="34" s="1"/>
  <c r="AF1271" i="34"/>
  <c r="AF65" i="34"/>
  <c r="AY189" i="14"/>
  <c r="AY190" i="14"/>
  <c r="AY217" i="14"/>
  <c r="AY36" i="1" s="1"/>
  <c r="AY1229" i="34" s="1"/>
  <c r="AY188" i="14"/>
  <c r="AY101" i="1"/>
  <c r="AP51" i="1"/>
  <c r="AP1242" i="34"/>
  <c r="AP252" i="1"/>
  <c r="AP18" i="14"/>
  <c r="AP22" i="14" s="1"/>
  <c r="AP100" i="1"/>
  <c r="P14" i="35"/>
  <c r="N123" i="1"/>
  <c r="N111" i="34" s="1"/>
  <c r="N93" i="34"/>
  <c r="AJ48" i="34"/>
  <c r="AJ1253" i="34"/>
  <c r="AJ64" i="1"/>
  <c r="AJ1237" i="34"/>
  <c r="AJ35" i="34"/>
  <c r="S142" i="1"/>
  <c r="S130" i="34" s="1"/>
  <c r="AB142" i="1"/>
  <c r="AB130" i="34" s="1"/>
  <c r="AJ1255" i="34"/>
  <c r="AJ67" i="1"/>
  <c r="AJ50" i="34"/>
  <c r="AJ73" i="1"/>
  <c r="AJ252" i="1"/>
  <c r="AJ238" i="34" s="1"/>
  <c r="AJ53" i="1"/>
  <c r="AJ1242" i="34"/>
  <c r="AJ100" i="1"/>
  <c r="AJ51" i="1"/>
  <c r="F14" i="35"/>
  <c r="AJ18" i="14"/>
  <c r="AJ50" i="1"/>
  <c r="AJ1243" i="34" s="1"/>
  <c r="AJ40" i="34"/>
  <c r="W142" i="1"/>
  <c r="W130" i="34" s="1"/>
  <c r="AG142" i="1"/>
  <c r="AG130" i="34" s="1"/>
  <c r="Y142" i="1"/>
  <c r="Y144" i="1" s="1"/>
  <c r="Y132" i="34" s="1"/>
  <c r="AP1255" i="34"/>
  <c r="AP67" i="1"/>
  <c r="AP1260" i="34" s="1"/>
  <c r="AP73" i="1"/>
  <c r="AF58" i="34"/>
  <c r="AF1264" i="34"/>
  <c r="AF75" i="1"/>
  <c r="AF1270" i="34"/>
  <c r="AF64" i="34"/>
  <c r="AF187" i="34"/>
  <c r="AF207" i="1"/>
  <c r="AP1253" i="34"/>
  <c r="AP64" i="1"/>
  <c r="AJ140" i="1"/>
  <c r="AJ125" i="34"/>
  <c r="AX204" i="1"/>
  <c r="AX1229" i="34"/>
  <c r="AQ1229" i="34"/>
  <c r="C47" i="35"/>
  <c r="E47" i="35" s="1"/>
  <c r="AA32" i="35"/>
  <c r="AK128" i="2"/>
  <c r="AG124" i="2"/>
  <c r="AH128" i="2" s="1"/>
  <c r="Z389" i="34"/>
  <c r="Z660" i="2"/>
  <c r="Z907" i="34" s="1"/>
  <c r="BT294" i="2"/>
  <c r="BT295" i="2" s="1"/>
  <c r="CC205" i="2"/>
  <c r="BO208" i="2"/>
  <c r="CF205" i="2"/>
  <c r="BO206" i="2"/>
  <c r="AJ195" i="2"/>
  <c r="AL202" i="2"/>
  <c r="AM199" i="2"/>
  <c r="AL203" i="2"/>
  <c r="AL211" i="2"/>
  <c r="AL201" i="2"/>
  <c r="AL193" i="2"/>
  <c r="BO194" i="2"/>
  <c r="BO196" i="2"/>
  <c r="AK196" i="2"/>
  <c r="AK194" i="2"/>
  <c r="AH647" i="2"/>
  <c r="AD892" i="34"/>
  <c r="AQ634" i="2"/>
  <c r="AQ879" i="34" s="1"/>
  <c r="AQ877" i="34"/>
  <c r="AQ633" i="2"/>
  <c r="AQ878" i="34" s="1"/>
  <c r="AS873" i="34"/>
  <c r="AS627" i="2"/>
  <c r="AT628" i="2"/>
  <c r="BQ627" i="2"/>
  <c r="AR632" i="2"/>
  <c r="BQ632" i="2" s="1"/>
  <c r="AR872" i="34"/>
  <c r="BM177" i="14"/>
  <c r="AR645" i="34"/>
  <c r="BS61" i="14"/>
  <c r="CG22" i="2"/>
  <c r="BD218" i="2"/>
  <c r="BT22" i="2"/>
  <c r="BD172" i="2"/>
  <c r="BR93" i="2"/>
  <c r="BR92" i="2"/>
  <c r="BR169" i="2"/>
  <c r="AX99" i="2"/>
  <c r="AX101" i="2"/>
  <c r="AX100" i="2"/>
  <c r="AX97" i="2"/>
  <c r="AX98" i="2" s="1"/>
  <c r="AX182" i="2"/>
  <c r="AX189" i="2"/>
  <c r="AX190" i="2" s="1"/>
  <c r="AV174" i="2"/>
  <c r="AW169" i="2"/>
  <c r="AY182" i="2" s="1"/>
  <c r="AY183" i="2" s="1"/>
  <c r="AY184" i="2" s="1"/>
  <c r="AW93" i="2"/>
  <c r="AY96" i="2"/>
  <c r="AX91" i="2"/>
  <c r="AW94" i="2"/>
  <c r="BR183" i="2"/>
  <c r="BR184" i="2" s="1"/>
  <c r="BB535" i="2"/>
  <c r="BB781" i="34" s="1"/>
  <c r="BB536" i="2"/>
  <c r="BB782" i="34" s="1"/>
  <c r="BB492" i="2"/>
  <c r="BB729" i="34" s="1"/>
  <c r="AI531" i="34"/>
  <c r="AI1008" i="34"/>
  <c r="BO1006" i="34"/>
  <c r="BO385" i="2"/>
  <c r="BO383" i="2"/>
  <c r="AU529" i="34"/>
  <c r="CC382" i="2"/>
  <c r="S337" i="2"/>
  <c r="S467" i="34" s="1"/>
  <c r="AL383" i="2"/>
  <c r="AL1007" i="34" s="1"/>
  <c r="AL1006" i="34"/>
  <c r="AL384" i="2"/>
  <c r="AL1008" i="34" s="1"/>
  <c r="AK384" i="2"/>
  <c r="AK1008" i="34" s="1"/>
  <c r="AK383" i="2"/>
  <c r="AK1007" i="34" s="1"/>
  <c r="AK1006" i="34"/>
  <c r="AI530" i="34"/>
  <c r="AI1007" i="34"/>
  <c r="AJ531" i="34"/>
  <c r="AJ1008" i="34"/>
  <c r="AJ1007" i="34"/>
  <c r="AJ530" i="34"/>
  <c r="AM382" i="2"/>
  <c r="AN385" i="2"/>
  <c r="AO385" i="2" s="1"/>
  <c r="AM1009" i="34"/>
  <c r="AS320" i="2"/>
  <c r="AS352" i="2" s="1"/>
  <c r="AS959" i="34" s="1"/>
  <c r="AS354" i="2"/>
  <c r="AS961" i="34" s="1"/>
  <c r="AS351" i="2"/>
  <c r="AS958" i="34" s="1"/>
  <c r="AS350" i="2"/>
  <c r="AS957" i="34" s="1"/>
  <c r="AS355" i="2"/>
  <c r="AS962" i="34" s="1"/>
  <c r="AS956" i="34"/>
  <c r="AS353" i="2"/>
  <c r="AS960" i="34" s="1"/>
  <c r="BD173" i="2"/>
  <c r="AT363" i="2"/>
  <c r="AT970" i="34" s="1"/>
  <c r="AT948" i="34"/>
  <c r="AT344" i="2"/>
  <c r="AT951" i="34" s="1"/>
  <c r="AU341" i="2"/>
  <c r="AT342" i="2"/>
  <c r="AT949" i="34" s="1"/>
  <c r="AT349" i="2"/>
  <c r="AT345" i="2"/>
  <c r="AT952" i="34" s="1"/>
  <c r="AD1029" i="34"/>
  <c r="AD552" i="34"/>
  <c r="AE907" i="34"/>
  <c r="AE659" i="2"/>
  <c r="AE906" i="34" s="1"/>
  <c r="AH453" i="2"/>
  <c r="AG1113" i="34"/>
  <c r="AG403" i="34"/>
  <c r="AD551" i="34"/>
  <c r="AD1028" i="34"/>
  <c r="AE1034" i="34"/>
  <c r="AE557" i="34"/>
  <c r="AG559" i="34"/>
  <c r="AH411" i="2"/>
  <c r="AG1036" i="34"/>
  <c r="AE403" i="2"/>
  <c r="AE405" i="2"/>
  <c r="AE550" i="34"/>
  <c r="AE1027" i="34"/>
  <c r="AE404" i="2"/>
  <c r="BW472" i="2"/>
  <c r="BV473" i="2"/>
  <c r="BV474" i="2" s="1"/>
  <c r="AF556" i="34"/>
  <c r="AF409" i="2"/>
  <c r="AF402" i="2"/>
  <c r="BN408" i="2"/>
  <c r="AG410" i="2"/>
  <c r="AF1033" i="34"/>
  <c r="AF410" i="2"/>
  <c r="AD553" i="34"/>
  <c r="AD1030" i="34"/>
  <c r="AE1035" i="34"/>
  <c r="AE558" i="34"/>
  <c r="AF650" i="2"/>
  <c r="AF459" i="2"/>
  <c r="BN452" i="2"/>
  <c r="AF402" i="34"/>
  <c r="AG452" i="2"/>
  <c r="AF456" i="2"/>
  <c r="AF1112" i="34"/>
  <c r="AF455" i="2"/>
  <c r="AF457" i="2"/>
  <c r="AL1016" i="34"/>
  <c r="AL394" i="2"/>
  <c r="AL1018" i="34" s="1"/>
  <c r="AL393" i="2"/>
  <c r="AL1017" i="34" s="1"/>
  <c r="AZ239" i="2"/>
  <c r="AU540" i="34"/>
  <c r="BO1017" i="34"/>
  <c r="AN446" i="2"/>
  <c r="AM450" i="2"/>
  <c r="AM1110" i="34" s="1"/>
  <c r="AM1106" i="34"/>
  <c r="AM392" i="2"/>
  <c r="AM449" i="2"/>
  <c r="AM1109" i="34" s="1"/>
  <c r="AN145" i="14"/>
  <c r="AQ1212" i="34"/>
  <c r="AQ1213" i="34"/>
  <c r="BC56" i="14"/>
  <c r="BC983" i="34"/>
  <c r="AU245" i="14"/>
  <c r="AN179" i="14"/>
  <c r="AY1211" i="34"/>
  <c r="AY42" i="2"/>
  <c r="AY704" i="34" s="1"/>
  <c r="R472" i="34"/>
  <c r="R950" i="34"/>
  <c r="S958" i="34"/>
  <c r="S481" i="34"/>
  <c r="W941" i="34"/>
  <c r="W466" i="34"/>
  <c r="S941" i="34"/>
  <c r="S466" i="34"/>
  <c r="R970" i="34"/>
  <c r="R493" i="34"/>
  <c r="S957" i="34"/>
  <c r="S480" i="34"/>
  <c r="S942" i="34"/>
  <c r="S464" i="34"/>
  <c r="Q342" i="2"/>
  <c r="Q948" i="34"/>
  <c r="Q349" i="2"/>
  <c r="R351" i="2" s="1"/>
  <c r="Q333" i="2"/>
  <c r="R337" i="2" s="1"/>
  <c r="Q363" i="2"/>
  <c r="U344" i="2"/>
  <c r="Q345" i="2"/>
  <c r="Q471" i="34"/>
  <c r="U342" i="2"/>
  <c r="T958" i="34"/>
  <c r="T481" i="34"/>
  <c r="R345" i="2"/>
  <c r="V336" i="2"/>
  <c r="V334" i="2"/>
  <c r="R940" i="34"/>
  <c r="R334" i="2"/>
  <c r="R463" i="34"/>
  <c r="R338" i="2"/>
  <c r="V474" i="34"/>
  <c r="V949" i="34"/>
  <c r="W957" i="34"/>
  <c r="W480" i="34"/>
  <c r="W465" i="34"/>
  <c r="W943" i="34"/>
  <c r="S950" i="34"/>
  <c r="S472" i="34"/>
  <c r="R474" i="34"/>
  <c r="R949" i="34"/>
  <c r="S960" i="34"/>
  <c r="S483" i="34"/>
  <c r="S468" i="34"/>
  <c r="S945" i="34"/>
  <c r="V473" i="34"/>
  <c r="V951" i="34"/>
  <c r="R352" i="2"/>
  <c r="R956" i="34"/>
  <c r="R350" i="2"/>
  <c r="R353" i="2"/>
  <c r="V350" i="2"/>
  <c r="R479" i="34"/>
  <c r="S959" i="34"/>
  <c r="S482" i="34"/>
  <c r="AR480" i="34"/>
  <c r="BL957" i="34"/>
  <c r="BT72" i="2"/>
  <c r="BU67" i="2" s="1"/>
  <c r="BV67" i="2" s="1"/>
  <c r="BT171" i="2"/>
  <c r="AO128" i="2"/>
  <c r="AO125" i="2"/>
  <c r="AO130" i="2"/>
  <c r="BQ124" i="2"/>
  <c r="AO126" i="2"/>
  <c r="AP128" i="2"/>
  <c r="AS124" i="2"/>
  <c r="AP125" i="2"/>
  <c r="AN133" i="2"/>
  <c r="AU126" i="2"/>
  <c r="AU125" i="2"/>
  <c r="AY124" i="2"/>
  <c r="AU128" i="2"/>
  <c r="AU130" i="2"/>
  <c r="BC536" i="2"/>
  <c r="BC782" i="34" s="1"/>
  <c r="BC535" i="2"/>
  <c r="BC781" i="34" s="1"/>
  <c r="BD535" i="2"/>
  <c r="BD781" i="34" s="1"/>
  <c r="BC780" i="34"/>
  <c r="BD536" i="2"/>
  <c r="BD782" i="34" s="1"/>
  <c r="BD26" i="2"/>
  <c r="BC728" i="34"/>
  <c r="BC492" i="2"/>
  <c r="BC729" i="34" s="1"/>
  <c r="BT491" i="2"/>
  <c r="BT727" i="34"/>
  <c r="AZ311" i="34"/>
  <c r="BU490" i="2"/>
  <c r="BT534" i="2"/>
  <c r="BT780" i="34" s="1"/>
  <c r="BT495" i="2"/>
  <c r="AR1212" i="34"/>
  <c r="AP250" i="14"/>
  <c r="BR238" i="2"/>
  <c r="AT245" i="14"/>
  <c r="AW360" i="2"/>
  <c r="AW967" i="34" s="1"/>
  <c r="AW361" i="2"/>
  <c r="AW968" i="34" s="1"/>
  <c r="AW964" i="34"/>
  <c r="AX357" i="2"/>
  <c r="AV245" i="14"/>
  <c r="AX487" i="34"/>
  <c r="CF357" i="2"/>
  <c r="BR359" i="2"/>
  <c r="BR360" i="2"/>
  <c r="BR964" i="34"/>
  <c r="AV420" i="2"/>
  <c r="AV1045" i="34" s="1"/>
  <c r="AV88" i="2"/>
  <c r="AV89" i="2" s="1"/>
  <c r="AW416" i="2"/>
  <c r="AV1041" i="34"/>
  <c r="AV419" i="2"/>
  <c r="AV1044" i="34" s="1"/>
  <c r="BR416" i="2"/>
  <c r="BU24" i="1"/>
  <c r="CB24" i="1" s="1"/>
  <c r="BD296" i="2"/>
  <c r="BR219" i="2"/>
  <c r="BR240" i="2"/>
  <c r="BR224" i="2" s="1"/>
  <c r="AS541" i="2"/>
  <c r="AS787" i="34" s="1"/>
  <c r="AS783" i="34"/>
  <c r="AS542" i="2"/>
  <c r="AS788" i="34" s="1"/>
  <c r="AS540" i="2"/>
  <c r="AS786" i="34" s="1"/>
  <c r="AS538" i="2"/>
  <c r="AQ315" i="2"/>
  <c r="AQ928" i="34" s="1"/>
  <c r="AQ314" i="2"/>
  <c r="AQ927" i="34" s="1"/>
  <c r="AQ925" i="34"/>
  <c r="AQ305" i="2"/>
  <c r="AQ313" i="2"/>
  <c r="AQ926" i="34" s="1"/>
  <c r="AX42" i="2"/>
  <c r="AX704" i="34" s="1"/>
  <c r="AX1211" i="34"/>
  <c r="AU747" i="34"/>
  <c r="AU515" i="2"/>
  <c r="AU751" i="34" s="1"/>
  <c r="AU516" i="2"/>
  <c r="AU752" i="34" s="1"/>
  <c r="AU514" i="2"/>
  <c r="AU750" i="34" s="1"/>
  <c r="AU512" i="2"/>
  <c r="AT550" i="2"/>
  <c r="AT548" i="2"/>
  <c r="AT549" i="2"/>
  <c r="AT546" i="2"/>
  <c r="AT547" i="2" s="1"/>
  <c r="AP1212" i="34"/>
  <c r="AP1213" i="34"/>
  <c r="AR541" i="2"/>
  <c r="AR787" i="34" s="1"/>
  <c r="AR538" i="2"/>
  <c r="AR783" i="34"/>
  <c r="AR540" i="2"/>
  <c r="AR786" i="34" s="1"/>
  <c r="AR542" i="2"/>
  <c r="AR788" i="34" s="1"/>
  <c r="BB56" i="14"/>
  <c r="AT742" i="34"/>
  <c r="AT508" i="2"/>
  <c r="AT744" i="34" s="1"/>
  <c r="AT509" i="2"/>
  <c r="AT745" i="34" s="1"/>
  <c r="AT579" i="2"/>
  <c r="AT818" i="34" s="1"/>
  <c r="AU506" i="2"/>
  <c r="AV511" i="2"/>
  <c r="AT532" i="2"/>
  <c r="AP41" i="2"/>
  <c r="AP703" i="34" s="1"/>
  <c r="AP702" i="34"/>
  <c r="AP307" i="2"/>
  <c r="AP920" i="34" s="1"/>
  <c r="AP309" i="2"/>
  <c r="AP922" i="34" s="1"/>
  <c r="AP918" i="34"/>
  <c r="AP306" i="2"/>
  <c r="AP919" i="34" s="1"/>
  <c r="AP308" i="2"/>
  <c r="AP921" i="34" s="1"/>
  <c r="BQ778" i="34"/>
  <c r="BQ228" i="14"/>
  <c r="BQ537" i="2"/>
  <c r="AU545" i="2"/>
  <c r="AU552" i="2"/>
  <c r="AU553" i="2" s="1"/>
  <c r="AS106" i="14"/>
  <c r="AS778" i="34"/>
  <c r="AS316" i="2"/>
  <c r="AR929" i="34"/>
  <c r="AT748" i="34"/>
  <c r="AT513" i="2"/>
  <c r="AT749" i="34" s="1"/>
  <c r="Y657" i="2"/>
  <c r="Y904" i="34" s="1"/>
  <c r="Y900" i="34"/>
  <c r="Y660" i="2"/>
  <c r="Y907" i="34" s="1"/>
  <c r="Y389" i="34"/>
  <c r="AR377" i="34"/>
  <c r="BL884" i="34"/>
  <c r="BM640" i="2"/>
  <c r="BL644" i="2"/>
  <c r="AW85" i="2"/>
  <c r="AT524" i="2"/>
  <c r="AT760" i="34" s="1"/>
  <c r="AT759" i="34"/>
  <c r="BQ736" i="34"/>
  <c r="BQ500" i="2"/>
  <c r="AU371" i="2"/>
  <c r="AT995" i="34"/>
  <c r="AT374" i="2"/>
  <c r="AT998" i="34" s="1"/>
  <c r="AT375" i="2"/>
  <c r="AT999" i="34" s="1"/>
  <c r="AT396" i="2"/>
  <c r="AQ1066" i="34"/>
  <c r="AQ292" i="2"/>
  <c r="AQ1099" i="34" s="1"/>
  <c r="AQ281" i="2"/>
  <c r="AQ1088" i="34" s="1"/>
  <c r="AU521" i="2"/>
  <c r="AU757" i="34" s="1"/>
  <c r="AU522" i="2"/>
  <c r="AU758" i="34" s="1"/>
  <c r="AU754" i="34"/>
  <c r="AV518" i="2"/>
  <c r="AV498" i="2" s="1"/>
  <c r="AV735" i="34" s="1"/>
  <c r="AU520" i="2"/>
  <c r="AU756" i="34" s="1"/>
  <c r="AU523" i="2"/>
  <c r="AW520" i="34"/>
  <c r="BQ997" i="34"/>
  <c r="BR333" i="2"/>
  <c r="AW333" i="2"/>
  <c r="AV336" i="2"/>
  <c r="AV943" i="34" s="1"/>
  <c r="AV334" i="2"/>
  <c r="AV941" i="34" s="1"/>
  <c r="AV940" i="34"/>
  <c r="AV337" i="2"/>
  <c r="AV944" i="34" s="1"/>
  <c r="AS397" i="2"/>
  <c r="AS1021" i="34" s="1"/>
  <c r="AS398" i="2"/>
  <c r="AS1022" i="34" s="1"/>
  <c r="AS1020" i="34"/>
  <c r="BC173" i="2"/>
  <c r="BC172" i="2"/>
  <c r="BC296" i="2"/>
  <c r="BC295" i="2"/>
  <c r="AS736" i="34"/>
  <c r="AS500" i="2"/>
  <c r="AQ718" i="34"/>
  <c r="AQ722" i="34"/>
  <c r="AQ719" i="34"/>
  <c r="AQ721" i="34"/>
  <c r="AQ717" i="34"/>
  <c r="AQ14" i="14"/>
  <c r="AQ12" i="14"/>
  <c r="AQ11" i="14"/>
  <c r="AT499" i="2"/>
  <c r="AT502" i="2"/>
  <c r="AT738" i="34" s="1"/>
  <c r="AT501" i="2"/>
  <c r="AT737" i="34" s="1"/>
  <c r="AT503" i="2"/>
  <c r="AT739" i="34" s="1"/>
  <c r="AU373" i="2"/>
  <c r="AU997" i="34" s="1"/>
  <c r="AU996" i="34"/>
  <c r="AV372" i="2"/>
  <c r="BC25" i="2"/>
  <c r="BC26" i="2"/>
  <c r="BD235" i="2"/>
  <c r="BD237" i="2" s="1"/>
  <c r="AZ240" i="2"/>
  <c r="AZ238" i="2"/>
  <c r="AZ219" i="2"/>
  <c r="AQ703" i="34"/>
  <c r="AQ702" i="34"/>
  <c r="AU498" i="2"/>
  <c r="AU735" i="34" s="1"/>
  <c r="BQ529" i="2"/>
  <c r="BQ773" i="34" s="1"/>
  <c r="BQ528" i="2"/>
  <c r="BQ772" i="34" s="1"/>
  <c r="BQ771" i="34"/>
  <c r="BQ998" i="34"/>
  <c r="AW521" i="34"/>
  <c r="BQ397" i="2"/>
  <c r="BQ1020" i="34"/>
  <c r="AW543" i="34"/>
  <c r="CE396" i="2"/>
  <c r="AJ387" i="2"/>
  <c r="AJ1014" i="34"/>
  <c r="AJ537" i="34"/>
  <c r="AS1211" i="34"/>
  <c r="BO794" i="34"/>
  <c r="AU340" i="34"/>
  <c r="AM569" i="2"/>
  <c r="AM566" i="2"/>
  <c r="AM805" i="34" s="1"/>
  <c r="AM565" i="2"/>
  <c r="AM804" i="34" s="1"/>
  <c r="AM564" i="2"/>
  <c r="AM803" i="34" s="1"/>
  <c r="AM556" i="2"/>
  <c r="AM164" i="2"/>
  <c r="AM236" i="14"/>
  <c r="AM801" i="34"/>
  <c r="AM575" i="2"/>
  <c r="AN562" i="2"/>
  <c r="AM422" i="2"/>
  <c r="AG388" i="2"/>
  <c r="AG534" i="34"/>
  <c r="AG1011" i="34"/>
  <c r="AG389" i="2"/>
  <c r="AG377" i="2"/>
  <c r="AO1212" i="34"/>
  <c r="AO1213" i="34"/>
  <c r="BO141" i="14"/>
  <c r="BO142" i="14" s="1"/>
  <c r="BO144" i="14"/>
  <c r="BO145" i="14" s="1"/>
  <c r="AK796" i="34"/>
  <c r="AK558" i="2"/>
  <c r="AK795" i="34" s="1"/>
  <c r="BQ245" i="14"/>
  <c r="AZ1211" i="34"/>
  <c r="AZ42" i="2"/>
  <c r="AZ704" i="34" s="1"/>
  <c r="AS704" i="34"/>
  <c r="BR42" i="2"/>
  <c r="BR704" i="34" s="1"/>
  <c r="AS245" i="14"/>
  <c r="BP558" i="2"/>
  <c r="AV342" i="34"/>
  <c r="BP796" i="34"/>
  <c r="AL987" i="34"/>
  <c r="AL165" i="2"/>
  <c r="AL988" i="34" s="1"/>
  <c r="AL571" i="2"/>
  <c r="AL810" i="34" s="1"/>
  <c r="AL573" i="2"/>
  <c r="AL812" i="34" s="1"/>
  <c r="AL570" i="2"/>
  <c r="AL809" i="34" s="1"/>
  <c r="AL808" i="34"/>
  <c r="AL572" i="2"/>
  <c r="AL811" i="34" s="1"/>
  <c r="AI1014" i="34"/>
  <c r="AI537" i="34"/>
  <c r="AI387" i="2"/>
  <c r="AK390" i="2"/>
  <c r="AL390" i="2" s="1"/>
  <c r="BR108" i="14"/>
  <c r="BS108" i="14" s="1"/>
  <c r="BT108" i="14" s="1"/>
  <c r="BU108" i="14" s="1"/>
  <c r="BV108" i="14" s="1"/>
  <c r="BW108" i="14" s="1"/>
  <c r="BX108" i="14" s="1"/>
  <c r="BY108" i="14" s="1"/>
  <c r="AQ977" i="34"/>
  <c r="AQ980" i="34"/>
  <c r="AQ107" i="2"/>
  <c r="AQ978" i="34"/>
  <c r="AQ975" i="34"/>
  <c r="AU573" i="34"/>
  <c r="BO1050" i="34"/>
  <c r="AU332" i="34"/>
  <c r="BO809" i="34"/>
  <c r="AH377" i="2"/>
  <c r="AH1011" i="34"/>
  <c r="AH389" i="2"/>
  <c r="AH534" i="34"/>
  <c r="AH388" i="2"/>
  <c r="AF379" i="2"/>
  <c r="AF378" i="2"/>
  <c r="AF1001" i="34"/>
  <c r="AF524" i="34"/>
  <c r="BN377" i="2"/>
  <c r="AF380" i="2"/>
  <c r="AF535" i="34"/>
  <c r="AF1012" i="34"/>
  <c r="BS56" i="14"/>
  <c r="BS148" i="2"/>
  <c r="BS985" i="34" s="1"/>
  <c r="BS146" i="2"/>
  <c r="BS147" i="2"/>
  <c r="BS984" i="34" s="1"/>
  <c r="BS983" i="34"/>
  <c r="AK577" i="2"/>
  <c r="AK816" i="34" s="1"/>
  <c r="AK815" i="34"/>
  <c r="AO251" i="14"/>
  <c r="AO250" i="14"/>
  <c r="BS238" i="2"/>
  <c r="BD983" i="34"/>
  <c r="BD56" i="14"/>
  <c r="BR49" i="14"/>
  <c r="BR50" i="14"/>
  <c r="AN252" i="14"/>
  <c r="AK251" i="14"/>
  <c r="AK250" i="14"/>
  <c r="AL814" i="34"/>
  <c r="AL576" i="2"/>
  <c r="AL237" i="14"/>
  <c r="AL238" i="14"/>
  <c r="AJ795" i="34"/>
  <c r="AJ341" i="34"/>
  <c r="BO577" i="2"/>
  <c r="BO816" i="34" s="1"/>
  <c r="BO815" i="34"/>
  <c r="AP107" i="2"/>
  <c r="AP974" i="34" s="1"/>
  <c r="AU571" i="34"/>
  <c r="BO1048" i="34"/>
  <c r="AU334" i="34"/>
  <c r="BO811" i="34"/>
  <c r="BP702" i="34"/>
  <c r="BP41" i="2"/>
  <c r="BP703" i="34" s="1"/>
  <c r="AO702" i="34"/>
  <c r="AO41" i="2"/>
  <c r="AO703" i="34" s="1"/>
  <c r="AV1061" i="34"/>
  <c r="AZ255" i="2"/>
  <c r="AV262" i="2"/>
  <c r="AV1068" i="34" s="1"/>
  <c r="AV287" i="2"/>
  <c r="AV1094" i="34" s="1"/>
  <c r="AF536" i="34"/>
  <c r="AF1013" i="34"/>
  <c r="BN390" i="2"/>
  <c r="CA387" i="2"/>
  <c r="BN1011" i="34"/>
  <c r="CB387" i="2"/>
  <c r="AT534" i="34"/>
  <c r="BN388" i="2"/>
  <c r="BP178" i="14"/>
  <c r="BP181" i="14"/>
  <c r="AW42" i="2"/>
  <c r="BC239" i="2"/>
  <c r="BC237" i="2"/>
  <c r="BC238" i="2"/>
  <c r="BC240" i="2"/>
  <c r="BC219" i="2"/>
  <c r="AJ384" i="34"/>
  <c r="AJ894" i="34"/>
  <c r="AV340" i="34"/>
  <c r="BP794" i="34"/>
  <c r="BO796" i="34"/>
  <c r="BO558" i="2"/>
  <c r="AU342" i="34"/>
  <c r="AL1047" i="34"/>
  <c r="AL425" i="2"/>
  <c r="AL1050" i="34" s="1"/>
  <c r="AL424" i="2"/>
  <c r="AL1049" i="34" s="1"/>
  <c r="AL423" i="2"/>
  <c r="AL1048" i="34" s="1"/>
  <c r="AL793" i="34"/>
  <c r="AL557" i="2"/>
  <c r="AL794" i="34" s="1"/>
  <c r="AL559" i="2"/>
  <c r="BR153" i="2"/>
  <c r="BR152" i="2"/>
  <c r="BA56" i="14"/>
  <c r="BT144" i="2"/>
  <c r="Y383" i="34"/>
  <c r="Y892" i="34"/>
  <c r="BR136" i="2"/>
  <c r="AV139" i="2"/>
  <c r="AV140" i="2"/>
  <c r="AW136" i="2"/>
  <c r="AV138" i="2"/>
  <c r="AV34" i="2"/>
  <c r="BR34" i="2" s="1"/>
  <c r="BR35" i="2" s="1"/>
  <c r="AV26" i="1"/>
  <c r="BS26" i="1" s="1"/>
  <c r="AX17" i="34" s="1"/>
  <c r="AT1216" i="34"/>
  <c r="AT12" i="2"/>
  <c r="AW142" i="34"/>
  <c r="BR187" i="1"/>
  <c r="AW176" i="34" s="1"/>
  <c r="AU1219" i="34"/>
  <c r="AU23" i="1"/>
  <c r="AR1099" i="34"/>
  <c r="AR1073" i="34"/>
  <c r="AS1212" i="34"/>
  <c r="AS16" i="2"/>
  <c r="AS700" i="34" s="1"/>
  <c r="AS57" i="2"/>
  <c r="AS49" i="2" s="1"/>
  <c r="AS10" i="14"/>
  <c r="AS15" i="2"/>
  <c r="AS699" i="34" s="1"/>
  <c r="AS698" i="34"/>
  <c r="AS71" i="2"/>
  <c r="AS476" i="2"/>
  <c r="AS18" i="2"/>
  <c r="AS494" i="2"/>
  <c r="AS731" i="34" s="1"/>
  <c r="AS40" i="2"/>
  <c r="AU38" i="2"/>
  <c r="AU37" i="2"/>
  <c r="BQ10" i="14"/>
  <c r="BQ74" i="14" s="1"/>
  <c r="BQ79" i="14" s="1"/>
  <c r="BD231" i="2"/>
  <c r="BD233" i="2"/>
  <c r="BD223" i="2" s="1"/>
  <c r="U657" i="2"/>
  <c r="U904" i="34" s="1"/>
  <c r="U389" i="34"/>
  <c r="U900" i="34"/>
  <c r="Y654" i="2"/>
  <c r="AC655" i="2" s="1"/>
  <c r="BI75" i="1"/>
  <c r="AN62" i="34" s="1"/>
  <c r="AN58" i="34"/>
  <c r="Q75" i="1"/>
  <c r="Q58" i="34"/>
  <c r="Q1264" i="34"/>
  <c r="AE75" i="1"/>
  <c r="AE58" i="34"/>
  <c r="AE1264" i="34"/>
  <c r="S75" i="1"/>
  <c r="S58" i="34"/>
  <c r="S1264" i="34"/>
  <c r="BP140" i="1"/>
  <c r="AU128" i="34" s="1"/>
  <c r="AU125" i="34"/>
  <c r="S144" i="1"/>
  <c r="S132" i="34" s="1"/>
  <c r="V1260" i="34"/>
  <c r="V55" i="34"/>
  <c r="U35" i="34"/>
  <c r="U1237" i="34"/>
  <c r="M1298" i="34"/>
  <c r="M20" i="4"/>
  <c r="M1299" i="34" s="1"/>
  <c r="M24" i="4"/>
  <c r="M1303" i="34" s="1"/>
  <c r="AV378" i="34"/>
  <c r="BP885" i="34"/>
  <c r="AK1253" i="34"/>
  <c r="AK64" i="1"/>
  <c r="U1242" i="34"/>
  <c r="U50" i="1"/>
  <c r="U1243" i="34" s="1"/>
  <c r="U53" i="1"/>
  <c r="U18" i="14"/>
  <c r="V22" i="14" s="1"/>
  <c r="V586" i="34" s="1"/>
  <c r="U100" i="1"/>
  <c r="U51" i="1"/>
  <c r="Y52" i="1" s="1"/>
  <c r="Y1245" i="34" s="1"/>
  <c r="U40" i="34"/>
  <c r="AC1260" i="34"/>
  <c r="AC55" i="34"/>
  <c r="W1266" i="34"/>
  <c r="W78" i="1"/>
  <c r="W201" i="1"/>
  <c r="W60" i="34"/>
  <c r="W77" i="1"/>
  <c r="R65" i="4"/>
  <c r="R65" i="40"/>
  <c r="BO73" i="1"/>
  <c r="BO67" i="1"/>
  <c r="AT55" i="34" s="1"/>
  <c r="AT50" i="34"/>
  <c r="R65" i="42"/>
  <c r="AG1264" i="34"/>
  <c r="AG75" i="1"/>
  <c r="AG58" i="34"/>
  <c r="AI103" i="34"/>
  <c r="AI121" i="1"/>
  <c r="AI109" i="34" s="1"/>
  <c r="Z1260" i="34"/>
  <c r="Z55" i="34"/>
  <c r="AB19" i="14"/>
  <c r="AB583" i="34" s="1"/>
  <c r="AF52" i="1"/>
  <c r="AF1245" i="34" s="1"/>
  <c r="AB1244" i="34"/>
  <c r="AB52" i="1"/>
  <c r="AB1245" i="34" s="1"/>
  <c r="AB41" i="34"/>
  <c r="S582" i="34"/>
  <c r="S21" i="14"/>
  <c r="S585" i="34" s="1"/>
  <c r="S22" i="14"/>
  <c r="S586" i="34" s="1"/>
  <c r="P294" i="1"/>
  <c r="P52" i="34"/>
  <c r="P1257" i="34"/>
  <c r="T19" i="14"/>
  <c r="T583" i="34" s="1"/>
  <c r="T1244" i="34"/>
  <c r="T41" i="34"/>
  <c r="T52" i="1"/>
  <c r="T1245" i="34" s="1"/>
  <c r="X52" i="1"/>
  <c r="X1245" i="34" s="1"/>
  <c r="AM1246" i="34"/>
  <c r="AM20" i="14"/>
  <c r="AK140" i="1"/>
  <c r="AK142" i="1" s="1"/>
  <c r="X130" i="34"/>
  <c r="AO187" i="34"/>
  <c r="BJ207" i="1"/>
  <c r="M1268" i="34"/>
  <c r="M62" i="34"/>
  <c r="Q1260" i="34"/>
  <c r="Q55" i="34"/>
  <c r="R142" i="1"/>
  <c r="AO891" i="34"/>
  <c r="AO645" i="2"/>
  <c r="AO646" i="2"/>
  <c r="AO893" i="34" s="1"/>
  <c r="AG88" i="34"/>
  <c r="AG105" i="1"/>
  <c r="AG123" i="1" s="1"/>
  <c r="AG110" i="1"/>
  <c r="AG98" i="34" s="1"/>
  <c r="AG109" i="1"/>
  <c r="AG97" i="34" s="1"/>
  <c r="BI201" i="1"/>
  <c r="BI77" i="1"/>
  <c r="AN64" i="34" s="1"/>
  <c r="AN60" i="34"/>
  <c r="BI78" i="1"/>
  <c r="AN65" i="34" s="1"/>
  <c r="AG1266" i="34"/>
  <c r="AG60" i="34"/>
  <c r="AG77" i="1"/>
  <c r="AG78" i="1"/>
  <c r="AN892" i="34"/>
  <c r="AN647" i="2"/>
  <c r="AN894" i="34" s="1"/>
  <c r="R52" i="34"/>
  <c r="R1257" i="34"/>
  <c r="R294" i="1"/>
  <c r="Y53" i="1"/>
  <c r="Y1244" i="34"/>
  <c r="Y19" i="14"/>
  <c r="Y583" i="34" s="1"/>
  <c r="Y41" i="34"/>
  <c r="N1266" i="34"/>
  <c r="N77" i="1"/>
  <c r="N60" i="34"/>
  <c r="N78" i="1"/>
  <c r="V77" i="1"/>
  <c r="V78" i="1"/>
  <c r="V1266" i="34"/>
  <c r="V201" i="1"/>
  <c r="V60" i="34"/>
  <c r="AC201" i="1"/>
  <c r="AC77" i="1"/>
  <c r="AC1266" i="34"/>
  <c r="AC78" i="1"/>
  <c r="AC60" i="34"/>
  <c r="AP884" i="34"/>
  <c r="AP640" i="2"/>
  <c r="AP885" i="34" s="1"/>
  <c r="AP644" i="2"/>
  <c r="AO1264" i="34"/>
  <c r="AA14" i="35"/>
  <c r="BO18" i="14"/>
  <c r="E26" i="3"/>
  <c r="E50" i="3" s="1"/>
  <c r="BP53" i="1"/>
  <c r="BP100" i="1"/>
  <c r="BP109" i="1" s="1"/>
  <c r="AU97" i="34" s="1"/>
  <c r="BP51" i="1"/>
  <c r="BP50" i="1"/>
  <c r="AU40" i="34"/>
  <c r="S14" i="4"/>
  <c r="AM1257" i="34"/>
  <c r="AM294" i="1"/>
  <c r="AC294" i="1"/>
  <c r="AC1257" i="34"/>
  <c r="BO64" i="1"/>
  <c r="BO71" i="1" s="1"/>
  <c r="AC52" i="34"/>
  <c r="O55" i="34"/>
  <c r="O1260" i="34"/>
  <c r="AM77" i="1"/>
  <c r="AM1270" i="34" s="1"/>
  <c r="AM78" i="1"/>
  <c r="AM1266" i="34"/>
  <c r="BD290" i="2"/>
  <c r="BD1097" i="34" s="1"/>
  <c r="BD1064" i="34"/>
  <c r="BO140" i="1"/>
  <c r="AT128" i="34" s="1"/>
  <c r="AT125" i="34"/>
  <c r="Z78" i="1"/>
  <c r="Z201" i="1"/>
  <c r="Z1266" i="34"/>
  <c r="Z60" i="34"/>
  <c r="Z77" i="1"/>
  <c r="O1268" i="34"/>
  <c r="O62" i="34"/>
  <c r="R1246" i="34"/>
  <c r="R42" i="34"/>
  <c r="R20" i="14"/>
  <c r="R584" i="34" s="1"/>
  <c r="R88" i="34"/>
  <c r="P142" i="1"/>
  <c r="S42" i="34"/>
  <c r="S1246" i="34"/>
  <c r="S20" i="14"/>
  <c r="S584" i="34" s="1"/>
  <c r="T60" i="34"/>
  <c r="T1266" i="34"/>
  <c r="T78" i="1"/>
  <c r="T77" i="1"/>
  <c r="T201" i="1"/>
  <c r="V142" i="1"/>
  <c r="U5" i="2"/>
  <c r="V6" i="2"/>
  <c r="T88" i="34"/>
  <c r="T1246" i="34"/>
  <c r="T20" i="14"/>
  <c r="T584" i="34" s="1"/>
  <c r="T42" i="34"/>
  <c r="Q22" i="14"/>
  <c r="Q586" i="34" s="1"/>
  <c r="Q582" i="34"/>
  <c r="Q21" i="14"/>
  <c r="Q585" i="34" s="1"/>
  <c r="BK140" i="1"/>
  <c r="AP128" i="34" s="1"/>
  <c r="AP125" i="34"/>
  <c r="AM110" i="1"/>
  <c r="W88" i="34"/>
  <c r="BN18" i="14"/>
  <c r="D26" i="3"/>
  <c r="D50" i="3" s="1"/>
  <c r="BO100" i="1"/>
  <c r="R14" i="4"/>
  <c r="AT40" i="34"/>
  <c r="BO50" i="1"/>
  <c r="BO51" i="1"/>
  <c r="BO53" i="1"/>
  <c r="AI384" i="34"/>
  <c r="AI894" i="34"/>
  <c r="AG384" i="34"/>
  <c r="AG894" i="34"/>
  <c r="AQ605" i="2"/>
  <c r="AQ848" i="34" s="1"/>
  <c r="AQ847" i="34"/>
  <c r="AQ606" i="2"/>
  <c r="AQ849" i="34" s="1"/>
  <c r="AQ639" i="2"/>
  <c r="U1240" i="34"/>
  <c r="U38" i="34"/>
  <c r="BL18" i="14"/>
  <c r="B26" i="3"/>
  <c r="B50" i="3" s="1"/>
  <c r="P14" i="4"/>
  <c r="BM100" i="1"/>
  <c r="CM49" i="1"/>
  <c r="BM50" i="1"/>
  <c r="BM51" i="1"/>
  <c r="AR40" i="34"/>
  <c r="CJ49" i="1"/>
  <c r="BM53" i="1"/>
  <c r="W294" i="1"/>
  <c r="W52" i="34"/>
  <c r="W1257" i="34"/>
  <c r="BL73" i="1"/>
  <c r="AQ50" i="34"/>
  <c r="BL67" i="1"/>
  <c r="AQ55" i="34" s="1"/>
  <c r="X1313" i="34"/>
  <c r="Y34" i="4"/>
  <c r="AE201" i="1"/>
  <c r="AE60" i="34"/>
  <c r="AE78" i="1"/>
  <c r="AE77" i="1"/>
  <c r="AE1266" i="34"/>
  <c r="T6" i="1"/>
  <c r="Y1260" i="34"/>
  <c r="Y55" i="34"/>
  <c r="AH142" i="1"/>
  <c r="AI19" i="14"/>
  <c r="AI583" i="34" s="1"/>
  <c r="AI1244" i="34"/>
  <c r="AI41" i="34"/>
  <c r="AI52" i="1"/>
  <c r="AI1245" i="34" s="1"/>
  <c r="BP249" i="1"/>
  <c r="AU233" i="34"/>
  <c r="BO892" i="34"/>
  <c r="AU383" i="34"/>
  <c r="I14" i="35"/>
  <c r="AK51" i="1"/>
  <c r="AK1242" i="34"/>
  <c r="AK252" i="1"/>
  <c r="AK53" i="1"/>
  <c r="AK100" i="1"/>
  <c r="AK18" i="14"/>
  <c r="AK50" i="1"/>
  <c r="AK1243" i="34" s="1"/>
  <c r="AO50" i="1"/>
  <c r="AO1243" i="34" s="1"/>
  <c r="AO53" i="1"/>
  <c r="AB201" i="1"/>
  <c r="AB60" i="34"/>
  <c r="AB78" i="1"/>
  <c r="AB1266" i="34"/>
  <c r="AB77" i="1"/>
  <c r="P58" i="34"/>
  <c r="P1264" i="34"/>
  <c r="P75" i="1"/>
  <c r="Q42" i="34"/>
  <c r="Q20" i="14"/>
  <c r="Q584" i="34" s="1"/>
  <c r="Q1246" i="34"/>
  <c r="AM1244" i="34"/>
  <c r="AM19" i="14"/>
  <c r="AM52" i="1"/>
  <c r="AM1245" i="34" s="1"/>
  <c r="X187" i="34"/>
  <c r="X207" i="1"/>
  <c r="AS125" i="34"/>
  <c r="BN140" i="1"/>
  <c r="AS128" i="34" s="1"/>
  <c r="AN1253" i="34"/>
  <c r="AN64" i="1"/>
  <c r="AN1262" i="34" s="1"/>
  <c r="W52" i="1"/>
  <c r="W1245" i="34" s="1"/>
  <c r="W41" i="34"/>
  <c r="AA52" i="1"/>
  <c r="AA1245" i="34" s="1"/>
  <c r="W1244" i="34"/>
  <c r="W19" i="14"/>
  <c r="W583" i="34" s="1"/>
  <c r="W20" i="14"/>
  <c r="W584" i="34" s="1"/>
  <c r="W1246" i="34"/>
  <c r="W42" i="34"/>
  <c r="AB27" i="4"/>
  <c r="AA1306" i="34"/>
  <c r="AE894" i="34"/>
  <c r="AE384" i="34"/>
  <c r="AC384" i="34"/>
  <c r="AC894" i="34"/>
  <c r="AO62" i="34"/>
  <c r="BI294" i="1"/>
  <c r="AN52" i="34"/>
  <c r="U125" i="34"/>
  <c r="U140" i="1"/>
  <c r="U128" i="34" s="1"/>
  <c r="AE88" i="34"/>
  <c r="AD187" i="34"/>
  <c r="AD207" i="1"/>
  <c r="AE55" i="34"/>
  <c r="AE1260" i="34"/>
  <c r="Y77" i="1"/>
  <c r="Y1266" i="34"/>
  <c r="Y78" i="1"/>
  <c r="Y201" i="1"/>
  <c r="Y60" i="34"/>
  <c r="P41" i="34"/>
  <c r="P1244" i="34"/>
  <c r="AN88" i="34"/>
  <c r="BL64" i="1"/>
  <c r="BL71" i="1" s="1"/>
  <c r="Q52" i="34"/>
  <c r="Q1257" i="34"/>
  <c r="Q294" i="1"/>
  <c r="AN67" i="1"/>
  <c r="AN1260" i="34" s="1"/>
  <c r="AN1255" i="34"/>
  <c r="AN73" i="1"/>
  <c r="AI21" i="14"/>
  <c r="AI585" i="34" s="1"/>
  <c r="AI22" i="14"/>
  <c r="AI586" i="34" s="1"/>
  <c r="AI582" i="34"/>
  <c r="AC21" i="14"/>
  <c r="AC585" i="34" s="1"/>
  <c r="AC22" i="14"/>
  <c r="AC586" i="34" s="1"/>
  <c r="AC582" i="34"/>
  <c r="AV50" i="34"/>
  <c r="BQ67" i="1"/>
  <c r="AV55" i="34" s="1"/>
  <c r="T65" i="4"/>
  <c r="T65" i="40"/>
  <c r="T65" i="42"/>
  <c r="BQ73" i="1"/>
  <c r="AG1260" i="34"/>
  <c r="AG55" i="34"/>
  <c r="AR842" i="34"/>
  <c r="AR604" i="2"/>
  <c r="BQ604" i="2" s="1"/>
  <c r="BQ599" i="2"/>
  <c r="V21" i="14"/>
  <c r="V585" i="34" s="1"/>
  <c r="V582" i="34"/>
  <c r="Z21" i="14"/>
  <c r="Z585" i="34" s="1"/>
  <c r="AH1260" i="34"/>
  <c r="AH55" i="34"/>
  <c r="R582" i="34"/>
  <c r="R21" i="14"/>
  <c r="R585" i="34" s="1"/>
  <c r="R22" i="14"/>
  <c r="R586" i="34" s="1"/>
  <c r="S1244" i="34"/>
  <c r="S19" i="14"/>
  <c r="S583" i="34" s="1"/>
  <c r="S41" i="34"/>
  <c r="S52" i="1"/>
  <c r="S1245" i="34" s="1"/>
  <c r="AG1246" i="34"/>
  <c r="AG42" i="34"/>
  <c r="AG20" i="14"/>
  <c r="AG584" i="34" s="1"/>
  <c r="AC901" i="34"/>
  <c r="AC390" i="34"/>
  <c r="AB901" i="34"/>
  <c r="AB390" i="34"/>
  <c r="V88" i="34"/>
  <c r="AU48" i="34"/>
  <c r="AL52" i="34"/>
  <c r="BG294" i="1"/>
  <c r="AB42" i="34"/>
  <c r="AB20" i="14"/>
  <c r="AB584" i="34" s="1"/>
  <c r="AB1246" i="34"/>
  <c r="AE390" i="34"/>
  <c r="AE901" i="34"/>
  <c r="AE655" i="2"/>
  <c r="AM21" i="14"/>
  <c r="Y58" i="34"/>
  <c r="Y1264" i="34"/>
  <c r="Y75" i="1"/>
  <c r="AF384" i="34"/>
  <c r="AF894" i="34"/>
  <c r="AV176" i="1"/>
  <c r="AR48" i="34"/>
  <c r="R201" i="1"/>
  <c r="R78" i="1"/>
  <c r="R77" i="1"/>
  <c r="R60" i="34"/>
  <c r="R1266" i="34"/>
  <c r="AE1244" i="34"/>
  <c r="AE41" i="34"/>
  <c r="AE52" i="1"/>
  <c r="AE1245" i="34" s="1"/>
  <c r="AE19" i="14"/>
  <c r="AE583" i="34" s="1"/>
  <c r="AE42" i="34"/>
  <c r="AE1246" i="34"/>
  <c r="AE20" i="14"/>
  <c r="AE584" i="34" s="1"/>
  <c r="AD1271" i="34"/>
  <c r="AD65" i="34"/>
  <c r="M20" i="42"/>
  <c r="M24" i="42"/>
  <c r="U34" i="4"/>
  <c r="U1313" i="34" s="1"/>
  <c r="V1313" i="34"/>
  <c r="P55" i="34"/>
  <c r="P1260" i="34"/>
  <c r="P88" i="34"/>
  <c r="AN41" i="34"/>
  <c r="BI52" i="1"/>
  <c r="AN140" i="1"/>
  <c r="AN142" i="1" s="1"/>
  <c r="AI20" i="14"/>
  <c r="AI584" i="34" s="1"/>
  <c r="AI42" i="34"/>
  <c r="AI1246" i="34"/>
  <c r="AI88" i="34"/>
  <c r="AI105" i="1"/>
  <c r="AI123" i="1" s="1"/>
  <c r="AI110" i="1"/>
  <c r="AI98" i="34" s="1"/>
  <c r="E15" i="35"/>
  <c r="E34" i="35" s="1"/>
  <c r="E33" i="35"/>
  <c r="AC20" i="14"/>
  <c r="AC584" i="34" s="1"/>
  <c r="AC42" i="34"/>
  <c r="AC1246" i="34"/>
  <c r="Q78" i="1"/>
  <c r="Q77" i="1"/>
  <c r="Q1266" i="34"/>
  <c r="Q201" i="1"/>
  <c r="Q60" i="34"/>
  <c r="U1253" i="34"/>
  <c r="U64" i="1"/>
  <c r="U71" i="1" s="1"/>
  <c r="U48" i="34"/>
  <c r="M93" i="34"/>
  <c r="M123" i="1"/>
  <c r="M111" i="34" s="1"/>
  <c r="V1246" i="34"/>
  <c r="V42" i="34"/>
  <c r="V20" i="14"/>
  <c r="V584" i="34" s="1"/>
  <c r="O78" i="1"/>
  <c r="O1266" i="34"/>
  <c r="O60" i="34"/>
  <c r="O77" i="1"/>
  <c r="O201" i="1"/>
  <c r="AE294" i="1"/>
  <c r="AE52" i="34"/>
  <c r="AE1257" i="34"/>
  <c r="S77" i="1"/>
  <c r="S78" i="1"/>
  <c r="S1266" i="34"/>
  <c r="S60" i="34"/>
  <c r="S201" i="1"/>
  <c r="AB88" i="34"/>
  <c r="AL1253" i="34"/>
  <c r="AL64" i="1"/>
  <c r="AL1262" i="34" s="1"/>
  <c r="AI58" i="34"/>
  <c r="AI1264" i="34"/>
  <c r="AI75" i="1"/>
  <c r="AG1244" i="34"/>
  <c r="AG19" i="14"/>
  <c r="AG583" i="34" s="1"/>
  <c r="AG52" i="1"/>
  <c r="AG1245" i="34" s="1"/>
  <c r="AG41" i="34"/>
  <c r="BK100" i="1"/>
  <c r="BK50" i="1"/>
  <c r="BJ18" i="14"/>
  <c r="BK51" i="1"/>
  <c r="AP40" i="34"/>
  <c r="BK53" i="1"/>
  <c r="N14" i="4"/>
  <c r="AB294" i="1"/>
  <c r="AB52" i="34"/>
  <c r="AB1257" i="34"/>
  <c r="AO42" i="34"/>
  <c r="BI20" i="14"/>
  <c r="AO584" i="34" s="1"/>
  <c r="Y88" i="34"/>
  <c r="I47" i="35"/>
  <c r="AB32" i="35"/>
  <c r="CL49" i="1"/>
  <c r="BL100" i="1"/>
  <c r="BL51" i="1"/>
  <c r="O14" i="4"/>
  <c r="BK18" i="14"/>
  <c r="BL53" i="1"/>
  <c r="AQ40" i="34"/>
  <c r="BL50" i="1"/>
  <c r="Z42" i="34"/>
  <c r="Z1246" i="34"/>
  <c r="Z20" i="14"/>
  <c r="Z584" i="34" s="1"/>
  <c r="AH78" i="1"/>
  <c r="AH60" i="34"/>
  <c r="AH77" i="1"/>
  <c r="AH1266" i="34"/>
  <c r="Q14" i="4"/>
  <c r="BM18" i="14"/>
  <c r="C26" i="3"/>
  <c r="C50" i="3" s="1"/>
  <c r="BN51" i="1"/>
  <c r="BN100" i="1"/>
  <c r="AS40" i="34"/>
  <c r="BN53" i="1"/>
  <c r="BN50" i="1"/>
  <c r="S88" i="34"/>
  <c r="N142" i="1"/>
  <c r="BP646" i="2"/>
  <c r="BP893" i="34" s="1"/>
  <c r="AV382" i="34"/>
  <c r="BP891" i="34"/>
  <c r="BP645" i="2"/>
  <c r="V58" i="34"/>
  <c r="V1264" i="34"/>
  <c r="V75" i="1"/>
  <c r="X1246" i="34"/>
  <c r="X20" i="14"/>
  <c r="X584" i="34" s="1"/>
  <c r="X42" i="34"/>
  <c r="Q88" i="34"/>
  <c r="BK73" i="1"/>
  <c r="AP50" i="34"/>
  <c r="BK67" i="1"/>
  <c r="AP55" i="34" s="1"/>
  <c r="AI294" i="1"/>
  <c r="AI52" i="34"/>
  <c r="AI1257" i="34"/>
  <c r="X64" i="34"/>
  <c r="X1270" i="34"/>
  <c r="AA21" i="14"/>
  <c r="AA585" i="34" s="1"/>
  <c r="W22" i="14"/>
  <c r="W586" i="34" s="1"/>
  <c r="W582" i="34"/>
  <c r="W21" i="14"/>
  <c r="W585" i="34" s="1"/>
  <c r="X22" i="14"/>
  <c r="X586" i="34" s="1"/>
  <c r="T58" i="34"/>
  <c r="T1264" i="34"/>
  <c r="T75" i="1"/>
  <c r="AI77" i="1"/>
  <c r="AI1266" i="34"/>
  <c r="AI60" i="34"/>
  <c r="AI78" i="1"/>
  <c r="S65" i="42"/>
  <c r="Q142" i="1"/>
  <c r="C15" i="35"/>
  <c r="C34" i="35" s="1"/>
  <c r="C33" i="35"/>
  <c r="AG582" i="34"/>
  <c r="AG21" i="14"/>
  <c r="AG585" i="34" s="1"/>
  <c r="AH22" i="14"/>
  <c r="AH586" i="34" s="1"/>
  <c r="AG22" i="14"/>
  <c r="AG586" i="34" s="1"/>
  <c r="AP48" i="34"/>
  <c r="AB71" i="1"/>
  <c r="R71" i="1"/>
  <c r="Y582" i="34"/>
  <c r="Y22" i="14"/>
  <c r="Y586" i="34" s="1"/>
  <c r="Z22" i="14"/>
  <c r="Z586" i="34" s="1"/>
  <c r="N55" i="34"/>
  <c r="N1260" i="34"/>
  <c r="AC907" i="34"/>
  <c r="AC659" i="2"/>
  <c r="AC906" i="34" s="1"/>
  <c r="AT600" i="2"/>
  <c r="AS843" i="34"/>
  <c r="AS599" i="2"/>
  <c r="BQ60" i="1"/>
  <c r="BQ49" i="1"/>
  <c r="BQ44" i="1"/>
  <c r="AV35" i="34" s="1"/>
  <c r="BQ136" i="1"/>
  <c r="AV124" i="34" s="1"/>
  <c r="AV34" i="34"/>
  <c r="AQ48" i="34"/>
  <c r="V41" i="34"/>
  <c r="V52" i="1"/>
  <c r="V1245" i="34" s="1"/>
  <c r="V19" i="14"/>
  <c r="V583" i="34" s="1"/>
  <c r="V1244" i="34"/>
  <c r="Z52" i="1"/>
  <c r="Z1245" i="34" s="1"/>
  <c r="AL78" i="1"/>
  <c r="AL1266" i="34"/>
  <c r="AL77" i="1"/>
  <c r="AL1270" i="34" s="1"/>
  <c r="BG71" i="1"/>
  <c r="AC71" i="1"/>
  <c r="AR37" i="34"/>
  <c r="BM62" i="1"/>
  <c r="BM47" i="1"/>
  <c r="AR38" i="34" s="1"/>
  <c r="CM46" i="1"/>
  <c r="BM137" i="1"/>
  <c r="AS48" i="34"/>
  <c r="W55" i="34"/>
  <c r="W1260" i="34"/>
  <c r="AG52" i="34"/>
  <c r="AG1257" i="34"/>
  <c r="AG294" i="1"/>
  <c r="S55" i="34"/>
  <c r="S1260" i="34"/>
  <c r="AF1246" i="34"/>
  <c r="AF42" i="34"/>
  <c r="AF20" i="14"/>
  <c r="AF584" i="34" s="1"/>
  <c r="AB582" i="34"/>
  <c r="AF21" i="14"/>
  <c r="AF585" i="34" s="1"/>
  <c r="AB21" i="14"/>
  <c r="AB585" i="34" s="1"/>
  <c r="AB22" i="14"/>
  <c r="AB586" i="34" s="1"/>
  <c r="AS389" i="34"/>
  <c r="BM900" i="34"/>
  <c r="BM657" i="2"/>
  <c r="BM904" i="34" s="1"/>
  <c r="R41" i="34"/>
  <c r="R19" i="14"/>
  <c r="R583" i="34" s="1"/>
  <c r="R52" i="1"/>
  <c r="R1245" i="34" s="1"/>
  <c r="R1244" i="34"/>
  <c r="AA901" i="34"/>
  <c r="AA390" i="34"/>
  <c r="S52" i="34"/>
  <c r="S294" i="1"/>
  <c r="S1257" i="34"/>
  <c r="T55" i="34"/>
  <c r="T1260" i="34"/>
  <c r="AE142" i="1"/>
  <c r="BG77" i="1"/>
  <c r="AL64" i="34" s="1"/>
  <c r="BG78" i="1"/>
  <c r="AL65" i="34" s="1"/>
  <c r="AL60" i="34"/>
  <c r="J14" i="35"/>
  <c r="AL51" i="1"/>
  <c r="AL100" i="1"/>
  <c r="AL53" i="1"/>
  <c r="AL50" i="1"/>
  <c r="AL1243" i="34" s="1"/>
  <c r="AL1242" i="34"/>
  <c r="AL18" i="14"/>
  <c r="AM22" i="14" s="1"/>
  <c r="AP53" i="1"/>
  <c r="AP50" i="1"/>
  <c r="AP1243" i="34" s="1"/>
  <c r="AL252" i="1"/>
  <c r="AB1260" i="34"/>
  <c r="AB55" i="34"/>
  <c r="BY192" i="2"/>
  <c r="V1257" i="34"/>
  <c r="V294" i="1"/>
  <c r="V52" i="34"/>
  <c r="T582" i="34"/>
  <c r="T21" i="14"/>
  <c r="T585" i="34" s="1"/>
  <c r="T22" i="14"/>
  <c r="T586" i="34" s="1"/>
  <c r="X21" i="14"/>
  <c r="X585" i="34" s="1"/>
  <c r="Q41" i="34"/>
  <c r="Q1244" i="34"/>
  <c r="Q52" i="1"/>
  <c r="Q1245" i="34" s="1"/>
  <c r="Q19" i="14"/>
  <c r="Q583" i="34" s="1"/>
  <c r="BK64" i="1"/>
  <c r="K15" i="35"/>
  <c r="K34" i="35" s="1"/>
  <c r="K33" i="35"/>
  <c r="X65" i="34"/>
  <c r="X1271" i="34"/>
  <c r="AK1255" i="34"/>
  <c r="AK67" i="1"/>
  <c r="AK1260" i="34" s="1"/>
  <c r="AK73" i="1"/>
  <c r="BN67" i="1"/>
  <c r="AS55" i="34" s="1"/>
  <c r="BN73" i="1"/>
  <c r="Q65" i="4"/>
  <c r="Q65" i="40"/>
  <c r="AS50" i="34"/>
  <c r="Q65" i="42"/>
  <c r="L14" i="35"/>
  <c r="AN50" i="1"/>
  <c r="AN1243" i="34" s="1"/>
  <c r="AN18" i="14"/>
  <c r="AN51" i="1"/>
  <c r="AN53" i="1"/>
  <c r="AN1242" i="34"/>
  <c r="AN100" i="1"/>
  <c r="AN252" i="1"/>
  <c r="AA42" i="34"/>
  <c r="AA20" i="14"/>
  <c r="AA584" i="34" s="1"/>
  <c r="AA1246" i="34"/>
  <c r="AT48" i="34"/>
  <c r="AI252" i="1"/>
  <c r="AI238" i="34" s="1"/>
  <c r="AI235" i="34"/>
  <c r="AI239" i="34"/>
  <c r="M20" i="40"/>
  <c r="M24" i="40"/>
  <c r="Y52" i="34"/>
  <c r="Y294" i="1"/>
  <c r="BN64" i="1"/>
  <c r="BN71" i="1" s="1"/>
  <c r="Y1257" i="34"/>
  <c r="AC142" i="1"/>
  <c r="T294" i="1"/>
  <c r="T1257" i="34"/>
  <c r="T52" i="34"/>
  <c r="BN892" i="34"/>
  <c r="AT383" i="34"/>
  <c r="U73" i="1"/>
  <c r="U67" i="1"/>
  <c r="U1255" i="34"/>
  <c r="U50" i="34"/>
  <c r="AI1260" i="34"/>
  <c r="AI55" i="34"/>
  <c r="R55" i="34"/>
  <c r="R1260" i="34"/>
  <c r="W75" i="1"/>
  <c r="W1264" i="34"/>
  <c r="W58" i="34"/>
  <c r="AE582" i="34"/>
  <c r="AE22" i="14"/>
  <c r="AE586" i="34" s="1"/>
  <c r="AF22" i="14"/>
  <c r="AF586" i="34" s="1"/>
  <c r="AE21" i="14"/>
  <c r="AE585" i="34" s="1"/>
  <c r="BL140" i="1"/>
  <c r="AQ128" i="34" s="1"/>
  <c r="AQ125" i="34"/>
  <c r="AD1270" i="34"/>
  <c r="AD64" i="34"/>
  <c r="P1266" i="34"/>
  <c r="P60" i="34"/>
  <c r="P77" i="1"/>
  <c r="P201" i="1"/>
  <c r="P78" i="1"/>
  <c r="AU159" i="2"/>
  <c r="AV157" i="2"/>
  <c r="BR157" i="2" s="1"/>
  <c r="AU161" i="2"/>
  <c r="AU160" i="2"/>
  <c r="BQ247" i="1"/>
  <c r="AV202" i="34"/>
  <c r="AL41" i="34"/>
  <c r="BH52" i="1"/>
  <c r="AC1244" i="34"/>
  <c r="AC41" i="34"/>
  <c r="AC19" i="14"/>
  <c r="AC583" i="34" s="1"/>
  <c r="AC52" i="1"/>
  <c r="AC1245" i="34" s="1"/>
  <c r="AC88" i="34"/>
  <c r="BP113" i="1"/>
  <c r="AU101" i="34" s="1"/>
  <c r="BP115" i="1"/>
  <c r="AU94" i="34"/>
  <c r="BQ140" i="1"/>
  <c r="AV128" i="34" s="1"/>
  <c r="AV125" i="34"/>
  <c r="AD1268" i="34"/>
  <c r="AD62" i="34"/>
  <c r="AR308" i="2" l="1"/>
  <c r="AR306" i="2"/>
  <c r="AR128" i="2"/>
  <c r="AR126" i="2"/>
  <c r="AR130" i="2"/>
  <c r="AR125" i="2"/>
  <c r="AR205" i="2" s="1"/>
  <c r="BR174" i="2"/>
  <c r="BR227" i="14"/>
  <c r="AW88" i="2"/>
  <c r="AW89" i="2" s="1"/>
  <c r="BR86" i="2"/>
  <c r="AS74" i="14"/>
  <c r="AS80" i="14" s="1"/>
  <c r="AS152" i="14"/>
  <c r="AS157" i="14" s="1"/>
  <c r="BS231" i="2"/>
  <c r="AU258" i="1"/>
  <c r="AU14" i="1"/>
  <c r="AU15" i="1" s="1"/>
  <c r="V11" i="35"/>
  <c r="BD13" i="1"/>
  <c r="BU13" i="1" s="1"/>
  <c r="U22" i="35"/>
  <c r="U30" i="35"/>
  <c r="BS218" i="2"/>
  <c r="BR15" i="1"/>
  <c r="AD5" i="35"/>
  <c r="AD9" i="35" s="1"/>
  <c r="AE4" i="35"/>
  <c r="AE5" i="35" s="1"/>
  <c r="AE9" i="35" s="1"/>
  <c r="BQ239" i="1"/>
  <c r="AV225" i="34" s="1"/>
  <c r="S65" i="4"/>
  <c r="S67" i="4" s="1"/>
  <c r="S68" i="4" s="1"/>
  <c r="BS233" i="2"/>
  <c r="BS223" i="2" s="1"/>
  <c r="BQ13" i="2"/>
  <c r="BT25" i="2"/>
  <c r="BT23" i="2"/>
  <c r="AT14" i="2"/>
  <c r="AT13" i="2"/>
  <c r="AR1074" i="34"/>
  <c r="U12" i="4"/>
  <c r="BQ698" i="34"/>
  <c r="AR1076" i="34"/>
  <c r="AR1075" i="34"/>
  <c r="AW76" i="2"/>
  <c r="AW80" i="2" s="1"/>
  <c r="AW86" i="2"/>
  <c r="AR1088" i="34"/>
  <c r="AR722" i="34"/>
  <c r="AW87" i="2"/>
  <c r="AX83" i="2"/>
  <c r="AX76" i="2" s="1"/>
  <c r="AX77" i="2" s="1"/>
  <c r="AX78" i="2" s="1"/>
  <c r="AR1087" i="34"/>
  <c r="AR1066" i="34"/>
  <c r="AR713" i="34"/>
  <c r="AV124" i="2"/>
  <c r="BD254" i="2"/>
  <c r="AZ286" i="2"/>
  <c r="AZ1093" i="34" s="1"/>
  <c r="AZ1060" i="34"/>
  <c r="R22" i="40"/>
  <c r="R23" i="40"/>
  <c r="R19" i="40"/>
  <c r="R24" i="40" s="1"/>
  <c r="AX77" i="34"/>
  <c r="L38" i="4"/>
  <c r="S19" i="42"/>
  <c r="S23" i="42"/>
  <c r="S22" i="40"/>
  <c r="S23" i="40"/>
  <c r="S19" i="40"/>
  <c r="S24" i="40" s="1"/>
  <c r="BQ245" i="1"/>
  <c r="AV231" i="34" s="1"/>
  <c r="T14" i="40"/>
  <c r="T14" i="42"/>
  <c r="AT260" i="2"/>
  <c r="BA239" i="2"/>
  <c r="AY247" i="2"/>
  <c r="AY242" i="2" s="1"/>
  <c r="AD384" i="34"/>
  <c r="CE12" i="2"/>
  <c r="BQ71" i="2"/>
  <c r="BQ476" i="2"/>
  <c r="AW421" i="34" s="1"/>
  <c r="BQ494" i="2"/>
  <c r="AW314" i="34" s="1"/>
  <c r="AW275" i="34"/>
  <c r="BQ15" i="2"/>
  <c r="AW276" i="34" s="1"/>
  <c r="BS236" i="2"/>
  <c r="AR711" i="34"/>
  <c r="AR703" i="34"/>
  <c r="AR710" i="34"/>
  <c r="BQ57" i="2"/>
  <c r="AW301" i="34" s="1"/>
  <c r="AR721" i="34"/>
  <c r="AR702" i="34"/>
  <c r="AR709" i="34"/>
  <c r="AR719" i="34"/>
  <c r="AR717" i="34"/>
  <c r="AR718" i="34"/>
  <c r="BS240" i="2"/>
  <c r="BS224" i="2" s="1"/>
  <c r="BD1062" i="34"/>
  <c r="BD288" i="2"/>
  <c r="BD1095" i="34" s="1"/>
  <c r="AQ192" i="14"/>
  <c r="AQ191" i="14"/>
  <c r="AQ79" i="14"/>
  <c r="AQ80" i="14"/>
  <c r="AQ172" i="14"/>
  <c r="AQ174" i="14"/>
  <c r="AQ173" i="14"/>
  <c r="BT228" i="2"/>
  <c r="BT218" i="2" s="1"/>
  <c r="BC232" i="2"/>
  <c r="BC230" i="2"/>
  <c r="BC231" i="2"/>
  <c r="BC233" i="2"/>
  <c r="BC223" i="2" s="1"/>
  <c r="BD232" i="2"/>
  <c r="BD230" i="2"/>
  <c r="BC218" i="2"/>
  <c r="AV429" i="2"/>
  <c r="BT86" i="1"/>
  <c r="AY73" i="34" s="1"/>
  <c r="BR76" i="2"/>
  <c r="BR80" i="2" s="1"/>
  <c r="Z390" i="34"/>
  <c r="BO181" i="14"/>
  <c r="BO182" i="14" s="1"/>
  <c r="AK206" i="2"/>
  <c r="Z58" i="34"/>
  <c r="Z75" i="1"/>
  <c r="Z1264" i="34"/>
  <c r="BD1063" i="34"/>
  <c r="BD289" i="2"/>
  <c r="BD1096" i="34" s="1"/>
  <c r="O130" i="34"/>
  <c r="AD902" i="34"/>
  <c r="S944" i="34"/>
  <c r="Z901" i="34"/>
  <c r="BP144" i="14"/>
  <c r="BP145" i="14" s="1"/>
  <c r="AN132" i="2"/>
  <c r="X1264" i="34"/>
  <c r="X75" i="1"/>
  <c r="X58" i="34"/>
  <c r="Y5" i="14"/>
  <c r="Z6" i="14"/>
  <c r="AV614" i="2"/>
  <c r="AU613" i="2"/>
  <c r="AU858" i="34"/>
  <c r="AS242" i="2"/>
  <c r="AS244" i="2" s="1"/>
  <c r="AS225" i="2"/>
  <c r="AS620" i="2"/>
  <c r="AS864" i="34" s="1"/>
  <c r="AS619" i="2"/>
  <c r="AS863" i="34" s="1"/>
  <c r="AS862" i="34"/>
  <c r="BQ619" i="2"/>
  <c r="BQ863" i="34" s="1"/>
  <c r="BQ862" i="34"/>
  <c r="BQ620" i="2"/>
  <c r="BQ864" i="34" s="1"/>
  <c r="T144" i="1"/>
  <c r="T132" i="34" s="1"/>
  <c r="AW359" i="34"/>
  <c r="BQ858" i="34"/>
  <c r="AK207" i="2"/>
  <c r="AL209" i="2"/>
  <c r="AT618" i="2"/>
  <c r="AT857" i="34"/>
  <c r="AW224" i="2"/>
  <c r="AW247" i="2"/>
  <c r="BA231" i="2"/>
  <c r="BA233" i="2"/>
  <c r="BA223" i="2" s="1"/>
  <c r="BA218" i="2"/>
  <c r="BB230" i="2"/>
  <c r="BB232" i="2"/>
  <c r="BA232" i="2"/>
  <c r="BA230" i="2"/>
  <c r="BA219" i="2"/>
  <c r="BB239" i="2"/>
  <c r="BA240" i="2"/>
  <c r="BB237" i="2"/>
  <c r="BA238" i="2"/>
  <c r="CE320" i="2"/>
  <c r="BQ480" i="2"/>
  <c r="BQ346" i="2"/>
  <c r="BQ321" i="2"/>
  <c r="BQ933" i="34"/>
  <c r="BQ326" i="2"/>
  <c r="BQ323" i="2"/>
  <c r="BQ338" i="2"/>
  <c r="BQ362" i="2"/>
  <c r="BQ352" i="2"/>
  <c r="AW456" i="34"/>
  <c r="AU50" i="34"/>
  <c r="K47" i="35"/>
  <c r="BP73" i="1"/>
  <c r="BP78" i="1" s="1"/>
  <c r="AV430" i="2"/>
  <c r="AN131" i="2"/>
  <c r="AL207" i="2"/>
  <c r="AW555" i="2"/>
  <c r="AV792" i="34"/>
  <c r="BR555" i="2"/>
  <c r="BP67" i="1"/>
  <c r="AU55" i="34" s="1"/>
  <c r="S65" i="40"/>
  <c r="S67" i="40" s="1"/>
  <c r="S68" i="40" s="1"/>
  <c r="AR483" i="2"/>
  <c r="AR481" i="2"/>
  <c r="AR484" i="2"/>
  <c r="AR482" i="2"/>
  <c r="AO77" i="1"/>
  <c r="AO1270" i="34" s="1"/>
  <c r="AO1266" i="34"/>
  <c r="AO78" i="1"/>
  <c r="V6" i="34"/>
  <c r="X8" i="42"/>
  <c r="W27" i="42"/>
  <c r="W5" i="42"/>
  <c r="T26" i="4"/>
  <c r="T1305" i="34" s="1"/>
  <c r="T5" i="4"/>
  <c r="V5" i="40"/>
  <c r="V27" i="40"/>
  <c r="W8" i="40"/>
  <c r="P45" i="35"/>
  <c r="Q45" i="35" s="1"/>
  <c r="Q1202" i="34"/>
  <c r="AC30" i="35"/>
  <c r="AC25" i="35"/>
  <c r="P48" i="35"/>
  <c r="Q1203" i="34"/>
  <c r="P47" i="35"/>
  <c r="AC22" i="35"/>
  <c r="P46" i="35" s="1"/>
  <c r="P50" i="35"/>
  <c r="Y21" i="14"/>
  <c r="Y585" i="34" s="1"/>
  <c r="W144" i="1"/>
  <c r="W132" i="34" s="1"/>
  <c r="AY204" i="1"/>
  <c r="N44" i="35"/>
  <c r="AC19" i="35"/>
  <c r="AB28" i="35"/>
  <c r="P1200" i="34"/>
  <c r="AT1283" i="34"/>
  <c r="AU86" i="1"/>
  <c r="AT84" i="1"/>
  <c r="AD19" i="35"/>
  <c r="AD28" i="35" s="1"/>
  <c r="J46" i="35"/>
  <c r="K46" i="35" s="1"/>
  <c r="AB31" i="35"/>
  <c r="J49" i="35"/>
  <c r="P1204" i="34"/>
  <c r="AS107" i="14"/>
  <c r="U142" i="1"/>
  <c r="U144" i="1" s="1"/>
  <c r="U132" i="34" s="1"/>
  <c r="B28" i="3"/>
  <c r="B52" i="3" s="1"/>
  <c r="AS1276" i="34"/>
  <c r="BB220" i="2"/>
  <c r="BB62" i="14"/>
  <c r="BB243" i="2"/>
  <c r="BB74" i="2" s="1"/>
  <c r="AV242" i="2"/>
  <c r="AV225" i="2"/>
  <c r="AZ247" i="2"/>
  <c r="AZ224" i="2"/>
  <c r="BC224" i="2"/>
  <c r="AU242" i="2"/>
  <c r="AU225" i="2"/>
  <c r="AS79" i="14"/>
  <c r="AK208" i="2"/>
  <c r="AH125" i="2"/>
  <c r="AH205" i="2" s="1"/>
  <c r="AH208" i="2" s="1"/>
  <c r="AK126" i="2"/>
  <c r="BO124" i="2"/>
  <c r="BO130" i="2" s="1"/>
  <c r="BQ142" i="1"/>
  <c r="AV130" i="34" s="1"/>
  <c r="AL71" i="1"/>
  <c r="AL75" i="1" s="1"/>
  <c r="AA216" i="1"/>
  <c r="AA193" i="34"/>
  <c r="AW176" i="14"/>
  <c r="AW177" i="14" s="1"/>
  <c r="AW139" i="14"/>
  <c r="AW140" i="14" s="1"/>
  <c r="AX229" i="14"/>
  <c r="Y130" i="34"/>
  <c r="BK142" i="1"/>
  <c r="AP130" i="34" s="1"/>
  <c r="AJ60" i="34"/>
  <c r="AJ77" i="1"/>
  <c r="AJ1266" i="34"/>
  <c r="AJ78" i="1"/>
  <c r="AJ128" i="34"/>
  <c r="AJ142" i="1"/>
  <c r="AJ130" i="34" s="1"/>
  <c r="AF1268" i="34"/>
  <c r="AF62" i="34"/>
  <c r="F15" i="35"/>
  <c r="F34" i="35" s="1"/>
  <c r="F33" i="35"/>
  <c r="AJ20" i="14"/>
  <c r="AJ584" i="34" s="1"/>
  <c r="AJ1246" i="34"/>
  <c r="AJ42" i="34"/>
  <c r="AF193" i="34"/>
  <c r="AF216" i="1"/>
  <c r="AJ52" i="1"/>
  <c r="AJ1245" i="34" s="1"/>
  <c r="AJ41" i="34"/>
  <c r="AJ1244" i="34"/>
  <c r="AJ19" i="14"/>
  <c r="AJ583" i="34" s="1"/>
  <c r="BP142" i="1"/>
  <c r="AU130" i="34" s="1"/>
  <c r="BR204" i="1"/>
  <c r="AW190" i="34" s="1"/>
  <c r="AS177" i="1"/>
  <c r="AJ109" i="1"/>
  <c r="AJ97" i="34" s="1"/>
  <c r="AJ110" i="1"/>
  <c r="AJ98" i="34" s="1"/>
  <c r="AJ105" i="1"/>
  <c r="AJ123" i="1" s="1"/>
  <c r="AJ88" i="34"/>
  <c r="P15" i="35"/>
  <c r="P34" i="35" s="1"/>
  <c r="P33" i="35"/>
  <c r="AP77" i="1"/>
  <c r="AP1270" i="34" s="1"/>
  <c r="AP78" i="1"/>
  <c r="AP1266" i="34"/>
  <c r="AJ71" i="1"/>
  <c r="AJ52" i="34"/>
  <c r="AJ1257" i="34"/>
  <c r="AJ294" i="1"/>
  <c r="AP19" i="14"/>
  <c r="AP1244" i="34"/>
  <c r="BP64" i="1"/>
  <c r="BP71" i="1" s="1"/>
  <c r="BP75" i="1" s="1"/>
  <c r="AP1257" i="34"/>
  <c r="AJ21" i="14"/>
  <c r="AJ585" i="34" s="1"/>
  <c r="AJ22" i="14"/>
  <c r="AJ586" i="34" s="1"/>
  <c r="AJ582" i="34"/>
  <c r="AJ55" i="34"/>
  <c r="AJ1260" i="34"/>
  <c r="AP109" i="1"/>
  <c r="AP110" i="1"/>
  <c r="AG130" i="2"/>
  <c r="AH131" i="2" s="1"/>
  <c r="AL196" i="2"/>
  <c r="AL194" i="2"/>
  <c r="AM201" i="2"/>
  <c r="AN199" i="2"/>
  <c r="AM202" i="2"/>
  <c r="AM205" i="2"/>
  <c r="AM211" i="2"/>
  <c r="AM203" i="2"/>
  <c r="AM193" i="2"/>
  <c r="AK195" i="2"/>
  <c r="BO195" i="2"/>
  <c r="AH894" i="34"/>
  <c r="AH384" i="34"/>
  <c r="BQ634" i="2"/>
  <c r="BQ879" i="34" s="1"/>
  <c r="BQ633" i="2"/>
  <c r="BQ878" i="34" s="1"/>
  <c r="BQ877" i="34"/>
  <c r="AW368" i="34"/>
  <c r="BQ872" i="34"/>
  <c r="BQ628" i="2"/>
  <c r="AU628" i="2"/>
  <c r="AT627" i="2"/>
  <c r="AT873" i="34"/>
  <c r="AS872" i="34"/>
  <c r="AS632" i="2"/>
  <c r="AR877" i="34"/>
  <c r="AR633" i="2"/>
  <c r="AR878" i="34" s="1"/>
  <c r="AR634" i="2"/>
  <c r="AR879" i="34" s="1"/>
  <c r="BM178" i="14"/>
  <c r="BN179" i="14" s="1"/>
  <c r="BM181" i="14"/>
  <c r="BN182" i="14" s="1"/>
  <c r="BT61" i="14"/>
  <c r="AY187" i="2"/>
  <c r="AY186" i="2"/>
  <c r="AY185" i="2"/>
  <c r="AY101" i="2"/>
  <c r="AY97" i="2"/>
  <c r="AY98" i="2" s="1"/>
  <c r="AY99" i="2"/>
  <c r="AY100" i="2"/>
  <c r="AW174" i="2"/>
  <c r="BR178" i="2"/>
  <c r="BR175" i="2"/>
  <c r="BR176" i="2" s="1"/>
  <c r="AX185" i="2"/>
  <c r="AX183" i="2"/>
  <c r="AX184" i="2" s="1"/>
  <c r="AX187" i="2"/>
  <c r="AX186" i="2"/>
  <c r="AX93" i="2"/>
  <c r="AZ96" i="2"/>
  <c r="AY91" i="2"/>
  <c r="AX94" i="2"/>
  <c r="AX169" i="2"/>
  <c r="AV175" i="2"/>
  <c r="AV176" i="2" s="1"/>
  <c r="AV178" i="2"/>
  <c r="AV179" i="2"/>
  <c r="AV177" i="2"/>
  <c r="AY189" i="2"/>
  <c r="AO1009" i="34"/>
  <c r="AO382" i="2"/>
  <c r="AU532" i="34"/>
  <c r="BO1009" i="34"/>
  <c r="AP385" i="2"/>
  <c r="AQ385" i="2" s="1"/>
  <c r="AQ382" i="2" s="1"/>
  <c r="AR384" i="2" s="1"/>
  <c r="AN382" i="2"/>
  <c r="AR383" i="2" s="1"/>
  <c r="AN1009" i="34"/>
  <c r="AM1006" i="34"/>
  <c r="AM383" i="2"/>
  <c r="AM1007" i="34" s="1"/>
  <c r="AM384" i="2"/>
  <c r="AM1008" i="34" s="1"/>
  <c r="BO1007" i="34"/>
  <c r="AU530" i="34"/>
  <c r="AR714" i="34"/>
  <c r="AT320" i="2"/>
  <c r="AT352" i="2" s="1"/>
  <c r="AT959" i="34" s="1"/>
  <c r="AT351" i="2"/>
  <c r="AT958" i="34" s="1"/>
  <c r="AT354" i="2"/>
  <c r="AT961" i="34" s="1"/>
  <c r="AT350" i="2"/>
  <c r="AT957" i="34" s="1"/>
  <c r="AT353" i="2"/>
  <c r="AT960" i="34" s="1"/>
  <c r="AT956" i="34"/>
  <c r="AT355" i="2"/>
  <c r="AT962" i="34" s="1"/>
  <c r="BU171" i="2"/>
  <c r="AU349" i="2"/>
  <c r="AV341" i="2"/>
  <c r="AU344" i="2"/>
  <c r="AU951" i="34" s="1"/>
  <c r="AU363" i="2"/>
  <c r="AU970" i="34" s="1"/>
  <c r="AU948" i="34"/>
  <c r="AU342" i="2"/>
  <c r="AU949" i="34" s="1"/>
  <c r="AU345" i="2"/>
  <c r="AU952" i="34" s="1"/>
  <c r="AS338" i="2"/>
  <c r="AS945" i="34" s="1"/>
  <c r="AS346" i="2"/>
  <c r="AS953" i="34" s="1"/>
  <c r="AS322" i="2"/>
  <c r="AS935" i="34" s="1"/>
  <c r="AS933" i="34"/>
  <c r="AS362" i="2"/>
  <c r="AS969" i="34" s="1"/>
  <c r="AS326" i="2"/>
  <c r="AS321" i="2"/>
  <c r="AS934" i="34" s="1"/>
  <c r="AS480" i="2"/>
  <c r="AS323" i="2"/>
  <c r="AS936" i="34" s="1"/>
  <c r="AS324" i="2"/>
  <c r="AS937" i="34" s="1"/>
  <c r="BN411" i="2"/>
  <c r="AT556" i="34"/>
  <c r="BN1033" i="34"/>
  <c r="BN409" i="2"/>
  <c r="AF405" i="34"/>
  <c r="AF1115" i="34"/>
  <c r="AG1112" i="34"/>
  <c r="AH452" i="2"/>
  <c r="AG650" i="2"/>
  <c r="AG653" i="2" s="1"/>
  <c r="AG455" i="2"/>
  <c r="AG457" i="2"/>
  <c r="AG402" i="34"/>
  <c r="AG459" i="2"/>
  <c r="AG456" i="2"/>
  <c r="AF651" i="2"/>
  <c r="AF386" i="34"/>
  <c r="AF897" i="34"/>
  <c r="AF653" i="2"/>
  <c r="AG1035" i="34"/>
  <c r="AG558" i="34"/>
  <c r="AI411" i="2"/>
  <c r="AH408" i="2"/>
  <c r="AH1036" i="34"/>
  <c r="AH559" i="34"/>
  <c r="BU294" i="2"/>
  <c r="BU295" i="2" s="1"/>
  <c r="BT235" i="2"/>
  <c r="BT219" i="2" s="1"/>
  <c r="BN457" i="2"/>
  <c r="BN454" i="2"/>
  <c r="BN650" i="2"/>
  <c r="CB452" i="2"/>
  <c r="BN455" i="2"/>
  <c r="AT402" i="34"/>
  <c r="BN1112" i="34"/>
  <c r="CA452" i="2"/>
  <c r="AF558" i="34"/>
  <c r="AF1035" i="34"/>
  <c r="AF405" i="2"/>
  <c r="AF403" i="2"/>
  <c r="BN402" i="2"/>
  <c r="AF1027" i="34"/>
  <c r="AG404" i="2"/>
  <c r="AF550" i="34"/>
  <c r="AF404" i="2"/>
  <c r="BX472" i="2"/>
  <c r="BW473" i="2"/>
  <c r="BW474" i="2" s="1"/>
  <c r="AE1030" i="34"/>
  <c r="AE553" i="34"/>
  <c r="AH1113" i="34"/>
  <c r="AI453" i="2"/>
  <c r="AH403" i="34"/>
  <c r="AF407" i="34"/>
  <c r="AF1117" i="34"/>
  <c r="AF1116" i="34"/>
  <c r="AF406" i="34"/>
  <c r="AF461" i="2"/>
  <c r="AF1119" i="34"/>
  <c r="BN459" i="2"/>
  <c r="AF460" i="2"/>
  <c r="AF462" i="2"/>
  <c r="AF409" i="34"/>
  <c r="AF557" i="34"/>
  <c r="AF1034" i="34"/>
  <c r="AE552" i="34"/>
  <c r="AE1029" i="34"/>
  <c r="AE1028" i="34"/>
  <c r="AE551" i="34"/>
  <c r="BD239" i="2"/>
  <c r="R335" i="2"/>
  <c r="R464" i="34" s="1"/>
  <c r="AN392" i="2"/>
  <c r="AR393" i="2" s="1"/>
  <c r="AN450" i="2"/>
  <c r="AN1110" i="34" s="1"/>
  <c r="AN1106" i="34"/>
  <c r="AN449" i="2"/>
  <c r="AN1109" i="34" s="1"/>
  <c r="BP446" i="2"/>
  <c r="AO446" i="2"/>
  <c r="AM393" i="2"/>
  <c r="AM1017" i="34" s="1"/>
  <c r="AM394" i="2"/>
  <c r="AM1018" i="34" s="1"/>
  <c r="AM1016" i="34"/>
  <c r="BU68" i="2"/>
  <c r="BU69" i="2" s="1"/>
  <c r="BU22" i="2"/>
  <c r="BV24" i="1"/>
  <c r="BC42" i="2"/>
  <c r="BC704" i="34" s="1"/>
  <c r="BC1211" i="34"/>
  <c r="R467" i="34"/>
  <c r="R944" i="34"/>
  <c r="Q475" i="34"/>
  <c r="Q952" i="34"/>
  <c r="Q350" i="2"/>
  <c r="Q353" i="2"/>
  <c r="Q956" i="34"/>
  <c r="Q352" i="2"/>
  <c r="Q479" i="34"/>
  <c r="Q351" i="2"/>
  <c r="U350" i="2"/>
  <c r="V957" i="34"/>
  <c r="V480" i="34"/>
  <c r="R959" i="34"/>
  <c r="R482" i="34"/>
  <c r="R945" i="34"/>
  <c r="R468" i="34"/>
  <c r="V941" i="34"/>
  <c r="V466" i="34"/>
  <c r="U951" i="34"/>
  <c r="U473" i="34"/>
  <c r="R960" i="34"/>
  <c r="R483" i="34"/>
  <c r="V465" i="34"/>
  <c r="V943" i="34"/>
  <c r="U949" i="34"/>
  <c r="U474" i="34"/>
  <c r="Q970" i="34"/>
  <c r="Q493" i="34"/>
  <c r="Q474" i="34"/>
  <c r="Q949" i="34"/>
  <c r="R958" i="34"/>
  <c r="R481" i="34"/>
  <c r="R957" i="34"/>
  <c r="R480" i="34"/>
  <c r="R466" i="34"/>
  <c r="R941" i="34"/>
  <c r="R475" i="34"/>
  <c r="R952" i="34"/>
  <c r="Q334" i="2"/>
  <c r="Q338" i="2"/>
  <c r="U336" i="2"/>
  <c r="Q463" i="34"/>
  <c r="Q940" i="34"/>
  <c r="U334" i="2"/>
  <c r="Q337" i="2"/>
  <c r="AU134" i="2"/>
  <c r="AU133" i="2"/>
  <c r="AU132" i="2"/>
  <c r="AU131" i="2"/>
  <c r="BQ130" i="2"/>
  <c r="BQ126" i="2"/>
  <c r="BQ127" i="2"/>
  <c r="AS126" i="2"/>
  <c r="AT128" i="2"/>
  <c r="AT125" i="2"/>
  <c r="AS125" i="2"/>
  <c r="AS130" i="2"/>
  <c r="AW124" i="2"/>
  <c r="AS128" i="2"/>
  <c r="BR124" i="2"/>
  <c r="AO132" i="2"/>
  <c r="AO134" i="2"/>
  <c r="AO133" i="2"/>
  <c r="AP131" i="2"/>
  <c r="AO131" i="2"/>
  <c r="AP134" i="2"/>
  <c r="BC124" i="2"/>
  <c r="AY126" i="2"/>
  <c r="AY125" i="2"/>
  <c r="AY128" i="2"/>
  <c r="AV130" i="2"/>
  <c r="AV125" i="2"/>
  <c r="AZ124" i="2"/>
  <c r="AV128" i="2"/>
  <c r="AV126" i="2"/>
  <c r="AZ315" i="34"/>
  <c r="BT732" i="34"/>
  <c r="BU727" i="34"/>
  <c r="BU534" i="2"/>
  <c r="BU780" i="34" s="1"/>
  <c r="BV490" i="2"/>
  <c r="BU491" i="2"/>
  <c r="BT728" i="34"/>
  <c r="BT492" i="2"/>
  <c r="BT729" i="34" s="1"/>
  <c r="AZ312" i="34"/>
  <c r="AZ15" i="34"/>
  <c r="AX490" i="34"/>
  <c r="BR967" i="34"/>
  <c r="AX489" i="34"/>
  <c r="BR966" i="34"/>
  <c r="AX964" i="34"/>
  <c r="AX360" i="2"/>
  <c r="AX967" i="34" s="1"/>
  <c r="AY357" i="2"/>
  <c r="AX361" i="2"/>
  <c r="AX968" i="34" s="1"/>
  <c r="BS245" i="14"/>
  <c r="BP182" i="14"/>
  <c r="BR1041" i="34"/>
  <c r="BR417" i="2"/>
  <c r="CF416" i="2"/>
  <c r="BR419" i="2"/>
  <c r="AX564" i="34"/>
  <c r="BR418" i="2"/>
  <c r="AX416" i="2"/>
  <c r="AW1041" i="34"/>
  <c r="AW420" i="2"/>
  <c r="AW1045" i="34" s="1"/>
  <c r="AW419" i="2"/>
  <c r="AW1044" i="34" s="1"/>
  <c r="BR88" i="2"/>
  <c r="BR89" i="2" s="1"/>
  <c r="BQ49" i="2"/>
  <c r="BQ98" i="14"/>
  <c r="BQ97" i="14" s="1"/>
  <c r="AS228" i="14"/>
  <c r="AS231" i="14"/>
  <c r="AU546" i="2"/>
  <c r="AU547" i="2" s="1"/>
  <c r="AU548" i="2"/>
  <c r="AU550" i="2"/>
  <c r="AU549" i="2"/>
  <c r="AR927" i="34"/>
  <c r="AR926" i="34"/>
  <c r="AR928" i="34"/>
  <c r="AR925" i="34"/>
  <c r="BQ541" i="2"/>
  <c r="BQ787" i="34" s="1"/>
  <c r="BQ783" i="34"/>
  <c r="BQ538" i="2"/>
  <c r="AV545" i="2"/>
  <c r="AT778" i="34"/>
  <c r="AV552" i="2"/>
  <c r="AV553" i="2" s="1"/>
  <c r="AT106" i="14"/>
  <c r="AT107" i="14" s="1"/>
  <c r="AU513" i="2"/>
  <c r="AU749" i="34" s="1"/>
  <c r="AU748" i="34"/>
  <c r="BQ312" i="2"/>
  <c r="AS929" i="34"/>
  <c r="AT316" i="2"/>
  <c r="AS312" i="2"/>
  <c r="AV515" i="2"/>
  <c r="AV751" i="34" s="1"/>
  <c r="AV514" i="2"/>
  <c r="AV750" i="34" s="1"/>
  <c r="AV516" i="2"/>
  <c r="AV752" i="34" s="1"/>
  <c r="AV747" i="34"/>
  <c r="AV512" i="2"/>
  <c r="BB42" i="2"/>
  <c r="BB704" i="34" s="1"/>
  <c r="AT537" i="2"/>
  <c r="BQ231" i="14"/>
  <c r="AU579" i="2"/>
  <c r="AU818" i="34" s="1"/>
  <c r="AU508" i="2"/>
  <c r="AU744" i="34" s="1"/>
  <c r="AU509" i="2"/>
  <c r="AU745" i="34" s="1"/>
  <c r="AU742" i="34"/>
  <c r="AV506" i="2"/>
  <c r="AW511" i="2"/>
  <c r="AU532" i="2"/>
  <c r="AR784" i="34"/>
  <c r="AR539" i="2"/>
  <c r="AR785" i="34" s="1"/>
  <c r="AQ308" i="2"/>
  <c r="AQ921" i="34" s="1"/>
  <c r="AQ306" i="2"/>
  <c r="AQ919" i="34" s="1"/>
  <c r="AQ918" i="34"/>
  <c r="AQ307" i="2"/>
  <c r="AQ920" i="34" s="1"/>
  <c r="AQ309" i="2"/>
  <c r="AQ922" i="34" s="1"/>
  <c r="AS784" i="34"/>
  <c r="AS539" i="2"/>
  <c r="AS785" i="34" s="1"/>
  <c r="BM645" i="2"/>
  <c r="AR382" i="34"/>
  <c r="BL891" i="34"/>
  <c r="BM646" i="2"/>
  <c r="BM893" i="34" s="1"/>
  <c r="BM885" i="34"/>
  <c r="AS378" i="34"/>
  <c r="AV373" i="2"/>
  <c r="AV997" i="34" s="1"/>
  <c r="AV996" i="34"/>
  <c r="AW372" i="2"/>
  <c r="AV520" i="2"/>
  <c r="AV756" i="34" s="1"/>
  <c r="AV522" i="2"/>
  <c r="AV758" i="34" s="1"/>
  <c r="BR518" i="2"/>
  <c r="AV754" i="34"/>
  <c r="AV521" i="2"/>
  <c r="AV757" i="34" s="1"/>
  <c r="AW518" i="2"/>
  <c r="AV523" i="2"/>
  <c r="AW429" i="2"/>
  <c r="AW428" i="2"/>
  <c r="AW430" i="2"/>
  <c r="AU499" i="2"/>
  <c r="AU501" i="2"/>
  <c r="AU737" i="34" s="1"/>
  <c r="AU503" i="2"/>
  <c r="AU739" i="34" s="1"/>
  <c r="AU502" i="2"/>
  <c r="AU738" i="34" s="1"/>
  <c r="BD240" i="2"/>
  <c r="BD238" i="2"/>
  <c r="BD219" i="2"/>
  <c r="AV502" i="2"/>
  <c r="AV738" i="34" s="1"/>
  <c r="AV499" i="2"/>
  <c r="AV501" i="2"/>
  <c r="AV737" i="34" s="1"/>
  <c r="AV503" i="2"/>
  <c r="AV739" i="34" s="1"/>
  <c r="AW337" i="2"/>
  <c r="AW944" i="34" s="1"/>
  <c r="AX333" i="2"/>
  <c r="AW940" i="34"/>
  <c r="AW336" i="2"/>
  <c r="AW943" i="34" s="1"/>
  <c r="AW334" i="2"/>
  <c r="AW941" i="34" s="1"/>
  <c r="AU524" i="2"/>
  <c r="AU760" i="34" s="1"/>
  <c r="AU759" i="34"/>
  <c r="AX85" i="2"/>
  <c r="BQ1021" i="34"/>
  <c r="AW544" i="34"/>
  <c r="AT500" i="2"/>
  <c r="AT736" i="34"/>
  <c r="AQ714" i="34"/>
  <c r="AQ713" i="34"/>
  <c r="AQ709" i="34"/>
  <c r="AQ712" i="34"/>
  <c r="AQ711" i="34"/>
  <c r="AQ710" i="34"/>
  <c r="CF333" i="2"/>
  <c r="BR334" i="2"/>
  <c r="AX463" i="34"/>
  <c r="BR940" i="34"/>
  <c r="BR336" i="2"/>
  <c r="AT1020" i="34"/>
  <c r="AT397" i="2"/>
  <c r="AT1021" i="34" s="1"/>
  <c r="AT398" i="2"/>
  <c r="AT1022" i="34" s="1"/>
  <c r="AV371" i="2"/>
  <c r="AU375" i="2"/>
  <c r="AU999" i="34" s="1"/>
  <c r="AU995" i="34"/>
  <c r="AU374" i="2"/>
  <c r="AU998" i="34" s="1"/>
  <c r="AU396" i="2"/>
  <c r="AM390" i="2"/>
  <c r="AN390" i="2" s="1"/>
  <c r="AL387" i="2"/>
  <c r="AL1014" i="34"/>
  <c r="BA42" i="2"/>
  <c r="BA704" i="34" s="1"/>
  <c r="AL796" i="34"/>
  <c r="AL558" i="2"/>
  <c r="AL795" i="34" s="1"/>
  <c r="AU341" i="34"/>
  <c r="BO795" i="34"/>
  <c r="AW1211" i="34"/>
  <c r="AT537" i="34"/>
  <c r="BN1014" i="34"/>
  <c r="AT187" i="1"/>
  <c r="BS49" i="14"/>
  <c r="BS50" i="14"/>
  <c r="CB377" i="2"/>
  <c r="CA377" i="2"/>
  <c r="AT524" i="34"/>
  <c r="BN1001" i="34"/>
  <c r="BN380" i="2"/>
  <c r="BN378" i="2"/>
  <c r="AF526" i="34"/>
  <c r="AF1003" i="34"/>
  <c r="AQ974" i="34"/>
  <c r="BR245" i="14"/>
  <c r="AG1001" i="34"/>
  <c r="AG524" i="34"/>
  <c r="AG380" i="2"/>
  <c r="AG379" i="2"/>
  <c r="AG378" i="2"/>
  <c r="AG535" i="34"/>
  <c r="AG1012" i="34"/>
  <c r="AM570" i="2"/>
  <c r="AM809" i="34" s="1"/>
  <c r="AM573" i="2"/>
  <c r="AM812" i="34" s="1"/>
  <c r="AM571" i="2"/>
  <c r="AM810" i="34" s="1"/>
  <c r="AM572" i="2"/>
  <c r="AM811" i="34" s="1"/>
  <c r="AM808" i="34"/>
  <c r="AJ534" i="34"/>
  <c r="BO387" i="2"/>
  <c r="AJ388" i="2"/>
  <c r="AJ1011" i="34"/>
  <c r="AJ377" i="2"/>
  <c r="AJ389" i="2"/>
  <c r="AZ287" i="2"/>
  <c r="AZ1094" i="34" s="1"/>
  <c r="BD255" i="2"/>
  <c r="AZ1061" i="34"/>
  <c r="AZ262" i="2"/>
  <c r="AZ1068" i="34" s="1"/>
  <c r="AH536" i="34"/>
  <c r="AH1013" i="34"/>
  <c r="AG536" i="34"/>
  <c r="AG1013" i="34"/>
  <c r="AM1047" i="34"/>
  <c r="AM424" i="2"/>
  <c r="AM1049" i="34" s="1"/>
  <c r="AM423" i="2"/>
  <c r="AM1048" i="34" s="1"/>
  <c r="AM425" i="2"/>
  <c r="AM1050" i="34" s="1"/>
  <c r="AM238" i="14"/>
  <c r="AM237" i="14"/>
  <c r="BP179" i="14"/>
  <c r="BQ178" i="14"/>
  <c r="BR178" i="14" s="1"/>
  <c r="BS178" i="14" s="1"/>
  <c r="BT178" i="14" s="1"/>
  <c r="BU178" i="14" s="1"/>
  <c r="BV178" i="14" s="1"/>
  <c r="BW178" i="14" s="1"/>
  <c r="BX178" i="14" s="1"/>
  <c r="BY178" i="14" s="1"/>
  <c r="AL577" i="2"/>
  <c r="AL816" i="34" s="1"/>
  <c r="AL815" i="34"/>
  <c r="AK1014" i="34"/>
  <c r="AK387" i="2"/>
  <c r="AN569" i="2"/>
  <c r="AN164" i="2"/>
  <c r="AR165" i="2" s="1"/>
  <c r="AN566" i="2"/>
  <c r="AN805" i="34" s="1"/>
  <c r="AN422" i="2"/>
  <c r="AO562" i="2"/>
  <c r="AN575" i="2"/>
  <c r="AN236" i="14"/>
  <c r="AN556" i="2"/>
  <c r="AN565" i="2"/>
  <c r="AN804" i="34" s="1"/>
  <c r="AN564" i="2"/>
  <c r="AN803" i="34" s="1"/>
  <c r="AN801" i="34"/>
  <c r="AM987" i="34"/>
  <c r="AM165" i="2"/>
  <c r="AM988" i="34" s="1"/>
  <c r="BT148" i="2"/>
  <c r="BT985" i="34" s="1"/>
  <c r="BU144" i="2"/>
  <c r="BT983" i="34"/>
  <c r="BT146" i="2"/>
  <c r="BT147" i="2"/>
  <c r="BT984" i="34" s="1"/>
  <c r="BT56" i="14"/>
  <c r="BQ141" i="14"/>
  <c r="BR141" i="14" s="1"/>
  <c r="BS141" i="14" s="1"/>
  <c r="BT141" i="14" s="1"/>
  <c r="BU141" i="14" s="1"/>
  <c r="BV141" i="14" s="1"/>
  <c r="BW141" i="14" s="1"/>
  <c r="BP142" i="14"/>
  <c r="AW704" i="34"/>
  <c r="BS42" i="2"/>
  <c r="BS704" i="34" s="1"/>
  <c r="AT535" i="34"/>
  <c r="BN1012" i="34"/>
  <c r="BD42" i="2"/>
  <c r="BD704" i="34" s="1"/>
  <c r="BD1211" i="34"/>
  <c r="AF1004" i="34"/>
  <c r="AF527" i="34"/>
  <c r="AF525" i="34"/>
  <c r="AF1002" i="34"/>
  <c r="AH1012" i="34"/>
  <c r="AH535" i="34"/>
  <c r="AH380" i="2"/>
  <c r="AH378" i="2"/>
  <c r="AH1001" i="34"/>
  <c r="AH524" i="34"/>
  <c r="AH379" i="2"/>
  <c r="AI534" i="34"/>
  <c r="AI389" i="2"/>
  <c r="AI388" i="2"/>
  <c r="AI377" i="2"/>
  <c r="AI1011" i="34"/>
  <c r="BP795" i="34"/>
  <c r="AV341" i="34"/>
  <c r="AM576" i="2"/>
  <c r="AM814" i="34"/>
  <c r="AM793" i="34"/>
  <c r="AM559" i="2"/>
  <c r="AM557" i="2"/>
  <c r="AM794" i="34" s="1"/>
  <c r="BQ702" i="34"/>
  <c r="BQ41" i="2"/>
  <c r="BQ703" i="34" s="1"/>
  <c r="AS11" i="14"/>
  <c r="AS186" i="14"/>
  <c r="AS120" i="14"/>
  <c r="AS12" i="14"/>
  <c r="AS28" i="14"/>
  <c r="AS64" i="14"/>
  <c r="AS14" i="14"/>
  <c r="AU12" i="2"/>
  <c r="AU1216" i="34"/>
  <c r="AT10" i="14"/>
  <c r="AT74" i="14" s="1"/>
  <c r="AT698" i="34"/>
  <c r="AT15" i="2"/>
  <c r="AT699" i="34" s="1"/>
  <c r="AT40" i="2"/>
  <c r="AT57" i="2"/>
  <c r="AT494" i="2"/>
  <c r="AT731" i="34" s="1"/>
  <c r="AT16" i="2"/>
  <c r="AT700" i="34" s="1"/>
  <c r="AT71" i="2"/>
  <c r="AT476" i="2"/>
  <c r="AT18" i="2"/>
  <c r="AV38" i="2"/>
  <c r="AV37" i="2"/>
  <c r="AS19" i="2"/>
  <c r="AS20" i="2"/>
  <c r="AR1077" i="34"/>
  <c r="BR139" i="2"/>
  <c r="BR138" i="2"/>
  <c r="CF34" i="2"/>
  <c r="BR37" i="2"/>
  <c r="AS702" i="34"/>
  <c r="AS41" i="2"/>
  <c r="AS703" i="34" s="1"/>
  <c r="AS292" i="2"/>
  <c r="AS1099" i="34" s="1"/>
  <c r="AS1066" i="34"/>
  <c r="AS267" i="2"/>
  <c r="AS1074" i="34" s="1"/>
  <c r="AS266" i="2"/>
  <c r="AS1073" i="34" s="1"/>
  <c r="AS265" i="2"/>
  <c r="AS281" i="2"/>
  <c r="AS1088" i="34" s="1"/>
  <c r="AS269" i="2"/>
  <c r="AS1076" i="34" s="1"/>
  <c r="AS259" i="2"/>
  <c r="AS268" i="2"/>
  <c r="AS1075" i="34" s="1"/>
  <c r="AS58" i="2"/>
  <c r="AS718" i="34" s="1"/>
  <c r="AS717" i="34"/>
  <c r="AS61" i="2"/>
  <c r="AS721" i="34" s="1"/>
  <c r="AS59" i="2"/>
  <c r="AS719" i="34" s="1"/>
  <c r="AS62" i="2"/>
  <c r="AS722" i="34" s="1"/>
  <c r="AW138" i="2"/>
  <c r="AW139" i="2"/>
  <c r="AW34" i="2"/>
  <c r="AW26" i="1"/>
  <c r="AX136" i="2"/>
  <c r="AW140" i="2"/>
  <c r="Y901" i="34"/>
  <c r="Y390" i="34"/>
  <c r="BQ11" i="14"/>
  <c r="AW578" i="34" s="1"/>
  <c r="BQ14" i="14"/>
  <c r="BQ147" i="14"/>
  <c r="BQ135" i="14" s="1"/>
  <c r="BQ114" i="14"/>
  <c r="BQ101" i="14" s="1"/>
  <c r="BQ171" i="14"/>
  <c r="BQ53" i="14"/>
  <c r="BQ45" i="14" s="1"/>
  <c r="AW577" i="34"/>
  <c r="CD10" i="14"/>
  <c r="AS709" i="34"/>
  <c r="AS50" i="2"/>
  <c r="AS710" i="34" s="1"/>
  <c r="AS53" i="2"/>
  <c r="AS713" i="34" s="1"/>
  <c r="AS54" i="2"/>
  <c r="AS714" i="34" s="1"/>
  <c r="AS51" i="2"/>
  <c r="AS711" i="34" s="1"/>
  <c r="AS52" i="2"/>
  <c r="AS712" i="34" s="1"/>
  <c r="AR1072" i="34"/>
  <c r="AT1213" i="34"/>
  <c r="AT1212" i="34"/>
  <c r="AV1219" i="34"/>
  <c r="AV23" i="1"/>
  <c r="BW67" i="2"/>
  <c r="BV68" i="2"/>
  <c r="BV171" i="2"/>
  <c r="BV22" i="2"/>
  <c r="BW24" i="1"/>
  <c r="BV294" i="2"/>
  <c r="AK1262" i="34"/>
  <c r="BQ69" i="1"/>
  <c r="BN75" i="1"/>
  <c r="AS58" i="34"/>
  <c r="BQ115" i="1"/>
  <c r="BQ107" i="1"/>
  <c r="AV95" i="34" s="1"/>
  <c r="BQ113" i="1"/>
  <c r="AV101" i="34" s="1"/>
  <c r="AV94" i="34"/>
  <c r="AU103" i="34"/>
  <c r="BP121" i="1"/>
  <c r="AU109" i="34" s="1"/>
  <c r="P1271" i="34"/>
  <c r="P65" i="34"/>
  <c r="U1266" i="34"/>
  <c r="U77" i="1"/>
  <c r="U78" i="1"/>
  <c r="U201" i="1"/>
  <c r="U60" i="34"/>
  <c r="AT58" i="34"/>
  <c r="BO75" i="1"/>
  <c r="AN19" i="14"/>
  <c r="AN1244" i="34"/>
  <c r="AN52" i="1"/>
  <c r="AN1245" i="34" s="1"/>
  <c r="L15" i="35"/>
  <c r="L34" i="35" s="1"/>
  <c r="L33" i="35"/>
  <c r="Q67" i="40"/>
  <c r="Q68" i="40" s="1"/>
  <c r="BK294" i="1"/>
  <c r="BK65" i="1"/>
  <c r="AP53" i="34" s="1"/>
  <c r="AP52" i="34"/>
  <c r="AC58" i="34"/>
  <c r="AC1264" i="34"/>
  <c r="AC75" i="1"/>
  <c r="AS842" i="34"/>
  <c r="AS604" i="2"/>
  <c r="AB1264" i="34"/>
  <c r="AB75" i="1"/>
  <c r="AB58" i="34"/>
  <c r="S67" i="42"/>
  <c r="S68" i="42" s="1"/>
  <c r="E16" i="35"/>
  <c r="E35" i="35" s="1"/>
  <c r="AI65" i="34"/>
  <c r="AI1271" i="34"/>
  <c r="T1268" i="34"/>
  <c r="T62" i="34"/>
  <c r="BK78" i="1"/>
  <c r="AP65" i="34" s="1"/>
  <c r="BK201" i="1"/>
  <c r="BK77" i="1"/>
  <c r="AP64" i="34" s="1"/>
  <c r="AP60" i="34"/>
  <c r="AQ41" i="34"/>
  <c r="BK19" i="14"/>
  <c r="AQ583" i="34" s="1"/>
  <c r="BL52" i="1"/>
  <c r="O22" i="40"/>
  <c r="O19" i="40"/>
  <c r="N22" i="42"/>
  <c r="N19" i="42"/>
  <c r="AP582" i="34"/>
  <c r="BJ21" i="14"/>
  <c r="AP585" i="34" s="1"/>
  <c r="Q1271" i="34"/>
  <c r="Q65" i="34"/>
  <c r="R64" i="34"/>
  <c r="R1270" i="34"/>
  <c r="Y1268" i="34"/>
  <c r="Y62" i="34"/>
  <c r="AC902" i="34"/>
  <c r="AC391" i="34"/>
  <c r="AR847" i="34"/>
  <c r="AR605" i="2"/>
  <c r="AR848" i="34" s="1"/>
  <c r="AR606" i="2"/>
  <c r="AR849" i="34" s="1"/>
  <c r="AR639" i="2"/>
  <c r="T67" i="4"/>
  <c r="T68" i="4" s="1"/>
  <c r="U66" i="4" s="1"/>
  <c r="AN1266" i="34"/>
  <c r="AN78" i="1"/>
  <c r="AN77" i="1"/>
  <c r="AN1270" i="34" s="1"/>
  <c r="Y207" i="1"/>
  <c r="Y187" i="34"/>
  <c r="BN201" i="1"/>
  <c r="BN142" i="1"/>
  <c r="AB65" i="34"/>
  <c r="AB1271" i="34"/>
  <c r="AK20" i="14"/>
  <c r="AK1246" i="34"/>
  <c r="AK52" i="1"/>
  <c r="AK1245" i="34" s="1"/>
  <c r="AK19" i="14"/>
  <c r="AK1244" i="34"/>
  <c r="AO52" i="1"/>
  <c r="AO1245" i="34" s="1"/>
  <c r="AH130" i="34"/>
  <c r="AE207" i="1"/>
  <c r="AE187" i="34"/>
  <c r="AR88" i="34"/>
  <c r="AQ640" i="2"/>
  <c r="AQ885" i="34" s="1"/>
  <c r="AQ884" i="34"/>
  <c r="AQ644" i="2"/>
  <c r="AT88" i="34"/>
  <c r="S22" i="42"/>
  <c r="AU42" i="34"/>
  <c r="BO20" i="14"/>
  <c r="AU584" i="34" s="1"/>
  <c r="AC64" i="34"/>
  <c r="AC1270" i="34"/>
  <c r="V187" i="34"/>
  <c r="V207" i="1"/>
  <c r="N1271" i="34"/>
  <c r="N65" i="34"/>
  <c r="Y42" i="34"/>
  <c r="Y20" i="14"/>
  <c r="Y584" i="34" s="1"/>
  <c r="Y1246" i="34"/>
  <c r="AO892" i="34"/>
  <c r="AO647" i="2"/>
  <c r="AO894" i="34" s="1"/>
  <c r="AO193" i="34"/>
  <c r="BJ216" i="1"/>
  <c r="AT60" i="34"/>
  <c r="BO77" i="1"/>
  <c r="BO78" i="1"/>
  <c r="AT65" i="34" s="1"/>
  <c r="U88" i="34"/>
  <c r="S1268" i="34"/>
  <c r="S62" i="34"/>
  <c r="AE1268" i="34"/>
  <c r="AE62" i="34"/>
  <c r="Q62" i="34"/>
  <c r="Q1268" i="34"/>
  <c r="AV233" i="34"/>
  <c r="BQ249" i="1"/>
  <c r="AV159" i="2"/>
  <c r="AW157" i="2"/>
  <c r="AV161" i="2"/>
  <c r="AV160" i="2"/>
  <c r="P187" i="34"/>
  <c r="P207" i="1"/>
  <c r="BL142" i="1"/>
  <c r="W1268" i="34"/>
  <c r="W62" i="34"/>
  <c r="AN110" i="1"/>
  <c r="AN109" i="1"/>
  <c r="Q67" i="4"/>
  <c r="Q68" i="4" s="1"/>
  <c r="AP20" i="14"/>
  <c r="AP1246" i="34"/>
  <c r="AL1246" i="34"/>
  <c r="AL20" i="14"/>
  <c r="J15" i="35"/>
  <c r="J34" i="35" s="1"/>
  <c r="J33" i="35"/>
  <c r="AL58" i="34"/>
  <c r="BG75" i="1"/>
  <c r="AL62" i="34" s="1"/>
  <c r="J16" i="35"/>
  <c r="J35" i="35" s="1"/>
  <c r="AL1271" i="34"/>
  <c r="BK71" i="1"/>
  <c r="Q130" i="34"/>
  <c r="Q144" i="1"/>
  <c r="Q132" i="34" s="1"/>
  <c r="AV383" i="34"/>
  <c r="BP892" i="34"/>
  <c r="Q19" i="40"/>
  <c r="Q22" i="40"/>
  <c r="AS582" i="34"/>
  <c r="BM21" i="14"/>
  <c r="AS585" i="34" s="1"/>
  <c r="AH1270" i="34"/>
  <c r="AH64" i="34"/>
  <c r="BK20" i="14"/>
  <c r="AQ584" i="34" s="1"/>
  <c r="AQ42" i="34"/>
  <c r="AQ88" i="34"/>
  <c r="O207" i="1"/>
  <c r="O187" i="34"/>
  <c r="O65" i="34"/>
  <c r="O1271" i="34"/>
  <c r="U58" i="34"/>
  <c r="U1264" i="34"/>
  <c r="U75" i="1"/>
  <c r="Q207" i="1"/>
  <c r="Q187" i="34"/>
  <c r="BL201" i="1"/>
  <c r="R65" i="34"/>
  <c r="R1271" i="34"/>
  <c r="AE902" i="34"/>
  <c r="AE391" i="34"/>
  <c r="AV60" i="34"/>
  <c r="BQ77" i="1"/>
  <c r="BQ78" i="1"/>
  <c r="Y65" i="34"/>
  <c r="Y1271" i="34"/>
  <c r="AN71" i="1"/>
  <c r="I15" i="35"/>
  <c r="I34" i="35" s="1"/>
  <c r="I33" i="35"/>
  <c r="AE1270" i="34"/>
  <c r="AE64" i="34"/>
  <c r="Y1313" i="34"/>
  <c r="Z34" i="4"/>
  <c r="AR42" i="34"/>
  <c r="BL20" i="14"/>
  <c r="AR584" i="34" s="1"/>
  <c r="AR41" i="34"/>
  <c r="BL19" i="14"/>
  <c r="AR583" i="34" s="1"/>
  <c r="BM52" i="1"/>
  <c r="P19" i="4"/>
  <c r="P1293" i="34"/>
  <c r="P22" i="4"/>
  <c r="P1301" i="34" s="1"/>
  <c r="T207" i="1"/>
  <c r="T187" i="34"/>
  <c r="P130" i="34"/>
  <c r="P144" i="1"/>
  <c r="P132" i="34" s="1"/>
  <c r="Z207" i="1"/>
  <c r="Z187" i="34"/>
  <c r="BO142" i="1"/>
  <c r="AM1271" i="34"/>
  <c r="K16" i="35"/>
  <c r="K35" i="35" s="1"/>
  <c r="BO19" i="14"/>
  <c r="AU583" i="34" s="1"/>
  <c r="AU41" i="34"/>
  <c r="BP52" i="1"/>
  <c r="AP891" i="34"/>
  <c r="AP645" i="2"/>
  <c r="AP646" i="2"/>
  <c r="AP893" i="34" s="1"/>
  <c r="AC207" i="1"/>
  <c r="AC187" i="34"/>
  <c r="BO201" i="1"/>
  <c r="R67" i="42"/>
  <c r="R68" i="42" s="1"/>
  <c r="R67" i="40"/>
  <c r="R68" i="40" s="1"/>
  <c r="W207" i="1"/>
  <c r="W187" i="34"/>
  <c r="U21" i="14"/>
  <c r="U585" i="34" s="1"/>
  <c r="U22" i="14"/>
  <c r="U586" i="34" s="1"/>
  <c r="U582" i="34"/>
  <c r="AK71" i="1"/>
  <c r="AC130" i="34"/>
  <c r="AS52" i="34"/>
  <c r="BN294" i="1"/>
  <c r="BN65" i="1"/>
  <c r="AS53" i="34" s="1"/>
  <c r="AN21" i="14"/>
  <c r="AN22" i="14"/>
  <c r="AO22" i="14"/>
  <c r="Q67" i="42"/>
  <c r="Q68" i="42" s="1"/>
  <c r="BN77" i="1"/>
  <c r="BN78" i="1"/>
  <c r="AS65" i="34" s="1"/>
  <c r="AS60" i="34"/>
  <c r="CN73" i="1"/>
  <c r="AL21" i="14"/>
  <c r="AL22" i="14"/>
  <c r="AP21" i="14"/>
  <c r="AL110" i="1"/>
  <c r="AL109" i="1"/>
  <c r="P65" i="40"/>
  <c r="BM67" i="1"/>
  <c r="AR55" i="34" s="1"/>
  <c r="AR50" i="34"/>
  <c r="P65" i="4"/>
  <c r="P65" i="42"/>
  <c r="BM73" i="1"/>
  <c r="AM1262" i="34"/>
  <c r="AM71" i="1"/>
  <c r="BQ53" i="1"/>
  <c r="BQ100" i="1"/>
  <c r="AB14" i="35"/>
  <c r="T14" i="4"/>
  <c r="BQ50" i="1"/>
  <c r="BP18" i="14"/>
  <c r="BQ51" i="1"/>
  <c r="AV40" i="34"/>
  <c r="F26" i="3"/>
  <c r="AU600" i="2"/>
  <c r="AT843" i="34"/>
  <c r="AT599" i="2"/>
  <c r="R75" i="1"/>
  <c r="R58" i="34"/>
  <c r="R1264" i="34"/>
  <c r="V1268" i="34"/>
  <c r="V62" i="34"/>
  <c r="N130" i="34"/>
  <c r="N144" i="1"/>
  <c r="N132" i="34" s="1"/>
  <c r="AS42" i="34"/>
  <c r="BM20" i="14"/>
  <c r="AS584" i="34" s="1"/>
  <c r="AS88" i="34"/>
  <c r="Q1293" i="34"/>
  <c r="Q22" i="4"/>
  <c r="Q1301" i="34" s="1"/>
  <c r="Q19" i="4"/>
  <c r="AQ582" i="34"/>
  <c r="BK21" i="14"/>
  <c r="AQ585" i="34" s="1"/>
  <c r="O19" i="42"/>
  <c r="O22" i="42"/>
  <c r="N19" i="4"/>
  <c r="N22" i="4"/>
  <c r="N1301" i="34" s="1"/>
  <c r="N1293" i="34"/>
  <c r="AP41" i="34"/>
  <c r="BK52" i="1"/>
  <c r="BJ19" i="14"/>
  <c r="AP583" i="34" s="1"/>
  <c r="AP88" i="34"/>
  <c r="AI1268" i="34"/>
  <c r="AI62" i="34"/>
  <c r="AL294" i="1"/>
  <c r="AL1257" i="34"/>
  <c r="S65" i="34"/>
  <c r="S1271" i="34"/>
  <c r="O64" i="34"/>
  <c r="O1270" i="34"/>
  <c r="BM64" i="1"/>
  <c r="U294" i="1"/>
  <c r="U1257" i="34"/>
  <c r="U52" i="34"/>
  <c r="AI111" i="34"/>
  <c r="AI93" i="34"/>
  <c r="R207" i="1"/>
  <c r="R187" i="34"/>
  <c r="T67" i="42"/>
  <c r="T68" i="42" s="1"/>
  <c r="U66" i="42" s="1"/>
  <c r="AQ52" i="34"/>
  <c r="BL294" i="1"/>
  <c r="BL65" i="1"/>
  <c r="AQ53" i="34" s="1"/>
  <c r="AC27" i="4"/>
  <c r="AC1306" i="34" s="1"/>
  <c r="AB1306" i="34"/>
  <c r="X193" i="34"/>
  <c r="X216" i="1"/>
  <c r="P62" i="34"/>
  <c r="P1268" i="34"/>
  <c r="AB1270" i="34"/>
  <c r="AB64" i="34"/>
  <c r="AB207" i="1"/>
  <c r="AB187" i="34"/>
  <c r="AK22" i="14"/>
  <c r="AK21" i="14"/>
  <c r="AO21" i="14"/>
  <c r="U6" i="1"/>
  <c r="AE1271" i="34"/>
  <c r="AE65" i="34"/>
  <c r="BL77" i="1"/>
  <c r="CL73" i="1"/>
  <c r="AQ60" i="34"/>
  <c r="BL78" i="1"/>
  <c r="AQ65" i="34" s="1"/>
  <c r="P19" i="40"/>
  <c r="P22" i="40"/>
  <c r="AR582" i="34"/>
  <c r="BL21" i="14"/>
  <c r="AR585" i="34" s="1"/>
  <c r="AT42" i="34"/>
  <c r="BN20" i="14"/>
  <c r="AT584" i="34" s="1"/>
  <c r="R1293" i="34"/>
  <c r="R22" i="4"/>
  <c r="R1301" i="34" s="1"/>
  <c r="R23" i="4"/>
  <c r="R1302" i="34" s="1"/>
  <c r="R19" i="4"/>
  <c r="AT582" i="34"/>
  <c r="BN21" i="14"/>
  <c r="AT585" i="34" s="1"/>
  <c r="V5" i="2"/>
  <c r="W6" i="2"/>
  <c r="V130" i="34"/>
  <c r="V144" i="1"/>
  <c r="V132" i="34" s="1"/>
  <c r="T64" i="34"/>
  <c r="T1270" i="34"/>
  <c r="Z64" i="34"/>
  <c r="Z1270" i="34"/>
  <c r="Z65" i="34"/>
  <c r="Z1271" i="34"/>
  <c r="AT52" i="34"/>
  <c r="BO294" i="1"/>
  <c r="BO65" i="1"/>
  <c r="AT53" i="34" s="1"/>
  <c r="BO21" i="14"/>
  <c r="AU585" i="34" s="1"/>
  <c r="AU582" i="34"/>
  <c r="BT90" i="1"/>
  <c r="AC65" i="34"/>
  <c r="AC1271" i="34"/>
  <c r="V65" i="34"/>
  <c r="V1271" i="34"/>
  <c r="N64" i="34"/>
  <c r="N1270" i="34"/>
  <c r="C16" i="35"/>
  <c r="C35" i="35" s="1"/>
  <c r="AG1271" i="34"/>
  <c r="AG65" i="34"/>
  <c r="AN187" i="34"/>
  <c r="BI207" i="1"/>
  <c r="AG62" i="34"/>
  <c r="AG1268" i="34"/>
  <c r="R67" i="4"/>
  <c r="R68" i="4" s="1"/>
  <c r="W65" i="34"/>
  <c r="W1271" i="34"/>
  <c r="BR160" i="2"/>
  <c r="BR159" i="2"/>
  <c r="P1270" i="34"/>
  <c r="P64" i="34"/>
  <c r="U55" i="34"/>
  <c r="U1260" i="34"/>
  <c r="AN20" i="14"/>
  <c r="AN1246" i="34"/>
  <c r="AK1266" i="34"/>
  <c r="AK77" i="1"/>
  <c r="AK1270" i="34" s="1"/>
  <c r="AK78" i="1"/>
  <c r="AL19" i="14"/>
  <c r="AL1244" i="34"/>
  <c r="AL52" i="1"/>
  <c r="AL1245" i="34" s="1"/>
  <c r="AP52" i="1"/>
  <c r="AP1245" i="34" s="1"/>
  <c r="AE130" i="34"/>
  <c r="AR125" i="34"/>
  <c r="BM140" i="1"/>
  <c r="AR128" i="34" s="1"/>
  <c r="CL71" i="1"/>
  <c r="BL75" i="1"/>
  <c r="AQ58" i="34"/>
  <c r="AV48" i="34"/>
  <c r="AI1270" i="34"/>
  <c r="AI64" i="34"/>
  <c r="CN49" i="1"/>
  <c r="AS41" i="34"/>
  <c r="BM19" i="14"/>
  <c r="AS583" i="34" s="1"/>
  <c r="BN52" i="1"/>
  <c r="Q19" i="42"/>
  <c r="Q22" i="42"/>
  <c r="AH65" i="34"/>
  <c r="D16" i="35"/>
  <c r="D35" i="35" s="1"/>
  <c r="AH1271" i="34"/>
  <c r="O1293" i="34"/>
  <c r="O22" i="4"/>
  <c r="O1301" i="34" s="1"/>
  <c r="O19" i="4"/>
  <c r="BJ20" i="14"/>
  <c r="AP584" i="34" s="1"/>
  <c r="AP42" i="34"/>
  <c r="N19" i="40"/>
  <c r="N22" i="40"/>
  <c r="S207" i="1"/>
  <c r="S187" i="34"/>
  <c r="S1270" i="34"/>
  <c r="S64" i="34"/>
  <c r="Q1270" i="34"/>
  <c r="Q64" i="34"/>
  <c r="AW176" i="1"/>
  <c r="BS176" i="1"/>
  <c r="BQ600" i="2"/>
  <c r="BQ842" i="34"/>
  <c r="AW348" i="34"/>
  <c r="T67" i="40"/>
  <c r="T68" i="40" s="1"/>
  <c r="U66" i="40" s="1"/>
  <c r="BQ605" i="2"/>
  <c r="BQ848" i="34" s="1"/>
  <c r="BQ606" i="2"/>
  <c r="BQ849" i="34" s="1"/>
  <c r="BQ847" i="34"/>
  <c r="BQ639" i="2"/>
  <c r="Y64" i="34"/>
  <c r="Y1270" i="34"/>
  <c r="AD216" i="1"/>
  <c r="AD193" i="34"/>
  <c r="AN294" i="1"/>
  <c r="AN1257" i="34"/>
  <c r="AO1246" i="34"/>
  <c r="AO20" i="14"/>
  <c r="AK109" i="1"/>
  <c r="AK110" i="1"/>
  <c r="BP253" i="1"/>
  <c r="AU239" i="34" s="1"/>
  <c r="AU235" i="34"/>
  <c r="E38" i="3"/>
  <c r="BP252" i="1"/>
  <c r="AU238" i="34" s="1"/>
  <c r="P19" i="42"/>
  <c r="P22" i="42"/>
  <c r="AT41" i="34"/>
  <c r="BN19" i="14"/>
  <c r="AT583" i="34" s="1"/>
  <c r="BO52" i="1"/>
  <c r="R23" i="42"/>
  <c r="R22" i="42"/>
  <c r="T1271" i="34"/>
  <c r="T65" i="34"/>
  <c r="S1293" i="34"/>
  <c r="S23" i="4"/>
  <c r="S1302" i="34" s="1"/>
  <c r="S22" i="4"/>
  <c r="S1301" i="34" s="1"/>
  <c r="S19" i="4"/>
  <c r="BP105" i="1"/>
  <c r="AU88" i="34"/>
  <c r="BP110" i="1"/>
  <c r="AU98" i="34" s="1"/>
  <c r="C48" i="35"/>
  <c r="E48" i="35" s="1"/>
  <c r="AA15" i="35"/>
  <c r="AA33" i="35"/>
  <c r="AA7" i="35"/>
  <c r="V64" i="34"/>
  <c r="V1270" i="34"/>
  <c r="AG64" i="34"/>
  <c r="AG1270" i="34"/>
  <c r="AG111" i="34"/>
  <c r="AG93" i="34"/>
  <c r="R130" i="34"/>
  <c r="R144" i="1"/>
  <c r="R132" i="34" s="1"/>
  <c r="W1270" i="34"/>
  <c r="W64" i="34"/>
  <c r="U41" i="34"/>
  <c r="U52" i="1"/>
  <c r="U1245" i="34" s="1"/>
  <c r="U1244" i="34"/>
  <c r="U19" i="14"/>
  <c r="U583" i="34" s="1"/>
  <c r="U1246" i="34"/>
  <c r="U20" i="14"/>
  <c r="U584" i="34" s="1"/>
  <c r="U42" i="34"/>
  <c r="AK1257" i="34"/>
  <c r="AK294" i="1"/>
  <c r="BQ64" i="1"/>
  <c r="BQ71" i="1" s="1"/>
  <c r="AR134" i="2" l="1"/>
  <c r="AR132" i="2"/>
  <c r="AR133" i="2"/>
  <c r="AR131" i="2"/>
  <c r="AX87" i="2"/>
  <c r="AX427" i="2"/>
  <c r="AX430" i="2" s="1"/>
  <c r="AX80" i="2"/>
  <c r="AY83" i="2"/>
  <c r="AY85" i="2" s="1"/>
  <c r="AX86" i="2"/>
  <c r="AV258" i="1"/>
  <c r="AV14" i="1"/>
  <c r="BS14" i="1" s="1"/>
  <c r="BS15" i="1" s="1"/>
  <c r="W11" i="35"/>
  <c r="V30" i="35"/>
  <c r="V22" i="35"/>
  <c r="AR1065" i="34"/>
  <c r="AR1098" i="34"/>
  <c r="AE25" i="35"/>
  <c r="V45" i="35"/>
  <c r="V48" i="35"/>
  <c r="AD25" i="35"/>
  <c r="V49" i="35" s="1"/>
  <c r="V50" i="35"/>
  <c r="V47" i="35"/>
  <c r="AE19" i="35"/>
  <c r="AE28" i="35" s="1"/>
  <c r="T44" i="35"/>
  <c r="AW81" i="2"/>
  <c r="U1291" i="34"/>
  <c r="AX81" i="2"/>
  <c r="AW79" i="2"/>
  <c r="AX79" i="2"/>
  <c r="AW77" i="2"/>
  <c r="AW78" i="2" s="1"/>
  <c r="BV23" i="2"/>
  <c r="BU25" i="2"/>
  <c r="BU23" i="2"/>
  <c r="AU14" i="2"/>
  <c r="AU13" i="2"/>
  <c r="BQ61" i="2"/>
  <c r="AW305" i="34" s="1"/>
  <c r="BR77" i="2"/>
  <c r="BR78" i="2" s="1"/>
  <c r="AH207" i="2"/>
  <c r="AQ383" i="2"/>
  <c r="L39" i="42"/>
  <c r="L1317" i="34"/>
  <c r="L50" i="3"/>
  <c r="L39" i="40"/>
  <c r="T23" i="40"/>
  <c r="T22" i="40"/>
  <c r="BD1060" i="34"/>
  <c r="BD286" i="2"/>
  <c r="BD1093" i="34" s="1"/>
  <c r="AU260" i="2"/>
  <c r="AY225" i="2"/>
  <c r="BT229" i="2"/>
  <c r="BT233" i="2"/>
  <c r="BT223" i="2" s="1"/>
  <c r="BT231" i="2"/>
  <c r="BU228" i="2"/>
  <c r="BU218" i="2" s="1"/>
  <c r="AU187" i="1"/>
  <c r="AS168" i="1"/>
  <c r="BR177" i="1"/>
  <c r="BC247" i="2"/>
  <c r="BC225" i="2" s="1"/>
  <c r="BQ699" i="34"/>
  <c r="BQ60" i="2"/>
  <c r="BQ720" i="34" s="1"/>
  <c r="BQ717" i="34"/>
  <c r="BQ58" i="2"/>
  <c r="BQ731" i="34"/>
  <c r="AS246" i="2"/>
  <c r="X1268" i="34"/>
  <c r="X62" i="34"/>
  <c r="BP77" i="1"/>
  <c r="AK133" i="2"/>
  <c r="BK144" i="1"/>
  <c r="AP132" i="34" s="1"/>
  <c r="U130" i="34"/>
  <c r="BP65" i="1"/>
  <c r="Z1268" i="34"/>
  <c r="Z62" i="34"/>
  <c r="Z5" i="14"/>
  <c r="AA6" i="14"/>
  <c r="AU60" i="34"/>
  <c r="AK132" i="2"/>
  <c r="R20" i="40"/>
  <c r="AW614" i="2"/>
  <c r="AV613" i="2"/>
  <c r="BR613" i="2" s="1"/>
  <c r="AV858" i="34"/>
  <c r="BA247" i="2"/>
  <c r="BA224" i="2"/>
  <c r="AW225" i="2"/>
  <c r="AW242" i="2"/>
  <c r="AW246" i="2" s="1"/>
  <c r="AT619" i="2"/>
  <c r="AT863" i="34" s="1"/>
  <c r="AT620" i="2"/>
  <c r="AT864" i="34" s="1"/>
  <c r="AT862" i="34"/>
  <c r="S20" i="40"/>
  <c r="AS220" i="2"/>
  <c r="AS62" i="14"/>
  <c r="AS243" i="2"/>
  <c r="AS74" i="2" s="1"/>
  <c r="AS245" i="2"/>
  <c r="AT244" i="2"/>
  <c r="AT246" i="2"/>
  <c r="AU857" i="34"/>
  <c r="AU618" i="2"/>
  <c r="AW468" i="34"/>
  <c r="BQ945" i="34"/>
  <c r="AL1264" i="34"/>
  <c r="AL208" i="2"/>
  <c r="AO1271" i="34"/>
  <c r="O16" i="35"/>
  <c r="O35" i="35" s="1"/>
  <c r="AW792" i="34"/>
  <c r="AX555" i="2"/>
  <c r="BS555" i="2"/>
  <c r="AW482" i="34"/>
  <c r="BQ959" i="34"/>
  <c r="BQ936" i="34"/>
  <c r="AW459" i="34"/>
  <c r="BQ953" i="34"/>
  <c r="AW476" i="34"/>
  <c r="BQ327" i="2"/>
  <c r="BQ328" i="2" s="1"/>
  <c r="BQ330" i="2"/>
  <c r="AW431" i="34"/>
  <c r="CE480" i="2"/>
  <c r="BQ483" i="2"/>
  <c r="AW434" i="34" s="1"/>
  <c r="BQ481" i="2"/>
  <c r="AW432" i="34" s="1"/>
  <c r="BQ934" i="34"/>
  <c r="AW457" i="34"/>
  <c r="AI207" i="2"/>
  <c r="BR792" i="34"/>
  <c r="BR557" i="2"/>
  <c r="AX338" i="34"/>
  <c r="BQ969" i="34"/>
  <c r="AW492" i="34"/>
  <c r="W5" i="40"/>
  <c r="X8" i="40"/>
  <c r="W27" i="40"/>
  <c r="X5" i="42"/>
  <c r="Y8" i="42"/>
  <c r="X27" i="42"/>
  <c r="V8" i="4"/>
  <c r="U5" i="4"/>
  <c r="U26" i="4"/>
  <c r="U1305" i="34" s="1"/>
  <c r="W6" i="34"/>
  <c r="AU90" i="1"/>
  <c r="AU1279" i="34"/>
  <c r="P49" i="35"/>
  <c r="Q1204" i="34"/>
  <c r="R942" i="34"/>
  <c r="Q1200" i="34"/>
  <c r="AC28" i="35"/>
  <c r="AU58" i="34"/>
  <c r="AH134" i="2"/>
  <c r="AT1277" i="34"/>
  <c r="AT83" i="1"/>
  <c r="C28" i="3"/>
  <c r="C52" i="3" s="1"/>
  <c r="BP127" i="2"/>
  <c r="AI209" i="2"/>
  <c r="BD247" i="2"/>
  <c r="BD224" i="2"/>
  <c r="AZ242" i="2"/>
  <c r="AZ225" i="2"/>
  <c r="AV62" i="14"/>
  <c r="AV245" i="2"/>
  <c r="AV220" i="2"/>
  <c r="AV243" i="2"/>
  <c r="AV74" i="2" s="1"/>
  <c r="AU244" i="2"/>
  <c r="AU62" i="14"/>
  <c r="BR242" i="2"/>
  <c r="AU245" i="2"/>
  <c r="AU246" i="2"/>
  <c r="AU243" i="2"/>
  <c r="AU74" i="2" s="1"/>
  <c r="AV244" i="2"/>
  <c r="AU220" i="2"/>
  <c r="AV246" i="2"/>
  <c r="AY62" i="14"/>
  <c r="AY245" i="2"/>
  <c r="AY220" i="2"/>
  <c r="AY246" i="2"/>
  <c r="AY243" i="2"/>
  <c r="AY74" i="2" s="1"/>
  <c r="AY244" i="2"/>
  <c r="BQ62" i="14"/>
  <c r="BQ245" i="2"/>
  <c r="BQ220" i="2"/>
  <c r="BQ247" i="2"/>
  <c r="BQ225" i="2" s="1"/>
  <c r="BQ243" i="2"/>
  <c r="BQ74" i="2" s="1"/>
  <c r="AT80" i="14"/>
  <c r="AT79" i="14"/>
  <c r="AH209" i="2"/>
  <c r="AH206" i="2"/>
  <c r="AL206" i="2"/>
  <c r="BP126" i="2"/>
  <c r="S70" i="40"/>
  <c r="AX139" i="14"/>
  <c r="AX140" i="14" s="1"/>
  <c r="AY229" i="14"/>
  <c r="AX176" i="14"/>
  <c r="AX177" i="14" s="1"/>
  <c r="AA106" i="1"/>
  <c r="AA110" i="1"/>
  <c r="AA98" i="34" s="1"/>
  <c r="AA202" i="34"/>
  <c r="AA239" i="1"/>
  <c r="AA225" i="34" s="1"/>
  <c r="AA247" i="1"/>
  <c r="F16" i="35"/>
  <c r="F35" i="35" s="1"/>
  <c r="AJ1271" i="34"/>
  <c r="AJ65" i="34"/>
  <c r="BM142" i="1"/>
  <c r="AR130" i="34" s="1"/>
  <c r="AU52" i="34"/>
  <c r="T70" i="4"/>
  <c r="T72" i="4" s="1"/>
  <c r="AF239" i="1"/>
  <c r="AF225" i="34" s="1"/>
  <c r="AF110" i="1"/>
  <c r="AF98" i="34" s="1"/>
  <c r="AF106" i="1"/>
  <c r="AF247" i="1"/>
  <c r="AF202" i="34"/>
  <c r="AP1262" i="34"/>
  <c r="AP71" i="1"/>
  <c r="AJ75" i="1"/>
  <c r="AJ1264" i="34"/>
  <c r="AJ58" i="34"/>
  <c r="AJ111" i="34"/>
  <c r="AJ93" i="34"/>
  <c r="S70" i="42"/>
  <c r="BP294" i="1"/>
  <c r="R70" i="4"/>
  <c r="R71" i="4" s="1"/>
  <c r="R70" i="40"/>
  <c r="R71" i="40" s="1"/>
  <c r="Q70" i="4"/>
  <c r="Q71" i="4" s="1"/>
  <c r="S70" i="4"/>
  <c r="P16" i="35"/>
  <c r="P35" i="35" s="1"/>
  <c r="AP1271" i="34"/>
  <c r="AJ64" i="34"/>
  <c r="AJ1270" i="34"/>
  <c r="AN202" i="2"/>
  <c r="AN193" i="2"/>
  <c r="AN211" i="2"/>
  <c r="BP199" i="2"/>
  <c r="AN205" i="2"/>
  <c r="AR208" i="2" s="1"/>
  <c r="AN203" i="2"/>
  <c r="AO199" i="2"/>
  <c r="AN201" i="2"/>
  <c r="AM207" i="2"/>
  <c r="AM206" i="2"/>
  <c r="AM208" i="2"/>
  <c r="AM209" i="2"/>
  <c r="AM196" i="2"/>
  <c r="AM194" i="2"/>
  <c r="AL195" i="2"/>
  <c r="AT632" i="2"/>
  <c r="AT872" i="34"/>
  <c r="AS634" i="2"/>
  <c r="AS879" i="34" s="1"/>
  <c r="AS633" i="2"/>
  <c r="AS878" i="34" s="1"/>
  <c r="AS877" i="34"/>
  <c r="AV628" i="2"/>
  <c r="AU627" i="2"/>
  <c r="AU873" i="34"/>
  <c r="AW369" i="34"/>
  <c r="BQ873" i="34"/>
  <c r="AS385" i="2"/>
  <c r="AS1009" i="34" s="1"/>
  <c r="AQ1009" i="34"/>
  <c r="AQ1006" i="34"/>
  <c r="AY93" i="2"/>
  <c r="BA96" i="2"/>
  <c r="AY169" i="2"/>
  <c r="AY94" i="2"/>
  <c r="AZ91" i="2"/>
  <c r="AY190" i="2"/>
  <c r="AZ100" i="2"/>
  <c r="AZ99" i="2"/>
  <c r="AZ97" i="2"/>
  <c r="AZ98" i="2" s="1"/>
  <c r="AZ101" i="2"/>
  <c r="AW175" i="2"/>
  <c r="AW176" i="2" s="1"/>
  <c r="AW179" i="2"/>
  <c r="AW177" i="2"/>
  <c r="AW178" i="2"/>
  <c r="AX174" i="2"/>
  <c r="AZ182" i="2"/>
  <c r="AZ189" i="2"/>
  <c r="AZ190" i="2" s="1"/>
  <c r="BT236" i="2"/>
  <c r="AN383" i="2"/>
  <c r="AN1007" i="34" s="1"/>
  <c r="AN384" i="2"/>
  <c r="AN1008" i="34" s="1"/>
  <c r="AN1006" i="34"/>
  <c r="BP382" i="2"/>
  <c r="AP382" i="2"/>
  <c r="AQ384" i="2" s="1"/>
  <c r="AP1009" i="34"/>
  <c r="AO383" i="2"/>
  <c r="AO1007" i="34" s="1"/>
  <c r="AO384" i="2"/>
  <c r="AO1008" i="34" s="1"/>
  <c r="AO1006" i="34"/>
  <c r="BU61" i="14"/>
  <c r="BT238" i="2"/>
  <c r="BU235" i="2"/>
  <c r="BU219" i="2" s="1"/>
  <c r="BT240" i="2"/>
  <c r="BT224" i="2" s="1"/>
  <c r="AT326" i="2"/>
  <c r="AT330" i="2" s="1"/>
  <c r="BR341" i="2"/>
  <c r="AV349" i="2"/>
  <c r="AV363" i="2"/>
  <c r="AV970" i="34" s="1"/>
  <c r="AV344" i="2"/>
  <c r="AV951" i="34" s="1"/>
  <c r="AW341" i="2"/>
  <c r="AV342" i="2"/>
  <c r="AV949" i="34" s="1"/>
  <c r="AV948" i="34"/>
  <c r="AV345" i="2"/>
  <c r="AV952" i="34" s="1"/>
  <c r="AS482" i="2"/>
  <c r="AS481" i="2"/>
  <c r="AS484" i="2"/>
  <c r="AS483" i="2"/>
  <c r="AS329" i="2"/>
  <c r="AS330" i="2"/>
  <c r="AS327" i="2"/>
  <c r="AS328" i="2" s="1"/>
  <c r="AS331" i="2"/>
  <c r="AU320" i="2"/>
  <c r="AU352" i="2" s="1"/>
  <c r="AU959" i="34" s="1"/>
  <c r="AU355" i="2"/>
  <c r="AU962" i="34" s="1"/>
  <c r="AU351" i="2"/>
  <c r="AU958" i="34" s="1"/>
  <c r="AU956" i="34"/>
  <c r="AU354" i="2"/>
  <c r="AU961" i="34" s="1"/>
  <c r="AU353" i="2"/>
  <c r="AU960" i="34" s="1"/>
  <c r="AU350" i="2"/>
  <c r="AU957" i="34" s="1"/>
  <c r="AT323" i="2"/>
  <c r="AT936" i="34" s="1"/>
  <c r="AT322" i="2"/>
  <c r="AT935" i="34" s="1"/>
  <c r="AT338" i="2"/>
  <c r="AT945" i="34" s="1"/>
  <c r="AT362" i="2"/>
  <c r="AT969" i="34" s="1"/>
  <c r="AT346" i="2"/>
  <c r="AT953" i="34" s="1"/>
  <c r="AT933" i="34"/>
  <c r="AT324" i="2"/>
  <c r="AT937" i="34" s="1"/>
  <c r="AT480" i="2"/>
  <c r="AT321" i="2"/>
  <c r="AT934" i="34" s="1"/>
  <c r="AU326" i="2"/>
  <c r="AF1121" i="34"/>
  <c r="AF411" i="34"/>
  <c r="AF551" i="34"/>
  <c r="AF1028" i="34"/>
  <c r="AH409" i="2"/>
  <c r="AH556" i="34"/>
  <c r="AH402" i="2"/>
  <c r="AH1033" i="34"/>
  <c r="AH410" i="2"/>
  <c r="AG657" i="2"/>
  <c r="AG904" i="34" s="1"/>
  <c r="AG654" i="2"/>
  <c r="AG389" i="34"/>
  <c r="AG900" i="34"/>
  <c r="AG660" i="2"/>
  <c r="AG907" i="34" s="1"/>
  <c r="AF387" i="34"/>
  <c r="AF898" i="34"/>
  <c r="AH1112" i="34"/>
  <c r="AI452" i="2"/>
  <c r="AH455" i="2"/>
  <c r="AH650" i="2"/>
  <c r="AH457" i="2"/>
  <c r="AH459" i="2"/>
  <c r="AH456" i="2"/>
  <c r="AH402" i="34"/>
  <c r="BN1034" i="34"/>
  <c r="AT557" i="34"/>
  <c r="AF410" i="34"/>
  <c r="AF1120" i="34"/>
  <c r="AG1029" i="34"/>
  <c r="AG552" i="34"/>
  <c r="AF1030" i="34"/>
  <c r="AF553" i="34"/>
  <c r="BN653" i="2"/>
  <c r="BN651" i="2"/>
  <c r="BN897" i="34"/>
  <c r="AT386" i="34"/>
  <c r="AJ411" i="2"/>
  <c r="AI1036" i="34"/>
  <c r="AI559" i="34"/>
  <c r="AI408" i="2"/>
  <c r="AF654" i="2"/>
  <c r="AF900" i="34"/>
  <c r="AF660" i="2"/>
  <c r="AF389" i="34"/>
  <c r="AF657" i="2"/>
  <c r="AF904" i="34" s="1"/>
  <c r="AG1117" i="34"/>
  <c r="AG407" i="34"/>
  <c r="BN460" i="2"/>
  <c r="CB459" i="2"/>
  <c r="AT409" i="34"/>
  <c r="BN462" i="2"/>
  <c r="CA459" i="2"/>
  <c r="BN1119" i="34"/>
  <c r="AI1113" i="34"/>
  <c r="AJ453" i="2"/>
  <c r="AI403" i="34"/>
  <c r="BY472" i="2"/>
  <c r="BY473" i="2" s="1"/>
  <c r="BX473" i="2"/>
  <c r="BN1114" i="34"/>
  <c r="AT404" i="34"/>
  <c r="AG406" i="34"/>
  <c r="AG1116" i="34"/>
  <c r="AG1115" i="34"/>
  <c r="AG405" i="34"/>
  <c r="AF412" i="34"/>
  <c r="AF1122" i="34"/>
  <c r="AF552" i="34"/>
  <c r="AF1029" i="34"/>
  <c r="BN405" i="2"/>
  <c r="BN403" i="2"/>
  <c r="BN1027" i="34"/>
  <c r="AT550" i="34"/>
  <c r="AT405" i="34"/>
  <c r="BN1115" i="34"/>
  <c r="BN1117" i="34"/>
  <c r="AT407" i="34"/>
  <c r="AG460" i="2"/>
  <c r="AG462" i="2"/>
  <c r="AG461" i="2"/>
  <c r="AG1119" i="34"/>
  <c r="AG409" i="34"/>
  <c r="AG897" i="34"/>
  <c r="AG386" i="34"/>
  <c r="AG651" i="2"/>
  <c r="AT559" i="34"/>
  <c r="BN1036" i="34"/>
  <c r="BV69" i="2"/>
  <c r="AO449" i="2"/>
  <c r="AO1109" i="34" s="1"/>
  <c r="AO450" i="2"/>
  <c r="AO1110" i="34" s="1"/>
  <c r="AO392" i="2"/>
  <c r="AP446" i="2"/>
  <c r="AO1106" i="34"/>
  <c r="BP448" i="2"/>
  <c r="BP392" i="2"/>
  <c r="AV396" i="34"/>
  <c r="BP449" i="2"/>
  <c r="BP1106" i="34"/>
  <c r="CD446" i="2"/>
  <c r="AN1016" i="34"/>
  <c r="AN394" i="2"/>
  <c r="AN1018" i="34" s="1"/>
  <c r="AN393" i="2"/>
  <c r="AN1017" i="34" s="1"/>
  <c r="U466" i="34"/>
  <c r="U941" i="34"/>
  <c r="Q468" i="34"/>
  <c r="Q945" i="34"/>
  <c r="Q957" i="34"/>
  <c r="Q480" i="34"/>
  <c r="Q466" i="34"/>
  <c r="Q941" i="34"/>
  <c r="Q959" i="34"/>
  <c r="Q482" i="34"/>
  <c r="U957" i="34"/>
  <c r="U480" i="34"/>
  <c r="Q944" i="34"/>
  <c r="Q467" i="34"/>
  <c r="U943" i="34"/>
  <c r="U465" i="34"/>
  <c r="Q481" i="34"/>
  <c r="Q958" i="34"/>
  <c r="Q960" i="34"/>
  <c r="Q483" i="34"/>
  <c r="BP133" i="2"/>
  <c r="BP132" i="2"/>
  <c r="AS133" i="2"/>
  <c r="AT131" i="2"/>
  <c r="AS134" i="2"/>
  <c r="AT134" i="2"/>
  <c r="AS131" i="2"/>
  <c r="AS132" i="2"/>
  <c r="AV133" i="2"/>
  <c r="AV132" i="2"/>
  <c r="AV131" i="2"/>
  <c r="AV134" i="2"/>
  <c r="BR130" i="2"/>
  <c r="BR127" i="2"/>
  <c r="BR126" i="2"/>
  <c r="BC126" i="2"/>
  <c r="BC125" i="2"/>
  <c r="BC128" i="2"/>
  <c r="AZ125" i="2"/>
  <c r="AZ126" i="2"/>
  <c r="AZ128" i="2"/>
  <c r="BD124" i="2"/>
  <c r="AX125" i="2"/>
  <c r="AW128" i="2"/>
  <c r="AW125" i="2"/>
  <c r="AW126" i="2"/>
  <c r="AX128" i="2"/>
  <c r="BA124" i="2"/>
  <c r="BS124" i="2"/>
  <c r="BQ133" i="2"/>
  <c r="BQ132" i="2"/>
  <c r="BV534" i="2"/>
  <c r="BV780" i="34" s="1"/>
  <c r="BV727" i="34"/>
  <c r="BW490" i="2"/>
  <c r="BV491" i="2"/>
  <c r="BU492" i="2"/>
  <c r="BU729" i="34" s="1"/>
  <c r="BU728" i="34"/>
  <c r="AY360" i="2"/>
  <c r="AY967" i="34" s="1"/>
  <c r="AZ357" i="2"/>
  <c r="AY964" i="34"/>
  <c r="AY361" i="2"/>
  <c r="AY968" i="34" s="1"/>
  <c r="AX566" i="34"/>
  <c r="BR1043" i="34"/>
  <c r="BR1042" i="34"/>
  <c r="AX565" i="34"/>
  <c r="AX1041" i="34"/>
  <c r="AX419" i="2"/>
  <c r="AX1044" i="34" s="1"/>
  <c r="AX88" i="2"/>
  <c r="AX89" i="2" s="1"/>
  <c r="AX420" i="2"/>
  <c r="AX1045" i="34" s="1"/>
  <c r="AY416" i="2"/>
  <c r="AX567" i="34"/>
  <c r="BR1044" i="34"/>
  <c r="AR1078" i="34"/>
  <c r="BQ53" i="2"/>
  <c r="BQ52" i="2"/>
  <c r="AW293" i="34"/>
  <c r="BQ50" i="2"/>
  <c r="BQ709" i="34"/>
  <c r="AT538" i="2"/>
  <c r="AT783" i="34"/>
  <c r="AT542" i="2"/>
  <c r="AT788" i="34" s="1"/>
  <c r="AT541" i="2"/>
  <c r="AT787" i="34" s="1"/>
  <c r="AT540" i="2"/>
  <c r="AT786" i="34" s="1"/>
  <c r="AT228" i="14"/>
  <c r="AT231" i="14"/>
  <c r="AV548" i="2"/>
  <c r="AV550" i="2"/>
  <c r="AV546" i="2"/>
  <c r="AV547" i="2" s="1"/>
  <c r="AV549" i="2"/>
  <c r="AR920" i="34"/>
  <c r="AR919" i="34"/>
  <c r="AR922" i="34"/>
  <c r="AR921" i="34"/>
  <c r="AR918" i="34"/>
  <c r="BQ305" i="2"/>
  <c r="AU106" i="14"/>
  <c r="AU778" i="34"/>
  <c r="AW552" i="2"/>
  <c r="AW553" i="2" s="1"/>
  <c r="AW545" i="2"/>
  <c r="AV748" i="34"/>
  <c r="AV513" i="2"/>
  <c r="AV749" i="34" s="1"/>
  <c r="BQ314" i="2"/>
  <c r="BQ925" i="34"/>
  <c r="BQ316" i="2"/>
  <c r="AW446" i="34"/>
  <c r="BQ313" i="2"/>
  <c r="BQ784" i="34"/>
  <c r="BQ539" i="2"/>
  <c r="BQ785" i="34" s="1"/>
  <c r="AW512" i="2"/>
  <c r="AW516" i="2"/>
  <c r="AW752" i="34" s="1"/>
  <c r="AW514" i="2"/>
  <c r="AW750" i="34" s="1"/>
  <c r="AW515" i="2"/>
  <c r="AW751" i="34" s="1"/>
  <c r="AW747" i="34"/>
  <c r="BQ229" i="14"/>
  <c r="BQ232" i="14"/>
  <c r="AW684" i="34" s="1"/>
  <c r="BQ236" i="14"/>
  <c r="AW683" i="34"/>
  <c r="BQ233" i="14"/>
  <c r="AW685" i="34" s="1"/>
  <c r="BQ195" i="14"/>
  <c r="AS315" i="2"/>
  <c r="AS928" i="34" s="1"/>
  <c r="AS305" i="2"/>
  <c r="AS314" i="2"/>
  <c r="AS927" i="34" s="1"/>
  <c r="AS925" i="34"/>
  <c r="AS313" i="2"/>
  <c r="AS926" i="34" s="1"/>
  <c r="AS233" i="14"/>
  <c r="AS195" i="14"/>
  <c r="AS234" i="14"/>
  <c r="AS232" i="14"/>
  <c r="AV579" i="2"/>
  <c r="AV818" i="34" s="1"/>
  <c r="AX511" i="2"/>
  <c r="AV509" i="2"/>
  <c r="AV745" i="34" s="1"/>
  <c r="AV508" i="2"/>
  <c r="AV744" i="34" s="1"/>
  <c r="AV742" i="34"/>
  <c r="BR506" i="2"/>
  <c r="AV532" i="2"/>
  <c r="AW506" i="2"/>
  <c r="AU316" i="2"/>
  <c r="AT929" i="34"/>
  <c r="AT312" i="2"/>
  <c r="AU537" i="2"/>
  <c r="AS383" i="34"/>
  <c r="BM892" i="34"/>
  <c r="AX429" i="2"/>
  <c r="AX428" i="2"/>
  <c r="AW373" i="2"/>
  <c r="AW997" i="34" s="1"/>
  <c r="AW996" i="34"/>
  <c r="AX372" i="2"/>
  <c r="AX466" i="34"/>
  <c r="BR941" i="34"/>
  <c r="AX337" i="2"/>
  <c r="AX944" i="34" s="1"/>
  <c r="AX334" i="2"/>
  <c r="AX941" i="34" s="1"/>
  <c r="AX940" i="34"/>
  <c r="AX336" i="2"/>
  <c r="AX943" i="34" s="1"/>
  <c r="AY333" i="2"/>
  <c r="AV736" i="34"/>
  <c r="AV500" i="2"/>
  <c r="AU736" i="34"/>
  <c r="AU500" i="2"/>
  <c r="AV524" i="2"/>
  <c r="AV760" i="34" s="1"/>
  <c r="AV759" i="34"/>
  <c r="BR521" i="2"/>
  <c r="BR757" i="34" s="1"/>
  <c r="BR754" i="34"/>
  <c r="BR164" i="2"/>
  <c r="BR520" i="2"/>
  <c r="BR498" i="2"/>
  <c r="BR735" i="34" s="1"/>
  <c r="BR523" i="2"/>
  <c r="AU398" i="2"/>
  <c r="AU1022" i="34" s="1"/>
  <c r="AU1020" i="34"/>
  <c r="AU397" i="2"/>
  <c r="AU1021" i="34" s="1"/>
  <c r="AV374" i="2"/>
  <c r="AV998" i="34" s="1"/>
  <c r="AV995" i="34"/>
  <c r="AV375" i="2"/>
  <c r="AV999" i="34" s="1"/>
  <c r="BR371" i="2"/>
  <c r="AW371" i="2"/>
  <c r="AV396" i="2"/>
  <c r="BR943" i="34"/>
  <c r="AX465" i="34"/>
  <c r="AW498" i="2"/>
  <c r="AW735" i="34" s="1"/>
  <c r="AW754" i="34"/>
  <c r="AW521" i="2"/>
  <c r="AW757" i="34" s="1"/>
  <c r="AW522" i="2"/>
  <c r="AW758" i="34" s="1"/>
  <c r="AX518" i="2"/>
  <c r="AX498" i="2" s="1"/>
  <c r="AX735" i="34" s="1"/>
  <c r="AW520" i="2"/>
  <c r="AW756" i="34" s="1"/>
  <c r="AW523" i="2"/>
  <c r="AO390" i="2"/>
  <c r="AN1014" i="34"/>
  <c r="AN387" i="2"/>
  <c r="AR388" i="2" s="1"/>
  <c r="AM796" i="34"/>
  <c r="AM558" i="2"/>
  <c r="AM795" i="34" s="1"/>
  <c r="AI1013" i="34"/>
  <c r="AI536" i="34"/>
  <c r="AN557" i="2"/>
  <c r="AN794" i="34" s="1"/>
  <c r="AN793" i="34"/>
  <c r="AN559" i="2"/>
  <c r="AN1047" i="34"/>
  <c r="BP422" i="2"/>
  <c r="AN423" i="2"/>
  <c r="AN1048" i="34" s="1"/>
  <c r="AN424" i="2"/>
  <c r="AN1049" i="34" s="1"/>
  <c r="AN425" i="2"/>
  <c r="AN1050" i="34" s="1"/>
  <c r="AK377" i="2"/>
  <c r="AK1011" i="34"/>
  <c r="AK389" i="2"/>
  <c r="AK1013" i="34" s="1"/>
  <c r="AK388" i="2"/>
  <c r="AK1012" i="34" s="1"/>
  <c r="BD262" i="2"/>
  <c r="BD1068" i="34" s="1"/>
  <c r="BD1061" i="34"/>
  <c r="BD287" i="2"/>
  <c r="BD1094" i="34" s="1"/>
  <c r="AJ536" i="34"/>
  <c r="AJ1013" i="34"/>
  <c r="CC387" i="2"/>
  <c r="BO1011" i="34"/>
  <c r="BO388" i="2"/>
  <c r="BO390" i="2"/>
  <c r="AU534" i="34"/>
  <c r="BN1004" i="34"/>
  <c r="AT527" i="34"/>
  <c r="AH525" i="34"/>
  <c r="AH1002" i="34"/>
  <c r="BT49" i="14"/>
  <c r="BT50" i="14"/>
  <c r="BU146" i="2"/>
  <c r="BV13" i="1"/>
  <c r="BU983" i="34"/>
  <c r="BU56" i="14"/>
  <c r="BV144" i="2"/>
  <c r="AN238" i="14"/>
  <c r="AN237" i="14"/>
  <c r="AJ379" i="2"/>
  <c r="AJ1001" i="34"/>
  <c r="AJ378" i="2"/>
  <c r="BO377" i="2"/>
  <c r="AJ524" i="34"/>
  <c r="AJ380" i="2"/>
  <c r="AG525" i="34"/>
  <c r="AG1002" i="34"/>
  <c r="AX187" i="1"/>
  <c r="BB187" i="1" s="1"/>
  <c r="AT155" i="1"/>
  <c r="AI380" i="2"/>
  <c r="AI378" i="2"/>
  <c r="AI1001" i="34"/>
  <c r="AI379" i="2"/>
  <c r="AI524" i="34"/>
  <c r="AH1003" i="34"/>
  <c r="AH526" i="34"/>
  <c r="AH527" i="34"/>
  <c r="AH1004" i="34"/>
  <c r="AN576" i="2"/>
  <c r="AN814" i="34"/>
  <c r="AN987" i="34"/>
  <c r="AN165" i="2"/>
  <c r="AN988" i="34" s="1"/>
  <c r="AG526" i="34"/>
  <c r="AG1003" i="34"/>
  <c r="BT42" i="2"/>
  <c r="BT704" i="34" s="1"/>
  <c r="AL377" i="2"/>
  <c r="AL389" i="2"/>
  <c r="AL1013" i="34" s="1"/>
  <c r="AL1011" i="34"/>
  <c r="AL388" i="2"/>
  <c r="AL1012" i="34" s="1"/>
  <c r="AM815" i="34"/>
  <c r="AM577" i="2"/>
  <c r="AM816" i="34" s="1"/>
  <c r="AI1012" i="34"/>
  <c r="AI535" i="34"/>
  <c r="AO569" i="2"/>
  <c r="AO565" i="2"/>
  <c r="AO804" i="34" s="1"/>
  <c r="AO236" i="14"/>
  <c r="AO564" i="2"/>
  <c r="AO803" i="34" s="1"/>
  <c r="AO422" i="2"/>
  <c r="AO801" i="34"/>
  <c r="AO575" i="2"/>
  <c r="AP562" i="2"/>
  <c r="AP422" i="2" s="1"/>
  <c r="AO164" i="2"/>
  <c r="AO566" i="2"/>
  <c r="AO805" i="34" s="1"/>
  <c r="AO556" i="2"/>
  <c r="AN570" i="2"/>
  <c r="AN809" i="34" s="1"/>
  <c r="AN573" i="2"/>
  <c r="AN812" i="34" s="1"/>
  <c r="AN571" i="2"/>
  <c r="AN810" i="34" s="1"/>
  <c r="AN572" i="2"/>
  <c r="AN811" i="34" s="1"/>
  <c r="AN808" i="34"/>
  <c r="AJ535" i="34"/>
  <c r="AJ1012" i="34"/>
  <c r="AG1004" i="34"/>
  <c r="AG527" i="34"/>
  <c r="AQ104" i="1"/>
  <c r="AT525" i="34"/>
  <c r="BN1002" i="34"/>
  <c r="AP1223" i="34"/>
  <c r="AM387" i="2"/>
  <c r="AM1014" i="34"/>
  <c r="AV12" i="2"/>
  <c r="AV1216" i="34"/>
  <c r="AV155" i="1"/>
  <c r="AY136" i="2"/>
  <c r="AX26" i="1"/>
  <c r="AX139" i="2"/>
  <c r="AX34" i="2"/>
  <c r="AX138" i="2"/>
  <c r="AX140" i="2"/>
  <c r="BQ718" i="34"/>
  <c r="AW302" i="34"/>
  <c r="AS248" i="14"/>
  <c r="AS249" i="14" s="1"/>
  <c r="AS221" i="14"/>
  <c r="AS82" i="14"/>
  <c r="AS68" i="14"/>
  <c r="AS70" i="14"/>
  <c r="AS191" i="14"/>
  <c r="BQ167" i="14"/>
  <c r="BQ168" i="14"/>
  <c r="BQ166" i="14"/>
  <c r="AW1219" i="34"/>
  <c r="AT267" i="2"/>
  <c r="AT1074" i="34" s="1"/>
  <c r="AT266" i="2"/>
  <c r="AT1073" i="34" s="1"/>
  <c r="AT1066" i="34"/>
  <c r="AT265" i="2"/>
  <c r="AT1072" i="34" s="1"/>
  <c r="AT292" i="2"/>
  <c r="AT1099" i="34" s="1"/>
  <c r="AT268" i="2"/>
  <c r="AT1075" i="34" s="1"/>
  <c r="AT281" i="2"/>
  <c r="AT1088" i="34" s="1"/>
  <c r="AT259" i="2"/>
  <c r="AT269" i="2"/>
  <c r="AT1076" i="34" s="1"/>
  <c r="BS23" i="1"/>
  <c r="AS33" i="14"/>
  <c r="AS220" i="14"/>
  <c r="AS31" i="14"/>
  <c r="AS29" i="14"/>
  <c r="AS30" i="14" s="1"/>
  <c r="AW38" i="2"/>
  <c r="AW37" i="2"/>
  <c r="AS1072" i="34"/>
  <c r="BQ721" i="34"/>
  <c r="AT19" i="2"/>
  <c r="AT20" i="2"/>
  <c r="AT49" i="2"/>
  <c r="AT61" i="2"/>
  <c r="AT721" i="34" s="1"/>
  <c r="AT717" i="34"/>
  <c r="AT62" i="2"/>
  <c r="AT722" i="34" s="1"/>
  <c r="AT58" i="2"/>
  <c r="AT718" i="34" s="1"/>
  <c r="AT59" i="2"/>
  <c r="AT719" i="34" s="1"/>
  <c r="AT11" i="14"/>
  <c r="AT120" i="14"/>
  <c r="AT14" i="14"/>
  <c r="AT64" i="14"/>
  <c r="AT12" i="14"/>
  <c r="AT186" i="14"/>
  <c r="AT28" i="14"/>
  <c r="AT152" i="14"/>
  <c r="AU1213" i="34"/>
  <c r="AU1212" i="34"/>
  <c r="AS1065" i="34"/>
  <c r="AS280" i="2"/>
  <c r="AS1087" i="34" s="1"/>
  <c r="AS291" i="2"/>
  <c r="AS1098" i="34" s="1"/>
  <c r="AS270" i="2"/>
  <c r="AS1077" i="34" s="1"/>
  <c r="AT41" i="2"/>
  <c r="AT703" i="34" s="1"/>
  <c r="AT702" i="34"/>
  <c r="AU18" i="2"/>
  <c r="AU10" i="14"/>
  <c r="AU74" i="14" s="1"/>
  <c r="AU494" i="2"/>
  <c r="AU731" i="34" s="1"/>
  <c r="AU57" i="2"/>
  <c r="AU71" i="2"/>
  <c r="AU40" i="2"/>
  <c r="AU476" i="2"/>
  <c r="AU698" i="34"/>
  <c r="AU15" i="2"/>
  <c r="AU699" i="34" s="1"/>
  <c r="AU16" i="2"/>
  <c r="AU700" i="34" s="1"/>
  <c r="AS125" i="14"/>
  <c r="BV295" i="2"/>
  <c r="BV25" i="2"/>
  <c r="BV61" i="14"/>
  <c r="BW171" i="2"/>
  <c r="BW68" i="2"/>
  <c r="BW69" i="2" s="1"/>
  <c r="BX24" i="1"/>
  <c r="BX67" i="2"/>
  <c r="BW22" i="2"/>
  <c r="BW23" i="2" s="1"/>
  <c r="BW294" i="2"/>
  <c r="BQ75" i="1"/>
  <c r="AV58" i="34"/>
  <c r="CN71" i="1"/>
  <c r="AD106" i="1"/>
  <c r="AD110" i="1"/>
  <c r="AD98" i="34" s="1"/>
  <c r="AD239" i="1"/>
  <c r="AD225" i="34" s="1"/>
  <c r="AD202" i="34"/>
  <c r="AD247" i="1"/>
  <c r="S20" i="4"/>
  <c r="S1299" i="34" s="1"/>
  <c r="S24" i="4"/>
  <c r="S1303" i="34" s="1"/>
  <c r="S1298" i="34"/>
  <c r="N20" i="40"/>
  <c r="N24" i="40"/>
  <c r="Q24" i="42"/>
  <c r="Q20" i="42"/>
  <c r="AN193" i="34"/>
  <c r="BI216" i="1"/>
  <c r="P20" i="40"/>
  <c r="P24" i="40"/>
  <c r="AB193" i="34"/>
  <c r="AB216" i="1"/>
  <c r="R193" i="34"/>
  <c r="R216" i="1"/>
  <c r="AR52" i="34"/>
  <c r="BM65" i="1"/>
  <c r="AR53" i="34" s="1"/>
  <c r="BM294" i="1"/>
  <c r="BM71" i="1"/>
  <c r="N20" i="4"/>
  <c r="N1299" i="34" s="1"/>
  <c r="N1298" i="34"/>
  <c r="N24" i="4"/>
  <c r="N1303" i="34" s="1"/>
  <c r="R1268" i="34"/>
  <c r="R62" i="34"/>
  <c r="BP19" i="14"/>
  <c r="AV583" i="34" s="1"/>
  <c r="BQ52" i="1"/>
  <c r="AV41" i="34"/>
  <c r="AB15" i="35"/>
  <c r="I48" i="35"/>
  <c r="K48" i="35" s="1"/>
  <c r="AB7" i="35"/>
  <c r="AB33" i="35"/>
  <c r="AS64" i="34"/>
  <c r="C35" i="3"/>
  <c r="CN77" i="1"/>
  <c r="AT130" i="34"/>
  <c r="BL207" i="1"/>
  <c r="AQ187" i="34"/>
  <c r="U1268" i="34"/>
  <c r="U62" i="34"/>
  <c r="O193" i="34"/>
  <c r="O216" i="1"/>
  <c r="BK75" i="1"/>
  <c r="AP58" i="34"/>
  <c r="BQ253" i="1"/>
  <c r="AV239" i="34" s="1"/>
  <c r="AV235" i="34"/>
  <c r="BQ250" i="1"/>
  <c r="AV236" i="34" s="1"/>
  <c r="F38" i="3"/>
  <c r="BQ252" i="1"/>
  <c r="AV238" i="34" s="1"/>
  <c r="AE216" i="1"/>
  <c r="AE193" i="34"/>
  <c r="AR884" i="34"/>
  <c r="AR640" i="2"/>
  <c r="AR885" i="34" s="1"/>
  <c r="AR644" i="2"/>
  <c r="BK207" i="1"/>
  <c r="AP187" i="34"/>
  <c r="AC1268" i="34"/>
  <c r="AC62" i="34"/>
  <c r="U187" i="34"/>
  <c r="U207" i="1"/>
  <c r="BM201" i="1"/>
  <c r="AU62" i="34"/>
  <c r="E30" i="3"/>
  <c r="C49" i="35"/>
  <c r="E49" i="35" s="1"/>
  <c r="AA34" i="35"/>
  <c r="BQ640" i="2"/>
  <c r="AW377" i="34"/>
  <c r="BQ884" i="34"/>
  <c r="BQ644" i="2"/>
  <c r="BQ843" i="34"/>
  <c r="AW349" i="34"/>
  <c r="O1298" i="34"/>
  <c r="O24" i="4"/>
  <c r="O1303" i="34" s="1"/>
  <c r="O20" i="4"/>
  <c r="O1299" i="34" s="1"/>
  <c r="AQ62" i="34"/>
  <c r="CL75" i="1"/>
  <c r="AU53" i="34"/>
  <c r="BU86" i="1"/>
  <c r="AY77" i="34"/>
  <c r="W5" i="2"/>
  <c r="X6" i="2"/>
  <c r="Q1298" i="34"/>
  <c r="Q20" i="4"/>
  <c r="Q1299" i="34" s="1"/>
  <c r="Q24" i="4"/>
  <c r="Q1303" i="34" s="1"/>
  <c r="AT177" i="1"/>
  <c r="AT604" i="2"/>
  <c r="AT842" i="34"/>
  <c r="AV88" i="34"/>
  <c r="BQ110" i="1"/>
  <c r="AV98" i="34" s="1"/>
  <c r="BM77" i="1"/>
  <c r="AR60" i="34"/>
  <c r="BM78" i="1"/>
  <c r="AR65" i="34" s="1"/>
  <c r="CM73" i="1"/>
  <c r="BO207" i="1"/>
  <c r="AT187" i="34"/>
  <c r="P1298" i="34"/>
  <c r="P24" i="4"/>
  <c r="P1303" i="34" s="1"/>
  <c r="P20" i="4"/>
  <c r="P1299" i="34" s="1"/>
  <c r="AB16" i="35"/>
  <c r="AV65" i="34"/>
  <c r="BJ106" i="1"/>
  <c r="AO202" i="34"/>
  <c r="BJ239" i="1"/>
  <c r="AO225" i="34" s="1"/>
  <c r="BJ110" i="1"/>
  <c r="AO98" i="34" s="1"/>
  <c r="BJ247" i="1"/>
  <c r="Y193" i="34"/>
  <c r="Y216" i="1"/>
  <c r="O24" i="40"/>
  <c r="O20" i="40"/>
  <c r="AS847" i="34"/>
  <c r="AS606" i="2"/>
  <c r="AS849" i="34" s="1"/>
  <c r="AS605" i="2"/>
  <c r="AS848" i="34" s="1"/>
  <c r="AS639" i="2"/>
  <c r="Q70" i="40"/>
  <c r="Q71" i="40" s="1"/>
  <c r="D30" i="3"/>
  <c r="AT62" i="34"/>
  <c r="U65" i="34"/>
  <c r="U1271" i="34"/>
  <c r="R24" i="42"/>
  <c r="R20" i="42"/>
  <c r="E62" i="3"/>
  <c r="AV52" i="34"/>
  <c r="BQ294" i="1"/>
  <c r="BQ65" i="1"/>
  <c r="P20" i="42"/>
  <c r="P24" i="42"/>
  <c r="T70" i="40"/>
  <c r="T72" i="40" s="1"/>
  <c r="T15" i="40" s="1"/>
  <c r="T19" i="40" s="1"/>
  <c r="T24" i="40" s="1"/>
  <c r="AX165" i="34"/>
  <c r="S216" i="1"/>
  <c r="S193" i="34"/>
  <c r="AK1271" i="34"/>
  <c r="I16" i="35"/>
  <c r="I35" i="35" s="1"/>
  <c r="R24" i="4"/>
  <c r="R1303" i="34" s="1"/>
  <c r="R20" i="4"/>
  <c r="R1299" i="34" s="1"/>
  <c r="R1298" i="34"/>
  <c r="V6" i="1"/>
  <c r="X202" i="34"/>
  <c r="X110" i="1"/>
  <c r="X98" i="34" s="1"/>
  <c r="X106" i="1"/>
  <c r="X247" i="1"/>
  <c r="X239" i="1"/>
  <c r="X225" i="34" s="1"/>
  <c r="T70" i="42"/>
  <c r="T72" i="42" s="1"/>
  <c r="T15" i="42" s="1"/>
  <c r="T19" i="42" s="1"/>
  <c r="O24" i="42"/>
  <c r="O20" i="42"/>
  <c r="AW166" i="34"/>
  <c r="BR292" i="1"/>
  <c r="AU65" i="34"/>
  <c r="AA16" i="35"/>
  <c r="F50" i="3"/>
  <c r="L59" i="3"/>
  <c r="AV582" i="34"/>
  <c r="BP21" i="14"/>
  <c r="AV585" i="34" s="1"/>
  <c r="T1293" i="34"/>
  <c r="T23" i="4"/>
  <c r="T1302" i="34" s="1"/>
  <c r="T22" i="4"/>
  <c r="T1301" i="34" s="1"/>
  <c r="BP20" i="14"/>
  <c r="AV584" i="34" s="1"/>
  <c r="BP2" i="14"/>
  <c r="AV42" i="34"/>
  <c r="P67" i="42"/>
  <c r="P68" i="42" s="1"/>
  <c r="P67" i="40"/>
  <c r="P68" i="40" s="1"/>
  <c r="Q70" i="42"/>
  <c r="Q71" i="42" s="1"/>
  <c r="AK75" i="1"/>
  <c r="AK1264" i="34"/>
  <c r="R70" i="42"/>
  <c r="R71" i="42" s="1"/>
  <c r="Z216" i="1"/>
  <c r="Z193" i="34"/>
  <c r="F35" i="3"/>
  <c r="AV64" i="34"/>
  <c r="Q216" i="1"/>
  <c r="Q193" i="34"/>
  <c r="AQ130" i="34"/>
  <c r="BL144" i="1"/>
  <c r="AQ132" i="34" s="1"/>
  <c r="V193" i="34"/>
  <c r="V216" i="1"/>
  <c r="S20" i="42"/>
  <c r="S24" i="42"/>
  <c r="AS130" i="34"/>
  <c r="AN1271" i="34"/>
  <c r="L16" i="35"/>
  <c r="L35" i="35" s="1"/>
  <c r="AB1268" i="34"/>
  <c r="AB62" i="34"/>
  <c r="U1270" i="34"/>
  <c r="U64" i="34"/>
  <c r="AU93" i="34"/>
  <c r="BP123" i="1"/>
  <c r="AU111" i="34" s="1"/>
  <c r="AX176" i="1"/>
  <c r="CL77" i="1"/>
  <c r="AQ64" i="34"/>
  <c r="AV600" i="2"/>
  <c r="AU843" i="34"/>
  <c r="AU599" i="2"/>
  <c r="T22" i="42"/>
  <c r="T23" i="42"/>
  <c r="AM75" i="1"/>
  <c r="AM1264" i="34"/>
  <c r="P67" i="4"/>
  <c r="P68" i="4" s="1"/>
  <c r="W193" i="34"/>
  <c r="W216" i="1"/>
  <c r="AC193" i="34"/>
  <c r="AC216" i="1"/>
  <c r="AP647" i="2"/>
  <c r="AP894" i="34" s="1"/>
  <c r="AP892" i="34"/>
  <c r="T216" i="1"/>
  <c r="T193" i="34"/>
  <c r="Z1313" i="34"/>
  <c r="AA34" i="4"/>
  <c r="AA1313" i="34" s="1"/>
  <c r="AN75" i="1"/>
  <c r="AN1264" i="34"/>
  <c r="Q24" i="40"/>
  <c r="Q20" i="40"/>
  <c r="P216" i="1"/>
  <c r="P193" i="34"/>
  <c r="AW160" i="2"/>
  <c r="AX157" i="2"/>
  <c r="AW161" i="2"/>
  <c r="AW159" i="2"/>
  <c r="AT64" i="34"/>
  <c r="D35" i="3"/>
  <c r="BX141" i="14"/>
  <c r="AQ646" i="2"/>
  <c r="AQ893" i="34" s="1"/>
  <c r="AQ891" i="34"/>
  <c r="AQ645" i="2"/>
  <c r="AS187" i="34"/>
  <c r="BN207" i="1"/>
  <c r="AL1268" i="34"/>
  <c r="N24" i="42"/>
  <c r="N20" i="42"/>
  <c r="BQ109" i="1"/>
  <c r="AV97" i="34" s="1"/>
  <c r="BQ121" i="1"/>
  <c r="AV109" i="34" s="1"/>
  <c r="AV103" i="34"/>
  <c r="AS62" i="34"/>
  <c r="C30" i="3"/>
  <c r="AR206" i="2" l="1"/>
  <c r="AW103" i="1"/>
  <c r="AR103" i="1"/>
  <c r="AY427" i="2"/>
  <c r="AY428" i="2" s="1"/>
  <c r="AY76" i="2"/>
  <c r="AY80" i="2" s="1"/>
  <c r="AY86" i="2"/>
  <c r="AY87" i="2"/>
  <c r="AZ83" i="2"/>
  <c r="AZ76" i="2" s="1"/>
  <c r="AZ80" i="2" s="1"/>
  <c r="W30" i="35"/>
  <c r="W22" i="35"/>
  <c r="BP295" i="1"/>
  <c r="AV15" i="2"/>
  <c r="AV699" i="34" s="1"/>
  <c r="AV14" i="2"/>
  <c r="AV13" i="2"/>
  <c r="AP390" i="2"/>
  <c r="AQ390" i="2" s="1"/>
  <c r="BC242" i="2"/>
  <c r="BC220" i="2" s="1"/>
  <c r="BV228" i="2"/>
  <c r="BV218" i="2" s="1"/>
  <c r="BU231" i="2"/>
  <c r="BU233" i="2"/>
  <c r="BU223" i="2" s="1"/>
  <c r="AY187" i="1"/>
  <c r="BC187" i="1" s="1"/>
  <c r="AU155" i="1"/>
  <c r="AV211" i="1" s="1"/>
  <c r="AV260" i="2"/>
  <c r="AW304" i="34"/>
  <c r="T20" i="40"/>
  <c r="AW244" i="2"/>
  <c r="AY103" i="1"/>
  <c r="AQ103" i="1"/>
  <c r="BG743" i="34"/>
  <c r="BF748" i="34"/>
  <c r="AO103" i="1"/>
  <c r="AO105" i="1" s="1"/>
  <c r="AO123" i="1" s="1"/>
  <c r="S71" i="42"/>
  <c r="BQ103" i="1"/>
  <c r="AV91" i="34" s="1"/>
  <c r="S71" i="4"/>
  <c r="CN75" i="1"/>
  <c r="AU64" i="34"/>
  <c r="S71" i="40"/>
  <c r="E35" i="3"/>
  <c r="E59" i="3" s="1"/>
  <c r="AB6" i="14"/>
  <c r="AA5" i="14"/>
  <c r="BC103" i="1"/>
  <c r="BD103" i="1"/>
  <c r="AV103" i="1"/>
  <c r="AS103" i="1"/>
  <c r="AU103" i="1"/>
  <c r="BB103" i="1"/>
  <c r="BA103" i="1"/>
  <c r="BR857" i="34"/>
  <c r="AX358" i="34"/>
  <c r="BR614" i="2"/>
  <c r="AX614" i="2"/>
  <c r="AW858" i="34"/>
  <c r="AW613" i="2"/>
  <c r="AU620" i="2"/>
  <c r="AU864" i="34" s="1"/>
  <c r="AU619" i="2"/>
  <c r="AU863" i="34" s="1"/>
  <c r="AU862" i="34"/>
  <c r="AW243" i="2"/>
  <c r="AW74" i="2" s="1"/>
  <c r="AW220" i="2"/>
  <c r="AW62" i="14"/>
  <c r="AX246" i="2"/>
  <c r="AW245" i="2"/>
  <c r="AX244" i="2"/>
  <c r="BA242" i="2"/>
  <c r="BA244" i="2" s="1"/>
  <c r="BA225" i="2"/>
  <c r="AV618" i="2"/>
  <c r="AV857" i="34"/>
  <c r="AX792" i="34"/>
  <c r="AY555" i="2"/>
  <c r="AN103" i="1"/>
  <c r="AN105" i="1" s="1"/>
  <c r="AN123" i="1" s="1"/>
  <c r="AP103" i="1"/>
  <c r="AP105" i="1" s="1"/>
  <c r="AP123" i="1" s="1"/>
  <c r="AM103" i="1"/>
  <c r="AM105" i="1" s="1"/>
  <c r="AM123" i="1" s="1"/>
  <c r="T15" i="4"/>
  <c r="T1294" i="34" s="1"/>
  <c r="BS557" i="2"/>
  <c r="AY338" i="34"/>
  <c r="BS792" i="34"/>
  <c r="AZ103" i="1"/>
  <c r="AL103" i="1"/>
  <c r="AL105" i="1" s="1"/>
  <c r="AL123" i="1" s="1"/>
  <c r="AT103" i="1"/>
  <c r="AX103" i="1"/>
  <c r="AK103" i="1"/>
  <c r="AK105" i="1" s="1"/>
  <c r="AK123" i="1" s="1"/>
  <c r="BR794" i="34"/>
  <c r="BR558" i="2"/>
  <c r="AX340" i="34"/>
  <c r="BT555" i="2"/>
  <c r="X6" i="34"/>
  <c r="V5" i="4"/>
  <c r="W8" i="4"/>
  <c r="V26" i="4"/>
  <c r="V1305" i="34" s="1"/>
  <c r="X5" i="40"/>
  <c r="X27" i="40"/>
  <c r="Y8" i="40"/>
  <c r="Y27" i="42"/>
  <c r="Y5" i="42"/>
  <c r="Z8" i="42"/>
  <c r="AT1276" i="34"/>
  <c r="C32" i="3"/>
  <c r="C56" i="3" s="1"/>
  <c r="AU107" i="14"/>
  <c r="AV86" i="1"/>
  <c r="AU1283" i="34"/>
  <c r="AU84" i="1"/>
  <c r="AZ62" i="14"/>
  <c r="AZ220" i="2"/>
  <c r="AZ245" i="2"/>
  <c r="AZ244" i="2"/>
  <c r="AZ243" i="2"/>
  <c r="AZ74" i="2" s="1"/>
  <c r="BS242" i="2"/>
  <c r="BS245" i="2" s="1"/>
  <c r="AZ246" i="2"/>
  <c r="BD242" i="2"/>
  <c r="BD225" i="2"/>
  <c r="BR62" i="14"/>
  <c r="BR245" i="2"/>
  <c r="BR220" i="2"/>
  <c r="BR243" i="2"/>
  <c r="BR74" i="2" s="1"/>
  <c r="BR247" i="2"/>
  <c r="BR225" i="2" s="1"/>
  <c r="AU79" i="14"/>
  <c r="AU80" i="14"/>
  <c r="AS84" i="14"/>
  <c r="AS83" i="14"/>
  <c r="P70" i="42"/>
  <c r="P71" i="42" s="1"/>
  <c r="AZ229" i="14"/>
  <c r="AY176" i="14"/>
  <c r="AY177" i="14" s="1"/>
  <c r="AY139" i="14"/>
  <c r="AY140" i="14" s="1"/>
  <c r="AA233" i="34"/>
  <c r="AA249" i="1"/>
  <c r="AA94" i="34"/>
  <c r="AA113" i="1"/>
  <c r="AA101" i="34" s="1"/>
  <c r="AA105" i="1"/>
  <c r="AA109" i="1"/>
  <c r="AA97" i="34" s="1"/>
  <c r="AA115" i="1"/>
  <c r="AJ1268" i="34"/>
  <c r="AJ62" i="34"/>
  <c r="AF233" i="34"/>
  <c r="AF249" i="1"/>
  <c r="AP75" i="1"/>
  <c r="AP1268" i="34" s="1"/>
  <c r="AP1264" i="34"/>
  <c r="AF94" i="34"/>
  <c r="AF113" i="1"/>
  <c r="AF101" i="34" s="1"/>
  <c r="AF109" i="1"/>
  <c r="AF97" i="34" s="1"/>
  <c r="AJ107" i="1"/>
  <c r="AJ95" i="34" s="1"/>
  <c r="AF105" i="1"/>
  <c r="AF115" i="1"/>
  <c r="AM195" i="2"/>
  <c r="AO202" i="2"/>
  <c r="AP199" i="2"/>
  <c r="AO203" i="2"/>
  <c r="AO205" i="2"/>
  <c r="AO201" i="2"/>
  <c r="AO211" i="2"/>
  <c r="AO193" i="2"/>
  <c r="BP201" i="2"/>
  <c r="BP202" i="2"/>
  <c r="BP193" i="2"/>
  <c r="CD199" i="2"/>
  <c r="AN194" i="2"/>
  <c r="AN196" i="2"/>
  <c r="AN208" i="2"/>
  <c r="AN206" i="2"/>
  <c r="AN209" i="2"/>
  <c r="AN207" i="2"/>
  <c r="AR1006" i="34"/>
  <c r="BU240" i="2"/>
  <c r="AT385" i="2"/>
  <c r="AT1009" i="34" s="1"/>
  <c r="AR1009" i="34"/>
  <c r="AS382" i="2"/>
  <c r="AS383" i="2" s="1"/>
  <c r="AS1007" i="34" s="1"/>
  <c r="AU872" i="34"/>
  <c r="AU632" i="2"/>
  <c r="AW628" i="2"/>
  <c r="AV627" i="2"/>
  <c r="AV873" i="34"/>
  <c r="AT634" i="2"/>
  <c r="AT879" i="34" s="1"/>
  <c r="AT877" i="34"/>
  <c r="AT633" i="2"/>
  <c r="AT878" i="34" s="1"/>
  <c r="AQ1008" i="34"/>
  <c r="AQ1007" i="34"/>
  <c r="BS189" i="2"/>
  <c r="BU238" i="2"/>
  <c r="AX179" i="2"/>
  <c r="AX177" i="2"/>
  <c r="AX178" i="2"/>
  <c r="AX175" i="2"/>
  <c r="AX176" i="2" s="1"/>
  <c r="AY174" i="2"/>
  <c r="BA182" i="2"/>
  <c r="BA189" i="2"/>
  <c r="BA190" i="2" s="1"/>
  <c r="BA97" i="2"/>
  <c r="BA98" i="2" s="1"/>
  <c r="BA99" i="2"/>
  <c r="BA100" i="2"/>
  <c r="BA101" i="2"/>
  <c r="AZ183" i="2"/>
  <c r="AZ184" i="2" s="1"/>
  <c r="AZ186" i="2"/>
  <c r="AZ187" i="2"/>
  <c r="BS182" i="2"/>
  <c r="AZ185" i="2"/>
  <c r="BB96" i="2"/>
  <c r="BS91" i="2"/>
  <c r="AZ93" i="2"/>
  <c r="AZ169" i="2"/>
  <c r="AZ94" i="2"/>
  <c r="BA91" i="2"/>
  <c r="BV235" i="2"/>
  <c r="BV219" i="2" s="1"/>
  <c r="BP1006" i="34"/>
  <c r="AV529" i="34"/>
  <c r="CD382" i="2"/>
  <c r="BP385" i="2"/>
  <c r="BP383" i="2"/>
  <c r="AP384" i="2"/>
  <c r="AP1008" i="34" s="1"/>
  <c r="AP1006" i="34"/>
  <c r="AP383" i="2"/>
  <c r="AP1007" i="34" s="1"/>
  <c r="AT329" i="2"/>
  <c r="AT331" i="2"/>
  <c r="AT327" i="2"/>
  <c r="AT328" i="2" s="1"/>
  <c r="AU331" i="2"/>
  <c r="AU330" i="2"/>
  <c r="AU327" i="2"/>
  <c r="AU328" i="2" s="1"/>
  <c r="AU329" i="2"/>
  <c r="AU322" i="2"/>
  <c r="AU935" i="34" s="1"/>
  <c r="AU321" i="2"/>
  <c r="AU934" i="34" s="1"/>
  <c r="AU346" i="2"/>
  <c r="AU953" i="34" s="1"/>
  <c r="AU324" i="2"/>
  <c r="AU937" i="34" s="1"/>
  <c r="AU323" i="2"/>
  <c r="AU936" i="34" s="1"/>
  <c r="AU933" i="34"/>
  <c r="AU338" i="2"/>
  <c r="AU945" i="34" s="1"/>
  <c r="AU362" i="2"/>
  <c r="AU969" i="34" s="1"/>
  <c r="AU480" i="2"/>
  <c r="AV320" i="2"/>
  <c r="AV352" i="2" s="1"/>
  <c r="AV959" i="34" s="1"/>
  <c r="AV351" i="2"/>
  <c r="AV958" i="34" s="1"/>
  <c r="AV956" i="34"/>
  <c r="AV353" i="2"/>
  <c r="AV960" i="34" s="1"/>
  <c r="AV350" i="2"/>
  <c r="AV957" i="34" s="1"/>
  <c r="AV354" i="2"/>
  <c r="AV961" i="34" s="1"/>
  <c r="AV355" i="2"/>
  <c r="AV962" i="34" s="1"/>
  <c r="BR349" i="2"/>
  <c r="AT484" i="2"/>
  <c r="AT483" i="2"/>
  <c r="AT482" i="2"/>
  <c r="AT481" i="2"/>
  <c r="AW363" i="2"/>
  <c r="AW970" i="34" s="1"/>
  <c r="AW345" i="2"/>
  <c r="AW952" i="34" s="1"/>
  <c r="AW948" i="34"/>
  <c r="AW344" i="2"/>
  <c r="AW951" i="34" s="1"/>
  <c r="AW342" i="2"/>
  <c r="AW949" i="34" s="1"/>
  <c r="AX341" i="2"/>
  <c r="AW349" i="2"/>
  <c r="BR948" i="34"/>
  <c r="CF341" i="2"/>
  <c r="BR344" i="2"/>
  <c r="BR363" i="2"/>
  <c r="BR342" i="2"/>
  <c r="AX471" i="34"/>
  <c r="AG1121" i="34"/>
  <c r="AG411" i="34"/>
  <c r="BY474" i="2"/>
  <c r="BX474" i="2"/>
  <c r="AH460" i="2"/>
  <c r="AH1119" i="34"/>
  <c r="AH409" i="34"/>
  <c r="AH461" i="2"/>
  <c r="AH462" i="2"/>
  <c r="AI1112" i="34"/>
  <c r="AI457" i="2"/>
  <c r="AI402" i="34"/>
  <c r="AI456" i="2"/>
  <c r="AI459" i="2"/>
  <c r="AJ452" i="2"/>
  <c r="AI455" i="2"/>
  <c r="AI650" i="2"/>
  <c r="AI653" i="2" s="1"/>
  <c r="AG412" i="34"/>
  <c r="AG1122" i="34"/>
  <c r="AT551" i="34"/>
  <c r="BN1028" i="34"/>
  <c r="AF390" i="34"/>
  <c r="AF655" i="2"/>
  <c r="AF901" i="34"/>
  <c r="AJ559" i="34"/>
  <c r="AJ408" i="2"/>
  <c r="AJ1036" i="34"/>
  <c r="AK411" i="2"/>
  <c r="AH407" i="34"/>
  <c r="AH1117" i="34"/>
  <c r="AH558" i="34"/>
  <c r="AH1035" i="34"/>
  <c r="AH1034" i="34"/>
  <c r="AH557" i="34"/>
  <c r="AG387" i="34"/>
  <c r="AG898" i="34"/>
  <c r="AG1120" i="34"/>
  <c r="AG410" i="34"/>
  <c r="AT553" i="34"/>
  <c r="BN1030" i="34"/>
  <c r="AT410" i="34"/>
  <c r="BN1120" i="34"/>
  <c r="AI410" i="2"/>
  <c r="AI1033" i="34"/>
  <c r="AI402" i="2"/>
  <c r="AI556" i="34"/>
  <c r="AI409" i="2"/>
  <c r="AT387" i="34"/>
  <c r="BN898" i="34"/>
  <c r="AH653" i="2"/>
  <c r="AH897" i="34"/>
  <c r="AH651" i="2"/>
  <c r="AH386" i="34"/>
  <c r="AK453" i="2"/>
  <c r="AJ1113" i="34"/>
  <c r="AJ403" i="34"/>
  <c r="BN1122" i="34"/>
  <c r="AT412" i="34"/>
  <c r="AF907" i="34"/>
  <c r="AF659" i="2"/>
  <c r="AF906" i="34" s="1"/>
  <c r="AT389" i="34"/>
  <c r="BN900" i="34"/>
  <c r="BN654" i="2"/>
  <c r="BN657" i="2"/>
  <c r="BN904" i="34" s="1"/>
  <c r="AH406" i="34"/>
  <c r="AH1116" i="34"/>
  <c r="AH1115" i="34"/>
  <c r="AH405" i="34"/>
  <c r="AG655" i="2"/>
  <c r="AG901" i="34"/>
  <c r="AG390" i="34"/>
  <c r="AH550" i="34"/>
  <c r="AH1027" i="34"/>
  <c r="AH403" i="2"/>
  <c r="AH404" i="2"/>
  <c r="AH405" i="2"/>
  <c r="AV398" i="34"/>
  <c r="BP1108" i="34"/>
  <c r="AV399" i="34"/>
  <c r="BP1109" i="34"/>
  <c r="AP392" i="2"/>
  <c r="AQ446" i="2"/>
  <c r="AQ392" i="2" s="1"/>
  <c r="AR394" i="2" s="1"/>
  <c r="AP1106" i="34"/>
  <c r="AP450" i="2"/>
  <c r="AP1110" i="34" s="1"/>
  <c r="AP449" i="2"/>
  <c r="AP1109" i="34" s="1"/>
  <c r="BP393" i="2"/>
  <c r="BP1016" i="34"/>
  <c r="CD392" i="2"/>
  <c r="AV539" i="34"/>
  <c r="AO1016" i="34"/>
  <c r="AO394" i="2"/>
  <c r="AO1018" i="34" s="1"/>
  <c r="AO393" i="2"/>
  <c r="AO1017" i="34" s="1"/>
  <c r="BS126" i="2"/>
  <c r="BS127" i="2"/>
  <c r="BA125" i="2"/>
  <c r="BA126" i="2"/>
  <c r="BA128" i="2"/>
  <c r="BB125" i="2"/>
  <c r="BB128" i="2"/>
  <c r="BT124" i="2"/>
  <c r="BD125" i="2"/>
  <c r="BD128" i="2"/>
  <c r="BD126" i="2"/>
  <c r="BR133" i="2"/>
  <c r="BR132" i="2"/>
  <c r="BV492" i="2"/>
  <c r="BV729" i="34" s="1"/>
  <c r="BV728" i="34"/>
  <c r="BW534" i="2"/>
  <c r="BW780" i="34" s="1"/>
  <c r="BW491" i="2"/>
  <c r="BX490" i="2"/>
  <c r="BW727" i="34"/>
  <c r="AZ360" i="2"/>
  <c r="AZ967" i="34" s="1"/>
  <c r="AZ361" i="2"/>
  <c r="AZ968" i="34" s="1"/>
  <c r="AZ964" i="34"/>
  <c r="BA357" i="2"/>
  <c r="BA964" i="34" s="1"/>
  <c r="BS357" i="2"/>
  <c r="AY420" i="2"/>
  <c r="AY1045" i="34" s="1"/>
  <c r="AY419" i="2"/>
  <c r="AY1044" i="34" s="1"/>
  <c r="AY88" i="2"/>
  <c r="AY89" i="2" s="1"/>
  <c r="AZ416" i="2"/>
  <c r="AY1041" i="34"/>
  <c r="AW294" i="34"/>
  <c r="BQ710" i="34"/>
  <c r="BQ712" i="34"/>
  <c r="AW296" i="34"/>
  <c r="AW297" i="34"/>
  <c r="BQ713" i="34"/>
  <c r="AS271" i="2"/>
  <c r="AS1078" i="34" s="1"/>
  <c r="AW748" i="34"/>
  <c r="AW513" i="2"/>
  <c r="AW749" i="34" s="1"/>
  <c r="AU231" i="14"/>
  <c r="AU228" i="14"/>
  <c r="AV316" i="2"/>
  <c r="AU312" i="2"/>
  <c r="AU929" i="34"/>
  <c r="AW742" i="34"/>
  <c r="AY511" i="2"/>
  <c r="AW509" i="2"/>
  <c r="AW745" i="34" s="1"/>
  <c r="AX506" i="2"/>
  <c r="AW579" i="2"/>
  <c r="AW818" i="34" s="1"/>
  <c r="AW508" i="2"/>
  <c r="AW744" i="34" s="1"/>
  <c r="AW532" i="2"/>
  <c r="AW537" i="2" s="1"/>
  <c r="BQ237" i="14"/>
  <c r="AW690" i="34" s="1"/>
  <c r="AW689" i="34"/>
  <c r="AW447" i="34"/>
  <c r="BQ926" i="34"/>
  <c r="BQ927" i="34"/>
  <c r="AW448" i="34"/>
  <c r="BQ307" i="2"/>
  <c r="AW439" i="34"/>
  <c r="BQ306" i="2"/>
  <c r="BQ309" i="2"/>
  <c r="BQ918" i="34"/>
  <c r="AU538" i="2"/>
  <c r="AU542" i="2"/>
  <c r="AU788" i="34" s="1"/>
  <c r="AU783" i="34"/>
  <c r="AU541" i="2"/>
  <c r="AU787" i="34" s="1"/>
  <c r="AU540" i="2"/>
  <c r="AU786" i="34" s="1"/>
  <c r="AV106" i="14"/>
  <c r="AV107" i="14" s="1"/>
  <c r="AX552" i="2"/>
  <c r="AX553" i="2" s="1"/>
  <c r="AV778" i="34"/>
  <c r="AX545" i="2"/>
  <c r="AS307" i="2"/>
  <c r="AS920" i="34" s="1"/>
  <c r="AS309" i="2"/>
  <c r="AS922" i="34" s="1"/>
  <c r="AS308" i="2"/>
  <c r="AS921" i="34" s="1"/>
  <c r="AS918" i="34"/>
  <c r="AS306" i="2"/>
  <c r="AS919" i="34" s="1"/>
  <c r="AV537" i="2"/>
  <c r="AT305" i="2"/>
  <c r="AT315" i="2"/>
  <c r="AT928" i="34" s="1"/>
  <c r="AT314" i="2"/>
  <c r="AT927" i="34" s="1"/>
  <c r="AT313" i="2"/>
  <c r="AT926" i="34" s="1"/>
  <c r="AT925" i="34"/>
  <c r="BR532" i="2"/>
  <c r="BR507" i="2"/>
  <c r="BR743" i="34" s="1"/>
  <c r="BR508" i="2"/>
  <c r="BR744" i="34" s="1"/>
  <c r="BR742" i="34"/>
  <c r="AX747" i="34"/>
  <c r="AX516" i="2"/>
  <c r="AX752" i="34" s="1"/>
  <c r="AX515" i="2"/>
  <c r="AX751" i="34" s="1"/>
  <c r="AX512" i="2"/>
  <c r="AX514" i="2"/>
  <c r="AX750" i="34" s="1"/>
  <c r="BQ176" i="14"/>
  <c r="BQ230" i="14"/>
  <c r="BQ139" i="14"/>
  <c r="BQ140" i="14" s="1"/>
  <c r="AW450" i="34"/>
  <c r="BQ929" i="34"/>
  <c r="AW546" i="2"/>
  <c r="AW547" i="2" s="1"/>
  <c r="AW549" i="2"/>
  <c r="AW548" i="2"/>
  <c r="AW550" i="2"/>
  <c r="AT232" i="14"/>
  <c r="AT195" i="14"/>
  <c r="AT233" i="14"/>
  <c r="AT234" i="14"/>
  <c r="AT539" i="2"/>
  <c r="AT785" i="34" s="1"/>
  <c r="AT784" i="34"/>
  <c r="AW524" i="2"/>
  <c r="AW760" i="34" s="1"/>
  <c r="AW759" i="34"/>
  <c r="BR524" i="2"/>
  <c r="BR760" i="34" s="1"/>
  <c r="BR759" i="34"/>
  <c r="BR987" i="34"/>
  <c r="BR165" i="2"/>
  <c r="BR988" i="34" s="1"/>
  <c r="AY337" i="2"/>
  <c r="AY944" i="34" s="1"/>
  <c r="AZ333" i="2"/>
  <c r="AY334" i="2"/>
  <c r="AY941" i="34" s="1"/>
  <c r="AY336" i="2"/>
  <c r="AY943" i="34" s="1"/>
  <c r="AY940" i="34"/>
  <c r="AZ85" i="2"/>
  <c r="AX499" i="2"/>
  <c r="AX501" i="2"/>
  <c r="AX737" i="34" s="1"/>
  <c r="AX502" i="2"/>
  <c r="AX738" i="34" s="1"/>
  <c r="AX503" i="2"/>
  <c r="AX739" i="34" s="1"/>
  <c r="AV397" i="2"/>
  <c r="AV1021" i="34" s="1"/>
  <c r="AV398" i="2"/>
  <c r="AV1022" i="34" s="1"/>
  <c r="AV1020" i="34"/>
  <c r="AX373" i="2"/>
  <c r="AX997" i="34" s="1"/>
  <c r="AY372" i="2"/>
  <c r="AX996" i="34"/>
  <c r="AY518" i="2"/>
  <c r="AY498" i="2" s="1"/>
  <c r="AY735" i="34" s="1"/>
  <c r="AX522" i="2"/>
  <c r="AX758" i="34" s="1"/>
  <c r="AX754" i="34"/>
  <c r="AX521" i="2"/>
  <c r="AX757" i="34" s="1"/>
  <c r="AX520" i="2"/>
  <c r="AX756" i="34" s="1"/>
  <c r="AX523" i="2"/>
  <c r="AW995" i="34"/>
  <c r="AW375" i="2"/>
  <c r="AW999" i="34" s="1"/>
  <c r="AW374" i="2"/>
  <c r="AW998" i="34" s="1"/>
  <c r="AX371" i="2"/>
  <c r="AW396" i="2"/>
  <c r="BR499" i="2"/>
  <c r="BR502" i="2"/>
  <c r="BR738" i="34" s="1"/>
  <c r="AW499" i="2"/>
  <c r="AW502" i="2"/>
  <c r="AW738" i="34" s="1"/>
  <c r="AW501" i="2"/>
  <c r="AW737" i="34" s="1"/>
  <c r="AW503" i="2"/>
  <c r="AW739" i="34" s="1"/>
  <c r="BR373" i="2"/>
  <c r="BR374" i="2"/>
  <c r="BR995" i="34"/>
  <c r="CF371" i="2"/>
  <c r="AX518" i="34"/>
  <c r="BR396" i="2"/>
  <c r="BR527" i="2"/>
  <c r="BR756" i="34"/>
  <c r="BT245" i="14"/>
  <c r="AJ1003" i="34"/>
  <c r="AJ526" i="34"/>
  <c r="BU42" i="2"/>
  <c r="BU704" i="34" s="1"/>
  <c r="BP387" i="2"/>
  <c r="AN1011" i="34"/>
  <c r="AN388" i="2"/>
  <c r="AN1012" i="34" s="1"/>
  <c r="AN377" i="2"/>
  <c r="AR378" i="2" s="1"/>
  <c r="AN389" i="2"/>
  <c r="AN1013" i="34" s="1"/>
  <c r="BR258" i="1"/>
  <c r="BR260" i="1" s="1"/>
  <c r="AO987" i="34"/>
  <c r="AO165" i="2"/>
  <c r="AO988" i="34" s="1"/>
  <c r="AO424" i="2"/>
  <c r="AO1049" i="34" s="1"/>
  <c r="AO1047" i="34"/>
  <c r="AO423" i="2"/>
  <c r="AO1048" i="34" s="1"/>
  <c r="AO425" i="2"/>
  <c r="AO1050" i="34" s="1"/>
  <c r="AO572" i="2"/>
  <c r="AO811" i="34" s="1"/>
  <c r="AO808" i="34"/>
  <c r="AO570" i="2"/>
  <c r="AO809" i="34" s="1"/>
  <c r="AO573" i="2"/>
  <c r="AO812" i="34" s="1"/>
  <c r="AO571" i="2"/>
  <c r="AO810" i="34" s="1"/>
  <c r="AN815" i="34"/>
  <c r="AN577" i="2"/>
  <c r="AN816" i="34" s="1"/>
  <c r="AI1002" i="34"/>
  <c r="AI525" i="34"/>
  <c r="BO380" i="2"/>
  <c r="BO1001" i="34"/>
  <c r="BO378" i="2"/>
  <c r="AU524" i="34"/>
  <c r="CC377" i="2"/>
  <c r="BW144" i="2"/>
  <c r="BV56" i="14"/>
  <c r="BV146" i="2"/>
  <c r="BV983" i="34"/>
  <c r="BW13" i="1"/>
  <c r="AN796" i="34"/>
  <c r="AN558" i="2"/>
  <c r="AN795" i="34" s="1"/>
  <c r="AP569" i="2"/>
  <c r="AP566" i="2"/>
  <c r="AP805" i="34" s="1"/>
  <c r="AP575" i="2"/>
  <c r="AP564" i="2"/>
  <c r="AP803" i="34" s="1"/>
  <c r="AP556" i="2"/>
  <c r="AP164" i="2"/>
  <c r="AP801" i="34"/>
  <c r="AQ562" i="2"/>
  <c r="AP565" i="2"/>
  <c r="AP804" i="34" s="1"/>
  <c r="AP236" i="14"/>
  <c r="AI527" i="34"/>
  <c r="AI1004" i="34"/>
  <c r="AJ1002" i="34"/>
  <c r="AJ525" i="34"/>
  <c r="BU50" i="14"/>
  <c r="BU49" i="14"/>
  <c r="BO1014" i="34"/>
  <c r="AU537" i="34"/>
  <c r="AP1014" i="34"/>
  <c r="AP387" i="2"/>
  <c r="AM389" i="2"/>
  <c r="AM1013" i="34" s="1"/>
  <c r="AM388" i="2"/>
  <c r="AM1012" i="34" s="1"/>
  <c r="AM1011" i="34"/>
  <c r="AM377" i="2"/>
  <c r="AO557" i="2"/>
  <c r="AO794" i="34" s="1"/>
  <c r="AO793" i="34"/>
  <c r="AO559" i="2"/>
  <c r="AO814" i="34"/>
  <c r="AO576" i="2"/>
  <c r="AO238" i="14"/>
  <c r="AO237" i="14"/>
  <c r="AL380" i="2"/>
  <c r="AL1004" i="34" s="1"/>
  <c r="AL379" i="2"/>
  <c r="AL1003" i="34" s="1"/>
  <c r="AL378" i="2"/>
  <c r="AL1002" i="34" s="1"/>
  <c r="AL1001" i="34"/>
  <c r="AI526" i="34"/>
  <c r="AI1003" i="34"/>
  <c r="AT211" i="1"/>
  <c r="AJ527" i="34"/>
  <c r="AJ1004" i="34"/>
  <c r="AU535" i="34"/>
  <c r="BO1012" i="34"/>
  <c r="AK1001" i="34"/>
  <c r="AK380" i="2"/>
  <c r="AK1004" i="34" s="1"/>
  <c r="AK378" i="2"/>
  <c r="AK1002" i="34" s="1"/>
  <c r="AK379" i="2"/>
  <c r="AK1003" i="34" s="1"/>
  <c r="BP425" i="2"/>
  <c r="BP1047" i="34"/>
  <c r="BP423" i="2"/>
  <c r="AV570" i="34"/>
  <c r="AO387" i="2"/>
  <c r="AO1014" i="34"/>
  <c r="AU702" i="34"/>
  <c r="AU41" i="2"/>
  <c r="AU703" i="34" s="1"/>
  <c r="AU49" i="2"/>
  <c r="AU14" i="14"/>
  <c r="AU186" i="14"/>
  <c r="AU11" i="14"/>
  <c r="AU12" i="14"/>
  <c r="AT157" i="14"/>
  <c r="AT68" i="14"/>
  <c r="AT221" i="14"/>
  <c r="AT71" i="14"/>
  <c r="AT248" i="14"/>
  <c r="AT249" i="14" s="1"/>
  <c r="AT82" i="14"/>
  <c r="AT70" i="14"/>
  <c r="AT69" i="14"/>
  <c r="AS250" i="14"/>
  <c r="AS251" i="14"/>
  <c r="AX1219" i="34"/>
  <c r="BS155" i="1"/>
  <c r="AU717" i="34"/>
  <c r="AU58" i="2"/>
  <c r="AU718" i="34" s="1"/>
  <c r="AU61" i="2"/>
  <c r="AU721" i="34" s="1"/>
  <c r="AU59" i="2"/>
  <c r="AU719" i="34" s="1"/>
  <c r="AU62" i="2"/>
  <c r="AU722" i="34" s="1"/>
  <c r="AU19" i="2"/>
  <c r="AU20" i="2"/>
  <c r="AT220" i="14"/>
  <c r="AT29" i="14"/>
  <c r="AT30" i="14" s="1"/>
  <c r="AT32" i="14"/>
  <c r="AT31" i="14"/>
  <c r="AT33" i="14"/>
  <c r="AT34" i="14"/>
  <c r="V11" i="4"/>
  <c r="CK23" i="1"/>
  <c r="AD11" i="35"/>
  <c r="U45" i="35" s="1"/>
  <c r="W45" i="35" s="1"/>
  <c r="CP23" i="1"/>
  <c r="E24" i="3" s="1"/>
  <c r="AX14" i="34"/>
  <c r="AY138" i="2"/>
  <c r="AZ136" i="2"/>
  <c r="AY139" i="2"/>
  <c r="AY34" i="2"/>
  <c r="AY26" i="1"/>
  <c r="AY140" i="2"/>
  <c r="AU1066" i="34"/>
  <c r="AU281" i="2"/>
  <c r="AU1088" i="34" s="1"/>
  <c r="AU292" i="2"/>
  <c r="AU1099" i="34" s="1"/>
  <c r="AT192" i="14"/>
  <c r="AT191" i="14"/>
  <c r="AT126" i="14"/>
  <c r="AT125" i="14"/>
  <c r="AT709" i="34"/>
  <c r="AT54" i="2"/>
  <c r="AT714" i="34" s="1"/>
  <c r="AT50" i="2"/>
  <c r="AT710" i="34" s="1"/>
  <c r="AT52" i="2"/>
  <c r="AT712" i="34" s="1"/>
  <c r="AT53" i="2"/>
  <c r="AT713" i="34" s="1"/>
  <c r="AT51" i="2"/>
  <c r="AT711" i="34" s="1"/>
  <c r="AS87" i="14"/>
  <c r="AS89" i="14"/>
  <c r="AX37" i="2"/>
  <c r="AX38" i="2"/>
  <c r="AV1212" i="34"/>
  <c r="AS28" i="1"/>
  <c r="AT1065" i="34"/>
  <c r="AT280" i="2"/>
  <c r="AT1087" i="34" s="1"/>
  <c r="AT270" i="2"/>
  <c r="AT291" i="2"/>
  <c r="AT1098" i="34" s="1"/>
  <c r="AS32" i="1"/>
  <c r="AV698" i="34"/>
  <c r="AV494" i="2"/>
  <c r="AV731" i="34" s="1"/>
  <c r="AV476" i="2"/>
  <c r="AV57" i="2"/>
  <c r="AV40" i="2"/>
  <c r="AV10" i="14"/>
  <c r="AV74" i="14" s="1"/>
  <c r="AV16" i="2"/>
  <c r="AV700" i="34" s="1"/>
  <c r="AV71" i="2"/>
  <c r="AV18" i="2"/>
  <c r="BR12" i="2"/>
  <c r="BW295" i="2"/>
  <c r="BW25" i="2"/>
  <c r="BW61" i="14"/>
  <c r="BX68" i="2"/>
  <c r="BX69" i="2" s="1"/>
  <c r="BX294" i="2"/>
  <c r="BX22" i="2"/>
  <c r="BX23" i="2" s="1"/>
  <c r="BX171" i="2"/>
  <c r="BY24" i="1"/>
  <c r="BY67" i="2"/>
  <c r="AC110" i="1"/>
  <c r="AC98" i="34" s="1"/>
  <c r="AC247" i="1"/>
  <c r="AC202" i="34"/>
  <c r="AC239" i="1"/>
  <c r="AC225" i="34" s="1"/>
  <c r="AC106" i="1"/>
  <c r="AU842" i="34"/>
  <c r="AU604" i="2"/>
  <c r="V106" i="1"/>
  <c r="V247" i="1"/>
  <c r="V202" i="34"/>
  <c r="V110" i="1"/>
  <c r="V98" i="34" s="1"/>
  <c r="V239" i="1"/>
  <c r="V225" i="34" s="1"/>
  <c r="Q202" i="34"/>
  <c r="Q247" i="1"/>
  <c r="Q106" i="1"/>
  <c r="Q239" i="1"/>
  <c r="Q225" i="34" s="1"/>
  <c r="Q110" i="1"/>
  <c r="Q98" i="34" s="1"/>
  <c r="Z247" i="1"/>
  <c r="Z110" i="1"/>
  <c r="Z98" i="34" s="1"/>
  <c r="Z202" i="34"/>
  <c r="Z239" i="1"/>
  <c r="Z225" i="34" s="1"/>
  <c r="Z106" i="1"/>
  <c r="AD107" i="1" s="1"/>
  <c r="AD95" i="34" s="1"/>
  <c r="C50" i="35"/>
  <c r="E50" i="35" s="1"/>
  <c r="AA35" i="35"/>
  <c r="S239" i="1"/>
  <c r="S225" i="34" s="1"/>
  <c r="S110" i="1"/>
  <c r="S98" i="34" s="1"/>
  <c r="S202" i="34"/>
  <c r="S106" i="1"/>
  <c r="S247" i="1"/>
  <c r="D54" i="3"/>
  <c r="D31" i="3"/>
  <c r="AS884" i="34"/>
  <c r="AS640" i="2"/>
  <c r="AS885" i="34" s="1"/>
  <c r="AS644" i="2"/>
  <c r="Y247" i="1"/>
  <c r="Y110" i="1"/>
  <c r="Y98" i="34" s="1"/>
  <c r="Y106" i="1"/>
  <c r="Y239" i="1"/>
  <c r="Y225" i="34" s="1"/>
  <c r="Y202" i="34"/>
  <c r="I50" i="35"/>
  <c r="K50" i="35" s="1"/>
  <c r="AB35" i="35"/>
  <c r="CM77" i="1"/>
  <c r="AR64" i="34"/>
  <c r="B35" i="3"/>
  <c r="BQ105" i="1"/>
  <c r="AU177" i="1"/>
  <c r="BK216" i="1"/>
  <c r="AP193" i="34"/>
  <c r="I49" i="35"/>
  <c r="K49" i="35" s="1"/>
  <c r="AB34" i="35"/>
  <c r="AQ892" i="34"/>
  <c r="AQ647" i="2"/>
  <c r="AQ894" i="34" s="1"/>
  <c r="T24" i="42"/>
  <c r="T20" i="42"/>
  <c r="AY176" i="1"/>
  <c r="X233" i="34"/>
  <c r="X249" i="1"/>
  <c r="T71" i="4"/>
  <c r="BQ295" i="1"/>
  <c r="AV53" i="34"/>
  <c r="T71" i="40"/>
  <c r="T71" i="42"/>
  <c r="AZ73" i="34"/>
  <c r="BU90" i="1"/>
  <c r="BM207" i="1"/>
  <c r="AR187" i="34"/>
  <c r="F62" i="3"/>
  <c r="AQ193" i="34"/>
  <c r="BL216" i="1"/>
  <c r="CM71" i="1"/>
  <c r="AR58" i="34"/>
  <c r="BM75" i="1"/>
  <c r="R202" i="34"/>
  <c r="R110" i="1"/>
  <c r="R98" i="34" s="1"/>
  <c r="R239" i="1"/>
  <c r="R225" i="34" s="1"/>
  <c r="R106" i="1"/>
  <c r="R247" i="1"/>
  <c r="BY141" i="14"/>
  <c r="D59" i="3"/>
  <c r="D36" i="3"/>
  <c r="P202" i="34"/>
  <c r="P239" i="1"/>
  <c r="P225" i="34" s="1"/>
  <c r="P106" i="1"/>
  <c r="P110" i="1"/>
  <c r="P98" i="34" s="1"/>
  <c r="P247" i="1"/>
  <c r="AN1268" i="34"/>
  <c r="W110" i="1"/>
  <c r="W98" i="34" s="1"/>
  <c r="W239" i="1"/>
  <c r="W225" i="34" s="1"/>
  <c r="W247" i="1"/>
  <c r="W202" i="34"/>
  <c r="W106" i="1"/>
  <c r="AM1268" i="34"/>
  <c r="AV843" i="34"/>
  <c r="AW600" i="2"/>
  <c r="AV599" i="2"/>
  <c r="X94" i="34"/>
  <c r="X109" i="1"/>
  <c r="X97" i="34" s="1"/>
  <c r="X113" i="1"/>
  <c r="X101" i="34" s="1"/>
  <c r="X115" i="1"/>
  <c r="X105" i="1"/>
  <c r="BJ249" i="1"/>
  <c r="AO233" i="34"/>
  <c r="BJ115" i="1"/>
  <c r="BJ109" i="1"/>
  <c r="AO97" i="34" s="1"/>
  <c r="AO94" i="34"/>
  <c r="BJ113" i="1"/>
  <c r="AO101" i="34" s="1"/>
  <c r="BJ105" i="1"/>
  <c r="BO216" i="1"/>
  <c r="AT193" i="34"/>
  <c r="AT847" i="34"/>
  <c r="AT606" i="2"/>
  <c r="AT849" i="34" s="1"/>
  <c r="AT605" i="2"/>
  <c r="AT848" i="34" s="1"/>
  <c r="AT639" i="2"/>
  <c r="X5" i="2"/>
  <c r="Y6" i="2"/>
  <c r="AW378" i="34"/>
  <c r="BQ885" i="34"/>
  <c r="U216" i="1"/>
  <c r="U193" i="34"/>
  <c r="AR645" i="2"/>
  <c r="AR891" i="34"/>
  <c r="AR646" i="2"/>
  <c r="AR893" i="34" s="1"/>
  <c r="AP62" i="34"/>
  <c r="AB106" i="1"/>
  <c r="AB202" i="34"/>
  <c r="AB247" i="1"/>
  <c r="AB110" i="1"/>
  <c r="AB98" i="34" s="1"/>
  <c r="AB239" i="1"/>
  <c r="AB225" i="34" s="1"/>
  <c r="BI106" i="1"/>
  <c r="BI110" i="1"/>
  <c r="AN98" i="34" s="1"/>
  <c r="BI247" i="1"/>
  <c r="BI239" i="1"/>
  <c r="AN202" i="34"/>
  <c r="AD249" i="1"/>
  <c r="AD233" i="34"/>
  <c r="AD94" i="34"/>
  <c r="AD115" i="1"/>
  <c r="AD109" i="1"/>
  <c r="AD97" i="34" s="1"/>
  <c r="AD113" i="1"/>
  <c r="AD101" i="34" s="1"/>
  <c r="AH107" i="1"/>
  <c r="AH95" i="34" s="1"/>
  <c r="AD105" i="1"/>
  <c r="C54" i="3"/>
  <c r="C31" i="3"/>
  <c r="BN216" i="1"/>
  <c r="AS193" i="34"/>
  <c r="AX161" i="2"/>
  <c r="AX159" i="2"/>
  <c r="AY157" i="2"/>
  <c r="AX160" i="2"/>
  <c r="T247" i="1"/>
  <c r="T106" i="1"/>
  <c r="T110" i="1"/>
  <c r="T98" i="34" s="1"/>
  <c r="T239" i="1"/>
  <c r="T225" i="34" s="1"/>
  <c r="T202" i="34"/>
  <c r="P70" i="4"/>
  <c r="P71" i="4" s="1"/>
  <c r="F59" i="3"/>
  <c r="F36" i="3"/>
  <c r="AK1268" i="34"/>
  <c r="P70" i="40"/>
  <c r="P71" i="40" s="1"/>
  <c r="W6" i="1"/>
  <c r="BQ891" i="34"/>
  <c r="BQ645" i="2"/>
  <c r="AW382" i="34"/>
  <c r="BQ646" i="2"/>
  <c r="BQ893" i="34" s="1"/>
  <c r="E54" i="3"/>
  <c r="E31" i="3"/>
  <c r="AE247" i="1"/>
  <c r="AE110" i="1"/>
  <c r="AE98" i="34" s="1"/>
  <c r="AE202" i="34"/>
  <c r="AE239" i="1"/>
  <c r="AE225" i="34" s="1"/>
  <c r="AE106" i="1"/>
  <c r="O110" i="1"/>
  <c r="O98" i="34" s="1"/>
  <c r="O247" i="1"/>
  <c r="O202" i="34"/>
  <c r="O106" i="1"/>
  <c r="O239" i="1"/>
  <c r="C59" i="3"/>
  <c r="C36" i="3"/>
  <c r="F30" i="3"/>
  <c r="AV62" i="34"/>
  <c r="AY429" i="2" l="1"/>
  <c r="AZ86" i="2"/>
  <c r="AZ77" i="2"/>
  <c r="AZ78" i="2" s="1"/>
  <c r="BS83" i="2"/>
  <c r="BS86" i="2" s="1"/>
  <c r="AY430" i="2"/>
  <c r="BA83" i="2"/>
  <c r="BA76" i="2" s="1"/>
  <c r="AZ87" i="2"/>
  <c r="AZ427" i="2"/>
  <c r="AZ428" i="2" s="1"/>
  <c r="AY79" i="2"/>
  <c r="AZ79" i="2"/>
  <c r="AY77" i="2"/>
  <c r="AY78" i="2" s="1"/>
  <c r="AZ81" i="2"/>
  <c r="AY81" i="2"/>
  <c r="BR13" i="2"/>
  <c r="BW228" i="2"/>
  <c r="BW231" i="2" s="1"/>
  <c r="BV231" i="2"/>
  <c r="BV233" i="2"/>
  <c r="BV223" i="2" s="1"/>
  <c r="BC243" i="2"/>
  <c r="BC74" i="2" s="1"/>
  <c r="AU211" i="1"/>
  <c r="BS211" i="1" s="1"/>
  <c r="AX197" i="34" s="1"/>
  <c r="AQ387" i="2"/>
  <c r="AR389" i="2" s="1"/>
  <c r="AQ569" i="2"/>
  <c r="AQ571" i="2" s="1"/>
  <c r="AQ810" i="34" s="1"/>
  <c r="AQ422" i="2"/>
  <c r="AQ164" i="2"/>
  <c r="AQ165" i="2" s="1"/>
  <c r="BC245" i="2"/>
  <c r="AQ394" i="2"/>
  <c r="AQ393" i="2"/>
  <c r="BC62" i="14"/>
  <c r="AP205" i="2"/>
  <c r="AP207" i="2" s="1"/>
  <c r="AQ199" i="2"/>
  <c r="AQ205" i="2" s="1"/>
  <c r="BC246" i="2"/>
  <c r="BC244" i="2"/>
  <c r="BD246" i="2"/>
  <c r="G46" i="3"/>
  <c r="AU385" i="2"/>
  <c r="AV385" i="2" s="1"/>
  <c r="AV1009" i="34" s="1"/>
  <c r="E36" i="3"/>
  <c r="C33" i="3"/>
  <c r="AC6" i="14"/>
  <c r="AB5" i="14"/>
  <c r="BA246" i="2"/>
  <c r="T19" i="4"/>
  <c r="T1298" i="34" s="1"/>
  <c r="AW857" i="34"/>
  <c r="AW618" i="2"/>
  <c r="AX359" i="34"/>
  <c r="BR858" i="34"/>
  <c r="AV620" i="2"/>
  <c r="AV864" i="34" s="1"/>
  <c r="AV862" i="34"/>
  <c r="AV619" i="2"/>
  <c r="AV863" i="34" s="1"/>
  <c r="BR618" i="2"/>
  <c r="BA245" i="2"/>
  <c r="BA243" i="2"/>
  <c r="BA74" i="2" s="1"/>
  <c r="BA62" i="14"/>
  <c r="BA220" i="2"/>
  <c r="BB246" i="2"/>
  <c r="BB244" i="2"/>
  <c r="AX613" i="2"/>
  <c r="AY614" i="2"/>
  <c r="AX858" i="34"/>
  <c r="AX341" i="34"/>
  <c r="BR795" i="34"/>
  <c r="AY792" i="34"/>
  <c r="AZ555" i="2"/>
  <c r="AS1006" i="34"/>
  <c r="BS794" i="34"/>
  <c r="AY340" i="34"/>
  <c r="BS558" i="2"/>
  <c r="BQ382" i="2"/>
  <c r="CE382" i="2" s="1"/>
  <c r="AZ338" i="34"/>
  <c r="BU555" i="2"/>
  <c r="BT792" i="34"/>
  <c r="BT557" i="2"/>
  <c r="Y27" i="40"/>
  <c r="Y5" i="40"/>
  <c r="Z8" i="40"/>
  <c r="X8" i="4"/>
  <c r="W26" i="4"/>
  <c r="W1305" i="34" s="1"/>
  <c r="W5" i="4"/>
  <c r="AA8" i="42"/>
  <c r="Z27" i="42"/>
  <c r="Z5" i="42"/>
  <c r="BR106" i="14"/>
  <c r="BR107" i="14" s="1"/>
  <c r="BR98" i="14" s="1"/>
  <c r="BR97" i="14" s="1"/>
  <c r="Y6" i="34"/>
  <c r="AT382" i="2"/>
  <c r="AT1006" i="34" s="1"/>
  <c r="AV1279" i="34"/>
  <c r="AV90" i="1"/>
  <c r="AU1277" i="34"/>
  <c r="AU83" i="1"/>
  <c r="BD62" i="14"/>
  <c r="BD243" i="2"/>
  <c r="BD74" i="2" s="1"/>
  <c r="BD220" i="2"/>
  <c r="BD244" i="2"/>
  <c r="BD245" i="2"/>
  <c r="BT242" i="2"/>
  <c r="BS220" i="2"/>
  <c r="BS62" i="14"/>
  <c r="BS243" i="2"/>
  <c r="BS74" i="2" s="1"/>
  <c r="BS247" i="2"/>
  <c r="BS225" i="2" s="1"/>
  <c r="BU247" i="2"/>
  <c r="BU224" i="2"/>
  <c r="AT84" i="14"/>
  <c r="AT83" i="14"/>
  <c r="AV79" i="14"/>
  <c r="AV80" i="14"/>
  <c r="AA123" i="1"/>
  <c r="AA111" i="34" s="1"/>
  <c r="AA93" i="34"/>
  <c r="AA121" i="1"/>
  <c r="AA109" i="34" s="1"/>
  <c r="AA103" i="34"/>
  <c r="AA253" i="1"/>
  <c r="AA239" i="34" s="1"/>
  <c r="AA252" i="1"/>
  <c r="AA238" i="34" s="1"/>
  <c r="AA235" i="34"/>
  <c r="BA229" i="14"/>
  <c r="AZ176" i="14"/>
  <c r="AZ177" i="14" s="1"/>
  <c r="AZ139" i="14"/>
  <c r="AZ140" i="14" s="1"/>
  <c r="AF235" i="34"/>
  <c r="AF253" i="1"/>
  <c r="AF239" i="34" s="1"/>
  <c r="AF252" i="1"/>
  <c r="AF238" i="34" s="1"/>
  <c r="AJ250" i="1"/>
  <c r="AJ236" i="34" s="1"/>
  <c r="AF103" i="34"/>
  <c r="AF121" i="1"/>
  <c r="AF109" i="34" s="1"/>
  <c r="AF93" i="34"/>
  <c r="AF123" i="1"/>
  <c r="AF111" i="34" s="1"/>
  <c r="AR1007" i="34"/>
  <c r="AS384" i="2"/>
  <c r="AS1008" i="34" s="1"/>
  <c r="AR1008" i="34"/>
  <c r="AO207" i="2"/>
  <c r="AO209" i="2"/>
  <c r="AO208" i="2"/>
  <c r="AO206" i="2"/>
  <c r="AP202" i="2"/>
  <c r="AP211" i="2"/>
  <c r="AP201" i="2"/>
  <c r="AP193" i="2"/>
  <c r="AP203" i="2"/>
  <c r="AO194" i="2"/>
  <c r="AO196" i="2"/>
  <c r="AN195" i="2"/>
  <c r="BP196" i="2"/>
  <c r="BP194" i="2"/>
  <c r="BR627" i="2"/>
  <c r="AV632" i="2"/>
  <c r="AV872" i="34"/>
  <c r="AW627" i="2"/>
  <c r="AW873" i="34"/>
  <c r="AX628" i="2"/>
  <c r="AU634" i="2"/>
  <c r="AU879" i="34" s="1"/>
  <c r="AU633" i="2"/>
  <c r="AU878" i="34" s="1"/>
  <c r="AU877" i="34"/>
  <c r="BW235" i="2"/>
  <c r="BW219" i="2" s="1"/>
  <c r="BV240" i="2"/>
  <c r="BV238" i="2"/>
  <c r="BS186" i="2"/>
  <c r="BS183" i="2"/>
  <c r="BS184" i="2" s="1"/>
  <c r="AZ174" i="2"/>
  <c r="BB182" i="2"/>
  <c r="BB189" i="2"/>
  <c r="BB190" i="2" s="1"/>
  <c r="BB91" i="2"/>
  <c r="BC96" i="2"/>
  <c r="BA93" i="2"/>
  <c r="BA169" i="2"/>
  <c r="BA94" i="2"/>
  <c r="BS92" i="2"/>
  <c r="BS169" i="2"/>
  <c r="BS93" i="2"/>
  <c r="BA187" i="2"/>
  <c r="BA186" i="2"/>
  <c r="BA183" i="2"/>
  <c r="BA184" i="2" s="1"/>
  <c r="BA185" i="2"/>
  <c r="BB101" i="2"/>
  <c r="BB100" i="2"/>
  <c r="BB97" i="2"/>
  <c r="BB98" i="2" s="1"/>
  <c r="BB99" i="2"/>
  <c r="AY175" i="2"/>
  <c r="AY176" i="2" s="1"/>
  <c r="AY178" i="2"/>
  <c r="AY179" i="2"/>
  <c r="AY177" i="2"/>
  <c r="AV532" i="34"/>
  <c r="BP1009" i="34"/>
  <c r="AV530" i="34"/>
  <c r="BP1007" i="34"/>
  <c r="AX474" i="34"/>
  <c r="BR949" i="34"/>
  <c r="BR354" i="2"/>
  <c r="AX479" i="34"/>
  <c r="BR956" i="34"/>
  <c r="BR353" i="2"/>
  <c r="BR350" i="2"/>
  <c r="BR320" i="2"/>
  <c r="BR352" i="2" s="1"/>
  <c r="AV346" i="2"/>
  <c r="AV953" i="34" s="1"/>
  <c r="AV321" i="2"/>
  <c r="AV934" i="34" s="1"/>
  <c r="AV933" i="34"/>
  <c r="AV362" i="2"/>
  <c r="AV969" i="34" s="1"/>
  <c r="AV480" i="2"/>
  <c r="AV324" i="2"/>
  <c r="AV937" i="34" s="1"/>
  <c r="AV338" i="2"/>
  <c r="AV945" i="34" s="1"/>
  <c r="AV323" i="2"/>
  <c r="AV936" i="34" s="1"/>
  <c r="AV322" i="2"/>
  <c r="AV935" i="34" s="1"/>
  <c r="AX493" i="34"/>
  <c r="BR970" i="34"/>
  <c r="AW320" i="2"/>
  <c r="AW326" i="2" s="1"/>
  <c r="AW956" i="34"/>
  <c r="AW354" i="2"/>
  <c r="AW961" i="34" s="1"/>
  <c r="AW351" i="2"/>
  <c r="AW958" i="34" s="1"/>
  <c r="AW355" i="2"/>
  <c r="AW962" i="34" s="1"/>
  <c r="AW353" i="2"/>
  <c r="AW960" i="34" s="1"/>
  <c r="AW350" i="2"/>
  <c r="AW957" i="34" s="1"/>
  <c r="AV326" i="2"/>
  <c r="AX473" i="34"/>
  <c r="BR951" i="34"/>
  <c r="AX345" i="2"/>
  <c r="AX952" i="34" s="1"/>
  <c r="AX342" i="2"/>
  <c r="AX949" i="34" s="1"/>
  <c r="AX344" i="2"/>
  <c r="AX951" i="34" s="1"/>
  <c r="AX948" i="34"/>
  <c r="AX349" i="2"/>
  <c r="AX363" i="2"/>
  <c r="AX970" i="34" s="1"/>
  <c r="AY341" i="2"/>
  <c r="AU484" i="2"/>
  <c r="AU481" i="2"/>
  <c r="AU483" i="2"/>
  <c r="AU482" i="2"/>
  <c r="AH552" i="34"/>
  <c r="AH1029" i="34"/>
  <c r="AH553" i="34"/>
  <c r="AH1030" i="34"/>
  <c r="AH900" i="34"/>
  <c r="AH389" i="34"/>
  <c r="AH654" i="2"/>
  <c r="AH657" i="2"/>
  <c r="AH904" i="34" s="1"/>
  <c r="AH660" i="2"/>
  <c r="AH907" i="34" s="1"/>
  <c r="AV382" i="2"/>
  <c r="AI1115" i="34"/>
  <c r="AI405" i="34"/>
  <c r="AH411" i="34"/>
  <c r="AH1121" i="34"/>
  <c r="AT390" i="34"/>
  <c r="BN901" i="34"/>
  <c r="AI405" i="2"/>
  <c r="AI404" i="2"/>
  <c r="AI550" i="34"/>
  <c r="AI403" i="2"/>
  <c r="AI1027" i="34"/>
  <c r="AK1036" i="34"/>
  <c r="AK408" i="2"/>
  <c r="AL411" i="2"/>
  <c r="AJ455" i="2"/>
  <c r="AJ1112" i="34"/>
  <c r="BO452" i="2"/>
  <c r="AK452" i="2"/>
  <c r="AJ459" i="2"/>
  <c r="AJ650" i="2"/>
  <c r="AJ653" i="2" s="1"/>
  <c r="AJ402" i="34"/>
  <c r="AJ456" i="2"/>
  <c r="AJ457" i="2"/>
  <c r="AH551" i="34"/>
  <c r="AH1028" i="34"/>
  <c r="AK1113" i="34"/>
  <c r="AL453" i="2"/>
  <c r="AH898" i="34"/>
  <c r="AH387" i="34"/>
  <c r="AF902" i="34"/>
  <c r="AF391" i="34"/>
  <c r="AI460" i="2"/>
  <c r="AI409" i="34"/>
  <c r="AI462" i="2"/>
  <c r="AI1119" i="34"/>
  <c r="AI461" i="2"/>
  <c r="AI657" i="2"/>
  <c r="AI904" i="34" s="1"/>
  <c r="AI654" i="2"/>
  <c r="AI660" i="2"/>
  <c r="AI907" i="34" s="1"/>
  <c r="AI900" i="34"/>
  <c r="AI389" i="34"/>
  <c r="AI1117" i="34"/>
  <c r="AI407" i="34"/>
  <c r="AG902" i="34"/>
  <c r="AG391" i="34"/>
  <c r="AW385" i="2"/>
  <c r="AI557" i="34"/>
  <c r="AI1034" i="34"/>
  <c r="AI1035" i="34"/>
  <c r="AI558" i="34"/>
  <c r="BO408" i="2"/>
  <c r="AJ410" i="2"/>
  <c r="AJ402" i="2"/>
  <c r="AJ556" i="34"/>
  <c r="AJ409" i="2"/>
  <c r="AJ1033" i="34"/>
  <c r="AI897" i="34"/>
  <c r="AI386" i="34"/>
  <c r="AI651" i="2"/>
  <c r="AI406" i="34"/>
  <c r="AI1116" i="34"/>
  <c r="AH1122" i="34"/>
  <c r="AH412" i="34"/>
  <c r="AH410" i="34"/>
  <c r="AH1120" i="34"/>
  <c r="AV540" i="34"/>
  <c r="BP1017" i="34"/>
  <c r="AQ450" i="2"/>
  <c r="AQ1110" i="34" s="1"/>
  <c r="AQ1106" i="34"/>
  <c r="AQ449" i="2"/>
  <c r="AQ1109" i="34" s="1"/>
  <c r="AP1016" i="34"/>
  <c r="AP394" i="2"/>
  <c r="AP1018" i="34" s="1"/>
  <c r="AP393" i="2"/>
  <c r="AP1017" i="34" s="1"/>
  <c r="BT126" i="2"/>
  <c r="BT127" i="2"/>
  <c r="BU127" i="2" s="1"/>
  <c r="BW492" i="2"/>
  <c r="BW729" i="34" s="1"/>
  <c r="BW728" i="34"/>
  <c r="BY490" i="2"/>
  <c r="BX727" i="34"/>
  <c r="BX534" i="2"/>
  <c r="BX780" i="34" s="1"/>
  <c r="BX491" i="2"/>
  <c r="BB357" i="2"/>
  <c r="BB964" i="34" s="1"/>
  <c r="BA361" i="2"/>
  <c r="BA968" i="34" s="1"/>
  <c r="BA360" i="2"/>
  <c r="BA967" i="34" s="1"/>
  <c r="CG357" i="2"/>
  <c r="BS964" i="34"/>
  <c r="BS359" i="2"/>
  <c r="AY487" i="34"/>
  <c r="BS360" i="2"/>
  <c r="AZ1041" i="34"/>
  <c r="AZ420" i="2"/>
  <c r="AZ1045" i="34" s="1"/>
  <c r="AZ419" i="2"/>
  <c r="AZ1044" i="34" s="1"/>
  <c r="BA416" i="2"/>
  <c r="BA1041" i="34" s="1"/>
  <c r="BS416" i="2"/>
  <c r="BA88" i="2"/>
  <c r="BA89" i="2" s="1"/>
  <c r="AZ88" i="2"/>
  <c r="AZ89" i="2" s="1"/>
  <c r="AW440" i="34"/>
  <c r="BQ919" i="34"/>
  <c r="AU315" i="2"/>
  <c r="AU928" i="34" s="1"/>
  <c r="AU305" i="2"/>
  <c r="AU925" i="34"/>
  <c r="AU313" i="2"/>
  <c r="AU926" i="34" s="1"/>
  <c r="AU314" i="2"/>
  <c r="AU927" i="34" s="1"/>
  <c r="AW645" i="34"/>
  <c r="BQ177" i="14"/>
  <c r="AV783" i="34"/>
  <c r="AV540" i="2"/>
  <c r="AV786" i="34" s="1"/>
  <c r="AV538" i="2"/>
  <c r="AV542" i="2"/>
  <c r="AV788" i="34" s="1"/>
  <c r="AV541" i="2"/>
  <c r="AV787" i="34" s="1"/>
  <c r="AZ511" i="2"/>
  <c r="AY506" i="2"/>
  <c r="AX579" i="2"/>
  <c r="AX818" i="34" s="1"/>
  <c r="AX532" i="2"/>
  <c r="AX742" i="34"/>
  <c r="AX508" i="2"/>
  <c r="AX744" i="34" s="1"/>
  <c r="AX509" i="2"/>
  <c r="AX745" i="34" s="1"/>
  <c r="AV929" i="34"/>
  <c r="AW316" i="2"/>
  <c r="AV312" i="2"/>
  <c r="BR312" i="2" s="1"/>
  <c r="AU232" i="14"/>
  <c r="AU233" i="14"/>
  <c r="AU234" i="14"/>
  <c r="AU195" i="14"/>
  <c r="BR778" i="34"/>
  <c r="BR537" i="2"/>
  <c r="BR228" i="14"/>
  <c r="AW541" i="2"/>
  <c r="AW787" i="34" s="1"/>
  <c r="AW783" i="34"/>
  <c r="AW540" i="2"/>
  <c r="AW786" i="34" s="1"/>
  <c r="AW538" i="2"/>
  <c r="AW542" i="2"/>
  <c r="AW788" i="34" s="1"/>
  <c r="AV231" i="14"/>
  <c r="AV228" i="14"/>
  <c r="AU784" i="34"/>
  <c r="AU539" i="2"/>
  <c r="AU785" i="34" s="1"/>
  <c r="AW441" i="34"/>
  <c r="BQ920" i="34"/>
  <c r="AW106" i="14"/>
  <c r="AY545" i="2"/>
  <c r="AW778" i="34"/>
  <c r="AY552" i="2"/>
  <c r="AY553" i="2" s="1"/>
  <c r="AW227" i="14"/>
  <c r="BQ133" i="14"/>
  <c r="AX513" i="2"/>
  <c r="AX749" i="34" s="1"/>
  <c r="AX748" i="34"/>
  <c r="AT306" i="2"/>
  <c r="AT919" i="34" s="1"/>
  <c r="AT918" i="34"/>
  <c r="AT308" i="2"/>
  <c r="AT921" i="34" s="1"/>
  <c r="AT307" i="2"/>
  <c r="AT920" i="34" s="1"/>
  <c r="AT309" i="2"/>
  <c r="AT922" i="34" s="1"/>
  <c r="AX546" i="2"/>
  <c r="AX547" i="2" s="1"/>
  <c r="AX550" i="2"/>
  <c r="AX549" i="2"/>
  <c r="AX548" i="2"/>
  <c r="AW443" i="34"/>
  <c r="BQ922" i="34"/>
  <c r="AY515" i="2"/>
  <c r="AY751" i="34" s="1"/>
  <c r="AY514" i="2"/>
  <c r="AY750" i="34" s="1"/>
  <c r="AY512" i="2"/>
  <c r="AY516" i="2"/>
  <c r="AY752" i="34" s="1"/>
  <c r="AY747" i="34"/>
  <c r="BR998" i="34"/>
  <c r="AX521" i="34"/>
  <c r="BR500" i="2"/>
  <c r="BR736" i="34"/>
  <c r="AZ518" i="2"/>
  <c r="AZ498" i="2" s="1"/>
  <c r="AZ735" i="34" s="1"/>
  <c r="AY754" i="34"/>
  <c r="AY522" i="2"/>
  <c r="AY758" i="34" s="1"/>
  <c r="AY521" i="2"/>
  <c r="AY757" i="34" s="1"/>
  <c r="AY520" i="2"/>
  <c r="AY756" i="34" s="1"/>
  <c r="AY523" i="2"/>
  <c r="BA85" i="2"/>
  <c r="BA87" i="2"/>
  <c r="BB83" i="2"/>
  <c r="BB76" i="2" s="1"/>
  <c r="BA86" i="2"/>
  <c r="BA427" i="2"/>
  <c r="BA333" i="2"/>
  <c r="BA940" i="34" s="1"/>
  <c r="AZ336" i="2"/>
  <c r="AZ943" i="34" s="1"/>
  <c r="AZ337" i="2"/>
  <c r="AZ944" i="34" s="1"/>
  <c r="AZ334" i="2"/>
  <c r="AZ941" i="34" s="1"/>
  <c r="AZ940" i="34"/>
  <c r="BS333" i="2"/>
  <c r="AX520" i="34"/>
  <c r="BR997" i="34"/>
  <c r="AW736" i="34"/>
  <c r="AW500" i="2"/>
  <c r="AW398" i="2"/>
  <c r="AW1022" i="34" s="1"/>
  <c r="AW1020" i="34"/>
  <c r="AW397" i="2"/>
  <c r="AW1021" i="34" s="1"/>
  <c r="AZ429" i="2"/>
  <c r="BR771" i="34"/>
  <c r="BR529" i="2"/>
  <c r="BR773" i="34" s="1"/>
  <c r="BR528" i="2"/>
  <c r="BR772" i="34" s="1"/>
  <c r="AY371" i="2"/>
  <c r="AX375" i="2"/>
  <c r="AX999" i="34" s="1"/>
  <c r="AX374" i="2"/>
  <c r="AX998" i="34" s="1"/>
  <c r="AX995" i="34"/>
  <c r="AX396" i="2"/>
  <c r="AX759" i="34"/>
  <c r="AX524" i="2"/>
  <c r="AX760" i="34" s="1"/>
  <c r="AY996" i="34"/>
  <c r="AZ372" i="2"/>
  <c r="AY373" i="2"/>
  <c r="AY997" i="34" s="1"/>
  <c r="AX736" i="34"/>
  <c r="AX500" i="2"/>
  <c r="BR397" i="2"/>
  <c r="CF396" i="2"/>
  <c r="BR1020" i="34"/>
  <c r="AX543" i="34"/>
  <c r="AY502" i="2"/>
  <c r="AY738" i="34" s="1"/>
  <c r="AY503" i="2"/>
  <c r="AY739" i="34" s="1"/>
  <c r="AY499" i="2"/>
  <c r="AY501" i="2"/>
  <c r="AY737" i="34" s="1"/>
  <c r="BS76" i="2"/>
  <c r="AR1014" i="34"/>
  <c r="AV571" i="34"/>
  <c r="BP1048" i="34"/>
  <c r="AO558" i="2"/>
  <c r="AO795" i="34" s="1"/>
  <c r="AO796" i="34"/>
  <c r="AQ556" i="2"/>
  <c r="AQ565" i="2"/>
  <c r="AQ804" i="34" s="1"/>
  <c r="AR562" i="2"/>
  <c r="AQ801" i="34"/>
  <c r="AQ564" i="2"/>
  <c r="AQ803" i="34" s="1"/>
  <c r="AQ236" i="14"/>
  <c r="AQ566" i="2"/>
  <c r="AQ805" i="34" s="1"/>
  <c r="AQ575" i="2"/>
  <c r="AP808" i="34"/>
  <c r="AP570" i="2"/>
  <c r="AP809" i="34" s="1"/>
  <c r="AP572" i="2"/>
  <c r="AP811" i="34" s="1"/>
  <c r="AP571" i="2"/>
  <c r="AP810" i="34" s="1"/>
  <c r="AP573" i="2"/>
  <c r="AP812" i="34" s="1"/>
  <c r="BV42" i="2"/>
  <c r="BV704" i="34" s="1"/>
  <c r="BX13" i="1"/>
  <c r="BW146" i="2"/>
  <c r="BX144" i="2"/>
  <c r="BW56" i="14"/>
  <c r="BW983" i="34"/>
  <c r="BR220" i="1"/>
  <c r="AQ37" i="1"/>
  <c r="AN380" i="2"/>
  <c r="AN1004" i="34" s="1"/>
  <c r="AN1001" i="34"/>
  <c r="BP377" i="2"/>
  <c r="AN378" i="2"/>
  <c r="AN1002" i="34" s="1"/>
  <c r="AN379" i="2"/>
  <c r="AN1003" i="34" s="1"/>
  <c r="AQ1014" i="34"/>
  <c r="AS390" i="2"/>
  <c r="AT390" i="2" s="1"/>
  <c r="AQ808" i="34"/>
  <c r="AP576" i="2"/>
  <c r="AP814" i="34"/>
  <c r="AU527" i="34"/>
  <c r="BO1004" i="34"/>
  <c r="BR248" i="1"/>
  <c r="U17" i="4"/>
  <c r="U1296" i="34" s="1"/>
  <c r="BR262" i="1"/>
  <c r="AW246" i="34"/>
  <c r="BR104" i="1"/>
  <c r="AW92" i="34" s="1"/>
  <c r="AW244" i="34"/>
  <c r="BR261" i="1"/>
  <c r="AW247" i="34" s="1"/>
  <c r="AO388" i="2"/>
  <c r="AO1012" i="34" s="1"/>
  <c r="AO1011" i="34"/>
  <c r="AO377" i="2"/>
  <c r="AO389" i="2"/>
  <c r="AO1013" i="34" s="1"/>
  <c r="BP1050" i="34"/>
  <c r="AV573" i="34"/>
  <c r="AO815" i="34"/>
  <c r="AO577" i="2"/>
  <c r="AO816" i="34" s="1"/>
  <c r="AP238" i="14"/>
  <c r="AP237" i="14"/>
  <c r="AP987" i="34"/>
  <c r="AP165" i="2"/>
  <c r="AP988" i="34" s="1"/>
  <c r="BR168" i="1"/>
  <c r="BR214" i="1"/>
  <c r="AW200" i="34" s="1"/>
  <c r="AQ248" i="1"/>
  <c r="AM1001" i="34"/>
  <c r="AM378" i="2"/>
  <c r="AM1002" i="34" s="1"/>
  <c r="AM379" i="2"/>
  <c r="AM1003" i="34" s="1"/>
  <c r="AM380" i="2"/>
  <c r="AM1004" i="34" s="1"/>
  <c r="AP388" i="2"/>
  <c r="AP1012" i="34" s="1"/>
  <c r="AP1011" i="34"/>
  <c r="AP389" i="2"/>
  <c r="AP1013" i="34" s="1"/>
  <c r="AP377" i="2"/>
  <c r="AP793" i="34"/>
  <c r="AP559" i="2"/>
  <c r="AP557" i="2"/>
  <c r="AP794" i="34" s="1"/>
  <c r="AP425" i="2"/>
  <c r="AP1050" i="34" s="1"/>
  <c r="AP423" i="2"/>
  <c r="AP1048" i="34" s="1"/>
  <c r="AP424" i="2"/>
  <c r="AP1049" i="34" s="1"/>
  <c r="AP1047" i="34"/>
  <c r="BV49" i="14"/>
  <c r="BV50" i="14"/>
  <c r="AU525" i="34"/>
  <c r="BO1002" i="34"/>
  <c r="AT168" i="1"/>
  <c r="AT214" i="1" s="1"/>
  <c r="AV534" i="34"/>
  <c r="BP390" i="2"/>
  <c r="BP388" i="2"/>
  <c r="CD387" i="2"/>
  <c r="BP1011" i="34"/>
  <c r="AS214" i="1"/>
  <c r="AV20" i="2"/>
  <c r="AV19" i="2"/>
  <c r="AV702" i="34"/>
  <c r="AV41" i="2"/>
  <c r="AV703" i="34" s="1"/>
  <c r="AT1077" i="34"/>
  <c r="AT271" i="2"/>
  <c r="AT1078" i="34" s="1"/>
  <c r="AY37" i="2"/>
  <c r="AY38" i="2"/>
  <c r="AT224" i="14"/>
  <c r="AT28" i="1"/>
  <c r="BR166" i="1"/>
  <c r="AT87" i="14"/>
  <c r="AT88" i="14"/>
  <c r="AT90" i="14"/>
  <c r="AT89" i="14"/>
  <c r="AV266" i="2"/>
  <c r="AV1073" i="34" s="1"/>
  <c r="AV268" i="2"/>
  <c r="AV1075" i="34" s="1"/>
  <c r="AV1066" i="34"/>
  <c r="AV292" i="2"/>
  <c r="AV1099" i="34" s="1"/>
  <c r="AV269" i="2"/>
  <c r="AV1076" i="34" s="1"/>
  <c r="AV281" i="2"/>
  <c r="AV1088" i="34" s="1"/>
  <c r="AV267" i="2"/>
  <c r="AV1074" i="34" s="1"/>
  <c r="AV259" i="2"/>
  <c r="AV265" i="2"/>
  <c r="AS166" i="1"/>
  <c r="AS1221" i="34"/>
  <c r="AS29" i="1"/>
  <c r="AS30" i="1" s="1"/>
  <c r="AX142" i="34"/>
  <c r="BS187" i="1"/>
  <c r="AX176" i="34" s="1"/>
  <c r="AT250" i="14"/>
  <c r="AT251" i="14"/>
  <c r="BR494" i="2"/>
  <c r="CF12" i="2"/>
  <c r="BR10" i="14"/>
  <c r="BR74" i="14" s="1"/>
  <c r="BR79" i="14" s="1"/>
  <c r="BR698" i="34"/>
  <c r="AX275" i="34"/>
  <c r="BR476" i="2"/>
  <c r="AX421" i="34" s="1"/>
  <c r="BR71" i="2"/>
  <c r="BR15" i="2"/>
  <c r="AV49" i="2"/>
  <c r="AV717" i="34"/>
  <c r="AV59" i="2"/>
  <c r="AV719" i="34" s="1"/>
  <c r="AV58" i="2"/>
  <c r="AV718" i="34" s="1"/>
  <c r="AV62" i="2"/>
  <c r="AV722" i="34" s="1"/>
  <c r="AV61" i="2"/>
  <c r="AV721" i="34" s="1"/>
  <c r="AS1225" i="34"/>
  <c r="AS85" i="14"/>
  <c r="AZ140" i="2"/>
  <c r="AZ34" i="2"/>
  <c r="AZ139" i="2"/>
  <c r="AZ26" i="1"/>
  <c r="BT26" i="1" s="1"/>
  <c r="AY17" i="34" s="1"/>
  <c r="AZ138" i="2"/>
  <c r="BA136" i="2"/>
  <c r="BS136" i="2"/>
  <c r="AD30" i="35"/>
  <c r="AC38" i="35" s="1"/>
  <c r="AD22" i="35"/>
  <c r="V46" i="35" s="1"/>
  <c r="V12" i="4"/>
  <c r="V12" i="40" s="1"/>
  <c r="V1290" i="34"/>
  <c r="BR40" i="2"/>
  <c r="AU191" i="14"/>
  <c r="AU192" i="14"/>
  <c r="AV11" i="14"/>
  <c r="AV14" i="14"/>
  <c r="AV12" i="14"/>
  <c r="AY1219" i="34"/>
  <c r="AT32" i="1"/>
  <c r="AU52" i="2"/>
  <c r="AU712" i="34" s="1"/>
  <c r="AU709" i="34"/>
  <c r="AU53" i="2"/>
  <c r="AU713" i="34" s="1"/>
  <c r="AU50" i="2"/>
  <c r="AU710" i="34" s="1"/>
  <c r="AU54" i="2"/>
  <c r="AU714" i="34" s="1"/>
  <c r="AU51" i="2"/>
  <c r="AU711" i="34" s="1"/>
  <c r="BR57" i="2"/>
  <c r="BY294" i="2"/>
  <c r="BY22" i="2"/>
  <c r="BY23" i="2" s="1"/>
  <c r="BZ24" i="1"/>
  <c r="BY68" i="2"/>
  <c r="BY69" i="2" s="1"/>
  <c r="BY171" i="2"/>
  <c r="BX61" i="14"/>
  <c r="BX25" i="2"/>
  <c r="BX295" i="2"/>
  <c r="O241" i="1"/>
  <c r="O225" i="34"/>
  <c r="O109" i="1"/>
  <c r="O97" i="34" s="1"/>
  <c r="O94" i="34"/>
  <c r="O113" i="1"/>
  <c r="O101" i="34" s="1"/>
  <c r="O115" i="1"/>
  <c r="O105" i="1"/>
  <c r="AE94" i="34"/>
  <c r="AE115" i="1"/>
  <c r="AE109" i="1"/>
  <c r="AE97" i="34" s="1"/>
  <c r="AE113" i="1"/>
  <c r="AE101" i="34" s="1"/>
  <c r="AE107" i="1"/>
  <c r="AE95" i="34" s="1"/>
  <c r="AI107" i="1"/>
  <c r="AI95" i="34" s="1"/>
  <c r="AE105" i="1"/>
  <c r="AE249" i="1"/>
  <c r="AE233" i="34"/>
  <c r="T113" i="1"/>
  <c r="T101" i="34" s="1"/>
  <c r="T109" i="1"/>
  <c r="T97" i="34" s="1"/>
  <c r="T94" i="34"/>
  <c r="T115" i="1"/>
  <c r="T107" i="1"/>
  <c r="T95" i="34" s="1"/>
  <c r="T105" i="1"/>
  <c r="BI115" i="1"/>
  <c r="BI113" i="1"/>
  <c r="AN101" i="34" s="1"/>
  <c r="AN94" i="34"/>
  <c r="BI109" i="1"/>
  <c r="AN97" i="34" s="1"/>
  <c r="BI105" i="1"/>
  <c r="AB233" i="34"/>
  <c r="AB249" i="1"/>
  <c r="BO239" i="1"/>
  <c r="AT225" i="34" s="1"/>
  <c r="BO106" i="1"/>
  <c r="AT202" i="34"/>
  <c r="BO110" i="1"/>
  <c r="AT98" i="34" s="1"/>
  <c r="BO247" i="1"/>
  <c r="AV842" i="34"/>
  <c r="AV604" i="2"/>
  <c r="BR604" i="2" s="1"/>
  <c r="X252" i="1"/>
  <c r="X238" i="34" s="1"/>
  <c r="X235" i="34"/>
  <c r="X253" i="1"/>
  <c r="X239" i="34" s="1"/>
  <c r="BK247" i="1"/>
  <c r="AP202" i="34"/>
  <c r="BK110" i="1"/>
  <c r="AP98" i="34" s="1"/>
  <c r="BK106" i="1"/>
  <c r="BK239" i="1"/>
  <c r="AP225" i="34" s="1"/>
  <c r="B59" i="3"/>
  <c r="B36" i="3"/>
  <c r="Y115" i="1"/>
  <c r="Y109" i="1"/>
  <c r="Y97" i="34" s="1"/>
  <c r="Y113" i="1"/>
  <c r="Y101" i="34" s="1"/>
  <c r="Y94" i="34"/>
  <c r="Y105" i="1"/>
  <c r="S115" i="1"/>
  <c r="S107" i="1"/>
  <c r="S95" i="34" s="1"/>
  <c r="S109" i="1"/>
  <c r="S97" i="34" s="1"/>
  <c r="S113" i="1"/>
  <c r="S101" i="34" s="1"/>
  <c r="S94" i="34"/>
  <c r="S105" i="1"/>
  <c r="Q233" i="34"/>
  <c r="Q249" i="1"/>
  <c r="V115" i="1"/>
  <c r="V94" i="34"/>
  <c r="V109" i="1"/>
  <c r="V97" i="34" s="1"/>
  <c r="V113" i="1"/>
  <c r="V101" i="34" s="1"/>
  <c r="V107" i="1"/>
  <c r="V95" i="34" s="1"/>
  <c r="V105" i="1"/>
  <c r="BR599" i="2"/>
  <c r="AC113" i="1"/>
  <c r="AC101" i="34" s="1"/>
  <c r="AC115" i="1"/>
  <c r="AC94" i="34"/>
  <c r="AC109" i="1"/>
  <c r="AC97" i="34" s="1"/>
  <c r="AC107" i="1"/>
  <c r="AC95" i="34" s="1"/>
  <c r="AG107" i="1"/>
  <c r="AG95" i="34" s="1"/>
  <c r="AC105" i="1"/>
  <c r="T233" i="34"/>
  <c r="T249" i="1"/>
  <c r="BI241" i="1"/>
  <c r="AN225" i="34"/>
  <c r="U202" i="34"/>
  <c r="U110" i="1"/>
  <c r="U98" i="34" s="1"/>
  <c r="U106" i="1"/>
  <c r="U247" i="1"/>
  <c r="U239" i="1"/>
  <c r="U225" i="34" s="1"/>
  <c r="AO235" i="34"/>
  <c r="BJ252" i="1"/>
  <c r="AO238" i="34" s="1"/>
  <c r="BJ253" i="1"/>
  <c r="AO239" i="34" s="1"/>
  <c r="X93" i="34"/>
  <c r="X123" i="1"/>
  <c r="X111" i="34" s="1"/>
  <c r="AX600" i="2"/>
  <c r="AW843" i="34"/>
  <c r="AW599" i="2"/>
  <c r="W113" i="1"/>
  <c r="W101" i="34" s="1"/>
  <c r="W115" i="1"/>
  <c r="W94" i="34"/>
  <c r="W109" i="1"/>
  <c r="W97" i="34" s="1"/>
  <c r="W107" i="1"/>
  <c r="W95" i="34" s="1"/>
  <c r="W105" i="1"/>
  <c r="AA107" i="1"/>
  <c r="AA95" i="34" s="1"/>
  <c r="P233" i="34"/>
  <c r="P249" i="1"/>
  <c r="AR193" i="34"/>
  <c r="BM216" i="1"/>
  <c r="Z107" i="1"/>
  <c r="Z95" i="34" s="1"/>
  <c r="Z115" i="1"/>
  <c r="Z94" i="34"/>
  <c r="Z109" i="1"/>
  <c r="Z97" i="34" s="1"/>
  <c r="Z113" i="1"/>
  <c r="Z101" i="34" s="1"/>
  <c r="Z105" i="1"/>
  <c r="Z233" i="34"/>
  <c r="Z249" i="1"/>
  <c r="AD250" i="1" s="1"/>
  <c r="AD236" i="34" s="1"/>
  <c r="O249" i="1"/>
  <c r="O233" i="34"/>
  <c r="AY160" i="2"/>
  <c r="AZ157" i="2"/>
  <c r="BS157" i="2" s="1"/>
  <c r="AY161" i="2"/>
  <c r="AY159" i="2"/>
  <c r="AD93" i="34"/>
  <c r="AD123" i="1"/>
  <c r="AD111" i="34" s="1"/>
  <c r="AD252" i="1"/>
  <c r="AD238" i="34" s="1"/>
  <c r="AD253" i="1"/>
  <c r="AD239" i="34" s="1"/>
  <c r="AD235" i="34"/>
  <c r="AH250" i="1"/>
  <c r="AH236" i="34" s="1"/>
  <c r="AN233" i="34"/>
  <c r="BI249" i="1"/>
  <c r="BJ250" i="1" s="1"/>
  <c r="AO236" i="34" s="1"/>
  <c r="AB115" i="1"/>
  <c r="AB94" i="34"/>
  <c r="AB113" i="1"/>
  <c r="AB101" i="34" s="1"/>
  <c r="AB109" i="1"/>
  <c r="AB97" i="34" s="1"/>
  <c r="AB107" i="1"/>
  <c r="AB95" i="34" s="1"/>
  <c r="AB105" i="1"/>
  <c r="AF107" i="1"/>
  <c r="AF95" i="34" s="1"/>
  <c r="AR892" i="34"/>
  <c r="AR647" i="2"/>
  <c r="AR894" i="34" s="1"/>
  <c r="Z6" i="2"/>
  <c r="Y5" i="2"/>
  <c r="AO93" i="34"/>
  <c r="BJ123" i="1"/>
  <c r="AO111" i="34" s="1"/>
  <c r="X121" i="1"/>
  <c r="X109" i="34" s="1"/>
  <c r="X103" i="34"/>
  <c r="X107" i="1"/>
  <c r="X95" i="34" s="1"/>
  <c r="R233" i="34"/>
  <c r="R249" i="1"/>
  <c r="AZ77" i="34"/>
  <c r="BV86" i="1"/>
  <c r="BV90" i="1" s="1"/>
  <c r="Y249" i="1"/>
  <c r="Y233" i="34"/>
  <c r="F54" i="3"/>
  <c r="F31" i="3"/>
  <c r="BQ892" i="34"/>
  <c r="AW383" i="34"/>
  <c r="X6" i="1"/>
  <c r="BN106" i="1"/>
  <c r="BN110" i="1"/>
  <c r="AS98" i="34" s="1"/>
  <c r="AS202" i="34"/>
  <c r="BN239" i="1"/>
  <c r="AS225" i="34" s="1"/>
  <c r="BN247" i="1"/>
  <c r="AD103" i="34"/>
  <c r="AD121" i="1"/>
  <c r="AD109" i="34" s="1"/>
  <c r="AT884" i="34"/>
  <c r="AT640" i="2"/>
  <c r="AT885" i="34" s="1"/>
  <c r="AT644" i="2"/>
  <c r="BJ107" i="1"/>
  <c r="AO95" i="34" s="1"/>
  <c r="BJ121" i="1"/>
  <c r="AO109" i="34" s="1"/>
  <c r="AO103" i="34"/>
  <c r="W233" i="34"/>
  <c r="W249" i="1"/>
  <c r="P113" i="1"/>
  <c r="P101" i="34" s="1"/>
  <c r="P94" i="34"/>
  <c r="P109" i="1"/>
  <c r="P97" i="34" s="1"/>
  <c r="P115" i="1"/>
  <c r="P105" i="1"/>
  <c r="R107" i="1"/>
  <c r="R95" i="34" s="1"/>
  <c r="R109" i="1"/>
  <c r="R97" i="34" s="1"/>
  <c r="R115" i="1"/>
  <c r="R94" i="34"/>
  <c r="R113" i="1"/>
  <c r="R101" i="34" s="1"/>
  <c r="R105" i="1"/>
  <c r="AR62" i="34"/>
  <c r="B30" i="3"/>
  <c r="CM75" i="1"/>
  <c r="BL106" i="1"/>
  <c r="BL247" i="1"/>
  <c r="AQ202" i="34"/>
  <c r="BL110" i="1"/>
  <c r="AQ98" i="34" s="1"/>
  <c r="BL239" i="1"/>
  <c r="AQ225" i="34" s="1"/>
  <c r="AZ176" i="1"/>
  <c r="AV93" i="34"/>
  <c r="BQ123" i="1"/>
  <c r="AV111" i="34" s="1"/>
  <c r="AS645" i="2"/>
  <c r="AS891" i="34"/>
  <c r="AS646" i="2"/>
  <c r="AS893" i="34" s="1"/>
  <c r="S233" i="34"/>
  <c r="S249" i="1"/>
  <c r="Q94" i="34"/>
  <c r="Q115" i="1"/>
  <c r="Q109" i="1"/>
  <c r="Q97" i="34" s="1"/>
  <c r="Q113" i="1"/>
  <c r="Q101" i="34" s="1"/>
  <c r="Q105" i="1"/>
  <c r="V249" i="1"/>
  <c r="V233" i="34"/>
  <c r="AU605" i="2"/>
  <c r="AU848" i="34" s="1"/>
  <c r="AU606" i="2"/>
  <c r="AU849" i="34" s="1"/>
  <c r="AU847" i="34"/>
  <c r="AU639" i="2"/>
  <c r="AC233" i="34"/>
  <c r="AC249" i="1"/>
  <c r="U17" i="40" l="1"/>
  <c r="U17" i="42"/>
  <c r="AR209" i="2"/>
  <c r="AR207" i="2"/>
  <c r="BS85" i="2"/>
  <c r="AZ430" i="2"/>
  <c r="BA81" i="2"/>
  <c r="BA79" i="2"/>
  <c r="BA80" i="2"/>
  <c r="BA77" i="2"/>
  <c r="BA78" i="2" s="1"/>
  <c r="BS174" i="2"/>
  <c r="BS178" i="2" s="1"/>
  <c r="BS227" i="14"/>
  <c r="BW218" i="2"/>
  <c r="BX228" i="2"/>
  <c r="BY228" i="2" s="1"/>
  <c r="BY218" i="2" s="1"/>
  <c r="BW233" i="2"/>
  <c r="BW223" i="2" s="1"/>
  <c r="AQ572" i="2"/>
  <c r="AQ811" i="34" s="1"/>
  <c r="AQ570" i="2"/>
  <c r="AQ809" i="34" s="1"/>
  <c r="AQ573" i="2"/>
  <c r="AQ812" i="34" s="1"/>
  <c r="AP209" i="2"/>
  <c r="AQ207" i="2"/>
  <c r="AQ209" i="2"/>
  <c r="AP208" i="2"/>
  <c r="AQ203" i="2"/>
  <c r="AQ202" i="2"/>
  <c r="AQ193" i="2"/>
  <c r="AQ201" i="2"/>
  <c r="AQ211" i="2"/>
  <c r="AP206" i="2"/>
  <c r="AQ424" i="2"/>
  <c r="AQ423" i="2"/>
  <c r="AQ425" i="2"/>
  <c r="AQ1050" i="34" s="1"/>
  <c r="AQ208" i="2"/>
  <c r="AQ206" i="2"/>
  <c r="AQ389" i="2"/>
  <c r="AQ388" i="2"/>
  <c r="AQ1012" i="34" s="1"/>
  <c r="AQ377" i="2"/>
  <c r="AR379" i="2" s="1"/>
  <c r="BR265" i="1"/>
  <c r="BR266" i="1" s="1"/>
  <c r="AW251" i="34" s="1"/>
  <c r="AU1009" i="34"/>
  <c r="AU382" i="2"/>
  <c r="AU383" i="2" s="1"/>
  <c r="AU1007" i="34" s="1"/>
  <c r="AW529" i="34"/>
  <c r="AC5" i="14"/>
  <c r="AD6" i="14"/>
  <c r="T24" i="4"/>
  <c r="T1303" i="34" s="1"/>
  <c r="BQ1006" i="34"/>
  <c r="T20" i="4"/>
  <c r="T1299" i="34" s="1"/>
  <c r="BQ383" i="2"/>
  <c r="BQ1007" i="34" s="1"/>
  <c r="AY858" i="34"/>
  <c r="AZ614" i="2"/>
  <c r="AY613" i="2"/>
  <c r="AW619" i="2"/>
  <c r="AW863" i="34" s="1"/>
  <c r="AW862" i="34"/>
  <c r="AW620" i="2"/>
  <c r="AW864" i="34" s="1"/>
  <c r="AX857" i="34"/>
  <c r="AX618" i="2"/>
  <c r="BR619" i="2"/>
  <c r="BR863" i="34" s="1"/>
  <c r="BR862" i="34"/>
  <c r="BR620" i="2"/>
  <c r="BR864" i="34" s="1"/>
  <c r="BT558" i="2"/>
  <c r="AZ340" i="34"/>
  <c r="BT794" i="34"/>
  <c r="AY341" i="34"/>
  <c r="BS795" i="34"/>
  <c r="BA555" i="2"/>
  <c r="BA792" i="34" s="1"/>
  <c r="AZ792" i="34"/>
  <c r="BQ385" i="2"/>
  <c r="AW532" i="34" s="1"/>
  <c r="AT384" i="2"/>
  <c r="AT1008" i="34" s="1"/>
  <c r="BV555" i="2"/>
  <c r="BU557" i="2"/>
  <c r="BU792" i="34"/>
  <c r="AT383" i="2"/>
  <c r="AT1007" i="34" s="1"/>
  <c r="Y8" i="4"/>
  <c r="X26" i="4"/>
  <c r="X1305" i="34" s="1"/>
  <c r="X5" i="4"/>
  <c r="Z6" i="34"/>
  <c r="AA5" i="42"/>
  <c r="AB8" i="42"/>
  <c r="AA27" i="42"/>
  <c r="Z5" i="40"/>
  <c r="Z27" i="40"/>
  <c r="AA8" i="40"/>
  <c r="D48" i="3"/>
  <c r="AW107" i="14"/>
  <c r="AU1276" i="34"/>
  <c r="B32" i="3"/>
  <c r="B56" i="3" s="1"/>
  <c r="AW86" i="1"/>
  <c r="AV1283" i="34"/>
  <c r="AV84" i="1"/>
  <c r="BW238" i="2"/>
  <c r="BX235" i="2"/>
  <c r="BX219" i="2" s="1"/>
  <c r="BW240" i="2"/>
  <c r="BW224" i="2" s="1"/>
  <c r="BT245" i="2"/>
  <c r="BT243" i="2"/>
  <c r="BT74" i="2" s="1"/>
  <c r="BT247" i="2"/>
  <c r="BT225" i="2" s="1"/>
  <c r="BT62" i="14"/>
  <c r="BT220" i="2"/>
  <c r="BV247" i="2"/>
  <c r="BV224" i="2"/>
  <c r="BU242" i="2"/>
  <c r="BU225" i="2"/>
  <c r="BA176" i="14"/>
  <c r="BA177" i="14" s="1"/>
  <c r="BB229" i="14"/>
  <c r="BA139" i="14"/>
  <c r="BA140" i="14" s="1"/>
  <c r="AO195" i="2"/>
  <c r="BP195" i="2"/>
  <c r="AP196" i="2"/>
  <c r="AP194" i="2"/>
  <c r="AW632" i="2"/>
  <c r="AW872" i="34"/>
  <c r="AX873" i="34"/>
  <c r="AY628" i="2"/>
  <c r="AX627" i="2"/>
  <c r="AV877" i="34"/>
  <c r="AV634" i="2"/>
  <c r="AV879" i="34" s="1"/>
  <c r="BR632" i="2"/>
  <c r="BR639" i="2" s="1"/>
  <c r="AV633" i="2"/>
  <c r="AV878" i="34" s="1"/>
  <c r="BR872" i="34"/>
  <c r="BR628" i="2"/>
  <c r="AX368" i="34"/>
  <c r="BB183" i="2"/>
  <c r="BB184" i="2" s="1"/>
  <c r="BB186" i="2"/>
  <c r="BB185" i="2"/>
  <c r="BB187" i="2"/>
  <c r="BC97" i="2"/>
  <c r="BC98" i="2" s="1"/>
  <c r="BC101" i="2"/>
  <c r="BC99" i="2"/>
  <c r="BC100" i="2"/>
  <c r="AZ179" i="2"/>
  <c r="AZ177" i="2"/>
  <c r="AZ178" i="2"/>
  <c r="AZ175" i="2"/>
  <c r="AZ176" i="2" s="1"/>
  <c r="BB93" i="2"/>
  <c r="BB94" i="2"/>
  <c r="BB169" i="2"/>
  <c r="BB174" i="2" s="1"/>
  <c r="BC91" i="2"/>
  <c r="BD96" i="2"/>
  <c r="BA174" i="2"/>
  <c r="BC182" i="2"/>
  <c r="BC189" i="2"/>
  <c r="AW352" i="2"/>
  <c r="AW959" i="34" s="1"/>
  <c r="AW329" i="2"/>
  <c r="AW330" i="2"/>
  <c r="AW327" i="2"/>
  <c r="AW328" i="2" s="1"/>
  <c r="AW331" i="2"/>
  <c r="BR959" i="34"/>
  <c r="AX482" i="34"/>
  <c r="AZ341" i="2"/>
  <c r="AY349" i="2"/>
  <c r="AY344" i="2"/>
  <c r="AY951" i="34" s="1"/>
  <c r="AY342" i="2"/>
  <c r="AY949" i="34" s="1"/>
  <c r="AY345" i="2"/>
  <c r="AY952" i="34" s="1"/>
  <c r="AY948" i="34"/>
  <c r="AY363" i="2"/>
  <c r="AY970" i="34" s="1"/>
  <c r="AX480" i="34"/>
  <c r="BR957" i="34"/>
  <c r="AX484" i="34"/>
  <c r="BR961" i="34"/>
  <c r="AV331" i="2"/>
  <c r="AV329" i="2"/>
  <c r="AV327" i="2"/>
  <c r="AV328" i="2" s="1"/>
  <c r="AV330" i="2"/>
  <c r="AW338" i="2"/>
  <c r="AW945" i="34" s="1"/>
  <c r="AW362" i="2"/>
  <c r="AW969" i="34" s="1"/>
  <c r="AW321" i="2"/>
  <c r="AW934" i="34" s="1"/>
  <c r="AW323" i="2"/>
  <c r="AW936" i="34" s="1"/>
  <c r="AW324" i="2"/>
  <c r="AW937" i="34" s="1"/>
  <c r="AW480" i="2"/>
  <c r="AW322" i="2"/>
  <c r="AW935" i="34" s="1"/>
  <c r="AW346" i="2"/>
  <c r="AW953" i="34" s="1"/>
  <c r="AW933" i="34"/>
  <c r="AV482" i="2"/>
  <c r="AV484" i="2"/>
  <c r="AV481" i="2"/>
  <c r="AV483" i="2"/>
  <c r="AX483" i="34"/>
  <c r="BR960" i="34"/>
  <c r="AX320" i="2"/>
  <c r="AX326" i="2" s="1"/>
  <c r="AX353" i="2"/>
  <c r="AX960" i="34" s="1"/>
  <c r="AX355" i="2"/>
  <c r="AX962" i="34" s="1"/>
  <c r="AX351" i="2"/>
  <c r="AX958" i="34" s="1"/>
  <c r="AX956" i="34"/>
  <c r="AX350" i="2"/>
  <c r="AX957" i="34" s="1"/>
  <c r="AX354" i="2"/>
  <c r="AX961" i="34" s="1"/>
  <c r="BR338" i="2"/>
  <c r="BR321" i="2"/>
  <c r="BR326" i="2"/>
  <c r="BR480" i="2"/>
  <c r="BR346" i="2"/>
  <c r="BR323" i="2"/>
  <c r="BR933" i="34"/>
  <c r="CF320" i="2"/>
  <c r="BR362" i="2"/>
  <c r="AX456" i="34"/>
  <c r="AV383" i="2"/>
  <c r="AV1007" i="34" s="1"/>
  <c r="AV1006" i="34"/>
  <c r="BR382" i="2"/>
  <c r="AI898" i="34"/>
  <c r="AI387" i="34"/>
  <c r="AJ557" i="34"/>
  <c r="AJ1034" i="34"/>
  <c r="BO409" i="2"/>
  <c r="BO411" i="2"/>
  <c r="BO1033" i="34"/>
  <c r="AU556" i="34"/>
  <c r="AI901" i="34"/>
  <c r="AI655" i="2"/>
  <c r="AI390" i="34"/>
  <c r="AI412" i="34"/>
  <c r="AI1122" i="34"/>
  <c r="AJ1116" i="34"/>
  <c r="AJ406" i="34"/>
  <c r="AK456" i="2"/>
  <c r="AK1116" i="34" s="1"/>
  <c r="AK1112" i="34"/>
  <c r="AK457" i="2"/>
  <c r="AK1117" i="34" s="1"/>
  <c r="AK650" i="2"/>
  <c r="AL452" i="2"/>
  <c r="AK459" i="2"/>
  <c r="AK455" i="2"/>
  <c r="AK1115" i="34" s="1"/>
  <c r="AL1036" i="34"/>
  <c r="AL408" i="2"/>
  <c r="AM411" i="2"/>
  <c r="BO1112" i="34"/>
  <c r="CC452" i="2"/>
  <c r="AU402" i="34"/>
  <c r="BO454" i="2"/>
  <c r="BO650" i="2"/>
  <c r="BO457" i="2"/>
  <c r="BO455" i="2"/>
  <c r="AI1029" i="34"/>
  <c r="AI552" i="34"/>
  <c r="AJ403" i="2"/>
  <c r="AJ550" i="34"/>
  <c r="BO402" i="2"/>
  <c r="AJ1027" i="34"/>
  <c r="AJ404" i="2"/>
  <c r="AJ405" i="2"/>
  <c r="AX385" i="2"/>
  <c r="AW382" i="2"/>
  <c r="AW1009" i="34"/>
  <c r="AI411" i="34"/>
  <c r="AI1121" i="34"/>
  <c r="AI410" i="34"/>
  <c r="AI1120" i="34"/>
  <c r="AJ897" i="34"/>
  <c r="AJ386" i="34"/>
  <c r="AJ651" i="2"/>
  <c r="AK653" i="2"/>
  <c r="AI553" i="34"/>
  <c r="AI1030" i="34"/>
  <c r="AK1033" i="34"/>
  <c r="AK410" i="2"/>
  <c r="AK1035" i="34" s="1"/>
  <c r="AK409" i="2"/>
  <c r="AK1034" i="34" s="1"/>
  <c r="AK402" i="2"/>
  <c r="AH901" i="34"/>
  <c r="AH655" i="2"/>
  <c r="AH390" i="34"/>
  <c r="AJ660" i="2"/>
  <c r="AJ907" i="34" s="1"/>
  <c r="AJ900" i="34"/>
  <c r="AJ654" i="2"/>
  <c r="AJ389" i="34"/>
  <c r="AJ657" i="2"/>
  <c r="AJ904" i="34" s="1"/>
  <c r="AJ558" i="34"/>
  <c r="AJ1035" i="34"/>
  <c r="AM453" i="2"/>
  <c r="AL1113" i="34"/>
  <c r="AJ1117" i="34"/>
  <c r="AJ407" i="34"/>
  <c r="AJ409" i="34"/>
  <c r="AJ460" i="2"/>
  <c r="AJ461" i="2"/>
  <c r="BO459" i="2"/>
  <c r="AJ1119" i="34"/>
  <c r="AJ462" i="2"/>
  <c r="AJ1115" i="34"/>
  <c r="AJ405" i="34"/>
  <c r="AI1028" i="34"/>
  <c r="AI551" i="34"/>
  <c r="AQ1017" i="34"/>
  <c r="AQ1018" i="34"/>
  <c r="AQ1016" i="34"/>
  <c r="BQ446" i="2"/>
  <c r="AR1110" i="34"/>
  <c r="AS446" i="2"/>
  <c r="AR1109" i="34"/>
  <c r="AR1106" i="34"/>
  <c r="BV127" i="2"/>
  <c r="BW127" i="2" s="1"/>
  <c r="BX127" i="2" s="1"/>
  <c r="BY127" i="2" s="1"/>
  <c r="BU124" i="2"/>
  <c r="BY491" i="2"/>
  <c r="BY534" i="2"/>
  <c r="BY780" i="34" s="1"/>
  <c r="BY727" i="34"/>
  <c r="BX728" i="34"/>
  <c r="BX492" i="2"/>
  <c r="BX729" i="34" s="1"/>
  <c r="BU245" i="14"/>
  <c r="AY489" i="34"/>
  <c r="BS966" i="34"/>
  <c r="AY490" i="34"/>
  <c r="BS967" i="34"/>
  <c r="BB360" i="2"/>
  <c r="BB967" i="34" s="1"/>
  <c r="BB361" i="2"/>
  <c r="BB968" i="34" s="1"/>
  <c r="BC357" i="2"/>
  <c r="BS419" i="2"/>
  <c r="BS417" i="2"/>
  <c r="AY564" i="34"/>
  <c r="BS88" i="2"/>
  <c r="BS89" i="2" s="1"/>
  <c r="BS418" i="2"/>
  <c r="BS1041" i="34"/>
  <c r="CG416" i="2"/>
  <c r="BA420" i="2"/>
  <c r="BA1045" i="34" s="1"/>
  <c r="BB416" i="2"/>
  <c r="BB1041" i="34" s="1"/>
  <c r="BA419" i="2"/>
  <c r="BA1044" i="34" s="1"/>
  <c r="AV234" i="14"/>
  <c r="AV195" i="14"/>
  <c r="AV233" i="14"/>
  <c r="AV232" i="14"/>
  <c r="BR231" i="14"/>
  <c r="BR783" i="34"/>
  <c r="BR538" i="2"/>
  <c r="BR541" i="2"/>
  <c r="BR787" i="34" s="1"/>
  <c r="AX316" i="2"/>
  <c r="AW312" i="2"/>
  <c r="AW929" i="34"/>
  <c r="AZ515" i="2"/>
  <c r="AZ751" i="34" s="1"/>
  <c r="AZ514" i="2"/>
  <c r="AZ750" i="34" s="1"/>
  <c r="AZ747" i="34"/>
  <c r="AZ512" i="2"/>
  <c r="AZ516" i="2"/>
  <c r="AZ752" i="34" s="1"/>
  <c r="AV784" i="34"/>
  <c r="AV539" i="2"/>
  <c r="AV785" i="34" s="1"/>
  <c r="AY546" i="2"/>
  <c r="AY547" i="2" s="1"/>
  <c r="AY549" i="2"/>
  <c r="AY548" i="2"/>
  <c r="AY550" i="2"/>
  <c r="AX537" i="2"/>
  <c r="AX106" i="14"/>
  <c r="AX107" i="14" s="1"/>
  <c r="AZ545" i="2"/>
  <c r="AX778" i="34"/>
  <c r="AX227" i="14"/>
  <c r="AZ552" i="2"/>
  <c r="AZ553" i="2" s="1"/>
  <c r="BR313" i="2"/>
  <c r="BR314" i="2"/>
  <c r="BR316" i="2"/>
  <c r="BR925" i="34"/>
  <c r="AX446" i="34"/>
  <c r="AU306" i="2"/>
  <c r="AU919" i="34" s="1"/>
  <c r="AU309" i="2"/>
  <c r="AU922" i="34" s="1"/>
  <c r="AU918" i="34"/>
  <c r="AU307" i="2"/>
  <c r="AU920" i="34" s="1"/>
  <c r="AU308" i="2"/>
  <c r="AU921" i="34" s="1"/>
  <c r="AW228" i="14"/>
  <c r="AW231" i="14"/>
  <c r="AW539" i="2"/>
  <c r="AW785" i="34" s="1"/>
  <c r="AW784" i="34"/>
  <c r="AY748" i="34"/>
  <c r="AY513" i="2"/>
  <c r="AY749" i="34" s="1"/>
  <c r="AV313" i="2"/>
  <c r="AV926" i="34" s="1"/>
  <c r="AV305" i="2"/>
  <c r="AV314" i="2"/>
  <c r="AV927" i="34" s="1"/>
  <c r="AV315" i="2"/>
  <c r="AV928" i="34" s="1"/>
  <c r="AV925" i="34"/>
  <c r="AY579" i="2"/>
  <c r="AY818" i="34" s="1"/>
  <c r="AZ506" i="2"/>
  <c r="AY508" i="2"/>
  <c r="AY744" i="34" s="1"/>
  <c r="AY509" i="2"/>
  <c r="AY745" i="34" s="1"/>
  <c r="AY742" i="34"/>
  <c r="AY532" i="2"/>
  <c r="BA511" i="2"/>
  <c r="BA747" i="34" s="1"/>
  <c r="BQ164" i="14"/>
  <c r="AZ499" i="2"/>
  <c r="AZ502" i="2"/>
  <c r="AZ738" i="34" s="1"/>
  <c r="AZ503" i="2"/>
  <c r="AZ739" i="34" s="1"/>
  <c r="AZ501" i="2"/>
  <c r="AZ737" i="34" s="1"/>
  <c r="BS77" i="2"/>
  <c r="BS78" i="2" s="1"/>
  <c r="BS80" i="2"/>
  <c r="AZ996" i="34"/>
  <c r="AZ373" i="2"/>
  <c r="AZ997" i="34" s="1"/>
  <c r="BA372" i="2"/>
  <c r="BA996" i="34" s="1"/>
  <c r="CG333" i="2"/>
  <c r="BS940" i="34"/>
  <c r="AY463" i="34"/>
  <c r="BS334" i="2"/>
  <c r="BS336" i="2"/>
  <c r="BA429" i="2"/>
  <c r="BA428" i="2"/>
  <c r="BA430" i="2"/>
  <c r="AY500" i="2"/>
  <c r="AY736" i="34"/>
  <c r="AY759" i="34"/>
  <c r="AY524" i="2"/>
  <c r="AY760" i="34" s="1"/>
  <c r="BR1021" i="34"/>
  <c r="AX544" i="34"/>
  <c r="BB333" i="2"/>
  <c r="BB940" i="34" s="1"/>
  <c r="BA337" i="2"/>
  <c r="BA944" i="34" s="1"/>
  <c r="BA334" i="2"/>
  <c r="BA941" i="34" s="1"/>
  <c r="BA336" i="2"/>
  <c r="BA943" i="34" s="1"/>
  <c r="BB85" i="2"/>
  <c r="BB427" i="2"/>
  <c r="BB87" i="2"/>
  <c r="BC83" i="2"/>
  <c r="BB86" i="2"/>
  <c r="AX1020" i="34"/>
  <c r="AX397" i="2"/>
  <c r="AX1021" i="34" s="1"/>
  <c r="AX398" i="2"/>
  <c r="AX1022" i="34" s="1"/>
  <c r="AY374" i="2"/>
  <c r="AY998" i="34" s="1"/>
  <c r="AY375" i="2"/>
  <c r="AY999" i="34" s="1"/>
  <c r="AZ371" i="2"/>
  <c r="AY995" i="34"/>
  <c r="AY396" i="2"/>
  <c r="BB81" i="2"/>
  <c r="BB79" i="2"/>
  <c r="BB80" i="2"/>
  <c r="BB77" i="2"/>
  <c r="BB78" i="2" s="1"/>
  <c r="AZ520" i="2"/>
  <c r="AZ756" i="34" s="1"/>
  <c r="BA518" i="2"/>
  <c r="AZ522" i="2"/>
  <c r="AZ758" i="34" s="1"/>
  <c r="AZ754" i="34"/>
  <c r="AZ521" i="2"/>
  <c r="AZ757" i="34" s="1"/>
  <c r="BS518" i="2"/>
  <c r="AZ523" i="2"/>
  <c r="AP796" i="34"/>
  <c r="AP558" i="2"/>
  <c r="AP795" i="34" s="1"/>
  <c r="AT261" i="1"/>
  <c r="AT220" i="1"/>
  <c r="AT104" i="1"/>
  <c r="AT262" i="1"/>
  <c r="AT265" i="1"/>
  <c r="BR191" i="1"/>
  <c r="AW180" i="34" s="1"/>
  <c r="AW157" i="34"/>
  <c r="AO379" i="2"/>
  <c r="AO1003" i="34" s="1"/>
  <c r="AO1001" i="34"/>
  <c r="AO380" i="2"/>
  <c r="AO1004" i="34" s="1"/>
  <c r="AO378" i="2"/>
  <c r="AO1002" i="34" s="1"/>
  <c r="AS261" i="1"/>
  <c r="AS265" i="1"/>
  <c r="AS104" i="1"/>
  <c r="AS220" i="1"/>
  <c r="AS262" i="1"/>
  <c r="AW234" i="34"/>
  <c r="CO248" i="1"/>
  <c r="AP577" i="2"/>
  <c r="AP816" i="34" s="1"/>
  <c r="AP815" i="34"/>
  <c r="AS387" i="2"/>
  <c r="AU390" i="2"/>
  <c r="AS1014" i="34"/>
  <c r="BX56" i="14"/>
  <c r="BY144" i="2"/>
  <c r="BX983" i="34"/>
  <c r="BY13" i="1"/>
  <c r="BX146" i="2"/>
  <c r="AQ237" i="14"/>
  <c r="AQ238" i="14"/>
  <c r="AR575" i="2"/>
  <c r="AS562" i="2"/>
  <c r="AS569" i="2" s="1"/>
  <c r="AR564" i="2"/>
  <c r="AR803" i="34" s="1"/>
  <c r="AR236" i="14"/>
  <c r="AR565" i="2"/>
  <c r="AR804" i="34" s="1"/>
  <c r="AR556" i="2"/>
  <c r="AR566" i="2"/>
  <c r="AR805" i="34" s="1"/>
  <c r="AR801" i="34"/>
  <c r="AP378" i="2"/>
  <c r="AP1002" i="34" s="1"/>
  <c r="AP380" i="2"/>
  <c r="AP1004" i="34" s="1"/>
  <c r="AP1001" i="34"/>
  <c r="AP379" i="2"/>
  <c r="AP1003" i="34" s="1"/>
  <c r="BR226" i="1"/>
  <c r="AW212" i="34" s="1"/>
  <c r="AW206" i="34"/>
  <c r="AQ987" i="34"/>
  <c r="AQ988" i="34"/>
  <c r="AQ1048" i="34"/>
  <c r="AQ1049" i="34"/>
  <c r="AQ1047" i="34"/>
  <c r="BP1012" i="34"/>
  <c r="AV535" i="34"/>
  <c r="AV168" i="1"/>
  <c r="AW248" i="34"/>
  <c r="AQ1013" i="34"/>
  <c r="AQ1011" i="34"/>
  <c r="BP378" i="2"/>
  <c r="BP1001" i="34"/>
  <c r="CD377" i="2"/>
  <c r="AV524" i="34"/>
  <c r="BR268" i="1"/>
  <c r="AW253" i="34" s="1"/>
  <c r="BW42" i="2"/>
  <c r="BW704" i="34" s="1"/>
  <c r="AQ576" i="2"/>
  <c r="AQ814" i="34"/>
  <c r="AT1014" i="34"/>
  <c r="AT387" i="2"/>
  <c r="BP380" i="2"/>
  <c r="BP1014" i="34"/>
  <c r="AV537" i="34"/>
  <c r="AW191" i="1"/>
  <c r="AU168" i="1"/>
  <c r="AU214" i="1" s="1"/>
  <c r="AR270" i="1"/>
  <c r="AR272" i="1" s="1"/>
  <c r="AR273" i="1" s="1"/>
  <c r="BW49" i="14"/>
  <c r="BW50" i="14"/>
  <c r="AR569" i="2"/>
  <c r="AQ559" i="2"/>
  <c r="AQ793" i="34"/>
  <c r="AQ557" i="2"/>
  <c r="AQ794" i="34" s="1"/>
  <c r="AR1011" i="34"/>
  <c r="AR1013" i="34"/>
  <c r="BQ387" i="2"/>
  <c r="AR1012" i="34"/>
  <c r="AT1225" i="34"/>
  <c r="BA34" i="2"/>
  <c r="BA138" i="2"/>
  <c r="BB136" i="2"/>
  <c r="BA26" i="1"/>
  <c r="BA1219" i="34" s="1"/>
  <c r="BA139" i="2"/>
  <c r="BA140" i="2"/>
  <c r="AZ37" i="2"/>
  <c r="AZ38" i="2"/>
  <c r="AX276" i="34"/>
  <c r="BR699" i="34"/>
  <c r="BR731" i="34"/>
  <c r="AX314" i="34"/>
  <c r="BS34" i="2"/>
  <c r="BS35" i="2" s="1"/>
  <c r="V11" i="42"/>
  <c r="V1291" i="34"/>
  <c r="V11" i="40"/>
  <c r="BR171" i="14"/>
  <c r="BR114" i="14"/>
  <c r="BR101" i="14" s="1"/>
  <c r="BR147" i="14"/>
  <c r="BR135" i="14" s="1"/>
  <c r="BR11" i="14"/>
  <c r="AX578" i="34" s="1"/>
  <c r="AX577" i="34"/>
  <c r="CE10" i="14"/>
  <c r="BR14" i="14"/>
  <c r="BR53" i="14"/>
  <c r="BR45" i="14" s="1"/>
  <c r="AS1222" i="34"/>
  <c r="AV1072" i="34"/>
  <c r="BR41" i="2"/>
  <c r="BR703" i="34" s="1"/>
  <c r="BR702" i="34"/>
  <c r="AZ1219" i="34"/>
  <c r="AV270" i="2"/>
  <c r="AV1077" i="34" s="1"/>
  <c r="AV291" i="2"/>
  <c r="AV1098" i="34" s="1"/>
  <c r="AV280" i="2"/>
  <c r="AV1087" i="34" s="1"/>
  <c r="AV1065" i="34"/>
  <c r="AT86" i="14"/>
  <c r="AT85" i="14"/>
  <c r="BR131" i="1"/>
  <c r="AW119" i="34" s="1"/>
  <c r="AW155" i="34"/>
  <c r="BR60" i="2"/>
  <c r="AX301" i="34"/>
  <c r="BR717" i="34"/>
  <c r="BR58" i="2"/>
  <c r="BR61" i="2"/>
  <c r="BS139" i="2"/>
  <c r="BS138" i="2"/>
  <c r="AV52" i="2"/>
  <c r="AV712" i="34" s="1"/>
  <c r="AV54" i="2"/>
  <c r="AV714" i="34" s="1"/>
  <c r="AV53" i="2"/>
  <c r="AV713" i="34" s="1"/>
  <c r="AV51" i="2"/>
  <c r="AV711" i="34" s="1"/>
  <c r="AV709" i="34"/>
  <c r="AV50" i="2"/>
  <c r="AV710" i="34" s="1"/>
  <c r="BR49" i="2"/>
  <c r="AS131" i="1"/>
  <c r="AT1221" i="34"/>
  <c r="AT29" i="1"/>
  <c r="AT166" i="1"/>
  <c r="BY295" i="2"/>
  <c r="BY25" i="2"/>
  <c r="BY61" i="14"/>
  <c r="BR605" i="2"/>
  <c r="BR848" i="34" s="1"/>
  <c r="BR606" i="2"/>
  <c r="BR849" i="34" s="1"/>
  <c r="BR847" i="34"/>
  <c r="R93" i="34"/>
  <c r="R123" i="1"/>
  <c r="R111" i="34" s="1"/>
  <c r="V235" i="34"/>
  <c r="V252" i="1"/>
  <c r="V238" i="34" s="1"/>
  <c r="V253" i="1"/>
  <c r="V239" i="34" s="1"/>
  <c r="V250" i="1"/>
  <c r="V236" i="34" s="1"/>
  <c r="Q103" i="34"/>
  <c r="Q121" i="1"/>
  <c r="Q109" i="34" s="1"/>
  <c r="S252" i="1"/>
  <c r="S238" i="34" s="1"/>
  <c r="S250" i="1"/>
  <c r="S236" i="34" s="1"/>
  <c r="S253" i="1"/>
  <c r="S239" i="34" s="1"/>
  <c r="S235" i="34"/>
  <c r="AU884" i="34"/>
  <c r="AU640" i="2"/>
  <c r="AU885" i="34" s="1"/>
  <c r="AU644" i="2"/>
  <c r="Q93" i="34"/>
  <c r="Q123" i="1"/>
  <c r="Q111" i="34" s="1"/>
  <c r="AQ94" i="34"/>
  <c r="BL115" i="1"/>
  <c r="BL113" i="1"/>
  <c r="AQ101" i="34" s="1"/>
  <c r="BL107" i="1"/>
  <c r="AQ95" i="34" s="1"/>
  <c r="BL109" i="1"/>
  <c r="AQ97" i="34" s="1"/>
  <c r="BL105" i="1"/>
  <c r="R103" i="34"/>
  <c r="R121" i="1"/>
  <c r="R109" i="34" s="1"/>
  <c r="R252" i="1"/>
  <c r="R238" i="34" s="1"/>
  <c r="R250" i="1"/>
  <c r="R236" i="34" s="1"/>
  <c r="R253" i="1"/>
  <c r="R239" i="34" s="1"/>
  <c r="R235" i="34"/>
  <c r="AB93" i="34"/>
  <c r="AB123" i="1"/>
  <c r="AB111" i="34" s="1"/>
  <c r="AZ160" i="2"/>
  <c r="AZ161" i="2"/>
  <c r="AZ159" i="2"/>
  <c r="BA157" i="2"/>
  <c r="AW604" i="2"/>
  <c r="AW842" i="34"/>
  <c r="Q250" i="1"/>
  <c r="Q236" i="34" s="1"/>
  <c r="Q235" i="34"/>
  <c r="Q253" i="1"/>
  <c r="Q239" i="34" s="1"/>
  <c r="Q252" i="1"/>
  <c r="Q238" i="34" s="1"/>
  <c r="S93" i="34"/>
  <c r="S123" i="1"/>
  <c r="S111" i="34" s="1"/>
  <c r="BW86" i="1"/>
  <c r="BW90" i="1" s="1"/>
  <c r="BV84" i="1"/>
  <c r="BV83" i="1" s="1"/>
  <c r="AB103" i="34"/>
  <c r="AB121" i="1"/>
  <c r="AB109" i="34" s="1"/>
  <c r="O250" i="1"/>
  <c r="O236" i="34" s="1"/>
  <c r="O235" i="34"/>
  <c r="O252" i="1"/>
  <c r="O238" i="34" s="1"/>
  <c r="O253" i="1"/>
  <c r="O239" i="34" s="1"/>
  <c r="Z250" i="1"/>
  <c r="Z236" i="34" s="1"/>
  <c r="Z252" i="1"/>
  <c r="Z238" i="34" s="1"/>
  <c r="Z253" i="1"/>
  <c r="Z239" i="34" s="1"/>
  <c r="Z235" i="34"/>
  <c r="BR600" i="2"/>
  <c r="BR842" i="34"/>
  <c r="AX348" i="34"/>
  <c r="S121" i="1"/>
  <c r="S109" i="34" s="1"/>
  <c r="S103" i="34"/>
  <c r="Y93" i="34"/>
  <c r="Y123" i="1"/>
  <c r="Y111" i="34" s="1"/>
  <c r="AV605" i="2"/>
  <c r="AV848" i="34" s="1"/>
  <c r="AV606" i="2"/>
  <c r="AV849" i="34" s="1"/>
  <c r="AV847" i="34"/>
  <c r="AV639" i="2"/>
  <c r="AT94" i="34"/>
  <c r="BO115" i="1"/>
  <c r="BO113" i="1"/>
  <c r="AT101" i="34" s="1"/>
  <c r="BO109" i="1"/>
  <c r="AT97" i="34" s="1"/>
  <c r="BO107" i="1"/>
  <c r="AT95" i="34" s="1"/>
  <c r="BP107" i="1"/>
  <c r="AU95" i="34" s="1"/>
  <c r="BO105" i="1"/>
  <c r="BI123" i="1"/>
  <c r="AN111" i="34" s="1"/>
  <c r="AN93" i="34"/>
  <c r="BI121" i="1"/>
  <c r="AN109" i="34" s="1"/>
  <c r="AN103" i="34"/>
  <c r="T93" i="34"/>
  <c r="T123" i="1"/>
  <c r="T111" i="34" s="1"/>
  <c r="AE253" i="1"/>
  <c r="AE239" i="34" s="1"/>
  <c r="AE235" i="34"/>
  <c r="AE252" i="1"/>
  <c r="AE238" i="34" s="1"/>
  <c r="AE250" i="1"/>
  <c r="AE236" i="34" s="1"/>
  <c r="AI250" i="1"/>
  <c r="AI236" i="34" s="1"/>
  <c r="O93" i="34"/>
  <c r="O123" i="1"/>
  <c r="O111" i="34" s="1"/>
  <c r="Y6" i="1"/>
  <c r="AA6" i="2"/>
  <c r="Z5" i="2"/>
  <c r="BS159" i="2"/>
  <c r="BS160" i="2"/>
  <c r="AC253" i="1"/>
  <c r="AC239" i="34" s="1"/>
  <c r="AC252" i="1"/>
  <c r="AC238" i="34" s="1"/>
  <c r="AC235" i="34"/>
  <c r="AC250" i="1"/>
  <c r="AC236" i="34" s="1"/>
  <c r="AG250" i="1"/>
  <c r="AG236" i="34" s="1"/>
  <c r="BT176" i="1"/>
  <c r="BA176" i="1"/>
  <c r="B54" i="3"/>
  <c r="B31" i="3"/>
  <c r="P93" i="34"/>
  <c r="P123" i="1"/>
  <c r="P111" i="34" s="1"/>
  <c r="W253" i="1"/>
  <c r="W239" i="34" s="1"/>
  <c r="W252" i="1"/>
  <c r="W238" i="34" s="1"/>
  <c r="W235" i="34"/>
  <c r="W250" i="1"/>
  <c r="W236" i="34" s="1"/>
  <c r="AA250" i="1"/>
  <c r="AA236" i="34" s="1"/>
  <c r="AT891" i="34"/>
  <c r="AT646" i="2"/>
  <c r="AT893" i="34" s="1"/>
  <c r="AT645" i="2"/>
  <c r="AS233" i="34"/>
  <c r="CN247" i="1"/>
  <c r="BN249" i="1"/>
  <c r="BN115" i="1"/>
  <c r="AS94" i="34"/>
  <c r="BN109" i="1"/>
  <c r="AS97" i="34" s="1"/>
  <c r="BN113" i="1"/>
  <c r="AS101" i="34" s="1"/>
  <c r="BN105" i="1"/>
  <c r="BI250" i="1"/>
  <c r="AN236" i="34" s="1"/>
  <c r="BI252" i="1"/>
  <c r="AN238" i="34" s="1"/>
  <c r="BI253" i="1"/>
  <c r="AN239" i="34" s="1"/>
  <c r="AN235" i="34"/>
  <c r="BM247" i="1"/>
  <c r="BM110" i="1"/>
  <c r="AR98" i="34" s="1"/>
  <c r="BM106" i="1"/>
  <c r="BM239" i="1"/>
  <c r="AR225" i="34" s="1"/>
  <c r="AR202" i="34"/>
  <c r="W93" i="34"/>
  <c r="W123" i="1"/>
  <c r="W111" i="34" s="1"/>
  <c r="W103" i="34"/>
  <c r="W121" i="1"/>
  <c r="W109" i="34" s="1"/>
  <c r="AX843" i="34"/>
  <c r="AY600" i="2"/>
  <c r="AX599" i="2"/>
  <c r="U233" i="34"/>
  <c r="U249" i="1"/>
  <c r="Y250" i="1" s="1"/>
  <c r="Y236" i="34" s="1"/>
  <c r="AC93" i="34"/>
  <c r="AC123" i="1"/>
  <c r="AC111" i="34" s="1"/>
  <c r="V93" i="34"/>
  <c r="V123" i="1"/>
  <c r="V111" i="34" s="1"/>
  <c r="Y103" i="34"/>
  <c r="Y121" i="1"/>
  <c r="Y109" i="34" s="1"/>
  <c r="AP233" i="34"/>
  <c r="BK249" i="1"/>
  <c r="BO249" i="1"/>
  <c r="AT233" i="34"/>
  <c r="AE93" i="34"/>
  <c r="AE123" i="1"/>
  <c r="AE111" i="34" s="1"/>
  <c r="O103" i="34"/>
  <c r="O121" i="1"/>
  <c r="O109" i="34" s="1"/>
  <c r="O242" i="1"/>
  <c r="O228" i="34" s="1"/>
  <c r="P238" i="1"/>
  <c r="O227" i="34"/>
  <c r="AS647" i="2"/>
  <c r="AS894" i="34" s="1"/>
  <c r="AS892" i="34"/>
  <c r="BL249" i="1"/>
  <c r="CL247" i="1"/>
  <c r="AQ233" i="34"/>
  <c r="P103" i="34"/>
  <c r="P121" i="1"/>
  <c r="P109" i="34" s="1"/>
  <c r="Y252" i="1"/>
  <c r="Y238" i="34" s="1"/>
  <c r="Y235" i="34"/>
  <c r="Y253" i="1"/>
  <c r="Y239" i="34" s="1"/>
  <c r="Z93" i="34"/>
  <c r="Z123" i="1"/>
  <c r="Z111" i="34" s="1"/>
  <c r="Z103" i="34"/>
  <c r="Z121" i="1"/>
  <c r="Z109" i="34" s="1"/>
  <c r="P250" i="1"/>
  <c r="P236" i="34" s="1"/>
  <c r="P252" i="1"/>
  <c r="P238" i="34" s="1"/>
  <c r="P253" i="1"/>
  <c r="P239" i="34" s="1"/>
  <c r="P235" i="34"/>
  <c r="U113" i="1"/>
  <c r="U101" i="34" s="1"/>
  <c r="U109" i="1"/>
  <c r="U97" i="34" s="1"/>
  <c r="U115" i="1"/>
  <c r="U94" i="34"/>
  <c r="U107" i="1"/>
  <c r="U95" i="34" s="1"/>
  <c r="U105" i="1"/>
  <c r="AN227" i="34"/>
  <c r="BJ238" i="1"/>
  <c r="BI242" i="1"/>
  <c r="AN228" i="34" s="1"/>
  <c r="T253" i="1"/>
  <c r="T239" i="34" s="1"/>
  <c r="T252" i="1"/>
  <c r="T238" i="34" s="1"/>
  <c r="T250" i="1"/>
  <c r="T236" i="34" s="1"/>
  <c r="T235" i="34"/>
  <c r="AC121" i="1"/>
  <c r="AC109" i="34" s="1"/>
  <c r="AC103" i="34"/>
  <c r="V121" i="1"/>
  <c r="V109" i="34" s="1"/>
  <c r="V103" i="34"/>
  <c r="Y107" i="1"/>
  <c r="Y95" i="34" s="1"/>
  <c r="BK109" i="1"/>
  <c r="AP97" i="34" s="1"/>
  <c r="AP94" i="34"/>
  <c r="BK115" i="1"/>
  <c r="BK113" i="1"/>
  <c r="AP101" i="34" s="1"/>
  <c r="BK107" i="1"/>
  <c r="AP95" i="34" s="1"/>
  <c r="BK105" i="1"/>
  <c r="X250" i="1"/>
  <c r="X236" i="34" s="1"/>
  <c r="AB252" i="1"/>
  <c r="AB238" i="34" s="1"/>
  <c r="AB235" i="34"/>
  <c r="AB253" i="1"/>
  <c r="AB239" i="34" s="1"/>
  <c r="AB250" i="1"/>
  <c r="AB236" i="34" s="1"/>
  <c r="AF250" i="1"/>
  <c r="AF236" i="34" s="1"/>
  <c r="T103" i="34"/>
  <c r="T121" i="1"/>
  <c r="T109" i="34" s="1"/>
  <c r="AE103" i="34"/>
  <c r="AE121" i="1"/>
  <c r="AE109" i="34" s="1"/>
  <c r="BA498" i="2" l="1"/>
  <c r="BA735" i="34" s="1"/>
  <c r="BA754" i="34"/>
  <c r="BS175" i="2"/>
  <c r="BS176" i="2" s="1"/>
  <c r="BX218" i="2"/>
  <c r="BX231" i="2"/>
  <c r="BX233" i="2"/>
  <c r="BX223" i="2" s="1"/>
  <c r="AT30" i="1"/>
  <c r="U12" i="35"/>
  <c r="BR267" i="1"/>
  <c r="AW252" i="34" s="1"/>
  <c r="AW250" i="34"/>
  <c r="BQ208" i="14"/>
  <c r="BR270" i="1" s="1"/>
  <c r="AR37" i="1"/>
  <c r="AQ379" i="2"/>
  <c r="AQ380" i="2"/>
  <c r="AQ378" i="2"/>
  <c r="AQ1002" i="34" s="1"/>
  <c r="AQ196" i="2"/>
  <c r="AQ194" i="2"/>
  <c r="BR274" i="1"/>
  <c r="AW259" i="34" s="1"/>
  <c r="BQ1009" i="34"/>
  <c r="AU1006" i="34"/>
  <c r="AU384" i="2"/>
  <c r="AU1008" i="34" s="1"/>
  <c r="AV384" i="2"/>
  <c r="AV1008" i="34" s="1"/>
  <c r="AW530" i="34"/>
  <c r="AE6" i="14"/>
  <c r="AD5" i="14"/>
  <c r="AZ613" i="2"/>
  <c r="AZ858" i="34"/>
  <c r="BA614" i="2"/>
  <c r="AX619" i="2"/>
  <c r="AX863" i="34" s="1"/>
  <c r="AX862" i="34"/>
  <c r="AX620" i="2"/>
  <c r="AX864" i="34" s="1"/>
  <c r="AY857" i="34"/>
  <c r="AY618" i="2"/>
  <c r="V17" i="42"/>
  <c r="BU558" i="2"/>
  <c r="BU795" i="34" s="1"/>
  <c r="BU794" i="34"/>
  <c r="BV557" i="2"/>
  <c r="BV792" i="34"/>
  <c r="BW555" i="2"/>
  <c r="BB555" i="2"/>
  <c r="BB792" i="34" s="1"/>
  <c r="AZ341" i="34"/>
  <c r="BT795" i="34"/>
  <c r="AA5" i="40"/>
  <c r="AB8" i="40"/>
  <c r="AA27" i="40"/>
  <c r="AC8" i="42"/>
  <c r="AC27" i="42" s="1"/>
  <c r="AB27" i="42"/>
  <c r="AA6" i="34"/>
  <c r="Y5" i="4"/>
  <c r="Z8" i="4"/>
  <c r="Y26" i="4"/>
  <c r="Y1305" i="34" s="1"/>
  <c r="AW1279" i="34"/>
  <c r="AW90" i="1"/>
  <c r="B33" i="3"/>
  <c r="AV83" i="1"/>
  <c r="AV1277" i="34"/>
  <c r="BS84" i="1"/>
  <c r="AX71" i="34" s="1"/>
  <c r="BY235" i="2"/>
  <c r="BY219" i="2" s="1"/>
  <c r="BX240" i="2"/>
  <c r="BX224" i="2" s="1"/>
  <c r="BX238" i="2"/>
  <c r="BW247" i="2"/>
  <c r="BW242" i="2" s="1"/>
  <c r="BU62" i="14"/>
  <c r="BU243" i="2"/>
  <c r="BU74" i="2" s="1"/>
  <c r="BU245" i="2"/>
  <c r="BU220" i="2"/>
  <c r="BV242" i="2"/>
  <c r="BV225" i="2"/>
  <c r="BB176" i="14"/>
  <c r="BB177" i="14" s="1"/>
  <c r="BB139" i="14"/>
  <c r="BB140" i="14" s="1"/>
  <c r="BC229" i="14"/>
  <c r="BQ199" i="2"/>
  <c r="AS199" i="2"/>
  <c r="AP195" i="2"/>
  <c r="H46" i="3"/>
  <c r="BR634" i="2"/>
  <c r="BR879" i="34" s="1"/>
  <c r="BR877" i="34"/>
  <c r="BR633" i="2"/>
  <c r="BR878" i="34" s="1"/>
  <c r="AY873" i="34"/>
  <c r="AZ628" i="2"/>
  <c r="AY627" i="2"/>
  <c r="BR873" i="34"/>
  <c r="AX369" i="34"/>
  <c r="AX632" i="2"/>
  <c r="AX872" i="34"/>
  <c r="AW877" i="34"/>
  <c r="AW634" i="2"/>
  <c r="AW879" i="34" s="1"/>
  <c r="AW633" i="2"/>
  <c r="AW878" i="34" s="1"/>
  <c r="BB177" i="2"/>
  <c r="BB179" i="2"/>
  <c r="BB178" i="2"/>
  <c r="BB175" i="2"/>
  <c r="BB176" i="2" s="1"/>
  <c r="BC190" i="2"/>
  <c r="BD91" i="2"/>
  <c r="BC94" i="2"/>
  <c r="BC169" i="2"/>
  <c r="BC174" i="2" s="1"/>
  <c r="BC93" i="2"/>
  <c r="AX352" i="2"/>
  <c r="AX959" i="34" s="1"/>
  <c r="BD101" i="2"/>
  <c r="BD99" i="2"/>
  <c r="BD97" i="2"/>
  <c r="BD98" i="2" s="1"/>
  <c r="BD100" i="2"/>
  <c r="BC183" i="2"/>
  <c r="BC184" i="2" s="1"/>
  <c r="BC187" i="2"/>
  <c r="BC186" i="2"/>
  <c r="BC185" i="2"/>
  <c r="BD182" i="2"/>
  <c r="BT182" i="2" s="1"/>
  <c r="BD189" i="2"/>
  <c r="BD190" i="2" s="1"/>
  <c r="BA179" i="2"/>
  <c r="BA175" i="2"/>
  <c r="BA176" i="2" s="1"/>
  <c r="BA178" i="2"/>
  <c r="BA177" i="2"/>
  <c r="AX331" i="2"/>
  <c r="AX327" i="2"/>
  <c r="AX328" i="2" s="1"/>
  <c r="AX330" i="2"/>
  <c r="AX329" i="2"/>
  <c r="AX459" i="34"/>
  <c r="BR936" i="34"/>
  <c r="AX457" i="34"/>
  <c r="BR934" i="34"/>
  <c r="AW484" i="2"/>
  <c r="AW482" i="2"/>
  <c r="AW483" i="2"/>
  <c r="AW481" i="2"/>
  <c r="AZ342" i="2"/>
  <c r="AZ949" i="34" s="1"/>
  <c r="AZ349" i="2"/>
  <c r="AZ363" i="2"/>
  <c r="AZ970" i="34" s="1"/>
  <c r="AZ344" i="2"/>
  <c r="AZ951" i="34" s="1"/>
  <c r="BS341" i="2"/>
  <c r="AZ948" i="34"/>
  <c r="AZ345" i="2"/>
  <c r="AZ952" i="34" s="1"/>
  <c r="BA341" i="2"/>
  <c r="BA948" i="34" s="1"/>
  <c r="AY350" i="2"/>
  <c r="AY957" i="34" s="1"/>
  <c r="AY351" i="2"/>
  <c r="AY958" i="34" s="1"/>
  <c r="AY354" i="2"/>
  <c r="AY961" i="34" s="1"/>
  <c r="AY956" i="34"/>
  <c r="AY355" i="2"/>
  <c r="AY962" i="34" s="1"/>
  <c r="AY320" i="2"/>
  <c r="AY352" i="2" s="1"/>
  <c r="AY959" i="34" s="1"/>
  <c r="AY353" i="2"/>
  <c r="AY960" i="34" s="1"/>
  <c r="AX492" i="34"/>
  <c r="BR969" i="34"/>
  <c r="BR953" i="34"/>
  <c r="AX476" i="34"/>
  <c r="AX468" i="34"/>
  <c r="BR945" i="34"/>
  <c r="AX338" i="2"/>
  <c r="AX945" i="34" s="1"/>
  <c r="AX322" i="2"/>
  <c r="AX935" i="34" s="1"/>
  <c r="AX346" i="2"/>
  <c r="AX953" i="34" s="1"/>
  <c r="AX321" i="2"/>
  <c r="AX934" i="34" s="1"/>
  <c r="AX933" i="34"/>
  <c r="AX324" i="2"/>
  <c r="AX937" i="34" s="1"/>
  <c r="AX362" i="2"/>
  <c r="AX969" i="34" s="1"/>
  <c r="AX480" i="2"/>
  <c r="AX323" i="2"/>
  <c r="AX936" i="34" s="1"/>
  <c r="BR330" i="2"/>
  <c r="BR327" i="2"/>
  <c r="BR328" i="2" s="1"/>
  <c r="BR483" i="2"/>
  <c r="AX434" i="34" s="1"/>
  <c r="AX431" i="34"/>
  <c r="BR481" i="2"/>
  <c r="AX432" i="34" s="1"/>
  <c r="CF480" i="2"/>
  <c r="AJ1120" i="34"/>
  <c r="AJ410" i="34"/>
  <c r="AJ390" i="34"/>
  <c r="AJ655" i="2"/>
  <c r="AJ901" i="34"/>
  <c r="AX1009" i="34"/>
  <c r="AY385" i="2"/>
  <c r="AX382" i="2"/>
  <c r="AN411" i="2"/>
  <c r="AM408" i="2"/>
  <c r="AM1036" i="34"/>
  <c r="AN453" i="2"/>
  <c r="AM1113" i="34"/>
  <c r="AJ553" i="34"/>
  <c r="AJ1030" i="34"/>
  <c r="BO1115" i="34"/>
  <c r="AU405" i="34"/>
  <c r="AL1033" i="34"/>
  <c r="AL402" i="2"/>
  <c r="AL410" i="2"/>
  <c r="AL1035" i="34" s="1"/>
  <c r="AL409" i="2"/>
  <c r="AL1034" i="34" s="1"/>
  <c r="AL457" i="2"/>
  <c r="AL1117" i="34" s="1"/>
  <c r="AL456" i="2"/>
  <c r="AL1116" i="34" s="1"/>
  <c r="AL455" i="2"/>
  <c r="AL1115" i="34" s="1"/>
  <c r="AL650" i="2"/>
  <c r="AM452" i="2"/>
  <c r="AL459" i="2"/>
  <c r="AL1112" i="34"/>
  <c r="AK460" i="2"/>
  <c r="AK1120" i="34" s="1"/>
  <c r="AK462" i="2"/>
  <c r="AK1122" i="34" s="1"/>
  <c r="AK1119" i="34"/>
  <c r="AK461" i="2"/>
  <c r="AK1121" i="34" s="1"/>
  <c r="AX529" i="34"/>
  <c r="CF382" i="2"/>
  <c r="BR1006" i="34"/>
  <c r="BR385" i="2"/>
  <c r="BR383" i="2"/>
  <c r="AU409" i="34"/>
  <c r="BO1119" i="34"/>
  <c r="BO462" i="2"/>
  <c r="BO460" i="2"/>
  <c r="CC459" i="2"/>
  <c r="AK1027" i="34"/>
  <c r="AK404" i="2"/>
  <c r="AK1029" i="34" s="1"/>
  <c r="AK403" i="2"/>
  <c r="AK1028" i="34" s="1"/>
  <c r="AK405" i="2"/>
  <c r="AK1030" i="34" s="1"/>
  <c r="AK900" i="34"/>
  <c r="AK660" i="2"/>
  <c r="AK907" i="34" s="1"/>
  <c r="AK657" i="2"/>
  <c r="AK904" i="34" s="1"/>
  <c r="AK654" i="2"/>
  <c r="AJ1029" i="34"/>
  <c r="AJ552" i="34"/>
  <c r="AJ551" i="34"/>
  <c r="AJ1028" i="34"/>
  <c r="AU407" i="34"/>
  <c r="BO1117" i="34"/>
  <c r="AK897" i="34"/>
  <c r="AK651" i="2"/>
  <c r="AK898" i="34" s="1"/>
  <c r="AU559" i="34"/>
  <c r="BO1036" i="34"/>
  <c r="AJ412" i="34"/>
  <c r="AJ1122" i="34"/>
  <c r="AH391" i="34"/>
  <c r="AH902" i="34"/>
  <c r="AU550" i="34"/>
  <c r="BO405" i="2"/>
  <c r="BO1027" i="34"/>
  <c r="BO403" i="2"/>
  <c r="BO1114" i="34"/>
  <c r="AU404" i="34"/>
  <c r="AJ1121" i="34"/>
  <c r="AJ411" i="34"/>
  <c r="AJ898" i="34"/>
  <c r="AJ387" i="34"/>
  <c r="AW384" i="2"/>
  <c r="AW1008" i="34" s="1"/>
  <c r="AW1006" i="34"/>
  <c r="AW383" i="2"/>
  <c r="AW1007" i="34" s="1"/>
  <c r="BO653" i="2"/>
  <c r="AU386" i="34"/>
  <c r="BO651" i="2"/>
  <c r="BO897" i="34"/>
  <c r="AI902" i="34"/>
  <c r="AI391" i="34"/>
  <c r="BO1034" i="34"/>
  <c r="AU557" i="34"/>
  <c r="AR1017" i="34"/>
  <c r="AR1018" i="34"/>
  <c r="AR1016" i="34"/>
  <c r="BQ1106" i="34"/>
  <c r="BQ448" i="2"/>
  <c r="AW396" i="34"/>
  <c r="CE446" i="2"/>
  <c r="BQ449" i="2"/>
  <c r="BQ392" i="2"/>
  <c r="AS1106" i="34"/>
  <c r="AS450" i="2"/>
  <c r="AS1110" i="34" s="1"/>
  <c r="AT446" i="2"/>
  <c r="AS449" i="2"/>
  <c r="AS1109" i="34" s="1"/>
  <c r="AS392" i="2"/>
  <c r="BV124" i="2"/>
  <c r="BU126" i="2"/>
  <c r="BY492" i="2"/>
  <c r="BY729" i="34" s="1"/>
  <c r="BY728" i="34"/>
  <c r="BV245" i="14"/>
  <c r="BC361" i="2"/>
  <c r="BC968" i="34" s="1"/>
  <c r="BC964" i="34"/>
  <c r="BC360" i="2"/>
  <c r="BC967" i="34" s="1"/>
  <c r="BD357" i="2"/>
  <c r="BB420" i="2"/>
  <c r="BB1045" i="34" s="1"/>
  <c r="BB419" i="2"/>
  <c r="BB1044" i="34" s="1"/>
  <c r="BB88" i="2"/>
  <c r="BB89" i="2" s="1"/>
  <c r="BC416" i="2"/>
  <c r="AY565" i="34"/>
  <c r="BS1042" i="34"/>
  <c r="BS1043" i="34"/>
  <c r="AY566" i="34"/>
  <c r="AY567" i="34"/>
  <c r="BS1044" i="34"/>
  <c r="AV307" i="2"/>
  <c r="AV920" i="34" s="1"/>
  <c r="AV308" i="2"/>
  <c r="AV921" i="34" s="1"/>
  <c r="AV918" i="34"/>
  <c r="AV306" i="2"/>
  <c r="AV919" i="34" s="1"/>
  <c r="AV309" i="2"/>
  <c r="AV922" i="34" s="1"/>
  <c r="BR305" i="2"/>
  <c r="BR929" i="34"/>
  <c r="AX450" i="34"/>
  <c r="AZ549" i="2"/>
  <c r="AZ548" i="2"/>
  <c r="AZ550" i="2"/>
  <c r="AZ546" i="2"/>
  <c r="AZ547" i="2" s="1"/>
  <c r="AW925" i="34"/>
  <c r="AW315" i="2"/>
  <c r="AW928" i="34" s="1"/>
  <c r="AW305" i="2"/>
  <c r="AW313" i="2"/>
  <c r="AW926" i="34" s="1"/>
  <c r="AW314" i="2"/>
  <c r="AW927" i="34" s="1"/>
  <c r="BR232" i="14"/>
  <c r="AX684" i="34" s="1"/>
  <c r="AX683" i="34"/>
  <c r="BR229" i="14"/>
  <c r="BR195" i="14"/>
  <c r="BR236" i="14"/>
  <c r="BR233" i="14"/>
  <c r="AX685" i="34" s="1"/>
  <c r="AW234" i="14"/>
  <c r="AW232" i="14"/>
  <c r="AW233" i="14"/>
  <c r="AW195" i="14"/>
  <c r="BR927" i="34"/>
  <c r="AX448" i="34"/>
  <c r="AX929" i="34"/>
  <c r="AY316" i="2"/>
  <c r="AX312" i="2"/>
  <c r="BA516" i="2"/>
  <c r="BA752" i="34" s="1"/>
  <c r="BA514" i="2"/>
  <c r="BA750" i="34" s="1"/>
  <c r="BA515" i="2"/>
  <c r="BA751" i="34" s="1"/>
  <c r="BA512" i="2"/>
  <c r="BA748" i="34" s="1"/>
  <c r="BR926" i="34"/>
  <c r="AX447" i="34"/>
  <c r="AX228" i="14"/>
  <c r="AX231" i="14"/>
  <c r="AX783" i="34"/>
  <c r="AX542" i="2"/>
  <c r="AX788" i="34" s="1"/>
  <c r="AX541" i="2"/>
  <c r="AX787" i="34" s="1"/>
  <c r="AX538" i="2"/>
  <c r="AX540" i="2"/>
  <c r="AX786" i="34" s="1"/>
  <c r="BR539" i="2"/>
  <c r="BR785" i="34" s="1"/>
  <c r="BR784" i="34"/>
  <c r="AY537" i="2"/>
  <c r="AY227" i="14"/>
  <c r="BA552" i="2"/>
  <c r="BA553" i="2" s="1"/>
  <c r="AY778" i="34"/>
  <c r="BA545" i="2"/>
  <c r="AY106" i="14"/>
  <c r="AY107" i="14" s="1"/>
  <c r="AZ509" i="2"/>
  <c r="AZ745" i="34" s="1"/>
  <c r="BS506" i="2"/>
  <c r="BA506" i="2"/>
  <c r="BA742" i="34" s="1"/>
  <c r="AZ532" i="2"/>
  <c r="AZ742" i="34"/>
  <c r="BB511" i="2"/>
  <c r="BB747" i="34" s="1"/>
  <c r="AZ579" i="2"/>
  <c r="AZ818" i="34" s="1"/>
  <c r="AZ508" i="2"/>
  <c r="AZ744" i="34" s="1"/>
  <c r="AZ748" i="34"/>
  <c r="AZ513" i="2"/>
  <c r="AZ749" i="34" s="1"/>
  <c r="BS520" i="2"/>
  <c r="BS164" i="2"/>
  <c r="BS521" i="2"/>
  <c r="BS757" i="34" s="1"/>
  <c r="BS754" i="34"/>
  <c r="BS498" i="2"/>
  <c r="BS735" i="34" s="1"/>
  <c r="BS523" i="2"/>
  <c r="BA520" i="2"/>
  <c r="BA756" i="34" s="1"/>
  <c r="BA521" i="2"/>
  <c r="BA757" i="34" s="1"/>
  <c r="BA522" i="2"/>
  <c r="BA758" i="34" s="1"/>
  <c r="BB518" i="2"/>
  <c r="BA523" i="2"/>
  <c r="BA759" i="34" s="1"/>
  <c r="BS943" i="34"/>
  <c r="AY465" i="34"/>
  <c r="AY397" i="2"/>
  <c r="AY1021" i="34" s="1"/>
  <c r="AY1020" i="34"/>
  <c r="AY398" i="2"/>
  <c r="AY1022" i="34" s="1"/>
  <c r="BC86" i="2"/>
  <c r="BC87" i="2"/>
  <c r="BD83" i="2"/>
  <c r="BC427" i="2"/>
  <c r="BC85" i="2"/>
  <c r="BC333" i="2"/>
  <c r="BB336" i="2"/>
  <c r="BB943" i="34" s="1"/>
  <c r="BB334" i="2"/>
  <c r="BB941" i="34" s="1"/>
  <c r="BB337" i="2"/>
  <c r="BB944" i="34" s="1"/>
  <c r="BS941" i="34"/>
  <c r="AY466" i="34"/>
  <c r="AZ524" i="2"/>
  <c r="AZ760" i="34" s="1"/>
  <c r="AZ759" i="34"/>
  <c r="AZ736" i="34"/>
  <c r="AZ500" i="2"/>
  <c r="BA502" i="2"/>
  <c r="BA738" i="34" s="1"/>
  <c r="BA503" i="2"/>
  <c r="BA739" i="34" s="1"/>
  <c r="BA501" i="2"/>
  <c r="BA737" i="34" s="1"/>
  <c r="BA499" i="2"/>
  <c r="BA736" i="34" s="1"/>
  <c r="AZ374" i="2"/>
  <c r="AZ998" i="34" s="1"/>
  <c r="AZ995" i="34"/>
  <c r="AZ375" i="2"/>
  <c r="AZ999" i="34" s="1"/>
  <c r="BA371" i="2"/>
  <c r="BA995" i="34" s="1"/>
  <c r="BS371" i="2"/>
  <c r="AZ396" i="2"/>
  <c r="BC76" i="2"/>
  <c r="BB428" i="2"/>
  <c r="BB429" i="2"/>
  <c r="BB430" i="2"/>
  <c r="BA373" i="2"/>
  <c r="BA997" i="34" s="1"/>
  <c r="BB372" i="2"/>
  <c r="BB996" i="34" s="1"/>
  <c r="AW665" i="34"/>
  <c r="AQ796" i="34"/>
  <c r="AQ558" i="2"/>
  <c r="AQ795" i="34" s="1"/>
  <c r="AT388" i="2"/>
  <c r="AT1012" i="34" s="1"/>
  <c r="AT389" i="2"/>
  <c r="AT1013" i="34" s="1"/>
  <c r="AT1011" i="34"/>
  <c r="AT377" i="2"/>
  <c r="AU220" i="1"/>
  <c r="AU104" i="1"/>
  <c r="AU262" i="1"/>
  <c r="AU261" i="1"/>
  <c r="AU265" i="1"/>
  <c r="AQ815" i="34"/>
  <c r="AQ577" i="2"/>
  <c r="AQ816" i="34" s="1"/>
  <c r="AQ1003" i="34"/>
  <c r="AQ1004" i="34"/>
  <c r="AQ1001" i="34"/>
  <c r="AR814" i="34"/>
  <c r="AR576" i="2"/>
  <c r="BX42" i="2"/>
  <c r="BX704" i="34" s="1"/>
  <c r="AS377" i="2"/>
  <c r="AS388" i="2"/>
  <c r="AS1012" i="34" s="1"/>
  <c r="AS1011" i="34"/>
  <c r="AS389" i="2"/>
  <c r="AS1013" i="34" s="1"/>
  <c r="AT226" i="1"/>
  <c r="AT248" i="1"/>
  <c r="BQ1011" i="34"/>
  <c r="BQ390" i="2"/>
  <c r="AW534" i="34"/>
  <c r="BQ388" i="2"/>
  <c r="CE387" i="2"/>
  <c r="AR570" i="2"/>
  <c r="AR809" i="34" s="1"/>
  <c r="AR572" i="2"/>
  <c r="AR811" i="34" s="1"/>
  <c r="AR808" i="34"/>
  <c r="AR571" i="2"/>
  <c r="AR810" i="34" s="1"/>
  <c r="AR573" i="2"/>
  <c r="AR812" i="34" s="1"/>
  <c r="AR557" i="2"/>
  <c r="AR794" i="34" s="1"/>
  <c r="AR559" i="2"/>
  <c r="AR793" i="34"/>
  <c r="BQ422" i="2"/>
  <c r="AR1050" i="34"/>
  <c r="AR1049" i="34"/>
  <c r="AR1047" i="34"/>
  <c r="AR1048" i="34"/>
  <c r="AS266" i="1"/>
  <c r="AS208" i="14"/>
  <c r="AT208" i="14"/>
  <c r="AT266" i="1"/>
  <c r="BR37" i="1"/>
  <c r="AQ1230" i="34"/>
  <c r="AV525" i="34"/>
  <c r="BP1002" i="34"/>
  <c r="BS168" i="1"/>
  <c r="AV214" i="1"/>
  <c r="BS214" i="1" s="1"/>
  <c r="AX200" i="34" s="1"/>
  <c r="AS808" i="34"/>
  <c r="AS572" i="2"/>
  <c r="AS811" i="34" s="1"/>
  <c r="AS570" i="2"/>
  <c r="AS809" i="34" s="1"/>
  <c r="AS573" i="2"/>
  <c r="AS812" i="34" s="1"/>
  <c r="AS571" i="2"/>
  <c r="AS810" i="34" s="1"/>
  <c r="AR988" i="34"/>
  <c r="AR987" i="34"/>
  <c r="BZ13" i="1"/>
  <c r="BY983" i="34"/>
  <c r="BY146" i="2"/>
  <c r="BY56" i="14"/>
  <c r="AR1003" i="34"/>
  <c r="AR1002" i="34"/>
  <c r="AR1004" i="34"/>
  <c r="AR1001" i="34"/>
  <c r="BQ377" i="2"/>
  <c r="AV527" i="34"/>
  <c r="BP1004" i="34"/>
  <c r="AX191" i="1"/>
  <c r="AR237" i="14"/>
  <c r="AR238" i="14"/>
  <c r="AS564" i="2"/>
  <c r="AS803" i="34" s="1"/>
  <c r="AS556" i="2"/>
  <c r="AS164" i="2"/>
  <c r="AS565" i="2"/>
  <c r="AS804" i="34" s="1"/>
  <c r="AS575" i="2"/>
  <c r="AS236" i="14"/>
  <c r="AS422" i="2"/>
  <c r="AT562" i="2"/>
  <c r="AS801" i="34"/>
  <c r="AS566" i="2"/>
  <c r="AS805" i="34" s="1"/>
  <c r="BX49" i="14"/>
  <c r="BX50" i="14"/>
  <c r="AU1014" i="34"/>
  <c r="AV390" i="2"/>
  <c r="AU387" i="2"/>
  <c r="AS248" i="1"/>
  <c r="AS226" i="1"/>
  <c r="AX293" i="34"/>
  <c r="BR53" i="2"/>
  <c r="BR709" i="34"/>
  <c r="BR52" i="2"/>
  <c r="BR50" i="2"/>
  <c r="AV271" i="2"/>
  <c r="AV1078" i="34" s="1"/>
  <c r="AS1223" i="34"/>
  <c r="BR168" i="14"/>
  <c r="BR167" i="14"/>
  <c r="BR166" i="14"/>
  <c r="BS37" i="2"/>
  <c r="CG34" i="2"/>
  <c r="AT131" i="1"/>
  <c r="BA38" i="2"/>
  <c r="BA37" i="2"/>
  <c r="AT1222" i="34"/>
  <c r="BR721" i="34"/>
  <c r="AX305" i="34"/>
  <c r="BR720" i="34"/>
  <c r="AX304" i="34"/>
  <c r="BY231" i="2"/>
  <c r="BY233" i="2"/>
  <c r="BY223" i="2" s="1"/>
  <c r="AX302" i="34"/>
  <c r="BR718" i="34"/>
  <c r="BB138" i="2"/>
  <c r="BB140" i="2"/>
  <c r="BB139" i="2"/>
  <c r="BC136" i="2"/>
  <c r="BB26" i="1"/>
  <c r="BB1219" i="34" s="1"/>
  <c r="BB34" i="2"/>
  <c r="BK121" i="1"/>
  <c r="AP109" i="34" s="1"/>
  <c r="AP103" i="34"/>
  <c r="U123" i="1"/>
  <c r="U111" i="34" s="1"/>
  <c r="U93" i="34"/>
  <c r="P224" i="34"/>
  <c r="P241" i="1"/>
  <c r="U250" i="1"/>
  <c r="U236" i="34" s="1"/>
  <c r="U235" i="34"/>
  <c r="U253" i="1"/>
  <c r="U239" i="34" s="1"/>
  <c r="U252" i="1"/>
  <c r="U238" i="34" s="1"/>
  <c r="AS93" i="34"/>
  <c r="BN123" i="1"/>
  <c r="AS111" i="34" s="1"/>
  <c r="AT103" i="34"/>
  <c r="BO121" i="1"/>
  <c r="AT109" i="34" s="1"/>
  <c r="AV640" i="2"/>
  <c r="AV885" i="34" s="1"/>
  <c r="AV884" i="34"/>
  <c r="AV644" i="2"/>
  <c r="AX349" i="34"/>
  <c r="BR843" i="34"/>
  <c r="BW84" i="1"/>
  <c r="BW83" i="1" s="1"/>
  <c r="BX86" i="1"/>
  <c r="BX90" i="1" s="1"/>
  <c r="AQ93" i="34"/>
  <c r="BL123" i="1"/>
  <c r="AQ111" i="34" s="1"/>
  <c r="BL121" i="1"/>
  <c r="AQ109" i="34" s="1"/>
  <c r="AQ103" i="34"/>
  <c r="BR640" i="2"/>
  <c r="BR884" i="34"/>
  <c r="AX377" i="34"/>
  <c r="BR644" i="2"/>
  <c r="AX604" i="2"/>
  <c r="AX842" i="34"/>
  <c r="BM115" i="1"/>
  <c r="BM113" i="1"/>
  <c r="AR101" i="34" s="1"/>
  <c r="AR94" i="34"/>
  <c r="BM109" i="1"/>
  <c r="AR97" i="34" s="1"/>
  <c r="BM107" i="1"/>
  <c r="AR95" i="34" s="1"/>
  <c r="BM105" i="1"/>
  <c r="AS103" i="34"/>
  <c r="BN121" i="1"/>
  <c r="AS109" i="34" s="1"/>
  <c r="BB176" i="1"/>
  <c r="AO224" i="34"/>
  <c r="BJ241" i="1"/>
  <c r="AZ600" i="2"/>
  <c r="AY843" i="34"/>
  <c r="AY599" i="2"/>
  <c r="BN107" i="1"/>
  <c r="AS95" i="34" s="1"/>
  <c r="C38" i="3"/>
  <c r="BN253" i="1"/>
  <c r="AS239" i="34" s="1"/>
  <c r="AS235" i="34"/>
  <c r="CN249" i="1"/>
  <c r="BN252" i="1"/>
  <c r="AS238" i="34" s="1"/>
  <c r="AT647" i="2"/>
  <c r="AT894" i="34" s="1"/>
  <c r="AT892" i="34"/>
  <c r="AY165" i="34"/>
  <c r="AB6" i="2"/>
  <c r="AA5" i="2"/>
  <c r="AU645" i="2"/>
  <c r="AU891" i="34"/>
  <c r="AU646" i="2"/>
  <c r="AU893" i="34" s="1"/>
  <c r="BK123" i="1"/>
  <c r="AP111" i="34" s="1"/>
  <c r="AP93" i="34"/>
  <c r="U121" i="1"/>
  <c r="U109" i="34" s="1"/>
  <c r="U103" i="34"/>
  <c r="BL252" i="1"/>
  <c r="AQ238" i="34" s="1"/>
  <c r="BL253" i="1"/>
  <c r="AQ239" i="34" s="1"/>
  <c r="BL250" i="1"/>
  <c r="AQ236" i="34" s="1"/>
  <c r="AQ235" i="34"/>
  <c r="CL249" i="1"/>
  <c r="D38" i="3"/>
  <c r="AT235" i="34"/>
  <c r="BO253" i="1"/>
  <c r="AT239" i="34" s="1"/>
  <c r="BO252" i="1"/>
  <c r="AT238" i="34" s="1"/>
  <c r="BO250" i="1"/>
  <c r="AT236" i="34" s="1"/>
  <c r="BP250" i="1"/>
  <c r="AU236" i="34" s="1"/>
  <c r="BK252" i="1"/>
  <c r="AP238" i="34" s="1"/>
  <c r="BK253" i="1"/>
  <c r="AP239" i="34" s="1"/>
  <c r="AP235" i="34"/>
  <c r="BK250" i="1"/>
  <c r="AP236" i="34" s="1"/>
  <c r="CM247" i="1"/>
  <c r="BM249" i="1"/>
  <c r="AR233" i="34"/>
  <c r="Z6" i="1"/>
  <c r="BO123" i="1"/>
  <c r="AT111" i="34" s="1"/>
  <c r="AT93" i="34"/>
  <c r="AW605" i="2"/>
  <c r="AW848" i="34" s="1"/>
  <c r="AW606" i="2"/>
  <c r="AW849" i="34" s="1"/>
  <c r="AW847" i="34"/>
  <c r="AW639" i="2"/>
  <c r="BB157" i="2"/>
  <c r="BA159" i="2"/>
  <c r="BA161" i="2"/>
  <c r="BA160" i="2"/>
  <c r="BB498" i="2" l="1"/>
  <c r="BB735" i="34" s="1"/>
  <c r="BB754" i="34"/>
  <c r="U13" i="35"/>
  <c r="U32" i="35" s="1"/>
  <c r="U31" i="35"/>
  <c r="AQ195" i="2"/>
  <c r="AE5" i="14"/>
  <c r="AF6" i="14"/>
  <c r="AZ618" i="2"/>
  <c r="AZ857" i="34"/>
  <c r="BS613" i="2"/>
  <c r="AY862" i="34"/>
  <c r="AY619" i="2"/>
  <c r="AY863" i="34" s="1"/>
  <c r="AY620" i="2"/>
  <c r="AY864" i="34" s="1"/>
  <c r="BB614" i="2"/>
  <c r="BA613" i="2"/>
  <c r="BC555" i="2"/>
  <c r="BW557" i="2"/>
  <c r="BW792" i="34"/>
  <c r="BX555" i="2"/>
  <c r="BV794" i="34"/>
  <c r="BV558" i="2"/>
  <c r="BV795" i="34" s="1"/>
  <c r="AB6" i="34"/>
  <c r="AB5" i="40"/>
  <c r="AB27" i="40"/>
  <c r="AC8" i="40"/>
  <c r="Z26" i="4"/>
  <c r="Z1305" i="34" s="1"/>
  <c r="AA8" i="4"/>
  <c r="Z5" i="4"/>
  <c r="AV1276" i="34"/>
  <c r="BS83" i="1"/>
  <c r="AX70" i="34" s="1"/>
  <c r="C40" i="3"/>
  <c r="C64" i="3" s="1"/>
  <c r="AW84" i="1"/>
  <c r="AX86" i="1"/>
  <c r="AW1283" i="34"/>
  <c r="BY240" i="2"/>
  <c r="BY224" i="2" s="1"/>
  <c r="BY238" i="2"/>
  <c r="BX247" i="2"/>
  <c r="BX225" i="2" s="1"/>
  <c r="BW225" i="2"/>
  <c r="BW245" i="2"/>
  <c r="BW243" i="2"/>
  <c r="BW74" i="2" s="1"/>
  <c r="BV243" i="2"/>
  <c r="BV74" i="2" s="1"/>
  <c r="BV62" i="14"/>
  <c r="BV220" i="2"/>
  <c r="BV245" i="2"/>
  <c r="BW220" i="2"/>
  <c r="BW62" i="14"/>
  <c r="BC176" i="14"/>
  <c r="BC177" i="14" s="1"/>
  <c r="BD229" i="14"/>
  <c r="BC139" i="14"/>
  <c r="BC140" i="14" s="1"/>
  <c r="BQ193" i="2"/>
  <c r="CE199" i="2"/>
  <c r="BQ201" i="2"/>
  <c r="BQ202" i="2"/>
  <c r="AS205" i="2"/>
  <c r="AS202" i="2"/>
  <c r="AS211" i="2"/>
  <c r="AS193" i="2"/>
  <c r="AS203" i="2"/>
  <c r="AT199" i="2"/>
  <c r="AS201" i="2"/>
  <c r="AY632" i="2"/>
  <c r="AY872" i="34"/>
  <c r="AX634" i="2"/>
  <c r="AX879" i="34" s="1"/>
  <c r="AX877" i="34"/>
  <c r="AX633" i="2"/>
  <c r="AX878" i="34" s="1"/>
  <c r="BA628" i="2"/>
  <c r="AZ627" i="2"/>
  <c r="AZ873" i="34"/>
  <c r="BT186" i="2"/>
  <c r="BT183" i="2"/>
  <c r="BT184" i="2" s="1"/>
  <c r="BC179" i="2"/>
  <c r="BC178" i="2"/>
  <c r="BC175" i="2"/>
  <c r="BC176" i="2" s="1"/>
  <c r="BC177" i="2"/>
  <c r="BT189" i="2"/>
  <c r="BT91" i="2"/>
  <c r="BD94" i="2"/>
  <c r="BD169" i="2"/>
  <c r="BD174" i="2" s="1"/>
  <c r="BD93" i="2"/>
  <c r="BD185" i="2"/>
  <c r="BD186" i="2"/>
  <c r="BD187" i="2"/>
  <c r="BD183" i="2"/>
  <c r="BD184" i="2" s="1"/>
  <c r="AX484" i="2"/>
  <c r="AX483" i="2"/>
  <c r="AX481" i="2"/>
  <c r="AX482" i="2"/>
  <c r="AY362" i="2"/>
  <c r="AY969" i="34" s="1"/>
  <c r="AY322" i="2"/>
  <c r="AY935" i="34" s="1"/>
  <c r="AY480" i="2"/>
  <c r="AY338" i="2"/>
  <c r="AY945" i="34" s="1"/>
  <c r="AY324" i="2"/>
  <c r="AY937" i="34" s="1"/>
  <c r="AY326" i="2"/>
  <c r="AY346" i="2"/>
  <c r="AY953" i="34" s="1"/>
  <c r="AY321" i="2"/>
  <c r="AY934" i="34" s="1"/>
  <c r="AY323" i="2"/>
  <c r="AY936" i="34" s="1"/>
  <c r="AY933" i="34"/>
  <c r="AZ320" i="2"/>
  <c r="BS349" i="2"/>
  <c r="AZ350" i="2"/>
  <c r="AZ957" i="34" s="1"/>
  <c r="AZ355" i="2"/>
  <c r="AZ962" i="34" s="1"/>
  <c r="AZ956" i="34"/>
  <c r="AZ354" i="2"/>
  <c r="AZ961" i="34" s="1"/>
  <c r="AZ353" i="2"/>
  <c r="AZ960" i="34" s="1"/>
  <c r="AZ351" i="2"/>
  <c r="AZ958" i="34" s="1"/>
  <c r="BA363" i="2"/>
  <c r="BA970" i="34" s="1"/>
  <c r="BA344" i="2"/>
  <c r="BA951" i="34" s="1"/>
  <c r="BA342" i="2"/>
  <c r="BA949" i="34" s="1"/>
  <c r="BA349" i="2"/>
  <c r="BA956" i="34" s="1"/>
  <c r="BB341" i="2"/>
  <c r="BB948" i="34" s="1"/>
  <c r="BA345" i="2"/>
  <c r="BA952" i="34" s="1"/>
  <c r="BS342" i="2"/>
  <c r="BS344" i="2"/>
  <c r="BS948" i="34"/>
  <c r="BS363" i="2"/>
  <c r="CG341" i="2"/>
  <c r="AY471" i="34"/>
  <c r="AU389" i="34"/>
  <c r="BO654" i="2"/>
  <c r="BO657" i="2"/>
  <c r="BO904" i="34" s="1"/>
  <c r="BO900" i="34"/>
  <c r="AX532" i="34"/>
  <c r="BR1009" i="34"/>
  <c r="AN1113" i="34"/>
  <c r="AO453" i="2"/>
  <c r="AX1006" i="34"/>
  <c r="AX384" i="2"/>
  <c r="AX1008" i="34" s="1"/>
  <c r="AX383" i="2"/>
  <c r="AX1007" i="34" s="1"/>
  <c r="AJ902" i="34"/>
  <c r="AJ391" i="34"/>
  <c r="AL460" i="2"/>
  <c r="AL1120" i="34" s="1"/>
  <c r="AL462" i="2"/>
  <c r="AL1122" i="34" s="1"/>
  <c r="AL461" i="2"/>
  <c r="AL1121" i="34" s="1"/>
  <c r="AL1119" i="34"/>
  <c r="AL405" i="2"/>
  <c r="AL1030" i="34" s="1"/>
  <c r="AL404" i="2"/>
  <c r="AL1029" i="34" s="1"/>
  <c r="AL403" i="2"/>
  <c r="AL1028" i="34" s="1"/>
  <c r="AL1027" i="34"/>
  <c r="AY1009" i="34"/>
  <c r="AY382" i="2"/>
  <c r="AU410" i="34"/>
  <c r="BO1120" i="34"/>
  <c r="AZ385" i="2"/>
  <c r="AM650" i="2"/>
  <c r="AM455" i="2"/>
  <c r="AM1115" i="34" s="1"/>
  <c r="AM1112" i="34"/>
  <c r="AM457" i="2"/>
  <c r="AM1117" i="34" s="1"/>
  <c r="AM456" i="2"/>
  <c r="AM1116" i="34" s="1"/>
  <c r="AM459" i="2"/>
  <c r="AN452" i="2"/>
  <c r="AM1033" i="34"/>
  <c r="AM402" i="2"/>
  <c r="AM410" i="2"/>
  <c r="AM1035" i="34" s="1"/>
  <c r="AM409" i="2"/>
  <c r="AM1034" i="34" s="1"/>
  <c r="AU553" i="34"/>
  <c r="BO1030" i="34"/>
  <c r="AK655" i="2"/>
  <c r="AK902" i="34" s="1"/>
  <c r="AK901" i="34"/>
  <c r="AU387" i="34"/>
  <c r="BO898" i="34"/>
  <c r="BO1028" i="34"/>
  <c r="AU551" i="34"/>
  <c r="AU412" i="34"/>
  <c r="BO1122" i="34"/>
  <c r="AX530" i="34"/>
  <c r="BR1007" i="34"/>
  <c r="AL653" i="2"/>
  <c r="AL651" i="2"/>
  <c r="AL898" i="34" s="1"/>
  <c r="AL897" i="34"/>
  <c r="AN1036" i="34"/>
  <c r="AN408" i="2"/>
  <c r="AR409" i="2" s="1"/>
  <c r="AO411" i="2"/>
  <c r="AU446" i="2"/>
  <c r="AT450" i="2"/>
  <c r="AT1110" i="34" s="1"/>
  <c r="AT1106" i="34"/>
  <c r="AT449" i="2"/>
  <c r="AT1109" i="34" s="1"/>
  <c r="AT392" i="2"/>
  <c r="BQ1109" i="34"/>
  <c r="AW399" i="34"/>
  <c r="AS1016" i="34"/>
  <c r="AS394" i="2"/>
  <c r="AS1018" i="34" s="1"/>
  <c r="AS393" i="2"/>
  <c r="AS1017" i="34" s="1"/>
  <c r="BQ1016" i="34"/>
  <c r="AW539" i="34"/>
  <c r="CE392" i="2"/>
  <c r="BQ393" i="2"/>
  <c r="AW398" i="34"/>
  <c r="BQ1108" i="34"/>
  <c r="BW124" i="2"/>
  <c r="BV126" i="2"/>
  <c r="BW245" i="14"/>
  <c r="BD361" i="2"/>
  <c r="BD968" i="34" s="1"/>
  <c r="BD360" i="2"/>
  <c r="BD967" i="34" s="1"/>
  <c r="BD964" i="34"/>
  <c r="BT357" i="2"/>
  <c r="BD416" i="2"/>
  <c r="BC1041" i="34"/>
  <c r="BC88" i="2"/>
  <c r="BC89" i="2" s="1"/>
  <c r="BC419" i="2"/>
  <c r="BC1044" i="34" s="1"/>
  <c r="BC420" i="2"/>
  <c r="BC1045" i="34" s="1"/>
  <c r="BB516" i="2"/>
  <c r="BB752" i="34" s="1"/>
  <c r="BB514" i="2"/>
  <c r="BB750" i="34" s="1"/>
  <c r="BB515" i="2"/>
  <c r="BB751" i="34" s="1"/>
  <c r="BB512" i="2"/>
  <c r="BB748" i="34" s="1"/>
  <c r="BS507" i="2"/>
  <c r="BS743" i="34" s="1"/>
  <c r="BS532" i="2"/>
  <c r="BS508" i="2"/>
  <c r="BS744" i="34" s="1"/>
  <c r="BS742" i="34"/>
  <c r="BA549" i="2"/>
  <c r="BA550" i="2"/>
  <c r="BA546" i="2"/>
  <c r="BA547" i="2" s="1"/>
  <c r="BA548" i="2"/>
  <c r="AY538" i="2"/>
  <c r="AY783" i="34"/>
  <c r="AY540" i="2"/>
  <c r="AY786" i="34" s="1"/>
  <c r="AY541" i="2"/>
  <c r="AY787" i="34" s="1"/>
  <c r="AY542" i="2"/>
  <c r="AY788" i="34" s="1"/>
  <c r="AX539" i="2"/>
  <c r="AX785" i="34" s="1"/>
  <c r="AX784" i="34"/>
  <c r="AX195" i="14"/>
  <c r="AX233" i="14"/>
  <c r="AX234" i="14"/>
  <c r="AX232" i="14"/>
  <c r="AX313" i="2"/>
  <c r="AX926" i="34" s="1"/>
  <c r="AX314" i="2"/>
  <c r="AX927" i="34" s="1"/>
  <c r="AX305" i="2"/>
  <c r="AX925" i="34"/>
  <c r="AX315" i="2"/>
  <c r="AX928" i="34" s="1"/>
  <c r="BR139" i="14"/>
  <c r="BR140" i="14" s="1"/>
  <c r="BR176" i="14"/>
  <c r="BR230" i="14"/>
  <c r="AW918" i="34"/>
  <c r="AW309" i="2"/>
  <c r="AW922" i="34" s="1"/>
  <c r="AW308" i="2"/>
  <c r="AW921" i="34" s="1"/>
  <c r="AW306" i="2"/>
  <c r="AW919" i="34" s="1"/>
  <c r="AW307" i="2"/>
  <c r="AW920" i="34" s="1"/>
  <c r="AY929" i="34"/>
  <c r="AZ316" i="2"/>
  <c r="AY312" i="2"/>
  <c r="AX439" i="34"/>
  <c r="BR918" i="34"/>
  <c r="BR307" i="2"/>
  <c r="BR306" i="2"/>
  <c r="BR309" i="2"/>
  <c r="BB545" i="2"/>
  <c r="AZ227" i="14"/>
  <c r="BB552" i="2"/>
  <c r="BB553" i="2" s="1"/>
  <c r="AZ778" i="34"/>
  <c r="AZ106" i="14"/>
  <c r="AZ107" i="14" s="1"/>
  <c r="AZ537" i="2"/>
  <c r="AX689" i="34"/>
  <c r="BR237" i="14"/>
  <c r="AX690" i="34" s="1"/>
  <c r="BA509" i="2"/>
  <c r="BA745" i="34" s="1"/>
  <c r="BA508" i="2"/>
  <c r="BA744" i="34" s="1"/>
  <c r="BA579" i="2"/>
  <c r="BA818" i="34" s="1"/>
  <c r="BA532" i="2"/>
  <c r="BB506" i="2"/>
  <c r="BB742" i="34" s="1"/>
  <c r="BC511" i="2"/>
  <c r="AY228" i="14"/>
  <c r="AY231" i="14"/>
  <c r="BA513" i="2"/>
  <c r="BA749" i="34" s="1"/>
  <c r="BB503" i="2"/>
  <c r="BB739" i="34" s="1"/>
  <c r="BB499" i="2"/>
  <c r="BB736" i="34" s="1"/>
  <c r="BB501" i="2"/>
  <c r="BB737" i="34" s="1"/>
  <c r="BB502" i="2"/>
  <c r="BB738" i="34" s="1"/>
  <c r="AZ1020" i="34"/>
  <c r="AZ398" i="2"/>
  <c r="AZ1022" i="34" s="1"/>
  <c r="AZ397" i="2"/>
  <c r="AZ1021" i="34" s="1"/>
  <c r="BC428" i="2"/>
  <c r="BC429" i="2"/>
  <c r="BC430" i="2"/>
  <c r="BS524" i="2"/>
  <c r="BS760" i="34" s="1"/>
  <c r="BS759" i="34"/>
  <c r="BS995" i="34"/>
  <c r="BS373" i="2"/>
  <c r="BS374" i="2"/>
  <c r="AY518" i="34"/>
  <c r="CG371" i="2"/>
  <c r="BS396" i="2"/>
  <c r="BD87" i="2"/>
  <c r="BD86" i="2"/>
  <c r="BT83" i="2"/>
  <c r="BD85" i="2"/>
  <c r="BD427" i="2"/>
  <c r="BA524" i="2"/>
  <c r="BA760" i="34" s="1"/>
  <c r="BS499" i="2"/>
  <c r="BS502" i="2"/>
  <c r="BS738" i="34" s="1"/>
  <c r="BS987" i="34"/>
  <c r="BS165" i="2"/>
  <c r="BS988" i="34" s="1"/>
  <c r="BA374" i="2"/>
  <c r="BA998" i="34" s="1"/>
  <c r="BA375" i="2"/>
  <c r="BA999" i="34" s="1"/>
  <c r="BB371" i="2"/>
  <c r="BB995" i="34" s="1"/>
  <c r="BA396" i="2"/>
  <c r="BA1020" i="34" s="1"/>
  <c r="BA500" i="2"/>
  <c r="BD76" i="2"/>
  <c r="BS756" i="34"/>
  <c r="BS527" i="2"/>
  <c r="BC372" i="2"/>
  <c r="BB373" i="2"/>
  <c r="BB997" i="34" s="1"/>
  <c r="BC77" i="2"/>
  <c r="BC78" i="2" s="1"/>
  <c r="BC79" i="2"/>
  <c r="BC81" i="2"/>
  <c r="BC80" i="2"/>
  <c r="BC336" i="2"/>
  <c r="BC943" i="34" s="1"/>
  <c r="BC940" i="34"/>
  <c r="BD333" i="2"/>
  <c r="BC334" i="2"/>
  <c r="BC941" i="34" s="1"/>
  <c r="BC337" i="2"/>
  <c r="BC944" i="34" s="1"/>
  <c r="BC518" i="2"/>
  <c r="BB521" i="2"/>
  <c r="BB757" i="34" s="1"/>
  <c r="BB520" i="2"/>
  <c r="BB756" i="34" s="1"/>
  <c r="BB522" i="2"/>
  <c r="BB758" i="34" s="1"/>
  <c r="BB523" i="2"/>
  <c r="BB759" i="34" s="1"/>
  <c r="AU1011" i="34"/>
  <c r="AU377" i="2"/>
  <c r="AU389" i="2"/>
  <c r="AU1013" i="34" s="1"/>
  <c r="AU388" i="2"/>
  <c r="AU1012" i="34" s="1"/>
  <c r="AS425" i="2"/>
  <c r="AS1050" i="34" s="1"/>
  <c r="AS1047" i="34"/>
  <c r="AS423" i="2"/>
  <c r="AS1048" i="34" s="1"/>
  <c r="AS424" i="2"/>
  <c r="AS1049" i="34" s="1"/>
  <c r="AS165" i="2"/>
  <c r="AS988" i="34" s="1"/>
  <c r="AS987" i="34"/>
  <c r="BY50" i="14"/>
  <c r="BY49" i="14"/>
  <c r="BR202" i="1"/>
  <c r="AW188" i="34" s="1"/>
  <c r="AR1230" i="34"/>
  <c r="AS37" i="1"/>
  <c r="AS270" i="1"/>
  <c r="BQ1047" i="34"/>
  <c r="BQ423" i="2"/>
  <c r="BQ425" i="2"/>
  <c r="AW570" i="34"/>
  <c r="AU208" i="14"/>
  <c r="AU266" i="1"/>
  <c r="AU226" i="1"/>
  <c r="AU248" i="1"/>
  <c r="AV387" i="2"/>
  <c r="AV1014" i="34"/>
  <c r="AW390" i="2"/>
  <c r="AS237" i="14"/>
  <c r="AS238" i="14"/>
  <c r="AS793" i="34"/>
  <c r="AS557" i="2"/>
  <c r="AS794" i="34" s="1"/>
  <c r="AS559" i="2"/>
  <c r="AY191" i="1"/>
  <c r="AZ191" i="1" s="1"/>
  <c r="CO37" i="1"/>
  <c r="AW28" i="34"/>
  <c r="BQ380" i="2"/>
  <c r="AW537" i="34"/>
  <c r="BQ1014" i="34"/>
  <c r="AS380" i="2"/>
  <c r="AS1004" i="34" s="1"/>
  <c r="AS379" i="2"/>
  <c r="AS1003" i="34" s="1"/>
  <c r="AS1001" i="34"/>
  <c r="AS378" i="2"/>
  <c r="AS1002" i="34" s="1"/>
  <c r="AT379" i="2"/>
  <c r="AT1003" i="34" s="1"/>
  <c r="AT1001" i="34"/>
  <c r="AT378" i="2"/>
  <c r="AT1002" i="34" s="1"/>
  <c r="AT380" i="2"/>
  <c r="AT1004" i="34" s="1"/>
  <c r="AS814" i="34"/>
  <c r="AS576" i="2"/>
  <c r="AT37" i="1"/>
  <c r="AT270" i="1"/>
  <c r="AR558" i="2"/>
  <c r="AR795" i="34" s="1"/>
  <c r="AR796" i="34"/>
  <c r="AR577" i="2"/>
  <c r="AR816" i="34" s="1"/>
  <c r="AR815" i="34"/>
  <c r="AT569" i="2"/>
  <c r="AU562" i="2"/>
  <c r="AU569" i="2" s="1"/>
  <c r="AT564" i="2"/>
  <c r="AT803" i="34" s="1"/>
  <c r="AT164" i="2"/>
  <c r="AT575" i="2"/>
  <c r="AT556" i="2"/>
  <c r="AT422" i="2"/>
  <c r="AT565" i="2"/>
  <c r="AT804" i="34" s="1"/>
  <c r="AT566" i="2"/>
  <c r="AT805" i="34" s="1"/>
  <c r="AT236" i="14"/>
  <c r="AT801" i="34"/>
  <c r="BQ1001" i="34"/>
  <c r="BQ378" i="2"/>
  <c r="AW524" i="34"/>
  <c r="CE377" i="2"/>
  <c r="BY42" i="2"/>
  <c r="BY704" i="34" s="1"/>
  <c r="BS191" i="1"/>
  <c r="AX180" i="34" s="1"/>
  <c r="AX157" i="34"/>
  <c r="AW535" i="34"/>
  <c r="BQ1012" i="34"/>
  <c r="AW255" i="34"/>
  <c r="AX297" i="34"/>
  <c r="BR713" i="34"/>
  <c r="BB38" i="2"/>
  <c r="BB37" i="2"/>
  <c r="BR710" i="34"/>
  <c r="AX294" i="34"/>
  <c r="BR712" i="34"/>
  <c r="AX296" i="34"/>
  <c r="BC26" i="1"/>
  <c r="BC138" i="2"/>
  <c r="BC34" i="2"/>
  <c r="BD136" i="2"/>
  <c r="BT136" i="2" s="1"/>
  <c r="BC139" i="2"/>
  <c r="BC140" i="2"/>
  <c r="AT1223" i="34"/>
  <c r="AW884" i="34"/>
  <c r="AW640" i="2"/>
  <c r="AW885" i="34" s="1"/>
  <c r="BB160" i="2"/>
  <c r="BB159" i="2"/>
  <c r="BC157" i="2"/>
  <c r="BB161" i="2"/>
  <c r="AU892" i="34"/>
  <c r="AU647" i="2"/>
  <c r="AU894" i="34" s="1"/>
  <c r="AC6" i="2"/>
  <c r="AB5" i="2"/>
  <c r="BM123" i="1"/>
  <c r="AR111" i="34" s="1"/>
  <c r="AR93" i="34"/>
  <c r="AX606" i="2"/>
  <c r="AX849" i="34" s="1"/>
  <c r="AX847" i="34"/>
  <c r="AX605" i="2"/>
  <c r="AX848" i="34" s="1"/>
  <c r="AX639" i="2"/>
  <c r="BR891" i="34"/>
  <c r="BR646" i="2"/>
  <c r="BR893" i="34" s="1"/>
  <c r="AX382" i="34"/>
  <c r="BR645" i="2"/>
  <c r="BM253" i="1"/>
  <c r="AR239" i="34" s="1"/>
  <c r="BM252" i="1"/>
  <c r="AR238" i="34" s="1"/>
  <c r="AR235" i="34"/>
  <c r="B38" i="3"/>
  <c r="CM249" i="1"/>
  <c r="BM250" i="1"/>
  <c r="AR236" i="34" s="1"/>
  <c r="C62" i="3"/>
  <c r="AY842" i="34"/>
  <c r="AY604" i="2"/>
  <c r="AR103" i="34"/>
  <c r="BM121" i="1"/>
  <c r="AR109" i="34" s="1"/>
  <c r="Q238" i="1"/>
  <c r="P227" i="34"/>
  <c r="P242" i="1"/>
  <c r="P228" i="34" s="1"/>
  <c r="BC176" i="1"/>
  <c r="BY86" i="1"/>
  <c r="BY90" i="1" s="1"/>
  <c r="BX84" i="1"/>
  <c r="BX83" i="1" s="1"/>
  <c r="AV891" i="34"/>
  <c r="AV645" i="2"/>
  <c r="AV646" i="2"/>
  <c r="AV893" i="34" s="1"/>
  <c r="AA6" i="1"/>
  <c r="D62" i="3"/>
  <c r="BN250" i="1"/>
  <c r="AS236" i="34" s="1"/>
  <c r="BA600" i="2"/>
  <c r="AZ843" i="34"/>
  <c r="AZ599" i="2"/>
  <c r="BJ242" i="1"/>
  <c r="AO228" i="34" s="1"/>
  <c r="AO227" i="34"/>
  <c r="BK238" i="1"/>
  <c r="BR885" i="34"/>
  <c r="AX378" i="34"/>
  <c r="BA537" i="2" l="1"/>
  <c r="BA783" i="34" s="1"/>
  <c r="BA778" i="34"/>
  <c r="BX242" i="2"/>
  <c r="BX220" i="2" s="1"/>
  <c r="AG6" i="14"/>
  <c r="AF5" i="14"/>
  <c r="BA618" i="2"/>
  <c r="BS618" i="2"/>
  <c r="AZ862" i="34"/>
  <c r="AZ619" i="2"/>
  <c r="AZ863" i="34" s="1"/>
  <c r="AZ620" i="2"/>
  <c r="AZ864" i="34" s="1"/>
  <c r="BC614" i="2"/>
  <c r="BB613" i="2"/>
  <c r="BS614" i="2"/>
  <c r="BS857" i="34"/>
  <c r="AY358" i="34"/>
  <c r="BW794" i="34"/>
  <c r="BW558" i="2"/>
  <c r="BW795" i="34" s="1"/>
  <c r="BY247" i="2"/>
  <c r="BY242" i="2" s="1"/>
  <c r="BX557" i="2"/>
  <c r="BX792" i="34"/>
  <c r="BY555" i="2"/>
  <c r="BC792" i="34"/>
  <c r="BD555" i="2"/>
  <c r="BD792" i="34" s="1"/>
  <c r="AA5" i="4"/>
  <c r="AA26" i="4"/>
  <c r="AA1305" i="34" s="1"/>
  <c r="AB8" i="4"/>
  <c r="AC27" i="40"/>
  <c r="AC5" i="40"/>
  <c r="AC6" i="34"/>
  <c r="B40" i="3"/>
  <c r="B64" i="3" s="1"/>
  <c r="BS106" i="14"/>
  <c r="BS107" i="14" s="1"/>
  <c r="AX1279" i="34"/>
  <c r="AX90" i="1"/>
  <c r="AW1277" i="34"/>
  <c r="AW83" i="1"/>
  <c r="BD139" i="14"/>
  <c r="BD140" i="14" s="1"/>
  <c r="BD176" i="14"/>
  <c r="BD177" i="14" s="1"/>
  <c r="AS208" i="2"/>
  <c r="AS207" i="2"/>
  <c r="AS206" i="2"/>
  <c r="AS209" i="2"/>
  <c r="BQ196" i="2"/>
  <c r="BQ194" i="2"/>
  <c r="AS196" i="2"/>
  <c r="AS194" i="2"/>
  <c r="AT203" i="2"/>
  <c r="AT211" i="2"/>
  <c r="AT202" i="2"/>
  <c r="AT201" i="2"/>
  <c r="AT193" i="2"/>
  <c r="AU199" i="2"/>
  <c r="AT205" i="2"/>
  <c r="AZ632" i="2"/>
  <c r="AZ872" i="34"/>
  <c r="BS627" i="2"/>
  <c r="BB628" i="2"/>
  <c r="BA627" i="2"/>
  <c r="AY634" i="2"/>
  <c r="AY879" i="34" s="1"/>
  <c r="AY633" i="2"/>
  <c r="AY878" i="34" s="1"/>
  <c r="AY877" i="34"/>
  <c r="BT169" i="2"/>
  <c r="BT93" i="2"/>
  <c r="BT92" i="2"/>
  <c r="BU92" i="2" s="1"/>
  <c r="BV92" i="2" s="1"/>
  <c r="BW92" i="2" s="1"/>
  <c r="BX92" i="2" s="1"/>
  <c r="BY92" i="2" s="1"/>
  <c r="BD175" i="2"/>
  <c r="BD176" i="2" s="1"/>
  <c r="BD177" i="2"/>
  <c r="BD178" i="2"/>
  <c r="BD179" i="2"/>
  <c r="AY474" i="34"/>
  <c r="BS949" i="34"/>
  <c r="AZ338" i="2"/>
  <c r="AZ945" i="34" s="1"/>
  <c r="AZ362" i="2"/>
  <c r="AZ969" i="34" s="1"/>
  <c r="AZ321" i="2"/>
  <c r="AZ934" i="34" s="1"/>
  <c r="AZ933" i="34"/>
  <c r="BS320" i="2"/>
  <c r="BS352" i="2" s="1"/>
  <c r="AZ480" i="2"/>
  <c r="AZ323" i="2"/>
  <c r="AZ936" i="34" s="1"/>
  <c r="AZ324" i="2"/>
  <c r="AZ937" i="34" s="1"/>
  <c r="AZ346" i="2"/>
  <c r="AZ953" i="34" s="1"/>
  <c r="AZ322" i="2"/>
  <c r="AZ935" i="34" s="1"/>
  <c r="AY493" i="34"/>
  <c r="BS970" i="34"/>
  <c r="AY329" i="2"/>
  <c r="AY327" i="2"/>
  <c r="AY328" i="2" s="1"/>
  <c r="AY331" i="2"/>
  <c r="AY330" i="2"/>
  <c r="AY484" i="2"/>
  <c r="AY482" i="2"/>
  <c r="AY483" i="2"/>
  <c r="AY481" i="2"/>
  <c r="BB342" i="2"/>
  <c r="BB949" i="34" s="1"/>
  <c r="BB363" i="2"/>
  <c r="BB970" i="34" s="1"/>
  <c r="BC341" i="2"/>
  <c r="BB344" i="2"/>
  <c r="BB951" i="34" s="1"/>
  <c r="BB349" i="2"/>
  <c r="BB956" i="34" s="1"/>
  <c r="BB345" i="2"/>
  <c r="BB952" i="34" s="1"/>
  <c r="BS951" i="34"/>
  <c r="AY473" i="34"/>
  <c r="BA320" i="2"/>
  <c r="BA355" i="2"/>
  <c r="BA962" i="34" s="1"/>
  <c r="BA354" i="2"/>
  <c r="BA961" i="34" s="1"/>
  <c r="BA350" i="2"/>
  <c r="BA957" i="34" s="1"/>
  <c r="BA351" i="2"/>
  <c r="BA958" i="34" s="1"/>
  <c r="BA353" i="2"/>
  <c r="BA960" i="34" s="1"/>
  <c r="AZ352" i="2"/>
  <c r="AZ959" i="34" s="1"/>
  <c r="BS354" i="2"/>
  <c r="BS956" i="34"/>
  <c r="AY479" i="34"/>
  <c r="BS350" i="2"/>
  <c r="BS353" i="2"/>
  <c r="AZ326" i="2"/>
  <c r="AO408" i="2"/>
  <c r="AO1036" i="34"/>
  <c r="AP411" i="2"/>
  <c r="AQ411" i="2" s="1"/>
  <c r="AQ408" i="2" s="1"/>
  <c r="AR410" i="2" s="1"/>
  <c r="AM1119" i="34"/>
  <c r="AM462" i="2"/>
  <c r="AM1122" i="34" s="1"/>
  <c r="AM461" i="2"/>
  <c r="AM1121" i="34" s="1"/>
  <c r="AM460" i="2"/>
  <c r="AM1120" i="34" s="1"/>
  <c r="AP453" i="2"/>
  <c r="AO1113" i="34"/>
  <c r="BP408" i="2"/>
  <c r="AN410" i="2"/>
  <c r="AN1035" i="34" s="1"/>
  <c r="AN402" i="2"/>
  <c r="AR403" i="2" s="1"/>
  <c r="AN1033" i="34"/>
  <c r="AN409" i="2"/>
  <c r="AN1034" i="34" s="1"/>
  <c r="AM405" i="2"/>
  <c r="AM1030" i="34" s="1"/>
  <c r="AM404" i="2"/>
  <c r="AM1029" i="34" s="1"/>
  <c r="AM1027" i="34"/>
  <c r="AM403" i="2"/>
  <c r="AM1028" i="34" s="1"/>
  <c r="AM897" i="34"/>
  <c r="AM651" i="2"/>
  <c r="AM898" i="34" s="1"/>
  <c r="AY384" i="2"/>
  <c r="AY1008" i="34" s="1"/>
  <c r="AY1006" i="34"/>
  <c r="AY383" i="2"/>
  <c r="AY1007" i="34" s="1"/>
  <c r="AL900" i="34"/>
  <c r="AL654" i="2"/>
  <c r="AL660" i="2"/>
  <c r="AL907" i="34" s="1"/>
  <c r="AL657" i="2"/>
  <c r="AL904" i="34" s="1"/>
  <c r="AZ1009" i="34"/>
  <c r="BA385" i="2"/>
  <c r="BA1009" i="34" s="1"/>
  <c r="AZ382" i="2"/>
  <c r="AU390" i="34"/>
  <c r="BO901" i="34"/>
  <c r="AM653" i="2"/>
  <c r="AN455" i="2"/>
  <c r="AN1115" i="34" s="1"/>
  <c r="AN1112" i="34"/>
  <c r="AN459" i="2"/>
  <c r="AO452" i="2"/>
  <c r="AN457" i="2"/>
  <c r="AN1117" i="34" s="1"/>
  <c r="BP452" i="2"/>
  <c r="AN456" i="2"/>
  <c r="AN1116" i="34" s="1"/>
  <c r="AN650" i="2"/>
  <c r="AW540" i="34"/>
  <c r="BQ1017" i="34"/>
  <c r="AT393" i="2"/>
  <c r="AT1017" i="34" s="1"/>
  <c r="AT394" i="2"/>
  <c r="AT1018" i="34" s="1"/>
  <c r="AT1016" i="34"/>
  <c r="AU392" i="2"/>
  <c r="AV446" i="2"/>
  <c r="AU450" i="2"/>
  <c r="AU1110" i="34" s="1"/>
  <c r="AU1106" i="34"/>
  <c r="AU449" i="2"/>
  <c r="AU1109" i="34" s="1"/>
  <c r="BW126" i="2"/>
  <c r="BX124" i="2"/>
  <c r="BX245" i="14"/>
  <c r="BY245" i="14"/>
  <c r="BT359" i="2"/>
  <c r="BT360" i="2"/>
  <c r="BT964" i="34"/>
  <c r="AZ487" i="34"/>
  <c r="BD1041" i="34"/>
  <c r="BD420" i="2"/>
  <c r="BD1045" i="34" s="1"/>
  <c r="BD419" i="2"/>
  <c r="BD1044" i="34" s="1"/>
  <c r="BT416" i="2"/>
  <c r="BD88" i="2"/>
  <c r="BD89" i="2" s="1"/>
  <c r="BR919" i="34"/>
  <c r="AX440" i="34"/>
  <c r="BB513" i="2"/>
  <c r="BB749" i="34" s="1"/>
  <c r="BC516" i="2"/>
  <c r="BC752" i="34" s="1"/>
  <c r="BC515" i="2"/>
  <c r="BC751" i="34" s="1"/>
  <c r="BC514" i="2"/>
  <c r="BC750" i="34" s="1"/>
  <c r="BC512" i="2"/>
  <c r="BC747" i="34"/>
  <c r="AZ783" i="34"/>
  <c r="AZ542" i="2"/>
  <c r="AZ788" i="34" s="1"/>
  <c r="AZ541" i="2"/>
  <c r="AZ787" i="34" s="1"/>
  <c r="AZ540" i="2"/>
  <c r="AZ786" i="34" s="1"/>
  <c r="AZ538" i="2"/>
  <c r="AX441" i="34"/>
  <c r="BR920" i="34"/>
  <c r="BS537" i="2"/>
  <c r="BS228" i="14"/>
  <c r="BS778" i="34"/>
  <c r="AY195" i="14"/>
  <c r="AY233" i="14"/>
  <c r="AY232" i="14"/>
  <c r="AY234" i="14"/>
  <c r="BD511" i="2"/>
  <c r="BB508" i="2"/>
  <c r="BB744" i="34" s="1"/>
  <c r="BC506" i="2"/>
  <c r="BB532" i="2"/>
  <c r="BB778" i="34" s="1"/>
  <c r="BB579" i="2"/>
  <c r="BB818" i="34" s="1"/>
  <c r="BB509" i="2"/>
  <c r="BB745" i="34" s="1"/>
  <c r="BA542" i="2"/>
  <c r="BA788" i="34" s="1"/>
  <c r="BA540" i="2"/>
  <c r="BA786" i="34" s="1"/>
  <c r="BA538" i="2"/>
  <c r="BA784" i="34" s="1"/>
  <c r="BA541" i="2"/>
  <c r="BA787" i="34" s="1"/>
  <c r="AZ231" i="14"/>
  <c r="AZ228" i="14"/>
  <c r="AY305" i="2"/>
  <c r="AY925" i="34"/>
  <c r="AY315" i="2"/>
  <c r="AY928" i="34" s="1"/>
  <c r="AY313" i="2"/>
  <c r="AY926" i="34" s="1"/>
  <c r="AY314" i="2"/>
  <c r="AY927" i="34" s="1"/>
  <c r="AX645" i="34"/>
  <c r="BR177" i="14"/>
  <c r="AX918" i="34"/>
  <c r="AX307" i="2"/>
  <c r="AX920" i="34" s="1"/>
  <c r="AX306" i="2"/>
  <c r="AX919" i="34" s="1"/>
  <c r="AX308" i="2"/>
  <c r="AX921" i="34" s="1"/>
  <c r="AX309" i="2"/>
  <c r="AX922" i="34" s="1"/>
  <c r="AY784" i="34"/>
  <c r="AY539" i="2"/>
  <c r="AY785" i="34" s="1"/>
  <c r="BC545" i="2"/>
  <c r="BA106" i="14"/>
  <c r="BC552" i="2"/>
  <c r="BC553" i="2" s="1"/>
  <c r="BA227" i="14"/>
  <c r="BB550" i="2"/>
  <c r="BB546" i="2"/>
  <c r="BB547" i="2" s="1"/>
  <c r="BB549" i="2"/>
  <c r="BB548" i="2"/>
  <c r="AX443" i="34"/>
  <c r="BR922" i="34"/>
  <c r="BA316" i="2"/>
  <c r="BA929" i="34" s="1"/>
  <c r="AZ929" i="34"/>
  <c r="AZ312" i="2"/>
  <c r="BR133" i="14"/>
  <c r="BD518" i="2"/>
  <c r="BC521" i="2"/>
  <c r="BC757" i="34" s="1"/>
  <c r="BC754" i="34"/>
  <c r="BC520" i="2"/>
  <c r="BC756" i="34" s="1"/>
  <c r="BC522" i="2"/>
  <c r="BC758" i="34" s="1"/>
  <c r="BC523" i="2"/>
  <c r="BC996" i="34"/>
  <c r="BD372" i="2"/>
  <c r="BC373" i="2"/>
  <c r="BC997" i="34" s="1"/>
  <c r="BA397" i="2"/>
  <c r="BA1021" i="34" s="1"/>
  <c r="BA398" i="2"/>
  <c r="BA1022" i="34" s="1"/>
  <c r="BD429" i="2"/>
  <c r="BD428" i="2"/>
  <c r="BD430" i="2"/>
  <c r="BT333" i="2"/>
  <c r="BD336" i="2"/>
  <c r="BD943" i="34" s="1"/>
  <c r="BD940" i="34"/>
  <c r="BD334" i="2"/>
  <c r="BD941" i="34" s="1"/>
  <c r="BD337" i="2"/>
  <c r="BD944" i="34" s="1"/>
  <c r="BS528" i="2"/>
  <c r="BS772" i="34" s="1"/>
  <c r="BS771" i="34"/>
  <c r="BS529" i="2"/>
  <c r="BS773" i="34" s="1"/>
  <c r="BD77" i="2"/>
  <c r="BD78" i="2" s="1"/>
  <c r="BD81" i="2"/>
  <c r="BD79" i="2"/>
  <c r="BD80" i="2"/>
  <c r="BB375" i="2"/>
  <c r="BB999" i="34" s="1"/>
  <c r="BB374" i="2"/>
  <c r="BB998" i="34" s="1"/>
  <c r="BC371" i="2"/>
  <c r="BB396" i="2"/>
  <c r="BB1020" i="34" s="1"/>
  <c r="BS500" i="2"/>
  <c r="BS736" i="34"/>
  <c r="CG396" i="2"/>
  <c r="BS397" i="2"/>
  <c r="AY543" i="34"/>
  <c r="BS1020" i="34"/>
  <c r="AY521" i="34"/>
  <c r="BS998" i="34"/>
  <c r="BB500" i="2"/>
  <c r="BB524" i="2"/>
  <c r="BB760" i="34" s="1"/>
  <c r="BC498" i="2"/>
  <c r="BC735" i="34" s="1"/>
  <c r="BT85" i="2"/>
  <c r="BU85" i="2" s="1"/>
  <c r="BV85" i="2" s="1"/>
  <c r="BT86" i="2"/>
  <c r="BT76" i="2"/>
  <c r="BS997" i="34"/>
  <c r="AY520" i="34"/>
  <c r="AU570" i="2"/>
  <c r="AU809" i="34" s="1"/>
  <c r="AU571" i="2"/>
  <c r="AU810" i="34" s="1"/>
  <c r="AU573" i="2"/>
  <c r="AU812" i="34" s="1"/>
  <c r="AU808" i="34"/>
  <c r="AU572" i="2"/>
  <c r="AU811" i="34" s="1"/>
  <c r="BQ1002" i="34"/>
  <c r="AW525" i="34"/>
  <c r="AT165" i="2"/>
  <c r="AT988" i="34" s="1"/>
  <c r="AT987" i="34"/>
  <c r="BQ1004" i="34"/>
  <c r="AW527" i="34"/>
  <c r="AV262" i="1"/>
  <c r="AV261" i="1"/>
  <c r="AV104" i="1"/>
  <c r="AV265" i="1"/>
  <c r="AV220" i="1"/>
  <c r="BS258" i="1"/>
  <c r="BS260" i="1" s="1"/>
  <c r="V17" i="40" s="1"/>
  <c r="AS796" i="34"/>
  <c r="AS558" i="2"/>
  <c r="AS795" i="34" s="1"/>
  <c r="AT424" i="2"/>
  <c r="AT1049" i="34" s="1"/>
  <c r="AT423" i="2"/>
  <c r="AT1048" i="34" s="1"/>
  <c r="AT425" i="2"/>
  <c r="AT1050" i="34" s="1"/>
  <c r="AT1047" i="34"/>
  <c r="AW387" i="2"/>
  <c r="AW1014" i="34"/>
  <c r="AX390" i="2"/>
  <c r="AW573" i="34"/>
  <c r="BQ1050" i="34"/>
  <c r="AU378" i="2"/>
  <c r="AU1002" i="34" s="1"/>
  <c r="AU1001" i="34"/>
  <c r="AU379" i="2"/>
  <c r="AU1003" i="34" s="1"/>
  <c r="AU380" i="2"/>
  <c r="AU1004" i="34" s="1"/>
  <c r="AT237" i="14"/>
  <c r="AT238" i="14"/>
  <c r="AT557" i="2"/>
  <c r="AT794" i="34" s="1"/>
  <c r="AT559" i="2"/>
  <c r="AT793" i="34"/>
  <c r="AU565" i="2"/>
  <c r="AU804" i="34" s="1"/>
  <c r="AU566" i="2"/>
  <c r="AU805" i="34" s="1"/>
  <c r="AU164" i="2"/>
  <c r="AV562" i="2"/>
  <c r="AV569" i="2" s="1"/>
  <c r="AU575" i="2"/>
  <c r="AU236" i="14"/>
  <c r="AU422" i="2"/>
  <c r="AU556" i="2"/>
  <c r="AU801" i="34"/>
  <c r="AU564" i="2"/>
  <c r="AU803" i="34" s="1"/>
  <c r="AS577" i="2"/>
  <c r="AS816" i="34" s="1"/>
  <c r="AS815" i="34"/>
  <c r="AW571" i="34"/>
  <c r="BQ1048" i="34"/>
  <c r="AT814" i="34"/>
  <c r="AT576" i="2"/>
  <c r="AT573" i="2"/>
  <c r="AT812" i="34" s="1"/>
  <c r="AT570" i="2"/>
  <c r="AT809" i="34" s="1"/>
  <c r="AT808" i="34"/>
  <c r="AT571" i="2"/>
  <c r="AT810" i="34" s="1"/>
  <c r="AT572" i="2"/>
  <c r="AT811" i="34" s="1"/>
  <c r="AT202" i="1"/>
  <c r="AT1230" i="34"/>
  <c r="AT39" i="1"/>
  <c r="AT41" i="1"/>
  <c r="BA191" i="1"/>
  <c r="BR387" i="2"/>
  <c r="AV1011" i="34"/>
  <c r="AV388" i="2"/>
  <c r="AV1012" i="34" s="1"/>
  <c r="AV389" i="2"/>
  <c r="AV1013" i="34" s="1"/>
  <c r="AV377" i="2"/>
  <c r="AU37" i="1"/>
  <c r="AU270" i="1"/>
  <c r="AS202" i="1"/>
  <c r="AS1230" i="34"/>
  <c r="BT138" i="2"/>
  <c r="BU136" i="2"/>
  <c r="BT139" i="2"/>
  <c r="BC38" i="2"/>
  <c r="BC37" i="2"/>
  <c r="BC1219" i="34"/>
  <c r="BD139" i="2"/>
  <c r="BD138" i="2"/>
  <c r="BD34" i="2"/>
  <c r="BT34" i="2" s="1"/>
  <c r="BD26" i="1"/>
  <c r="BD140" i="2"/>
  <c r="AB6" i="1"/>
  <c r="AZ842" i="34"/>
  <c r="AZ604" i="2"/>
  <c r="BS604" i="2" s="1"/>
  <c r="BS599" i="2"/>
  <c r="AV892" i="34"/>
  <c r="AV647" i="2"/>
  <c r="AV894" i="34" s="1"/>
  <c r="BZ86" i="1"/>
  <c r="BZ90" i="1" s="1"/>
  <c r="BZ84" i="1" s="1"/>
  <c r="BZ83" i="1" s="1"/>
  <c r="BY84" i="1"/>
  <c r="BY83" i="1" s="1"/>
  <c r="BD176" i="1"/>
  <c r="Q224" i="34"/>
  <c r="Q241" i="1"/>
  <c r="B62" i="3"/>
  <c r="AX383" i="34"/>
  <c r="BR892" i="34"/>
  <c r="AX640" i="2"/>
  <c r="AX885" i="34" s="1"/>
  <c r="AX884" i="34"/>
  <c r="BB600" i="2"/>
  <c r="BA599" i="2"/>
  <c r="AY606" i="2"/>
  <c r="AY849" i="34" s="1"/>
  <c r="AY605" i="2"/>
  <c r="AY848" i="34" s="1"/>
  <c r="AY847" i="34"/>
  <c r="AY639" i="2"/>
  <c r="AC5" i="2"/>
  <c r="AD6" i="2"/>
  <c r="BK241" i="1"/>
  <c r="AP224" i="34"/>
  <c r="BC160" i="2"/>
  <c r="BC159" i="2"/>
  <c r="BD157" i="2"/>
  <c r="BC161" i="2"/>
  <c r="BT174" i="2" l="1"/>
  <c r="BT178" i="2" s="1"/>
  <c r="BT227" i="14"/>
  <c r="BA352" i="2"/>
  <c r="BA959" i="34" s="1"/>
  <c r="BA933" i="34"/>
  <c r="BT37" i="2"/>
  <c r="BT35" i="2"/>
  <c r="AQ409" i="2"/>
  <c r="AQ402" i="2"/>
  <c r="AR404" i="2" s="1"/>
  <c r="BX245" i="2"/>
  <c r="BX62" i="14"/>
  <c r="BX243" i="2"/>
  <c r="BX74" i="2" s="1"/>
  <c r="BY225" i="2"/>
  <c r="AH6" i="14"/>
  <c r="AG5" i="14"/>
  <c r="BS858" i="34"/>
  <c r="AY359" i="34"/>
  <c r="BA619" i="2"/>
  <c r="BA620" i="2"/>
  <c r="BB618" i="2"/>
  <c r="BD614" i="2"/>
  <c r="BC858" i="34"/>
  <c r="BC613" i="2"/>
  <c r="BS619" i="2"/>
  <c r="BS863" i="34" s="1"/>
  <c r="BS862" i="34"/>
  <c r="BS620" i="2"/>
  <c r="BS864" i="34" s="1"/>
  <c r="BY220" i="2"/>
  <c r="BY243" i="2"/>
  <c r="BY74" i="2" s="1"/>
  <c r="BX558" i="2"/>
  <c r="BX795" i="34" s="1"/>
  <c r="BX794" i="34"/>
  <c r="BY792" i="34"/>
  <c r="BY557" i="2"/>
  <c r="AD6" i="34"/>
  <c r="AC8" i="4"/>
  <c r="AC26" i="4" s="1"/>
  <c r="AC1305" i="34" s="1"/>
  <c r="AB26" i="4"/>
  <c r="AB1305" i="34" s="1"/>
  <c r="E48" i="3"/>
  <c r="AW1276" i="34"/>
  <c r="BA107" i="14"/>
  <c r="AY86" i="1"/>
  <c r="AX1283" i="34"/>
  <c r="AX84" i="1"/>
  <c r="BY245" i="2"/>
  <c r="BY62" i="14"/>
  <c r="BQ195" i="2"/>
  <c r="AU205" i="2"/>
  <c r="AU203" i="2"/>
  <c r="AU211" i="2"/>
  <c r="AU193" i="2"/>
  <c r="AU201" i="2"/>
  <c r="AV199" i="2"/>
  <c r="AU202" i="2"/>
  <c r="AT207" i="2"/>
  <c r="AT209" i="2"/>
  <c r="AT206" i="2"/>
  <c r="AT208" i="2"/>
  <c r="AS195" i="2"/>
  <c r="AT196" i="2"/>
  <c r="AT194" i="2"/>
  <c r="BC628" i="2"/>
  <c r="BB627" i="2"/>
  <c r="AY368" i="34"/>
  <c r="BS872" i="34"/>
  <c r="BS628" i="2"/>
  <c r="BA632" i="2"/>
  <c r="BS632" i="2"/>
  <c r="BS639" i="2" s="1"/>
  <c r="AZ634" i="2"/>
  <c r="AZ879" i="34" s="1"/>
  <c r="AZ877" i="34"/>
  <c r="AZ633" i="2"/>
  <c r="AZ878" i="34" s="1"/>
  <c r="BU91" i="2"/>
  <c r="BU106" i="14" s="1"/>
  <c r="BS959" i="34"/>
  <c r="AY482" i="34"/>
  <c r="BS960" i="34"/>
  <c r="AY483" i="34"/>
  <c r="BS957" i="34"/>
  <c r="AY480" i="34"/>
  <c r="AY484" i="34"/>
  <c r="BS961" i="34"/>
  <c r="BC363" i="2"/>
  <c r="BC970" i="34" s="1"/>
  <c r="BC948" i="34"/>
  <c r="BC344" i="2"/>
  <c r="BC951" i="34" s="1"/>
  <c r="BC342" i="2"/>
  <c r="BC949" i="34" s="1"/>
  <c r="BD341" i="2"/>
  <c r="BC349" i="2"/>
  <c r="BC345" i="2"/>
  <c r="BC952" i="34" s="1"/>
  <c r="BA321" i="2"/>
  <c r="BA934" i="34" s="1"/>
  <c r="BA338" i="2"/>
  <c r="BA945" i="34" s="1"/>
  <c r="BA323" i="2"/>
  <c r="BA936" i="34" s="1"/>
  <c r="BA362" i="2"/>
  <c r="BA969" i="34" s="1"/>
  <c r="BA480" i="2"/>
  <c r="BA322" i="2"/>
  <c r="BA935" i="34" s="1"/>
  <c r="BA324" i="2"/>
  <c r="BA937" i="34" s="1"/>
  <c r="BA346" i="2"/>
  <c r="BA953" i="34" s="1"/>
  <c r="BB320" i="2"/>
  <c r="BB354" i="2"/>
  <c r="BB961" i="34" s="1"/>
  <c r="BB350" i="2"/>
  <c r="BB957" i="34" s="1"/>
  <c r="BB353" i="2"/>
  <c r="BB960" i="34" s="1"/>
  <c r="BB355" i="2"/>
  <c r="BB962" i="34" s="1"/>
  <c r="BB351" i="2"/>
  <c r="BB958" i="34" s="1"/>
  <c r="BA326" i="2"/>
  <c r="BS933" i="34"/>
  <c r="BS362" i="2"/>
  <c r="BS321" i="2"/>
  <c r="CG320" i="2"/>
  <c r="BS323" i="2"/>
  <c r="AY456" i="34"/>
  <c r="BS480" i="2"/>
  <c r="BS346" i="2"/>
  <c r="BS338" i="2"/>
  <c r="BS326" i="2"/>
  <c r="AZ327" i="2"/>
  <c r="AZ328" i="2" s="1"/>
  <c r="AZ331" i="2"/>
  <c r="AZ330" i="2"/>
  <c r="AZ329" i="2"/>
  <c r="AZ484" i="2"/>
  <c r="AZ482" i="2"/>
  <c r="AZ481" i="2"/>
  <c r="AZ483" i="2"/>
  <c r="BP455" i="2"/>
  <c r="AV402" i="34"/>
  <c r="BP454" i="2"/>
  <c r="CD452" i="2"/>
  <c r="BP650" i="2"/>
  <c r="BP1112" i="34"/>
  <c r="BP457" i="2"/>
  <c r="AN405" i="2"/>
  <c r="AN1030" i="34" s="1"/>
  <c r="AN1027" i="34"/>
  <c r="BP402" i="2"/>
  <c r="AN403" i="2"/>
  <c r="AN1028" i="34" s="1"/>
  <c r="AN404" i="2"/>
  <c r="AN1029" i="34" s="1"/>
  <c r="AP1113" i="34"/>
  <c r="AQ453" i="2"/>
  <c r="AP408" i="2"/>
  <c r="AQ410" i="2" s="1"/>
  <c r="AP1036" i="34"/>
  <c r="AN653" i="2"/>
  <c r="AN651" i="2"/>
  <c r="AN898" i="34" s="1"/>
  <c r="AN897" i="34"/>
  <c r="AO1112" i="34"/>
  <c r="AO456" i="2"/>
  <c r="AO1116" i="34" s="1"/>
  <c r="AP452" i="2"/>
  <c r="AO455" i="2"/>
  <c r="AO1115" i="34" s="1"/>
  <c r="AO650" i="2"/>
  <c r="AO459" i="2"/>
  <c r="AO457" i="2"/>
  <c r="AO1117" i="34" s="1"/>
  <c r="AM660" i="2"/>
  <c r="AM907" i="34" s="1"/>
  <c r="AM657" i="2"/>
  <c r="AM904" i="34" s="1"/>
  <c r="AM654" i="2"/>
  <c r="AM900" i="34"/>
  <c r="AZ384" i="2"/>
  <c r="AZ1008" i="34" s="1"/>
  <c r="AZ383" i="2"/>
  <c r="AZ1007" i="34" s="1"/>
  <c r="AZ1006" i="34"/>
  <c r="BS382" i="2"/>
  <c r="AV556" i="34"/>
  <c r="BP409" i="2"/>
  <c r="BP411" i="2"/>
  <c r="BP1033" i="34"/>
  <c r="AN460" i="2"/>
  <c r="AN1120" i="34" s="1"/>
  <c r="BP459" i="2"/>
  <c r="AN461" i="2"/>
  <c r="AN1121" i="34" s="1"/>
  <c r="AN462" i="2"/>
  <c r="AN1122" i="34" s="1"/>
  <c r="AN1119" i="34"/>
  <c r="BB385" i="2"/>
  <c r="BB1009" i="34" s="1"/>
  <c r="BA382" i="2"/>
  <c r="BA1006" i="34" s="1"/>
  <c r="AL655" i="2"/>
  <c r="AL902" i="34" s="1"/>
  <c r="AL901" i="34"/>
  <c r="AO1033" i="34"/>
  <c r="AO410" i="2"/>
  <c r="AO1035" i="34" s="1"/>
  <c r="AO402" i="2"/>
  <c r="AO409" i="2"/>
  <c r="AO1034" i="34" s="1"/>
  <c r="AV1106" i="34"/>
  <c r="AV449" i="2"/>
  <c r="AV1109" i="34" s="1"/>
  <c r="BR446" i="2"/>
  <c r="AV392" i="2"/>
  <c r="AW446" i="2"/>
  <c r="AV450" i="2"/>
  <c r="AV1110" i="34" s="1"/>
  <c r="AU1016" i="34"/>
  <c r="AU394" i="2"/>
  <c r="AU1018" i="34" s="1"/>
  <c r="AU393" i="2"/>
  <c r="AU1017" i="34" s="1"/>
  <c r="BX126" i="2"/>
  <c r="BY124" i="2"/>
  <c r="BT967" i="34"/>
  <c r="AZ490" i="34"/>
  <c r="BU359" i="2"/>
  <c r="AZ489" i="34"/>
  <c r="BT966" i="34"/>
  <c r="BT419" i="2"/>
  <c r="BT1041" i="34"/>
  <c r="AZ564" i="34"/>
  <c r="BT417" i="2"/>
  <c r="BT418" i="2"/>
  <c r="BT88" i="2"/>
  <c r="BT89" i="2" s="1"/>
  <c r="AZ234" i="14"/>
  <c r="BS231" i="14"/>
  <c r="AZ195" i="14"/>
  <c r="AZ232" i="14"/>
  <c r="AZ233" i="14"/>
  <c r="BD512" i="2"/>
  <c r="BD747" i="34"/>
  <c r="BD515" i="2"/>
  <c r="BD751" i="34" s="1"/>
  <c r="BD514" i="2"/>
  <c r="BD750" i="34" s="1"/>
  <c r="BD516" i="2"/>
  <c r="BD752" i="34" s="1"/>
  <c r="BS98" i="14"/>
  <c r="BS97" i="14" s="1"/>
  <c r="AZ315" i="2"/>
  <c r="AZ928" i="34" s="1"/>
  <c r="AZ314" i="2"/>
  <c r="AZ927" i="34" s="1"/>
  <c r="AZ313" i="2"/>
  <c r="AZ926" i="34" s="1"/>
  <c r="AZ305" i="2"/>
  <c r="BS305" i="2" s="1"/>
  <c r="AZ925" i="34"/>
  <c r="BS312" i="2"/>
  <c r="BB227" i="14"/>
  <c r="BB106" i="14"/>
  <c r="BB107" i="14" s="1"/>
  <c r="BD552" i="2"/>
  <c r="BD553" i="2" s="1"/>
  <c r="BD545" i="2"/>
  <c r="AZ784" i="34"/>
  <c r="AZ539" i="2"/>
  <c r="AZ785" i="34" s="1"/>
  <c r="BB537" i="2"/>
  <c r="BB783" i="34" s="1"/>
  <c r="BC549" i="2"/>
  <c r="BC550" i="2"/>
  <c r="BC546" i="2"/>
  <c r="BC547" i="2" s="1"/>
  <c r="BC548" i="2"/>
  <c r="AY918" i="34"/>
  <c r="AY307" i="2"/>
  <c r="AY920" i="34" s="1"/>
  <c r="AY306" i="2"/>
  <c r="AY919" i="34" s="1"/>
  <c r="AY309" i="2"/>
  <c r="AY922" i="34" s="1"/>
  <c r="AY308" i="2"/>
  <c r="AY921" i="34" s="1"/>
  <c r="BC579" i="2"/>
  <c r="BC818" i="34" s="1"/>
  <c r="BC532" i="2"/>
  <c r="BC537" i="2" s="1"/>
  <c r="BD506" i="2"/>
  <c r="BC509" i="2"/>
  <c r="BC745" i="34" s="1"/>
  <c r="BC508" i="2"/>
  <c r="BC744" i="34" s="1"/>
  <c r="BC742" i="34"/>
  <c r="BB316" i="2"/>
  <c r="BB929" i="34" s="1"/>
  <c r="BA312" i="2"/>
  <c r="BA925" i="34" s="1"/>
  <c r="BA231" i="14"/>
  <c r="BA228" i="14"/>
  <c r="BR164" i="14"/>
  <c r="BA539" i="2"/>
  <c r="BA785" i="34" s="1"/>
  <c r="BS538" i="2"/>
  <c r="BS783" i="34"/>
  <c r="BS541" i="2"/>
  <c r="BS787" i="34" s="1"/>
  <c r="BC513" i="2"/>
  <c r="BC749" i="34" s="1"/>
  <c r="BC748" i="34"/>
  <c r="BU83" i="2"/>
  <c r="BU76" i="2" s="1"/>
  <c r="BU77" i="2" s="1"/>
  <c r="BC502" i="2"/>
  <c r="BC738" i="34" s="1"/>
  <c r="BC501" i="2"/>
  <c r="BC737" i="34" s="1"/>
  <c r="BC503" i="2"/>
  <c r="BC739" i="34" s="1"/>
  <c r="BC499" i="2"/>
  <c r="BS1021" i="34"/>
  <c r="AY544" i="34"/>
  <c r="BB397" i="2"/>
  <c r="BB1021" i="34" s="1"/>
  <c r="BB398" i="2"/>
  <c r="BB1022" i="34" s="1"/>
  <c r="BD371" i="2"/>
  <c r="BC375" i="2"/>
  <c r="BC999" i="34" s="1"/>
  <c r="BC374" i="2"/>
  <c r="BC998" i="34" s="1"/>
  <c r="BC995" i="34"/>
  <c r="BC396" i="2"/>
  <c r="BD754" i="34"/>
  <c r="BD520" i="2"/>
  <c r="BD756" i="34" s="1"/>
  <c r="BD521" i="2"/>
  <c r="BD757" i="34" s="1"/>
  <c r="BD522" i="2"/>
  <c r="BD758" i="34" s="1"/>
  <c r="BT518" i="2"/>
  <c r="BD523" i="2"/>
  <c r="BD996" i="34"/>
  <c r="BD373" i="2"/>
  <c r="BD997" i="34" s="1"/>
  <c r="BD498" i="2"/>
  <c r="BD735" i="34" s="1"/>
  <c r="BT77" i="2"/>
  <c r="BT78" i="2" s="1"/>
  <c r="BT80" i="2"/>
  <c r="BA102" i="2"/>
  <c r="BW85" i="2"/>
  <c r="BT336" i="2"/>
  <c r="BT940" i="34"/>
  <c r="BT334" i="2"/>
  <c r="AZ463" i="34"/>
  <c r="BC524" i="2"/>
  <c r="BC760" i="34" s="1"/>
  <c r="BC759" i="34"/>
  <c r="AV378" i="2"/>
  <c r="AV1002" i="34" s="1"/>
  <c r="AV380" i="2"/>
  <c r="AV1004" i="34" s="1"/>
  <c r="BR377" i="2"/>
  <c r="AV1001" i="34"/>
  <c r="AV379" i="2"/>
  <c r="AV1003" i="34" s="1"/>
  <c r="AX534" i="34"/>
  <c r="CF387" i="2"/>
  <c r="BR1011" i="34"/>
  <c r="BR388" i="2"/>
  <c r="BR390" i="2"/>
  <c r="AT1234" i="34"/>
  <c r="AT46" i="1"/>
  <c r="AS159" i="1"/>
  <c r="AS271" i="1" s="1"/>
  <c r="AS272" i="1" s="1"/>
  <c r="AS273" i="1" s="1"/>
  <c r="BR159" i="1"/>
  <c r="BR263" i="1" s="1"/>
  <c r="AU559" i="2"/>
  <c r="AU793" i="34"/>
  <c r="AU557" i="2"/>
  <c r="AU794" i="34" s="1"/>
  <c r="AV801" i="34"/>
  <c r="AV556" i="2"/>
  <c r="AV236" i="14"/>
  <c r="AV565" i="2"/>
  <c r="AV804" i="34" s="1"/>
  <c r="AV566" i="2"/>
  <c r="AV805" i="34" s="1"/>
  <c r="AV164" i="2"/>
  <c r="AV422" i="2"/>
  <c r="AW562" i="2"/>
  <c r="AW569" i="2" s="1"/>
  <c r="AV575" i="2"/>
  <c r="AV564" i="2"/>
  <c r="AV803" i="34" s="1"/>
  <c r="AY390" i="2"/>
  <c r="AX387" i="2"/>
  <c r="AX1014" i="34"/>
  <c r="AT1232" i="34"/>
  <c r="AT43" i="1"/>
  <c r="AT815" i="34"/>
  <c r="AT577" i="2"/>
  <c r="AT816" i="34" s="1"/>
  <c r="AV808" i="34"/>
  <c r="AV573" i="2"/>
  <c r="AV812" i="34" s="1"/>
  <c r="AV571" i="2"/>
  <c r="AV810" i="34" s="1"/>
  <c r="AV570" i="2"/>
  <c r="AV809" i="34" s="1"/>
  <c r="AV572" i="2"/>
  <c r="AV811" i="34" s="1"/>
  <c r="AU1047" i="34"/>
  <c r="AU424" i="2"/>
  <c r="AU1049" i="34" s="1"/>
  <c r="AU423" i="2"/>
  <c r="AU1048" i="34" s="1"/>
  <c r="AU425" i="2"/>
  <c r="AU1050" i="34" s="1"/>
  <c r="AU987" i="34"/>
  <c r="AU165" i="2"/>
  <c r="AU988" i="34" s="1"/>
  <c r="AT796" i="34"/>
  <c r="AT558" i="2"/>
  <c r="AT795" i="34" s="1"/>
  <c r="AX244" i="34"/>
  <c r="BS261" i="1"/>
  <c r="AX247" i="34" s="1"/>
  <c r="V17" i="4"/>
  <c r="V1296" i="34" s="1"/>
  <c r="BS104" i="1"/>
  <c r="AX92" i="34" s="1"/>
  <c r="AX246" i="34"/>
  <c r="BS248" i="1"/>
  <c r="BS262" i="1"/>
  <c r="AX248" i="34" s="1"/>
  <c r="AU237" i="14"/>
  <c r="AU238" i="14"/>
  <c r="AW389" i="2"/>
  <c r="AW1013" i="34" s="1"/>
  <c r="AW1011" i="34"/>
  <c r="AW388" i="2"/>
  <c r="AW1012" i="34" s="1"/>
  <c r="AW377" i="2"/>
  <c r="AV248" i="1"/>
  <c r="AV226" i="1"/>
  <c r="BS220" i="1"/>
  <c r="AU1230" i="34"/>
  <c r="AU202" i="1"/>
  <c r="BB191" i="1"/>
  <c r="AU576" i="2"/>
  <c r="AU814" i="34"/>
  <c r="AV208" i="14"/>
  <c r="AV266" i="1"/>
  <c r="BS265" i="1"/>
  <c r="BD1219" i="34"/>
  <c r="BU34" i="2"/>
  <c r="BV26" i="1"/>
  <c r="BV136" i="2"/>
  <c r="BU139" i="2"/>
  <c r="BD38" i="2"/>
  <c r="BD37" i="2"/>
  <c r="BU26" i="1"/>
  <c r="BD160" i="2"/>
  <c r="BD159" i="2"/>
  <c r="BD161" i="2"/>
  <c r="BT157" i="2"/>
  <c r="BS605" i="2"/>
  <c r="BS848" i="34" s="1"/>
  <c r="BS847" i="34"/>
  <c r="BS606" i="2"/>
  <c r="BS849" i="34" s="1"/>
  <c r="BA604" i="2"/>
  <c r="BU176" i="1"/>
  <c r="BS600" i="2"/>
  <c r="AY348" i="34"/>
  <c r="BS842" i="34"/>
  <c r="AE6" i="2"/>
  <c r="AD5" i="2"/>
  <c r="Q227" i="34"/>
  <c r="R238" i="1"/>
  <c r="Q242" i="1"/>
  <c r="Q228" i="34" s="1"/>
  <c r="AC6" i="1"/>
  <c r="BC600" i="2"/>
  <c r="BB599" i="2"/>
  <c r="AZ606" i="2"/>
  <c r="AZ849" i="34" s="1"/>
  <c r="AZ847" i="34"/>
  <c r="AZ605" i="2"/>
  <c r="AZ848" i="34" s="1"/>
  <c r="AZ639" i="2"/>
  <c r="BL238" i="1"/>
  <c r="BK242" i="1"/>
  <c r="AP228" i="34" s="1"/>
  <c r="AP227" i="34"/>
  <c r="AY884" i="34"/>
  <c r="AY640" i="2"/>
  <c r="AY885" i="34" s="1"/>
  <c r="BT175" i="2" l="1"/>
  <c r="BT176" i="2" s="1"/>
  <c r="BB352" i="2"/>
  <c r="BB959" i="34" s="1"/>
  <c r="BB933" i="34"/>
  <c r="BU37" i="2"/>
  <c r="BU35" i="2"/>
  <c r="AQ405" i="2"/>
  <c r="AQ403" i="2"/>
  <c r="AI6" i="14"/>
  <c r="AH5" i="14"/>
  <c r="BC857" i="34"/>
  <c r="BC618" i="2"/>
  <c r="BB620" i="2"/>
  <c r="BB619" i="2"/>
  <c r="BS266" i="1"/>
  <c r="AX251" i="34" s="1"/>
  <c r="BS274" i="1"/>
  <c r="AX259" i="34" s="1"/>
  <c r="BD858" i="34"/>
  <c r="BD613" i="2"/>
  <c r="BY558" i="2"/>
  <c r="BY795" i="34" s="1"/>
  <c r="BY794" i="34"/>
  <c r="AE6" i="34"/>
  <c r="AX83" i="1"/>
  <c r="AX1277" i="34"/>
  <c r="AY1279" i="34"/>
  <c r="AY90" i="1"/>
  <c r="AU196" i="2"/>
  <c r="AU194" i="2"/>
  <c r="AV205" i="2"/>
  <c r="AV211" i="2"/>
  <c r="AV201" i="2"/>
  <c r="BR199" i="2"/>
  <c r="AV193" i="2"/>
  <c r="AV202" i="2"/>
  <c r="AW199" i="2"/>
  <c r="AV203" i="2"/>
  <c r="AT195" i="2"/>
  <c r="AU206" i="2"/>
  <c r="AU208" i="2"/>
  <c r="AU209" i="2"/>
  <c r="AU207" i="2"/>
  <c r="BA633" i="2"/>
  <c r="BA634" i="2"/>
  <c r="BS873" i="34"/>
  <c r="AY369" i="34"/>
  <c r="BB632" i="2"/>
  <c r="BS633" i="2"/>
  <c r="BS878" i="34" s="1"/>
  <c r="BS634" i="2"/>
  <c r="BS879" i="34" s="1"/>
  <c r="BS877" i="34"/>
  <c r="BC873" i="34"/>
  <c r="BC627" i="2"/>
  <c r="BD628" i="2"/>
  <c r="BV91" i="2"/>
  <c r="BV106" i="14" s="1"/>
  <c r="BU169" i="2"/>
  <c r="BU93" i="2"/>
  <c r="AY492" i="34"/>
  <c r="BS969" i="34"/>
  <c r="AY468" i="34"/>
  <c r="BS945" i="34"/>
  <c r="AY459" i="34"/>
  <c r="BS936" i="34"/>
  <c r="BS953" i="34"/>
  <c r="AY476" i="34"/>
  <c r="BA331" i="2"/>
  <c r="BA329" i="2"/>
  <c r="BA330" i="2"/>
  <c r="BA327" i="2"/>
  <c r="BA328" i="2" s="1"/>
  <c r="BB321" i="2"/>
  <c r="BB934" i="34" s="1"/>
  <c r="BB324" i="2"/>
  <c r="BB937" i="34" s="1"/>
  <c r="BB323" i="2"/>
  <c r="BB936" i="34" s="1"/>
  <c r="BB362" i="2"/>
  <c r="BB969" i="34" s="1"/>
  <c r="BB338" i="2"/>
  <c r="BB945" i="34" s="1"/>
  <c r="BB480" i="2"/>
  <c r="BB322" i="2"/>
  <c r="BB935" i="34" s="1"/>
  <c r="BB346" i="2"/>
  <c r="BB953" i="34" s="1"/>
  <c r="BC320" i="2"/>
  <c r="BC326" i="2" s="1"/>
  <c r="BC350" i="2"/>
  <c r="BC957" i="34" s="1"/>
  <c r="BC351" i="2"/>
  <c r="BC958" i="34" s="1"/>
  <c r="BC354" i="2"/>
  <c r="BC961" i="34" s="1"/>
  <c r="BC353" i="2"/>
  <c r="BC960" i="34" s="1"/>
  <c r="BC355" i="2"/>
  <c r="BC962" i="34" s="1"/>
  <c r="BC956" i="34"/>
  <c r="BS327" i="2"/>
  <c r="BS328" i="2" s="1"/>
  <c r="BS330" i="2"/>
  <c r="BS483" i="2"/>
  <c r="AY434" i="34" s="1"/>
  <c r="BS481" i="2"/>
  <c r="AY432" i="34" s="1"/>
  <c r="AY431" i="34"/>
  <c r="CG480" i="2"/>
  <c r="AY457" i="34"/>
  <c r="BS934" i="34"/>
  <c r="BB326" i="2"/>
  <c r="BA482" i="2"/>
  <c r="BA483" i="2"/>
  <c r="BA484" i="2"/>
  <c r="BA481" i="2"/>
  <c r="BD342" i="2"/>
  <c r="BD949" i="34" s="1"/>
  <c r="BD349" i="2"/>
  <c r="BD948" i="34"/>
  <c r="BT341" i="2"/>
  <c r="BD344" i="2"/>
  <c r="BD951" i="34" s="1"/>
  <c r="BD363" i="2"/>
  <c r="BD970" i="34" s="1"/>
  <c r="BD345" i="2"/>
  <c r="BD952" i="34" s="1"/>
  <c r="BA384" i="2"/>
  <c r="BA1008" i="34" s="1"/>
  <c r="BA383" i="2"/>
  <c r="BA1007" i="34" s="1"/>
  <c r="AV559" i="34"/>
  <c r="BP1036" i="34"/>
  <c r="AM901" i="34"/>
  <c r="AM655" i="2"/>
  <c r="AM902" i="34" s="1"/>
  <c r="AO461" i="2"/>
  <c r="AO1121" i="34" s="1"/>
  <c r="AO462" i="2"/>
  <c r="AO1122" i="34" s="1"/>
  <c r="AO460" i="2"/>
  <c r="AO1120" i="34" s="1"/>
  <c r="AO1119" i="34"/>
  <c r="AN654" i="2"/>
  <c r="AN660" i="2"/>
  <c r="AN907" i="34" s="1"/>
  <c r="AN900" i="34"/>
  <c r="AN657" i="2"/>
  <c r="AN904" i="34" s="1"/>
  <c r="AP402" i="2"/>
  <c r="AQ404" i="2" s="1"/>
  <c r="AP409" i="2"/>
  <c r="AP1034" i="34" s="1"/>
  <c r="AP410" i="2"/>
  <c r="AP1035" i="34" s="1"/>
  <c r="AP1033" i="34"/>
  <c r="AV407" i="34"/>
  <c r="BP1117" i="34"/>
  <c r="BP1114" i="34"/>
  <c r="AV404" i="34"/>
  <c r="AO405" i="2"/>
  <c r="AO1030" i="34" s="1"/>
  <c r="AO1027" i="34"/>
  <c r="AO404" i="2"/>
  <c r="AO1029" i="34" s="1"/>
  <c r="AO403" i="2"/>
  <c r="AO1028" i="34" s="1"/>
  <c r="BB382" i="2"/>
  <c r="BB1006" i="34" s="1"/>
  <c r="BP460" i="2"/>
  <c r="CD459" i="2"/>
  <c r="BP1119" i="34"/>
  <c r="AV409" i="34"/>
  <c r="BP462" i="2"/>
  <c r="BP1034" i="34"/>
  <c r="AV557" i="34"/>
  <c r="AO653" i="2"/>
  <c r="AO651" i="2"/>
  <c r="AO898" i="34" s="1"/>
  <c r="AO897" i="34"/>
  <c r="AQ1113" i="34"/>
  <c r="AV550" i="34"/>
  <c r="BP405" i="2"/>
  <c r="BP403" i="2"/>
  <c r="BP1027" i="34"/>
  <c r="AQ1036" i="34"/>
  <c r="BP651" i="2"/>
  <c r="BP653" i="2"/>
  <c r="BP897" i="34"/>
  <c r="AV386" i="34"/>
  <c r="BP1115" i="34"/>
  <c r="AV405" i="34"/>
  <c r="BC385" i="2"/>
  <c r="BS385" i="2"/>
  <c r="BS1006" i="34"/>
  <c r="CG382" i="2"/>
  <c r="BS383" i="2"/>
  <c r="AY529" i="34"/>
  <c r="AP455" i="2"/>
  <c r="AP1115" i="34" s="1"/>
  <c r="AP459" i="2"/>
  <c r="AP457" i="2"/>
  <c r="AP1117" i="34" s="1"/>
  <c r="AP650" i="2"/>
  <c r="AP456" i="2"/>
  <c r="AP1116" i="34" s="1"/>
  <c r="AP1112" i="34"/>
  <c r="AQ452" i="2"/>
  <c r="AV393" i="2"/>
  <c r="AV1017" i="34" s="1"/>
  <c r="AV1016" i="34"/>
  <c r="AV394" i="2"/>
  <c r="AV1018" i="34" s="1"/>
  <c r="BR448" i="2"/>
  <c r="BR392" i="2"/>
  <c r="CF446" i="2"/>
  <c r="BR1106" i="34"/>
  <c r="AX396" i="34"/>
  <c r="BR449" i="2"/>
  <c r="AW450" i="2"/>
  <c r="AW1110" i="34" s="1"/>
  <c r="AW392" i="2"/>
  <c r="AX446" i="2"/>
  <c r="AW449" i="2"/>
  <c r="AW1109" i="34" s="1"/>
  <c r="AW1106" i="34"/>
  <c r="BY126" i="2"/>
  <c r="BU966" i="34"/>
  <c r="BU357" i="2"/>
  <c r="BT1043" i="34"/>
  <c r="AZ566" i="34"/>
  <c r="BU417" i="2"/>
  <c r="BT1042" i="34"/>
  <c r="AZ565" i="34"/>
  <c r="BT1044" i="34"/>
  <c r="AZ567" i="34"/>
  <c r="BS539" i="2"/>
  <c r="BS785" i="34" s="1"/>
  <c r="BS784" i="34"/>
  <c r="BC540" i="2"/>
  <c r="BC786" i="34" s="1"/>
  <c r="BC538" i="2"/>
  <c r="BC541" i="2"/>
  <c r="BC787" i="34" s="1"/>
  <c r="BC542" i="2"/>
  <c r="BC788" i="34" s="1"/>
  <c r="BC783" i="34"/>
  <c r="AZ306" i="2"/>
  <c r="AZ919" i="34" s="1"/>
  <c r="AZ918" i="34"/>
  <c r="AZ308" i="2"/>
  <c r="AZ921" i="34" s="1"/>
  <c r="AZ309" i="2"/>
  <c r="AZ922" i="34" s="1"/>
  <c r="AZ307" i="2"/>
  <c r="AZ920" i="34" s="1"/>
  <c r="BC316" i="2"/>
  <c r="BB312" i="2"/>
  <c r="BB925" i="34" s="1"/>
  <c r="BS307" i="2"/>
  <c r="BS309" i="2"/>
  <c r="AY439" i="34"/>
  <c r="BS918" i="34"/>
  <c r="BS306" i="2"/>
  <c r="BD550" i="2"/>
  <c r="BD548" i="2"/>
  <c r="BD546" i="2"/>
  <c r="BD547" i="2" s="1"/>
  <c r="BD549" i="2"/>
  <c r="BB231" i="14"/>
  <c r="BB228" i="14"/>
  <c r="BA233" i="14"/>
  <c r="BA234" i="14"/>
  <c r="BA195" i="14"/>
  <c r="BA232" i="14"/>
  <c r="BD579" i="2"/>
  <c r="BD818" i="34" s="1"/>
  <c r="BD508" i="2"/>
  <c r="BD744" i="34" s="1"/>
  <c r="BT506" i="2"/>
  <c r="BD532" i="2"/>
  <c r="BD509" i="2"/>
  <c r="BD745" i="34" s="1"/>
  <c r="BD742" i="34"/>
  <c r="BS316" i="2"/>
  <c r="AY446" i="34"/>
  <c r="BS925" i="34"/>
  <c r="BS314" i="2"/>
  <c r="BS313" i="2"/>
  <c r="BD513" i="2"/>
  <c r="BD749" i="34" s="1"/>
  <c r="BD748" i="34"/>
  <c r="BS232" i="14"/>
  <c r="AY684" i="34" s="1"/>
  <c r="BS229" i="14"/>
  <c r="BS195" i="14"/>
  <c r="AY683" i="34"/>
  <c r="BS233" i="14"/>
  <c r="AY685" i="34" s="1"/>
  <c r="BS236" i="14"/>
  <c r="BV83" i="2"/>
  <c r="BV76" i="2" s="1"/>
  <c r="BV80" i="2" s="1"/>
  <c r="BA313" i="2"/>
  <c r="BA926" i="34" s="1"/>
  <c r="BA305" i="2"/>
  <c r="BA918" i="34" s="1"/>
  <c r="BA314" i="2"/>
  <c r="BA927" i="34" s="1"/>
  <c r="BA315" i="2"/>
  <c r="BA928" i="34" s="1"/>
  <c r="BC227" i="14"/>
  <c r="BC106" i="14"/>
  <c r="BC778" i="34"/>
  <c r="BB541" i="2"/>
  <c r="BB787" i="34" s="1"/>
  <c r="BB542" i="2"/>
  <c r="BB788" i="34" s="1"/>
  <c r="BB538" i="2"/>
  <c r="BB784" i="34" s="1"/>
  <c r="BB540" i="2"/>
  <c r="BB786" i="34" s="1"/>
  <c r="BU86" i="2"/>
  <c r="BU80" i="2"/>
  <c r="AZ466" i="34"/>
  <c r="BT941" i="34"/>
  <c r="BT520" i="2"/>
  <c r="BT521" i="2"/>
  <c r="BT757" i="34" s="1"/>
  <c r="BT164" i="2"/>
  <c r="BT754" i="34"/>
  <c r="BT498" i="2"/>
  <c r="BT735" i="34" s="1"/>
  <c r="BT523" i="2"/>
  <c r="BC736" i="34"/>
  <c r="BC500" i="2"/>
  <c r="AZ465" i="34"/>
  <c r="BT943" i="34"/>
  <c r="BU336" i="2"/>
  <c r="BB102" i="2"/>
  <c r="BX85" i="2"/>
  <c r="BD502" i="2"/>
  <c r="BD738" i="34" s="1"/>
  <c r="BD499" i="2"/>
  <c r="BD501" i="2"/>
  <c r="BD737" i="34" s="1"/>
  <c r="BD503" i="2"/>
  <c r="BD739" i="34" s="1"/>
  <c r="BD759" i="34"/>
  <c r="BD524" i="2"/>
  <c r="BD760" i="34" s="1"/>
  <c r="BC398" i="2"/>
  <c r="BC1022" i="34" s="1"/>
  <c r="BC397" i="2"/>
  <c r="BC1021" i="34" s="1"/>
  <c r="BC1020" i="34"/>
  <c r="BD375" i="2"/>
  <c r="BD999" i="34" s="1"/>
  <c r="BD995" i="34"/>
  <c r="BT371" i="2"/>
  <c r="BD374" i="2"/>
  <c r="BD998" i="34" s="1"/>
  <c r="BD396" i="2"/>
  <c r="BU78" i="2"/>
  <c r="AX234" i="34"/>
  <c r="CP248" i="1"/>
  <c r="AT44" i="1"/>
  <c r="AT1237" i="34" s="1"/>
  <c r="AT49" i="1"/>
  <c r="AT1236" i="34"/>
  <c r="AT136" i="1"/>
  <c r="AX377" i="2"/>
  <c r="AX388" i="2"/>
  <c r="AX1012" i="34" s="1"/>
  <c r="AX389" i="2"/>
  <c r="AX1013" i="34" s="1"/>
  <c r="AX1011" i="34"/>
  <c r="AW422" i="2"/>
  <c r="AW564" i="2"/>
  <c r="AW803" i="34" s="1"/>
  <c r="AW164" i="2"/>
  <c r="AW575" i="2"/>
  <c r="AX562" i="2"/>
  <c r="AX569" i="2" s="1"/>
  <c r="AW565" i="2"/>
  <c r="AW804" i="34" s="1"/>
  <c r="AW556" i="2"/>
  <c r="AW566" i="2"/>
  <c r="AW805" i="34" s="1"/>
  <c r="AW801" i="34"/>
  <c r="AW236" i="14"/>
  <c r="BR1012" i="34"/>
  <c r="AX535" i="34"/>
  <c r="AV270" i="1"/>
  <c r="AV37" i="1"/>
  <c r="BR208" i="14"/>
  <c r="BC191" i="1"/>
  <c r="AY1014" i="34"/>
  <c r="AY387" i="2"/>
  <c r="AW573" i="2"/>
  <c r="AW812" i="34" s="1"/>
  <c r="AW808" i="34"/>
  <c r="AW571" i="2"/>
  <c r="AW810" i="34" s="1"/>
  <c r="AW572" i="2"/>
  <c r="AW811" i="34" s="1"/>
  <c r="AW570" i="2"/>
  <c r="AW809" i="34" s="1"/>
  <c r="AV424" i="2"/>
  <c r="AV1049" i="34" s="1"/>
  <c r="AV423" i="2"/>
  <c r="AV1048" i="34" s="1"/>
  <c r="AV425" i="2"/>
  <c r="AV1050" i="34" s="1"/>
  <c r="AV1047" i="34"/>
  <c r="BR422" i="2"/>
  <c r="AV237" i="14"/>
  <c r="AV238" i="14"/>
  <c r="AT47" i="1"/>
  <c r="AT1240" i="34" s="1"/>
  <c r="AT137" i="1"/>
  <c r="AT140" i="1" s="1"/>
  <c r="AT142" i="1" s="1"/>
  <c r="AT1239" i="34"/>
  <c r="AX250" i="34"/>
  <c r="BS267" i="1"/>
  <c r="AX252" i="34" s="1"/>
  <c r="BS268" i="1"/>
  <c r="AX253" i="34" s="1"/>
  <c r="AW380" i="2"/>
  <c r="AW1004" i="34" s="1"/>
  <c r="AW378" i="2"/>
  <c r="AW1002" i="34" s="1"/>
  <c r="AW1001" i="34"/>
  <c r="AW379" i="2"/>
  <c r="AW1003" i="34" s="1"/>
  <c r="AV987" i="34"/>
  <c r="AV165" i="2"/>
  <c r="AV988" i="34" s="1"/>
  <c r="AV793" i="34"/>
  <c r="AV557" i="2"/>
  <c r="AV794" i="34" s="1"/>
  <c r="AV559" i="2"/>
  <c r="AU796" i="34"/>
  <c r="AU558" i="2"/>
  <c r="AU795" i="34" s="1"/>
  <c r="BR259" i="1"/>
  <c r="AW245" i="34" s="1"/>
  <c r="AW148" i="34"/>
  <c r="BR271" i="1"/>
  <c r="BR378" i="2"/>
  <c r="BR1001" i="34"/>
  <c r="CF377" i="2"/>
  <c r="AX524" i="34"/>
  <c r="AU815" i="34"/>
  <c r="AU577" i="2"/>
  <c r="AU816" i="34" s="1"/>
  <c r="BS226" i="1"/>
  <c r="AX212" i="34" s="1"/>
  <c r="AX206" i="34"/>
  <c r="AZ390" i="2"/>
  <c r="BA390" i="2" s="1"/>
  <c r="BA1014" i="34" s="1"/>
  <c r="AV814" i="34"/>
  <c r="AV576" i="2"/>
  <c r="AS259" i="1"/>
  <c r="AT159" i="1"/>
  <c r="AT271" i="1" s="1"/>
  <c r="AT272" i="1" s="1"/>
  <c r="AT273" i="1" s="1"/>
  <c r="AX537" i="34"/>
  <c r="BR1014" i="34"/>
  <c r="BR380" i="2"/>
  <c r="AZ17" i="34"/>
  <c r="CB26" i="1"/>
  <c r="BW136" i="2"/>
  <c r="BV34" i="2"/>
  <c r="BV139" i="2"/>
  <c r="BW26" i="1"/>
  <c r="BB604" i="2"/>
  <c r="AF6" i="2"/>
  <c r="AE5" i="2"/>
  <c r="BS640" i="2"/>
  <c r="AY377" i="34"/>
  <c r="BS884" i="34"/>
  <c r="BT160" i="2"/>
  <c r="BU157" i="2"/>
  <c r="BT159" i="2"/>
  <c r="AQ224" i="34"/>
  <c r="BL241" i="1"/>
  <c r="AZ640" i="2"/>
  <c r="AZ885" i="34" s="1"/>
  <c r="AZ884" i="34"/>
  <c r="BD600" i="2"/>
  <c r="BC843" i="34"/>
  <c r="BC599" i="2"/>
  <c r="AD6" i="1"/>
  <c r="AZ165" i="34"/>
  <c r="BA605" i="2"/>
  <c r="BA606" i="2"/>
  <c r="BA639" i="2"/>
  <c r="R224" i="34"/>
  <c r="R241" i="1"/>
  <c r="BS843" i="34"/>
  <c r="AY349" i="34"/>
  <c r="BU174" i="2" l="1"/>
  <c r="BU175" i="2" s="1"/>
  <c r="BU176" i="2" s="1"/>
  <c r="BU227" i="14"/>
  <c r="U14" i="35"/>
  <c r="BV37" i="2"/>
  <c r="BV35" i="2"/>
  <c r="AJ6" i="14"/>
  <c r="AI5" i="14"/>
  <c r="BT613" i="2"/>
  <c r="BD857" i="34"/>
  <c r="BD618" i="2"/>
  <c r="BC620" i="2"/>
  <c r="BC864" i="34" s="1"/>
  <c r="BC619" i="2"/>
  <c r="BC863" i="34" s="1"/>
  <c r="BC862" i="34"/>
  <c r="AF6" i="34"/>
  <c r="BC107" i="14"/>
  <c r="AZ86" i="1"/>
  <c r="AY1283" i="34"/>
  <c r="AY84" i="1"/>
  <c r="AX1276" i="34"/>
  <c r="BV77" i="2"/>
  <c r="BV78" i="2" s="1"/>
  <c r="AV196" i="2"/>
  <c r="AV194" i="2"/>
  <c r="AV208" i="2"/>
  <c r="AV209" i="2"/>
  <c r="AV207" i="2"/>
  <c r="AV206" i="2"/>
  <c r="CF199" i="2"/>
  <c r="BR202" i="2"/>
  <c r="BR193" i="2"/>
  <c r="BR201" i="2"/>
  <c r="AW205" i="2"/>
  <c r="AW193" i="2"/>
  <c r="AW211" i="2"/>
  <c r="AW201" i="2"/>
  <c r="AW202" i="2"/>
  <c r="AW203" i="2"/>
  <c r="AX199" i="2"/>
  <c r="AU195" i="2"/>
  <c r="BC632" i="2"/>
  <c r="BC872" i="34"/>
  <c r="BB633" i="2"/>
  <c r="BB634" i="2"/>
  <c r="BD627" i="2"/>
  <c r="BD873" i="34"/>
  <c r="BV169" i="2"/>
  <c r="BV227" i="14" s="1"/>
  <c r="BV93" i="2"/>
  <c r="BW91" i="2"/>
  <c r="BW106" i="14" s="1"/>
  <c r="BC352" i="2"/>
  <c r="BC959" i="34" s="1"/>
  <c r="BC329" i="2"/>
  <c r="BC331" i="2"/>
  <c r="BC327" i="2"/>
  <c r="BC328" i="2" s="1"/>
  <c r="BC330" i="2"/>
  <c r="AZ471" i="34"/>
  <c r="BT948" i="34"/>
  <c r="BT342" i="2"/>
  <c r="BT344" i="2"/>
  <c r="BT363" i="2"/>
  <c r="BB331" i="2"/>
  <c r="BB330" i="2"/>
  <c r="BB327" i="2"/>
  <c r="BB328" i="2" s="1"/>
  <c r="BB329" i="2"/>
  <c r="BD320" i="2"/>
  <c r="BT349" i="2"/>
  <c r="BD350" i="2"/>
  <c r="BD957" i="34" s="1"/>
  <c r="BD355" i="2"/>
  <c r="BD962" i="34" s="1"/>
  <c r="BD354" i="2"/>
  <c r="BD961" i="34" s="1"/>
  <c r="BD351" i="2"/>
  <c r="BD958" i="34" s="1"/>
  <c r="BD956" i="34"/>
  <c r="BD353" i="2"/>
  <c r="BD960" i="34" s="1"/>
  <c r="BC321" i="2"/>
  <c r="BC934" i="34" s="1"/>
  <c r="BC480" i="2"/>
  <c r="BC322" i="2"/>
  <c r="BC935" i="34" s="1"/>
  <c r="BC338" i="2"/>
  <c r="BC945" i="34" s="1"/>
  <c r="BC933" i="34"/>
  <c r="BC324" i="2"/>
  <c r="BC937" i="34" s="1"/>
  <c r="BC323" i="2"/>
  <c r="BC936" i="34" s="1"/>
  <c r="BC362" i="2"/>
  <c r="BC969" i="34" s="1"/>
  <c r="BC346" i="2"/>
  <c r="BC953" i="34" s="1"/>
  <c r="BB484" i="2"/>
  <c r="BB483" i="2"/>
  <c r="BB481" i="2"/>
  <c r="BB482" i="2"/>
  <c r="BS1007" i="34"/>
  <c r="AY530" i="34"/>
  <c r="AP653" i="2"/>
  <c r="AP897" i="34"/>
  <c r="AP651" i="2"/>
  <c r="AP898" i="34" s="1"/>
  <c r="BS1009" i="34"/>
  <c r="AY532" i="34"/>
  <c r="AV551" i="34"/>
  <c r="BP1028" i="34"/>
  <c r="AP405" i="2"/>
  <c r="AP1030" i="34" s="1"/>
  <c r="AP404" i="2"/>
  <c r="AP1029" i="34" s="1"/>
  <c r="AP403" i="2"/>
  <c r="AP1028" i="34" s="1"/>
  <c r="AP1027" i="34"/>
  <c r="AN901" i="34"/>
  <c r="AN655" i="2"/>
  <c r="AN902" i="34" s="1"/>
  <c r="AQ455" i="2"/>
  <c r="AQ1115" i="34" s="1"/>
  <c r="AQ456" i="2"/>
  <c r="AQ1116" i="34" s="1"/>
  <c r="AQ457" i="2"/>
  <c r="AQ1117" i="34" s="1"/>
  <c r="AQ459" i="2"/>
  <c r="AQ650" i="2"/>
  <c r="AQ1112" i="34"/>
  <c r="BD385" i="2"/>
  <c r="BC1009" i="34"/>
  <c r="BC382" i="2"/>
  <c r="AQ1033" i="34"/>
  <c r="AQ1034" i="34"/>
  <c r="AQ1035" i="34"/>
  <c r="BP1030" i="34"/>
  <c r="AV553" i="34"/>
  <c r="AP460" i="2"/>
  <c r="AP1120" i="34" s="1"/>
  <c r="AP1119" i="34"/>
  <c r="AP461" i="2"/>
  <c r="AP1121" i="34" s="1"/>
  <c r="AP462" i="2"/>
  <c r="AP1122" i="34" s="1"/>
  <c r="AV389" i="34"/>
  <c r="BP657" i="2"/>
  <c r="BP904" i="34" s="1"/>
  <c r="BP900" i="34"/>
  <c r="BP654" i="2"/>
  <c r="AR1036" i="34"/>
  <c r="AS411" i="2"/>
  <c r="AV412" i="34"/>
  <c r="BP1122" i="34"/>
  <c r="BP1120" i="34"/>
  <c r="AV410" i="34"/>
  <c r="BP898" i="34"/>
  <c r="AV387" i="34"/>
  <c r="AS453" i="2"/>
  <c r="AR1113" i="34"/>
  <c r="AO657" i="2"/>
  <c r="AO904" i="34" s="1"/>
  <c r="AO660" i="2"/>
  <c r="AO907" i="34" s="1"/>
  <c r="AO900" i="34"/>
  <c r="AO654" i="2"/>
  <c r="BB384" i="2"/>
  <c r="BB1008" i="34" s="1"/>
  <c r="BB383" i="2"/>
  <c r="BB1007" i="34" s="1"/>
  <c r="BR1108" i="34"/>
  <c r="AX398" i="34"/>
  <c r="AX1106" i="34"/>
  <c r="AY446" i="2"/>
  <c r="AX392" i="2"/>
  <c r="AX449" i="2"/>
  <c r="AX1109" i="34" s="1"/>
  <c r="AX450" i="2"/>
  <c r="AX1110" i="34" s="1"/>
  <c r="AW1016" i="34"/>
  <c r="AW393" i="2"/>
  <c r="AW1017" i="34" s="1"/>
  <c r="AW394" i="2"/>
  <c r="AW1018" i="34" s="1"/>
  <c r="AX399" i="34"/>
  <c r="BR1109" i="34"/>
  <c r="AX539" i="34"/>
  <c r="CF392" i="2"/>
  <c r="BR393" i="2"/>
  <c r="BR1016" i="34"/>
  <c r="BW83" i="2"/>
  <c r="BX83" i="2" s="1"/>
  <c r="BX76" i="2" s="1"/>
  <c r="BU360" i="2"/>
  <c r="BU967" i="34" s="1"/>
  <c r="BV357" i="2"/>
  <c r="BU964" i="34"/>
  <c r="BV86" i="2"/>
  <c r="BU1042" i="34"/>
  <c r="BV417" i="2"/>
  <c r="BU416" i="2"/>
  <c r="BC228" i="14"/>
  <c r="BC231" i="14"/>
  <c r="BA306" i="2"/>
  <c r="BA919" i="34" s="1"/>
  <c r="BA308" i="2"/>
  <c r="BA921" i="34" s="1"/>
  <c r="BA307" i="2"/>
  <c r="BA920" i="34" s="1"/>
  <c r="BA309" i="2"/>
  <c r="BA922" i="34" s="1"/>
  <c r="AY448" i="34"/>
  <c r="BS927" i="34"/>
  <c r="BB233" i="14"/>
  <c r="BB195" i="14"/>
  <c r="BB232" i="14"/>
  <c r="BB234" i="14"/>
  <c r="BS922" i="34"/>
  <c r="AY443" i="34"/>
  <c r="BD316" i="2"/>
  <c r="BC929" i="34"/>
  <c r="BC312" i="2"/>
  <c r="BD537" i="2"/>
  <c r="BD778" i="34"/>
  <c r="BD106" i="14"/>
  <c r="BD107" i="14" s="1"/>
  <c r="BD227" i="14"/>
  <c r="BS919" i="34"/>
  <c r="AY440" i="34"/>
  <c r="AY441" i="34"/>
  <c r="BS920" i="34"/>
  <c r="BC784" i="34"/>
  <c r="BC539" i="2"/>
  <c r="BC785" i="34" s="1"/>
  <c r="BB539" i="2"/>
  <c r="BB785" i="34" s="1"/>
  <c r="BS237" i="14"/>
  <c r="AY690" i="34" s="1"/>
  <c r="AY689" i="34"/>
  <c r="BS139" i="14"/>
  <c r="BS140" i="14" s="1"/>
  <c r="BS230" i="14"/>
  <c r="BS176" i="14"/>
  <c r="AY447" i="34"/>
  <c r="BS926" i="34"/>
  <c r="AY450" i="34"/>
  <c r="BS929" i="34"/>
  <c r="BT742" i="34"/>
  <c r="BT532" i="2"/>
  <c r="BT507" i="2"/>
  <c r="BT508" i="2"/>
  <c r="BT744" i="34" s="1"/>
  <c r="BB313" i="2"/>
  <c r="BB926" i="34" s="1"/>
  <c r="BB305" i="2"/>
  <c r="BB918" i="34" s="1"/>
  <c r="BB315" i="2"/>
  <c r="BB928" i="34" s="1"/>
  <c r="BB314" i="2"/>
  <c r="BB927" i="34" s="1"/>
  <c r="BD500" i="2"/>
  <c r="BD736" i="34"/>
  <c r="BV336" i="2"/>
  <c r="BU943" i="34"/>
  <c r="BU333" i="2"/>
  <c r="BT524" i="2"/>
  <c r="BT760" i="34" s="1"/>
  <c r="BT759" i="34"/>
  <c r="BT374" i="2"/>
  <c r="BT373" i="2"/>
  <c r="BT995" i="34"/>
  <c r="AZ518" i="34"/>
  <c r="BT396" i="2"/>
  <c r="BT499" i="2"/>
  <c r="BT502" i="2"/>
  <c r="BT738" i="34" s="1"/>
  <c r="BT987" i="34"/>
  <c r="BT165" i="2"/>
  <c r="BT988" i="34" s="1"/>
  <c r="BC102" i="2"/>
  <c r="BY85" i="2"/>
  <c r="BD397" i="2"/>
  <c r="BD1021" i="34" s="1"/>
  <c r="BD1020" i="34"/>
  <c r="BD398" i="2"/>
  <c r="BD1022" i="34" s="1"/>
  <c r="BT756" i="34"/>
  <c r="BU520" i="2"/>
  <c r="BT527" i="2"/>
  <c r="BA387" i="2"/>
  <c r="BA1011" i="34" s="1"/>
  <c r="AW559" i="2"/>
  <c r="AW793" i="34"/>
  <c r="AW557" i="2"/>
  <c r="AW794" i="34" s="1"/>
  <c r="AX571" i="2"/>
  <c r="AX810" i="34" s="1"/>
  <c r="AX570" i="2"/>
  <c r="AX809" i="34" s="1"/>
  <c r="AX573" i="2"/>
  <c r="AX812" i="34" s="1"/>
  <c r="AX572" i="2"/>
  <c r="AX811" i="34" s="1"/>
  <c r="AX808" i="34"/>
  <c r="BD191" i="1"/>
  <c r="AZ387" i="2"/>
  <c r="BB390" i="2"/>
  <c r="BB1014" i="34" s="1"/>
  <c r="AZ1014" i="34"/>
  <c r="AX525" i="34"/>
  <c r="BR1002" i="34"/>
  <c r="AY389" i="2"/>
  <c r="AY1013" i="34" s="1"/>
  <c r="AY1011" i="34"/>
  <c r="AY377" i="2"/>
  <c r="AY388" i="2"/>
  <c r="AY1012" i="34" s="1"/>
  <c r="AV202" i="1"/>
  <c r="BS202" i="1" s="1"/>
  <c r="AX188" i="34" s="1"/>
  <c r="AV1230" i="34"/>
  <c r="BS37" i="1"/>
  <c r="AW238" i="14"/>
  <c r="AW237" i="14"/>
  <c r="AW987" i="34"/>
  <c r="AW165" i="2"/>
  <c r="AW988" i="34" s="1"/>
  <c r="BR1004" i="34"/>
  <c r="AX527" i="34"/>
  <c r="AU159" i="1"/>
  <c r="AU271" i="1" s="1"/>
  <c r="AU272" i="1" s="1"/>
  <c r="AU273" i="1" s="1"/>
  <c r="AT259" i="1"/>
  <c r="BR1047" i="34"/>
  <c r="AX570" i="34"/>
  <c r="BR425" i="2"/>
  <c r="BR423" i="2"/>
  <c r="AX564" i="2"/>
  <c r="AX803" i="34" s="1"/>
  <c r="AX422" i="2"/>
  <c r="AX164" i="2"/>
  <c r="AY562" i="2"/>
  <c r="AY569" i="2" s="1"/>
  <c r="AX566" i="2"/>
  <c r="AX805" i="34" s="1"/>
  <c r="AX575" i="2"/>
  <c r="AX556" i="2"/>
  <c r="AX801" i="34"/>
  <c r="AX565" i="2"/>
  <c r="AX804" i="34" s="1"/>
  <c r="AX236" i="14"/>
  <c r="AT53" i="1"/>
  <c r="AT18" i="14"/>
  <c r="AT100" i="1"/>
  <c r="AT51" i="1"/>
  <c r="AT1242" i="34"/>
  <c r="AT50" i="1"/>
  <c r="AT1243" i="34" s="1"/>
  <c r="AV815" i="34"/>
  <c r="AV577" i="2"/>
  <c r="AV816" i="34" s="1"/>
  <c r="AW256" i="34"/>
  <c r="BR272" i="1"/>
  <c r="AV796" i="34"/>
  <c r="AV558" i="2"/>
  <c r="AV795" i="34" s="1"/>
  <c r="BS270" i="1"/>
  <c r="AX665" i="34"/>
  <c r="AW814" i="34"/>
  <c r="AW576" i="2"/>
  <c r="AW424" i="2"/>
  <c r="AW1049" i="34" s="1"/>
  <c r="AW425" i="2"/>
  <c r="AW1050" i="34" s="1"/>
  <c r="AW423" i="2"/>
  <c r="AW1048" i="34" s="1"/>
  <c r="AW1047" i="34"/>
  <c r="AX378" i="2"/>
  <c r="AX1002" i="34" s="1"/>
  <c r="AX379" i="2"/>
  <c r="AX1003" i="34" s="1"/>
  <c r="AX1001" i="34"/>
  <c r="AX380" i="2"/>
  <c r="AX1004" i="34" s="1"/>
  <c r="BX26" i="1"/>
  <c r="BW139" i="2"/>
  <c r="BX136" i="2"/>
  <c r="BW34" i="2"/>
  <c r="AE6" i="1"/>
  <c r="BC842" i="34"/>
  <c r="BC604" i="2"/>
  <c r="BS885" i="34"/>
  <c r="AY378" i="34"/>
  <c r="AF5" i="2"/>
  <c r="AG6" i="2"/>
  <c r="BB606" i="2"/>
  <c r="BB605" i="2"/>
  <c r="BB639" i="2"/>
  <c r="BA640" i="2"/>
  <c r="BV157" i="2"/>
  <c r="BU160" i="2"/>
  <c r="S238" i="1"/>
  <c r="R227" i="34"/>
  <c r="R242" i="1"/>
  <c r="R228" i="34" s="1"/>
  <c r="BD843" i="34"/>
  <c r="BD599" i="2"/>
  <c r="BM238" i="1"/>
  <c r="AQ227" i="34"/>
  <c r="BL242" i="1"/>
  <c r="AQ228" i="34" s="1"/>
  <c r="BU178" i="2" l="1"/>
  <c r="U33" i="35"/>
  <c r="U15" i="35"/>
  <c r="U34" i="35" s="1"/>
  <c r="BW37" i="2"/>
  <c r="BW35" i="2"/>
  <c r="AJ5" i="14"/>
  <c r="AK6" i="14"/>
  <c r="BT618" i="2"/>
  <c r="BD619" i="2"/>
  <c r="BD863" i="34" s="1"/>
  <c r="BD620" i="2"/>
  <c r="BD864" i="34" s="1"/>
  <c r="BD862" i="34"/>
  <c r="BT614" i="2"/>
  <c r="AZ358" i="34"/>
  <c r="BT857" i="34"/>
  <c r="AG6" i="34"/>
  <c r="AY1277" i="34"/>
  <c r="AY83" i="1"/>
  <c r="AZ90" i="1"/>
  <c r="AZ1279" i="34"/>
  <c r="BT106" i="14"/>
  <c r="BT107" i="14" s="1"/>
  <c r="AX202" i="2"/>
  <c r="AX205" i="2"/>
  <c r="AX193" i="2"/>
  <c r="AY199" i="2"/>
  <c r="AX201" i="2"/>
  <c r="AX203" i="2"/>
  <c r="AX211" i="2"/>
  <c r="BR194" i="2"/>
  <c r="BR196" i="2"/>
  <c r="AW196" i="2"/>
  <c r="AW194" i="2"/>
  <c r="AW207" i="2"/>
  <c r="AW209" i="2"/>
  <c r="AW206" i="2"/>
  <c r="AW208" i="2"/>
  <c r="AV195" i="2"/>
  <c r="BD632" i="2"/>
  <c r="BT627" i="2"/>
  <c r="BD872" i="34"/>
  <c r="BC634" i="2"/>
  <c r="BC879" i="34" s="1"/>
  <c r="BC877" i="34"/>
  <c r="BC633" i="2"/>
  <c r="BC878" i="34" s="1"/>
  <c r="BW93" i="2"/>
  <c r="BW169" i="2"/>
  <c r="BX91" i="2"/>
  <c r="BX106" i="14" s="1"/>
  <c r="BV174" i="2"/>
  <c r="BW76" i="2"/>
  <c r="BX80" i="2" s="1"/>
  <c r="BD338" i="2"/>
  <c r="BD945" i="34" s="1"/>
  <c r="BD321" i="2"/>
  <c r="BD934" i="34" s="1"/>
  <c r="BD480" i="2"/>
  <c r="BD933" i="34"/>
  <c r="BD322" i="2"/>
  <c r="BD935" i="34" s="1"/>
  <c r="BD362" i="2"/>
  <c r="BD969" i="34" s="1"/>
  <c r="BT320" i="2"/>
  <c r="BT352" i="2" s="1"/>
  <c r="BD323" i="2"/>
  <c r="BD936" i="34" s="1"/>
  <c r="BD346" i="2"/>
  <c r="BD953" i="34" s="1"/>
  <c r="BD324" i="2"/>
  <c r="BD937" i="34" s="1"/>
  <c r="BT949" i="34"/>
  <c r="AZ474" i="34"/>
  <c r="BC481" i="2"/>
  <c r="BC484" i="2"/>
  <c r="BC483" i="2"/>
  <c r="BC482" i="2"/>
  <c r="BD352" i="2"/>
  <c r="BD959" i="34" s="1"/>
  <c r="BT970" i="34"/>
  <c r="AZ493" i="34"/>
  <c r="BD326" i="2"/>
  <c r="AZ479" i="34"/>
  <c r="BT350" i="2"/>
  <c r="BT354" i="2"/>
  <c r="BT956" i="34"/>
  <c r="BT353" i="2"/>
  <c r="BT951" i="34"/>
  <c r="AZ473" i="34"/>
  <c r="BU344" i="2"/>
  <c r="AQ460" i="2"/>
  <c r="AQ1120" i="34" s="1"/>
  <c r="AQ1119" i="34"/>
  <c r="AQ461" i="2"/>
  <c r="AQ1121" i="34" s="1"/>
  <c r="AQ462" i="2"/>
  <c r="AQ1122" i="34" s="1"/>
  <c r="AS452" i="2"/>
  <c r="AR1117" i="34"/>
  <c r="BQ452" i="2"/>
  <c r="AR1115" i="34"/>
  <c r="AR1116" i="34"/>
  <c r="AR1112" i="34"/>
  <c r="AR650" i="2"/>
  <c r="AR653" i="2" s="1"/>
  <c r="AV390" i="34"/>
  <c r="BP655" i="2"/>
  <c r="BP901" i="34"/>
  <c r="AQ1027" i="34"/>
  <c r="AQ1028" i="34"/>
  <c r="AQ1029" i="34"/>
  <c r="AQ1030" i="34"/>
  <c r="BD1009" i="34"/>
  <c r="BD382" i="2"/>
  <c r="AP660" i="2"/>
  <c r="AP907" i="34" s="1"/>
  <c r="AP657" i="2"/>
  <c r="AP904" i="34" s="1"/>
  <c r="AP654" i="2"/>
  <c r="AP900" i="34"/>
  <c r="AO901" i="34"/>
  <c r="AO655" i="2"/>
  <c r="AO902" i="34" s="1"/>
  <c r="AR1035" i="34"/>
  <c r="BQ408" i="2"/>
  <c r="AR1034" i="34"/>
  <c r="AR1033" i="34"/>
  <c r="AS1113" i="34"/>
  <c r="AT453" i="2"/>
  <c r="AS1036" i="34"/>
  <c r="AS408" i="2"/>
  <c r="AT411" i="2"/>
  <c r="BC383" i="2"/>
  <c r="BC1007" i="34" s="1"/>
  <c r="BC1006" i="34"/>
  <c r="BC384" i="2"/>
  <c r="BC1008" i="34" s="1"/>
  <c r="AQ653" i="2"/>
  <c r="AQ897" i="34"/>
  <c r="AQ651" i="2"/>
  <c r="AQ898" i="34" s="1"/>
  <c r="AX540" i="34"/>
  <c r="BR1017" i="34"/>
  <c r="AX1016" i="34"/>
  <c r="AX393" i="2"/>
  <c r="AX1017" i="34" s="1"/>
  <c r="AX394" i="2"/>
  <c r="AX1018" i="34" s="1"/>
  <c r="BW86" i="2"/>
  <c r="AZ446" i="2"/>
  <c r="AY1106" i="34"/>
  <c r="AY449" i="2"/>
  <c r="AY1109" i="34" s="1"/>
  <c r="AY450" i="2"/>
  <c r="AY1110" i="34" s="1"/>
  <c r="AY392" i="2"/>
  <c r="BV360" i="2"/>
  <c r="BV967" i="34" s="1"/>
  <c r="BV964" i="34"/>
  <c r="BW357" i="2"/>
  <c r="BU418" i="2"/>
  <c r="BU1043" i="34" s="1"/>
  <c r="BU419" i="2"/>
  <c r="BU1044" i="34" s="1"/>
  <c r="BU1041" i="34"/>
  <c r="BU88" i="2"/>
  <c r="BU89" i="2" s="1"/>
  <c r="BV416" i="2"/>
  <c r="BV1042" i="34"/>
  <c r="BW417" i="2"/>
  <c r="BU507" i="2"/>
  <c r="BT743" i="34"/>
  <c r="BC233" i="14"/>
  <c r="BC234" i="14"/>
  <c r="BC195" i="14"/>
  <c r="BC232" i="14"/>
  <c r="BD228" i="14"/>
  <c r="BD231" i="14"/>
  <c r="BC313" i="2"/>
  <c r="BC926" i="34" s="1"/>
  <c r="BC315" i="2"/>
  <c r="BC928" i="34" s="1"/>
  <c r="BC314" i="2"/>
  <c r="BC927" i="34" s="1"/>
  <c r="BC305" i="2"/>
  <c r="BC925" i="34"/>
  <c r="BS177" i="14"/>
  <c r="AY645" i="34"/>
  <c r="BB309" i="2"/>
  <c r="BB922" i="34" s="1"/>
  <c r="BB307" i="2"/>
  <c r="BB920" i="34" s="1"/>
  <c r="BB306" i="2"/>
  <c r="BB919" i="34" s="1"/>
  <c r="BB308" i="2"/>
  <c r="BB921" i="34" s="1"/>
  <c r="BD929" i="34"/>
  <c r="BD312" i="2"/>
  <c r="BT778" i="34"/>
  <c r="BT228" i="14"/>
  <c r="BT537" i="2"/>
  <c r="BS133" i="14"/>
  <c r="BD540" i="2"/>
  <c r="BD786" i="34" s="1"/>
  <c r="BD542" i="2"/>
  <c r="BD788" i="34" s="1"/>
  <c r="BD783" i="34"/>
  <c r="BD538" i="2"/>
  <c r="BD541" i="2"/>
  <c r="BD787" i="34" s="1"/>
  <c r="BT998" i="34"/>
  <c r="AZ521" i="34"/>
  <c r="BV333" i="2"/>
  <c r="BU940" i="34"/>
  <c r="BU334" i="2"/>
  <c r="BU941" i="34" s="1"/>
  <c r="BX86" i="2"/>
  <c r="BY83" i="2"/>
  <c r="BY86" i="2" s="1"/>
  <c r="BT529" i="2"/>
  <c r="BT773" i="34" s="1"/>
  <c r="BT771" i="34"/>
  <c r="BT528" i="2"/>
  <c r="BT772" i="34" s="1"/>
  <c r="BT736" i="34"/>
  <c r="BT500" i="2"/>
  <c r="BT1020" i="34"/>
  <c r="AZ543" i="34"/>
  <c r="BT397" i="2"/>
  <c r="BT997" i="34"/>
  <c r="BU373" i="2"/>
  <c r="AZ520" i="34"/>
  <c r="BW336" i="2"/>
  <c r="BV943" i="34"/>
  <c r="BU756" i="34"/>
  <c r="BV520" i="2"/>
  <c r="BU527" i="2"/>
  <c r="BU518" i="2"/>
  <c r="AW815" i="34"/>
  <c r="AW577" i="2"/>
  <c r="AW816" i="34" s="1"/>
  <c r="AX255" i="34"/>
  <c r="AT21" i="14"/>
  <c r="AY1001" i="34"/>
  <c r="AY380" i="2"/>
  <c r="AY1004" i="34" s="1"/>
  <c r="AY378" i="2"/>
  <c r="AY1002" i="34" s="1"/>
  <c r="AY379" i="2"/>
  <c r="AY1003" i="34" s="1"/>
  <c r="AZ1011" i="34"/>
  <c r="AZ389" i="2"/>
  <c r="AZ1013" i="34" s="1"/>
  <c r="AZ377" i="2"/>
  <c r="AZ388" i="2"/>
  <c r="AZ1012" i="34" s="1"/>
  <c r="BS387" i="2"/>
  <c r="AT20" i="14"/>
  <c r="AT1246" i="34"/>
  <c r="AX793" i="34"/>
  <c r="AX559" i="2"/>
  <c r="AX557" i="2"/>
  <c r="AX794" i="34" s="1"/>
  <c r="AY565" i="2"/>
  <c r="AY804" i="34" s="1"/>
  <c r="AY564" i="2"/>
  <c r="AY803" i="34" s="1"/>
  <c r="AY164" i="2"/>
  <c r="AZ562" i="2"/>
  <c r="AZ569" i="2" s="1"/>
  <c r="AY236" i="14"/>
  <c r="AY575" i="2"/>
  <c r="AY422" i="2"/>
  <c r="AY801" i="34"/>
  <c r="AY566" i="2"/>
  <c r="AY805" i="34" s="1"/>
  <c r="AY556" i="2"/>
  <c r="BA377" i="2"/>
  <c r="BA1001" i="34" s="1"/>
  <c r="BA388" i="2"/>
  <c r="BA1012" i="34" s="1"/>
  <c r="BA389" i="2"/>
  <c r="BA1013" i="34" s="1"/>
  <c r="AT1244" i="34"/>
  <c r="AT19" i="14"/>
  <c r="AT52" i="1"/>
  <c r="AT1245" i="34" s="1"/>
  <c r="AX238" i="14"/>
  <c r="AX237" i="14"/>
  <c r="AX576" i="2"/>
  <c r="AX814" i="34"/>
  <c r="AX165" i="2"/>
  <c r="AX988" i="34" s="1"/>
  <c r="AX987" i="34"/>
  <c r="AX571" i="34"/>
  <c r="BR1048" i="34"/>
  <c r="CP37" i="1"/>
  <c r="CK37" i="1"/>
  <c r="AX28" i="34"/>
  <c r="AW796" i="34"/>
  <c r="AW558" i="2"/>
  <c r="AW795" i="34" s="1"/>
  <c r="AW257" i="34"/>
  <c r="BR273" i="1"/>
  <c r="AW258" i="34" s="1"/>
  <c r="AY573" i="2"/>
  <c r="AY812" i="34" s="1"/>
  <c r="AY808" i="34"/>
  <c r="AY571" i="2"/>
  <c r="AY810" i="34" s="1"/>
  <c r="AY570" i="2"/>
  <c r="AY809" i="34" s="1"/>
  <c r="AY572" i="2"/>
  <c r="AY811" i="34" s="1"/>
  <c r="AX423" i="2"/>
  <c r="AX1048" i="34" s="1"/>
  <c r="AX424" i="2"/>
  <c r="AX1049" i="34" s="1"/>
  <c r="AX1047" i="34"/>
  <c r="AX425" i="2"/>
  <c r="AX1050" i="34" s="1"/>
  <c r="AX573" i="34"/>
  <c r="BR1050" i="34"/>
  <c r="AU259" i="1"/>
  <c r="AV159" i="1"/>
  <c r="BB387" i="2"/>
  <c r="BB1011" i="34" s="1"/>
  <c r="BC390" i="2"/>
  <c r="BD390" i="2" s="1"/>
  <c r="BY136" i="2"/>
  <c r="BX34" i="2"/>
  <c r="BX139" i="2"/>
  <c r="BY26" i="1"/>
  <c r="BD842" i="34"/>
  <c r="BD604" i="2"/>
  <c r="BT604" i="2" s="1"/>
  <c r="BT599" i="2"/>
  <c r="BW157" i="2"/>
  <c r="BV160" i="2"/>
  <c r="BC605" i="2"/>
  <c r="BC848" i="34" s="1"/>
  <c r="BC606" i="2"/>
  <c r="BC849" i="34" s="1"/>
  <c r="BC847" i="34"/>
  <c r="BC639" i="2"/>
  <c r="AR224" i="34"/>
  <c r="BM241" i="1"/>
  <c r="BB640" i="2"/>
  <c r="S241" i="1"/>
  <c r="S224" i="34"/>
  <c r="AG5" i="2"/>
  <c r="AH6" i="2"/>
  <c r="AF6" i="1"/>
  <c r="BW174" i="2" l="1"/>
  <c r="BW175" i="2" s="1"/>
  <c r="BW227" i="14"/>
  <c r="BX37" i="2"/>
  <c r="BX35" i="2"/>
  <c r="AL6" i="14"/>
  <c r="AK5" i="14"/>
  <c r="BT619" i="2"/>
  <c r="BT863" i="34" s="1"/>
  <c r="BT620" i="2"/>
  <c r="BT864" i="34" s="1"/>
  <c r="BT862" i="34"/>
  <c r="AZ359" i="34"/>
  <c r="BT858" i="34"/>
  <c r="BU614" i="2"/>
  <c r="AH6" i="34"/>
  <c r="BA86" i="1"/>
  <c r="BA1279" i="34" s="1"/>
  <c r="AZ1283" i="34"/>
  <c r="AZ84" i="1"/>
  <c r="AY1276" i="34"/>
  <c r="AY201" i="2"/>
  <c r="AY211" i="2"/>
  <c r="AZ199" i="2"/>
  <c r="AY193" i="2"/>
  <c r="AY202" i="2"/>
  <c r="AY205" i="2"/>
  <c r="AY203" i="2"/>
  <c r="AX196" i="2"/>
  <c r="AX194" i="2"/>
  <c r="AW195" i="2"/>
  <c r="AX209" i="2"/>
  <c r="AX208" i="2"/>
  <c r="AX206" i="2"/>
  <c r="AX207" i="2"/>
  <c r="BR195" i="2"/>
  <c r="AZ368" i="34"/>
  <c r="BT628" i="2"/>
  <c r="BT872" i="34"/>
  <c r="BT632" i="2"/>
  <c r="BD877" i="34"/>
  <c r="BD634" i="2"/>
  <c r="BD879" i="34" s="1"/>
  <c r="BD633" i="2"/>
  <c r="BD878" i="34" s="1"/>
  <c r="BX77" i="2"/>
  <c r="BV175" i="2"/>
  <c r="BV176" i="2" s="1"/>
  <c r="BV178" i="2"/>
  <c r="BY91" i="2"/>
  <c r="BY106" i="14" s="1"/>
  <c r="BX93" i="2"/>
  <c r="BX169" i="2"/>
  <c r="BW178" i="2"/>
  <c r="BW77" i="2"/>
  <c r="BW78" i="2" s="1"/>
  <c r="BW80" i="2"/>
  <c r="AZ482" i="34"/>
  <c r="BT959" i="34"/>
  <c r="BD329" i="2"/>
  <c r="BD331" i="2"/>
  <c r="BD327" i="2"/>
  <c r="BD328" i="2" s="1"/>
  <c r="BD330" i="2"/>
  <c r="BD481" i="2"/>
  <c r="BD484" i="2"/>
  <c r="BD482" i="2"/>
  <c r="BD483" i="2"/>
  <c r="AZ483" i="34"/>
  <c r="BT960" i="34"/>
  <c r="AZ480" i="34"/>
  <c r="BT957" i="34"/>
  <c r="BT961" i="34"/>
  <c r="AZ484" i="34"/>
  <c r="BT338" i="2"/>
  <c r="AZ456" i="34"/>
  <c r="BT933" i="34"/>
  <c r="BT480" i="2"/>
  <c r="BT362" i="2"/>
  <c r="BT321" i="2"/>
  <c r="BT323" i="2"/>
  <c r="BT326" i="2"/>
  <c r="BT346" i="2"/>
  <c r="BV344" i="2"/>
  <c r="BU341" i="2"/>
  <c r="BU951" i="34"/>
  <c r="AR900" i="34"/>
  <c r="AR657" i="2"/>
  <c r="AR904" i="34" s="1"/>
  <c r="AR660" i="2"/>
  <c r="AR907" i="34" s="1"/>
  <c r="AR654" i="2"/>
  <c r="AS409" i="2"/>
  <c r="AS1034" i="34" s="1"/>
  <c r="AS1033" i="34"/>
  <c r="AS410" i="2"/>
  <c r="AS1035" i="34" s="1"/>
  <c r="AS402" i="2"/>
  <c r="AP901" i="34"/>
  <c r="AP655" i="2"/>
  <c r="AP902" i="34" s="1"/>
  <c r="AR897" i="34"/>
  <c r="AR651" i="2"/>
  <c r="AR898" i="34" s="1"/>
  <c r="AR1119" i="34"/>
  <c r="AR1122" i="34"/>
  <c r="BQ459" i="2"/>
  <c r="AR1121" i="34"/>
  <c r="AR1120" i="34"/>
  <c r="AU453" i="2"/>
  <c r="AT1113" i="34"/>
  <c r="AV391" i="34"/>
  <c r="BP902" i="34"/>
  <c r="AR1029" i="34"/>
  <c r="AR1030" i="34"/>
  <c r="AR1027" i="34"/>
  <c r="BQ402" i="2"/>
  <c r="AR1028" i="34"/>
  <c r="AW402" i="34"/>
  <c r="CE452" i="2"/>
  <c r="BQ455" i="2"/>
  <c r="BQ457" i="2"/>
  <c r="BQ650" i="2"/>
  <c r="BQ1112" i="34"/>
  <c r="BQ454" i="2"/>
  <c r="AQ660" i="2"/>
  <c r="AQ907" i="34" s="1"/>
  <c r="AQ654" i="2"/>
  <c r="AQ900" i="34"/>
  <c r="AQ657" i="2"/>
  <c r="AQ904" i="34" s="1"/>
  <c r="AT1036" i="34"/>
  <c r="AU411" i="2"/>
  <c r="AT408" i="2"/>
  <c r="BQ409" i="2"/>
  <c r="AW556" i="34"/>
  <c r="BQ1033" i="34"/>
  <c r="BQ411" i="2"/>
  <c r="BT382" i="2"/>
  <c r="BD383" i="2"/>
  <c r="BD1007" i="34" s="1"/>
  <c r="BD384" i="2"/>
  <c r="BD1008" i="34" s="1"/>
  <c r="BD1006" i="34"/>
  <c r="AS650" i="2"/>
  <c r="AT452" i="2"/>
  <c r="AS457" i="2"/>
  <c r="AS1117" i="34" s="1"/>
  <c r="AS455" i="2"/>
  <c r="AS1115" i="34" s="1"/>
  <c r="AS456" i="2"/>
  <c r="AS1116" i="34" s="1"/>
  <c r="AS1112" i="34"/>
  <c r="AS459" i="2"/>
  <c r="AY1016" i="34"/>
  <c r="AY393" i="2"/>
  <c r="AY1017" i="34" s="1"/>
  <c r="AY394" i="2"/>
  <c r="AY1018" i="34" s="1"/>
  <c r="BA446" i="2"/>
  <c r="BA1106" i="34" s="1"/>
  <c r="AZ449" i="2"/>
  <c r="AZ1109" i="34" s="1"/>
  <c r="AZ450" i="2"/>
  <c r="AZ1110" i="34" s="1"/>
  <c r="AZ392" i="2"/>
  <c r="AZ1106" i="34"/>
  <c r="BS446" i="2"/>
  <c r="BW964" i="34"/>
  <c r="BX357" i="2"/>
  <c r="BW360" i="2"/>
  <c r="BW967" i="34" s="1"/>
  <c r="BX417" i="2"/>
  <c r="BW1042" i="34"/>
  <c r="BV418" i="2"/>
  <c r="BV1043" i="34" s="1"/>
  <c r="BV88" i="2"/>
  <c r="BV89" i="2" s="1"/>
  <c r="BV419" i="2"/>
  <c r="BV1044" i="34" s="1"/>
  <c r="BV1041" i="34"/>
  <c r="BW416" i="2"/>
  <c r="BT98" i="14"/>
  <c r="BT97" i="14" s="1"/>
  <c r="BC309" i="2"/>
  <c r="BC922" i="34" s="1"/>
  <c r="BC307" i="2"/>
  <c r="BC920" i="34" s="1"/>
  <c r="BC306" i="2"/>
  <c r="BC919" i="34" s="1"/>
  <c r="BC918" i="34"/>
  <c r="BC308" i="2"/>
  <c r="BC921" i="34" s="1"/>
  <c r="BD195" i="14"/>
  <c r="BD233" i="14"/>
  <c r="BD234" i="14"/>
  <c r="BD232" i="14"/>
  <c r="BT231" i="14"/>
  <c r="BT538" i="2"/>
  <c r="BT541" i="2"/>
  <c r="BT787" i="34" s="1"/>
  <c r="BT783" i="34"/>
  <c r="BD315" i="2"/>
  <c r="BD928" i="34" s="1"/>
  <c r="BD305" i="2"/>
  <c r="BD314" i="2"/>
  <c r="BD927" i="34" s="1"/>
  <c r="BD925" i="34"/>
  <c r="BD313" i="2"/>
  <c r="BD926" i="34" s="1"/>
  <c r="BT312" i="2"/>
  <c r="BD539" i="2"/>
  <c r="BD785" i="34" s="1"/>
  <c r="BD784" i="34"/>
  <c r="BS164" i="14"/>
  <c r="BV507" i="2"/>
  <c r="BU743" i="34"/>
  <c r="BU506" i="2"/>
  <c r="BV527" i="2" s="1"/>
  <c r="BV756" i="34"/>
  <c r="BA517" i="2"/>
  <c r="BA753" i="34" s="1"/>
  <c r="BW520" i="2"/>
  <c r="BX336" i="2"/>
  <c r="BW943" i="34"/>
  <c r="AZ544" i="34"/>
  <c r="BT1021" i="34"/>
  <c r="BU754" i="34"/>
  <c r="BU521" i="2"/>
  <c r="BU757" i="34" s="1"/>
  <c r="BV518" i="2"/>
  <c r="BU164" i="2"/>
  <c r="BU498" i="2"/>
  <c r="BU735" i="34" s="1"/>
  <c r="BY76" i="2"/>
  <c r="BU771" i="34"/>
  <c r="BU528" i="2"/>
  <c r="BU772" i="34" s="1"/>
  <c r="BU529" i="2"/>
  <c r="BU773" i="34" s="1"/>
  <c r="BV373" i="2"/>
  <c r="BU997" i="34"/>
  <c r="BU371" i="2"/>
  <c r="BV334" i="2"/>
  <c r="BV941" i="34" s="1"/>
  <c r="BV940" i="34"/>
  <c r="BW333" i="2"/>
  <c r="BS159" i="1"/>
  <c r="BS263" i="1" s="1"/>
  <c r="AV259" i="1"/>
  <c r="AX577" i="2"/>
  <c r="AX816" i="34" s="1"/>
  <c r="AX815" i="34"/>
  <c r="AY237" i="14"/>
  <c r="AY238" i="14"/>
  <c r="BC1014" i="34"/>
  <c r="BC387" i="2"/>
  <c r="AZ422" i="2"/>
  <c r="AZ556" i="2"/>
  <c r="AZ164" i="2"/>
  <c r="BA562" i="2"/>
  <c r="AZ236" i="14"/>
  <c r="AZ566" i="2"/>
  <c r="AZ805" i="34" s="1"/>
  <c r="AZ565" i="2"/>
  <c r="AZ804" i="34" s="1"/>
  <c r="AZ575" i="2"/>
  <c r="AZ801" i="34"/>
  <c r="AZ564" i="2"/>
  <c r="AZ803" i="34" s="1"/>
  <c r="BS1011" i="34"/>
  <c r="BS390" i="2"/>
  <c r="AY534" i="34"/>
  <c r="CG387" i="2"/>
  <c r="BS388" i="2"/>
  <c r="BD387" i="2"/>
  <c r="BD1014" i="34"/>
  <c r="BA378" i="2"/>
  <c r="BA1002" i="34" s="1"/>
  <c r="BA380" i="2"/>
  <c r="BA1004" i="34" s="1"/>
  <c r="BA379" i="2"/>
  <c r="BA1003" i="34" s="1"/>
  <c r="AZ571" i="2"/>
  <c r="AZ810" i="34" s="1"/>
  <c r="AZ573" i="2"/>
  <c r="AZ812" i="34" s="1"/>
  <c r="AZ572" i="2"/>
  <c r="AZ811" i="34" s="1"/>
  <c r="AZ570" i="2"/>
  <c r="AZ809" i="34" s="1"/>
  <c r="AZ808" i="34"/>
  <c r="AY424" i="2"/>
  <c r="AY1049" i="34" s="1"/>
  <c r="AY1047" i="34"/>
  <c r="AY423" i="2"/>
  <c r="AY1048" i="34" s="1"/>
  <c r="AY425" i="2"/>
  <c r="AY1050" i="34" s="1"/>
  <c r="AY165" i="2"/>
  <c r="AY988" i="34" s="1"/>
  <c r="AY987" i="34"/>
  <c r="AX796" i="34"/>
  <c r="AX558" i="2"/>
  <c r="AX795" i="34" s="1"/>
  <c r="BB388" i="2"/>
  <c r="BB1012" i="34" s="1"/>
  <c r="BB389" i="2"/>
  <c r="BB1013" i="34" s="1"/>
  <c r="BB377" i="2"/>
  <c r="BB1001" i="34" s="1"/>
  <c r="AV271" i="1"/>
  <c r="AV272" i="1" s="1"/>
  <c r="AV273" i="1" s="1"/>
  <c r="AY793" i="34"/>
  <c r="AY559" i="2"/>
  <c r="AY557" i="2"/>
  <c r="AY794" i="34" s="1"/>
  <c r="AY814" i="34"/>
  <c r="AY576" i="2"/>
  <c r="AZ379" i="2"/>
  <c r="AZ1003" i="34" s="1"/>
  <c r="AZ380" i="2"/>
  <c r="AZ1004" i="34" s="1"/>
  <c r="AZ1001" i="34"/>
  <c r="AZ378" i="2"/>
  <c r="AZ1002" i="34" s="1"/>
  <c r="BS377" i="2"/>
  <c r="BY139" i="2"/>
  <c r="BY34" i="2"/>
  <c r="BZ26" i="1"/>
  <c r="S242" i="1"/>
  <c r="S228" i="34" s="1"/>
  <c r="T238" i="1"/>
  <c r="S227" i="34"/>
  <c r="BT606" i="2"/>
  <c r="BT849" i="34" s="1"/>
  <c r="BT605" i="2"/>
  <c r="BT848" i="34" s="1"/>
  <c r="BT847" i="34"/>
  <c r="AG6" i="1"/>
  <c r="AH5" i="2"/>
  <c r="AI6" i="2"/>
  <c r="AR227" i="34"/>
  <c r="BN238" i="1"/>
  <c r="BC884" i="34"/>
  <c r="BC640" i="2"/>
  <c r="BC885" i="34" s="1"/>
  <c r="BT600" i="2"/>
  <c r="AZ348" i="34"/>
  <c r="BT842" i="34"/>
  <c r="BX157" i="2"/>
  <c r="BW160" i="2"/>
  <c r="BD605" i="2"/>
  <c r="BD848" i="34" s="1"/>
  <c r="BD847" i="34"/>
  <c r="BD606" i="2"/>
  <c r="BD849" i="34" s="1"/>
  <c r="BD639" i="2"/>
  <c r="BX174" i="2" l="1"/>
  <c r="BX175" i="2" s="1"/>
  <c r="BX176" i="2" s="1"/>
  <c r="BX227" i="14"/>
  <c r="BY37" i="2"/>
  <c r="BY35" i="2"/>
  <c r="AL5" i="14"/>
  <c r="AM6" i="14"/>
  <c r="BU613" i="2"/>
  <c r="BV614" i="2"/>
  <c r="BU858" i="34"/>
  <c r="AI6" i="34"/>
  <c r="BA90" i="1"/>
  <c r="BA1283" i="34" s="1"/>
  <c r="AZ83" i="1"/>
  <c r="AZ1277" i="34"/>
  <c r="BT84" i="1"/>
  <c r="AY71" i="34" s="1"/>
  <c r="AX195" i="2"/>
  <c r="AY196" i="2"/>
  <c r="AY194" i="2"/>
  <c r="BS199" i="2"/>
  <c r="AZ203" i="2"/>
  <c r="AZ205" i="2"/>
  <c r="AZ201" i="2"/>
  <c r="AZ202" i="2"/>
  <c r="AZ193" i="2"/>
  <c r="BA199" i="2"/>
  <c r="AZ211" i="2"/>
  <c r="AY206" i="2"/>
  <c r="AY208" i="2"/>
  <c r="AY207" i="2"/>
  <c r="AY209" i="2"/>
  <c r="BU628" i="2"/>
  <c r="AZ369" i="34"/>
  <c r="BT873" i="34"/>
  <c r="BT634" i="2"/>
  <c r="BT879" i="34" s="1"/>
  <c r="BT877" i="34"/>
  <c r="BT633" i="2"/>
  <c r="BT878" i="34" s="1"/>
  <c r="BT639" i="2"/>
  <c r="BW176" i="2"/>
  <c r="BX78" i="2"/>
  <c r="BY93" i="2"/>
  <c r="BY169" i="2"/>
  <c r="BU363" i="2"/>
  <c r="BU970" i="34" s="1"/>
  <c r="BU342" i="2"/>
  <c r="BU949" i="34" s="1"/>
  <c r="BU349" i="2"/>
  <c r="BV341" i="2"/>
  <c r="BU948" i="34"/>
  <c r="AZ459" i="34"/>
  <c r="BT936" i="34"/>
  <c r="AZ431" i="34"/>
  <c r="BT483" i="2"/>
  <c r="AZ434" i="34" s="1"/>
  <c r="BT481" i="2"/>
  <c r="AZ432" i="34" s="1"/>
  <c r="BW344" i="2"/>
  <c r="BV951" i="34"/>
  <c r="BT934" i="34"/>
  <c r="AZ457" i="34"/>
  <c r="AZ476" i="34"/>
  <c r="BT953" i="34"/>
  <c r="BT327" i="2"/>
  <c r="BT328" i="2" s="1"/>
  <c r="BT330" i="2"/>
  <c r="BT969" i="34"/>
  <c r="AZ492" i="34"/>
  <c r="BT945" i="34"/>
  <c r="AZ468" i="34"/>
  <c r="BT385" i="2"/>
  <c r="BT383" i="2"/>
  <c r="AZ529" i="34"/>
  <c r="BT1006" i="34"/>
  <c r="AS1119" i="34"/>
  <c r="AS462" i="2"/>
  <c r="AS1122" i="34" s="1"/>
  <c r="AS461" i="2"/>
  <c r="AS1121" i="34" s="1"/>
  <c r="AS460" i="2"/>
  <c r="AS1120" i="34" s="1"/>
  <c r="AU1036" i="34"/>
  <c r="AU408" i="2"/>
  <c r="AV411" i="2"/>
  <c r="AQ655" i="2"/>
  <c r="AQ902" i="34" s="1"/>
  <c r="AQ901" i="34"/>
  <c r="BQ897" i="34"/>
  <c r="BQ653" i="2"/>
  <c r="BQ651" i="2"/>
  <c r="AW386" i="34"/>
  <c r="BQ460" i="2"/>
  <c r="BQ1119" i="34"/>
  <c r="AW409" i="34"/>
  <c r="CE459" i="2"/>
  <c r="BQ462" i="2"/>
  <c r="AS404" i="2"/>
  <c r="AS1029" i="34" s="1"/>
  <c r="AS403" i="2"/>
  <c r="AS1028" i="34" s="1"/>
  <c r="AS1027" i="34"/>
  <c r="AS405" i="2"/>
  <c r="AS1030" i="34" s="1"/>
  <c r="AR901" i="34"/>
  <c r="AR655" i="2"/>
  <c r="AR902" i="34" s="1"/>
  <c r="AT455" i="2"/>
  <c r="AT1115" i="34" s="1"/>
  <c r="AT457" i="2"/>
  <c r="AT1117" i="34" s="1"/>
  <c r="AU452" i="2"/>
  <c r="AT456" i="2"/>
  <c r="AT1116" i="34" s="1"/>
  <c r="AT1112" i="34"/>
  <c r="AT459" i="2"/>
  <c r="AT650" i="2"/>
  <c r="AW407" i="34"/>
  <c r="BQ1117" i="34"/>
  <c r="AV453" i="2"/>
  <c r="AU1113" i="34"/>
  <c r="AS651" i="2"/>
  <c r="AS898" i="34" s="1"/>
  <c r="AS897" i="34"/>
  <c r="AW557" i="34"/>
  <c r="BQ1034" i="34"/>
  <c r="AW404" i="34"/>
  <c r="BQ1114" i="34"/>
  <c r="AW405" i="34"/>
  <c r="BQ1115" i="34"/>
  <c r="AW550" i="34"/>
  <c r="BQ405" i="2"/>
  <c r="BQ403" i="2"/>
  <c r="BQ1027" i="34"/>
  <c r="AW559" i="34"/>
  <c r="BQ1036" i="34"/>
  <c r="AT1033" i="34"/>
  <c r="AT409" i="2"/>
  <c r="AT1034" i="34" s="1"/>
  <c r="AT402" i="2"/>
  <c r="AT410" i="2"/>
  <c r="AT1035" i="34" s="1"/>
  <c r="AS653" i="2"/>
  <c r="BA449" i="2"/>
  <c r="BA1109" i="34" s="1"/>
  <c r="BA392" i="2"/>
  <c r="BA1016" i="34" s="1"/>
  <c r="BB446" i="2"/>
  <c r="BB1106" i="34" s="1"/>
  <c r="BA450" i="2"/>
  <c r="BA1110" i="34" s="1"/>
  <c r="AZ394" i="2"/>
  <c r="AZ1018" i="34" s="1"/>
  <c r="AZ1016" i="34"/>
  <c r="AZ393" i="2"/>
  <c r="AZ1017" i="34" s="1"/>
  <c r="BS449" i="2"/>
  <c r="BS1106" i="34"/>
  <c r="BS392" i="2"/>
  <c r="AY396" i="34"/>
  <c r="CG446" i="2"/>
  <c r="BS448" i="2"/>
  <c r="BY357" i="2"/>
  <c r="BX360" i="2"/>
  <c r="BX967" i="34" s="1"/>
  <c r="BX964" i="34"/>
  <c r="BW419" i="2"/>
  <c r="BW1044" i="34" s="1"/>
  <c r="BW418" i="2"/>
  <c r="BW1043" i="34" s="1"/>
  <c r="BX416" i="2"/>
  <c r="BW88" i="2"/>
  <c r="BW89" i="2" s="1"/>
  <c r="BW1041" i="34"/>
  <c r="BX1042" i="34"/>
  <c r="BY417" i="2"/>
  <c r="BY1042" i="34" s="1"/>
  <c r="BV506" i="2"/>
  <c r="BW527" i="2" s="1"/>
  <c r="BU532" i="2"/>
  <c r="BU742" i="34"/>
  <c r="BU508" i="2"/>
  <c r="BU744" i="34" s="1"/>
  <c r="BT314" i="2"/>
  <c r="BT313" i="2"/>
  <c r="BT316" i="2"/>
  <c r="BT925" i="34"/>
  <c r="AZ446" i="34"/>
  <c r="BD306" i="2"/>
  <c r="BD919" i="34" s="1"/>
  <c r="BD307" i="2"/>
  <c r="BD920" i="34" s="1"/>
  <c r="BD308" i="2"/>
  <c r="BD921" i="34" s="1"/>
  <c r="BD918" i="34"/>
  <c r="BD309" i="2"/>
  <c r="BD922" i="34" s="1"/>
  <c r="BT305" i="2"/>
  <c r="BT784" i="34"/>
  <c r="BT539" i="2"/>
  <c r="BT785" i="34" s="1"/>
  <c r="BW507" i="2"/>
  <c r="BV743" i="34"/>
  <c r="BT233" i="14"/>
  <c r="AZ685" i="34" s="1"/>
  <c r="AZ683" i="34"/>
  <c r="BT232" i="14"/>
  <c r="AZ684" i="34" s="1"/>
  <c r="BT195" i="14"/>
  <c r="BT236" i="14"/>
  <c r="BT229" i="14"/>
  <c r="BU499" i="2"/>
  <c r="BU502" i="2"/>
  <c r="BU738" i="34" s="1"/>
  <c r="BV997" i="34"/>
  <c r="BW373" i="2"/>
  <c r="BU165" i="2"/>
  <c r="BU988" i="34" s="1"/>
  <c r="BU987" i="34"/>
  <c r="BX943" i="34"/>
  <c r="BY336" i="2"/>
  <c r="BY943" i="34" s="1"/>
  <c r="BV771" i="34"/>
  <c r="BV528" i="2"/>
  <c r="BV772" i="34" s="1"/>
  <c r="BV529" i="2"/>
  <c r="BV773" i="34" s="1"/>
  <c r="BV498" i="2"/>
  <c r="BV735" i="34" s="1"/>
  <c r="BV164" i="2"/>
  <c r="BW518" i="2"/>
  <c r="BV754" i="34"/>
  <c r="BV521" i="2"/>
  <c r="BV757" i="34" s="1"/>
  <c r="BB517" i="2"/>
  <c r="BB753" i="34" s="1"/>
  <c r="BX520" i="2"/>
  <c r="BW756" i="34"/>
  <c r="BX333" i="2"/>
  <c r="BW940" i="34"/>
  <c r="BW334" i="2"/>
  <c r="BW941" i="34" s="1"/>
  <c r="BU995" i="34"/>
  <c r="BU374" i="2"/>
  <c r="BU998" i="34" s="1"/>
  <c r="BV371" i="2"/>
  <c r="BU396" i="2"/>
  <c r="BU397" i="2" s="1"/>
  <c r="BU1021" i="34" s="1"/>
  <c r="BY80" i="2"/>
  <c r="BY77" i="2"/>
  <c r="BY78" i="2" s="1"/>
  <c r="AZ559" i="2"/>
  <c r="AZ557" i="2"/>
  <c r="AZ794" i="34" s="1"/>
  <c r="AZ793" i="34"/>
  <c r="BS259" i="1"/>
  <c r="AX245" i="34" s="1"/>
  <c r="AX148" i="34"/>
  <c r="BS271" i="1"/>
  <c r="BB378" i="2"/>
  <c r="BB1002" i="34" s="1"/>
  <c r="BB379" i="2"/>
  <c r="BB1003" i="34" s="1"/>
  <c r="BB380" i="2"/>
  <c r="BB1004" i="34" s="1"/>
  <c r="BS1014" i="34"/>
  <c r="AY537" i="34"/>
  <c r="BS380" i="2"/>
  <c r="AZ238" i="14"/>
  <c r="AZ237" i="14"/>
  <c r="AZ1047" i="34"/>
  <c r="AZ424" i="2"/>
  <c r="AZ1049" i="34" s="1"/>
  <c r="AZ423" i="2"/>
  <c r="AZ1048" i="34" s="1"/>
  <c r="AZ425" i="2"/>
  <c r="AZ1050" i="34" s="1"/>
  <c r="BS422" i="2"/>
  <c r="BC377" i="2"/>
  <c r="BC388" i="2"/>
  <c r="BC1012" i="34" s="1"/>
  <c r="BC389" i="2"/>
  <c r="BC1013" i="34" s="1"/>
  <c r="BC1011" i="34"/>
  <c r="BS1001" i="34"/>
  <c r="CG377" i="2"/>
  <c r="BS378" i="2"/>
  <c r="AY524" i="34"/>
  <c r="AY796" i="34"/>
  <c r="AY558" i="2"/>
  <c r="AY795" i="34" s="1"/>
  <c r="BS1012" i="34"/>
  <c r="AY535" i="34"/>
  <c r="AZ576" i="2"/>
  <c r="AZ814" i="34"/>
  <c r="BA575" i="2"/>
  <c r="BB562" i="2"/>
  <c r="BA556" i="2"/>
  <c r="BA422" i="2"/>
  <c r="BA164" i="2"/>
  <c r="BA987" i="34" s="1"/>
  <c r="BA565" i="2"/>
  <c r="BA564" i="2"/>
  <c r="BA566" i="2"/>
  <c r="BB569" i="2"/>
  <c r="BB808" i="34" s="1"/>
  <c r="BA236" i="14"/>
  <c r="AY815" i="34"/>
  <c r="AY577" i="2"/>
  <c r="AY816" i="34" s="1"/>
  <c r="BD1011" i="34"/>
  <c r="BD388" i="2"/>
  <c r="BD1012" i="34" s="1"/>
  <c r="BD389" i="2"/>
  <c r="BD1013" i="34" s="1"/>
  <c r="BT387" i="2"/>
  <c r="BD377" i="2"/>
  <c r="BA569" i="2"/>
  <c r="BA808" i="34" s="1"/>
  <c r="AZ987" i="34"/>
  <c r="AZ165" i="2"/>
  <c r="AZ988" i="34" s="1"/>
  <c r="BD884" i="34"/>
  <c r="BD640" i="2"/>
  <c r="BD885" i="34" s="1"/>
  <c r="AZ349" i="34"/>
  <c r="BT843" i="34"/>
  <c r="BU600" i="2"/>
  <c r="BN241" i="1"/>
  <c r="AS224" i="34"/>
  <c r="AJ6" i="2"/>
  <c r="AI5" i="2"/>
  <c r="T241" i="1"/>
  <c r="T224" i="34"/>
  <c r="BX160" i="2"/>
  <c r="BY157" i="2"/>
  <c r="AH6" i="1"/>
  <c r="BX178" i="2" l="1"/>
  <c r="BY174" i="2"/>
  <c r="BY178" i="2" s="1"/>
  <c r="BY227" i="14"/>
  <c r="AM5" i="14"/>
  <c r="AN6" i="14"/>
  <c r="BV858" i="34"/>
  <c r="BW614" i="2"/>
  <c r="BV613" i="2"/>
  <c r="BU857" i="34"/>
  <c r="BU618" i="2"/>
  <c r="AJ6" i="34"/>
  <c r="AZ1276" i="34"/>
  <c r="BT83" i="1"/>
  <c r="AY70" i="34" s="1"/>
  <c r="BB86" i="1"/>
  <c r="BB1279" i="34" s="1"/>
  <c r="BA84" i="1"/>
  <c r="BA1277" i="34" s="1"/>
  <c r="AZ196" i="2"/>
  <c r="AZ194" i="2"/>
  <c r="BS202" i="2"/>
  <c r="BS193" i="2"/>
  <c r="CG199" i="2"/>
  <c r="BS201" i="2"/>
  <c r="BA211" i="2"/>
  <c r="BA193" i="2"/>
  <c r="BB199" i="2"/>
  <c r="BA202" i="2"/>
  <c r="BA201" i="2"/>
  <c r="BA205" i="2"/>
  <c r="BA203" i="2"/>
  <c r="AZ206" i="2"/>
  <c r="AZ207" i="2"/>
  <c r="AZ208" i="2"/>
  <c r="AZ209" i="2"/>
  <c r="AY195" i="2"/>
  <c r="BT640" i="2"/>
  <c r="BT884" i="34"/>
  <c r="AZ377" i="34"/>
  <c r="BV628" i="2"/>
  <c r="BU873" i="34"/>
  <c r="BU627" i="2"/>
  <c r="BX344" i="2"/>
  <c r="BW951" i="34"/>
  <c r="BV363" i="2"/>
  <c r="BV970" i="34" s="1"/>
  <c r="BV948" i="34"/>
  <c r="BV349" i="2"/>
  <c r="BV342" i="2"/>
  <c r="BV949" i="34" s="1"/>
  <c r="BW341" i="2"/>
  <c r="BU320" i="2"/>
  <c r="BU956" i="34"/>
  <c r="BU354" i="2"/>
  <c r="BU961" i="34" s="1"/>
  <c r="BU353" i="2"/>
  <c r="BU960" i="34" s="1"/>
  <c r="BU350" i="2"/>
  <c r="BU957" i="34" s="1"/>
  <c r="AT1027" i="34"/>
  <c r="AT403" i="2"/>
  <c r="AT1028" i="34" s="1"/>
  <c r="AT404" i="2"/>
  <c r="AT1029" i="34" s="1"/>
  <c r="AT405" i="2"/>
  <c r="AT1030" i="34" s="1"/>
  <c r="AW387" i="34"/>
  <c r="BQ898" i="34"/>
  <c r="AT653" i="2"/>
  <c r="AT897" i="34"/>
  <c r="AT651" i="2"/>
  <c r="AT898" i="34" s="1"/>
  <c r="BQ900" i="34"/>
  <c r="AW389" i="34"/>
  <c r="BQ657" i="2"/>
  <c r="BQ904" i="34" s="1"/>
  <c r="BQ654" i="2"/>
  <c r="AS900" i="34"/>
  <c r="AS654" i="2"/>
  <c r="AS657" i="2"/>
  <c r="AS904" i="34" s="1"/>
  <c r="AS660" i="2"/>
  <c r="AS907" i="34" s="1"/>
  <c r="AW551" i="34"/>
  <c r="BQ1028" i="34"/>
  <c r="AW453" i="2"/>
  <c r="AV1113" i="34"/>
  <c r="AT461" i="2"/>
  <c r="AT1121" i="34" s="1"/>
  <c r="AT460" i="2"/>
  <c r="AT1120" i="34" s="1"/>
  <c r="AT1119" i="34"/>
  <c r="AT462" i="2"/>
  <c r="AT1122" i="34" s="1"/>
  <c r="AW412" i="34"/>
  <c r="BQ1122" i="34"/>
  <c r="BQ1120" i="34"/>
  <c r="AW410" i="34"/>
  <c r="AU1033" i="34"/>
  <c r="AU409" i="2"/>
  <c r="AU1034" i="34" s="1"/>
  <c r="AU402" i="2"/>
  <c r="AU410" i="2"/>
  <c r="AU1035" i="34" s="1"/>
  <c r="BT1007" i="34"/>
  <c r="AZ530" i="34"/>
  <c r="AU455" i="2"/>
  <c r="AU1115" i="34" s="1"/>
  <c r="AU650" i="2"/>
  <c r="AU1112" i="34"/>
  <c r="AV452" i="2"/>
  <c r="AU456" i="2"/>
  <c r="AU1116" i="34" s="1"/>
  <c r="AU459" i="2"/>
  <c r="AU457" i="2"/>
  <c r="AU1117" i="34" s="1"/>
  <c r="AV1036" i="34"/>
  <c r="AV408" i="2"/>
  <c r="AW411" i="2"/>
  <c r="AW553" i="34"/>
  <c r="BQ1030" i="34"/>
  <c r="AZ532" i="34"/>
  <c r="BT1009" i="34"/>
  <c r="BU385" i="2"/>
  <c r="BC446" i="2"/>
  <c r="BB449" i="2"/>
  <c r="BB1109" i="34" s="1"/>
  <c r="BB450" i="2"/>
  <c r="BB1110" i="34" s="1"/>
  <c r="BB392" i="2"/>
  <c r="BB1016" i="34" s="1"/>
  <c r="CG392" i="2"/>
  <c r="AY539" i="34"/>
  <c r="BS393" i="2"/>
  <c r="BS1016" i="34"/>
  <c r="BA393" i="2"/>
  <c r="BA1017" i="34" s="1"/>
  <c r="BA394" i="2"/>
  <c r="BA1018" i="34" s="1"/>
  <c r="AY398" i="34"/>
  <c r="BS1108" i="34"/>
  <c r="BS1109" i="34"/>
  <c r="AY399" i="34"/>
  <c r="BY964" i="34"/>
  <c r="BY360" i="2"/>
  <c r="BY967" i="34" s="1"/>
  <c r="BY416" i="2"/>
  <c r="BX88" i="2"/>
  <c r="BX89" i="2" s="1"/>
  <c r="BX419" i="2"/>
  <c r="BX1044" i="34" s="1"/>
  <c r="BX418" i="2"/>
  <c r="BX1043" i="34" s="1"/>
  <c r="BX1041" i="34"/>
  <c r="BT237" i="14"/>
  <c r="AZ690" i="34" s="1"/>
  <c r="AZ689" i="34"/>
  <c r="BT927" i="34"/>
  <c r="AZ448" i="34"/>
  <c r="BX507" i="2"/>
  <c r="BW743" i="34"/>
  <c r="BT918" i="34"/>
  <c r="AZ439" i="34"/>
  <c r="BT309" i="2"/>
  <c r="BT306" i="2"/>
  <c r="BT307" i="2"/>
  <c r="BT929" i="34"/>
  <c r="AZ450" i="34"/>
  <c r="BU316" i="2"/>
  <c r="BU107" i="14"/>
  <c r="BU98" i="14" s="1"/>
  <c r="BU97" i="14" s="1"/>
  <c r="BU228" i="14"/>
  <c r="BU537" i="2"/>
  <c r="BU778" i="34"/>
  <c r="BT230" i="14"/>
  <c r="BU229" i="14"/>
  <c r="BT176" i="14"/>
  <c r="BT139" i="14"/>
  <c r="BT140" i="14" s="1"/>
  <c r="AZ447" i="34"/>
  <c r="BT926" i="34"/>
  <c r="BV742" i="34"/>
  <c r="BV508" i="2"/>
  <c r="BV744" i="34" s="1"/>
  <c r="BW506" i="2"/>
  <c r="BX527" i="2" s="1"/>
  <c r="BV532" i="2"/>
  <c r="BW371" i="2"/>
  <c r="BV374" i="2"/>
  <c r="BV998" i="34" s="1"/>
  <c r="BV995" i="34"/>
  <c r="BV396" i="2"/>
  <c r="BV397" i="2" s="1"/>
  <c r="BV1021" i="34" s="1"/>
  <c r="BV165" i="2"/>
  <c r="BV988" i="34" s="1"/>
  <c r="BV987" i="34"/>
  <c r="BW997" i="34"/>
  <c r="BX373" i="2"/>
  <c r="BW771" i="34"/>
  <c r="BW529" i="2"/>
  <c r="BW773" i="34" s="1"/>
  <c r="BW528" i="2"/>
  <c r="BW772" i="34" s="1"/>
  <c r="BV502" i="2"/>
  <c r="BV738" i="34" s="1"/>
  <c r="BV499" i="2"/>
  <c r="BX940" i="34"/>
  <c r="BY333" i="2"/>
  <c r="BX334" i="2"/>
  <c r="BX941" i="34" s="1"/>
  <c r="BX756" i="34"/>
  <c r="BC517" i="2"/>
  <c r="BC753" i="34" s="1"/>
  <c r="BY520" i="2"/>
  <c r="BW498" i="2"/>
  <c r="BW735" i="34" s="1"/>
  <c r="BW164" i="2"/>
  <c r="BX518" i="2"/>
  <c r="BW521" i="2"/>
  <c r="BW757" i="34" s="1"/>
  <c r="BW754" i="34"/>
  <c r="BU736" i="34"/>
  <c r="BU500" i="2"/>
  <c r="BA423" i="2"/>
  <c r="BA425" i="2"/>
  <c r="BA1050" i="34" s="1"/>
  <c r="BA424" i="2"/>
  <c r="BA576" i="2"/>
  <c r="BA815" i="34" s="1"/>
  <c r="BS1047" i="34"/>
  <c r="AY570" i="34"/>
  <c r="BS423" i="2"/>
  <c r="BS425" i="2"/>
  <c r="AX256" i="34"/>
  <c r="BS272" i="1"/>
  <c r="AZ796" i="34"/>
  <c r="AZ558" i="2"/>
  <c r="AZ795" i="34" s="1"/>
  <c r="BA572" i="2"/>
  <c r="BA811" i="34" s="1"/>
  <c r="BA571" i="2"/>
  <c r="BA810" i="34" s="1"/>
  <c r="BA573" i="2"/>
  <c r="BA812" i="34" s="1"/>
  <c r="BA570" i="2"/>
  <c r="BA809" i="34" s="1"/>
  <c r="BD380" i="2"/>
  <c r="BD1004" i="34" s="1"/>
  <c r="BD379" i="2"/>
  <c r="BD1003" i="34" s="1"/>
  <c r="BD1001" i="34"/>
  <c r="BT377" i="2"/>
  <c r="BD378" i="2"/>
  <c r="BD1002" i="34" s="1"/>
  <c r="BA237" i="14"/>
  <c r="BA238" i="14"/>
  <c r="BA559" i="2"/>
  <c r="BA557" i="2"/>
  <c r="BA794" i="34" s="1"/>
  <c r="AZ577" i="2"/>
  <c r="AZ816" i="34" s="1"/>
  <c r="AZ815" i="34"/>
  <c r="AZ534" i="34"/>
  <c r="BT390" i="2"/>
  <c r="BT1011" i="34"/>
  <c r="BT388" i="2"/>
  <c r="BB573" i="2"/>
  <c r="BB812" i="34" s="1"/>
  <c r="BB570" i="2"/>
  <c r="BB809" i="34" s="1"/>
  <c r="BB571" i="2"/>
  <c r="BB810" i="34" s="1"/>
  <c r="BB572" i="2"/>
  <c r="BB811" i="34" s="1"/>
  <c r="BA165" i="2"/>
  <c r="BA988" i="34" s="1"/>
  <c r="BB566" i="2"/>
  <c r="BB422" i="2"/>
  <c r="BB556" i="2"/>
  <c r="BB164" i="2"/>
  <c r="BB987" i="34" s="1"/>
  <c r="BC562" i="2"/>
  <c r="BC569" i="2" s="1"/>
  <c r="BB575" i="2"/>
  <c r="BB565" i="2"/>
  <c r="BB236" i="14"/>
  <c r="BB564" i="2"/>
  <c r="AY525" i="34"/>
  <c r="BS1002" i="34"/>
  <c r="BC380" i="2"/>
  <c r="BC1004" i="34" s="1"/>
  <c r="BC1001" i="34"/>
  <c r="BC379" i="2"/>
  <c r="BC1003" i="34" s="1"/>
  <c r="BC378" i="2"/>
  <c r="BC1002" i="34" s="1"/>
  <c r="AY527" i="34"/>
  <c r="BS1004" i="34"/>
  <c r="AK6" i="2"/>
  <c r="AJ5" i="2"/>
  <c r="T227" i="34"/>
  <c r="U238" i="1"/>
  <c r="T242" i="1"/>
  <c r="T228" i="34" s="1"/>
  <c r="BV600" i="2"/>
  <c r="BU843" i="34"/>
  <c r="BU599" i="2"/>
  <c r="BY160" i="2"/>
  <c r="AI6" i="1"/>
  <c r="BO238" i="1"/>
  <c r="AS227" i="34"/>
  <c r="BY175" i="2" l="1"/>
  <c r="BY176" i="2" s="1"/>
  <c r="AO6" i="14"/>
  <c r="AN5" i="14"/>
  <c r="BV857" i="34"/>
  <c r="BW613" i="2"/>
  <c r="BV618" i="2"/>
  <c r="BW858" i="34"/>
  <c r="BX614" i="2"/>
  <c r="BU862" i="34"/>
  <c r="BU620" i="2"/>
  <c r="BU864" i="34" s="1"/>
  <c r="BU619" i="2"/>
  <c r="BU863" i="34" s="1"/>
  <c r="BB90" i="1"/>
  <c r="BB1283" i="34" s="1"/>
  <c r="BA83" i="1"/>
  <c r="BA1276" i="34" s="1"/>
  <c r="BA208" i="2"/>
  <c r="BA207" i="2"/>
  <c r="BA206" i="2"/>
  <c r="BA209" i="2"/>
  <c r="BA196" i="2"/>
  <c r="BA194" i="2"/>
  <c r="BS196" i="2"/>
  <c r="BS194" i="2"/>
  <c r="BB201" i="2"/>
  <c r="BB203" i="2"/>
  <c r="BC199" i="2"/>
  <c r="BB193" i="2"/>
  <c r="BB211" i="2"/>
  <c r="BB205" i="2"/>
  <c r="BB202" i="2"/>
  <c r="AZ195" i="2"/>
  <c r="BU632" i="2"/>
  <c r="BU872" i="34"/>
  <c r="BV627" i="2"/>
  <c r="AZ378" i="34"/>
  <c r="BT885" i="34"/>
  <c r="BW628" i="2"/>
  <c r="BV873" i="34"/>
  <c r="BU362" i="2"/>
  <c r="BU969" i="34" s="1"/>
  <c r="BU323" i="2"/>
  <c r="BU936" i="34" s="1"/>
  <c r="BU326" i="2"/>
  <c r="BU321" i="2"/>
  <c r="BU934" i="34" s="1"/>
  <c r="BU933" i="34"/>
  <c r="BU338" i="2"/>
  <c r="BU945" i="34" s="1"/>
  <c r="BU480" i="2"/>
  <c r="BU346" i="2"/>
  <c r="BU953" i="34" s="1"/>
  <c r="BW349" i="2"/>
  <c r="BX341" i="2"/>
  <c r="BW342" i="2"/>
  <c r="BW949" i="34" s="1"/>
  <c r="BW948" i="34"/>
  <c r="BW363" i="2"/>
  <c r="BW970" i="34" s="1"/>
  <c r="BU352" i="2"/>
  <c r="BU959" i="34" s="1"/>
  <c r="BV320" i="2"/>
  <c r="BV350" i="2"/>
  <c r="BV957" i="34" s="1"/>
  <c r="BV956" i="34"/>
  <c r="BV353" i="2"/>
  <c r="BV960" i="34" s="1"/>
  <c r="BV354" i="2"/>
  <c r="BV961" i="34" s="1"/>
  <c r="BX951" i="34"/>
  <c r="BY344" i="2"/>
  <c r="BY951" i="34" s="1"/>
  <c r="AV1033" i="34"/>
  <c r="AV410" i="2"/>
  <c r="AV1035" i="34" s="1"/>
  <c r="AV402" i="2"/>
  <c r="BR408" i="2"/>
  <c r="AV409" i="2"/>
  <c r="AV1034" i="34" s="1"/>
  <c r="AU1027" i="34"/>
  <c r="AU403" i="2"/>
  <c r="AU1028" i="34" s="1"/>
  <c r="AU404" i="2"/>
  <c r="AU1029" i="34" s="1"/>
  <c r="AU405" i="2"/>
  <c r="AU1030" i="34" s="1"/>
  <c r="AW1113" i="34"/>
  <c r="AX453" i="2"/>
  <c r="AV650" i="2"/>
  <c r="AV457" i="2"/>
  <c r="AV1117" i="34" s="1"/>
  <c r="BR452" i="2"/>
  <c r="AV456" i="2"/>
  <c r="AV1116" i="34" s="1"/>
  <c r="AV459" i="2"/>
  <c r="AV455" i="2"/>
  <c r="AV1115" i="34" s="1"/>
  <c r="AV1112" i="34"/>
  <c r="AW452" i="2"/>
  <c r="BU382" i="2"/>
  <c r="BU1009" i="34"/>
  <c r="BV385" i="2"/>
  <c r="AS655" i="2"/>
  <c r="AS902" i="34" s="1"/>
  <c r="AS901" i="34"/>
  <c r="AT654" i="2"/>
  <c r="AT900" i="34"/>
  <c r="AT660" i="2"/>
  <c r="AT907" i="34" s="1"/>
  <c r="AT657" i="2"/>
  <c r="AT904" i="34" s="1"/>
  <c r="AW1036" i="34"/>
  <c r="AX411" i="2"/>
  <c r="AW408" i="2"/>
  <c r="AU460" i="2"/>
  <c r="AU1120" i="34" s="1"/>
  <c r="AU462" i="2"/>
  <c r="AU1122" i="34" s="1"/>
  <c r="AU461" i="2"/>
  <c r="AU1121" i="34" s="1"/>
  <c r="AU1119" i="34"/>
  <c r="AU653" i="2"/>
  <c r="AU651" i="2"/>
  <c r="AU898" i="34" s="1"/>
  <c r="AU897" i="34"/>
  <c r="BQ655" i="2"/>
  <c r="AW390" i="34"/>
  <c r="BQ901" i="34"/>
  <c r="AY540" i="34"/>
  <c r="BS1017" i="34"/>
  <c r="BB394" i="2"/>
  <c r="BB1018" i="34" s="1"/>
  <c r="BB393" i="2"/>
  <c r="BB1017" i="34" s="1"/>
  <c r="BD446" i="2"/>
  <c r="BC1106" i="34"/>
  <c r="BC450" i="2"/>
  <c r="BC1110" i="34" s="1"/>
  <c r="BC449" i="2"/>
  <c r="BC1109" i="34" s="1"/>
  <c r="BC392" i="2"/>
  <c r="BY88" i="2"/>
  <c r="BY89" i="2" s="1"/>
  <c r="BY418" i="2"/>
  <c r="BY1043" i="34" s="1"/>
  <c r="BY1041" i="34"/>
  <c r="BY419" i="2"/>
  <c r="BY1044" i="34" s="1"/>
  <c r="BT133" i="14"/>
  <c r="AZ441" i="34"/>
  <c r="BT920" i="34"/>
  <c r="AZ645" i="34"/>
  <c r="BT177" i="14"/>
  <c r="BU541" i="2"/>
  <c r="BU787" i="34" s="1"/>
  <c r="BU538" i="2"/>
  <c r="BU783" i="34"/>
  <c r="BV316" i="2"/>
  <c r="BU929" i="34"/>
  <c r="BU312" i="2"/>
  <c r="AZ440" i="34"/>
  <c r="BT919" i="34"/>
  <c r="BV107" i="14"/>
  <c r="BV98" i="14" s="1"/>
  <c r="BV97" i="14" s="1"/>
  <c r="BV228" i="14"/>
  <c r="BV778" i="34"/>
  <c r="BV229" i="14"/>
  <c r="BU231" i="14"/>
  <c r="BU139" i="14"/>
  <c r="BU140" i="14" s="1"/>
  <c r="BU133" i="14" s="1"/>
  <c r="BU176" i="14"/>
  <c r="BU177" i="14" s="1"/>
  <c r="BU164" i="14" s="1"/>
  <c r="BT922" i="34"/>
  <c r="AZ443" i="34"/>
  <c r="BX743" i="34"/>
  <c r="BY507" i="2"/>
  <c r="BY743" i="34" s="1"/>
  <c r="BW742" i="34"/>
  <c r="BW532" i="2"/>
  <c r="BW537" i="2" s="1"/>
  <c r="BW508" i="2"/>
  <c r="BW744" i="34" s="1"/>
  <c r="BX506" i="2"/>
  <c r="BY527" i="2" s="1"/>
  <c r="BV537" i="2"/>
  <c r="BW499" i="2"/>
  <c r="BW502" i="2"/>
  <c r="BW738" i="34" s="1"/>
  <c r="BX771" i="34"/>
  <c r="BX529" i="2"/>
  <c r="BX773" i="34" s="1"/>
  <c r="BX528" i="2"/>
  <c r="BX772" i="34" s="1"/>
  <c r="BV736" i="34"/>
  <c r="BV500" i="2"/>
  <c r="BX498" i="2"/>
  <c r="BX735" i="34" s="1"/>
  <c r="BX164" i="2"/>
  <c r="BX521" i="2"/>
  <c r="BX757" i="34" s="1"/>
  <c r="BX754" i="34"/>
  <c r="BY518" i="2"/>
  <c r="BY756" i="34"/>
  <c r="BX997" i="34"/>
  <c r="BY373" i="2"/>
  <c r="BY997" i="34" s="1"/>
  <c r="BW374" i="2"/>
  <c r="BW998" i="34" s="1"/>
  <c r="BW995" i="34"/>
  <c r="BX371" i="2"/>
  <c r="BW396" i="2"/>
  <c r="BW397" i="2" s="1"/>
  <c r="BW1021" i="34" s="1"/>
  <c r="BW987" i="34"/>
  <c r="BW165" i="2"/>
  <c r="BW988" i="34" s="1"/>
  <c r="BY940" i="34"/>
  <c r="BY334" i="2"/>
  <c r="BY941" i="34" s="1"/>
  <c r="BC570" i="2"/>
  <c r="BC809" i="34" s="1"/>
  <c r="BC573" i="2"/>
  <c r="BC812" i="34" s="1"/>
  <c r="BC571" i="2"/>
  <c r="BC810" i="34" s="1"/>
  <c r="BC808" i="34"/>
  <c r="BC572" i="2"/>
  <c r="BC811" i="34" s="1"/>
  <c r="BB557" i="2"/>
  <c r="BB794" i="34" s="1"/>
  <c r="BB559" i="2"/>
  <c r="BT1014" i="34"/>
  <c r="AZ537" i="34"/>
  <c r="BU390" i="2"/>
  <c r="BT380" i="2"/>
  <c r="BS1050" i="34"/>
  <c r="AY573" i="34"/>
  <c r="BB576" i="2"/>
  <c r="BB815" i="34" s="1"/>
  <c r="BS1048" i="34"/>
  <c r="AY571" i="34"/>
  <c r="BC801" i="34"/>
  <c r="BC564" i="2"/>
  <c r="BC803" i="34" s="1"/>
  <c r="BC565" i="2"/>
  <c r="BC804" i="34" s="1"/>
  <c r="BC556" i="2"/>
  <c r="BC422" i="2"/>
  <c r="BC164" i="2"/>
  <c r="BC575" i="2"/>
  <c r="BC566" i="2"/>
  <c r="BC805" i="34" s="1"/>
  <c r="BC236" i="14"/>
  <c r="BD562" i="2"/>
  <c r="BD569" i="2" s="1"/>
  <c r="BB425" i="2"/>
  <c r="BB1050" i="34" s="1"/>
  <c r="BB424" i="2"/>
  <c r="BB423" i="2"/>
  <c r="AZ535" i="34"/>
  <c r="BT1012" i="34"/>
  <c r="BA558" i="2"/>
  <c r="BA795" i="34" s="1"/>
  <c r="BT1001" i="34"/>
  <c r="AZ524" i="34"/>
  <c r="BT378" i="2"/>
  <c r="AX257" i="34"/>
  <c r="BS273" i="1"/>
  <c r="AX258" i="34" s="1"/>
  <c r="BB237" i="14"/>
  <c r="BB238" i="14"/>
  <c r="BB165" i="2"/>
  <c r="BB988" i="34" s="1"/>
  <c r="BA577" i="2"/>
  <c r="BA816" i="34" s="1"/>
  <c r="BU604" i="2"/>
  <c r="BU842" i="34"/>
  <c r="BV599" i="2"/>
  <c r="U241" i="1"/>
  <c r="U224" i="34"/>
  <c r="BO241" i="1"/>
  <c r="AT224" i="34"/>
  <c r="AJ6" i="1"/>
  <c r="AK5" i="2"/>
  <c r="AL6" i="2"/>
  <c r="BV843" i="34"/>
  <c r="BW600" i="2"/>
  <c r="AO5" i="14" l="1"/>
  <c r="AP6" i="14"/>
  <c r="BY614" i="2"/>
  <c r="BY858" i="34" s="1"/>
  <c r="BX858" i="34"/>
  <c r="BV619" i="2"/>
  <c r="BV863" i="34" s="1"/>
  <c r="BV862" i="34"/>
  <c r="BV620" i="2"/>
  <c r="BV864" i="34" s="1"/>
  <c r="BW618" i="2"/>
  <c r="BX613" i="2"/>
  <c r="BW857" i="34"/>
  <c r="BC86" i="1"/>
  <c r="BB84" i="1"/>
  <c r="BB1277" i="34" s="1"/>
  <c r="BB196" i="2"/>
  <c r="BB194" i="2"/>
  <c r="BC202" i="2"/>
  <c r="BC193" i="2"/>
  <c r="BC203" i="2"/>
  <c r="BC205" i="2"/>
  <c r="BC211" i="2"/>
  <c r="BD199" i="2"/>
  <c r="BC201" i="2"/>
  <c r="BS195" i="2"/>
  <c r="BB209" i="2"/>
  <c r="BB208" i="2"/>
  <c r="BB207" i="2"/>
  <c r="BB206" i="2"/>
  <c r="BA195" i="2"/>
  <c r="BW627" i="2"/>
  <c r="BV872" i="34"/>
  <c r="BV632" i="2"/>
  <c r="BW873" i="34"/>
  <c r="BX628" i="2"/>
  <c r="BU634" i="2"/>
  <c r="BU879" i="34" s="1"/>
  <c r="BU877" i="34"/>
  <c r="BU633" i="2"/>
  <c r="BU878" i="34" s="1"/>
  <c r="BX349" i="2"/>
  <c r="BX342" i="2"/>
  <c r="BX949" i="34" s="1"/>
  <c r="BX363" i="2"/>
  <c r="BX970" i="34" s="1"/>
  <c r="BX948" i="34"/>
  <c r="BY341" i="2"/>
  <c r="BV338" i="2"/>
  <c r="BV945" i="34" s="1"/>
  <c r="BV321" i="2"/>
  <c r="BV934" i="34" s="1"/>
  <c r="BV346" i="2"/>
  <c r="BV953" i="34" s="1"/>
  <c r="BV362" i="2"/>
  <c r="BV969" i="34" s="1"/>
  <c r="BV323" i="2"/>
  <c r="BV936" i="34" s="1"/>
  <c r="BV480" i="2"/>
  <c r="BV933" i="34"/>
  <c r="BU330" i="2"/>
  <c r="BU327" i="2"/>
  <c r="BU328" i="2" s="1"/>
  <c r="BW956" i="34"/>
  <c r="BW353" i="2"/>
  <c r="BW960" i="34" s="1"/>
  <c r="BW350" i="2"/>
  <c r="BW957" i="34" s="1"/>
  <c r="BW320" i="2"/>
  <c r="BW354" i="2"/>
  <c r="BW961" i="34" s="1"/>
  <c r="BU483" i="2"/>
  <c r="BU481" i="2"/>
  <c r="BV352" i="2"/>
  <c r="BV959" i="34" s="1"/>
  <c r="BV326" i="2"/>
  <c r="AU657" i="2"/>
  <c r="AU904" i="34" s="1"/>
  <c r="AU654" i="2"/>
  <c r="AU660" i="2"/>
  <c r="AU907" i="34" s="1"/>
  <c r="AU900" i="34"/>
  <c r="BU383" i="2"/>
  <c r="BU1007" i="34" s="1"/>
  <c r="BU1006" i="34"/>
  <c r="AV462" i="2"/>
  <c r="AV1122" i="34" s="1"/>
  <c r="AV461" i="2"/>
  <c r="AV1121" i="34" s="1"/>
  <c r="AV460" i="2"/>
  <c r="AV1120" i="34" s="1"/>
  <c r="BR459" i="2"/>
  <c r="AV1119" i="34"/>
  <c r="AV653" i="2"/>
  <c r="AV651" i="2"/>
  <c r="AV898" i="34" s="1"/>
  <c r="AV897" i="34"/>
  <c r="AX556" i="34"/>
  <c r="BR411" i="2"/>
  <c r="BR1033" i="34"/>
  <c r="BR409" i="2"/>
  <c r="AW391" i="34"/>
  <c r="BQ902" i="34"/>
  <c r="AW409" i="2"/>
  <c r="AW1034" i="34" s="1"/>
  <c r="AW1033" i="34"/>
  <c r="AW402" i="2"/>
  <c r="AW410" i="2"/>
  <c r="AW1035" i="34" s="1"/>
  <c r="AW1112" i="34"/>
  <c r="AW457" i="2"/>
  <c r="AW1117" i="34" s="1"/>
  <c r="AW456" i="2"/>
  <c r="AW1116" i="34" s="1"/>
  <c r="AX452" i="2"/>
  <c r="AW459" i="2"/>
  <c r="AW650" i="2"/>
  <c r="AW455" i="2"/>
  <c r="AW1115" i="34" s="1"/>
  <c r="AY453" i="2"/>
  <c r="AX1113" i="34"/>
  <c r="BR402" i="2"/>
  <c r="AV1027" i="34"/>
  <c r="AV403" i="2"/>
  <c r="AV1028" i="34" s="1"/>
  <c r="AV404" i="2"/>
  <c r="AV1029" i="34" s="1"/>
  <c r="AV405" i="2"/>
  <c r="AV1030" i="34" s="1"/>
  <c r="AX1036" i="34"/>
  <c r="AY411" i="2"/>
  <c r="AX408" i="2"/>
  <c r="BW385" i="2"/>
  <c r="BV382" i="2"/>
  <c r="BV1009" i="34"/>
  <c r="BR455" i="2"/>
  <c r="BR454" i="2"/>
  <c r="CF452" i="2"/>
  <c r="BR457" i="2"/>
  <c r="BR650" i="2"/>
  <c r="AX402" i="34"/>
  <c r="BR1112" i="34"/>
  <c r="AT655" i="2"/>
  <c r="AT902" i="34" s="1"/>
  <c r="AT901" i="34"/>
  <c r="BC394" i="2"/>
  <c r="BC1018" i="34" s="1"/>
  <c r="BC1016" i="34"/>
  <c r="BC393" i="2"/>
  <c r="BC1017" i="34" s="1"/>
  <c r="BD450" i="2"/>
  <c r="BD1110" i="34" s="1"/>
  <c r="BD392" i="2"/>
  <c r="BD449" i="2"/>
  <c r="BD1109" i="34" s="1"/>
  <c r="BT446" i="2"/>
  <c r="BD1106" i="34"/>
  <c r="BY506" i="2"/>
  <c r="BX532" i="2"/>
  <c r="BX508" i="2"/>
  <c r="BX744" i="34" s="1"/>
  <c r="BX742" i="34"/>
  <c r="BV176" i="14"/>
  <c r="BV177" i="14" s="1"/>
  <c r="BV164" i="14" s="1"/>
  <c r="BV231" i="14"/>
  <c r="BW229" i="14"/>
  <c r="BV139" i="14"/>
  <c r="BV140" i="14" s="1"/>
  <c r="BV133" i="14" s="1"/>
  <c r="BW538" i="2"/>
  <c r="BW783" i="34"/>
  <c r="BW541" i="2"/>
  <c r="BW787" i="34" s="1"/>
  <c r="BV538" i="2"/>
  <c r="BV541" i="2"/>
  <c r="BV787" i="34" s="1"/>
  <c r="BV783" i="34"/>
  <c r="BU195" i="14"/>
  <c r="BU232" i="14"/>
  <c r="BU233" i="14"/>
  <c r="BU236" i="14"/>
  <c r="BU237" i="14" s="1"/>
  <c r="BU305" i="2"/>
  <c r="BU313" i="2"/>
  <c r="BU926" i="34" s="1"/>
  <c r="BU314" i="2"/>
  <c r="BU927" i="34" s="1"/>
  <c r="BU925" i="34"/>
  <c r="BU539" i="2"/>
  <c r="BU785" i="34" s="1"/>
  <c r="BU784" i="34"/>
  <c r="BV929" i="34"/>
  <c r="BW316" i="2"/>
  <c r="BV312" i="2"/>
  <c r="BT164" i="14"/>
  <c r="BW107" i="14"/>
  <c r="BW98" i="14" s="1"/>
  <c r="BW97" i="14" s="1"/>
  <c r="BW228" i="14"/>
  <c r="BW778" i="34"/>
  <c r="BX995" i="34"/>
  <c r="BX374" i="2"/>
  <c r="BX998" i="34" s="1"/>
  <c r="BY371" i="2"/>
  <c r="BX396" i="2"/>
  <c r="BX397" i="2" s="1"/>
  <c r="BX1021" i="34" s="1"/>
  <c r="BY528" i="2"/>
  <c r="BY772" i="34" s="1"/>
  <c r="BY529" i="2"/>
  <c r="BY773" i="34" s="1"/>
  <c r="BY771" i="34"/>
  <c r="BX165" i="2"/>
  <c r="BX988" i="34" s="1"/>
  <c r="BX987" i="34"/>
  <c r="BY498" i="2"/>
  <c r="BY735" i="34" s="1"/>
  <c r="BY164" i="2"/>
  <c r="BY521" i="2"/>
  <c r="BY757" i="34" s="1"/>
  <c r="BY754" i="34"/>
  <c r="BX502" i="2"/>
  <c r="BX738" i="34" s="1"/>
  <c r="BX499" i="2"/>
  <c r="BW500" i="2"/>
  <c r="BW736" i="34"/>
  <c r="BD808" i="34"/>
  <c r="BD573" i="2"/>
  <c r="BD812" i="34" s="1"/>
  <c r="BD571" i="2"/>
  <c r="BD810" i="34" s="1"/>
  <c r="BD570" i="2"/>
  <c r="BD809" i="34" s="1"/>
  <c r="BD572" i="2"/>
  <c r="BD811" i="34" s="1"/>
  <c r="BT1004" i="34"/>
  <c r="AZ527" i="34"/>
  <c r="BB558" i="2"/>
  <c r="BB795" i="34" s="1"/>
  <c r="AZ525" i="34"/>
  <c r="BT1002" i="34"/>
  <c r="BC576" i="2"/>
  <c r="BC814" i="34"/>
  <c r="BC793" i="34"/>
  <c r="BC557" i="2"/>
  <c r="BC794" i="34" s="1"/>
  <c r="BC559" i="2"/>
  <c r="BU387" i="2"/>
  <c r="BU380" i="2"/>
  <c r="BU1014" i="34"/>
  <c r="BV390" i="2"/>
  <c r="BD556" i="2"/>
  <c r="BD564" i="2"/>
  <c r="BD803" i="34" s="1"/>
  <c r="BD236" i="14"/>
  <c r="BD422" i="2"/>
  <c r="BD566" i="2"/>
  <c r="BD805" i="34" s="1"/>
  <c r="BD801" i="34"/>
  <c r="BD164" i="2"/>
  <c r="BD575" i="2"/>
  <c r="BD565" i="2"/>
  <c r="BD804" i="34" s="1"/>
  <c r="BC987" i="34"/>
  <c r="BC165" i="2"/>
  <c r="BC988" i="34" s="1"/>
  <c r="BB577" i="2"/>
  <c r="BB816" i="34" s="1"/>
  <c r="BC238" i="14"/>
  <c r="BC237" i="14"/>
  <c r="BC425" i="2"/>
  <c r="BC1050" i="34" s="1"/>
  <c r="BC1047" i="34"/>
  <c r="BC424" i="2"/>
  <c r="BC1049" i="34" s="1"/>
  <c r="BC423" i="2"/>
  <c r="BC1048" i="34" s="1"/>
  <c r="AK6" i="1"/>
  <c r="BU606" i="2"/>
  <c r="BU849" i="34" s="1"/>
  <c r="BU847" i="34"/>
  <c r="BU605" i="2"/>
  <c r="BU848" i="34" s="1"/>
  <c r="BU639" i="2"/>
  <c r="AM6" i="2"/>
  <c r="AL5" i="2"/>
  <c r="BX600" i="2"/>
  <c r="BW843" i="34"/>
  <c r="BP238" i="1"/>
  <c r="AT227" i="34"/>
  <c r="U227" i="34"/>
  <c r="U242" i="1"/>
  <c r="U228" i="34" s="1"/>
  <c r="V238" i="1"/>
  <c r="BV604" i="2"/>
  <c r="BW599" i="2"/>
  <c r="BV842" i="34"/>
  <c r="AQ6" i="14" l="1"/>
  <c r="AP5" i="14"/>
  <c r="BX857" i="34"/>
  <c r="BY613" i="2"/>
  <c r="BX618" i="2"/>
  <c r="BW620" i="2"/>
  <c r="BW864" i="34" s="1"/>
  <c r="BW619" i="2"/>
  <c r="BW863" i="34" s="1"/>
  <c r="BW862" i="34"/>
  <c r="BC90" i="1"/>
  <c r="BC1279" i="34"/>
  <c r="BB83" i="1"/>
  <c r="BB1276" i="34" s="1"/>
  <c r="BD203" i="2"/>
  <c r="BD201" i="2"/>
  <c r="BD205" i="2"/>
  <c r="BT199" i="2"/>
  <c r="BD193" i="2"/>
  <c r="BD202" i="2"/>
  <c r="BD211" i="2"/>
  <c r="BC194" i="2"/>
  <c r="BC196" i="2"/>
  <c r="BC207" i="2"/>
  <c r="BC208" i="2"/>
  <c r="BC209" i="2"/>
  <c r="BC206" i="2"/>
  <c r="BB195" i="2"/>
  <c r="BX873" i="34"/>
  <c r="BY628" i="2"/>
  <c r="BY873" i="34" s="1"/>
  <c r="BW872" i="34"/>
  <c r="BX627" i="2"/>
  <c r="BW632" i="2"/>
  <c r="BV634" i="2"/>
  <c r="BV879" i="34" s="1"/>
  <c r="BV633" i="2"/>
  <c r="BV878" i="34" s="1"/>
  <c r="BV877" i="34"/>
  <c r="BV330" i="2"/>
  <c r="BV327" i="2"/>
  <c r="BV328" i="2" s="1"/>
  <c r="BW326" i="2"/>
  <c r="BW480" i="2"/>
  <c r="BW933" i="34"/>
  <c r="BW321" i="2"/>
  <c r="BW934" i="34" s="1"/>
  <c r="BW352" i="2"/>
  <c r="BW959" i="34" s="1"/>
  <c r="BW338" i="2"/>
  <c r="BW945" i="34" s="1"/>
  <c r="BW346" i="2"/>
  <c r="BW953" i="34" s="1"/>
  <c r="BW323" i="2"/>
  <c r="BW936" i="34" s="1"/>
  <c r="BW362" i="2"/>
  <c r="BW969" i="34" s="1"/>
  <c r="BV481" i="2"/>
  <c r="BV483" i="2"/>
  <c r="BY342" i="2"/>
  <c r="BY949" i="34" s="1"/>
  <c r="BY363" i="2"/>
  <c r="BY970" i="34" s="1"/>
  <c r="BY948" i="34"/>
  <c r="BY349" i="2"/>
  <c r="BX320" i="2"/>
  <c r="BX956" i="34"/>
  <c r="BX354" i="2"/>
  <c r="BX961" i="34" s="1"/>
  <c r="BX353" i="2"/>
  <c r="BX960" i="34" s="1"/>
  <c r="BX350" i="2"/>
  <c r="BX957" i="34" s="1"/>
  <c r="AW1027" i="34"/>
  <c r="AW404" i="2"/>
  <c r="AW1029" i="34" s="1"/>
  <c r="AW403" i="2"/>
  <c r="AW1028" i="34" s="1"/>
  <c r="AW405" i="2"/>
  <c r="AW1030" i="34" s="1"/>
  <c r="AX407" i="34"/>
  <c r="BR1117" i="34"/>
  <c r="AY408" i="2"/>
  <c r="AY1036" i="34"/>
  <c r="AZ411" i="2"/>
  <c r="AZ453" i="2"/>
  <c r="AY1113" i="34"/>
  <c r="AX455" i="2"/>
  <c r="AX1115" i="34" s="1"/>
  <c r="AX456" i="2"/>
  <c r="AX1116" i="34" s="1"/>
  <c r="AX1112" i="34"/>
  <c r="AX650" i="2"/>
  <c r="AY452" i="2"/>
  <c r="AX459" i="2"/>
  <c r="AX457" i="2"/>
  <c r="AX1117" i="34" s="1"/>
  <c r="BR1036" i="34"/>
  <c r="AX559" i="34"/>
  <c r="AV657" i="2"/>
  <c r="AV904" i="34" s="1"/>
  <c r="AV900" i="34"/>
  <c r="AV660" i="2"/>
  <c r="AV907" i="34" s="1"/>
  <c r="AV654" i="2"/>
  <c r="BV383" i="2"/>
  <c r="BV1007" i="34" s="1"/>
  <c r="BV1006" i="34"/>
  <c r="AX404" i="34"/>
  <c r="BR1114" i="34"/>
  <c r="BX385" i="2"/>
  <c r="BW1009" i="34"/>
  <c r="BW382" i="2"/>
  <c r="BR1027" i="34"/>
  <c r="BR403" i="2"/>
  <c r="AX550" i="34"/>
  <c r="BR405" i="2"/>
  <c r="AW651" i="2"/>
  <c r="AW898" i="34" s="1"/>
  <c r="AW897" i="34"/>
  <c r="BR1034" i="34"/>
  <c r="AX557" i="34"/>
  <c r="BR1119" i="34"/>
  <c r="AX409" i="34"/>
  <c r="BR462" i="2"/>
  <c r="BR460" i="2"/>
  <c r="CF459" i="2"/>
  <c r="AU655" i="2"/>
  <c r="AU902" i="34" s="1"/>
  <c r="AU901" i="34"/>
  <c r="BR653" i="2"/>
  <c r="AX386" i="34"/>
  <c r="BR651" i="2"/>
  <c r="BR897" i="34"/>
  <c r="BR1115" i="34"/>
  <c r="AX405" i="34"/>
  <c r="AX409" i="2"/>
  <c r="AX1034" i="34" s="1"/>
  <c r="AX1033" i="34"/>
  <c r="AX402" i="2"/>
  <c r="AX410" i="2"/>
  <c r="AX1035" i="34" s="1"/>
  <c r="AW462" i="2"/>
  <c r="AW1122" i="34" s="1"/>
  <c r="AW460" i="2"/>
  <c r="AW1120" i="34" s="1"/>
  <c r="AW1119" i="34"/>
  <c r="AW461" i="2"/>
  <c r="AW1121" i="34" s="1"/>
  <c r="BT448" i="2"/>
  <c r="AZ396" i="34"/>
  <c r="BT449" i="2"/>
  <c r="BT392" i="2"/>
  <c r="BT1106" i="34"/>
  <c r="BD394" i="2"/>
  <c r="BD1018" i="34" s="1"/>
  <c r="BD393" i="2"/>
  <c r="BD1017" i="34" s="1"/>
  <c r="BD1016" i="34"/>
  <c r="BV784" i="34"/>
  <c r="BV539" i="2"/>
  <c r="BV785" i="34" s="1"/>
  <c r="BU309" i="2"/>
  <c r="BU922" i="34" s="1"/>
  <c r="BU918" i="34"/>
  <c r="BU307" i="2"/>
  <c r="BU920" i="34" s="1"/>
  <c r="BU306" i="2"/>
  <c r="BU919" i="34" s="1"/>
  <c r="BX316" i="2"/>
  <c r="BW929" i="34"/>
  <c r="BW312" i="2"/>
  <c r="BV236" i="14"/>
  <c r="BV237" i="14" s="1"/>
  <c r="BV195" i="14"/>
  <c r="BV233" i="14"/>
  <c r="BV232" i="14"/>
  <c r="BX537" i="2"/>
  <c r="BX778" i="34"/>
  <c r="BX107" i="14"/>
  <c r="BX98" i="14" s="1"/>
  <c r="BX97" i="14" s="1"/>
  <c r="BX228" i="14"/>
  <c r="BV305" i="2"/>
  <c r="BV314" i="2"/>
  <c r="BV927" i="34" s="1"/>
  <c r="BV925" i="34"/>
  <c r="BV313" i="2"/>
  <c r="BV926" i="34" s="1"/>
  <c r="BW139" i="14"/>
  <c r="BW140" i="14" s="1"/>
  <c r="BW133" i="14" s="1"/>
  <c r="BW176" i="14"/>
  <c r="BW177" i="14" s="1"/>
  <c r="BW164" i="14" s="1"/>
  <c r="BW231" i="14"/>
  <c r="BX229" i="14"/>
  <c r="BW784" i="34"/>
  <c r="BW539" i="2"/>
  <c r="BW785" i="34" s="1"/>
  <c r="BY742" i="34"/>
  <c r="BY508" i="2"/>
  <c r="BY744" i="34" s="1"/>
  <c r="BY532" i="2"/>
  <c r="BX500" i="2"/>
  <c r="BX736" i="34"/>
  <c r="BY165" i="2"/>
  <c r="BY988" i="34" s="1"/>
  <c r="BY987" i="34"/>
  <c r="BY374" i="2"/>
  <c r="BY998" i="34" s="1"/>
  <c r="BY995" i="34"/>
  <c r="BY396" i="2"/>
  <c r="BY397" i="2" s="1"/>
  <c r="BY1021" i="34" s="1"/>
  <c r="BY502" i="2"/>
  <c r="BY738" i="34" s="1"/>
  <c r="BY499" i="2"/>
  <c r="BC815" i="34"/>
  <c r="BC577" i="2"/>
  <c r="BC816" i="34" s="1"/>
  <c r="BD576" i="2"/>
  <c r="BD814" i="34"/>
  <c r="BD423" i="2"/>
  <c r="BD1048" i="34" s="1"/>
  <c r="BD424" i="2"/>
  <c r="BD1049" i="34" s="1"/>
  <c r="BD425" i="2"/>
  <c r="BD1050" i="34" s="1"/>
  <c r="BT422" i="2"/>
  <c r="BD1047" i="34"/>
  <c r="BU1011" i="34"/>
  <c r="BU388" i="2"/>
  <c r="BU1012" i="34" s="1"/>
  <c r="BD559" i="2"/>
  <c r="BD793" i="34"/>
  <c r="BD557" i="2"/>
  <c r="BD794" i="34" s="1"/>
  <c r="BU1004" i="34"/>
  <c r="BU377" i="2"/>
  <c r="BC796" i="34"/>
  <c r="BC558" i="2"/>
  <c r="BC795" i="34" s="1"/>
  <c r="BD165" i="2"/>
  <c r="BD988" i="34" s="1"/>
  <c r="BD987" i="34"/>
  <c r="BD238" i="14"/>
  <c r="BD237" i="14"/>
  <c r="BW390" i="2"/>
  <c r="BV1014" i="34"/>
  <c r="BV387" i="2"/>
  <c r="BV380" i="2"/>
  <c r="BV847" i="34"/>
  <c r="BV605" i="2"/>
  <c r="BV848" i="34" s="1"/>
  <c r="BV606" i="2"/>
  <c r="BV849" i="34" s="1"/>
  <c r="BV639" i="2"/>
  <c r="AL6" i="1"/>
  <c r="AU224" i="34"/>
  <c r="BP241" i="1"/>
  <c r="BX843" i="34"/>
  <c r="BY600" i="2"/>
  <c r="BY843" i="34" s="1"/>
  <c r="BU640" i="2"/>
  <c r="BU885" i="34" s="1"/>
  <c r="BU884" i="34"/>
  <c r="AN6" i="2"/>
  <c r="AM5" i="2"/>
  <c r="V241" i="1"/>
  <c r="V224" i="34"/>
  <c r="BW604" i="2"/>
  <c r="BW842" i="34"/>
  <c r="BX599" i="2"/>
  <c r="AQ5" i="14" l="1"/>
  <c r="AR6" i="14"/>
  <c r="BX620" i="2"/>
  <c r="BX864" i="34" s="1"/>
  <c r="BX862" i="34"/>
  <c r="BX619" i="2"/>
  <c r="BX863" i="34" s="1"/>
  <c r="BY857" i="34"/>
  <c r="BY618" i="2"/>
  <c r="BC1283" i="34"/>
  <c r="BD86" i="1"/>
  <c r="BC84" i="1"/>
  <c r="BT202" i="2"/>
  <c r="BT193" i="2"/>
  <c r="BU199" i="2"/>
  <c r="BT201" i="2"/>
  <c r="BD209" i="2"/>
  <c r="BD206" i="2"/>
  <c r="BD208" i="2"/>
  <c r="BD207" i="2"/>
  <c r="BC195" i="2"/>
  <c r="BD196" i="2"/>
  <c r="BD194" i="2"/>
  <c r="BX632" i="2"/>
  <c r="BX872" i="34"/>
  <c r="BY627" i="2"/>
  <c r="BW877" i="34"/>
  <c r="BW634" i="2"/>
  <c r="BW879" i="34" s="1"/>
  <c r="BW633" i="2"/>
  <c r="BW878" i="34" s="1"/>
  <c r="BW483" i="2"/>
  <c r="BW481" i="2"/>
  <c r="BX338" i="2"/>
  <c r="BX945" i="34" s="1"/>
  <c r="BX362" i="2"/>
  <c r="BX969" i="34" s="1"/>
  <c r="BX321" i="2"/>
  <c r="BX934" i="34" s="1"/>
  <c r="BX323" i="2"/>
  <c r="BX936" i="34" s="1"/>
  <c r="BX480" i="2"/>
  <c r="BX933" i="34"/>
  <c r="BX346" i="2"/>
  <c r="BX953" i="34" s="1"/>
  <c r="BW330" i="2"/>
  <c r="BW327" i="2"/>
  <c r="BW328" i="2" s="1"/>
  <c r="BX352" i="2"/>
  <c r="BX959" i="34" s="1"/>
  <c r="BY353" i="2"/>
  <c r="BY960" i="34" s="1"/>
  <c r="BY320" i="2"/>
  <c r="BY956" i="34"/>
  <c r="BY354" i="2"/>
  <c r="BY961" i="34" s="1"/>
  <c r="BY350" i="2"/>
  <c r="BY957" i="34" s="1"/>
  <c r="BX326" i="2"/>
  <c r="AX404" i="2"/>
  <c r="AX1029" i="34" s="1"/>
  <c r="AX405" i="2"/>
  <c r="AX1030" i="34" s="1"/>
  <c r="AX1027" i="34"/>
  <c r="AX403" i="2"/>
  <c r="AX1028" i="34" s="1"/>
  <c r="AX389" i="34"/>
  <c r="BR657" i="2"/>
  <c r="BR904" i="34" s="1"/>
  <c r="BR900" i="34"/>
  <c r="BR654" i="2"/>
  <c r="BR1120" i="34"/>
  <c r="AX410" i="34"/>
  <c r="AV901" i="34"/>
  <c r="AV655" i="2"/>
  <c r="AV902" i="34" s="1"/>
  <c r="AY457" i="2"/>
  <c r="AY1117" i="34" s="1"/>
  <c r="AY650" i="2"/>
  <c r="AY459" i="2"/>
  <c r="AY456" i="2"/>
  <c r="AY1116" i="34" s="1"/>
  <c r="AZ452" i="2"/>
  <c r="AY1112" i="34"/>
  <c r="AY455" i="2"/>
  <c r="AY1115" i="34" s="1"/>
  <c r="BR1122" i="34"/>
  <c r="AX412" i="34"/>
  <c r="AX553" i="34"/>
  <c r="BR1030" i="34"/>
  <c r="BW383" i="2"/>
  <c r="BW1007" i="34" s="1"/>
  <c r="BW1006" i="34"/>
  <c r="AX651" i="2"/>
  <c r="AX898" i="34" s="1"/>
  <c r="AX897" i="34"/>
  <c r="AY402" i="2"/>
  <c r="AY1033" i="34"/>
  <c r="AY409" i="2"/>
  <c r="AY1034" i="34" s="1"/>
  <c r="AY410" i="2"/>
  <c r="AY1035" i="34" s="1"/>
  <c r="AX387" i="34"/>
  <c r="BR898" i="34"/>
  <c r="BA453" i="2"/>
  <c r="BA1113" i="34" s="1"/>
  <c r="AZ1113" i="34"/>
  <c r="BR1028" i="34"/>
  <c r="AX551" i="34"/>
  <c r="BY385" i="2"/>
  <c r="BX382" i="2"/>
  <c r="BX1009" i="34"/>
  <c r="AX460" i="2"/>
  <c r="AX1120" i="34" s="1"/>
  <c r="AX1119" i="34"/>
  <c r="AX462" i="2"/>
  <c r="AX1122" i="34" s="1"/>
  <c r="AX461" i="2"/>
  <c r="AX1121" i="34" s="1"/>
  <c r="AZ408" i="2"/>
  <c r="BA411" i="2"/>
  <c r="BA1036" i="34" s="1"/>
  <c r="AZ1036" i="34"/>
  <c r="BT1109" i="34"/>
  <c r="AZ399" i="34"/>
  <c r="BU448" i="2"/>
  <c r="BT1108" i="34"/>
  <c r="AZ398" i="34"/>
  <c r="BT1016" i="34"/>
  <c r="BT393" i="2"/>
  <c r="AZ539" i="34"/>
  <c r="BX231" i="14"/>
  <c r="BY229" i="14"/>
  <c r="BX176" i="14"/>
  <c r="BX177" i="14" s="1"/>
  <c r="BX164" i="14" s="1"/>
  <c r="BX139" i="14"/>
  <c r="BX140" i="14" s="1"/>
  <c r="BX133" i="14" s="1"/>
  <c r="BW925" i="34"/>
  <c r="BW313" i="2"/>
  <c r="BW926" i="34" s="1"/>
  <c r="BW314" i="2"/>
  <c r="BW927" i="34" s="1"/>
  <c r="BW305" i="2"/>
  <c r="BW236" i="14"/>
  <c r="BW237" i="14" s="1"/>
  <c r="BW233" i="14"/>
  <c r="BW195" i="14"/>
  <c r="BW232" i="14"/>
  <c r="BY316" i="2"/>
  <c r="BX929" i="34"/>
  <c r="BX312" i="2"/>
  <c r="BY537" i="2"/>
  <c r="BY228" i="14"/>
  <c r="BY107" i="14"/>
  <c r="BY98" i="14" s="1"/>
  <c r="BY97" i="14" s="1"/>
  <c r="BY778" i="34"/>
  <c r="BV918" i="34"/>
  <c r="BV309" i="2"/>
  <c r="BV922" i="34" s="1"/>
  <c r="BV307" i="2"/>
  <c r="BV920" i="34" s="1"/>
  <c r="BV306" i="2"/>
  <c r="BV919" i="34" s="1"/>
  <c r="BX541" i="2"/>
  <c r="BX787" i="34" s="1"/>
  <c r="BX538" i="2"/>
  <c r="BX783" i="34"/>
  <c r="BY736" i="34"/>
  <c r="BY500" i="2"/>
  <c r="BU1001" i="34"/>
  <c r="BU378" i="2"/>
  <c r="BU1002" i="34" s="1"/>
  <c r="BW1014" i="34"/>
  <c r="BW387" i="2"/>
  <c r="BX390" i="2"/>
  <c r="BW380" i="2"/>
  <c r="BV1004" i="34"/>
  <c r="BV377" i="2"/>
  <c r="BD796" i="34"/>
  <c r="BD558" i="2"/>
  <c r="BD795" i="34" s="1"/>
  <c r="BT423" i="2"/>
  <c r="AZ570" i="34"/>
  <c r="BT1047" i="34"/>
  <c r="BT425" i="2"/>
  <c r="BV388" i="2"/>
  <c r="BV1012" i="34" s="1"/>
  <c r="BV1011" i="34"/>
  <c r="BD815" i="34"/>
  <c r="BD577" i="2"/>
  <c r="BD816" i="34" s="1"/>
  <c r="BW847" i="34"/>
  <c r="BW606" i="2"/>
  <c r="BW849" i="34" s="1"/>
  <c r="BW605" i="2"/>
  <c r="BW848" i="34" s="1"/>
  <c r="BW639" i="2"/>
  <c r="AO6" i="2"/>
  <c r="AN5" i="2"/>
  <c r="BQ238" i="1"/>
  <c r="AU227" i="34"/>
  <c r="AM6" i="1"/>
  <c r="BY599" i="2"/>
  <c r="BX842" i="34"/>
  <c r="BX604" i="2"/>
  <c r="V242" i="1"/>
  <c r="V228" i="34" s="1"/>
  <c r="V227" i="34"/>
  <c r="W238" i="1"/>
  <c r="BV640" i="2"/>
  <c r="BV885" i="34" s="1"/>
  <c r="BV884" i="34"/>
  <c r="AS6" i="14" l="1"/>
  <c r="AR5" i="14"/>
  <c r="BY862" i="34"/>
  <c r="BY619" i="2"/>
  <c r="BY863" i="34" s="1"/>
  <c r="BY620" i="2"/>
  <c r="BY864" i="34" s="1"/>
  <c r="BC1277" i="34"/>
  <c r="BC83" i="1"/>
  <c r="BD1279" i="34"/>
  <c r="BD90" i="1"/>
  <c r="BU193" i="2"/>
  <c r="BU202" i="2"/>
  <c r="BV199" i="2"/>
  <c r="BD195" i="2"/>
  <c r="BT196" i="2"/>
  <c r="BT194" i="2"/>
  <c r="BY632" i="2"/>
  <c r="BY872" i="34"/>
  <c r="BX877" i="34"/>
  <c r="BX634" i="2"/>
  <c r="BX879" i="34" s="1"/>
  <c r="BX633" i="2"/>
  <c r="BX878" i="34" s="1"/>
  <c r="BX481" i="2"/>
  <c r="BX483" i="2"/>
  <c r="BX327" i="2"/>
  <c r="BX328" i="2" s="1"/>
  <c r="BX330" i="2"/>
  <c r="BY323" i="2"/>
  <c r="BY936" i="34" s="1"/>
  <c r="BY933" i="34"/>
  <c r="BY321" i="2"/>
  <c r="BY934" i="34" s="1"/>
  <c r="BY338" i="2"/>
  <c r="BY945" i="34" s="1"/>
  <c r="BY352" i="2"/>
  <c r="BY959" i="34" s="1"/>
  <c r="BY346" i="2"/>
  <c r="BY953" i="34" s="1"/>
  <c r="BY326" i="2"/>
  <c r="BY362" i="2"/>
  <c r="BY969" i="34" s="1"/>
  <c r="BY480" i="2"/>
  <c r="BY1009" i="34"/>
  <c r="BY382" i="2"/>
  <c r="BX383" i="2"/>
  <c r="BX1007" i="34" s="1"/>
  <c r="BX1006" i="34"/>
  <c r="BR901" i="34"/>
  <c r="BR655" i="2"/>
  <c r="AX390" i="34"/>
  <c r="BB411" i="2"/>
  <c r="BB1036" i="34" s="1"/>
  <c r="BA408" i="2"/>
  <c r="BA1033" i="34" s="1"/>
  <c r="BB453" i="2"/>
  <c r="BB1113" i="34" s="1"/>
  <c r="AY460" i="2"/>
  <c r="AY1120" i="34" s="1"/>
  <c r="AY462" i="2"/>
  <c r="AY1122" i="34" s="1"/>
  <c r="AY461" i="2"/>
  <c r="AY1121" i="34" s="1"/>
  <c r="AY1119" i="34"/>
  <c r="AZ1033" i="34"/>
  <c r="AZ402" i="2"/>
  <c r="AZ410" i="2"/>
  <c r="AZ1035" i="34" s="1"/>
  <c r="AZ409" i="2"/>
  <c r="AZ1034" i="34" s="1"/>
  <c r="BS408" i="2"/>
  <c r="AY651" i="2"/>
  <c r="AY898" i="34" s="1"/>
  <c r="AY897" i="34"/>
  <c r="AY405" i="2"/>
  <c r="AY1030" i="34" s="1"/>
  <c r="AY403" i="2"/>
  <c r="AY1028" i="34" s="1"/>
  <c r="AY404" i="2"/>
  <c r="AY1029" i="34" s="1"/>
  <c r="AY1027" i="34"/>
  <c r="AZ1112" i="34"/>
  <c r="BA452" i="2"/>
  <c r="BA1112" i="34" s="1"/>
  <c r="AZ457" i="2"/>
  <c r="AZ1117" i="34" s="1"/>
  <c r="AZ455" i="2"/>
  <c r="AZ1115" i="34" s="1"/>
  <c r="AZ459" i="2"/>
  <c r="BS452" i="2"/>
  <c r="AZ456" i="2"/>
  <c r="AZ1116" i="34" s="1"/>
  <c r="AZ650" i="2"/>
  <c r="AZ540" i="34"/>
  <c r="BT1017" i="34"/>
  <c r="BU1108" i="34"/>
  <c r="BV448" i="2"/>
  <c r="BU446" i="2"/>
  <c r="BX784" i="34"/>
  <c r="BX539" i="2"/>
  <c r="BX785" i="34" s="1"/>
  <c r="BY139" i="14"/>
  <c r="BY140" i="14" s="1"/>
  <c r="BY133" i="14" s="1"/>
  <c r="BY231" i="14"/>
  <c r="BY176" i="14"/>
  <c r="BY177" i="14" s="1"/>
  <c r="BY164" i="14" s="1"/>
  <c r="BY538" i="2"/>
  <c r="BY541" i="2"/>
  <c r="BY787" i="34" s="1"/>
  <c r="BY783" i="34"/>
  <c r="BX233" i="14"/>
  <c r="BX236" i="14"/>
  <c r="BX237" i="14" s="1"/>
  <c r="BX232" i="14"/>
  <c r="BX195" i="14"/>
  <c r="BY929" i="34"/>
  <c r="BY312" i="2"/>
  <c r="BX313" i="2"/>
  <c r="BX926" i="34" s="1"/>
  <c r="BX925" i="34"/>
  <c r="BX314" i="2"/>
  <c r="BX927" i="34" s="1"/>
  <c r="BX305" i="2"/>
  <c r="BW306" i="2"/>
  <c r="BW919" i="34" s="1"/>
  <c r="BW918" i="34"/>
  <c r="BW309" i="2"/>
  <c r="BW922" i="34" s="1"/>
  <c r="BW307" i="2"/>
  <c r="BW920" i="34" s="1"/>
  <c r="BU425" i="2"/>
  <c r="AZ573" i="34"/>
  <c r="BT1050" i="34"/>
  <c r="BW1004" i="34"/>
  <c r="BW377" i="2"/>
  <c r="BX1014" i="34"/>
  <c r="BX380" i="2"/>
  <c r="BY390" i="2"/>
  <c r="BX387" i="2"/>
  <c r="BW1011" i="34"/>
  <c r="BW388" i="2"/>
  <c r="BW1012" i="34" s="1"/>
  <c r="AZ571" i="34"/>
  <c r="BT1048" i="34"/>
  <c r="BV378" i="2"/>
  <c r="BV1002" i="34" s="1"/>
  <c r="BV1001" i="34"/>
  <c r="BY604" i="2"/>
  <c r="BY842" i="34"/>
  <c r="BW640" i="2"/>
  <c r="BW885" i="34" s="1"/>
  <c r="BW884" i="34"/>
  <c r="AN6" i="1"/>
  <c r="BX847" i="34"/>
  <c r="BX606" i="2"/>
  <c r="BX849" i="34" s="1"/>
  <c r="BX605" i="2"/>
  <c r="BX848" i="34" s="1"/>
  <c r="BX639" i="2"/>
  <c r="W224" i="34"/>
  <c r="W241" i="1"/>
  <c r="AV224" i="34"/>
  <c r="BQ241" i="1"/>
  <c r="AO5" i="2"/>
  <c r="AP6" i="2"/>
  <c r="AS5" i="14" l="1"/>
  <c r="AT6" i="14"/>
  <c r="BD1283" i="34"/>
  <c r="BD84" i="1"/>
  <c r="BC1276" i="34"/>
  <c r="BV193" i="2"/>
  <c r="BV202" i="2"/>
  <c r="BW199" i="2"/>
  <c r="BT195" i="2"/>
  <c r="BU194" i="2"/>
  <c r="BU196" i="2"/>
  <c r="BY633" i="2"/>
  <c r="BY878" i="34" s="1"/>
  <c r="BY634" i="2"/>
  <c r="BY879" i="34" s="1"/>
  <c r="BY877" i="34"/>
  <c r="BY327" i="2"/>
  <c r="BY328" i="2" s="1"/>
  <c r="BY330" i="2"/>
  <c r="BY481" i="2"/>
  <c r="BY483" i="2"/>
  <c r="BS455" i="2"/>
  <c r="CG452" i="2"/>
  <c r="BS454" i="2"/>
  <c r="BS650" i="2"/>
  <c r="BS457" i="2"/>
  <c r="AY402" i="34"/>
  <c r="BS1112" i="34"/>
  <c r="AZ405" i="2"/>
  <c r="AZ1030" i="34" s="1"/>
  <c r="AZ403" i="2"/>
  <c r="AZ1028" i="34" s="1"/>
  <c r="AZ404" i="2"/>
  <c r="AZ1029" i="34" s="1"/>
  <c r="AZ1027" i="34"/>
  <c r="BS402" i="2"/>
  <c r="BA410" i="2"/>
  <c r="BA1035" i="34" s="1"/>
  <c r="BA409" i="2"/>
  <c r="BA1034" i="34" s="1"/>
  <c r="BA402" i="2"/>
  <c r="BA1027" i="34" s="1"/>
  <c r="AZ462" i="2"/>
  <c r="AZ1122" i="34" s="1"/>
  <c r="AZ460" i="2"/>
  <c r="AZ1120" i="34" s="1"/>
  <c r="AZ461" i="2"/>
  <c r="AZ1121" i="34" s="1"/>
  <c r="BS459" i="2"/>
  <c r="AZ1119" i="34"/>
  <c r="BS411" i="2"/>
  <c r="AY556" i="34"/>
  <c r="BS409" i="2"/>
  <c r="BS1033" i="34"/>
  <c r="BA456" i="2"/>
  <c r="BA1116" i="34" s="1"/>
  <c r="BA455" i="2"/>
  <c r="BA1115" i="34" s="1"/>
  <c r="BA459" i="2"/>
  <c r="BA1119" i="34" s="1"/>
  <c r="BB452" i="2"/>
  <c r="BB1112" i="34" s="1"/>
  <c r="BA650" i="2"/>
  <c r="BA897" i="34" s="1"/>
  <c r="BA457" i="2"/>
  <c r="BA1117" i="34" s="1"/>
  <c r="BR902" i="34"/>
  <c r="AX391" i="34"/>
  <c r="AZ897" i="34"/>
  <c r="AZ651" i="2"/>
  <c r="AZ898" i="34" s="1"/>
  <c r="BB408" i="2"/>
  <c r="BB1033" i="34" s="1"/>
  <c r="BC411" i="2"/>
  <c r="BY383" i="2"/>
  <c r="BY1007" i="34" s="1"/>
  <c r="BY1006" i="34"/>
  <c r="BC453" i="2"/>
  <c r="BV1108" i="34"/>
  <c r="BW448" i="2"/>
  <c r="BV446" i="2"/>
  <c r="BU1106" i="34"/>
  <c r="BU449" i="2"/>
  <c r="BU1109" i="34" s="1"/>
  <c r="BU392" i="2"/>
  <c r="BY195" i="14"/>
  <c r="BY236" i="14"/>
  <c r="BY237" i="14" s="1"/>
  <c r="BY232" i="14"/>
  <c r="BY233" i="14"/>
  <c r="BY539" i="2"/>
  <c r="BY785" i="34" s="1"/>
  <c r="BY784" i="34"/>
  <c r="BX307" i="2"/>
  <c r="BX920" i="34" s="1"/>
  <c r="BX309" i="2"/>
  <c r="BX922" i="34" s="1"/>
  <c r="BX306" i="2"/>
  <c r="BX919" i="34" s="1"/>
  <c r="BX918" i="34"/>
  <c r="BY314" i="2"/>
  <c r="BY927" i="34" s="1"/>
  <c r="BY925" i="34"/>
  <c r="BY305" i="2"/>
  <c r="BY313" i="2"/>
  <c r="BY926" i="34" s="1"/>
  <c r="BY380" i="2"/>
  <c r="BY1014" i="34"/>
  <c r="BY387" i="2"/>
  <c r="BV425" i="2"/>
  <c r="BU422" i="2"/>
  <c r="BU1050" i="34"/>
  <c r="BX1004" i="34"/>
  <c r="BX377" i="2"/>
  <c r="BX388" i="2"/>
  <c r="BX1012" i="34" s="1"/>
  <c r="BX1011" i="34"/>
  <c r="BW378" i="2"/>
  <c r="BW1002" i="34" s="1"/>
  <c r="BW1001" i="34"/>
  <c r="AO6" i="1"/>
  <c r="AP5" i="2"/>
  <c r="AQ6" i="2"/>
  <c r="AV227" i="34"/>
  <c r="BR238" i="1"/>
  <c r="BX884" i="34"/>
  <c r="BX640" i="2"/>
  <c r="BX885" i="34" s="1"/>
  <c r="W227" i="34"/>
  <c r="X238" i="1"/>
  <c r="W242" i="1"/>
  <c r="W228" i="34" s="1"/>
  <c r="BY606" i="2"/>
  <c r="BY849" i="34" s="1"/>
  <c r="BY847" i="34"/>
  <c r="BY605" i="2"/>
  <c r="BY848" i="34" s="1"/>
  <c r="BY639" i="2"/>
  <c r="AT5" i="14" l="1"/>
  <c r="AU6" i="14"/>
  <c r="BD83" i="1"/>
  <c r="BD1277" i="34"/>
  <c r="BU84" i="1"/>
  <c r="AZ71" i="34" s="1"/>
  <c r="BU195" i="2"/>
  <c r="BW202" i="2"/>
  <c r="BW193" i="2"/>
  <c r="BX199" i="2"/>
  <c r="BV196" i="2"/>
  <c r="BV194" i="2"/>
  <c r="BB457" i="2"/>
  <c r="BB1117" i="34" s="1"/>
  <c r="BB650" i="2"/>
  <c r="BB897" i="34" s="1"/>
  <c r="BC452" i="2"/>
  <c r="BB455" i="2"/>
  <c r="BB1115" i="34" s="1"/>
  <c r="BB456" i="2"/>
  <c r="BB1116" i="34" s="1"/>
  <c r="BB459" i="2"/>
  <c r="BB1119" i="34" s="1"/>
  <c r="AY559" i="34"/>
  <c r="BS1036" i="34"/>
  <c r="BS651" i="2"/>
  <c r="BS897" i="34"/>
  <c r="AY386" i="34"/>
  <c r="BC1113" i="34"/>
  <c r="BD453" i="2"/>
  <c r="BD1113" i="34" s="1"/>
  <c r="BD411" i="2"/>
  <c r="BC1036" i="34"/>
  <c r="BC408" i="2"/>
  <c r="AY557" i="34"/>
  <c r="BS1034" i="34"/>
  <c r="BS462" i="2"/>
  <c r="CG459" i="2"/>
  <c r="BS460" i="2"/>
  <c r="AY409" i="34"/>
  <c r="BS1119" i="34"/>
  <c r="BS405" i="2"/>
  <c r="AY550" i="34"/>
  <c r="BS403" i="2"/>
  <c r="BS1027" i="34"/>
  <c r="BA462" i="2"/>
  <c r="BA1122" i="34" s="1"/>
  <c r="BA460" i="2"/>
  <c r="BA1120" i="34" s="1"/>
  <c r="BA461" i="2"/>
  <c r="BA1121" i="34" s="1"/>
  <c r="BS1114" i="34"/>
  <c r="AY404" i="34"/>
  <c r="BB410" i="2"/>
  <c r="BB1035" i="34" s="1"/>
  <c r="BB402" i="2"/>
  <c r="BB1027" i="34" s="1"/>
  <c r="BB409" i="2"/>
  <c r="BB1034" i="34" s="1"/>
  <c r="BA651" i="2"/>
  <c r="BA898" i="34" s="1"/>
  <c r="BA405" i="2"/>
  <c r="BA1030" i="34" s="1"/>
  <c r="BA403" i="2"/>
  <c r="BA1028" i="34" s="1"/>
  <c r="BA404" i="2"/>
  <c r="BA1029" i="34" s="1"/>
  <c r="AY407" i="34"/>
  <c r="BS1117" i="34"/>
  <c r="BS1115" i="34"/>
  <c r="AY405" i="34"/>
  <c r="BV449" i="2"/>
  <c r="BV1109" i="34" s="1"/>
  <c r="BV1106" i="34"/>
  <c r="BW446" i="2"/>
  <c r="BV392" i="2"/>
  <c r="BU393" i="2"/>
  <c r="BU1017" i="34" s="1"/>
  <c r="BU1016" i="34"/>
  <c r="BX448" i="2"/>
  <c r="BW1108" i="34"/>
  <c r="BY306" i="2"/>
  <c r="BY919" i="34" s="1"/>
  <c r="BY307" i="2"/>
  <c r="BY920" i="34" s="1"/>
  <c r="BY309" i="2"/>
  <c r="BY922" i="34" s="1"/>
  <c r="BY918" i="34"/>
  <c r="BU423" i="2"/>
  <c r="BU1048" i="34" s="1"/>
  <c r="BU1047" i="34"/>
  <c r="BY388" i="2"/>
  <c r="BY1012" i="34" s="1"/>
  <c r="BY1011" i="34"/>
  <c r="BW425" i="2"/>
  <c r="BV422" i="2"/>
  <c r="BV1050" i="34"/>
  <c r="BX1001" i="34"/>
  <c r="BX378" i="2"/>
  <c r="BX1002" i="34" s="1"/>
  <c r="BY1004" i="34"/>
  <c r="BY377" i="2"/>
  <c r="AR6" i="2"/>
  <c r="AQ5" i="2"/>
  <c r="X241" i="1"/>
  <c r="X224" i="34"/>
  <c r="AP6" i="1"/>
  <c r="BY884" i="34"/>
  <c r="BY640" i="2"/>
  <c r="BY885" i="34" s="1"/>
  <c r="AW224" i="34"/>
  <c r="AV6" i="14" l="1"/>
  <c r="AU5" i="14"/>
  <c r="BD1276" i="34"/>
  <c r="BU83" i="1"/>
  <c r="AZ70" i="34" s="1"/>
  <c r="BV195" i="2"/>
  <c r="BX202" i="2"/>
  <c r="BY199" i="2"/>
  <c r="BX193" i="2"/>
  <c r="BW196" i="2"/>
  <c r="BW194" i="2"/>
  <c r="AY551" i="34"/>
  <c r="BS1028" i="34"/>
  <c r="BD1036" i="34"/>
  <c r="BD408" i="2"/>
  <c r="AY410" i="34"/>
  <c r="BS1120" i="34"/>
  <c r="BC457" i="2"/>
  <c r="BC1117" i="34" s="1"/>
  <c r="BC455" i="2"/>
  <c r="BC1115" i="34" s="1"/>
  <c r="BC456" i="2"/>
  <c r="BC1116" i="34" s="1"/>
  <c r="BD452" i="2"/>
  <c r="BC650" i="2"/>
  <c r="BC1112" i="34"/>
  <c r="BC459" i="2"/>
  <c r="BB403" i="2"/>
  <c r="BB1028" i="34" s="1"/>
  <c r="BB404" i="2"/>
  <c r="BB1029" i="34" s="1"/>
  <c r="BB405" i="2"/>
  <c r="BB1030" i="34" s="1"/>
  <c r="BS1030" i="34"/>
  <c r="AY553" i="34"/>
  <c r="BC1033" i="34"/>
  <c r="BC402" i="2"/>
  <c r="BC409" i="2"/>
  <c r="BC1034" i="34" s="1"/>
  <c r="BC410" i="2"/>
  <c r="BC1035" i="34" s="1"/>
  <c r="AY387" i="34"/>
  <c r="BS898" i="34"/>
  <c r="BB461" i="2"/>
  <c r="BB1121" i="34" s="1"/>
  <c r="BB460" i="2"/>
  <c r="BB1120" i="34" s="1"/>
  <c r="BB462" i="2"/>
  <c r="BB1122" i="34" s="1"/>
  <c r="BB651" i="2"/>
  <c r="BB898" i="34" s="1"/>
  <c r="BS1122" i="34"/>
  <c r="AY412" i="34"/>
  <c r="BV393" i="2"/>
  <c r="BV1017" i="34" s="1"/>
  <c r="BV1016" i="34"/>
  <c r="BY448" i="2"/>
  <c r="BY1108" i="34" s="1"/>
  <c r="BX1108" i="34"/>
  <c r="BW449" i="2"/>
  <c r="BW1109" i="34" s="1"/>
  <c r="BX446" i="2"/>
  <c r="BW392" i="2"/>
  <c r="BW1106" i="34"/>
  <c r="BV1047" i="34"/>
  <c r="BV423" i="2"/>
  <c r="BV1048" i="34" s="1"/>
  <c r="BY378" i="2"/>
  <c r="BY1002" i="34" s="1"/>
  <c r="BY1001" i="34"/>
  <c r="BX425" i="2"/>
  <c r="BW1050" i="34"/>
  <c r="BW422" i="2"/>
  <c r="X227" i="34"/>
  <c r="X153" i="1"/>
  <c r="Y238" i="1"/>
  <c r="AQ6" i="1"/>
  <c r="AR5" i="2"/>
  <c r="AS6" i="2"/>
  <c r="AV5" i="14" l="1"/>
  <c r="AW6" i="14"/>
  <c r="BW195" i="2"/>
  <c r="BX196" i="2"/>
  <c r="BX194" i="2"/>
  <c r="BY193" i="2"/>
  <c r="BY202" i="2"/>
  <c r="BD650" i="2"/>
  <c r="BD456" i="2"/>
  <c r="BD1116" i="34" s="1"/>
  <c r="BD457" i="2"/>
  <c r="BD1117" i="34" s="1"/>
  <c r="BT452" i="2"/>
  <c r="BD459" i="2"/>
  <c r="BD455" i="2"/>
  <c r="BD1115" i="34" s="1"/>
  <c r="BD1112" i="34"/>
  <c r="BT408" i="2"/>
  <c r="BD1033" i="34"/>
  <c r="BD409" i="2"/>
  <c r="BD1034" i="34" s="1"/>
  <c r="BD410" i="2"/>
  <c r="BD1035" i="34" s="1"/>
  <c r="BD402" i="2"/>
  <c r="BC1027" i="34"/>
  <c r="BC404" i="2"/>
  <c r="BC1029" i="34" s="1"/>
  <c r="BC405" i="2"/>
  <c r="BC1030" i="34" s="1"/>
  <c r="BC403" i="2"/>
  <c r="BC1028" i="34" s="1"/>
  <c r="BC460" i="2"/>
  <c r="BC1120" i="34" s="1"/>
  <c r="BC462" i="2"/>
  <c r="BC1122" i="34" s="1"/>
  <c r="BC461" i="2"/>
  <c r="BC1121" i="34" s="1"/>
  <c r="BC1119" i="34"/>
  <c r="BC897" i="34"/>
  <c r="BC651" i="2"/>
  <c r="BC898" i="34" s="1"/>
  <c r="BW393" i="2"/>
  <c r="BW1017" i="34" s="1"/>
  <c r="BW1016" i="34"/>
  <c r="BX392" i="2"/>
  <c r="BY446" i="2"/>
  <c r="BX449" i="2"/>
  <c r="BX1109" i="34" s="1"/>
  <c r="BX1106" i="34"/>
  <c r="BW423" i="2"/>
  <c r="BW1048" i="34" s="1"/>
  <c r="BW1047" i="34"/>
  <c r="BX422" i="2"/>
  <c r="BY425" i="2"/>
  <c r="BX1050" i="34"/>
  <c r="AT6" i="2"/>
  <c r="AS5" i="2"/>
  <c r="Y241" i="1"/>
  <c r="Y224" i="34"/>
  <c r="AR6" i="1"/>
  <c r="X130" i="1"/>
  <c r="X118" i="34" s="1"/>
  <c r="X242" i="1"/>
  <c r="X228" i="34" s="1"/>
  <c r="X157" i="1"/>
  <c r="Y280" i="1"/>
  <c r="X279" i="1"/>
  <c r="BM153" i="1"/>
  <c r="X140" i="34"/>
  <c r="AX6" i="14" l="1"/>
  <c r="AW5" i="14"/>
  <c r="BY194" i="2"/>
  <c r="BY196" i="2"/>
  <c r="BX195" i="2"/>
  <c r="BT455" i="2"/>
  <c r="BT1112" i="34"/>
  <c r="AZ402" i="34"/>
  <c r="BT454" i="2"/>
  <c r="BT650" i="2"/>
  <c r="BT457" i="2"/>
  <c r="BD404" i="2"/>
  <c r="BD1029" i="34" s="1"/>
  <c r="BT402" i="2"/>
  <c r="BD403" i="2"/>
  <c r="BD1028" i="34" s="1"/>
  <c r="BD1027" i="34"/>
  <c r="BD405" i="2"/>
  <c r="BD1030" i="34" s="1"/>
  <c r="BT411" i="2"/>
  <c r="AZ556" i="34"/>
  <c r="BT409" i="2"/>
  <c r="BT1033" i="34"/>
  <c r="BT459" i="2"/>
  <c r="BD460" i="2"/>
  <c r="BD1120" i="34" s="1"/>
  <c r="BD1119" i="34"/>
  <c r="BD461" i="2"/>
  <c r="BD1121" i="34" s="1"/>
  <c r="BD462" i="2"/>
  <c r="BD1122" i="34" s="1"/>
  <c r="BD897" i="34"/>
  <c r="BD651" i="2"/>
  <c r="BD898" i="34" s="1"/>
  <c r="BY1106" i="34"/>
  <c r="BY449" i="2"/>
  <c r="BY1109" i="34" s="1"/>
  <c r="BY392" i="2"/>
  <c r="BX1016" i="34"/>
  <c r="BX393" i="2"/>
  <c r="BX1017" i="34" s="1"/>
  <c r="BX1047" i="34"/>
  <c r="BX423" i="2"/>
  <c r="BX1048" i="34" s="1"/>
  <c r="BY422" i="2"/>
  <c r="BY1050" i="34"/>
  <c r="Y265" i="34"/>
  <c r="Y282" i="1"/>
  <c r="Y267" i="34" s="1"/>
  <c r="AS6" i="1"/>
  <c r="X124" i="1"/>
  <c r="X144" i="34"/>
  <c r="X162" i="1"/>
  <c r="BM130" i="1"/>
  <c r="AR118" i="34" s="1"/>
  <c r="BM242" i="1"/>
  <c r="AR228" i="34" s="1"/>
  <c r="AR140" i="34"/>
  <c r="BM157" i="1"/>
  <c r="BM279" i="1"/>
  <c r="BN280" i="1"/>
  <c r="AS265" i="34" s="1"/>
  <c r="Z238" i="1"/>
  <c r="Y227" i="34"/>
  <c r="Y242" i="1"/>
  <c r="Y228" i="34" s="1"/>
  <c r="AT5" i="2"/>
  <c r="AU6" i="2"/>
  <c r="X264" i="34"/>
  <c r="X282" i="1"/>
  <c r="X267" i="34" s="1"/>
  <c r="AX5" i="14" l="1"/>
  <c r="AY6" i="14"/>
  <c r="BY195" i="2"/>
  <c r="AZ557" i="34"/>
  <c r="BT1034" i="34"/>
  <c r="BT1117" i="34"/>
  <c r="AZ407" i="34"/>
  <c r="BT897" i="34"/>
  <c r="BT651" i="2"/>
  <c r="AZ386" i="34"/>
  <c r="AZ405" i="34"/>
  <c r="BT1115" i="34"/>
  <c r="BT462" i="2"/>
  <c r="AZ409" i="34"/>
  <c r="BT1119" i="34"/>
  <c r="BT460" i="2"/>
  <c r="AZ559" i="34"/>
  <c r="BT1036" i="34"/>
  <c r="BU411" i="2"/>
  <c r="BT405" i="2"/>
  <c r="AZ550" i="34"/>
  <c r="BT403" i="2"/>
  <c r="BT1027" i="34"/>
  <c r="BU454" i="2"/>
  <c r="BT1114" i="34"/>
  <c r="AZ404" i="34"/>
  <c r="BY393" i="2"/>
  <c r="BY1017" i="34" s="1"/>
  <c r="BY1016" i="34"/>
  <c r="BY423" i="2"/>
  <c r="BY1048" i="34" s="1"/>
  <c r="BY1047" i="34"/>
  <c r="Z241" i="1"/>
  <c r="Z224" i="34"/>
  <c r="X151" i="34"/>
  <c r="X129" i="1"/>
  <c r="X183" i="1"/>
  <c r="X172" i="34" s="1"/>
  <c r="AV6" i="2"/>
  <c r="AU5" i="2"/>
  <c r="AR264" i="34"/>
  <c r="BM282" i="1"/>
  <c r="AR267" i="34" s="1"/>
  <c r="AT6" i="1"/>
  <c r="BM162" i="1"/>
  <c r="BM124" i="1"/>
  <c r="AR144" i="34"/>
  <c r="X125" i="1"/>
  <c r="X113" i="34" s="1"/>
  <c r="X112" i="34"/>
  <c r="AY5" i="14" l="1"/>
  <c r="AZ6" i="14"/>
  <c r="BV454" i="2"/>
  <c r="BU452" i="2"/>
  <c r="BU1114" i="34"/>
  <c r="BT1120" i="34"/>
  <c r="AZ410" i="34"/>
  <c r="BT1028" i="34"/>
  <c r="AZ551" i="34"/>
  <c r="BT1030" i="34"/>
  <c r="AZ553" i="34"/>
  <c r="BT1122" i="34"/>
  <c r="AZ412" i="34"/>
  <c r="BT898" i="34"/>
  <c r="AZ387" i="34"/>
  <c r="BU408" i="2"/>
  <c r="BV411" i="2"/>
  <c r="BU1036" i="34"/>
  <c r="X133" i="1"/>
  <c r="X117" i="34"/>
  <c r="AR112" i="34"/>
  <c r="BM125" i="1"/>
  <c r="AR113" i="34" s="1"/>
  <c r="AR151" i="34"/>
  <c r="BM183" i="1"/>
  <c r="AR172" i="34" s="1"/>
  <c r="BM129" i="1"/>
  <c r="AU6" i="1"/>
  <c r="AW6" i="2"/>
  <c r="AV5" i="2"/>
  <c r="AA238" i="1"/>
  <c r="Z227" i="34"/>
  <c r="Z153" i="1"/>
  <c r="BA6" i="14" l="1"/>
  <c r="AZ5" i="14"/>
  <c r="BV1036" i="34"/>
  <c r="BV408" i="2"/>
  <c r="BW411" i="2"/>
  <c r="BU1033" i="34"/>
  <c r="BU409" i="2"/>
  <c r="BU1034" i="34" s="1"/>
  <c r="BU402" i="2"/>
  <c r="BU457" i="2"/>
  <c r="BU1117" i="34" s="1"/>
  <c r="BU1112" i="34"/>
  <c r="BU459" i="2"/>
  <c r="BV452" i="2"/>
  <c r="BU455" i="2"/>
  <c r="BU1115" i="34" s="1"/>
  <c r="BU650" i="2"/>
  <c r="BV1114" i="34"/>
  <c r="BW454" i="2"/>
  <c r="AW5" i="2"/>
  <c r="AX6" i="2"/>
  <c r="AA241" i="1"/>
  <c r="AA224" i="34"/>
  <c r="AV6" i="1"/>
  <c r="X121" i="34"/>
  <c r="X144" i="1"/>
  <c r="X132" i="34" s="1"/>
  <c r="AA280" i="1"/>
  <c r="AA265" i="34" s="1"/>
  <c r="Z130" i="1"/>
  <c r="Z118" i="34" s="1"/>
  <c r="Z157" i="1"/>
  <c r="Z279" i="1"/>
  <c r="Z242" i="1"/>
  <c r="Z228" i="34" s="1"/>
  <c r="Z140" i="34"/>
  <c r="BM133" i="1"/>
  <c r="AR117" i="34"/>
  <c r="BB6" i="14" l="1"/>
  <c r="BA5" i="14"/>
  <c r="BV402" i="2"/>
  <c r="BV409" i="2"/>
  <c r="BV1034" i="34" s="1"/>
  <c r="BV1033" i="34"/>
  <c r="BU462" i="2"/>
  <c r="BU1122" i="34" s="1"/>
  <c r="BU460" i="2"/>
  <c r="BU1120" i="34" s="1"/>
  <c r="BU1119" i="34"/>
  <c r="BU651" i="2"/>
  <c r="BU898" i="34" s="1"/>
  <c r="BU897" i="34"/>
  <c r="BX411" i="2"/>
  <c r="BW408" i="2"/>
  <c r="BW1036" i="34"/>
  <c r="BW1114" i="34"/>
  <c r="BX454" i="2"/>
  <c r="BV1112" i="34"/>
  <c r="BV455" i="2"/>
  <c r="BV1115" i="34" s="1"/>
  <c r="BV650" i="2"/>
  <c r="BV457" i="2"/>
  <c r="BV1117" i="34" s="1"/>
  <c r="BW452" i="2"/>
  <c r="BV459" i="2"/>
  <c r="BU405" i="2"/>
  <c r="BU1030" i="34" s="1"/>
  <c r="BU403" i="2"/>
  <c r="BU1028" i="34" s="1"/>
  <c r="BU1027" i="34"/>
  <c r="AA227" i="34"/>
  <c r="AB238" i="1"/>
  <c r="AA153" i="1"/>
  <c r="Z264" i="34"/>
  <c r="Z282" i="1"/>
  <c r="Z267" i="34" s="1"/>
  <c r="AR121" i="34"/>
  <c r="BM144" i="1"/>
  <c r="AR132" i="34" s="1"/>
  <c r="Z124" i="1"/>
  <c r="Z162" i="1"/>
  <c r="Z144" i="34"/>
  <c r="AW6" i="1"/>
  <c r="AY6" i="2"/>
  <c r="AX5" i="2"/>
  <c r="BC6" i="14" l="1"/>
  <c r="BB5" i="14"/>
  <c r="BX1114" i="34"/>
  <c r="BY454" i="2"/>
  <c r="BY1114" i="34" s="1"/>
  <c r="BX1036" i="34"/>
  <c r="BX408" i="2"/>
  <c r="BY411" i="2"/>
  <c r="BV897" i="34"/>
  <c r="BV651" i="2"/>
  <c r="BV898" i="34" s="1"/>
  <c r="BV462" i="2"/>
  <c r="BV1122" i="34" s="1"/>
  <c r="BV1119" i="34"/>
  <c r="BV460" i="2"/>
  <c r="BV1120" i="34" s="1"/>
  <c r="BW650" i="2"/>
  <c r="BW457" i="2"/>
  <c r="BW1117" i="34" s="1"/>
  <c r="BW455" i="2"/>
  <c r="BW1115" i="34" s="1"/>
  <c r="BW1112" i="34"/>
  <c r="BX452" i="2"/>
  <c r="BW459" i="2"/>
  <c r="BW402" i="2"/>
  <c r="BW1033" i="34"/>
  <c r="BW409" i="2"/>
  <c r="BW1034" i="34" s="1"/>
  <c r="BV1027" i="34"/>
  <c r="BV405" i="2"/>
  <c r="BV1030" i="34" s="1"/>
  <c r="BV403" i="2"/>
  <c r="BV1028" i="34" s="1"/>
  <c r="AY5" i="2"/>
  <c r="AZ6" i="2"/>
  <c r="Z129" i="1"/>
  <c r="Z151" i="34"/>
  <c r="Z183" i="1"/>
  <c r="Z172" i="34" s="1"/>
  <c r="AA130" i="1"/>
  <c r="AA118" i="34" s="1"/>
  <c r="AB280" i="1"/>
  <c r="AB265" i="34" s="1"/>
  <c r="AA140" i="34"/>
  <c r="AA157" i="1"/>
  <c r="AA242" i="1"/>
  <c r="AA228" i="34" s="1"/>
  <c r="AA279" i="1"/>
  <c r="Z112" i="34"/>
  <c r="Z125" i="1"/>
  <c r="Z113" i="34" s="1"/>
  <c r="AB241" i="1"/>
  <c r="AB224" i="34"/>
  <c r="AX6" i="1"/>
  <c r="BD6" i="14" l="1"/>
  <c r="BD5" i="14" s="1"/>
  <c r="BC5" i="14"/>
  <c r="BW460" i="2"/>
  <c r="BW1120" i="34" s="1"/>
  <c r="BW462" i="2"/>
  <c r="BW1122" i="34" s="1"/>
  <c r="BW1119" i="34"/>
  <c r="BX409" i="2"/>
  <c r="BX1034" i="34" s="1"/>
  <c r="BX402" i="2"/>
  <c r="BX1033" i="34"/>
  <c r="BX459" i="2"/>
  <c r="BY452" i="2"/>
  <c r="BX455" i="2"/>
  <c r="BX1115" i="34" s="1"/>
  <c r="BX457" i="2"/>
  <c r="BX1117" i="34" s="1"/>
  <c r="BX650" i="2"/>
  <c r="BX1112" i="34"/>
  <c r="BW651" i="2"/>
  <c r="BW898" i="34" s="1"/>
  <c r="BW897" i="34"/>
  <c r="BW405" i="2"/>
  <c r="BW1030" i="34" s="1"/>
  <c r="BW403" i="2"/>
  <c r="BW1028" i="34" s="1"/>
  <c r="BW1027" i="34"/>
  <c r="BY1036" i="34"/>
  <c r="BY408" i="2"/>
  <c r="AC238" i="1"/>
  <c r="AB153" i="1"/>
  <c r="AB227" i="34"/>
  <c r="AA264" i="34"/>
  <c r="AA282" i="1"/>
  <c r="AA267" i="34" s="1"/>
  <c r="Z133" i="1"/>
  <c r="Z117" i="34"/>
  <c r="AY6" i="1"/>
  <c r="BA6" i="2"/>
  <c r="AZ5" i="2"/>
  <c r="AA144" i="34"/>
  <c r="AA124" i="1"/>
  <c r="AA162" i="1"/>
  <c r="BY409" i="2" l="1"/>
  <c r="BY1034" i="34" s="1"/>
  <c r="BY1033" i="34"/>
  <c r="BY402" i="2"/>
  <c r="BX405" i="2"/>
  <c r="BX1030" i="34" s="1"/>
  <c r="BX1027" i="34"/>
  <c r="BX403" i="2"/>
  <c r="BX1028" i="34" s="1"/>
  <c r="BY455" i="2"/>
  <c r="BY1115" i="34" s="1"/>
  <c r="BY1112" i="34"/>
  <c r="BY457" i="2"/>
  <c r="BY1117" i="34" s="1"/>
  <c r="BY459" i="2"/>
  <c r="BY650" i="2"/>
  <c r="BX897" i="34"/>
  <c r="BX651" i="2"/>
  <c r="BX898" i="34" s="1"/>
  <c r="BX1119" i="34"/>
  <c r="BX460" i="2"/>
  <c r="BX1120" i="34" s="1"/>
  <c r="BX462" i="2"/>
  <c r="BX1122" i="34" s="1"/>
  <c r="BB6" i="2"/>
  <c r="BA5" i="2"/>
  <c r="Z121" i="34"/>
  <c r="Z144" i="1"/>
  <c r="Z132" i="34" s="1"/>
  <c r="AZ6" i="1"/>
  <c r="AA183" i="1"/>
  <c r="AA172" i="34" s="1"/>
  <c r="AA151" i="34"/>
  <c r="AA129" i="1"/>
  <c r="BN153" i="1"/>
  <c r="AB140" i="34"/>
  <c r="AB279" i="1"/>
  <c r="AB157" i="1"/>
  <c r="AB242" i="1"/>
  <c r="AB228" i="34" s="1"/>
  <c r="AC280" i="1"/>
  <c r="AC265" i="34" s="1"/>
  <c r="AB130" i="1"/>
  <c r="AB118" i="34" s="1"/>
  <c r="AA125" i="1"/>
  <c r="AA113" i="34" s="1"/>
  <c r="AA112" i="34"/>
  <c r="AC224" i="34"/>
  <c r="AC241" i="1"/>
  <c r="BY462" i="2" l="1"/>
  <c r="BY1122" i="34" s="1"/>
  <c r="BY460" i="2"/>
  <c r="BY1120" i="34" s="1"/>
  <c r="BY1119" i="34"/>
  <c r="BY651" i="2"/>
  <c r="BY898" i="34" s="1"/>
  <c r="BY897" i="34"/>
  <c r="BY405" i="2"/>
  <c r="BY1030" i="34" s="1"/>
  <c r="BY1027" i="34"/>
  <c r="BY403" i="2"/>
  <c r="BY1028" i="34" s="1"/>
  <c r="AC153" i="1"/>
  <c r="AC227" i="34"/>
  <c r="AD238" i="1"/>
  <c r="BO280" i="1"/>
  <c r="AT265" i="34" s="1"/>
  <c r="AS140" i="34"/>
  <c r="BN242" i="1"/>
  <c r="AS228" i="34" s="1"/>
  <c r="BN130" i="1"/>
  <c r="AS118" i="34" s="1"/>
  <c r="BN157" i="1"/>
  <c r="BN279" i="1"/>
  <c r="BA6" i="1"/>
  <c r="AB162" i="1"/>
  <c r="AB144" i="34"/>
  <c r="AB124" i="1"/>
  <c r="AA117" i="34"/>
  <c r="AA133" i="1"/>
  <c r="AB264" i="34"/>
  <c r="AB282" i="1"/>
  <c r="AB267" i="34" s="1"/>
  <c r="BC6" i="2"/>
  <c r="BB5" i="2"/>
  <c r="AA121" i="34" l="1"/>
  <c r="AA144" i="1"/>
  <c r="AA132" i="34" s="1"/>
  <c r="AB129" i="1"/>
  <c r="AB183" i="1"/>
  <c r="AB172" i="34" s="1"/>
  <c r="AB151" i="34"/>
  <c r="AS144" i="34"/>
  <c r="BN162" i="1"/>
  <c r="BN124" i="1"/>
  <c r="BD6" i="2"/>
  <c r="BD5" i="2" s="1"/>
  <c r="BC5" i="2"/>
  <c r="AD241" i="1"/>
  <c r="AD224" i="34"/>
  <c r="AB125" i="1"/>
  <c r="AB113" i="34" s="1"/>
  <c r="AB112" i="34"/>
  <c r="BB6" i="1"/>
  <c r="BN282" i="1"/>
  <c r="AS267" i="34" s="1"/>
  <c r="AS264" i="34"/>
  <c r="AC130" i="1"/>
  <c r="AC118" i="34" s="1"/>
  <c r="AC242" i="1"/>
  <c r="AC228" i="34" s="1"/>
  <c r="AC140" i="34"/>
  <c r="AD280" i="1"/>
  <c r="AD265" i="34" s="1"/>
  <c r="AC279" i="1"/>
  <c r="AC157" i="1"/>
  <c r="AS112" i="34" l="1"/>
  <c r="BN125" i="1"/>
  <c r="AS113" i="34" s="1"/>
  <c r="AC162" i="1"/>
  <c r="AC144" i="34"/>
  <c r="AC124" i="1"/>
  <c r="AC282" i="1"/>
  <c r="AC267" i="34" s="1"/>
  <c r="AC264" i="34"/>
  <c r="BC6" i="1"/>
  <c r="AE238" i="1"/>
  <c r="AD227" i="34"/>
  <c r="AD153" i="1"/>
  <c r="AS151" i="34"/>
  <c r="BN129" i="1"/>
  <c r="BN183" i="1"/>
  <c r="AS172" i="34" s="1"/>
  <c r="AB117" i="34"/>
  <c r="AB133" i="1"/>
  <c r="AS117" i="34" l="1"/>
  <c r="BN133" i="1"/>
  <c r="AE224" i="34"/>
  <c r="AE241" i="1"/>
  <c r="AB121" i="34"/>
  <c r="AB144" i="1"/>
  <c r="AB132" i="34" s="1"/>
  <c r="BD6" i="1"/>
  <c r="AC129" i="1"/>
  <c r="AC151" i="34"/>
  <c r="AC183" i="1"/>
  <c r="AC172" i="34" s="1"/>
  <c r="AD157" i="1"/>
  <c r="AD279" i="1"/>
  <c r="AD130" i="1"/>
  <c r="AD118" i="34" s="1"/>
  <c r="AE280" i="1"/>
  <c r="AE265" i="34" s="1"/>
  <c r="AD140" i="34"/>
  <c r="AD242" i="1"/>
  <c r="AD228" i="34" s="1"/>
  <c r="AC125" i="1"/>
  <c r="AC113" i="34" s="1"/>
  <c r="AC112" i="34"/>
  <c r="AD124" i="1" l="1"/>
  <c r="AD144" i="34"/>
  <c r="AD162" i="1"/>
  <c r="AE227" i="34"/>
  <c r="AF238" i="1"/>
  <c r="AE153" i="1"/>
  <c r="AC117" i="34"/>
  <c r="AC133" i="1"/>
  <c r="AS121" i="34"/>
  <c r="BN144" i="1"/>
  <c r="AS132" i="34" s="1"/>
  <c r="AD282" i="1"/>
  <c r="AD267" i="34" s="1"/>
  <c r="AD264" i="34"/>
  <c r="AC121" i="34" l="1"/>
  <c r="AC144" i="1"/>
  <c r="AC132" i="34" s="1"/>
  <c r="AD129" i="1"/>
  <c r="AD183" i="1"/>
  <c r="AD172" i="34" s="1"/>
  <c r="AD151" i="34"/>
  <c r="AE279" i="1"/>
  <c r="AF280" i="1"/>
  <c r="AF265" i="34" s="1"/>
  <c r="AE242" i="1"/>
  <c r="AE228" i="34" s="1"/>
  <c r="AE140" i="34"/>
  <c r="AE130" i="1"/>
  <c r="AE118" i="34" s="1"/>
  <c r="AE157" i="1"/>
  <c r="AF241" i="1"/>
  <c r="AF224" i="34"/>
  <c r="AD125" i="1"/>
  <c r="AD113" i="34" s="1"/>
  <c r="AD112" i="34"/>
  <c r="AD133" i="1" l="1"/>
  <c r="AD117" i="34"/>
  <c r="AF153" i="1"/>
  <c r="AF227" i="34"/>
  <c r="AG238" i="1"/>
  <c r="AE264" i="34"/>
  <c r="AE282" i="1"/>
  <c r="AE144" i="34"/>
  <c r="AE162" i="1"/>
  <c r="AE124" i="1"/>
  <c r="AE112" i="34" l="1"/>
  <c r="AE125" i="1"/>
  <c r="AE113" i="34" s="1"/>
  <c r="AE151" i="34"/>
  <c r="AE183" i="1"/>
  <c r="AE172" i="34" s="1"/>
  <c r="AE129" i="1"/>
  <c r="AG224" i="34"/>
  <c r="AG241" i="1"/>
  <c r="AD121" i="34"/>
  <c r="AD144" i="1"/>
  <c r="AD132" i="34" s="1"/>
  <c r="AF242" i="1"/>
  <c r="AF228" i="34" s="1"/>
  <c r="BO153" i="1"/>
  <c r="AF279" i="1"/>
  <c r="AF157" i="1"/>
  <c r="AF140" i="34"/>
  <c r="AG280" i="1"/>
  <c r="AG265" i="34" s="1"/>
  <c r="AF130" i="1"/>
  <c r="AF118" i="34" s="1"/>
  <c r="AE267" i="34"/>
  <c r="AF282" i="1" l="1"/>
  <c r="AF264" i="34"/>
  <c r="BO279" i="1"/>
  <c r="BO157" i="1"/>
  <c r="BO130" i="1"/>
  <c r="AT118" i="34" s="1"/>
  <c r="BO242" i="1"/>
  <c r="AT228" i="34" s="1"/>
  <c r="AT140" i="34"/>
  <c r="BP280" i="1"/>
  <c r="AU265" i="34" s="1"/>
  <c r="AG227" i="34"/>
  <c r="AH238" i="1"/>
  <c r="AG153" i="1"/>
  <c r="AF124" i="1"/>
  <c r="AF162" i="1"/>
  <c r="AF144" i="34"/>
  <c r="AE117" i="34"/>
  <c r="AE133" i="1"/>
  <c r="AF267" i="34" l="1"/>
  <c r="AG282" i="1"/>
  <c r="AH282" i="1" s="1"/>
  <c r="AH241" i="1"/>
  <c r="AH224" i="34"/>
  <c r="AT144" i="34"/>
  <c r="BO162" i="1"/>
  <c r="BO124" i="1"/>
  <c r="AG242" i="1"/>
  <c r="AG228" i="34" s="1"/>
  <c r="AG157" i="1"/>
  <c r="AG279" i="1"/>
  <c r="AG264" i="34" s="1"/>
  <c r="AG140" i="34"/>
  <c r="AG130" i="1"/>
  <c r="AG118" i="34" s="1"/>
  <c r="AH280" i="1"/>
  <c r="AH265" i="34" s="1"/>
  <c r="AF151" i="34"/>
  <c r="AF129" i="1"/>
  <c r="AF183" i="1"/>
  <c r="AF172" i="34" s="1"/>
  <c r="BO282" i="1"/>
  <c r="AT267" i="34" s="1"/>
  <c r="AT264" i="34"/>
  <c r="AE121" i="34"/>
  <c r="AE144" i="1"/>
  <c r="AE132" i="34" s="1"/>
  <c r="AF112" i="34"/>
  <c r="AF125" i="1"/>
  <c r="AF113" i="34" s="1"/>
  <c r="AH267" i="34" l="1"/>
  <c r="AH281" i="1"/>
  <c r="AG162" i="1"/>
  <c r="AG144" i="34"/>
  <c r="AG124" i="1"/>
  <c r="AG125" i="1" s="1"/>
  <c r="AG267" i="34"/>
  <c r="AI282" i="1"/>
  <c r="AT151" i="34"/>
  <c r="BO129" i="1"/>
  <c r="BO183" i="1"/>
  <c r="AT172" i="34" s="1"/>
  <c r="AF133" i="1"/>
  <c r="AF117" i="34"/>
  <c r="AT112" i="34"/>
  <c r="BO125" i="1"/>
  <c r="AT113" i="34" s="1"/>
  <c r="AH153" i="1"/>
  <c r="AI238" i="1"/>
  <c r="AH227" i="34"/>
  <c r="AH140" i="34" l="1"/>
  <c r="AI280" i="1"/>
  <c r="AI265" i="34" s="1"/>
  <c r="AH130" i="1"/>
  <c r="AH118" i="34" s="1"/>
  <c r="AH242" i="1"/>
  <c r="AH228" i="34" s="1"/>
  <c r="AH279" i="1"/>
  <c r="AH264" i="34" s="1"/>
  <c r="AH157" i="1"/>
  <c r="AF121" i="34"/>
  <c r="AF144" i="1"/>
  <c r="AF132" i="34" s="1"/>
  <c r="AI267" i="34"/>
  <c r="AI281" i="1"/>
  <c r="AI266" i="34" s="1"/>
  <c r="AG129" i="1"/>
  <c r="AG183" i="1"/>
  <c r="AG172" i="34" s="1"/>
  <c r="AG151" i="34"/>
  <c r="AJ282" i="1"/>
  <c r="BO133" i="1"/>
  <c r="AT117" i="34"/>
  <c r="AG113" i="34"/>
  <c r="AG112" i="34"/>
  <c r="AH266" i="34"/>
  <c r="AI241" i="1"/>
  <c r="AI224" i="34"/>
  <c r="AJ267" i="34" l="1"/>
  <c r="AI227" i="34"/>
  <c r="AI153" i="1"/>
  <c r="AJ238" i="1"/>
  <c r="AK282" i="1"/>
  <c r="AL282" i="1" s="1"/>
  <c r="AH162" i="1"/>
  <c r="AH144" i="34"/>
  <c r="AH124" i="1"/>
  <c r="AH125" i="1" s="1"/>
  <c r="AT121" i="34"/>
  <c r="BO144" i="1"/>
  <c r="AT132" i="34" s="1"/>
  <c r="AG117" i="34"/>
  <c r="AG133" i="1"/>
  <c r="AH129" i="1" l="1"/>
  <c r="AH183" i="1"/>
  <c r="AH172" i="34" s="1"/>
  <c r="AH151" i="34"/>
  <c r="AG121" i="34"/>
  <c r="AG144" i="1"/>
  <c r="AG132" i="34" s="1"/>
  <c r="AH113" i="34"/>
  <c r="AH112" i="34"/>
  <c r="AJ224" i="34"/>
  <c r="AJ241" i="1"/>
  <c r="AM282" i="1"/>
  <c r="AN282" i="1" s="1"/>
  <c r="AI130" i="1"/>
  <c r="AI118" i="34" s="1"/>
  <c r="AI279" i="1"/>
  <c r="AI264" i="34" s="1"/>
  <c r="AI140" i="34"/>
  <c r="AI157" i="1"/>
  <c r="AI242" i="1"/>
  <c r="AI228" i="34" s="1"/>
  <c r="AJ280" i="1"/>
  <c r="AI124" i="1" l="1"/>
  <c r="AI125" i="1" s="1"/>
  <c r="AI144" i="34"/>
  <c r="AI162" i="1"/>
  <c r="AO282" i="1"/>
  <c r="AJ265" i="34"/>
  <c r="AJ281" i="1"/>
  <c r="AJ153" i="1"/>
  <c r="AJ227" i="34"/>
  <c r="AK238" i="1"/>
  <c r="AK241" i="1" s="1"/>
  <c r="AH133" i="1"/>
  <c r="AH117" i="34"/>
  <c r="AK280" i="1" l="1"/>
  <c r="AK281" i="1" s="1"/>
  <c r="AJ157" i="1"/>
  <c r="AJ242" i="1"/>
  <c r="AJ228" i="34" s="1"/>
  <c r="AJ140" i="34"/>
  <c r="AJ130" i="1"/>
  <c r="AJ118" i="34" s="1"/>
  <c r="AJ279" i="1"/>
  <c r="AJ264" i="34" s="1"/>
  <c r="BP153" i="1"/>
  <c r="AH121" i="34"/>
  <c r="AH144" i="1"/>
  <c r="AH132" i="34" s="1"/>
  <c r="AI151" i="34"/>
  <c r="AI129" i="1"/>
  <c r="AI183" i="1"/>
  <c r="AI172" i="34" s="1"/>
  <c r="AK153" i="1"/>
  <c r="AL238" i="1"/>
  <c r="AL241" i="1" s="1"/>
  <c r="AJ266" i="34"/>
  <c r="BP281" i="1"/>
  <c r="AI112" i="34"/>
  <c r="AI113" i="34"/>
  <c r="AP282" i="1"/>
  <c r="AQ282" i="1" s="1"/>
  <c r="AI117" i="34" l="1"/>
  <c r="AI133" i="1"/>
  <c r="AU266" i="34"/>
  <c r="BP130" i="1"/>
  <c r="AU118" i="34" s="1"/>
  <c r="BP157" i="1"/>
  <c r="BQ280" i="1"/>
  <c r="AV265" i="34" s="1"/>
  <c r="BP279" i="1"/>
  <c r="AU264" i="34" s="1"/>
  <c r="BP242" i="1"/>
  <c r="AU228" i="34" s="1"/>
  <c r="AU140" i="34"/>
  <c r="AM238" i="1"/>
  <c r="AM241" i="1" s="1"/>
  <c r="AL153" i="1"/>
  <c r="AJ124" i="1"/>
  <c r="AJ125" i="1" s="1"/>
  <c r="AJ144" i="34"/>
  <c r="AJ162" i="1"/>
  <c r="AL280" i="1"/>
  <c r="AL281" i="1" s="1"/>
  <c r="AK130" i="1"/>
  <c r="AK242" i="1"/>
  <c r="AK157" i="1"/>
  <c r="AK279" i="1"/>
  <c r="AK162" i="1" l="1"/>
  <c r="AK124" i="1"/>
  <c r="AK125" i="1" s="1"/>
  <c r="AL157" i="1"/>
  <c r="AL242" i="1"/>
  <c r="AM280" i="1"/>
  <c r="AM281" i="1" s="1"/>
  <c r="AL130" i="1"/>
  <c r="AL279" i="1"/>
  <c r="AI121" i="34"/>
  <c r="AI144" i="1"/>
  <c r="AI132" i="34" s="1"/>
  <c r="AN238" i="1"/>
  <c r="AN241" i="1" s="1"/>
  <c r="AM153" i="1"/>
  <c r="BP162" i="1"/>
  <c r="AU144" i="34"/>
  <c r="BP124" i="1"/>
  <c r="BP282" i="1"/>
  <c r="AU267" i="34" s="1"/>
  <c r="AJ151" i="34"/>
  <c r="AJ129" i="1"/>
  <c r="AJ183" i="1"/>
  <c r="AJ172" i="34" s="1"/>
  <c r="AS282" i="1"/>
  <c r="AJ113" i="34"/>
  <c r="AJ112" i="34"/>
  <c r="AU112" i="34" l="1"/>
  <c r="BP125" i="1"/>
  <c r="AU113" i="34" s="1"/>
  <c r="AO238" i="1"/>
  <c r="AO241" i="1" s="1"/>
  <c r="AN153" i="1"/>
  <c r="AJ133" i="1"/>
  <c r="AJ117" i="34"/>
  <c r="AK183" i="1"/>
  <c r="AK129" i="1"/>
  <c r="AK133" i="1" s="1"/>
  <c r="AK144" i="1" s="1"/>
  <c r="BP183" i="1"/>
  <c r="AU172" i="34" s="1"/>
  <c r="BP129" i="1"/>
  <c r="AU151" i="34"/>
  <c r="AN280" i="1"/>
  <c r="AN281" i="1" s="1"/>
  <c r="BQ281" i="1" s="1"/>
  <c r="AM279" i="1"/>
  <c r="AM157" i="1"/>
  <c r="AM242" i="1"/>
  <c r="AM130" i="1"/>
  <c r="AL162" i="1"/>
  <c r="AL124" i="1"/>
  <c r="AL125" i="1" s="1"/>
  <c r="AT282" i="1"/>
  <c r="AU282" i="1" s="1"/>
  <c r="AM124" i="1" l="1"/>
  <c r="AM125" i="1" s="1"/>
  <c r="AM162" i="1"/>
  <c r="BP133" i="1"/>
  <c r="AU117" i="34"/>
  <c r="AV282" i="1"/>
  <c r="AV266" i="34"/>
  <c r="AL129" i="1"/>
  <c r="AL133" i="1" s="1"/>
  <c r="AL144" i="1" s="1"/>
  <c r="AL183" i="1"/>
  <c r="BQ153" i="1"/>
  <c r="AO280" i="1"/>
  <c r="AO281" i="1" s="1"/>
  <c r="AN157" i="1"/>
  <c r="AN279" i="1"/>
  <c r="AN130" i="1"/>
  <c r="AN242" i="1"/>
  <c r="AJ121" i="34"/>
  <c r="AJ144" i="1"/>
  <c r="AJ132" i="34" s="1"/>
  <c r="AP238" i="1"/>
  <c r="AP241" i="1" s="1"/>
  <c r="AQ238" i="1" s="1"/>
  <c r="AQ241" i="1" s="1"/>
  <c r="AR238" i="1" s="1"/>
  <c r="AR241" i="1" s="1"/>
  <c r="AO153" i="1"/>
  <c r="AU121" i="34" l="1"/>
  <c r="BP144" i="1"/>
  <c r="AU132" i="34" s="1"/>
  <c r="AP280" i="1"/>
  <c r="AP281" i="1" s="1"/>
  <c r="AO242" i="1"/>
  <c r="AO157" i="1"/>
  <c r="AO279" i="1"/>
  <c r="AO130" i="1"/>
  <c r="AP153" i="1"/>
  <c r="AQ280" i="1" s="1"/>
  <c r="AQ281" i="1" s="1"/>
  <c r="AN162" i="1"/>
  <c r="AN124" i="1"/>
  <c r="AN125" i="1" s="1"/>
  <c r="AM183" i="1"/>
  <c r="AM129" i="1"/>
  <c r="AM133" i="1" s="1"/>
  <c r="AM144" i="1" s="1"/>
  <c r="AV140" i="34"/>
  <c r="BQ242" i="1"/>
  <c r="AV228" i="34" s="1"/>
  <c r="BQ157" i="1"/>
  <c r="BQ279" i="1"/>
  <c r="BQ130" i="1"/>
  <c r="AV118" i="34" s="1"/>
  <c r="BR280" i="1"/>
  <c r="AW265" i="34" s="1"/>
  <c r="AW282" i="1"/>
  <c r="AX282" i="1" s="1"/>
  <c r="AN183" i="1" l="1"/>
  <c r="AN129" i="1"/>
  <c r="AN133" i="1" s="1"/>
  <c r="AN144" i="1" s="1"/>
  <c r="BQ162" i="1"/>
  <c r="BQ124" i="1"/>
  <c r="AV144" i="34"/>
  <c r="AY282" i="1"/>
  <c r="AV264" i="34"/>
  <c r="BQ282" i="1"/>
  <c r="AV267" i="34" s="1"/>
  <c r="AP279" i="1"/>
  <c r="AP130" i="1"/>
  <c r="AP242" i="1"/>
  <c r="AP157" i="1"/>
  <c r="AO162" i="1"/>
  <c r="AO124" i="1"/>
  <c r="AO125" i="1" s="1"/>
  <c r="AO129" i="1" l="1"/>
  <c r="AO133" i="1" s="1"/>
  <c r="AO144" i="1" s="1"/>
  <c r="AO183" i="1"/>
  <c r="AV112" i="34"/>
  <c r="BQ125" i="1"/>
  <c r="AV113" i="34" s="1"/>
  <c r="AP162" i="1"/>
  <c r="AP124" i="1"/>
  <c r="AP125" i="1" s="1"/>
  <c r="AV151" i="34"/>
  <c r="BQ129" i="1"/>
  <c r="BQ183" i="1"/>
  <c r="AV172" i="34" s="1"/>
  <c r="AZ282" i="1"/>
  <c r="BA282" i="1" s="1"/>
  <c r="AV117" i="34" l="1"/>
  <c r="BQ133" i="1"/>
  <c r="BB282" i="1"/>
  <c r="AQ1251" i="34"/>
  <c r="AP183" i="1"/>
  <c r="AP129" i="1"/>
  <c r="AP133" i="1" s="1"/>
  <c r="AP144" i="1" s="1"/>
  <c r="AQ1249" i="34" l="1"/>
  <c r="AV121" i="34"/>
  <c r="BQ144" i="1"/>
  <c r="AV132" i="34" s="1"/>
  <c r="BC282" i="1"/>
  <c r="BD282" i="1" s="1"/>
  <c r="AQ1259" i="34" l="1"/>
  <c r="BC185" i="14" l="1"/>
  <c r="BB185" i="14"/>
  <c r="BA185" i="14"/>
  <c r="BA189" i="14" l="1"/>
  <c r="BB190" i="14"/>
  <c r="BB189" i="14"/>
  <c r="BB188" i="14"/>
  <c r="BB101" i="1"/>
  <c r="BB217" i="14"/>
  <c r="BA101" i="1"/>
  <c r="BA217" i="14"/>
  <c r="BC188" i="14"/>
  <c r="BC190" i="14"/>
  <c r="BC189" i="14"/>
  <c r="BC217" i="14"/>
  <c r="BC101" i="1"/>
  <c r="BC36" i="1" l="1"/>
  <c r="BA36" i="1"/>
  <c r="BA1229" i="34" s="1"/>
  <c r="BB36" i="1"/>
  <c r="BB1229" i="34" s="1"/>
  <c r="BC204" i="1" l="1"/>
  <c r="BC1229" i="34"/>
  <c r="BA204" i="1"/>
  <c r="BB204" i="1"/>
  <c r="AQ161" i="14" l="1"/>
  <c r="AQ169" i="14" s="1"/>
  <c r="AQ160" i="14"/>
  <c r="AQ34" i="1"/>
  <c r="AQ1227" i="34" s="1"/>
  <c r="AQ41" i="14"/>
  <c r="AQ42" i="14" s="1"/>
  <c r="AQ51" i="14" s="1"/>
  <c r="AQ128" i="14"/>
  <c r="AQ129" i="14" s="1"/>
  <c r="AQ137" i="14" s="1"/>
  <c r="AQ33" i="1"/>
  <c r="AQ151" i="14"/>
  <c r="AU151" i="14"/>
  <c r="AY151" i="14" s="1"/>
  <c r="AQ32" i="1"/>
  <c r="AQ39" i="1" s="1"/>
  <c r="AQ119" i="14"/>
  <c r="AQ92" i="14"/>
  <c r="AQ93" i="14" s="1"/>
  <c r="AQ103" i="14" s="1"/>
  <c r="AQ64" i="14"/>
  <c r="AQ65" i="14" s="1"/>
  <c r="AQ28" i="14"/>
  <c r="AQ28" i="1"/>
  <c r="AQ29" i="1" l="1"/>
  <c r="AQ30" i="1" s="1"/>
  <c r="AQ188" i="1"/>
  <c r="AU188" i="1" s="1"/>
  <c r="AY188" i="1" s="1"/>
  <c r="BC188" i="1" s="1"/>
  <c r="AQ1232" i="34"/>
  <c r="AQ189" i="1"/>
  <c r="AQ190" i="1"/>
  <c r="AU190" i="1" s="1"/>
  <c r="AQ66" i="14"/>
  <c r="AQ67" i="14"/>
  <c r="AQ124" i="14"/>
  <c r="AQ123" i="14"/>
  <c r="AQ121" i="14"/>
  <c r="AQ120" i="14"/>
  <c r="AQ122" i="14"/>
  <c r="AQ33" i="14"/>
  <c r="AQ31" i="14"/>
  <c r="AQ32" i="14"/>
  <c r="AQ34" i="14"/>
  <c r="AQ29" i="14"/>
  <c r="AQ30" i="14" s="1"/>
  <c r="AQ1221" i="34"/>
  <c r="AQ36" i="14"/>
  <c r="AQ68" i="14"/>
  <c r="AQ69" i="14"/>
  <c r="AQ71" i="14"/>
  <c r="AQ70" i="14"/>
  <c r="AQ82" i="14"/>
  <c r="AQ248" i="14"/>
  <c r="AQ249" i="14" s="1"/>
  <c r="AY156" i="14"/>
  <c r="AY154" i="14"/>
  <c r="AY153" i="14"/>
  <c r="AY223" i="14"/>
  <c r="BC151" i="14"/>
  <c r="AU65" i="14"/>
  <c r="AU119" i="14"/>
  <c r="AU154" i="14"/>
  <c r="AU156" i="14"/>
  <c r="AU153" i="14"/>
  <c r="AU152" i="14"/>
  <c r="AU223" i="14"/>
  <c r="AQ132" i="1"/>
  <c r="AQ156" i="14"/>
  <c r="AQ153" i="14"/>
  <c r="AQ152" i="14"/>
  <c r="AQ155" i="14"/>
  <c r="AQ154" i="14"/>
  <c r="AQ1225" i="34"/>
  <c r="AQ41" i="1"/>
  <c r="AQ1234" i="34" s="1"/>
  <c r="AQ1226" i="34"/>
  <c r="AQ43" i="1" l="1"/>
  <c r="AQ44" i="1" s="1"/>
  <c r="AQ1237" i="34" s="1"/>
  <c r="AQ1222" i="34"/>
  <c r="Q12" i="35"/>
  <c r="Q31" i="35" s="1"/>
  <c r="BR156" i="1"/>
  <c r="AW143" i="34" s="1"/>
  <c r="AQ250" i="14"/>
  <c r="AQ251" i="14"/>
  <c r="AQ38" i="14"/>
  <c r="AQ37" i="14"/>
  <c r="AU36" i="14"/>
  <c r="AU34" i="1"/>
  <c r="AU158" i="14"/>
  <c r="AU157" i="14"/>
  <c r="AU67" i="14"/>
  <c r="AU64" i="14"/>
  <c r="AY65" i="14"/>
  <c r="AQ89" i="14"/>
  <c r="AQ90" i="14"/>
  <c r="AQ84" i="14"/>
  <c r="AQ88" i="14"/>
  <c r="AQ87" i="14"/>
  <c r="AQ83" i="14"/>
  <c r="AQ46" i="1"/>
  <c r="AQ1223" i="34"/>
  <c r="AQ126" i="14"/>
  <c r="AQ125" i="14"/>
  <c r="AQ158" i="14"/>
  <c r="AQ157" i="14"/>
  <c r="BC153" i="14"/>
  <c r="BC156" i="14"/>
  <c r="BC154" i="14"/>
  <c r="BC223" i="14"/>
  <c r="AQ1236" i="34"/>
  <c r="AU122" i="14"/>
  <c r="AU124" i="14"/>
  <c r="AU121" i="14"/>
  <c r="AU120" i="14"/>
  <c r="AU222" i="14"/>
  <c r="AY119" i="14"/>
  <c r="AY34" i="1"/>
  <c r="AQ131" i="1"/>
  <c r="BR212" i="1" l="1"/>
  <c r="AQ49" i="1"/>
  <c r="AQ51" i="1" s="1"/>
  <c r="Q13" i="35"/>
  <c r="Q32" i="35" s="1"/>
  <c r="AQ60" i="1"/>
  <c r="AQ1253" i="34" s="1"/>
  <c r="AQ136" i="1"/>
  <c r="AY1227" i="34"/>
  <c r="AU125" i="14"/>
  <c r="AU126" i="14"/>
  <c r="BC34" i="1"/>
  <c r="AQ47" i="1"/>
  <c r="AQ1240" i="34" s="1"/>
  <c r="AQ1239" i="34"/>
  <c r="AQ137" i="1"/>
  <c r="AQ62" i="1"/>
  <c r="AU70" i="14"/>
  <c r="AU71" i="14"/>
  <c r="AU68" i="14"/>
  <c r="AU82" i="14"/>
  <c r="AU69" i="14"/>
  <c r="AU248" i="14"/>
  <c r="AU249" i="14" s="1"/>
  <c r="AU221" i="14"/>
  <c r="AY121" i="14"/>
  <c r="AY122" i="14"/>
  <c r="AY124" i="14"/>
  <c r="AY222" i="14"/>
  <c r="BC119" i="14"/>
  <c r="AQ100" i="1"/>
  <c r="AU38" i="14"/>
  <c r="AY36" i="14"/>
  <c r="AU28" i="14"/>
  <c r="AU1227" i="34"/>
  <c r="AU33" i="1"/>
  <c r="AQ64" i="1"/>
  <c r="AQ86" i="14"/>
  <c r="AQ85" i="14"/>
  <c r="AY67" i="14"/>
  <c r="BC65" i="14"/>
  <c r="AQ53" i="1" l="1"/>
  <c r="AQ50" i="1"/>
  <c r="AQ1243" i="34" s="1"/>
  <c r="AQ1242" i="34"/>
  <c r="AQ18" i="14"/>
  <c r="AQ21" i="14" s="1"/>
  <c r="Q14" i="35"/>
  <c r="Q33" i="35" s="1"/>
  <c r="BR167" i="1"/>
  <c r="AQ1257" i="34"/>
  <c r="AW198" i="34"/>
  <c r="AQ20" i="14"/>
  <c r="AQ1246" i="34"/>
  <c r="BC124" i="14"/>
  <c r="BC121" i="14"/>
  <c r="BC122" i="14"/>
  <c r="BC222" i="14"/>
  <c r="BC1227" i="34"/>
  <c r="BC67" i="14"/>
  <c r="AU1226" i="34"/>
  <c r="AU31" i="14"/>
  <c r="AU32" i="14"/>
  <c r="AU33" i="14"/>
  <c r="AU34" i="14"/>
  <c r="AU29" i="14"/>
  <c r="AU30" i="14" s="1"/>
  <c r="AU220" i="14"/>
  <c r="Q15" i="35"/>
  <c r="Q34" i="35" s="1"/>
  <c r="AQ19" i="14"/>
  <c r="AQ1244" i="34"/>
  <c r="AQ52" i="1"/>
  <c r="AQ1245" i="34" s="1"/>
  <c r="AY33" i="1"/>
  <c r="AU32" i="1"/>
  <c r="AU84" i="14"/>
  <c r="AU88" i="14"/>
  <c r="AU87" i="14"/>
  <c r="AU90" i="14"/>
  <c r="AU89" i="14"/>
  <c r="AU83" i="14"/>
  <c r="AQ1255" i="34"/>
  <c r="AQ67" i="1"/>
  <c r="AQ1260" i="34" s="1"/>
  <c r="AQ73" i="1"/>
  <c r="AY38" i="14"/>
  <c r="BC36" i="14"/>
  <c r="AQ140" i="1"/>
  <c r="AQ142" i="1" s="1"/>
  <c r="AU251" i="14"/>
  <c r="AU250" i="14"/>
  <c r="AQ22" i="14" l="1"/>
  <c r="AT167" i="1"/>
  <c r="BR213" i="1"/>
  <c r="AW156" i="34"/>
  <c r="BR169" i="1"/>
  <c r="BR132" i="1"/>
  <c r="AW120" i="34" s="1"/>
  <c r="AU85" i="14"/>
  <c r="AU86" i="14"/>
  <c r="AU39" i="1"/>
  <c r="AU1225" i="34"/>
  <c r="AU41" i="1"/>
  <c r="AU1234" i="34" s="1"/>
  <c r="AQ1266" i="34"/>
  <c r="AQ78" i="1"/>
  <c r="AQ77" i="1"/>
  <c r="AQ1270" i="34" s="1"/>
  <c r="BC33" i="1"/>
  <c r="AQ1262" i="34"/>
  <c r="BC38" i="14"/>
  <c r="AY1226" i="34"/>
  <c r="AU224" i="14"/>
  <c r="AU28" i="1"/>
  <c r="AQ71" i="1"/>
  <c r="AT132" i="1" l="1"/>
  <c r="AT169" i="1"/>
  <c r="AT172" i="1" s="1"/>
  <c r="BR172" i="1"/>
  <c r="AW161" i="34" s="1"/>
  <c r="AW158" i="34"/>
  <c r="AW199" i="34"/>
  <c r="BR215" i="1"/>
  <c r="AU1221" i="34"/>
  <c r="AU166" i="1"/>
  <c r="AU29" i="1"/>
  <c r="V12" i="35" s="1"/>
  <c r="Q16" i="35"/>
  <c r="Q35" i="35" s="1"/>
  <c r="AQ1271" i="34"/>
  <c r="AQ75" i="1"/>
  <c r="AQ1268" i="34" s="1"/>
  <c r="AQ1264" i="34"/>
  <c r="BC1226" i="34"/>
  <c r="AU1232" i="34"/>
  <c r="AU167" i="1"/>
  <c r="AU132" i="1" s="1"/>
  <c r="U16" i="40" l="1"/>
  <c r="U16" i="42"/>
  <c r="V13" i="35"/>
  <c r="V32" i="35" s="1"/>
  <c r="V31" i="35"/>
  <c r="U16" i="4"/>
  <c r="U1295" i="34" s="1"/>
  <c r="AW201" i="34"/>
  <c r="AU1222" i="34"/>
  <c r="AU30" i="1"/>
  <c r="AU43" i="1"/>
  <c r="AU46" i="1"/>
  <c r="AQ110" i="1"/>
  <c r="AQ247" i="1"/>
  <c r="AQ249" i="1" s="1"/>
  <c r="AQ253" i="1" s="1"/>
  <c r="AQ106" i="1"/>
  <c r="AQ153" i="1"/>
  <c r="AU131" i="1"/>
  <c r="AU213" i="1"/>
  <c r="AU169" i="1"/>
  <c r="AU172" i="1" s="1"/>
  <c r="AQ279" i="1" l="1"/>
  <c r="AR280" i="1"/>
  <c r="AR281" i="1" s="1"/>
  <c r="AQ157" i="1"/>
  <c r="AQ162" i="1" s="1"/>
  <c r="AQ183" i="1" s="1"/>
  <c r="AQ242" i="1"/>
  <c r="AQ252" i="1"/>
  <c r="AQ250" i="1"/>
  <c r="AU1236" i="34"/>
  <c r="AU136" i="1"/>
  <c r="AU44" i="1"/>
  <c r="AU1237" i="34" s="1"/>
  <c r="AU49" i="1"/>
  <c r="V14" i="35" s="1"/>
  <c r="AU1223" i="34"/>
  <c r="AQ107" i="1"/>
  <c r="AQ109" i="1"/>
  <c r="AQ113" i="1"/>
  <c r="AQ115" i="1"/>
  <c r="AQ121" i="1" s="1"/>
  <c r="AQ105" i="1"/>
  <c r="AQ123" i="1" s="1"/>
  <c r="AU47" i="1"/>
  <c r="AU1240" i="34" s="1"/>
  <c r="AU137" i="1"/>
  <c r="AU1239" i="34"/>
  <c r="V15" i="35" l="1"/>
  <c r="V34" i="35" s="1"/>
  <c r="V33" i="35"/>
  <c r="AU140" i="1"/>
  <c r="AU142" i="1" s="1"/>
  <c r="AU1242" i="34"/>
  <c r="AU53" i="1"/>
  <c r="AU18" i="14"/>
  <c r="AU51" i="1"/>
  <c r="AU100" i="1"/>
  <c r="AU50" i="1"/>
  <c r="AU1243" i="34" s="1"/>
  <c r="AQ130" i="1"/>
  <c r="BR281" i="1" l="1"/>
  <c r="AQ124" i="1"/>
  <c r="AQ125" i="1" s="1"/>
  <c r="AU21" i="14"/>
  <c r="AU22" i="14"/>
  <c r="AU1246" i="34"/>
  <c r="AU20" i="14"/>
  <c r="AU19" i="14"/>
  <c r="AU1244" i="34"/>
  <c r="AU52" i="1"/>
  <c r="AU1245" i="34" s="1"/>
  <c r="BR58" i="1" l="1"/>
  <c r="AR1251" i="34"/>
  <c r="AW266" i="34"/>
  <c r="AQ129" i="1"/>
  <c r="AQ133" i="1" s="1"/>
  <c r="AQ144" i="1" s="1"/>
  <c r="AR1249" i="34" l="1"/>
  <c r="BR56" i="1"/>
  <c r="AW46" i="34"/>
  <c r="AW44" i="34" l="1"/>
  <c r="AR1259" i="34" l="1"/>
  <c r="BR66" i="1"/>
  <c r="AW54" i="34" l="1"/>
  <c r="BR201" i="1" l="1"/>
  <c r="AR106" i="1" l="1"/>
  <c r="AR153" i="1"/>
  <c r="BR180" i="1"/>
  <c r="AW187" i="34"/>
  <c r="BR207" i="1"/>
  <c r="AR279" i="1" l="1"/>
  <c r="AR242" i="1"/>
  <c r="AR130" i="1"/>
  <c r="AR157" i="1"/>
  <c r="AR113" i="1"/>
  <c r="AR107" i="1"/>
  <c r="AR115" i="1"/>
  <c r="AR121" i="1" s="1"/>
  <c r="AW193" i="34"/>
  <c r="BR216" i="1"/>
  <c r="U1307" i="34"/>
  <c r="AS238" i="1"/>
  <c r="BR181" i="1"/>
  <c r="AW169" i="34"/>
  <c r="AR124" i="1" l="1"/>
  <c r="AR125" i="1" s="1"/>
  <c r="AR162" i="1"/>
  <c r="AW170" i="34"/>
  <c r="BR182" i="1"/>
  <c r="AW171" i="34" s="1"/>
  <c r="BR153" i="1"/>
  <c r="AS280" i="1"/>
  <c r="AS281" i="1" s="1"/>
  <c r="AW202" i="34"/>
  <c r="BR106" i="1"/>
  <c r="BR247" i="1"/>
  <c r="BR239" i="1"/>
  <c r="AR129" i="1" l="1"/>
  <c r="AR133" i="1" s="1"/>
  <c r="AR183" i="1"/>
  <c r="AW94" i="34"/>
  <c r="BR115" i="1"/>
  <c r="BR107" i="1"/>
  <c r="AW95" i="34" s="1"/>
  <c r="BR113" i="1"/>
  <c r="AW101" i="34" s="1"/>
  <c r="AS58" i="1"/>
  <c r="AW140" i="34"/>
  <c r="BR279" i="1"/>
  <c r="BR130" i="1"/>
  <c r="AW118" i="34" s="1"/>
  <c r="BR157" i="1"/>
  <c r="BS280" i="1"/>
  <c r="AX265" i="34" s="1"/>
  <c r="AW225" i="34"/>
  <c r="BR241" i="1"/>
  <c r="AW233" i="34"/>
  <c r="CO247" i="1"/>
  <c r="BR249" i="1"/>
  <c r="AW235" i="34" l="1"/>
  <c r="BR253" i="1"/>
  <c r="AW239" i="34" s="1"/>
  <c r="CO249" i="1"/>
  <c r="D40" i="3" s="1"/>
  <c r="D64" i="3" s="1"/>
  <c r="BR250" i="1"/>
  <c r="AW236" i="34" s="1"/>
  <c r="G38" i="3"/>
  <c r="AS1251" i="34"/>
  <c r="AS56" i="1"/>
  <c r="AW227" i="34"/>
  <c r="BS238" i="1"/>
  <c r="BR242" i="1"/>
  <c r="AW228" i="34" s="1"/>
  <c r="AW264" i="34"/>
  <c r="BR282" i="1"/>
  <c r="AW267" i="34" s="1"/>
  <c r="AW103" i="34"/>
  <c r="BR121" i="1"/>
  <c r="AW109" i="34" s="1"/>
  <c r="AW144" i="34"/>
  <c r="BR124" i="1"/>
  <c r="BR162" i="1"/>
  <c r="C7" i="3"/>
  <c r="G41" i="3" l="1"/>
  <c r="G62" i="3"/>
  <c r="AS1249" i="34"/>
  <c r="AW112" i="34"/>
  <c r="BR125" i="1"/>
  <c r="AW113" i="34" s="1"/>
  <c r="C23" i="3"/>
  <c r="F27" i="3"/>
  <c r="F39" i="3"/>
  <c r="F23" i="3"/>
  <c r="G23" i="3"/>
  <c r="E27" i="3"/>
  <c r="D41" i="3"/>
  <c r="B39" i="3"/>
  <c r="H23" i="3"/>
  <c r="G39" i="3"/>
  <c r="C39" i="3"/>
  <c r="D39" i="3"/>
  <c r="B23" i="3"/>
  <c r="C41" i="3"/>
  <c r="E23" i="3"/>
  <c r="E41" i="3"/>
  <c r="E39" i="3"/>
  <c r="B27" i="3"/>
  <c r="C27" i="3"/>
  <c r="F41" i="3"/>
  <c r="D27" i="3"/>
  <c r="B41" i="3"/>
  <c r="D23" i="3"/>
  <c r="AW151" i="34"/>
  <c r="BR129" i="1"/>
  <c r="BR183" i="1"/>
  <c r="AW172" i="34" s="1"/>
  <c r="AX224" i="34"/>
  <c r="AW117" i="34" l="1"/>
  <c r="BR133" i="1"/>
  <c r="AW121" i="34" l="1"/>
  <c r="V1307" i="34" l="1"/>
  <c r="AX121" i="2" l="1"/>
  <c r="AX119" i="2"/>
  <c r="AX130" i="2"/>
  <c r="AZ119" i="2"/>
  <c r="AZ150" i="2"/>
  <c r="AZ130" i="2"/>
  <c r="AZ121" i="2"/>
  <c r="AW119" i="2"/>
  <c r="AW121" i="2"/>
  <c r="AZ28" i="2"/>
  <c r="AZ31" i="2" s="1"/>
  <c r="AW150" i="2"/>
  <c r="AW154" i="2" s="1"/>
  <c r="AX28" i="2"/>
  <c r="AW130" i="2"/>
  <c r="AW133" i="2" s="1"/>
  <c r="AW28" i="2"/>
  <c r="AW32" i="2" s="1"/>
  <c r="AY121" i="2"/>
  <c r="AY130" i="2"/>
  <c r="AY119" i="2"/>
  <c r="AY28" i="2"/>
  <c r="AY31" i="2" s="1"/>
  <c r="BS117" i="2"/>
  <c r="BS130" i="2" s="1"/>
  <c r="BS132" i="2" s="1"/>
  <c r="AX150" i="2"/>
  <c r="AY150" i="2"/>
  <c r="AX120" i="2"/>
  <c r="AX25" i="1"/>
  <c r="AX1218" i="34" s="1"/>
  <c r="AY25" i="1"/>
  <c r="AY1218" i="34" s="1"/>
  <c r="AZ25" i="1"/>
  <c r="AZ1218" i="34" s="1"/>
  <c r="AZ120" i="2"/>
  <c r="AY120" i="2"/>
  <c r="AW25" i="1"/>
  <c r="AW23" i="1" s="1"/>
  <c r="AW120" i="2"/>
  <c r="AW14" i="1" l="1"/>
  <c r="X11" i="35"/>
  <c r="AX32" i="2"/>
  <c r="BS119" i="2"/>
  <c r="BS120" i="2"/>
  <c r="AZ23" i="1"/>
  <c r="AX23" i="1"/>
  <c r="AY23" i="1"/>
  <c r="AW258" i="1"/>
  <c r="AX134" i="2"/>
  <c r="AZ131" i="2"/>
  <c r="AY134" i="2"/>
  <c r="AY154" i="2"/>
  <c r="AX154" i="2"/>
  <c r="BS150" i="2"/>
  <c r="BS152" i="2" s="1"/>
  <c r="AZ154" i="2"/>
  <c r="BT25" i="1"/>
  <c r="AY16" i="34" s="1"/>
  <c r="AW1218" i="34"/>
  <c r="AW1216" i="34"/>
  <c r="AW168" i="1"/>
  <c r="AW214" i="1" s="1"/>
  <c r="AW155" i="1"/>
  <c r="AW12" i="2"/>
  <c r="BS28" i="2"/>
  <c r="BS29" i="2" s="1"/>
  <c r="AW132" i="2"/>
  <c r="AY32" i="2"/>
  <c r="AZ134" i="2"/>
  <c r="AY131" i="2"/>
  <c r="AX131" i="2"/>
  <c r="AW134" i="2"/>
  <c r="AW131" i="2"/>
  <c r="AX31" i="2"/>
  <c r="AZ32" i="2"/>
  <c r="AZ132" i="2"/>
  <c r="AY133" i="2"/>
  <c r="AX133" i="2"/>
  <c r="BS133" i="2"/>
  <c r="AW31" i="2"/>
  <c r="AZ133" i="2"/>
  <c r="AY132" i="2"/>
  <c r="AX132" i="2"/>
  <c r="AY258" i="1" l="1"/>
  <c r="AY261" i="1" s="1"/>
  <c r="AY14" i="1"/>
  <c r="AY1212" i="34" s="1"/>
  <c r="AX258" i="1"/>
  <c r="AX104" i="1" s="1"/>
  <c r="AX14" i="1"/>
  <c r="AZ12" i="2"/>
  <c r="AZ260" i="2" s="1"/>
  <c r="AZ1066" i="34" s="1"/>
  <c r="AZ14" i="1"/>
  <c r="AZ1212" i="34" s="1"/>
  <c r="X30" i="35"/>
  <c r="X22" i="35"/>
  <c r="AY155" i="1"/>
  <c r="AZ155" i="1"/>
  <c r="BT155" i="1" s="1"/>
  <c r="AZ168" i="1"/>
  <c r="BT168" i="1" s="1"/>
  <c r="AZ1216" i="34"/>
  <c r="AY1216" i="34"/>
  <c r="AY12" i="2"/>
  <c r="AY13" i="2" s="1"/>
  <c r="AY168" i="1"/>
  <c r="AW260" i="2"/>
  <c r="AW14" i="2"/>
  <c r="AW13" i="2"/>
  <c r="AZ13" i="2"/>
  <c r="AZ258" i="1"/>
  <c r="AX155" i="1"/>
  <c r="AX1216" i="34"/>
  <c r="AX12" i="2"/>
  <c r="AX476" i="2" s="1"/>
  <c r="AX168" i="1"/>
  <c r="BT23" i="1"/>
  <c r="CQ23" i="1" s="1"/>
  <c r="F24" i="3" s="1"/>
  <c r="F48" i="3" s="1"/>
  <c r="AW220" i="1"/>
  <c r="AW265" i="1"/>
  <c r="AW262" i="1"/>
  <c r="AW261" i="1"/>
  <c r="AW104" i="1"/>
  <c r="BS153" i="2"/>
  <c r="AW71" i="2"/>
  <c r="AW16" i="2"/>
  <c r="AW700" i="34" s="1"/>
  <c r="AW698" i="34"/>
  <c r="AW18" i="2"/>
  <c r="AW15" i="2"/>
  <c r="AW699" i="34" s="1"/>
  <c r="AW476" i="2"/>
  <c r="AW40" i="2"/>
  <c r="AW494" i="2"/>
  <c r="AW731" i="34" s="1"/>
  <c r="AW10" i="14"/>
  <c r="AW57" i="2"/>
  <c r="AW1212" i="34"/>
  <c r="CG28" i="2"/>
  <c r="BS31" i="2"/>
  <c r="AW211" i="1"/>
  <c r="AX262" i="1" l="1"/>
  <c r="AY15" i="2"/>
  <c r="AY699" i="34" s="1"/>
  <c r="AX265" i="1"/>
  <c r="AX266" i="1" s="1"/>
  <c r="AX15" i="2"/>
  <c r="AX699" i="34" s="1"/>
  <c r="AZ18" i="2"/>
  <c r="AZ19" i="2" s="1"/>
  <c r="AZ10" i="14"/>
  <c r="AZ11" i="14" s="1"/>
  <c r="AZ15" i="2"/>
  <c r="AZ699" i="34" s="1"/>
  <c r="AZ71" i="2"/>
  <c r="AY265" i="1"/>
  <c r="AY266" i="1" s="1"/>
  <c r="AY104" i="1"/>
  <c r="BT258" i="1"/>
  <c r="AY220" i="1"/>
  <c r="AY248" i="1" s="1"/>
  <c r="AX261" i="1"/>
  <c r="AZ698" i="34"/>
  <c r="AZ57" i="2"/>
  <c r="AZ717" i="34" s="1"/>
  <c r="AZ494" i="2"/>
  <c r="AZ731" i="34" s="1"/>
  <c r="AX220" i="1"/>
  <c r="AX248" i="1" s="1"/>
  <c r="AY262" i="1"/>
  <c r="AZ476" i="2"/>
  <c r="AZ40" i="2"/>
  <c r="AZ702" i="34" s="1"/>
  <c r="BT14" i="1"/>
  <c r="BT15" i="1" s="1"/>
  <c r="AZ214" i="1"/>
  <c r="AY16" i="2"/>
  <c r="AY700" i="34" s="1"/>
  <c r="AY476" i="2"/>
  <c r="AZ16" i="2"/>
  <c r="AZ700" i="34" s="1"/>
  <c r="AY214" i="1"/>
  <c r="AY211" i="1"/>
  <c r="AZ211" i="1"/>
  <c r="AX211" i="1"/>
  <c r="AX16" i="2"/>
  <c r="AX700" i="34" s="1"/>
  <c r="AX40" i="2"/>
  <c r="AX41" i="2" s="1"/>
  <c r="AX703" i="34" s="1"/>
  <c r="AZ268" i="2"/>
  <c r="AZ1075" i="34" s="1"/>
  <c r="AZ265" i="1"/>
  <c r="AZ208" i="14" s="1"/>
  <c r="AY494" i="2"/>
  <c r="AY731" i="34" s="1"/>
  <c r="AY71" i="2"/>
  <c r="AY18" i="2"/>
  <c r="AY260" i="2"/>
  <c r="AY281" i="2" s="1"/>
  <c r="AY1088" i="34" s="1"/>
  <c r="AZ104" i="1"/>
  <c r="AY10" i="14"/>
  <c r="AY11" i="14" s="1"/>
  <c r="AY40" i="2"/>
  <c r="AY702" i="34" s="1"/>
  <c r="AZ220" i="1"/>
  <c r="AZ248" i="1" s="1"/>
  <c r="AZ261" i="1"/>
  <c r="AZ14" i="2"/>
  <c r="AY57" i="2"/>
  <c r="AY61" i="2" s="1"/>
  <c r="AY721" i="34" s="1"/>
  <c r="AY698" i="34"/>
  <c r="AZ262" i="1"/>
  <c r="AZ267" i="2"/>
  <c r="AZ1074" i="34" s="1"/>
  <c r="AX260" i="2"/>
  <c r="AX292" i="2" s="1"/>
  <c r="AX1099" i="34" s="1"/>
  <c r="AX14" i="2"/>
  <c r="AX13" i="2"/>
  <c r="AY14" i="2"/>
  <c r="AX214" i="1"/>
  <c r="AZ269" i="2"/>
  <c r="AZ1076" i="34" s="1"/>
  <c r="AZ292" i="2"/>
  <c r="AZ1099" i="34" s="1"/>
  <c r="AX10" i="14"/>
  <c r="AX11" i="14" s="1"/>
  <c r="AX494" i="2"/>
  <c r="AX731" i="34" s="1"/>
  <c r="AX18" i="2"/>
  <c r="AX19" i="2" s="1"/>
  <c r="AZ259" i="2"/>
  <c r="AZ280" i="2" s="1"/>
  <c r="AZ1087" i="34" s="1"/>
  <c r="AZ265" i="2"/>
  <c r="AZ1072" i="34" s="1"/>
  <c r="AZ281" i="2"/>
  <c r="AZ1088" i="34" s="1"/>
  <c r="AX71" i="2"/>
  <c r="AX698" i="34"/>
  <c r="AZ266" i="2"/>
  <c r="AZ1073" i="34" s="1"/>
  <c r="AX57" i="2"/>
  <c r="AX62" i="2" s="1"/>
  <c r="AX722" i="34" s="1"/>
  <c r="BS12" i="2"/>
  <c r="BS13" i="2" s="1"/>
  <c r="W11" i="4"/>
  <c r="W1290" i="34" s="1"/>
  <c r="AX1212" i="34"/>
  <c r="AY14" i="34"/>
  <c r="AE11" i="35"/>
  <c r="AW208" i="14"/>
  <c r="AW266" i="1"/>
  <c r="AW226" i="1"/>
  <c r="AW248" i="1"/>
  <c r="AW11" i="14"/>
  <c r="AW74" i="14"/>
  <c r="AW186" i="14"/>
  <c r="AW12" i="14"/>
  <c r="AW14" i="14"/>
  <c r="AW120" i="14"/>
  <c r="AW64" i="14"/>
  <c r="AW28" i="14"/>
  <c r="BT191" i="1"/>
  <c r="AY180" i="34" s="1"/>
  <c r="AY157" i="34"/>
  <c r="AY142" i="34"/>
  <c r="BT187" i="1"/>
  <c r="AY176" i="34" s="1"/>
  <c r="AW292" i="2"/>
  <c r="AW1099" i="34" s="1"/>
  <c r="AW269" i="2"/>
  <c r="AW1076" i="34" s="1"/>
  <c r="AW1066" i="34"/>
  <c r="AW268" i="2"/>
  <c r="AW1075" i="34" s="1"/>
  <c r="AW259" i="2"/>
  <c r="AW281" i="2"/>
  <c r="AW1088" i="34" s="1"/>
  <c r="AW267" i="2"/>
  <c r="AW1074" i="34" s="1"/>
  <c r="AW265" i="2"/>
  <c r="AW266" i="2"/>
  <c r="AW1073" i="34" s="1"/>
  <c r="AW19" i="2"/>
  <c r="AW20" i="2"/>
  <c r="W11" i="42"/>
  <c r="AW59" i="2"/>
  <c r="AW719" i="34" s="1"/>
  <c r="AW61" i="2"/>
  <c r="AW721" i="34" s="1"/>
  <c r="AW717" i="34"/>
  <c r="AW62" i="2"/>
  <c r="AW722" i="34" s="1"/>
  <c r="AW58" i="2"/>
  <c r="AW718" i="34" s="1"/>
  <c r="AW644" i="2"/>
  <c r="AW49" i="2"/>
  <c r="AW41" i="2"/>
  <c r="AW703" i="34" s="1"/>
  <c r="AW702" i="34"/>
  <c r="BT261" i="1" l="1"/>
  <c r="AY247" i="34" s="1"/>
  <c r="AX208" i="14"/>
  <c r="AX270" i="1" s="1"/>
  <c r="AZ49" i="2"/>
  <c r="AZ52" i="2" s="1"/>
  <c r="AZ712" i="34" s="1"/>
  <c r="AY14" i="14"/>
  <c r="BT248" i="1"/>
  <c r="CQ248" i="1" s="1"/>
  <c r="W17" i="4"/>
  <c r="W1296" i="34" s="1"/>
  <c r="BT262" i="1"/>
  <c r="AY248" i="34" s="1"/>
  <c r="BT260" i="1"/>
  <c r="AY246" i="34" s="1"/>
  <c r="BT104" i="1"/>
  <c r="AY92" i="34" s="1"/>
  <c r="AY152" i="14"/>
  <c r="AY157" i="14" s="1"/>
  <c r="AY244" i="34"/>
  <c r="AY208" i="14"/>
  <c r="AY37" i="1" s="1"/>
  <c r="AY202" i="1" s="1"/>
  <c r="AZ20" i="2"/>
  <c r="AY226" i="1"/>
  <c r="AX265" i="2"/>
  <c r="AX1072" i="34" s="1"/>
  <c r="BT220" i="1"/>
  <c r="AY206" i="34" s="1"/>
  <c r="AZ41" i="2"/>
  <c r="AZ703" i="34" s="1"/>
  <c r="AZ14" i="14"/>
  <c r="AZ74" i="14"/>
  <c r="AZ79" i="14" s="1"/>
  <c r="AX152" i="14"/>
  <c r="AX157" i="14" s="1"/>
  <c r="AX226" i="1"/>
  <c r="AZ12" i="14"/>
  <c r="AY120" i="14"/>
  <c r="AY125" i="14" s="1"/>
  <c r="AY74" i="14"/>
  <c r="AY79" i="14" s="1"/>
  <c r="AY12" i="14"/>
  <c r="AZ58" i="2"/>
  <c r="AZ718" i="34" s="1"/>
  <c r="AY64" i="14"/>
  <c r="AY186" i="14"/>
  <c r="AY191" i="14" s="1"/>
  <c r="AZ61" i="2"/>
  <c r="AZ721" i="34" s="1"/>
  <c r="AZ1065" i="34"/>
  <c r="AY28" i="14"/>
  <c r="AY31" i="14" s="1"/>
  <c r="AZ644" i="2"/>
  <c r="AZ653" i="2" s="1"/>
  <c r="AZ657" i="2" s="1"/>
  <c r="AZ904" i="34" s="1"/>
  <c r="AX28" i="14"/>
  <c r="AX29" i="14" s="1"/>
  <c r="AX30" i="14" s="1"/>
  <c r="AX64" i="14"/>
  <c r="AX69" i="14" s="1"/>
  <c r="AX120" i="14"/>
  <c r="AX126" i="14" s="1"/>
  <c r="AX14" i="14"/>
  <c r="BT211" i="1"/>
  <c r="AY197" i="34" s="1"/>
  <c r="AX74" i="14"/>
  <c r="AX80" i="14" s="1"/>
  <c r="BT214" i="1"/>
  <c r="AY200" i="34" s="1"/>
  <c r="AZ226" i="1"/>
  <c r="BS476" i="2"/>
  <c r="AY421" i="34" s="1"/>
  <c r="AX186" i="14"/>
  <c r="AX192" i="14" s="1"/>
  <c r="AX12" i="14"/>
  <c r="AY1066" i="34"/>
  <c r="AY644" i="2"/>
  <c r="AY891" i="34" s="1"/>
  <c r="AX267" i="2"/>
  <c r="AX1074" i="34" s="1"/>
  <c r="AZ270" i="2"/>
  <c r="AZ1077" i="34" s="1"/>
  <c r="AZ291" i="2"/>
  <c r="AZ1098" i="34" s="1"/>
  <c r="AY292" i="2"/>
  <c r="AY1099" i="34" s="1"/>
  <c r="AY58" i="2"/>
  <c r="AY718" i="34" s="1"/>
  <c r="AX717" i="34"/>
  <c r="AY49" i="2"/>
  <c r="AY709" i="34" s="1"/>
  <c r="AY717" i="34"/>
  <c r="AZ266" i="1"/>
  <c r="BT265" i="1"/>
  <c r="BT267" i="1" s="1"/>
  <c r="AY252" i="34" s="1"/>
  <c r="AZ62" i="2"/>
  <c r="AZ722" i="34" s="1"/>
  <c r="AZ59" i="2"/>
  <c r="AZ719" i="34" s="1"/>
  <c r="AX61" i="2"/>
  <c r="AX721" i="34" s="1"/>
  <c r="BS10" i="14"/>
  <c r="CF10" i="14" s="1"/>
  <c r="BS71" i="2"/>
  <c r="AX268" i="2"/>
  <c r="AX1075" i="34" s="1"/>
  <c r="AX1066" i="34"/>
  <c r="BS494" i="2"/>
  <c r="AY314" i="34" s="1"/>
  <c r="AY275" i="34"/>
  <c r="AX281" i="2"/>
  <c r="AX1088" i="34" s="1"/>
  <c r="AX266" i="2"/>
  <c r="AX1073" i="34" s="1"/>
  <c r="AX269" i="2"/>
  <c r="AX1076" i="34" s="1"/>
  <c r="BS15" i="2"/>
  <c r="AY276" i="34" s="1"/>
  <c r="CG12" i="2"/>
  <c r="AX259" i="2"/>
  <c r="AX1065" i="34" s="1"/>
  <c r="AY20" i="2"/>
  <c r="BS698" i="34"/>
  <c r="AY62" i="2"/>
  <c r="AY722" i="34" s="1"/>
  <c r="AX702" i="34"/>
  <c r="AX644" i="2"/>
  <c r="AX646" i="2" s="1"/>
  <c r="AX893" i="34" s="1"/>
  <c r="AX59" i="2"/>
  <c r="AX719" i="34" s="1"/>
  <c r="W12" i="4"/>
  <c r="BS57" i="2"/>
  <c r="BS717" i="34" s="1"/>
  <c r="AX49" i="2"/>
  <c r="AX20" i="2"/>
  <c r="AX58" i="2"/>
  <c r="AX718" i="34" s="1"/>
  <c r="AY59" i="2"/>
  <c r="AY719" i="34" s="1"/>
  <c r="BS40" i="2"/>
  <c r="BS702" i="34" s="1"/>
  <c r="AY41" i="2"/>
  <c r="AY703" i="34" s="1"/>
  <c r="AY19" i="2"/>
  <c r="AE22" i="35"/>
  <c r="AE30" i="35"/>
  <c r="AD38" i="35" s="1"/>
  <c r="AZ270" i="1"/>
  <c r="AZ37" i="1"/>
  <c r="AW37" i="1"/>
  <c r="AW270" i="1"/>
  <c r="AW891" i="34"/>
  <c r="AW646" i="2"/>
  <c r="AW893" i="34" s="1"/>
  <c r="AW645" i="2"/>
  <c r="AW653" i="2"/>
  <c r="AW709" i="34"/>
  <c r="AW54" i="2"/>
  <c r="AW714" i="34" s="1"/>
  <c r="AW51" i="2"/>
  <c r="AW711" i="34" s="1"/>
  <c r="AW53" i="2"/>
  <c r="AW713" i="34" s="1"/>
  <c r="AW52" i="2"/>
  <c r="AW712" i="34" s="1"/>
  <c r="AW50" i="2"/>
  <c r="AW710" i="34" s="1"/>
  <c r="AW1065" i="34"/>
  <c r="AW280" i="2"/>
  <c r="AW1087" i="34" s="1"/>
  <c r="AW270" i="2"/>
  <c r="AW1077" i="34" s="1"/>
  <c r="AW291" i="2"/>
  <c r="AW1098" i="34" s="1"/>
  <c r="AW125" i="14"/>
  <c r="AW80" i="14"/>
  <c r="AW79" i="14"/>
  <c r="AW1072" i="34"/>
  <c r="W17" i="42"/>
  <c r="AW33" i="14"/>
  <c r="AW31" i="14"/>
  <c r="AW29" i="14"/>
  <c r="AW30" i="14" s="1"/>
  <c r="AW220" i="14"/>
  <c r="AW68" i="14"/>
  <c r="AW70" i="14"/>
  <c r="AW82" i="14"/>
  <c r="AW248" i="14"/>
  <c r="AW249" i="14" s="1"/>
  <c r="AW221" i="14"/>
  <c r="AW191" i="14"/>
  <c r="AY234" i="34" l="1"/>
  <c r="AZ900" i="34"/>
  <c r="AX37" i="1"/>
  <c r="AX202" i="1" s="1"/>
  <c r="AZ50" i="2"/>
  <c r="AZ710" i="34" s="1"/>
  <c r="AY220" i="14"/>
  <c r="AY28" i="1" s="1"/>
  <c r="AY80" i="14"/>
  <c r="AX79" i="14"/>
  <c r="AY29" i="14"/>
  <c r="AY30" i="14" s="1"/>
  <c r="AZ709" i="34"/>
  <c r="AZ53" i="2"/>
  <c r="AZ713" i="34" s="1"/>
  <c r="AY33" i="14"/>
  <c r="AY52" i="2"/>
  <c r="AY712" i="34" s="1"/>
  <c r="AY192" i="14"/>
  <c r="AX191" i="14"/>
  <c r="AX280" i="2"/>
  <c r="AX1087" i="34" s="1"/>
  <c r="BS49" i="2"/>
  <c r="BS53" i="2" s="1"/>
  <c r="AY158" i="14"/>
  <c r="AX31" i="14"/>
  <c r="BS208" i="14"/>
  <c r="AY665" i="34" s="1"/>
  <c r="AY1230" i="34"/>
  <c r="AX71" i="14"/>
  <c r="AY270" i="1"/>
  <c r="AX33" i="14"/>
  <c r="AY32" i="14"/>
  <c r="AX220" i="14"/>
  <c r="AX28" i="1" s="1"/>
  <c r="AX34" i="14"/>
  <c r="AY34" i="14"/>
  <c r="AX270" i="2"/>
  <c r="AX1077" i="34" s="1"/>
  <c r="AX32" i="14"/>
  <c r="AY645" i="2"/>
  <c r="AY647" i="2" s="1"/>
  <c r="AY894" i="34" s="1"/>
  <c r="AX82" i="14"/>
  <c r="AX90" i="14" s="1"/>
  <c r="AY71" i="14"/>
  <c r="AY221" i="14"/>
  <c r="AY224" i="14" s="1"/>
  <c r="BT226" i="1"/>
  <c r="AY212" i="34" s="1"/>
  <c r="AY70" i="14"/>
  <c r="AY82" i="14"/>
  <c r="AY84" i="14" s="1"/>
  <c r="AY69" i="14"/>
  <c r="AX70" i="14"/>
  <c r="AY248" i="14"/>
  <c r="AY249" i="14" s="1"/>
  <c r="AY250" i="14" s="1"/>
  <c r="AY68" i="14"/>
  <c r="AX50" i="2"/>
  <c r="AX710" i="34" s="1"/>
  <c r="AX221" i="14"/>
  <c r="AX68" i="14"/>
  <c r="AY126" i="14"/>
  <c r="AX248" i="14"/>
  <c r="AX249" i="14" s="1"/>
  <c r="AX250" i="14" s="1"/>
  <c r="BS53" i="14"/>
  <c r="BS45" i="14" s="1"/>
  <c r="AZ80" i="14"/>
  <c r="AX54" i="2"/>
  <c r="AX714" i="34" s="1"/>
  <c r="BS11" i="14"/>
  <c r="AY578" i="34" s="1"/>
  <c r="BT268" i="1"/>
  <c r="AY253" i="34" s="1"/>
  <c r="AZ660" i="2"/>
  <c r="AZ907" i="34" s="1"/>
  <c r="AX291" i="2"/>
  <c r="AX1098" i="34" s="1"/>
  <c r="AZ654" i="2"/>
  <c r="AZ655" i="2" s="1"/>
  <c r="AZ902" i="34" s="1"/>
  <c r="BS731" i="34"/>
  <c r="AZ891" i="34"/>
  <c r="AZ646" i="2"/>
  <c r="AZ893" i="34" s="1"/>
  <c r="AZ645" i="2"/>
  <c r="AX125" i="14"/>
  <c r="AY646" i="2"/>
  <c r="AY893" i="34" s="1"/>
  <c r="AY653" i="2"/>
  <c r="AY660" i="2" s="1"/>
  <c r="AY907" i="34" s="1"/>
  <c r="AZ271" i="2"/>
  <c r="AZ1078" i="34" s="1"/>
  <c r="AX891" i="34"/>
  <c r="AX52" i="2"/>
  <c r="AX712" i="34" s="1"/>
  <c r="AX653" i="2"/>
  <c r="AX660" i="2" s="1"/>
  <c r="AX907" i="34" s="1"/>
  <c r="AX53" i="2"/>
  <c r="AX713" i="34" s="1"/>
  <c r="AX645" i="2"/>
  <c r="AX892" i="34" s="1"/>
  <c r="AX51" i="2"/>
  <c r="AX711" i="34" s="1"/>
  <c r="AX709" i="34"/>
  <c r="BS41" i="2"/>
  <c r="BS703" i="34" s="1"/>
  <c r="AY53" i="2"/>
  <c r="AY713" i="34" s="1"/>
  <c r="BT274" i="1"/>
  <c r="AY259" i="34" s="1"/>
  <c r="AY250" i="34"/>
  <c r="AY54" i="2"/>
  <c r="AY714" i="34" s="1"/>
  <c r="AY50" i="2"/>
  <c r="AY710" i="34" s="1"/>
  <c r="BT266" i="1"/>
  <c r="AY251" i="34" s="1"/>
  <c r="AZ51" i="2"/>
  <c r="AZ711" i="34" s="1"/>
  <c r="AZ54" i="2"/>
  <c r="AZ714" i="34" s="1"/>
  <c r="AY51" i="2"/>
  <c r="AY711" i="34" s="1"/>
  <c r="BS60" i="2"/>
  <c r="AY304" i="34" s="1"/>
  <c r="BS644" i="2"/>
  <c r="BS645" i="2" s="1"/>
  <c r="BS699" i="34"/>
  <c r="AY301" i="34"/>
  <c r="BS58" i="2"/>
  <c r="BS718" i="34" s="1"/>
  <c r="BS61" i="2"/>
  <c r="BS721" i="34" s="1"/>
  <c r="BS171" i="14"/>
  <c r="BS168" i="14" s="1"/>
  <c r="BS74" i="14"/>
  <c r="BS79" i="14" s="1"/>
  <c r="BS147" i="14"/>
  <c r="BS135" i="14" s="1"/>
  <c r="BS14" i="14"/>
  <c r="AY577" i="34"/>
  <c r="BS114" i="14"/>
  <c r="BS101" i="14" s="1"/>
  <c r="W1291" i="34"/>
  <c r="W12" i="40"/>
  <c r="W11" i="40" s="1"/>
  <c r="W17" i="40" s="1"/>
  <c r="AW1230" i="34"/>
  <c r="AW202" i="1"/>
  <c r="AW159" i="1" s="1"/>
  <c r="AZ1230" i="34"/>
  <c r="AZ202" i="1"/>
  <c r="AW28" i="1"/>
  <c r="AW32" i="1"/>
  <c r="AW251" i="14"/>
  <c r="AW250" i="14"/>
  <c r="AW271" i="2"/>
  <c r="AW1078" i="34" s="1"/>
  <c r="AW660" i="2"/>
  <c r="AW907" i="34" s="1"/>
  <c r="AW900" i="34"/>
  <c r="AW657" i="2"/>
  <c r="AW904" i="34" s="1"/>
  <c r="AW654" i="2"/>
  <c r="AW84" i="14"/>
  <c r="AW87" i="14"/>
  <c r="AW89" i="14"/>
  <c r="AW83" i="14"/>
  <c r="AW892" i="34"/>
  <c r="AW647" i="2"/>
  <c r="AW894" i="34" s="1"/>
  <c r="AX87" i="14"/>
  <c r="AX89" i="14" l="1"/>
  <c r="AX1230" i="34"/>
  <c r="BT37" i="1"/>
  <c r="AY28" i="34" s="1"/>
  <c r="AX84" i="14"/>
  <c r="AX88" i="14"/>
  <c r="BS709" i="34"/>
  <c r="BS50" i="2"/>
  <c r="BS710" i="34" s="1"/>
  <c r="BS52" i="2"/>
  <c r="BS712" i="34" s="1"/>
  <c r="AY293" i="34"/>
  <c r="AY251" i="14"/>
  <c r="AY892" i="34"/>
  <c r="AX271" i="2"/>
  <c r="AX1078" i="34" s="1"/>
  <c r="AY89" i="14"/>
  <c r="AX83" i="14"/>
  <c r="AX85" i="14" s="1"/>
  <c r="BT270" i="1"/>
  <c r="AY255" i="34" s="1"/>
  <c r="AX224" i="14"/>
  <c r="AX251" i="14"/>
  <c r="AY90" i="14"/>
  <c r="AY87" i="14"/>
  <c r="AY88" i="14"/>
  <c r="AY83" i="14"/>
  <c r="AY85" i="14" s="1"/>
  <c r="AY32" i="1"/>
  <c r="AY41" i="1" s="1"/>
  <c r="AY1234" i="34" s="1"/>
  <c r="AX32" i="1"/>
  <c r="AX39" i="1" s="1"/>
  <c r="BS720" i="34"/>
  <c r="AZ901" i="34"/>
  <c r="AY305" i="34"/>
  <c r="BS166" i="14"/>
  <c r="AY657" i="2"/>
  <c r="AY904" i="34" s="1"/>
  <c r="AX657" i="2"/>
  <c r="AX904" i="34" s="1"/>
  <c r="AZ892" i="34"/>
  <c r="AZ647" i="2"/>
  <c r="AZ894" i="34" s="1"/>
  <c r="AY654" i="2"/>
  <c r="AY901" i="34" s="1"/>
  <c r="AX900" i="34"/>
  <c r="AY302" i="34"/>
  <c r="AY382" i="34"/>
  <c r="AY900" i="34"/>
  <c r="AX654" i="2"/>
  <c r="AX901" i="34" s="1"/>
  <c r="AX647" i="2"/>
  <c r="AX894" i="34" s="1"/>
  <c r="BS653" i="2"/>
  <c r="BS654" i="2" s="1"/>
  <c r="BS891" i="34"/>
  <c r="BS646" i="2"/>
  <c r="BS893" i="34" s="1"/>
  <c r="BS167" i="14"/>
  <c r="BT202" i="1"/>
  <c r="AY188" i="34" s="1"/>
  <c r="AW271" i="1"/>
  <c r="AW272" i="1" s="1"/>
  <c r="AW273" i="1" s="1"/>
  <c r="AX159" i="1"/>
  <c r="AW259" i="1"/>
  <c r="BS713" i="34"/>
  <c r="AY297" i="34"/>
  <c r="AY166" i="1"/>
  <c r="AY1221" i="34"/>
  <c r="AY29" i="1"/>
  <c r="AW901" i="34"/>
  <c r="AW655" i="2"/>
  <c r="AW902" i="34" s="1"/>
  <c r="AX655" i="2"/>
  <c r="AX902" i="34" s="1"/>
  <c r="AY383" i="34"/>
  <c r="BS892" i="34"/>
  <c r="AW1225" i="34"/>
  <c r="AX1221" i="34"/>
  <c r="AX166" i="1"/>
  <c r="AX29" i="1"/>
  <c r="AW85" i="14"/>
  <c r="AW1221" i="34"/>
  <c r="AW166" i="1"/>
  <c r="AW29" i="1"/>
  <c r="X12" i="35" s="1"/>
  <c r="CQ37" i="1" l="1"/>
  <c r="AY296" i="34"/>
  <c r="AX1225" i="34"/>
  <c r="AY294" i="34"/>
  <c r="AY39" i="1"/>
  <c r="AY43" i="1" s="1"/>
  <c r="AY655" i="2"/>
  <c r="AY902" i="34" s="1"/>
  <c r="AY1225" i="34"/>
  <c r="AY86" i="14"/>
  <c r="AX86" i="14"/>
  <c r="AX41" i="1"/>
  <c r="AX1234" i="34" s="1"/>
  <c r="AY389" i="34"/>
  <c r="X13" i="35"/>
  <c r="X32" i="35" s="1"/>
  <c r="X31" i="35"/>
  <c r="BS900" i="34"/>
  <c r="BS657" i="2"/>
  <c r="BS904" i="34" s="1"/>
  <c r="AX271" i="1"/>
  <c r="AX272" i="1" s="1"/>
  <c r="AX273" i="1" s="1"/>
  <c r="AY159" i="1"/>
  <c r="AX259" i="1"/>
  <c r="AX131" i="1"/>
  <c r="AY30" i="1"/>
  <c r="AY1223" i="34" s="1"/>
  <c r="AY1222" i="34"/>
  <c r="AY46" i="1"/>
  <c r="AX1232" i="34"/>
  <c r="AY131" i="1"/>
  <c r="AW1222" i="34"/>
  <c r="AW30" i="1"/>
  <c r="AW1223" i="34" s="1"/>
  <c r="AX1222" i="34"/>
  <c r="AX30" i="1"/>
  <c r="AX1223" i="34" s="1"/>
  <c r="AX43" i="1"/>
  <c r="AW131" i="1"/>
  <c r="AY390" i="34"/>
  <c r="BS901" i="34"/>
  <c r="BS655" i="2"/>
  <c r="AY1232" i="34" l="1"/>
  <c r="I46" i="3"/>
  <c r="AX46" i="1"/>
  <c r="AX1239" i="34" s="1"/>
  <c r="AY271" i="1"/>
  <c r="AY272" i="1" s="1"/>
  <c r="AY273" i="1" s="1"/>
  <c r="AZ159" i="1"/>
  <c r="AY259" i="1"/>
  <c r="AY391" i="34"/>
  <c r="BS902" i="34"/>
  <c r="AY136" i="1"/>
  <c r="AY1236" i="34"/>
  <c r="AY44" i="1"/>
  <c r="AY1237" i="34" s="1"/>
  <c r="AY49" i="1"/>
  <c r="AX136" i="1"/>
  <c r="AX1236" i="34"/>
  <c r="AX44" i="1"/>
  <c r="AX1237" i="34" s="1"/>
  <c r="AX49" i="1"/>
  <c r="AY1239" i="34"/>
  <c r="AY47" i="1"/>
  <c r="AY1240" i="34" s="1"/>
  <c r="AY137" i="1"/>
  <c r="AX47" i="1" l="1"/>
  <c r="AX1240" i="34" s="1"/>
  <c r="AX137" i="1"/>
  <c r="I23" i="3"/>
  <c r="AZ271" i="1"/>
  <c r="AZ272" i="1" s="1"/>
  <c r="AZ273" i="1" s="1"/>
  <c r="BT159" i="1"/>
  <c r="BT263" i="1" s="1"/>
  <c r="AZ259" i="1"/>
  <c r="AX18" i="14"/>
  <c r="AX50" i="1"/>
  <c r="AX1243" i="34" s="1"/>
  <c r="AX1242" i="34"/>
  <c r="AX53" i="1"/>
  <c r="AX51" i="1"/>
  <c r="AX100" i="1"/>
  <c r="AY140" i="1"/>
  <c r="AY142" i="1" s="1"/>
  <c r="AY53" i="1"/>
  <c r="AY50" i="1"/>
  <c r="AY1243" i="34" s="1"/>
  <c r="AY1242" i="34"/>
  <c r="AY18" i="14"/>
  <c r="AY51" i="1"/>
  <c r="AY100" i="1"/>
  <c r="AX140" i="1"/>
  <c r="AX142" i="1" s="1"/>
  <c r="AY148" i="34" l="1"/>
  <c r="BT271" i="1"/>
  <c r="BT259" i="1"/>
  <c r="AY245" i="34" s="1"/>
  <c r="AY1244" i="34"/>
  <c r="AY52" i="1"/>
  <c r="AY1245" i="34" s="1"/>
  <c r="AY19" i="14"/>
  <c r="AY1246" i="34"/>
  <c r="AY20" i="14"/>
  <c r="AX1244" i="34"/>
  <c r="AX19" i="14"/>
  <c r="AX52" i="1"/>
  <c r="AX1245" i="34" s="1"/>
  <c r="AX21" i="14"/>
  <c r="AY22" i="14"/>
  <c r="AY21" i="14"/>
  <c r="AX20" i="14"/>
  <c r="AX1246" i="34"/>
  <c r="AY256" i="34" l="1"/>
  <c r="BT272" i="1"/>
  <c r="BT273" i="1" l="1"/>
  <c r="AY258" i="34" s="1"/>
  <c r="AY257" i="34"/>
  <c r="BD119" i="2" l="1"/>
  <c r="BD121" i="2"/>
  <c r="BC119" i="2"/>
  <c r="BC121" i="2"/>
  <c r="BA119" i="2"/>
  <c r="BA130" i="2"/>
  <c r="BA131" i="2" s="1"/>
  <c r="BA121" i="2"/>
  <c r="BD130" i="2"/>
  <c r="BD132" i="2" s="1"/>
  <c r="BC130" i="2"/>
  <c r="BC133" i="2" s="1"/>
  <c r="BD28" i="2"/>
  <c r="BD31" i="2" s="1"/>
  <c r="BC28" i="2"/>
  <c r="BC31" i="2" s="1"/>
  <c r="BA150" i="2"/>
  <c r="BA154" i="2" s="1"/>
  <c r="BD150" i="2"/>
  <c r="BB119" i="2"/>
  <c r="BB130" i="2"/>
  <c r="BB121" i="2"/>
  <c r="BB28" i="2"/>
  <c r="BC150" i="2"/>
  <c r="BB150" i="2"/>
  <c r="BA28" i="2"/>
  <c r="BB25" i="1"/>
  <c r="BB1218" i="34" s="1"/>
  <c r="BB120" i="2"/>
  <c r="BC120" i="2"/>
  <c r="BC25" i="1"/>
  <c r="BC1218" i="34" s="1"/>
  <c r="BT117" i="2"/>
  <c r="BD120" i="2"/>
  <c r="BD25" i="1"/>
  <c r="BD1218" i="34" s="1"/>
  <c r="BA120" i="2"/>
  <c r="BA25" i="1"/>
  <c r="BA1218" i="34" s="1"/>
  <c r="BC32" i="2" l="1"/>
  <c r="BT28" i="2"/>
  <c r="BT31" i="2" s="1"/>
  <c r="BC23" i="1"/>
  <c r="BB23" i="1"/>
  <c r="BB14" i="1" s="1"/>
  <c r="BB134" i="2"/>
  <c r="BB154" i="2"/>
  <c r="BU117" i="2"/>
  <c r="BV117" i="2" s="1"/>
  <c r="BW117" i="2" s="1"/>
  <c r="BX117" i="2" s="1"/>
  <c r="BY117" i="2" s="1"/>
  <c r="BT119" i="2"/>
  <c r="BT120" i="2"/>
  <c r="BD32" i="2"/>
  <c r="BD154" i="2"/>
  <c r="BC154" i="2"/>
  <c r="BU25" i="1"/>
  <c r="BA23" i="1"/>
  <c r="BA14" i="1" s="1"/>
  <c r="BD23" i="1"/>
  <c r="BT130" i="2"/>
  <c r="BA32" i="2"/>
  <c r="BA31" i="2"/>
  <c r="BT150" i="2"/>
  <c r="BB31" i="2"/>
  <c r="BC131" i="2"/>
  <c r="BC132" i="2"/>
  <c r="BD134" i="2"/>
  <c r="BD131" i="2"/>
  <c r="BA134" i="2"/>
  <c r="BB132" i="2"/>
  <c r="BB32" i="2"/>
  <c r="BA132" i="2"/>
  <c r="BB131" i="2"/>
  <c r="BC134" i="2"/>
  <c r="BD133" i="2"/>
  <c r="BA133" i="2"/>
  <c r="BB133" i="2"/>
  <c r="BD258" i="1" l="1"/>
  <c r="BD261" i="1" s="1"/>
  <c r="BD14" i="1"/>
  <c r="BC258" i="1"/>
  <c r="BC261" i="1" s="1"/>
  <c r="BC14" i="1"/>
  <c r="BA258" i="1"/>
  <c r="BA104" i="1" s="1"/>
  <c r="BA1216" i="34"/>
  <c r="BB258" i="1"/>
  <c r="BB220" i="1" s="1"/>
  <c r="BB226" i="1" s="1"/>
  <c r="BB1216" i="34"/>
  <c r="BT29" i="2"/>
  <c r="BB12" i="2"/>
  <c r="BB260" i="2" s="1"/>
  <c r="BB1066" i="34" s="1"/>
  <c r="BB155" i="1"/>
  <c r="BB168" i="1"/>
  <c r="BB1212" i="34"/>
  <c r="BC1216" i="34"/>
  <c r="BC12" i="2"/>
  <c r="BC71" i="2" s="1"/>
  <c r="BC168" i="1"/>
  <c r="BC155" i="1"/>
  <c r="BT133" i="2"/>
  <c r="BT132" i="2"/>
  <c r="BD1216" i="34"/>
  <c r="BD168" i="1"/>
  <c r="BD155" i="1"/>
  <c r="BU155" i="1" s="1"/>
  <c r="BD12" i="2"/>
  <c r="BA1212" i="34"/>
  <c r="BA168" i="1"/>
  <c r="BA214" i="1" s="1"/>
  <c r="BU23" i="1"/>
  <c r="BA155" i="1"/>
  <c r="BA12" i="2"/>
  <c r="BA698" i="34" s="1"/>
  <c r="BT152" i="2"/>
  <c r="BT153" i="2"/>
  <c r="CB25" i="1"/>
  <c r="AZ16" i="34"/>
  <c r="BB248" i="1" l="1"/>
  <c r="BC262" i="1"/>
  <c r="BC476" i="2"/>
  <c r="BU14" i="1"/>
  <c r="BU15" i="1" s="1"/>
  <c r="BD220" i="1"/>
  <c r="BD248" i="1" s="1"/>
  <c r="BD104" i="1"/>
  <c r="BD265" i="1"/>
  <c r="BD266" i="1" s="1"/>
  <c r="BC104" i="1"/>
  <c r="BA261" i="1"/>
  <c r="BA265" i="1"/>
  <c r="BA266" i="1" s="1"/>
  <c r="BU258" i="1"/>
  <c r="BU262" i="1" s="1"/>
  <c r="AZ248" i="34" s="1"/>
  <c r="BB262" i="1"/>
  <c r="BD262" i="1"/>
  <c r="BC265" i="1"/>
  <c r="BC266" i="1" s="1"/>
  <c r="BC220" i="1"/>
  <c r="BC226" i="1" s="1"/>
  <c r="BA220" i="1"/>
  <c r="BA226" i="1" s="1"/>
  <c r="BA262" i="1"/>
  <c r="BB261" i="1"/>
  <c r="BB265" i="1"/>
  <c r="BB266" i="1" s="1"/>
  <c r="BB104" i="1"/>
  <c r="BB18" i="2"/>
  <c r="BB19" i="2" s="1"/>
  <c r="BB698" i="34"/>
  <c r="BC211" i="1"/>
  <c r="BC15" i="2"/>
  <c r="BC699" i="34" s="1"/>
  <c r="BC698" i="34"/>
  <c r="BC57" i="2"/>
  <c r="BC49" i="2" s="1"/>
  <c r="BC709" i="34" s="1"/>
  <c r="BB15" i="2"/>
  <c r="BB699" i="34" s="1"/>
  <c r="BB476" i="2"/>
  <c r="BC16" i="2"/>
  <c r="BC700" i="34" s="1"/>
  <c r="BC494" i="2"/>
  <c r="BC731" i="34" s="1"/>
  <c r="BC18" i="2"/>
  <c r="BC19" i="2" s="1"/>
  <c r="BB10" i="14"/>
  <c r="BB14" i="14" s="1"/>
  <c r="BB13" i="2"/>
  <c r="BC10" i="14"/>
  <c r="BC40" i="2"/>
  <c r="BC702" i="34" s="1"/>
  <c r="BB40" i="2"/>
  <c r="BB71" i="2"/>
  <c r="BB57" i="2"/>
  <c r="BB494" i="2"/>
  <c r="BB731" i="34" s="1"/>
  <c r="BC214" i="1"/>
  <c r="BA14" i="2"/>
  <c r="BA13" i="2"/>
  <c r="BC260" i="2"/>
  <c r="BC1066" i="34" s="1"/>
  <c r="BC14" i="2"/>
  <c r="BC13" i="2"/>
  <c r="BB14" i="2"/>
  <c r="BD260" i="2"/>
  <c r="BD14" i="2"/>
  <c r="BD13" i="2"/>
  <c r="BC1212" i="34"/>
  <c r="BD226" i="1"/>
  <c r="BB16" i="2"/>
  <c r="BB700" i="34" s="1"/>
  <c r="BA260" i="2"/>
  <c r="BA1066" i="34" s="1"/>
  <c r="CB23" i="1"/>
  <c r="AZ14" i="34"/>
  <c r="CR23" i="1"/>
  <c r="G24" i="3" s="1"/>
  <c r="G48" i="3" s="1"/>
  <c r="X11" i="4"/>
  <c r="BD698" i="34"/>
  <c r="BD15" i="2"/>
  <c r="BD699" i="34" s="1"/>
  <c r="BD476" i="2"/>
  <c r="BD71" i="2"/>
  <c r="BD18" i="2"/>
  <c r="BD16" i="2"/>
  <c r="BD700" i="34" s="1"/>
  <c r="BD40" i="2"/>
  <c r="BD494" i="2"/>
  <c r="BD731" i="34" s="1"/>
  <c r="BD57" i="2"/>
  <c r="BD10" i="14"/>
  <c r="BD1212" i="34"/>
  <c r="BB211" i="1"/>
  <c r="BA211" i="1"/>
  <c r="AZ142" i="34"/>
  <c r="BU187" i="1"/>
  <c r="BB214" i="1"/>
  <c r="BD211" i="1"/>
  <c r="BD214" i="1"/>
  <c r="BU168" i="1"/>
  <c r="BB292" i="2"/>
  <c r="BB1099" i="34" s="1"/>
  <c r="BB266" i="2"/>
  <c r="BB1073" i="34" s="1"/>
  <c r="BB265" i="2"/>
  <c r="BB1072" i="34" s="1"/>
  <c r="BB281" i="2"/>
  <c r="BB1088" i="34" s="1"/>
  <c r="BB267" i="2"/>
  <c r="BB1074" i="34" s="1"/>
  <c r="BB268" i="2"/>
  <c r="BB1075" i="34" s="1"/>
  <c r="BB259" i="2"/>
  <c r="BB1065" i="34" s="1"/>
  <c r="BB269" i="2"/>
  <c r="BB1076" i="34" s="1"/>
  <c r="BA476" i="2"/>
  <c r="BA494" i="2"/>
  <c r="BA731" i="34" s="1"/>
  <c r="BA18" i="2"/>
  <c r="BA71" i="2"/>
  <c r="BA16" i="2"/>
  <c r="BA700" i="34" s="1"/>
  <c r="BA15" i="2"/>
  <c r="BA699" i="34" s="1"/>
  <c r="BA40" i="2"/>
  <c r="BA702" i="34" s="1"/>
  <c r="BT12" i="2"/>
  <c r="BT13" i="2" s="1"/>
  <c r="BA10" i="14"/>
  <c r="BA57" i="2"/>
  <c r="BA717" i="34" s="1"/>
  <c r="BD208" i="14" l="1"/>
  <c r="BD37" i="1" s="1"/>
  <c r="BC208" i="14"/>
  <c r="BC37" i="1" s="1"/>
  <c r="BB208" i="14"/>
  <c r="BB37" i="1" s="1"/>
  <c r="BB1230" i="34" s="1"/>
  <c r="BC52" i="2"/>
  <c r="BC712" i="34" s="1"/>
  <c r="BC644" i="2"/>
  <c r="BC646" i="2" s="1"/>
  <c r="BC893" i="34" s="1"/>
  <c r="BU248" i="1"/>
  <c r="AZ234" i="34" s="1"/>
  <c r="BU265" i="1"/>
  <c r="BU274" i="1" s="1"/>
  <c r="AZ259" i="34" s="1"/>
  <c r="BU104" i="1"/>
  <c r="AZ92" i="34" s="1"/>
  <c r="BU261" i="1"/>
  <c r="AZ247" i="34" s="1"/>
  <c r="BU260" i="1"/>
  <c r="AZ246" i="34" s="1"/>
  <c r="X17" i="4"/>
  <c r="X1296" i="34" s="1"/>
  <c r="BC12" i="14"/>
  <c r="BC50" i="2"/>
  <c r="BC710" i="34" s="1"/>
  <c r="BC61" i="2"/>
  <c r="BC721" i="34" s="1"/>
  <c r="BC58" i="2"/>
  <c r="BC718" i="34" s="1"/>
  <c r="BC53" i="2"/>
  <c r="BC713" i="34" s="1"/>
  <c r="BC717" i="34"/>
  <c r="BA208" i="14"/>
  <c r="BA270" i="1" s="1"/>
  <c r="BA248" i="1"/>
  <c r="BV258" i="1"/>
  <c r="Y17" i="4" s="1"/>
  <c r="Y1296" i="34" s="1"/>
  <c r="AZ244" i="34"/>
  <c r="BC248" i="1"/>
  <c r="BU220" i="1"/>
  <c r="AZ206" i="34" s="1"/>
  <c r="BB41" i="2"/>
  <c r="BB703" i="34" s="1"/>
  <c r="BB702" i="34"/>
  <c r="BB644" i="2"/>
  <c r="BB891" i="34" s="1"/>
  <c r="BB717" i="34"/>
  <c r="BC59" i="2"/>
  <c r="BC719" i="34" s="1"/>
  <c r="BB74" i="14"/>
  <c r="BB79" i="14" s="1"/>
  <c r="BB186" i="14"/>
  <c r="BB191" i="14" s="1"/>
  <c r="BC74" i="14"/>
  <c r="BC79" i="14" s="1"/>
  <c r="BB62" i="2"/>
  <c r="BB722" i="34" s="1"/>
  <c r="BB64" i="14"/>
  <c r="BB248" i="14" s="1"/>
  <c r="BB249" i="14" s="1"/>
  <c r="BB152" i="14"/>
  <c r="BB157" i="14" s="1"/>
  <c r="BC41" i="2"/>
  <c r="BC703" i="34" s="1"/>
  <c r="BB120" i="14"/>
  <c r="BB125" i="14" s="1"/>
  <c r="BB11" i="14"/>
  <c r="BB28" i="14"/>
  <c r="BB29" i="14" s="1"/>
  <c r="BB30" i="14" s="1"/>
  <c r="BC186" i="14"/>
  <c r="BC28" i="14"/>
  <c r="BC29" i="14" s="1"/>
  <c r="BC30" i="14" s="1"/>
  <c r="BC14" i="14"/>
  <c r="BC281" i="2"/>
  <c r="BC1088" i="34" s="1"/>
  <c r="BC152" i="14"/>
  <c r="BC157" i="14" s="1"/>
  <c r="BC11" i="14"/>
  <c r="BC64" i="14"/>
  <c r="BC68" i="14" s="1"/>
  <c r="BC120" i="14"/>
  <c r="BC292" i="2"/>
  <c r="BC1099" i="34" s="1"/>
  <c r="BB58" i="2"/>
  <c r="BB718" i="34" s="1"/>
  <c r="BC62" i="2"/>
  <c r="BC722" i="34" s="1"/>
  <c r="BB49" i="2"/>
  <c r="BB61" i="2"/>
  <c r="BB721" i="34" s="1"/>
  <c r="BC20" i="2"/>
  <c r="BU214" i="1"/>
  <c r="AZ200" i="34" s="1"/>
  <c r="BA14" i="14"/>
  <c r="BA11" i="14"/>
  <c r="BA74" i="14"/>
  <c r="BA12" i="14"/>
  <c r="BA120" i="14"/>
  <c r="BA186" i="14"/>
  <c r="BA64" i="14"/>
  <c r="BA28" i="14"/>
  <c r="BD14" i="14"/>
  <c r="BD12" i="14"/>
  <c r="BD11" i="14"/>
  <c r="BD74" i="14"/>
  <c r="BA281" i="2"/>
  <c r="BA1088" i="34" s="1"/>
  <c r="BA265" i="2"/>
  <c r="BA1072" i="34" s="1"/>
  <c r="BA266" i="2"/>
  <c r="BA1073" i="34" s="1"/>
  <c r="BA292" i="2"/>
  <c r="BA1099" i="34" s="1"/>
  <c r="BA269" i="2"/>
  <c r="BA1076" i="34" s="1"/>
  <c r="BA267" i="2"/>
  <c r="BA1074" i="34" s="1"/>
  <c r="BA268" i="2"/>
  <c r="BA1075" i="34" s="1"/>
  <c r="BA259" i="2"/>
  <c r="BA1065" i="34" s="1"/>
  <c r="AZ157" i="34"/>
  <c r="BU191" i="1"/>
  <c r="BB12" i="14"/>
  <c r="BD717" i="34"/>
  <c r="BD59" i="2"/>
  <c r="BD719" i="34" s="1"/>
  <c r="BD58" i="2"/>
  <c r="BD718" i="34" s="1"/>
  <c r="BD61" i="2"/>
  <c r="BD721" i="34" s="1"/>
  <c r="BD644" i="2"/>
  <c r="BD62" i="2"/>
  <c r="BD722" i="34" s="1"/>
  <c r="BD20" i="2"/>
  <c r="BD19" i="2"/>
  <c r="BB59" i="2"/>
  <c r="BB719" i="34" s="1"/>
  <c r="AZ176" i="34"/>
  <c r="BV187" i="1"/>
  <c r="BA49" i="2"/>
  <c r="BA709" i="34" s="1"/>
  <c r="BA19" i="2"/>
  <c r="BA20" i="2"/>
  <c r="BD49" i="2"/>
  <c r="BB20" i="2"/>
  <c r="BA41" i="2"/>
  <c r="BA703" i="34" s="1"/>
  <c r="BT40" i="2"/>
  <c r="BB291" i="2"/>
  <c r="BB1098" i="34" s="1"/>
  <c r="BB270" i="2"/>
  <c r="BB1077" i="34" s="1"/>
  <c r="BB280" i="2"/>
  <c r="BB1087" i="34" s="1"/>
  <c r="BD269" i="2"/>
  <c r="BD1076" i="34" s="1"/>
  <c r="BD292" i="2"/>
  <c r="BD1099" i="34" s="1"/>
  <c r="BD1066" i="34"/>
  <c r="BD266" i="2"/>
  <c r="BD1073" i="34" s="1"/>
  <c r="BD265" i="2"/>
  <c r="BD267" i="2"/>
  <c r="BD1074" i="34" s="1"/>
  <c r="BD268" i="2"/>
  <c r="BD1075" i="34" s="1"/>
  <c r="BD281" i="2"/>
  <c r="BD1088" i="34" s="1"/>
  <c r="BD259" i="2"/>
  <c r="X1290" i="34"/>
  <c r="X12" i="4"/>
  <c r="X12" i="42" s="1"/>
  <c r="BA62" i="2"/>
  <c r="BA722" i="34" s="1"/>
  <c r="BA59" i="2"/>
  <c r="BA719" i="34" s="1"/>
  <c r="BA58" i="2"/>
  <c r="BA718" i="34" s="1"/>
  <c r="BA61" i="2"/>
  <c r="BA721" i="34" s="1"/>
  <c r="BT57" i="2"/>
  <c r="BA644" i="2"/>
  <c r="BA891" i="34" s="1"/>
  <c r="BT698" i="34"/>
  <c r="AZ275" i="34"/>
  <c r="BT71" i="2"/>
  <c r="BT494" i="2"/>
  <c r="BT476" i="2"/>
  <c r="AZ421" i="34" s="1"/>
  <c r="BT15" i="2"/>
  <c r="BT10" i="14"/>
  <c r="BU211" i="1"/>
  <c r="BD702" i="34"/>
  <c r="BD41" i="2"/>
  <c r="BD703" i="34" s="1"/>
  <c r="BB646" i="2" l="1"/>
  <c r="BB893" i="34" s="1"/>
  <c r="BB270" i="1"/>
  <c r="BB202" i="1"/>
  <c r="BB192" i="14"/>
  <c r="BD270" i="1"/>
  <c r="BC653" i="2"/>
  <c r="BC657" i="2" s="1"/>
  <c r="BC904" i="34" s="1"/>
  <c r="CR248" i="1"/>
  <c r="BC270" i="1"/>
  <c r="BA37" i="1"/>
  <c r="BA1230" i="34" s="1"/>
  <c r="BB82" i="14"/>
  <c r="BB89" i="14" s="1"/>
  <c r="BU267" i="1"/>
  <c r="AZ252" i="34" s="1"/>
  <c r="BC891" i="34"/>
  <c r="BB645" i="2"/>
  <c r="BB892" i="34" s="1"/>
  <c r="BC645" i="2"/>
  <c r="BC647" i="2" s="1"/>
  <c r="BC894" i="34" s="1"/>
  <c r="BB653" i="2"/>
  <c r="BB900" i="34" s="1"/>
  <c r="BB33" i="14"/>
  <c r="BU268" i="1"/>
  <c r="AZ253" i="34" s="1"/>
  <c r="AZ250" i="34"/>
  <c r="BU266" i="1"/>
  <c r="AZ251" i="34" s="1"/>
  <c r="BT208" i="14"/>
  <c r="BU270" i="1" s="1"/>
  <c r="BB68" i="14"/>
  <c r="BB80" i="14"/>
  <c r="BB221" i="14"/>
  <c r="BB32" i="1" s="1"/>
  <c r="BB1225" i="34" s="1"/>
  <c r="BB70" i="14"/>
  <c r="BV248" i="1"/>
  <c r="BV220" i="1"/>
  <c r="BV226" i="1" s="1"/>
  <c r="BU226" i="1"/>
  <c r="AZ212" i="34" s="1"/>
  <c r="BW258" i="1"/>
  <c r="BX258" i="1" s="1"/>
  <c r="BV104" i="1"/>
  <c r="BV265" i="1"/>
  <c r="BV268" i="1" s="1"/>
  <c r="BV261" i="1"/>
  <c r="BC31" i="14"/>
  <c r="BC33" i="14"/>
  <c r="BC220" i="14"/>
  <c r="BC28" i="1" s="1"/>
  <c r="BB50" i="2"/>
  <c r="BB710" i="34" s="1"/>
  <c r="BB709" i="34"/>
  <c r="BC71" i="14"/>
  <c r="BC221" i="14"/>
  <c r="BC32" i="1" s="1"/>
  <c r="BC70" i="14"/>
  <c r="BC80" i="14"/>
  <c r="BB31" i="14"/>
  <c r="BC82" i="14"/>
  <c r="BC89" i="14" s="1"/>
  <c r="BC69" i="14"/>
  <c r="BC192" i="14"/>
  <c r="BC32" i="14"/>
  <c r="BC248" i="14"/>
  <c r="BC249" i="14" s="1"/>
  <c r="BC250" i="14" s="1"/>
  <c r="BB34" i="14"/>
  <c r="BC34" i="14"/>
  <c r="BB220" i="14"/>
  <c r="BC191" i="14"/>
  <c r="BB53" i="2"/>
  <c r="BB713" i="34" s="1"/>
  <c r="BC158" i="14"/>
  <c r="BB52" i="2"/>
  <c r="BB712" i="34" s="1"/>
  <c r="BB126" i="14"/>
  <c r="BC126" i="14"/>
  <c r="BB32" i="14"/>
  <c r="BC125" i="14"/>
  <c r="BC54" i="2"/>
  <c r="BC714" i="34" s="1"/>
  <c r="BC51" i="2"/>
  <c r="BC711" i="34" s="1"/>
  <c r="BD1230" i="34"/>
  <c r="BD202" i="1"/>
  <c r="BC202" i="1"/>
  <c r="BC1230" i="34"/>
  <c r="BA202" i="1"/>
  <c r="BA159" i="1" s="1"/>
  <c r="AZ577" i="34"/>
  <c r="BT14" i="14"/>
  <c r="BT11" i="14"/>
  <c r="AZ578" i="34" s="1"/>
  <c r="BT114" i="14"/>
  <c r="BT101" i="14" s="1"/>
  <c r="BT171" i="14"/>
  <c r="BT74" i="14"/>
  <c r="BT79" i="14" s="1"/>
  <c r="BT147" i="14"/>
  <c r="BT135" i="14" s="1"/>
  <c r="BT53" i="14"/>
  <c r="BT45" i="14" s="1"/>
  <c r="BA646" i="2"/>
  <c r="BA893" i="34" s="1"/>
  <c r="BA645" i="2"/>
  <c r="BA892" i="34" s="1"/>
  <c r="BA653" i="2"/>
  <c r="BA900" i="34" s="1"/>
  <c r="BA50" i="2"/>
  <c r="BA710" i="34" s="1"/>
  <c r="BA54" i="2"/>
  <c r="BA714" i="34" s="1"/>
  <c r="BA53" i="2"/>
  <c r="BA713" i="34" s="1"/>
  <c r="BA51" i="2"/>
  <c r="BA711" i="34" s="1"/>
  <c r="BA52" i="2"/>
  <c r="BA712" i="34" s="1"/>
  <c r="BT49" i="2"/>
  <c r="BD891" i="34"/>
  <c r="BD646" i="2"/>
  <c r="BD893" i="34" s="1"/>
  <c r="BD645" i="2"/>
  <c r="BD653" i="2"/>
  <c r="BA82" i="14"/>
  <c r="BA68" i="14"/>
  <c r="BA70" i="14"/>
  <c r="BA248" i="14"/>
  <c r="BA249" i="14" s="1"/>
  <c r="BA221" i="14"/>
  <c r="AZ197" i="34"/>
  <c r="BB71" i="14"/>
  <c r="AZ276" i="34"/>
  <c r="BT699" i="34"/>
  <c r="BT60" i="2"/>
  <c r="AZ301" i="34"/>
  <c r="BT717" i="34"/>
  <c r="BT61" i="2"/>
  <c r="BT58" i="2"/>
  <c r="BT644" i="2"/>
  <c r="BD1065" i="34"/>
  <c r="BD270" i="2"/>
  <c r="BD1077" i="34" s="1"/>
  <c r="BD291" i="2"/>
  <c r="BD1098" i="34" s="1"/>
  <c r="BD280" i="2"/>
  <c r="BD1087" i="34" s="1"/>
  <c r="BD1072" i="34"/>
  <c r="BB51" i="2"/>
  <c r="BB711" i="34" s="1"/>
  <c r="BD709" i="34"/>
  <c r="BD53" i="2"/>
  <c r="BD713" i="34" s="1"/>
  <c r="BD52" i="2"/>
  <c r="BD712" i="34" s="1"/>
  <c r="BD51" i="2"/>
  <c r="BD711" i="34" s="1"/>
  <c r="BD54" i="2"/>
  <c r="BD714" i="34" s="1"/>
  <c r="BD50" i="2"/>
  <c r="BD710" i="34" s="1"/>
  <c r="BB271" i="2"/>
  <c r="BB1078" i="34" s="1"/>
  <c r="BA191" i="14"/>
  <c r="BA80" i="14"/>
  <c r="BA79" i="14"/>
  <c r="AZ180" i="34"/>
  <c r="BV191" i="1"/>
  <c r="BB250" i="14"/>
  <c r="BB251" i="14"/>
  <c r="BB69" i="14"/>
  <c r="BW187" i="1"/>
  <c r="BA270" i="2"/>
  <c r="BA1077" i="34" s="1"/>
  <c r="BA291" i="2"/>
  <c r="BA1098" i="34" s="1"/>
  <c r="BA280" i="2"/>
  <c r="BA1087" i="34" s="1"/>
  <c r="BD79" i="14"/>
  <c r="BD80" i="14"/>
  <c r="BA125" i="14"/>
  <c r="BC892" i="34"/>
  <c r="BC660" i="2"/>
  <c r="BC907" i="34" s="1"/>
  <c r="BB87" i="14"/>
  <c r="BT731" i="34"/>
  <c r="AZ314" i="34"/>
  <c r="X1291" i="34"/>
  <c r="X12" i="40"/>
  <c r="X11" i="40" s="1"/>
  <c r="X11" i="42"/>
  <c r="BT41" i="2"/>
  <c r="BT703" i="34" s="1"/>
  <c r="BT702" i="34"/>
  <c r="BB54" i="2"/>
  <c r="BB714" i="34" s="1"/>
  <c r="BA33" i="14"/>
  <c r="BA31" i="14"/>
  <c r="BA29" i="14"/>
  <c r="BA30" i="14" s="1"/>
  <c r="BA220" i="14"/>
  <c r="BB83" i="14" l="1"/>
  <c r="BB85" i="14" s="1"/>
  <c r="BB84" i="14"/>
  <c r="BC900" i="34"/>
  <c r="BC654" i="2"/>
  <c r="BC901" i="34" s="1"/>
  <c r="BB654" i="2"/>
  <c r="BB901" i="34" s="1"/>
  <c r="BB647" i="2"/>
  <c r="BB894" i="34" s="1"/>
  <c r="BU37" i="1"/>
  <c r="AZ28" i="34" s="1"/>
  <c r="BB657" i="2"/>
  <c r="BB904" i="34" s="1"/>
  <c r="BB88" i="14"/>
  <c r="BB660" i="2"/>
  <c r="BB907" i="34" s="1"/>
  <c r="BU208" i="14"/>
  <c r="BV270" i="1" s="1"/>
  <c r="BC224" i="14"/>
  <c r="BB224" i="14"/>
  <c r="AZ665" i="34"/>
  <c r="Z17" i="4"/>
  <c r="Z1296" i="34" s="1"/>
  <c r="BW104" i="1"/>
  <c r="BW220" i="1"/>
  <c r="BW226" i="1" s="1"/>
  <c r="BW248" i="1"/>
  <c r="BW265" i="1"/>
  <c r="BV208" i="14" s="1"/>
  <c r="BW261" i="1"/>
  <c r="BC88" i="14"/>
  <c r="BC84" i="14"/>
  <c r="BC251" i="14"/>
  <c r="BC83" i="14"/>
  <c r="BC86" i="14" s="1"/>
  <c r="BC90" i="14"/>
  <c r="BC87" i="14"/>
  <c r="BB28" i="1"/>
  <c r="BB90" i="14"/>
  <c r="BD271" i="2"/>
  <c r="BD1078" i="34" s="1"/>
  <c r="BA271" i="1"/>
  <c r="BA272" i="1" s="1"/>
  <c r="BA273" i="1" s="1"/>
  <c r="BB159" i="1"/>
  <c r="BA259" i="1"/>
  <c r="BX220" i="1"/>
  <c r="BX226" i="1" s="1"/>
  <c r="BX261" i="1"/>
  <c r="BY258" i="1"/>
  <c r="BX248" i="1"/>
  <c r="BX104" i="1"/>
  <c r="BX265" i="1"/>
  <c r="AA17" i="4"/>
  <c r="AA1296" i="34" s="1"/>
  <c r="AZ255" i="34"/>
  <c r="BU202" i="1"/>
  <c r="AZ188" i="34" s="1"/>
  <c r="BT891" i="34"/>
  <c r="AZ382" i="34"/>
  <c r="BT645" i="2"/>
  <c r="BT646" i="2"/>
  <c r="BT893" i="34" s="1"/>
  <c r="BT653" i="2"/>
  <c r="BA271" i="2"/>
  <c r="BA1078" i="34" s="1"/>
  <c r="BD892" i="34"/>
  <c r="BD647" i="2"/>
  <c r="BD894" i="34" s="1"/>
  <c r="BT53" i="2"/>
  <c r="BT50" i="2"/>
  <c r="AZ293" i="34"/>
  <c r="BT709" i="34"/>
  <c r="BT52" i="2"/>
  <c r="BT718" i="34"/>
  <c r="AZ302" i="34"/>
  <c r="AZ304" i="34"/>
  <c r="BT720" i="34"/>
  <c r="BB39" i="1"/>
  <c r="BB1232" i="34" s="1"/>
  <c r="BB41" i="1"/>
  <c r="BB1234" i="34" s="1"/>
  <c r="BT167" i="14"/>
  <c r="BT168" i="14"/>
  <c r="BT166" i="14"/>
  <c r="X17" i="42"/>
  <c r="BX187" i="1"/>
  <c r="BW191" i="1"/>
  <c r="AZ305" i="34"/>
  <c r="BT721" i="34"/>
  <c r="BA32" i="1"/>
  <c r="BA1225" i="34" s="1"/>
  <c r="BC1225" i="34"/>
  <c r="BC39" i="1"/>
  <c r="BC41" i="1"/>
  <c r="BC1234" i="34" s="1"/>
  <c r="BA657" i="2"/>
  <c r="BA904" i="34" s="1"/>
  <c r="BA654" i="2"/>
  <c r="BA901" i="34" s="1"/>
  <c r="BA660" i="2"/>
  <c r="BA907" i="34" s="1"/>
  <c r="BA28" i="1"/>
  <c r="BA1221" i="34" s="1"/>
  <c r="X17" i="40"/>
  <c r="BC1221" i="34"/>
  <c r="BC166" i="1"/>
  <c r="BC29" i="1"/>
  <c r="BA250" i="14"/>
  <c r="BA251" i="14"/>
  <c r="BA89" i="14"/>
  <c r="BA83" i="14"/>
  <c r="BA84" i="14"/>
  <c r="BA87" i="14"/>
  <c r="BD657" i="2"/>
  <c r="BD904" i="34" s="1"/>
  <c r="BD900" i="34"/>
  <c r="BD660" i="2"/>
  <c r="BD907" i="34" s="1"/>
  <c r="BD654" i="2"/>
  <c r="BA647" i="2"/>
  <c r="BA894" i="34" s="1"/>
  <c r="BC655" i="2" l="1"/>
  <c r="BC902" i="34" s="1"/>
  <c r="CB37" i="1"/>
  <c r="CR37" i="1"/>
  <c r="BB655" i="2"/>
  <c r="BB902" i="34" s="1"/>
  <c r="BW268" i="1"/>
  <c r="BV37" i="1"/>
  <c r="BV202" i="1" s="1"/>
  <c r="BB166" i="1"/>
  <c r="BB131" i="1" s="1"/>
  <c r="BB1221" i="34"/>
  <c r="BC85" i="14"/>
  <c r="BB29" i="1"/>
  <c r="BB1222" i="34" s="1"/>
  <c r="BW208" i="14"/>
  <c r="BX268" i="1"/>
  <c r="BZ258" i="1"/>
  <c r="BY261" i="1"/>
  <c r="BY265" i="1"/>
  <c r="BX208" i="14" s="1"/>
  <c r="BY104" i="1"/>
  <c r="BY220" i="1"/>
  <c r="BY226" i="1" s="1"/>
  <c r="AB17" i="4"/>
  <c r="AB1296" i="34" s="1"/>
  <c r="BY248" i="1"/>
  <c r="BB271" i="1"/>
  <c r="BB272" i="1" s="1"/>
  <c r="BB273" i="1" s="1"/>
  <c r="BC159" i="1"/>
  <c r="BB259" i="1"/>
  <c r="BW270" i="1"/>
  <c r="BW37" i="1"/>
  <c r="BW202" i="1" s="1"/>
  <c r="BA166" i="1"/>
  <c r="BA29" i="1"/>
  <c r="BA1222" i="34" s="1"/>
  <c r="AZ296" i="34"/>
  <c r="BT712" i="34"/>
  <c r="BU52" i="2"/>
  <c r="AZ297" i="34"/>
  <c r="BT713" i="34"/>
  <c r="BT900" i="34"/>
  <c r="AZ389" i="34"/>
  <c r="BT654" i="2"/>
  <c r="BT657" i="2"/>
  <c r="BT904" i="34" s="1"/>
  <c r="BA85" i="14"/>
  <c r="BY187" i="1"/>
  <c r="BD901" i="34"/>
  <c r="BD655" i="2"/>
  <c r="BD902" i="34" s="1"/>
  <c r="BC1222" i="34"/>
  <c r="BC30" i="1"/>
  <c r="BC1223" i="34" s="1"/>
  <c r="BC46" i="1"/>
  <c r="BC43" i="1"/>
  <c r="BB86" i="14"/>
  <c r="BX191" i="1"/>
  <c r="AZ383" i="34"/>
  <c r="BT892" i="34"/>
  <c r="BC131" i="1"/>
  <c r="BA655" i="2"/>
  <c r="BA902" i="34" s="1"/>
  <c r="BC1232" i="34"/>
  <c r="BT710" i="34"/>
  <c r="AZ294" i="34"/>
  <c r="BY268" i="1" l="1"/>
  <c r="BB46" i="1"/>
  <c r="BB1239" i="34" s="1"/>
  <c r="BB43" i="1"/>
  <c r="BB1236" i="34" s="1"/>
  <c r="BB30" i="1"/>
  <c r="BB1223" i="34" s="1"/>
  <c r="BZ104" i="1"/>
  <c r="BZ220" i="1"/>
  <c r="BZ226" i="1" s="1"/>
  <c r="BZ265" i="1"/>
  <c r="BY208" i="14" s="1"/>
  <c r="BZ248" i="1"/>
  <c r="BZ261" i="1"/>
  <c r="AC17" i="4"/>
  <c r="AC1296" i="34" s="1"/>
  <c r="BY270" i="1"/>
  <c r="BY37" i="1"/>
  <c r="BY202" i="1" s="1"/>
  <c r="BC271" i="1"/>
  <c r="BC272" i="1" s="1"/>
  <c r="BC273" i="1" s="1"/>
  <c r="BD159" i="1"/>
  <c r="BD271" i="1" s="1"/>
  <c r="BD272" i="1" s="1"/>
  <c r="BD273" i="1" s="1"/>
  <c r="BC259" i="1"/>
  <c r="BX270" i="1"/>
  <c r="BX37" i="1"/>
  <c r="BX202" i="1" s="1"/>
  <c r="BZ187" i="1"/>
  <c r="BY191" i="1"/>
  <c r="BT901" i="34"/>
  <c r="AZ390" i="34"/>
  <c r="BT655" i="2"/>
  <c r="BA30" i="1"/>
  <c r="BA1223" i="34" s="1"/>
  <c r="BC136" i="1"/>
  <c r="BC1236" i="34"/>
  <c r="BC44" i="1"/>
  <c r="BC1237" i="34" s="1"/>
  <c r="BC49" i="1"/>
  <c r="BU712" i="34"/>
  <c r="BV52" i="2"/>
  <c r="BA131" i="1"/>
  <c r="BC47" i="1"/>
  <c r="BC1240" i="34" s="1"/>
  <c r="BC137" i="1"/>
  <c r="BC1239" i="34"/>
  <c r="BB47" i="1" l="1"/>
  <c r="BB1240" i="34" s="1"/>
  <c r="BB44" i="1"/>
  <c r="BB1237" i="34" s="1"/>
  <c r="BB137" i="1"/>
  <c r="BB140" i="1" s="1"/>
  <c r="BB142" i="1" s="1"/>
  <c r="BB136" i="1"/>
  <c r="BB49" i="1"/>
  <c r="BB1242" i="34" s="1"/>
  <c r="BZ268" i="1"/>
  <c r="BU159" i="1"/>
  <c r="BU263" i="1" s="1"/>
  <c r="BD259" i="1"/>
  <c r="BZ270" i="1"/>
  <c r="BZ37" i="1"/>
  <c r="BZ202" i="1" s="1"/>
  <c r="BC140" i="1"/>
  <c r="BC142" i="1" s="1"/>
  <c r="BC1242" i="34"/>
  <c r="BC18" i="14"/>
  <c r="BC53" i="1"/>
  <c r="BC50" i="1"/>
  <c r="BC1243" i="34" s="1"/>
  <c r="BC100" i="1"/>
  <c r="BC51" i="1"/>
  <c r="BV712" i="34"/>
  <c r="BW52" i="2"/>
  <c r="BZ191" i="1"/>
  <c r="BT902" i="34"/>
  <c r="AZ391" i="34"/>
  <c r="BB50" i="1" l="1"/>
  <c r="BB1243" i="34" s="1"/>
  <c r="BB53" i="1"/>
  <c r="BB1246" i="34" s="1"/>
  <c r="BB100" i="1"/>
  <c r="BB18" i="14"/>
  <c r="BC22" i="14" s="1"/>
  <c r="BB51" i="1"/>
  <c r="BB1244" i="34" s="1"/>
  <c r="BV159" i="1"/>
  <c r="BV263" i="1" s="1"/>
  <c r="AZ148" i="34"/>
  <c r="BU271" i="1"/>
  <c r="BU259" i="1"/>
  <c r="AZ245" i="34" s="1"/>
  <c r="BC19" i="14"/>
  <c r="BC1244" i="34"/>
  <c r="BC52" i="1"/>
  <c r="BC1245" i="34" s="1"/>
  <c r="BC20" i="14"/>
  <c r="BC1246" i="34"/>
  <c r="BW712" i="34"/>
  <c r="BX52" i="2"/>
  <c r="BC21" i="14"/>
  <c r="BB21" i="14" l="1"/>
  <c r="BB20" i="14"/>
  <c r="BB52" i="1"/>
  <c r="BB1245" i="34" s="1"/>
  <c r="BB19" i="14"/>
  <c r="AZ256" i="34"/>
  <c r="BU272" i="1"/>
  <c r="BV271" i="1"/>
  <c r="BV272" i="1" s="1"/>
  <c r="BV273" i="1" s="1"/>
  <c r="BW159" i="1"/>
  <c r="BV259" i="1"/>
  <c r="BY52" i="2"/>
  <c r="BX712" i="34"/>
  <c r="BW271" i="1" l="1"/>
  <c r="BW272" i="1" s="1"/>
  <c r="BW273" i="1" s="1"/>
  <c r="BW263" i="1"/>
  <c r="BX159" i="1"/>
  <c r="BW259" i="1"/>
  <c r="AZ257" i="34"/>
  <c r="BU273" i="1"/>
  <c r="AZ258" i="34" s="1"/>
  <c r="BY712" i="34"/>
  <c r="BX271" i="1" l="1"/>
  <c r="BX272" i="1" s="1"/>
  <c r="BX273" i="1" s="1"/>
  <c r="BX263" i="1"/>
  <c r="BY159" i="1"/>
  <c r="BY263" i="1" s="1"/>
  <c r="BX259" i="1"/>
  <c r="BY271" i="1" l="1"/>
  <c r="BY272" i="1" s="1"/>
  <c r="BY273" i="1" s="1"/>
  <c r="BZ159" i="1"/>
  <c r="BZ271" i="1" s="1"/>
  <c r="BZ272" i="1" s="1"/>
  <c r="BZ273" i="1" s="1"/>
  <c r="BY259" i="1"/>
  <c r="BZ259" i="1" l="1"/>
  <c r="BZ263" i="1"/>
  <c r="AQ1072" i="34" l="1"/>
  <c r="AQ1075" i="34"/>
  <c r="AQ1074" i="34"/>
  <c r="AQ1077" i="34"/>
  <c r="AQ271" i="2"/>
  <c r="AQ1078" i="34" s="1"/>
  <c r="AQ1073" i="34"/>
  <c r="AQ258" i="2"/>
  <c r="AU258" i="2" s="1"/>
  <c r="AU1064" i="34" s="1"/>
  <c r="AQ1076" i="34"/>
  <c r="AQ257" i="2"/>
  <c r="AQ255" i="2"/>
  <c r="AQ259" i="2"/>
  <c r="AQ291" i="2" s="1"/>
  <c r="AQ1098" i="34" s="1"/>
  <c r="AQ256" i="2"/>
  <c r="AQ254" i="2"/>
  <c r="AQ286" i="2" l="1"/>
  <c r="AQ1093" i="34" s="1"/>
  <c r="AQ275" i="2"/>
  <c r="AQ1082" i="34" s="1"/>
  <c r="AQ289" i="2"/>
  <c r="AQ1096" i="34" s="1"/>
  <c r="AQ278" i="2"/>
  <c r="AQ1085" i="34" s="1"/>
  <c r="AQ1063" i="34"/>
  <c r="AQ287" i="2"/>
  <c r="AQ1094" i="34" s="1"/>
  <c r="AQ276" i="2"/>
  <c r="AQ1083" i="34" s="1"/>
  <c r="AQ288" i="2"/>
  <c r="AQ1095" i="34" s="1"/>
  <c r="AQ277" i="2"/>
  <c r="AQ1084" i="34" s="1"/>
  <c r="AQ1060" i="34"/>
  <c r="AQ1064" i="34"/>
  <c r="AQ279" i="2"/>
  <c r="AQ1086" i="34" s="1"/>
  <c r="AU256" i="2"/>
  <c r="AU255" i="2"/>
  <c r="AY258" i="2"/>
  <c r="AQ290" i="2"/>
  <c r="AQ1097" i="34" s="1"/>
  <c r="AQ1062" i="34"/>
  <c r="AQ262" i="2"/>
  <c r="AQ1068" i="34" s="1"/>
  <c r="AU254" i="2"/>
  <c r="AU257" i="2"/>
  <c r="AU290" i="2"/>
  <c r="AU1097" i="34" s="1"/>
  <c r="AQ1061" i="34"/>
  <c r="AQ1065" i="34"/>
  <c r="AU269" i="2"/>
  <c r="AU1076" i="34" s="1"/>
  <c r="AQ280" i="2"/>
  <c r="AQ1087" i="34" s="1"/>
  <c r="BC258" i="2" l="1"/>
  <c r="AY290" i="2"/>
  <c r="AY1097" i="34" s="1"/>
  <c r="AY1064" i="34"/>
  <c r="AY269" i="2"/>
  <c r="AY1076" i="34" s="1"/>
  <c r="AU267" i="2"/>
  <c r="AU1074" i="34" s="1"/>
  <c r="AY256" i="2"/>
  <c r="AU1062" i="34"/>
  <c r="AU288" i="2"/>
  <c r="AU1095" i="34" s="1"/>
  <c r="AU1063" i="34"/>
  <c r="AU268" i="2"/>
  <c r="AU1075" i="34" s="1"/>
  <c r="AY257" i="2"/>
  <c r="AU289" i="2"/>
  <c r="AU1096" i="34" s="1"/>
  <c r="AU262" i="2"/>
  <c r="AU1068" i="34" s="1"/>
  <c r="AY254" i="2"/>
  <c r="AU265" i="2"/>
  <c r="AU286" i="2"/>
  <c r="AU1093" i="34" s="1"/>
  <c r="AU1060" i="34"/>
  <c r="AU259" i="2"/>
  <c r="AY255" i="2"/>
  <c r="AU287" i="2"/>
  <c r="AU1094" i="34" s="1"/>
  <c r="AU266" i="2"/>
  <c r="AU1073" i="34" s="1"/>
  <c r="AU1061" i="34"/>
  <c r="BC269" i="2" l="1"/>
  <c r="BC1076" i="34" s="1"/>
  <c r="BC1064" i="34"/>
  <c r="BC290" i="2"/>
  <c r="BC1097" i="34" s="1"/>
  <c r="AY1061" i="34"/>
  <c r="AY266" i="2"/>
  <c r="AY1073" i="34" s="1"/>
  <c r="AY287" i="2"/>
  <c r="AY1094" i="34" s="1"/>
  <c r="BC255" i="2"/>
  <c r="AU1072" i="34"/>
  <c r="AY1063" i="34"/>
  <c r="AY268" i="2"/>
  <c r="AY1075" i="34" s="1"/>
  <c r="AY289" i="2"/>
  <c r="AY1096" i="34" s="1"/>
  <c r="BC257" i="2"/>
  <c r="AU1065" i="34"/>
  <c r="AU280" i="2"/>
  <c r="AU1087" i="34" s="1"/>
  <c r="AU270" i="2"/>
  <c r="AU1077" i="34" s="1"/>
  <c r="AU291" i="2"/>
  <c r="AU1098" i="34" s="1"/>
  <c r="AY1060" i="34"/>
  <c r="AY262" i="2"/>
  <c r="AY1068" i="34" s="1"/>
  <c r="AY259" i="2"/>
  <c r="AY265" i="2"/>
  <c r="BC254" i="2"/>
  <c r="AY286" i="2"/>
  <c r="AY1093" i="34" s="1"/>
  <c r="AY1062" i="34"/>
  <c r="BC256" i="2"/>
  <c r="AY288" i="2"/>
  <c r="AY1095" i="34" s="1"/>
  <c r="AY267" i="2"/>
  <c r="AY1074" i="34" s="1"/>
  <c r="AY1072" i="34" l="1"/>
  <c r="AY280" i="2"/>
  <c r="AY1087" i="34" s="1"/>
  <c r="AY270" i="2"/>
  <c r="AY1077" i="34" s="1"/>
  <c r="AY1065" i="34"/>
  <c r="AY291" i="2"/>
  <c r="AY1098" i="34" s="1"/>
  <c r="AU271" i="2"/>
  <c r="AU1078" i="34" s="1"/>
  <c r="BC1062" i="34"/>
  <c r="BC267" i="2"/>
  <c r="BC1074" i="34" s="1"/>
  <c r="BC288" i="2"/>
  <c r="BC1095" i="34" s="1"/>
  <c r="BC1063" i="34"/>
  <c r="BC268" i="2"/>
  <c r="BC1075" i="34" s="1"/>
  <c r="BC289" i="2"/>
  <c r="BC1096" i="34" s="1"/>
  <c r="BC287" i="2"/>
  <c r="BC1094" i="34" s="1"/>
  <c r="BC266" i="2"/>
  <c r="BC1073" i="34" s="1"/>
  <c r="BC1061" i="34"/>
  <c r="BC265" i="2"/>
  <c r="BC262" i="2"/>
  <c r="BC1068" i="34" s="1"/>
  <c r="BC259" i="2"/>
  <c r="BC1060" i="34"/>
  <c r="BC286" i="2"/>
  <c r="BC1093" i="34" s="1"/>
  <c r="BC1072" i="34" l="1"/>
  <c r="BC291" i="2"/>
  <c r="BC1098" i="34" s="1"/>
  <c r="BC280" i="2"/>
  <c r="BC1087" i="34" s="1"/>
  <c r="BC1065" i="34"/>
  <c r="BC270" i="2"/>
  <c r="BC1077" i="34" s="1"/>
  <c r="AY271" i="2"/>
  <c r="AY1078" i="34" s="1"/>
  <c r="BC271" i="2" l="1"/>
  <c r="BC1078" i="34" s="1"/>
  <c r="BW120" i="2" l="1"/>
  <c r="BU130" i="2"/>
  <c r="BU132" i="2" s="1"/>
  <c r="BY130" i="2"/>
  <c r="BY120" i="2"/>
  <c r="BX120" i="2"/>
  <c r="BW28" i="2"/>
  <c r="BX130" i="2"/>
  <c r="BW130" i="2"/>
  <c r="BV130" i="2"/>
  <c r="BV120" i="2"/>
  <c r="BY28" i="2"/>
  <c r="BV28" i="2"/>
  <c r="BU28" i="2"/>
  <c r="BX28" i="2"/>
  <c r="BX29" i="2" s="1"/>
  <c r="BX25" i="1"/>
  <c r="BX23" i="1" s="1"/>
  <c r="BX14" i="1" s="1"/>
  <c r="BW25" i="1"/>
  <c r="BW23" i="1" s="1"/>
  <c r="BW14" i="1" s="1"/>
  <c r="BZ25" i="1"/>
  <c r="BZ23" i="1" s="1"/>
  <c r="BV25" i="1"/>
  <c r="BV23" i="1" s="1"/>
  <c r="BV14" i="1" s="1"/>
  <c r="BV15" i="1" s="1"/>
  <c r="BU120" i="2"/>
  <c r="BY25" i="1"/>
  <c r="BY23" i="1" s="1"/>
  <c r="BY14" i="1" s="1"/>
  <c r="BY15" i="1" l="1"/>
  <c r="BW15" i="1"/>
  <c r="BX15" i="1"/>
  <c r="BZ14" i="1"/>
  <c r="BZ15" i="1" s="1"/>
  <c r="BV31" i="2"/>
  <c r="BU29" i="2"/>
  <c r="BV29" i="2"/>
  <c r="BY29" i="2"/>
  <c r="BW29" i="2"/>
  <c r="BW133" i="2"/>
  <c r="BU31" i="2"/>
  <c r="BW31" i="2"/>
  <c r="BV132" i="2"/>
  <c r="BY132" i="2"/>
  <c r="BX132" i="2"/>
  <c r="BY31" i="2"/>
  <c r="BW132" i="2"/>
  <c r="BY133" i="2"/>
  <c r="BX31" i="2"/>
  <c r="BY274" i="1"/>
  <c r="BY260" i="1"/>
  <c r="AB11" i="4"/>
  <c r="BY266" i="1"/>
  <c r="BY168" i="1"/>
  <c r="BY155" i="1"/>
  <c r="BX12" i="2"/>
  <c r="BW274" i="1"/>
  <c r="BW260" i="1"/>
  <c r="BW266" i="1"/>
  <c r="BW168" i="1"/>
  <c r="Z11" i="4"/>
  <c r="BW155" i="1"/>
  <c r="BV274" i="1"/>
  <c r="BV266" i="1"/>
  <c r="BV168" i="1"/>
  <c r="BV260" i="1"/>
  <c r="BV155" i="1"/>
  <c r="BU12" i="2"/>
  <c r="BU13" i="2" s="1"/>
  <c r="Y11" i="4"/>
  <c r="BX260" i="1"/>
  <c r="BX274" i="1"/>
  <c r="BX266" i="1"/>
  <c r="BX168" i="1"/>
  <c r="AA11" i="4"/>
  <c r="BW12" i="2"/>
  <c r="BX155" i="1"/>
  <c r="BZ260" i="1"/>
  <c r="BZ274" i="1"/>
  <c r="BZ266" i="1"/>
  <c r="BZ168" i="1"/>
  <c r="BZ155" i="1"/>
  <c r="BY12" i="2"/>
  <c r="AC11" i="4"/>
  <c r="BV12" i="2"/>
  <c r="BX133" i="2"/>
  <c r="BU133" i="2"/>
  <c r="BV133" i="2"/>
  <c r="BV13" i="2" l="1"/>
  <c r="BY13" i="2"/>
  <c r="BW13" i="2"/>
  <c r="BX13" i="2"/>
  <c r="BY211" i="1"/>
  <c r="Z12" i="4"/>
  <c r="Z12" i="42" s="1"/>
  <c r="Z1290" i="34"/>
  <c r="BV15" i="2"/>
  <c r="BV699" i="34" s="1"/>
  <c r="BV698" i="34"/>
  <c r="BV71" i="2"/>
  <c r="BV494" i="2"/>
  <c r="BV731" i="34" s="1"/>
  <c r="BV40" i="2"/>
  <c r="BV476" i="2"/>
  <c r="BV57" i="2"/>
  <c r="BV10" i="14"/>
  <c r="BV49" i="2"/>
  <c r="BW698" i="34"/>
  <c r="BW40" i="2"/>
  <c r="BW71" i="2"/>
  <c r="BW476" i="2"/>
  <c r="BW49" i="2"/>
  <c r="BW15" i="2"/>
  <c r="BW699" i="34" s="1"/>
  <c r="BW57" i="2"/>
  <c r="BW494" i="2"/>
  <c r="BW731" i="34" s="1"/>
  <c r="BW10" i="14"/>
  <c r="BX214" i="1"/>
  <c r="Y1290" i="34"/>
  <c r="AE11" i="4"/>
  <c r="Y12" i="4"/>
  <c r="Y12" i="42" s="1"/>
  <c r="BV214" i="1"/>
  <c r="BW214" i="1"/>
  <c r="BZ211" i="1"/>
  <c r="AC1290" i="34"/>
  <c r="AC12" i="4"/>
  <c r="AC12" i="40" s="1"/>
  <c r="AD11" i="4"/>
  <c r="BZ214" i="1"/>
  <c r="BU476" i="2"/>
  <c r="BU494" i="2"/>
  <c r="BU731" i="34" s="1"/>
  <c r="BU698" i="34"/>
  <c r="BU40" i="2"/>
  <c r="BU71" i="2"/>
  <c r="BU15" i="2"/>
  <c r="BU699" i="34" s="1"/>
  <c r="BU49" i="2"/>
  <c r="BU57" i="2"/>
  <c r="BU10" i="14"/>
  <c r="BV211" i="1"/>
  <c r="BW211" i="1"/>
  <c r="BX211" i="1"/>
  <c r="AB1290" i="34"/>
  <c r="AB12" i="4"/>
  <c r="AB12" i="42" s="1"/>
  <c r="BY476" i="2"/>
  <c r="BY71" i="2"/>
  <c r="BY698" i="34"/>
  <c r="BY494" i="2"/>
  <c r="BY731" i="34" s="1"/>
  <c r="BY49" i="2"/>
  <c r="BY15" i="2"/>
  <c r="BY699" i="34" s="1"/>
  <c r="BY40" i="2"/>
  <c r="BY57" i="2"/>
  <c r="BY10" i="14"/>
  <c r="AA12" i="4"/>
  <c r="AA12" i="42" s="1"/>
  <c r="AA1290" i="34"/>
  <c r="BX71" i="2"/>
  <c r="BX476" i="2"/>
  <c r="BX494" i="2"/>
  <c r="BX731" i="34" s="1"/>
  <c r="BX698" i="34"/>
  <c r="BX57" i="2"/>
  <c r="BX40" i="2"/>
  <c r="BX15" i="2"/>
  <c r="BX699" i="34" s="1"/>
  <c r="BX49" i="2"/>
  <c r="BX10" i="14"/>
  <c r="BY214" i="1"/>
  <c r="BY702" i="34" l="1"/>
  <c r="BY41" i="2"/>
  <c r="BY703" i="34" s="1"/>
  <c r="BU41" i="2"/>
  <c r="BU703" i="34" s="1"/>
  <c r="BU702" i="34"/>
  <c r="BW14" i="14"/>
  <c r="BW171" i="14"/>
  <c r="BW11" i="14"/>
  <c r="BW74" i="14"/>
  <c r="BW147" i="14"/>
  <c r="BW135" i="14" s="1"/>
  <c r="BW53" i="14"/>
  <c r="BW45" i="14" s="1"/>
  <c r="BW114" i="14"/>
  <c r="BW101" i="14" s="1"/>
  <c r="BX11" i="14"/>
  <c r="BX14" i="14"/>
  <c r="BX147" i="14"/>
  <c r="BX135" i="14" s="1"/>
  <c r="BX171" i="14"/>
  <c r="BX74" i="14"/>
  <c r="BX53" i="14"/>
  <c r="BX45" i="14" s="1"/>
  <c r="BX114" i="14"/>
  <c r="BX101" i="14" s="1"/>
  <c r="BX61" i="2"/>
  <c r="BX721" i="34" s="1"/>
  <c r="BX717" i="34"/>
  <c r="BX58" i="2"/>
  <c r="BX718" i="34" s="1"/>
  <c r="BX644" i="2"/>
  <c r="BY58" i="2"/>
  <c r="BY718" i="34" s="1"/>
  <c r="BY717" i="34"/>
  <c r="BY61" i="2"/>
  <c r="BY721" i="34" s="1"/>
  <c r="BY644" i="2"/>
  <c r="BU717" i="34"/>
  <c r="BU58" i="2"/>
  <c r="BU718" i="34" s="1"/>
  <c r="BU61" i="2"/>
  <c r="BU721" i="34" s="1"/>
  <c r="BU644" i="2"/>
  <c r="AD1290" i="34"/>
  <c r="AD12" i="4"/>
  <c r="AD1291" i="34" s="1"/>
  <c r="Y1291" i="34"/>
  <c r="Y11" i="42"/>
  <c r="Y12" i="40"/>
  <c r="Y11" i="40" s="1"/>
  <c r="BX709" i="34"/>
  <c r="BX53" i="2"/>
  <c r="BX713" i="34" s="1"/>
  <c r="BX50" i="2"/>
  <c r="BX710" i="34" s="1"/>
  <c r="BU709" i="34"/>
  <c r="BU50" i="2"/>
  <c r="BU710" i="34" s="1"/>
  <c r="BU53" i="2"/>
  <c r="BU713" i="34" s="1"/>
  <c r="BW709" i="34"/>
  <c r="BW53" i="2"/>
  <c r="BW713" i="34" s="1"/>
  <c r="BW50" i="2"/>
  <c r="BW710" i="34" s="1"/>
  <c r="BV709" i="34"/>
  <c r="BV50" i="2"/>
  <c r="BV710" i="34" s="1"/>
  <c r="BV53" i="2"/>
  <c r="BV713" i="34" s="1"/>
  <c r="AA1291" i="34"/>
  <c r="AA12" i="40"/>
  <c r="AB12" i="40"/>
  <c r="AB1291" i="34"/>
  <c r="BV11" i="14"/>
  <c r="BV14" i="14"/>
  <c r="BV171" i="14"/>
  <c r="BV53" i="14"/>
  <c r="BV45" i="14" s="1"/>
  <c r="BV147" i="14"/>
  <c r="BV135" i="14" s="1"/>
  <c r="BV74" i="14"/>
  <c r="BV114" i="14"/>
  <c r="BV101" i="14" s="1"/>
  <c r="BV702" i="34"/>
  <c r="BV41" i="2"/>
  <c r="BV703" i="34" s="1"/>
  <c r="BW41" i="2"/>
  <c r="BW703" i="34" s="1"/>
  <c r="BW702" i="34"/>
  <c r="BX702" i="34"/>
  <c r="BX41" i="2"/>
  <c r="BX703" i="34" s="1"/>
  <c r="BY11" i="14"/>
  <c r="BY171" i="14"/>
  <c r="BY53" i="14"/>
  <c r="BY45" i="14" s="1"/>
  <c r="BY14" i="14"/>
  <c r="BY74" i="14"/>
  <c r="BY114" i="14"/>
  <c r="BY101" i="14" s="1"/>
  <c r="BY147" i="14"/>
  <c r="BY135" i="14" s="1"/>
  <c r="BY709" i="34"/>
  <c r="BY50" i="2"/>
  <c r="BY710" i="34" s="1"/>
  <c r="BY53" i="2"/>
  <c r="BY713" i="34" s="1"/>
  <c r="BU11" i="14"/>
  <c r="BU53" i="14"/>
  <c r="BU45" i="14" s="1"/>
  <c r="BU14" i="14"/>
  <c r="BU147" i="14"/>
  <c r="BU135" i="14" s="1"/>
  <c r="BU74" i="14"/>
  <c r="BU79" i="14" s="1"/>
  <c r="BU171" i="14"/>
  <c r="BU114" i="14"/>
  <c r="BU101" i="14" s="1"/>
  <c r="AC1291" i="34"/>
  <c r="AC12" i="42"/>
  <c r="BW717" i="34"/>
  <c r="BW61" i="2"/>
  <c r="BW721" i="34" s="1"/>
  <c r="BW644" i="2"/>
  <c r="BW58" i="2"/>
  <c r="BW718" i="34" s="1"/>
  <c r="BV61" i="2"/>
  <c r="BV721" i="34" s="1"/>
  <c r="BV58" i="2"/>
  <c r="BV718" i="34" s="1"/>
  <c r="BV717" i="34"/>
  <c r="BV644" i="2"/>
  <c r="Z12" i="40"/>
  <c r="Z1291" i="34"/>
  <c r="BY79" i="14" l="1"/>
  <c r="BX79" i="14"/>
  <c r="BV891" i="34"/>
  <c r="BV645" i="2"/>
  <c r="BV892" i="34" s="1"/>
  <c r="BV646" i="2"/>
  <c r="BV893" i="34" s="1"/>
  <c r="BV653" i="2"/>
  <c r="AE11" i="40"/>
  <c r="Y17" i="40"/>
  <c r="Z11" i="40"/>
  <c r="H48" i="3"/>
  <c r="BU167" i="14"/>
  <c r="BU168" i="14"/>
  <c r="BU166" i="14"/>
  <c r="BY167" i="14"/>
  <c r="BY166" i="14"/>
  <c r="BY168" i="14"/>
  <c r="BU891" i="34"/>
  <c r="BU645" i="2"/>
  <c r="BU892" i="34" s="1"/>
  <c r="BU653" i="2"/>
  <c r="BU646" i="2"/>
  <c r="BU893" i="34" s="1"/>
  <c r="BX168" i="14"/>
  <c r="BX167" i="14"/>
  <c r="BX166" i="14"/>
  <c r="BW891" i="34"/>
  <c r="BW646" i="2"/>
  <c r="BW893" i="34" s="1"/>
  <c r="BW645" i="2"/>
  <c r="BW892" i="34" s="1"/>
  <c r="BW653" i="2"/>
  <c r="AE11" i="42"/>
  <c r="Y18" i="42"/>
  <c r="Y17" i="42"/>
  <c r="Z11" i="42"/>
  <c r="BV79" i="14"/>
  <c r="BV167" i="14"/>
  <c r="BV168" i="14"/>
  <c r="BV166" i="14"/>
  <c r="I48" i="3"/>
  <c r="BY891" i="34"/>
  <c r="BY645" i="2"/>
  <c r="BY892" i="34" s="1"/>
  <c r="BY653" i="2"/>
  <c r="BY646" i="2"/>
  <c r="BY893" i="34" s="1"/>
  <c r="BX646" i="2"/>
  <c r="BX893" i="34" s="1"/>
  <c r="BX891" i="34"/>
  <c r="BX653" i="2"/>
  <c r="BX645" i="2"/>
  <c r="BX892" i="34" s="1"/>
  <c r="BW79" i="14"/>
  <c r="BW167" i="14"/>
  <c r="BW168" i="14"/>
  <c r="BW166" i="14"/>
  <c r="BX900" i="34" l="1"/>
  <c r="BX657" i="2"/>
  <c r="BX904" i="34" s="1"/>
  <c r="BX654" i="2"/>
  <c r="BU900" i="34"/>
  <c r="BU657" i="2"/>
  <c r="BU904" i="34" s="1"/>
  <c r="BU654" i="2"/>
  <c r="BV654" i="2"/>
  <c r="BV900" i="34"/>
  <c r="BV657" i="2"/>
  <c r="BV904" i="34" s="1"/>
  <c r="BY900" i="34"/>
  <c r="BY657" i="2"/>
  <c r="BY904" i="34" s="1"/>
  <c r="BY654" i="2"/>
  <c r="Z17" i="42"/>
  <c r="Z18" i="42"/>
  <c r="AA11" i="42"/>
  <c r="BW900" i="34"/>
  <c r="BW657" i="2"/>
  <c r="BW904" i="34" s="1"/>
  <c r="BW654" i="2"/>
  <c r="Z17" i="40"/>
  <c r="AA11" i="40"/>
  <c r="BW901" i="34" l="1"/>
  <c r="BW655" i="2"/>
  <c r="BW902" i="34" s="1"/>
  <c r="BV901" i="34"/>
  <c r="BV655" i="2"/>
  <c r="BV902" i="34" s="1"/>
  <c r="BU901" i="34"/>
  <c r="BU655" i="2"/>
  <c r="BU902" i="34" s="1"/>
  <c r="BX901" i="34"/>
  <c r="BX655" i="2"/>
  <c r="BX902" i="34" s="1"/>
  <c r="AA17" i="40"/>
  <c r="AB11" i="40"/>
  <c r="AA17" i="42"/>
  <c r="AA18" i="42"/>
  <c r="AB11" i="42"/>
  <c r="BY655" i="2"/>
  <c r="BY902" i="34" s="1"/>
  <c r="BY901" i="34"/>
  <c r="AB17" i="42" l="1"/>
  <c r="AB18" i="42"/>
  <c r="AC11" i="42"/>
  <c r="AB17" i="40"/>
  <c r="AC11" i="40"/>
  <c r="AC17" i="42" l="1"/>
  <c r="AC18" i="42"/>
  <c r="AD11" i="42"/>
  <c r="AD11" i="40"/>
  <c r="AC17" i="40"/>
  <c r="AD12" i="40" l="1"/>
  <c r="AD12" i="42"/>
  <c r="AW151" i="14" l="1"/>
  <c r="BA151" i="14" s="1"/>
  <c r="AT154" i="14"/>
  <c r="AT156" i="14"/>
  <c r="AT158" i="14"/>
  <c r="AS223" i="14"/>
  <c r="AS224" i="14" s="1"/>
  <c r="AS34" i="1"/>
  <c r="AS41" i="1" s="1"/>
  <c r="AS1234" i="34" s="1"/>
  <c r="AW223" i="14" l="1"/>
  <c r="AX154" i="14"/>
  <c r="AS1227" i="34"/>
  <c r="AW152" i="14"/>
  <c r="AW157" i="14" s="1"/>
  <c r="AS39" i="1"/>
  <c r="AS43" i="1" s="1"/>
  <c r="AS136" i="1" s="1"/>
  <c r="AX156" i="14"/>
  <c r="AW153" i="14"/>
  <c r="AS46" i="1"/>
  <c r="AS137" i="1" s="1"/>
  <c r="AX158" i="14"/>
  <c r="BB154" i="14"/>
  <c r="BB156" i="14"/>
  <c r="BA152" i="14"/>
  <c r="BA223" i="14"/>
  <c r="BA153" i="14"/>
  <c r="AW224" i="14" l="1"/>
  <c r="AW34" i="1"/>
  <c r="AS1232" i="34"/>
  <c r="AS60" i="1"/>
  <c r="AS44" i="1"/>
  <c r="AS1237" i="34" s="1"/>
  <c r="AS167" i="1"/>
  <c r="AS132" i="1" s="1"/>
  <c r="AS49" i="1"/>
  <c r="AS1236" i="34"/>
  <c r="AS169" i="1"/>
  <c r="AS172" i="1" s="1"/>
  <c r="AS62" i="1"/>
  <c r="AS1255" i="34" s="1"/>
  <c r="AS47" i="1"/>
  <c r="AS1240" i="34" s="1"/>
  <c r="AS1239" i="34"/>
  <c r="AS140" i="1"/>
  <c r="AS142" i="1" s="1"/>
  <c r="BA224" i="14"/>
  <c r="BA34" i="1"/>
  <c r="BB158" i="14"/>
  <c r="BA157" i="14"/>
  <c r="AS64" i="1"/>
  <c r="AS71" i="1" s="1"/>
  <c r="AS1253" i="34"/>
  <c r="AW1227" i="34" l="1"/>
  <c r="AW39" i="1"/>
  <c r="AW41" i="1"/>
  <c r="AT213" i="1"/>
  <c r="AS51" i="1"/>
  <c r="AS1244" i="34" s="1"/>
  <c r="AS213" i="1"/>
  <c r="AS18" i="14"/>
  <c r="AS100" i="1"/>
  <c r="AS53" i="1"/>
  <c r="AS20" i="14" s="1"/>
  <c r="AS1242" i="34"/>
  <c r="AS50" i="1"/>
  <c r="AS1243" i="34" s="1"/>
  <c r="AS67" i="1"/>
  <c r="AS1260" i="34" s="1"/>
  <c r="AT22" i="14"/>
  <c r="AS21" i="14"/>
  <c r="AS1257" i="34"/>
  <c r="BA41" i="1"/>
  <c r="BA39" i="1"/>
  <c r="BA1227" i="34"/>
  <c r="AS75" i="1"/>
  <c r="AS1268" i="34" s="1"/>
  <c r="AS1264" i="34"/>
  <c r="AS19" i="14" l="1"/>
  <c r="AW46" i="1"/>
  <c r="AW1234" i="34"/>
  <c r="AW43" i="1"/>
  <c r="AW1232" i="34"/>
  <c r="AS52" i="1"/>
  <c r="AS1245" i="34" s="1"/>
  <c r="AS1246" i="34"/>
  <c r="AS66" i="1"/>
  <c r="AS1259" i="34" s="1"/>
  <c r="BA43" i="1"/>
  <c r="BA1232" i="34"/>
  <c r="BA46" i="1"/>
  <c r="BA1234" i="34"/>
  <c r="AW44" i="1" l="1"/>
  <c r="AW1237" i="34" s="1"/>
  <c r="AW136" i="1"/>
  <c r="AW49" i="1"/>
  <c r="AW1236" i="34"/>
  <c r="AW47" i="1"/>
  <c r="AW1240" i="34" s="1"/>
  <c r="AW137" i="1"/>
  <c r="AW140" i="1" s="1"/>
  <c r="AW142" i="1" s="1"/>
  <c r="AW1239" i="34"/>
  <c r="AS73" i="1"/>
  <c r="AS78" i="1" s="1"/>
  <c r="AS1271" i="34" s="1"/>
  <c r="BA47" i="1"/>
  <c r="BA1240" i="34" s="1"/>
  <c r="BA137" i="1"/>
  <c r="BA1239" i="34"/>
  <c r="BA44" i="1"/>
  <c r="BA1237" i="34" s="1"/>
  <c r="BA49" i="1"/>
  <c r="BA136" i="1"/>
  <c r="BA1236" i="34"/>
  <c r="AW50" i="1" l="1"/>
  <c r="AW1243" i="34" s="1"/>
  <c r="AW1242" i="34"/>
  <c r="AW51" i="1"/>
  <c r="X14" i="35"/>
  <c r="AW53" i="1"/>
  <c r="AW100" i="1"/>
  <c r="AW18" i="14"/>
  <c r="AS1266" i="34"/>
  <c r="AS201" i="1"/>
  <c r="AS180" i="1" s="1"/>
  <c r="AS181" i="1" s="1"/>
  <c r="AS182" i="1" s="1"/>
  <c r="AS77" i="1"/>
  <c r="AS1270" i="34" s="1"/>
  <c r="BA140" i="1"/>
  <c r="BA142" i="1" s="1"/>
  <c r="BA18" i="14"/>
  <c r="BA50" i="1"/>
  <c r="BA1243" i="34" s="1"/>
  <c r="BA51" i="1"/>
  <c r="BA53" i="1"/>
  <c r="BA100" i="1"/>
  <c r="BA1242" i="34"/>
  <c r="X33" i="35" l="1"/>
  <c r="X15" i="35"/>
  <c r="X34" i="35" s="1"/>
  <c r="AW1246" i="34"/>
  <c r="AW20" i="14"/>
  <c r="AW21" i="14"/>
  <c r="AX22" i="14"/>
  <c r="AW52" i="1"/>
  <c r="AW1245" i="34" s="1"/>
  <c r="AW1244" i="34"/>
  <c r="AW19" i="14"/>
  <c r="AS207" i="1"/>
  <c r="BB22" i="14"/>
  <c r="BA21" i="14"/>
  <c r="BA20" i="14"/>
  <c r="BA1246" i="34"/>
  <c r="BA19" i="14"/>
  <c r="BA52" i="1"/>
  <c r="BA1245" i="34" s="1"/>
  <c r="BA1244" i="34"/>
  <c r="AR28" i="14"/>
  <c r="AR32" i="14" s="1"/>
  <c r="BQ28" i="14"/>
  <c r="CD28" i="14" s="1"/>
  <c r="AR29" i="14"/>
  <c r="AR30" i="14" s="1"/>
  <c r="AS32" i="14"/>
  <c r="AS34" i="14"/>
  <c r="AR41" i="14"/>
  <c r="AR42" i="14" s="1"/>
  <c r="AR64" i="14"/>
  <c r="AR69" i="14" s="1"/>
  <c r="BQ64" i="14"/>
  <c r="CD64" i="14" s="1"/>
  <c r="AS69" i="14"/>
  <c r="AR92" i="14"/>
  <c r="AR93" i="14" s="1"/>
  <c r="AR119" i="14"/>
  <c r="AV119" i="14"/>
  <c r="AZ119" i="14" s="1"/>
  <c r="BQ119" i="14"/>
  <c r="CD119" i="14" s="1"/>
  <c r="AR120" i="14"/>
  <c r="AR126" i="14" s="1"/>
  <c r="AR121" i="14"/>
  <c r="BQ121" i="14"/>
  <c r="AR122" i="14"/>
  <c r="AS122" i="14"/>
  <c r="AW122" i="14"/>
  <c r="AR123" i="14"/>
  <c r="BQ123" i="14"/>
  <c r="AR124" i="14"/>
  <c r="AS124" i="14"/>
  <c r="AR128" i="14"/>
  <c r="AR129" i="14" s="1"/>
  <c r="AR151" i="14"/>
  <c r="AV151" i="14" s="1"/>
  <c r="AV152" i="14" s="1"/>
  <c r="AV158" i="14" s="1"/>
  <c r="AR154" i="14"/>
  <c r="AS156" i="14"/>
  <c r="AR160" i="14"/>
  <c r="AR161" i="14" s="1"/>
  <c r="AR185" i="14"/>
  <c r="AV185" i="14" s="1"/>
  <c r="AR186" i="14"/>
  <c r="AR191" i="14" s="1"/>
  <c r="AS188" i="14"/>
  <c r="AR189" i="14"/>
  <c r="AS190" i="14"/>
  <c r="BQ204" i="14"/>
  <c r="BQ41" i="14" s="1"/>
  <c r="BQ42" i="14" s="1"/>
  <c r="BQ51" i="14" s="1"/>
  <c r="BQ205" i="14"/>
  <c r="BQ92" i="14" s="1"/>
  <c r="BQ93" i="14" s="1"/>
  <c r="BQ206" i="14"/>
  <c r="BQ128" i="14" s="1"/>
  <c r="BQ129" i="14" s="1"/>
  <c r="BQ207" i="14"/>
  <c r="BQ160" i="14" s="1"/>
  <c r="BQ161" i="14" s="1"/>
  <c r="AS212" i="14"/>
  <c r="AT212" i="14" s="1"/>
  <c r="BQ212" i="14"/>
  <c r="AS213" i="14"/>
  <c r="AS205" i="14" s="1"/>
  <c r="AT213" i="14"/>
  <c r="AT205" i="14" s="1"/>
  <c r="AT92" i="14" s="1"/>
  <c r="AT93" i="14" s="1"/>
  <c r="BQ213" i="14"/>
  <c r="BQ100" i="14" s="1"/>
  <c r="BQ111" i="14" s="1"/>
  <c r="BQ112" i="14" s="1"/>
  <c r="AS214" i="14"/>
  <c r="AS206" i="14" s="1"/>
  <c r="BQ214" i="14"/>
  <c r="BQ134" i="14" s="1"/>
  <c r="BQ144" i="14" s="1"/>
  <c r="BQ145" i="14" s="1"/>
  <c r="AS215" i="14"/>
  <c r="AS207" i="14" s="1"/>
  <c r="BQ215" i="14"/>
  <c r="BQ165" i="14" s="1"/>
  <c r="BQ181" i="14" s="1"/>
  <c r="BQ182" i="14" s="1"/>
  <c r="BQ220" i="14"/>
  <c r="BQ221" i="14"/>
  <c r="BQ224" i="14" s="1"/>
  <c r="AW680" i="34" s="1"/>
  <c r="AV222" i="14"/>
  <c r="AZ222" i="14"/>
  <c r="BS222" i="14" s="1"/>
  <c r="AY678" i="34" s="1"/>
  <c r="BQ222" i="14"/>
  <c r="BR222" i="14"/>
  <c r="AX678" i="34" s="1"/>
  <c r="BQ223" i="14"/>
  <c r="AW679" i="34" s="1"/>
  <c r="AR248" i="14"/>
  <c r="AR249" i="14" s="1"/>
  <c r="BQ248" i="14"/>
  <c r="BQ249" i="14"/>
  <c r="BQ250" i="14" s="1"/>
  <c r="AR28" i="1"/>
  <c r="AR29" i="1" s="1"/>
  <c r="AR30" i="1" s="1"/>
  <c r="BR28" i="1"/>
  <c r="CO28" i="1" s="1"/>
  <c r="AR32" i="1"/>
  <c r="AR39" i="1" s="1"/>
  <c r="BR32" i="1"/>
  <c r="CO32" i="1" s="1"/>
  <c r="AR33" i="1"/>
  <c r="AV33" i="1"/>
  <c r="BS33" i="1" s="1"/>
  <c r="CK33" i="1" s="1"/>
  <c r="BR33" i="1"/>
  <c r="CO33" i="1" s="1"/>
  <c r="AR34" i="1"/>
  <c r="BR34" i="1" s="1"/>
  <c r="AR36" i="1"/>
  <c r="BR36" i="1"/>
  <c r="BR289" i="1" s="1"/>
  <c r="AR101" i="1"/>
  <c r="AV101" i="1"/>
  <c r="AR188" i="1"/>
  <c r="AV188" i="1" s="1"/>
  <c r="AZ188" i="1" s="1"/>
  <c r="BD188" i="1" s="1"/>
  <c r="R12" i="35"/>
  <c r="R13" i="35" s="1"/>
  <c r="R32" i="35" s="1"/>
  <c r="AW604" i="34"/>
  <c r="AW615" i="34"/>
  <c r="AW625" i="34"/>
  <c r="AW627" i="34"/>
  <c r="AW629" i="34"/>
  <c r="AW634" i="34"/>
  <c r="AW660" i="34"/>
  <c r="AW661" i="34"/>
  <c r="AW662" i="34"/>
  <c r="AW663" i="34"/>
  <c r="AW668" i="34"/>
  <c r="AW670" i="34"/>
  <c r="AW676" i="34"/>
  <c r="AW677" i="34"/>
  <c r="AW678" i="34"/>
  <c r="AR1221" i="34"/>
  <c r="AR1222" i="34"/>
  <c r="AR1223" i="34"/>
  <c r="AR1225" i="34"/>
  <c r="AV1226" i="34"/>
  <c r="AR1227" i="34"/>
  <c r="AR1229" i="34"/>
  <c r="AR189" i="1" l="1"/>
  <c r="AS189" i="1" s="1"/>
  <c r="AS156" i="1" s="1"/>
  <c r="AR1232" i="34"/>
  <c r="AW671" i="34"/>
  <c r="AW27" i="34"/>
  <c r="BR293" i="1"/>
  <c r="AV223" i="14"/>
  <c r="BR223" i="14" s="1"/>
  <c r="AX679" i="34" s="1"/>
  <c r="AR192" i="14"/>
  <c r="AR156" i="14"/>
  <c r="AR153" i="14"/>
  <c r="AR125" i="14"/>
  <c r="AW23" i="34"/>
  <c r="AR41" i="1"/>
  <c r="AR1234" i="34" s="1"/>
  <c r="AR188" i="14"/>
  <c r="AW156" i="14"/>
  <c r="AR155" i="14"/>
  <c r="AR152" i="14"/>
  <c r="AS126" i="14"/>
  <c r="AR1226" i="34"/>
  <c r="AW669" i="34"/>
  <c r="AW19" i="34"/>
  <c r="BR188" i="1"/>
  <c r="AW177" i="34" s="1"/>
  <c r="AR190" i="14"/>
  <c r="AR187" i="14"/>
  <c r="AV156" i="14"/>
  <c r="AS154" i="14"/>
  <c r="BQ151" i="14"/>
  <c r="BQ120" i="14"/>
  <c r="AR65" i="14"/>
  <c r="U18" i="40"/>
  <c r="U18" i="42"/>
  <c r="AV154" i="14"/>
  <c r="AW154" i="14"/>
  <c r="AV153" i="14"/>
  <c r="CP33" i="1"/>
  <c r="AX24" i="34"/>
  <c r="AW158" i="14"/>
  <c r="AR251" i="14"/>
  <c r="AR252" i="14"/>
  <c r="AR250" i="14"/>
  <c r="AW25" i="34"/>
  <c r="BR41" i="1"/>
  <c r="CO34" i="1"/>
  <c r="AR190" i="1"/>
  <c r="AV190" i="1" s="1"/>
  <c r="BR39" i="1"/>
  <c r="AS192" i="14"/>
  <c r="CD151" i="14"/>
  <c r="AW24" i="34"/>
  <c r="R31" i="35"/>
  <c r="AR46" i="1"/>
  <c r="AZ33" i="1"/>
  <c r="BQ169" i="14"/>
  <c r="AW124" i="14"/>
  <c r="AV122" i="14"/>
  <c r="AR43" i="1"/>
  <c r="AR49" i="1" s="1"/>
  <c r="AV34" i="1"/>
  <c r="BQ185" i="14"/>
  <c r="BQ153" i="14"/>
  <c r="AW637" i="34" s="1"/>
  <c r="AV124" i="14"/>
  <c r="AV121" i="14"/>
  <c r="AV120" i="14"/>
  <c r="BR119" i="14"/>
  <c r="BQ65" i="14"/>
  <c r="BQ29" i="14"/>
  <c r="BQ30" i="14" s="1"/>
  <c r="AW190" i="1"/>
  <c r="AS212" i="1"/>
  <c r="AT189" i="1"/>
  <c r="AS128" i="14"/>
  <c r="AS129" i="14" s="1"/>
  <c r="BR185" i="14"/>
  <c r="AV186" i="14"/>
  <c r="AW188" i="14"/>
  <c r="AW190" i="14"/>
  <c r="AZ185" i="14"/>
  <c r="AV189" i="14"/>
  <c r="AV188" i="14"/>
  <c r="AV190" i="14"/>
  <c r="AV217" i="14"/>
  <c r="AR62" i="1"/>
  <c r="AT204" i="14"/>
  <c r="AU212" i="14"/>
  <c r="AU204" i="14" s="1"/>
  <c r="U18" i="4"/>
  <c r="U1297" i="34" s="1"/>
  <c r="CO36" i="1"/>
  <c r="AS92" i="14"/>
  <c r="AS93" i="14" s="1"/>
  <c r="BQ137" i="14"/>
  <c r="AT215" i="14"/>
  <c r="AS204" i="14"/>
  <c r="BR151" i="14"/>
  <c r="AZ151" i="14"/>
  <c r="BQ217" i="14"/>
  <c r="AW673" i="34" s="1"/>
  <c r="AT214" i="14"/>
  <c r="AU213" i="14"/>
  <c r="BQ203" i="14"/>
  <c r="AW659" i="34" s="1"/>
  <c r="AV157" i="14"/>
  <c r="BQ155" i="14"/>
  <c r="AW639" i="34" s="1"/>
  <c r="BS119" i="14"/>
  <c r="AZ120" i="14"/>
  <c r="AZ122" i="14"/>
  <c r="BD119" i="14"/>
  <c r="AZ121" i="14"/>
  <c r="BA122" i="14"/>
  <c r="AZ124" i="14"/>
  <c r="BA124" i="14"/>
  <c r="BR29" i="1"/>
  <c r="BQ103" i="14"/>
  <c r="BQ82" i="14"/>
  <c r="AR82" i="14"/>
  <c r="AR71" i="14"/>
  <c r="BQ70" i="14"/>
  <c r="AW619" i="34" s="1"/>
  <c r="AR70" i="14"/>
  <c r="BQ68" i="14"/>
  <c r="AW617" i="34" s="1"/>
  <c r="AR68" i="14"/>
  <c r="BQ36" i="14"/>
  <c r="AR36" i="14"/>
  <c r="BQ33" i="14"/>
  <c r="AW607" i="34" s="1"/>
  <c r="AR33" i="14"/>
  <c r="BQ31" i="14"/>
  <c r="AW605" i="34" s="1"/>
  <c r="AR31" i="14"/>
  <c r="AR66" i="14"/>
  <c r="AV65" i="14"/>
  <c r="AS71" i="14"/>
  <c r="AR34" i="14"/>
  <c r="AR67" i="14" l="1"/>
  <c r="AS67" i="14"/>
  <c r="AR158" i="14"/>
  <c r="AS158" i="14"/>
  <c r="AR157" i="14"/>
  <c r="AR60" i="1"/>
  <c r="BQ125" i="14"/>
  <c r="AW631" i="34" s="1"/>
  <c r="AW626" i="34"/>
  <c r="BQ152" i="14"/>
  <c r="AW635" i="34"/>
  <c r="BQ66" i="14"/>
  <c r="AW616" i="34"/>
  <c r="AR44" i="1"/>
  <c r="AR1237" i="34" s="1"/>
  <c r="AR1236" i="34"/>
  <c r="AR136" i="1"/>
  <c r="BT33" i="1"/>
  <c r="AZ1226" i="34"/>
  <c r="BR123" i="14"/>
  <c r="AX629" i="34" s="1"/>
  <c r="AX625" i="34"/>
  <c r="CE119" i="14"/>
  <c r="BR120" i="14"/>
  <c r="BR121" i="14"/>
  <c r="AX627" i="34" s="1"/>
  <c r="AR47" i="1"/>
  <c r="AR1240" i="34" s="1"/>
  <c r="AR1239" i="34"/>
  <c r="AR137" i="1"/>
  <c r="AV125" i="14"/>
  <c r="AV126" i="14"/>
  <c r="AW126" i="14"/>
  <c r="BQ196" i="14"/>
  <c r="BQ197" i="14" s="1"/>
  <c r="BR101" i="1"/>
  <c r="AW89" i="34" s="1"/>
  <c r="CD185" i="14"/>
  <c r="BQ187" i="14"/>
  <c r="AW648" i="34" s="1"/>
  <c r="BQ189" i="14"/>
  <c r="AW650" i="34" s="1"/>
  <c r="BQ186" i="14"/>
  <c r="AW646" i="34"/>
  <c r="CO39" i="1"/>
  <c r="BR190" i="1"/>
  <c r="AW179" i="34" s="1"/>
  <c r="BR189" i="1"/>
  <c r="AW178" i="34" s="1"/>
  <c r="AW30" i="34"/>
  <c r="AW32" i="34"/>
  <c r="CO41" i="1"/>
  <c r="AV1227" i="34"/>
  <c r="BS34" i="1"/>
  <c r="AV64" i="14"/>
  <c r="AV67" i="14"/>
  <c r="AZ65" i="14"/>
  <c r="AW67" i="14"/>
  <c r="BS120" i="14"/>
  <c r="CF119" i="14"/>
  <c r="BS121" i="14"/>
  <c r="AY627" i="34" s="1"/>
  <c r="BS123" i="14"/>
  <c r="AY629" i="34" s="1"/>
  <c r="AY625" i="34"/>
  <c r="AU205" i="14"/>
  <c r="BQ37" i="14"/>
  <c r="AW611" i="34" s="1"/>
  <c r="AW610" i="34"/>
  <c r="BQ3" i="14"/>
  <c r="AZ126" i="14"/>
  <c r="AZ125" i="14"/>
  <c r="BA126" i="14"/>
  <c r="AU215" i="14"/>
  <c r="AU207" i="14" s="1"/>
  <c r="AT207" i="14"/>
  <c r="AV212" i="14"/>
  <c r="AW212" i="14" s="1"/>
  <c r="AV36" i="1"/>
  <c r="AV213" i="14"/>
  <c r="AW213" i="14" s="1"/>
  <c r="AZ217" i="14"/>
  <c r="BS185" i="14"/>
  <c r="AZ186" i="14"/>
  <c r="AZ188" i="14"/>
  <c r="AZ190" i="14"/>
  <c r="BD185" i="14"/>
  <c r="BA188" i="14"/>
  <c r="AZ189" i="14"/>
  <c r="BA190" i="14"/>
  <c r="AZ101" i="1"/>
  <c r="BR186" i="14"/>
  <c r="CE185" i="14"/>
  <c r="BR189" i="14"/>
  <c r="AX650" i="34" s="1"/>
  <c r="BR196" i="14"/>
  <c r="BR187" i="14"/>
  <c r="AX648" i="34" s="1"/>
  <c r="BS101" i="1"/>
  <c r="AX89" i="34" s="1"/>
  <c r="AX646" i="34"/>
  <c r="AW167" i="1"/>
  <c r="CO29" i="1"/>
  <c r="BR30" i="1"/>
  <c r="BR43" i="1"/>
  <c r="BR46" i="1"/>
  <c r="AC12" i="35"/>
  <c r="AW20" i="34"/>
  <c r="BD151" i="14"/>
  <c r="AZ223" i="14"/>
  <c r="BS151" i="14"/>
  <c r="AZ152" i="14"/>
  <c r="AZ154" i="14"/>
  <c r="AZ156" i="14"/>
  <c r="AZ153" i="14"/>
  <c r="BA154" i="14"/>
  <c r="BA156" i="14"/>
  <c r="AU189" i="1"/>
  <c r="AT156" i="1"/>
  <c r="AS215" i="1"/>
  <c r="AS216" i="1" s="1"/>
  <c r="AR83" i="14"/>
  <c r="AS88" i="14"/>
  <c r="AS90" i="14"/>
  <c r="AR84" i="14"/>
  <c r="AR87" i="14"/>
  <c r="AR89" i="14"/>
  <c r="AR88" i="14"/>
  <c r="AR90" i="14"/>
  <c r="BT119" i="14"/>
  <c r="BD120" i="14"/>
  <c r="BD121" i="14"/>
  <c r="BD122" i="14"/>
  <c r="BD124" i="14"/>
  <c r="BD222" i="14"/>
  <c r="AT206" i="14"/>
  <c r="AU214" i="14"/>
  <c r="AU206" i="14" s="1"/>
  <c r="AU128" i="14" s="1"/>
  <c r="AU129" i="14" s="1"/>
  <c r="BR152" i="14"/>
  <c r="CE151" i="14"/>
  <c r="BR153" i="14"/>
  <c r="AX637" i="34" s="1"/>
  <c r="BR155" i="14"/>
  <c r="AX639" i="34" s="1"/>
  <c r="AX635" i="34"/>
  <c r="AR64" i="1"/>
  <c r="AR1253" i="34"/>
  <c r="AU41" i="14"/>
  <c r="AU42" i="14" s="1"/>
  <c r="AV36" i="14"/>
  <c r="AR37" i="14"/>
  <c r="AR38" i="14"/>
  <c r="AS38" i="14"/>
  <c r="BQ83" i="14"/>
  <c r="BQ89" i="14" s="1"/>
  <c r="BQ84" i="14"/>
  <c r="BQ85" i="14"/>
  <c r="BQ87" i="14"/>
  <c r="AS41" i="14"/>
  <c r="AS42" i="14" s="1"/>
  <c r="AS203" i="14"/>
  <c r="AT41" i="14"/>
  <c r="AT42" i="14" s="1"/>
  <c r="AR67" i="1"/>
  <c r="AR1260" i="34" s="1"/>
  <c r="AR73" i="1"/>
  <c r="AR1255" i="34"/>
  <c r="AW192" i="14"/>
  <c r="AV191" i="14"/>
  <c r="AV192" i="14"/>
  <c r="AR18" i="14"/>
  <c r="AR53" i="1"/>
  <c r="AR100" i="1"/>
  <c r="AR50" i="1"/>
  <c r="AR1243" i="34" s="1"/>
  <c r="AR51" i="1"/>
  <c r="AR252" i="1"/>
  <c r="R14" i="35"/>
  <c r="AR1242" i="34"/>
  <c r="AX190" i="1"/>
  <c r="AT203" i="14" l="1"/>
  <c r="BR197" i="14"/>
  <c r="BQ157" i="14"/>
  <c r="AW641" i="34" s="1"/>
  <c r="AW636" i="34"/>
  <c r="BR212" i="14"/>
  <c r="AV215" i="14"/>
  <c r="BR215" i="14" s="1"/>
  <c r="AW647" i="34"/>
  <c r="BQ191" i="14"/>
  <c r="AW652" i="34" s="1"/>
  <c r="AR140" i="1"/>
  <c r="AR142" i="1" s="1"/>
  <c r="AR144" i="1" s="1"/>
  <c r="BR125" i="14"/>
  <c r="AX631" i="34" s="1"/>
  <c r="AX626" i="34"/>
  <c r="CQ33" i="1"/>
  <c r="AY24" i="34"/>
  <c r="AX25" i="34"/>
  <c r="CK34" i="1"/>
  <c r="CP34" i="1"/>
  <c r="AR19" i="14"/>
  <c r="AR52" i="1"/>
  <c r="AR1245" i="34" s="1"/>
  <c r="AR1244" i="34"/>
  <c r="AR20" i="14"/>
  <c r="AR1246" i="34"/>
  <c r="BR157" i="14"/>
  <c r="AX641" i="34" s="1"/>
  <c r="AX636" i="34"/>
  <c r="BT120" i="14"/>
  <c r="BT121" i="14"/>
  <c r="AZ627" i="34" s="1"/>
  <c r="BT123" i="14"/>
  <c r="AZ625" i="34"/>
  <c r="AS86" i="14"/>
  <c r="AR85" i="14"/>
  <c r="AR86" i="14"/>
  <c r="BD153" i="14"/>
  <c r="BD154" i="14"/>
  <c r="BD156" i="14"/>
  <c r="BD223" i="14"/>
  <c r="BT151" i="14"/>
  <c r="BD152" i="14"/>
  <c r="CO43" i="1"/>
  <c r="BR44" i="1"/>
  <c r="AW35" i="34" s="1"/>
  <c r="BR60" i="1"/>
  <c r="BR49" i="1"/>
  <c r="BR136" i="1"/>
  <c r="AW124" i="34" s="1"/>
  <c r="AW34" i="34"/>
  <c r="AW169" i="1"/>
  <c r="AW172" i="1" s="1"/>
  <c r="AW132" i="1"/>
  <c r="AZ36" i="1"/>
  <c r="AV207" i="14"/>
  <c r="AW215" i="14"/>
  <c r="BR69" i="1"/>
  <c r="AR1262" i="34"/>
  <c r="AW205" i="14"/>
  <c r="AX213" i="14"/>
  <c r="AV214" i="14"/>
  <c r="AU92" i="14"/>
  <c r="AU93" i="14" s="1"/>
  <c r="BD65" i="14"/>
  <c r="AZ67" i="14"/>
  <c r="BA67" i="14"/>
  <c r="AZ64" i="14"/>
  <c r="AX167" i="1"/>
  <c r="AR21" i="14"/>
  <c r="AR22" i="14"/>
  <c r="AS22" i="14"/>
  <c r="AZ158" i="14"/>
  <c r="AZ157" i="14"/>
  <c r="BA158" i="14"/>
  <c r="AW21" i="34"/>
  <c r="AW38" i="14"/>
  <c r="AZ36" i="14"/>
  <c r="AV28" i="14"/>
  <c r="AV38" i="14"/>
  <c r="AU203" i="14"/>
  <c r="AR71" i="1"/>
  <c r="AT128" i="14"/>
  <c r="AT129" i="14" s="1"/>
  <c r="AT212" i="1"/>
  <c r="BS155" i="14"/>
  <c r="AY639" i="34" s="1"/>
  <c r="BS152" i="14"/>
  <c r="CF151" i="14"/>
  <c r="BS153" i="14"/>
  <c r="AY637" i="34" s="1"/>
  <c r="AY635" i="34"/>
  <c r="O46" i="35"/>
  <c r="Q46" i="35" s="1"/>
  <c r="AC31" i="35"/>
  <c r="AC13" i="35"/>
  <c r="V18" i="42"/>
  <c r="BR191" i="14"/>
  <c r="AX652" i="34" s="1"/>
  <c r="AX647" i="34"/>
  <c r="AZ192" i="14"/>
  <c r="AZ191" i="14"/>
  <c r="BA192" i="14"/>
  <c r="BS36" i="1"/>
  <c r="AV204" i="1"/>
  <c r="AV1229" i="34"/>
  <c r="BR165" i="14"/>
  <c r="BR181" i="14" s="1"/>
  <c r="BR182" i="14" s="1"/>
  <c r="AX671" i="34"/>
  <c r="BR213" i="14"/>
  <c r="AS110" i="1"/>
  <c r="AS106" i="1"/>
  <c r="AS247" i="1"/>
  <c r="AS249" i="1" s="1"/>
  <c r="AS239" i="1"/>
  <c r="AS241" i="1" s="1"/>
  <c r="R33" i="35"/>
  <c r="AB39" i="35" s="1"/>
  <c r="R15" i="35"/>
  <c r="R34" i="35" s="1"/>
  <c r="AR105" i="1"/>
  <c r="AR123" i="1" s="1"/>
  <c r="AR110" i="1"/>
  <c r="AR109" i="1"/>
  <c r="AR77" i="1"/>
  <c r="AR1270" i="34" s="1"/>
  <c r="AR78" i="1"/>
  <c r="AR1266" i="34"/>
  <c r="AX668" i="34"/>
  <c r="BR64" i="1"/>
  <c r="AR1257" i="34"/>
  <c r="BT222" i="14"/>
  <c r="AZ678" i="34" s="1"/>
  <c r="BD33" i="1"/>
  <c r="BD125" i="14"/>
  <c r="BD126" i="14"/>
  <c r="AV189" i="1"/>
  <c r="AW189" i="1" s="1"/>
  <c r="AU156" i="1"/>
  <c r="AU212" i="1" s="1"/>
  <c r="AU215" i="1" s="1"/>
  <c r="BS223" i="14"/>
  <c r="AY679" i="34" s="1"/>
  <c r="AZ34" i="1"/>
  <c r="CO46" i="1"/>
  <c r="BR47" i="1"/>
  <c r="AW38" i="34" s="1"/>
  <c r="BR62" i="1"/>
  <c r="BR137" i="1"/>
  <c r="AW37" i="34"/>
  <c r="AY190" i="1"/>
  <c r="AZ190" i="1" s="1"/>
  <c r="BD217" i="14"/>
  <c r="BT185" i="14"/>
  <c r="BD186" i="14"/>
  <c r="BD188" i="14"/>
  <c r="BD189" i="14"/>
  <c r="BD190" i="14"/>
  <c r="BD101" i="1"/>
  <c r="BS186" i="14"/>
  <c r="CF185" i="14"/>
  <c r="BS189" i="14"/>
  <c r="AY650" i="34" s="1"/>
  <c r="BS196" i="14"/>
  <c r="BS197" i="14" s="1"/>
  <c r="BS187" i="14"/>
  <c r="AY648" i="34" s="1"/>
  <c r="BT101" i="1"/>
  <c r="AY89" i="34" s="1"/>
  <c r="AY646" i="34"/>
  <c r="AX212" i="14"/>
  <c r="AW204" i="14"/>
  <c r="BR207" i="14"/>
  <c r="BS125" i="14"/>
  <c r="AY631" i="34" s="1"/>
  <c r="AY626" i="34"/>
  <c r="AV68" i="14"/>
  <c r="AV70" i="14"/>
  <c r="AV82" i="14"/>
  <c r="AV71" i="14"/>
  <c r="BR64" i="14"/>
  <c r="AV69" i="14"/>
  <c r="AW71" i="14"/>
  <c r="AW69" i="14"/>
  <c r="AV248" i="14"/>
  <c r="AV249" i="14" s="1"/>
  <c r="AV221" i="14"/>
  <c r="U14" i="40" l="1"/>
  <c r="U14" i="42"/>
  <c r="BR140" i="1"/>
  <c r="AW128" i="34" s="1"/>
  <c r="BR142" i="1"/>
  <c r="AW125" i="34"/>
  <c r="AV83" i="14"/>
  <c r="AV88" i="14"/>
  <c r="AV90" i="14"/>
  <c r="AV84" i="14"/>
  <c r="AW88" i="14"/>
  <c r="AW90" i="14"/>
  <c r="AV87" i="14"/>
  <c r="AV89" i="14"/>
  <c r="AX204" i="14"/>
  <c r="AY212" i="14"/>
  <c r="BD191" i="14"/>
  <c r="BD192" i="14"/>
  <c r="AS105" i="1"/>
  <c r="AS123" i="1" s="1"/>
  <c r="AS109" i="1"/>
  <c r="AS115" i="1"/>
  <c r="AS121" i="1" s="1"/>
  <c r="AS107" i="1"/>
  <c r="AS113" i="1"/>
  <c r="BR100" i="14"/>
  <c r="BR111" i="14" s="1"/>
  <c r="BR112" i="14" s="1"/>
  <c r="AX669" i="34"/>
  <c r="BS204" i="1"/>
  <c r="AX190" i="34" s="1"/>
  <c r="AV177" i="1"/>
  <c r="O47" i="35"/>
  <c r="Q47" i="35" s="1"/>
  <c r="AC32" i="35"/>
  <c r="AT215" i="1"/>
  <c r="AR75" i="1"/>
  <c r="AR1268" i="34" s="1"/>
  <c r="AR1264" i="34"/>
  <c r="AZ38" i="14"/>
  <c r="BD36" i="14"/>
  <c r="BA38" i="14"/>
  <c r="AZ28" i="14"/>
  <c r="AX213" i="1"/>
  <c r="AX169" i="1"/>
  <c r="AX172" i="1" s="1"/>
  <c r="AX132" i="1"/>
  <c r="AW214" i="14"/>
  <c r="AV206" i="14"/>
  <c r="AW207" i="14"/>
  <c r="AX215" i="14"/>
  <c r="BR160" i="14"/>
  <c r="BR161" i="14" s="1"/>
  <c r="BR169" i="14" s="1"/>
  <c r="AT164" i="14" s="1"/>
  <c r="AX663" i="34"/>
  <c r="BD64" i="14"/>
  <c r="BD67" i="14"/>
  <c r="BR71" i="1"/>
  <c r="AW48" i="34"/>
  <c r="BD157" i="14"/>
  <c r="BD158" i="14"/>
  <c r="V18" i="4"/>
  <c r="V1297" i="34" s="1"/>
  <c r="V18" i="40"/>
  <c r="CK36" i="1"/>
  <c r="CP36" i="1"/>
  <c r="BS289" i="1"/>
  <c r="BS293" i="1"/>
  <c r="AX27" i="34"/>
  <c r="AW41" i="14"/>
  <c r="AW42" i="14" s="1"/>
  <c r="BD36" i="1"/>
  <c r="BU33" i="1"/>
  <c r="BD1226" i="34"/>
  <c r="BR65" i="1"/>
  <c r="AW52" i="34"/>
  <c r="BR294" i="1"/>
  <c r="R16" i="35"/>
  <c r="R35" i="35" s="1"/>
  <c r="AR1271" i="34"/>
  <c r="AS153" i="1"/>
  <c r="AT238" i="1"/>
  <c r="BS157" i="14"/>
  <c r="AY641" i="34" s="1"/>
  <c r="AY636" i="34"/>
  <c r="BR214" i="14"/>
  <c r="AZ69" i="14"/>
  <c r="BA71" i="14"/>
  <c r="AZ68" i="14"/>
  <c r="BA69" i="14"/>
  <c r="AZ70" i="14"/>
  <c r="AZ82" i="14"/>
  <c r="BS64" i="14"/>
  <c r="AZ71" i="14"/>
  <c r="AZ221" i="14"/>
  <c r="AZ248" i="14"/>
  <c r="AZ249" i="14" s="1"/>
  <c r="AX205" i="14"/>
  <c r="AX92" i="14" s="1"/>
  <c r="AX93" i="14" s="1"/>
  <c r="AY213" i="14"/>
  <c r="BT36" i="1"/>
  <c r="AZ204" i="1"/>
  <c r="BT204" i="1" s="1"/>
  <c r="AY190" i="34" s="1"/>
  <c r="AZ1229" i="34"/>
  <c r="BU151" i="14"/>
  <c r="BT153" i="14"/>
  <c r="AZ637" i="34" s="1"/>
  <c r="BT155" i="14"/>
  <c r="AZ639" i="34" s="1"/>
  <c r="BT152" i="14"/>
  <c r="AZ635" i="34"/>
  <c r="BT125" i="14"/>
  <c r="AZ631" i="34" s="1"/>
  <c r="AZ626" i="34"/>
  <c r="AV32" i="1"/>
  <c r="AV205" i="14"/>
  <c r="BR221" i="14"/>
  <c r="AX677" i="34" s="1"/>
  <c r="BT187" i="14"/>
  <c r="AZ648" i="34" s="1"/>
  <c r="BT186" i="14"/>
  <c r="BU185" i="14"/>
  <c r="BT189" i="14"/>
  <c r="AZ650" i="34" s="1"/>
  <c r="BT196" i="14"/>
  <c r="BT197" i="14" s="1"/>
  <c r="BU101" i="1"/>
  <c r="AZ89" i="34" s="1"/>
  <c r="AZ646" i="34"/>
  <c r="AW156" i="1"/>
  <c r="AV250" i="14"/>
  <c r="AV251" i="14"/>
  <c r="AV252" i="14"/>
  <c r="BR68" i="14"/>
  <c r="AX617" i="34" s="1"/>
  <c r="BR70" i="14"/>
  <c r="BR82" i="14"/>
  <c r="BR65" i="14"/>
  <c r="CE64" i="14"/>
  <c r="BR248" i="14"/>
  <c r="BR249" i="14" s="1"/>
  <c r="BR250" i="14" s="1"/>
  <c r="AX615" i="34"/>
  <c r="W18" i="42"/>
  <c r="BS191" i="14"/>
  <c r="AY652" i="34" s="1"/>
  <c r="AY647" i="34"/>
  <c r="BA190" i="1"/>
  <c r="BB190" i="1" s="1"/>
  <c r="AY167" i="1"/>
  <c r="U65" i="4"/>
  <c r="U65" i="42"/>
  <c r="U65" i="40"/>
  <c r="BR67" i="1"/>
  <c r="AW55" i="34" s="1"/>
  <c r="BR73" i="1"/>
  <c r="AW50" i="34"/>
  <c r="BT34" i="1"/>
  <c r="AZ1227" i="34"/>
  <c r="AX189" i="1"/>
  <c r="AS253" i="1"/>
  <c r="AS250" i="1"/>
  <c r="AS252" i="1"/>
  <c r="AV31" i="14"/>
  <c r="AV33" i="14"/>
  <c r="BR28" i="14"/>
  <c r="AV29" i="14"/>
  <c r="AV30" i="14" s="1"/>
  <c r="AV32" i="14"/>
  <c r="AV34" i="14"/>
  <c r="AW32" i="14"/>
  <c r="AW34" i="14"/>
  <c r="AV220" i="14"/>
  <c r="AW92" i="14"/>
  <c r="AW93" i="14" s="1"/>
  <c r="U14" i="4"/>
  <c r="BQ18" i="14"/>
  <c r="BR48" i="1"/>
  <c r="AW39" i="34" s="1"/>
  <c r="BR53" i="1"/>
  <c r="BR100" i="1"/>
  <c r="CO49" i="1"/>
  <c r="D28" i="3" s="1"/>
  <c r="D52" i="3" s="1"/>
  <c r="BR50" i="1"/>
  <c r="BR51" i="1"/>
  <c r="AC14" i="35"/>
  <c r="AW40" i="34"/>
  <c r="BR245" i="1"/>
  <c r="AW231" i="34" s="1"/>
  <c r="BR252" i="1"/>
  <c r="AW238" i="34" s="1"/>
  <c r="G26" i="3"/>
  <c r="BT223" i="14"/>
  <c r="AZ679" i="34" s="1"/>
  <c r="BD34" i="1"/>
  <c r="BU123" i="14"/>
  <c r="BU119" i="14" s="1"/>
  <c r="AZ629" i="34"/>
  <c r="U22" i="42" l="1"/>
  <c r="U23" i="42"/>
  <c r="U22" i="40"/>
  <c r="U23" i="40"/>
  <c r="AX156" i="1"/>
  <c r="AX212" i="1" s="1"/>
  <c r="AX215" i="1" s="1"/>
  <c r="BR83" i="14"/>
  <c r="BR89" i="14" s="1"/>
  <c r="BR84" i="14"/>
  <c r="BR85" i="14"/>
  <c r="BR87" i="14"/>
  <c r="BU120" i="14"/>
  <c r="BU125" i="14" s="1"/>
  <c r="BV119" i="14"/>
  <c r="BU121" i="14"/>
  <c r="BU222" i="14"/>
  <c r="G50" i="3"/>
  <c r="G27" i="3"/>
  <c r="BU34" i="1"/>
  <c r="BD1227" i="34"/>
  <c r="AC33" i="35"/>
  <c r="AC7" i="35"/>
  <c r="AC15" i="35"/>
  <c r="O48" i="35"/>
  <c r="Q48" i="35" s="1"/>
  <c r="BR110" i="1"/>
  <c r="AW98" i="34" s="1"/>
  <c r="BR109" i="1"/>
  <c r="AW97" i="34" s="1"/>
  <c r="AW88" i="34"/>
  <c r="BQ21" i="14"/>
  <c r="AW585" i="34" s="1"/>
  <c r="AW582" i="34"/>
  <c r="U67" i="40"/>
  <c r="U68" i="40" s="1"/>
  <c r="V66" i="40" s="1"/>
  <c r="BQ19" i="14"/>
  <c r="AW583" i="34" s="1"/>
  <c r="BR52" i="1"/>
  <c r="AW41" i="34"/>
  <c r="BQ20" i="14"/>
  <c r="AW584" i="34" s="1"/>
  <c r="BQ2" i="14"/>
  <c r="AW42" i="34"/>
  <c r="AV204" i="14"/>
  <c r="AV28" i="1"/>
  <c r="BR220" i="14"/>
  <c r="AV224" i="14"/>
  <c r="U67" i="42"/>
  <c r="U68" i="42" s="1"/>
  <c r="V66" i="42" s="1"/>
  <c r="BA167" i="1"/>
  <c r="BC190" i="1"/>
  <c r="BC167" i="1" s="1"/>
  <c r="BR66" i="14"/>
  <c r="AX616" i="34"/>
  <c r="X18" i="42"/>
  <c r="BT191" i="14"/>
  <c r="AZ652" i="34" s="1"/>
  <c r="AZ647" i="34"/>
  <c r="BS32" i="1"/>
  <c r="AV41" i="1"/>
  <c r="AV1234" i="34" s="1"/>
  <c r="AV39" i="1"/>
  <c r="AV1225" i="34"/>
  <c r="BT157" i="14"/>
  <c r="AZ641" i="34" s="1"/>
  <c r="AZ636" i="34"/>
  <c r="W18" i="4"/>
  <c r="W1297" i="34" s="1"/>
  <c r="W18" i="40"/>
  <c r="CQ36" i="1"/>
  <c r="BT293" i="1"/>
  <c r="AY27" i="34"/>
  <c r="BT289" i="1"/>
  <c r="BS221" i="14"/>
  <c r="AY677" i="34" s="1"/>
  <c r="AZ32" i="1"/>
  <c r="CB33" i="1"/>
  <c r="CR33" i="1"/>
  <c r="AZ24" i="34"/>
  <c r="BR75" i="1"/>
  <c r="CO71" i="1"/>
  <c r="AW58" i="34"/>
  <c r="BT64" i="14"/>
  <c r="BD71" i="14"/>
  <c r="BD68" i="14"/>
  <c r="BD69" i="14"/>
  <c r="BD70" i="14"/>
  <c r="BD82" i="14"/>
  <c r="BD221" i="14"/>
  <c r="BD248" i="14"/>
  <c r="BD249" i="14" s="1"/>
  <c r="AY215" i="14"/>
  <c r="AX207" i="14"/>
  <c r="AW206" i="14"/>
  <c r="AX214" i="14"/>
  <c r="AZ32" i="14"/>
  <c r="AZ34" i="14"/>
  <c r="AZ31" i="14"/>
  <c r="BA32" i="14"/>
  <c r="AZ33" i="14"/>
  <c r="BA34" i="14"/>
  <c r="BS28" i="14"/>
  <c r="AZ29" i="14"/>
  <c r="AZ30" i="14" s="1"/>
  <c r="AZ220" i="14"/>
  <c r="AX41" i="14"/>
  <c r="AX42" i="14" s="1"/>
  <c r="AV86" i="14"/>
  <c r="AW86" i="14"/>
  <c r="AV85" i="14"/>
  <c r="AY205" i="14"/>
  <c r="AZ213" i="14"/>
  <c r="BA213" i="14" s="1"/>
  <c r="BR134" i="14"/>
  <c r="BR144" i="14" s="1"/>
  <c r="BR145" i="14" s="1"/>
  <c r="AX670" i="34"/>
  <c r="BR217" i="14"/>
  <c r="AX673" i="34" s="1"/>
  <c r="AS157" i="1"/>
  <c r="AS130" i="1"/>
  <c r="AS279" i="1"/>
  <c r="AT280" i="1"/>
  <c r="AT281" i="1" s="1"/>
  <c r="AS242" i="1"/>
  <c r="BU36" i="1"/>
  <c r="BD204" i="1"/>
  <c r="BU204" i="1" s="1"/>
  <c r="AZ190" i="34" s="1"/>
  <c r="BD1229" i="34"/>
  <c r="BD190" i="1"/>
  <c r="BB167" i="1"/>
  <c r="U23" i="4"/>
  <c r="U1302" i="34" s="1"/>
  <c r="U22" i="4"/>
  <c r="U1293" i="34"/>
  <c r="BR31" i="14"/>
  <c r="AX605" i="34" s="1"/>
  <c r="BR33" i="14"/>
  <c r="AX607" i="34" s="1"/>
  <c r="BR36" i="14"/>
  <c r="BR29" i="14"/>
  <c r="BR30" i="14" s="1"/>
  <c r="CE28" i="14"/>
  <c r="AX604" i="34"/>
  <c r="U67" i="4"/>
  <c r="U68" i="4" s="1"/>
  <c r="V66" i="4" s="1"/>
  <c r="AT72" i="14"/>
  <c r="AX619" i="34"/>
  <c r="CF64" i="14"/>
  <c r="BS68" i="14"/>
  <c r="AY617" i="34" s="1"/>
  <c r="BS70" i="14"/>
  <c r="AY619" i="34" s="1"/>
  <c r="BS82" i="14"/>
  <c r="BS65" i="14"/>
  <c r="BS248" i="14"/>
  <c r="BS249" i="14" s="1"/>
  <c r="BS250" i="14" s="1"/>
  <c r="AY615" i="34"/>
  <c r="U71" i="4"/>
  <c r="U71" i="42"/>
  <c r="U71" i="40"/>
  <c r="BR295" i="1"/>
  <c r="AW53" i="34"/>
  <c r="BD28" i="14"/>
  <c r="BD38" i="14"/>
  <c r="AW177" i="1"/>
  <c r="BS177" i="1"/>
  <c r="BR144" i="1"/>
  <c r="AW132" i="34" s="1"/>
  <c r="AW130" i="34"/>
  <c r="BR77" i="1"/>
  <c r="CO73" i="1"/>
  <c r="BR78" i="1"/>
  <c r="AW60" i="34"/>
  <c r="AY189" i="1"/>
  <c r="CQ34" i="1"/>
  <c r="AY25" i="34"/>
  <c r="AY132" i="1"/>
  <c r="AY169" i="1"/>
  <c r="AY172" i="1" s="1"/>
  <c r="AY213" i="1"/>
  <c r="BV185" i="14"/>
  <c r="BU189" i="14"/>
  <c r="BU196" i="14"/>
  <c r="BU197" i="14" s="1"/>
  <c r="BU217" i="14"/>
  <c r="BU186" i="14"/>
  <c r="BU191" i="14" s="1"/>
  <c r="BV101" i="1"/>
  <c r="AV92" i="14"/>
  <c r="AV93" i="14" s="1"/>
  <c r="BR205" i="14"/>
  <c r="BU152" i="14"/>
  <c r="BU157" i="14" s="1"/>
  <c r="BV151" i="14"/>
  <c r="BU153" i="14"/>
  <c r="BU223" i="14"/>
  <c r="AZ251" i="14"/>
  <c r="AZ252" i="14"/>
  <c r="AZ250" i="14"/>
  <c r="AZ87" i="14"/>
  <c r="BA88" i="14"/>
  <c r="AZ89" i="14"/>
  <c r="BA90" i="14"/>
  <c r="AZ83" i="14"/>
  <c r="AZ84" i="14"/>
  <c r="AZ88" i="14"/>
  <c r="AZ90" i="14"/>
  <c r="AV128" i="14"/>
  <c r="AV129" i="14" s="1"/>
  <c r="BR206" i="14"/>
  <c r="AY204" i="14"/>
  <c r="AZ212" i="14"/>
  <c r="BS213" i="14" l="1"/>
  <c r="AY669" i="34" s="1"/>
  <c r="AY156" i="1"/>
  <c r="AY212" i="1" s="1"/>
  <c r="AY215" i="1" s="1"/>
  <c r="CO77" i="1"/>
  <c r="AW64" i="34"/>
  <c r="G35" i="3"/>
  <c r="AX166" i="34"/>
  <c r="BS292" i="1"/>
  <c r="BT28" i="14"/>
  <c r="BD29" i="14"/>
  <c r="BD30" i="14" s="1"/>
  <c r="BD31" i="14"/>
  <c r="BD32" i="14"/>
  <c r="BD33" i="14"/>
  <c r="BD34" i="14"/>
  <c r="BD220" i="14"/>
  <c r="BS85" i="14"/>
  <c r="BS87" i="14"/>
  <c r="BS83" i="14"/>
  <c r="BS89" i="14" s="1"/>
  <c r="BS84" i="14"/>
  <c r="BR37" i="14"/>
  <c r="AX611" i="34" s="1"/>
  <c r="AX610" i="34"/>
  <c r="U1301" i="34"/>
  <c r="AY92" i="14"/>
  <c r="AY93" i="14" s="1"/>
  <c r="AY207" i="14"/>
  <c r="AZ215" i="14"/>
  <c r="BT65" i="14"/>
  <c r="BU64" i="14"/>
  <c r="BT68" i="14"/>
  <c r="AZ617" i="34" s="1"/>
  <c r="BT70" i="14"/>
  <c r="AZ619" i="34" s="1"/>
  <c r="BT82" i="14"/>
  <c r="BT248" i="14"/>
  <c r="BT249" i="14" s="1"/>
  <c r="BT250" i="14" s="1"/>
  <c r="AZ615" i="34"/>
  <c r="BA169" i="1"/>
  <c r="BA172" i="1" s="1"/>
  <c r="BA132" i="1"/>
  <c r="AV41" i="14"/>
  <c r="AV42" i="14" s="1"/>
  <c r="AV203" i="14"/>
  <c r="BR204" i="14"/>
  <c r="BV33" i="1"/>
  <c r="AZ189" i="1"/>
  <c r="BA189" i="1" s="1"/>
  <c r="AY41" i="14"/>
  <c r="AY42" i="14" s="1"/>
  <c r="BV152" i="14"/>
  <c r="BV157" i="14" s="1"/>
  <c r="BW151" i="14"/>
  <c r="BV153" i="14"/>
  <c r="BV223" i="14"/>
  <c r="AX177" i="1"/>
  <c r="CF28" i="14"/>
  <c r="BS31" i="14"/>
  <c r="AY605" i="34" s="1"/>
  <c r="BS33" i="14"/>
  <c r="AY607" i="34" s="1"/>
  <c r="BS36" i="14"/>
  <c r="BS29" i="14"/>
  <c r="BS30" i="14" s="1"/>
  <c r="AY604" i="34"/>
  <c r="AX206" i="14"/>
  <c r="AY214" i="14"/>
  <c r="BD250" i="14"/>
  <c r="BD251" i="14"/>
  <c r="BD252" i="14"/>
  <c r="CP32" i="1"/>
  <c r="CK32" i="1"/>
  <c r="BS41" i="1"/>
  <c r="BS39" i="1"/>
  <c r="AX23" i="34"/>
  <c r="AZ85" i="14"/>
  <c r="BA86" i="14"/>
  <c r="AZ86" i="14"/>
  <c r="BA212" i="14"/>
  <c r="BS212" i="14"/>
  <c r="BR128" i="14"/>
  <c r="AX662" i="34"/>
  <c r="BV186" i="14"/>
  <c r="BV191" i="14" s="1"/>
  <c r="BW185" i="14"/>
  <c r="BV189" i="14"/>
  <c r="BV196" i="14"/>
  <c r="BV197" i="14" s="1"/>
  <c r="BV217" i="14"/>
  <c r="BW101" i="1"/>
  <c r="AC16" i="35"/>
  <c r="AW65" i="34"/>
  <c r="AS124" i="1"/>
  <c r="AS125" i="1" s="1"/>
  <c r="AS162" i="1"/>
  <c r="BS100" i="14"/>
  <c r="BS111" i="14" s="1"/>
  <c r="BS112" i="14" s="1"/>
  <c r="AW128" i="14"/>
  <c r="AW129" i="14" s="1"/>
  <c r="AW203" i="14"/>
  <c r="BT221" i="14"/>
  <c r="AZ677" i="34" s="1"/>
  <c r="BD32" i="1"/>
  <c r="AZ205" i="14"/>
  <c r="AZ92" i="14" s="1"/>
  <c r="AZ93" i="14" s="1"/>
  <c r="U70" i="42"/>
  <c r="U72" i="42" s="1"/>
  <c r="U15" i="42" s="1"/>
  <c r="U19" i="42" s="1"/>
  <c r="BS28" i="1"/>
  <c r="BR224" i="14"/>
  <c r="AX680" i="34" s="1"/>
  <c r="AX676" i="34"/>
  <c r="U70" i="40"/>
  <c r="U72" i="40" s="1"/>
  <c r="U15" i="40" s="1"/>
  <c r="U19" i="40" s="1"/>
  <c r="BW119" i="14"/>
  <c r="BV121" i="14"/>
  <c r="BV120" i="14"/>
  <c r="BV125" i="14" s="1"/>
  <c r="BV222" i="14"/>
  <c r="BV34" i="1"/>
  <c r="BR92" i="14"/>
  <c r="BR93" i="14" s="1"/>
  <c r="BR103" i="14" s="1"/>
  <c r="AX661" i="34"/>
  <c r="BV36" i="1"/>
  <c r="BS66" i="14"/>
  <c r="AY616" i="34"/>
  <c r="U70" i="4"/>
  <c r="U72" i="4" s="1"/>
  <c r="BB213" i="1"/>
  <c r="BB169" i="1"/>
  <c r="BB172" i="1" s="1"/>
  <c r="BB132" i="1"/>
  <c r="X18" i="4"/>
  <c r="X1297" i="34" s="1"/>
  <c r="X18" i="40"/>
  <c r="CB36" i="1"/>
  <c r="BU289" i="1"/>
  <c r="BU293" i="1"/>
  <c r="AZ27" i="34"/>
  <c r="CR36" i="1"/>
  <c r="AT58" i="1"/>
  <c r="BA205" i="14"/>
  <c r="BB213" i="14"/>
  <c r="BS220" i="14"/>
  <c r="AZ224" i="14"/>
  <c r="AZ204" i="14"/>
  <c r="AZ28" i="1"/>
  <c r="BD84" i="14"/>
  <c r="BD87" i="14"/>
  <c r="BD88" i="14"/>
  <c r="BD89" i="14"/>
  <c r="BD90" i="14"/>
  <c r="BD83" i="14"/>
  <c r="CO75" i="1"/>
  <c r="D32" i="3" s="1"/>
  <c r="AW62" i="34"/>
  <c r="G30" i="3"/>
  <c r="BT32" i="1"/>
  <c r="AZ39" i="1"/>
  <c r="AZ41" i="1"/>
  <c r="AZ1234" i="34" s="1"/>
  <c r="AZ1225" i="34"/>
  <c r="AV156" i="1"/>
  <c r="AV167" i="1"/>
  <c r="AV1232" i="34"/>
  <c r="BC132" i="1"/>
  <c r="BC169" i="1"/>
  <c r="BC172" i="1" s="1"/>
  <c r="BC213" i="1"/>
  <c r="AV29" i="1"/>
  <c r="AV166" i="1"/>
  <c r="AV1221" i="34"/>
  <c r="AC34" i="35"/>
  <c r="O49" i="35"/>
  <c r="Q49" i="35" s="1"/>
  <c r="CR34" i="1"/>
  <c r="CB34" i="1"/>
  <c r="AZ25" i="34"/>
  <c r="U20" i="40" l="1"/>
  <c r="U24" i="40"/>
  <c r="U20" i="42"/>
  <c r="U24" i="42"/>
  <c r="BA156" i="1"/>
  <c r="AZ41" i="14"/>
  <c r="AZ42" i="14" s="1"/>
  <c r="BB205" i="14"/>
  <c r="BB92" i="14" s="1"/>
  <c r="BB93" i="14" s="1"/>
  <c r="BC213" i="14"/>
  <c r="BR3" i="14"/>
  <c r="BU32" i="1"/>
  <c r="BD41" i="1"/>
  <c r="BD1234" i="34" s="1"/>
  <c r="BD39" i="1"/>
  <c r="BD1225" i="34"/>
  <c r="AC35" i="35"/>
  <c r="O50" i="35"/>
  <c r="Q50" i="35" s="1"/>
  <c r="BW217" i="14"/>
  <c r="BW186" i="14"/>
  <c r="BW191" i="14" s="1"/>
  <c r="BX185" i="14"/>
  <c r="BW189" i="14"/>
  <c r="BW196" i="14"/>
  <c r="BW197" i="14" s="1"/>
  <c r="BX101" i="1"/>
  <c r="BW34" i="1"/>
  <c r="BS204" i="14"/>
  <c r="BR41" i="14"/>
  <c r="BR42" i="14" s="1"/>
  <c r="BR51" i="14" s="1"/>
  <c r="BR203" i="14"/>
  <c r="AX659" i="34" s="1"/>
  <c r="AX660" i="34"/>
  <c r="BA215" i="14"/>
  <c r="AZ207" i="14"/>
  <c r="BS207" i="14" s="1"/>
  <c r="BS215" i="14"/>
  <c r="BT29" i="14"/>
  <c r="BT30" i="14" s="1"/>
  <c r="BT31" i="14"/>
  <c r="AZ605" i="34" s="1"/>
  <c r="BT33" i="14"/>
  <c r="AZ607" i="34" s="1"/>
  <c r="BT36" i="14"/>
  <c r="AZ604" i="34"/>
  <c r="G36" i="3"/>
  <c r="G59" i="3"/>
  <c r="BA92" i="14"/>
  <c r="BA93" i="14" s="1"/>
  <c r="AS183" i="1"/>
  <c r="AS129" i="1"/>
  <c r="AS133" i="1" s="1"/>
  <c r="AS144" i="1" s="1"/>
  <c r="BW36" i="1"/>
  <c r="BR129" i="14"/>
  <c r="BR137" i="14" s="1"/>
  <c r="AX634" i="34"/>
  <c r="AY206" i="14"/>
  <c r="AZ214" i="14"/>
  <c r="BS214" i="14" s="1"/>
  <c r="BS37" i="14"/>
  <c r="AY611" i="34" s="1"/>
  <c r="AY610" i="34"/>
  <c r="BB189" i="1"/>
  <c r="BC189" i="1" s="1"/>
  <c r="BC156" i="1" s="1"/>
  <c r="BD85" i="14"/>
  <c r="BD86" i="14"/>
  <c r="AV169" i="1"/>
  <c r="AV172" i="1" s="1"/>
  <c r="AW213" i="1"/>
  <c r="AV131" i="1"/>
  <c r="BS166" i="1"/>
  <c r="AV213" i="1"/>
  <c r="BS213" i="1" s="1"/>
  <c r="AX199" i="34" s="1"/>
  <c r="BS167" i="1"/>
  <c r="AV132" i="1"/>
  <c r="AZ156" i="1"/>
  <c r="AZ167" i="1"/>
  <c r="AZ1232" i="34"/>
  <c r="BS224" i="14"/>
  <c r="AY680" i="34" s="1"/>
  <c r="BT28" i="1"/>
  <c r="AY676" i="34"/>
  <c r="Y18" i="4"/>
  <c r="Y1297" i="34" s="1"/>
  <c r="Y18" i="40"/>
  <c r="BV204" i="1"/>
  <c r="BV289" i="1"/>
  <c r="BV293" i="1"/>
  <c r="BW120" i="14"/>
  <c r="BW125" i="14" s="1"/>
  <c r="BX119" i="14"/>
  <c r="BW121" i="14"/>
  <c r="BW222" i="14"/>
  <c r="CP28" i="1"/>
  <c r="BS29" i="1"/>
  <c r="CK28" i="1"/>
  <c r="AX19" i="34"/>
  <c r="AY668" i="34"/>
  <c r="CK39" i="1"/>
  <c r="CP39" i="1"/>
  <c r="AX30" i="34"/>
  <c r="AX128" i="14"/>
  <c r="AX129" i="14" s="1"/>
  <c r="AX203" i="14"/>
  <c r="BW223" i="14"/>
  <c r="BW152" i="14"/>
  <c r="BW157" i="14" s="1"/>
  <c r="BX151" i="14"/>
  <c r="BW153" i="14"/>
  <c r="BU65" i="14"/>
  <c r="BU66" i="14" s="1"/>
  <c r="BV64" i="14"/>
  <c r="BU68" i="14"/>
  <c r="BU82" i="14"/>
  <c r="BU221" i="14"/>
  <c r="BU248" i="14"/>
  <c r="BU249" i="14" s="1"/>
  <c r="BU250" i="14" s="1"/>
  <c r="BS205" i="14"/>
  <c r="BD28" i="1"/>
  <c r="BT220" i="14"/>
  <c r="BD224" i="14"/>
  <c r="G31" i="3"/>
  <c r="G54" i="3"/>
  <c r="D33" i="3"/>
  <c r="D56" i="3"/>
  <c r="AV30" i="1"/>
  <c r="AV43" i="1"/>
  <c r="AV46" i="1"/>
  <c r="AV1222" i="34"/>
  <c r="W12" i="35"/>
  <c r="BS156" i="1"/>
  <c r="AW212" i="1"/>
  <c r="AV212" i="1"/>
  <c r="CQ32" i="1"/>
  <c r="BT39" i="1"/>
  <c r="BT41" i="1"/>
  <c r="AY23" i="34"/>
  <c r="AZ29" i="1"/>
  <c r="AZ166" i="1"/>
  <c r="AZ1221" i="34"/>
  <c r="AT56" i="1"/>
  <c r="AT62" i="1"/>
  <c r="AT1251" i="34"/>
  <c r="U15" i="4"/>
  <c r="BR103" i="1"/>
  <c r="BW33" i="1"/>
  <c r="BB212" i="14"/>
  <c r="BA204" i="14"/>
  <c r="CK41" i="1"/>
  <c r="CP41" i="1"/>
  <c r="AX32" i="34"/>
  <c r="AY177" i="1"/>
  <c r="BT84" i="14"/>
  <c r="BT85" i="14"/>
  <c r="BT87" i="14"/>
  <c r="BT83" i="14"/>
  <c r="BT89" i="14" s="1"/>
  <c r="BT66" i="14"/>
  <c r="AZ616" i="34"/>
  <c r="BT166" i="1" l="1"/>
  <c r="AZ169" i="1"/>
  <c r="AZ172" i="1" s="1"/>
  <c r="BA213" i="1"/>
  <c r="AZ131" i="1"/>
  <c r="AZ213" i="1"/>
  <c r="BT213" i="1" s="1"/>
  <c r="AY199" i="34" s="1"/>
  <c r="AV47" i="1"/>
  <c r="AV1240" i="34" s="1"/>
  <c r="AV137" i="1"/>
  <c r="AV1239" i="34"/>
  <c r="BS134" i="14"/>
  <c r="BS144" i="14" s="1"/>
  <c r="BS145" i="14" s="1"/>
  <c r="AY670" i="34"/>
  <c r="AZ177" i="1"/>
  <c r="BA41" i="14"/>
  <c r="BA42" i="14" s="1"/>
  <c r="AT67" i="1"/>
  <c r="AT1260" i="34" s="1"/>
  <c r="AT1255" i="34"/>
  <c r="CQ41" i="1"/>
  <c r="AY32" i="34"/>
  <c r="AW215" i="1"/>
  <c r="BV32" i="1"/>
  <c r="BX34" i="1"/>
  <c r="CQ28" i="1"/>
  <c r="BT29" i="1"/>
  <c r="AY19" i="34"/>
  <c r="BT156" i="1"/>
  <c r="BA212" i="1"/>
  <c r="BS131" i="1"/>
  <c r="AX119" i="34" s="1"/>
  <c r="BS169" i="1"/>
  <c r="BS188" i="1"/>
  <c r="AX177" i="34" s="1"/>
  <c r="AX155" i="34"/>
  <c r="BA207" i="14"/>
  <c r="BB215" i="14"/>
  <c r="CQ39" i="1"/>
  <c r="AY30" i="34"/>
  <c r="BU83" i="14"/>
  <c r="BU89" i="14" s="1"/>
  <c r="BU84" i="14"/>
  <c r="BU85" i="14"/>
  <c r="BU87" i="14"/>
  <c r="BX33" i="1"/>
  <c r="Z18" i="4"/>
  <c r="Z1297" i="34" s="1"/>
  <c r="Z18" i="40"/>
  <c r="BW204" i="1"/>
  <c r="BW289" i="1"/>
  <c r="BW293" i="1"/>
  <c r="BS41" i="14"/>
  <c r="BS42" i="14" s="1"/>
  <c r="BS51" i="14" s="1"/>
  <c r="AY660" i="34"/>
  <c r="BX36" i="1"/>
  <c r="BD167" i="1"/>
  <c r="BD1232" i="34"/>
  <c r="AW91" i="34"/>
  <c r="BR105" i="1"/>
  <c r="BB204" i="14"/>
  <c r="BC212" i="14"/>
  <c r="AV49" i="1"/>
  <c r="AV44" i="1"/>
  <c r="AV1237" i="34" s="1"/>
  <c r="AV136" i="1"/>
  <c r="AV1236" i="34"/>
  <c r="BU28" i="1"/>
  <c r="BT224" i="14"/>
  <c r="AZ680" i="34" s="1"/>
  <c r="AZ676" i="34"/>
  <c r="BS92" i="14"/>
  <c r="BS93" i="14" s="1"/>
  <c r="BS103" i="14" s="1"/>
  <c r="AY661" i="34"/>
  <c r="BY151" i="14"/>
  <c r="BX153" i="14"/>
  <c r="BX223" i="14"/>
  <c r="BX152" i="14"/>
  <c r="BX157" i="14" s="1"/>
  <c r="BS132" i="1"/>
  <c r="AX120" i="34" s="1"/>
  <c r="AX156" i="34"/>
  <c r="BS190" i="1"/>
  <c r="AX179" i="34" s="1"/>
  <c r="BS160" i="14"/>
  <c r="BS161" i="14" s="1"/>
  <c r="AY663" i="34"/>
  <c r="BA214" i="14"/>
  <c r="AZ206" i="14"/>
  <c r="BS206" i="14" s="1"/>
  <c r="BT37" i="14"/>
  <c r="AZ611" i="34" s="1"/>
  <c r="BU36" i="14"/>
  <c r="AZ610" i="34"/>
  <c r="BS165" i="14"/>
  <c r="BS181" i="14" s="1"/>
  <c r="BS182" i="14" s="1"/>
  <c r="AY671" i="34"/>
  <c r="BC205" i="14"/>
  <c r="BD213" i="14"/>
  <c r="AT60" i="1"/>
  <c r="AT1249" i="34"/>
  <c r="BS189" i="1"/>
  <c r="AX178" i="34" s="1"/>
  <c r="AX143" i="34"/>
  <c r="U1294" i="34"/>
  <c r="U19" i="4"/>
  <c r="AZ30" i="1"/>
  <c r="AZ1223" i="34" s="1"/>
  <c r="AZ43" i="1"/>
  <c r="AZ46" i="1"/>
  <c r="AZ1222" i="34"/>
  <c r="AV215" i="1"/>
  <c r="BS212" i="1"/>
  <c r="W31" i="35"/>
  <c r="W13" i="35"/>
  <c r="W32" i="35" s="1"/>
  <c r="AV1223" i="34"/>
  <c r="BD29" i="1"/>
  <c r="BD166" i="1"/>
  <c r="BD1221" i="34"/>
  <c r="BV68" i="14"/>
  <c r="BV82" i="14"/>
  <c r="BV65" i="14"/>
  <c r="BV66" i="14" s="1"/>
  <c r="BW64" i="14"/>
  <c r="BV248" i="14"/>
  <c r="BV249" i="14" s="1"/>
  <c r="BV250" i="14" s="1"/>
  <c r="BV221" i="14"/>
  <c r="BS217" i="14"/>
  <c r="AY673" i="34" s="1"/>
  <c r="CP29" i="1"/>
  <c r="BS30" i="1"/>
  <c r="CK29" i="1"/>
  <c r="BS43" i="1"/>
  <c r="BS46" i="1"/>
  <c r="AD12" i="35"/>
  <c r="AX20" i="34"/>
  <c r="BX120" i="14"/>
  <c r="BX125" i="14" s="1"/>
  <c r="BY119" i="14"/>
  <c r="BX121" i="14"/>
  <c r="BX222" i="14"/>
  <c r="AZ132" i="1"/>
  <c r="BT167" i="1"/>
  <c r="AZ212" i="1"/>
  <c r="BB156" i="1"/>
  <c r="BC212" i="1" s="1"/>
  <c r="BC215" i="1" s="1"/>
  <c r="BD189" i="1"/>
  <c r="BD156" i="1" s="1"/>
  <c r="AY128" i="14"/>
  <c r="AY129" i="14" s="1"/>
  <c r="AY203" i="14"/>
  <c r="BX217" i="14"/>
  <c r="BX186" i="14"/>
  <c r="BX191" i="14" s="1"/>
  <c r="BY185" i="14"/>
  <c r="BX189" i="14"/>
  <c r="BX196" i="14"/>
  <c r="BX197" i="14" s="1"/>
  <c r="BY101" i="1"/>
  <c r="CB32" i="1"/>
  <c r="CR32" i="1"/>
  <c r="BU39" i="1"/>
  <c r="BU41" i="1"/>
  <c r="AZ23" i="34"/>
  <c r="AZ215" i="1" l="1"/>
  <c r="BB212" i="1"/>
  <c r="BB215" i="1" s="1"/>
  <c r="BS169" i="14"/>
  <c r="AU164" i="14" s="1"/>
  <c r="AT66" i="1"/>
  <c r="AT1259" i="34" s="1"/>
  <c r="BU156" i="1"/>
  <c r="BD212" i="1"/>
  <c r="BY189" i="14"/>
  <c r="BY196" i="14"/>
  <c r="BY197" i="14" s="1"/>
  <c r="BY217" i="14"/>
  <c r="BY186" i="14"/>
  <c r="BY191" i="14" s="1"/>
  <c r="BZ101" i="1"/>
  <c r="AD13" i="35"/>
  <c r="AD31" i="35"/>
  <c r="U46" i="35"/>
  <c r="W46" i="35" s="1"/>
  <c r="AX21" i="34"/>
  <c r="BD131" i="1"/>
  <c r="BD169" i="1"/>
  <c r="BD172" i="1" s="1"/>
  <c r="BU166" i="1"/>
  <c r="BD213" i="1"/>
  <c r="BU213" i="1" s="1"/>
  <c r="AZ199" i="34" s="1"/>
  <c r="U20" i="4"/>
  <c r="U1299" i="34" s="1"/>
  <c r="U24" i="4"/>
  <c r="U1303" i="34" s="1"/>
  <c r="U1298" i="34"/>
  <c r="BC92" i="14"/>
  <c r="BC93" i="14" s="1"/>
  <c r="BV36" i="14"/>
  <c r="BU28" i="14"/>
  <c r="BC204" i="14"/>
  <c r="BD212" i="14"/>
  <c r="BD204" i="14" s="1"/>
  <c r="BR123" i="1"/>
  <c r="AW111" i="34" s="1"/>
  <c r="AW93" i="34"/>
  <c r="BC215" i="14"/>
  <c r="BB207" i="14"/>
  <c r="BT189" i="1"/>
  <c r="AY178" i="34" s="1"/>
  <c r="AY143" i="34"/>
  <c r="BT212" i="1"/>
  <c r="BT132" i="1"/>
  <c r="AY120" i="34" s="1"/>
  <c r="BT190" i="1"/>
  <c r="AY179" i="34" s="1"/>
  <c r="AY156" i="34"/>
  <c r="CP46" i="1"/>
  <c r="BS47" i="1"/>
  <c r="AX38" i="34" s="1"/>
  <c r="CK46" i="1"/>
  <c r="BS137" i="1"/>
  <c r="AX37" i="34"/>
  <c r="BV83" i="14"/>
  <c r="BV89" i="14" s="1"/>
  <c r="BV84" i="14"/>
  <c r="BV85" i="14"/>
  <c r="BV87" i="14"/>
  <c r="AZ47" i="1"/>
  <c r="AZ1240" i="34" s="1"/>
  <c r="AZ137" i="1"/>
  <c r="AZ1239" i="34"/>
  <c r="AT64" i="1"/>
  <c r="AT71" i="1" s="1"/>
  <c r="AT1253" i="34"/>
  <c r="BY152" i="14"/>
  <c r="BY157" i="14" s="1"/>
  <c r="BY153" i="14"/>
  <c r="BY223" i="14"/>
  <c r="BB41" i="14"/>
  <c r="BB42" i="14" s="1"/>
  <c r="AA18" i="4"/>
  <c r="AA1297" i="34" s="1"/>
  <c r="AA18" i="40"/>
  <c r="BX204" i="1"/>
  <c r="BX293" i="1"/>
  <c r="BX289" i="1"/>
  <c r="BS172" i="1"/>
  <c r="AX158" i="34"/>
  <c r="BV39" i="1"/>
  <c r="BV41" i="1"/>
  <c r="BD30" i="1"/>
  <c r="BD1223" i="34" s="1"/>
  <c r="BD43" i="1"/>
  <c r="BD46" i="1"/>
  <c r="BD1222" i="34"/>
  <c r="CB39" i="1"/>
  <c r="CR39" i="1"/>
  <c r="AZ30" i="34"/>
  <c r="BY36" i="1"/>
  <c r="BS128" i="14"/>
  <c r="AY662" i="34"/>
  <c r="BS49" i="1"/>
  <c r="CP43" i="1"/>
  <c r="BS44" i="1"/>
  <c r="AX35" i="34" s="1"/>
  <c r="CK43" i="1"/>
  <c r="BS136" i="1"/>
  <c r="AX124" i="34" s="1"/>
  <c r="AX34" i="34"/>
  <c r="AZ49" i="1"/>
  <c r="AZ44" i="1"/>
  <c r="AZ1237" i="34" s="1"/>
  <c r="AZ136" i="1"/>
  <c r="AZ1236" i="34"/>
  <c r="AZ128" i="14"/>
  <c r="AZ129" i="14" s="1"/>
  <c r="AZ203" i="14"/>
  <c r="CB28" i="1"/>
  <c r="BU29" i="1"/>
  <c r="AZ19" i="34"/>
  <c r="CR28" i="1"/>
  <c r="BT131" i="1"/>
  <c r="AY119" i="34" s="1"/>
  <c r="BT169" i="1"/>
  <c r="BT188" i="1"/>
  <c r="AY177" i="34" s="1"/>
  <c r="AY155" i="34"/>
  <c r="AZ32" i="34"/>
  <c r="CR41" i="1"/>
  <c r="BY120" i="14"/>
  <c r="BY125" i="14" s="1"/>
  <c r="BY121" i="14"/>
  <c r="BY222" i="14"/>
  <c r="BW32" i="1"/>
  <c r="BY33" i="1"/>
  <c r="BX64" i="14"/>
  <c r="BW68" i="14"/>
  <c r="BW82" i="14"/>
  <c r="BW65" i="14"/>
  <c r="BW66" i="14" s="1"/>
  <c r="BW221" i="14"/>
  <c r="BW248" i="14"/>
  <c r="BW249" i="14" s="1"/>
  <c r="BW250" i="14" s="1"/>
  <c r="BS215" i="1"/>
  <c r="AX198" i="34"/>
  <c r="BD205" i="14"/>
  <c r="BD92" i="14" s="1"/>
  <c r="BD93" i="14" s="1"/>
  <c r="BT213" i="14"/>
  <c r="BA206" i="14"/>
  <c r="BB214" i="14"/>
  <c r="BY34" i="1"/>
  <c r="AV18" i="14"/>
  <c r="AV51" i="1"/>
  <c r="AV53" i="1"/>
  <c r="AV100" i="1"/>
  <c r="AV50" i="1"/>
  <c r="AV1243" i="34" s="1"/>
  <c r="AV1242" i="34"/>
  <c r="W14" i="35"/>
  <c r="BD132" i="1"/>
  <c r="BU167" i="1"/>
  <c r="BS203" i="14"/>
  <c r="AY659" i="34" s="1"/>
  <c r="BA215" i="1"/>
  <c r="CQ29" i="1"/>
  <c r="BT30" i="1"/>
  <c r="AY21" i="34" s="1"/>
  <c r="BT43" i="1"/>
  <c r="BT46" i="1"/>
  <c r="AE12" i="35"/>
  <c r="AY20" i="34"/>
  <c r="BT177" i="1"/>
  <c r="BA177" i="1"/>
  <c r="AV140" i="1"/>
  <c r="AV142" i="1" s="1"/>
  <c r="BT212" i="14" l="1"/>
  <c r="BU212" i="1"/>
  <c r="BU215" i="1" s="1"/>
  <c r="BT204" i="14"/>
  <c r="AZ660" i="34" s="1"/>
  <c r="AT73" i="1"/>
  <c r="AT1266" i="34" s="1"/>
  <c r="AY166" i="34"/>
  <c r="BT292" i="1"/>
  <c r="AE31" i="35"/>
  <c r="AE13" i="35"/>
  <c r="AE32" i="35" s="1"/>
  <c r="BU132" i="1"/>
  <c r="AZ120" i="34" s="1"/>
  <c r="BU190" i="1"/>
  <c r="AZ156" i="34"/>
  <c r="AV19" i="14"/>
  <c r="AV52" i="1"/>
  <c r="AV1245" i="34" s="1"/>
  <c r="AV1244" i="34"/>
  <c r="BB206" i="14"/>
  <c r="BC214" i="14"/>
  <c r="BX32" i="1"/>
  <c r="BX65" i="14"/>
  <c r="BX66" i="14" s="1"/>
  <c r="BY64" i="14"/>
  <c r="BX68" i="14"/>
  <c r="BX82" i="14"/>
  <c r="BX221" i="14"/>
  <c r="BX248" i="14"/>
  <c r="BX249" i="14" s="1"/>
  <c r="BX250" i="14" s="1"/>
  <c r="CB29" i="1"/>
  <c r="BU30" i="1"/>
  <c r="AZ21" i="34" s="1"/>
  <c r="BU43" i="1"/>
  <c r="BU46" i="1"/>
  <c r="AZ20" i="34"/>
  <c r="CR29" i="1"/>
  <c r="AZ18" i="14"/>
  <c r="AZ50" i="1"/>
  <c r="AZ1243" i="34" s="1"/>
  <c r="AZ51" i="1"/>
  <c r="AZ53" i="1"/>
  <c r="AZ100" i="1"/>
  <c r="AZ1242" i="34"/>
  <c r="BD47" i="1"/>
  <c r="BD1240" i="34" s="1"/>
  <c r="BD137" i="1"/>
  <c r="BD1239" i="34"/>
  <c r="AZ140" i="1"/>
  <c r="AZ142" i="1" s="1"/>
  <c r="BS140" i="1"/>
  <c r="AX128" i="34" s="1"/>
  <c r="AX125" i="34"/>
  <c r="BC41" i="14"/>
  <c r="BC42" i="14" s="1"/>
  <c r="AD32" i="35"/>
  <c r="U47" i="35"/>
  <c r="W47" i="35" s="1"/>
  <c r="BT172" i="1"/>
  <c r="AY158" i="34"/>
  <c r="BD49" i="1"/>
  <c r="BD44" i="1"/>
  <c r="BD1237" i="34" s="1"/>
  <c r="BD136" i="1"/>
  <c r="BD1236" i="34"/>
  <c r="AX161" i="34"/>
  <c r="BZ34" i="1"/>
  <c r="AT75" i="1"/>
  <c r="AT1268" i="34" s="1"/>
  <c r="AT1264" i="34"/>
  <c r="BT215" i="1"/>
  <c r="AY198" i="34"/>
  <c r="BC207" i="14"/>
  <c r="BD215" i="14"/>
  <c r="BU29" i="14"/>
  <c r="BU30" i="14" s="1"/>
  <c r="BU31" i="14"/>
  <c r="BU33" i="14"/>
  <c r="BU220" i="14"/>
  <c r="BU131" i="1"/>
  <c r="AZ119" i="34" s="1"/>
  <c r="BU169" i="1"/>
  <c r="BU188" i="1"/>
  <c r="AZ155" i="34"/>
  <c r="BA128" i="14"/>
  <c r="BA129" i="14" s="1"/>
  <c r="BA203" i="14"/>
  <c r="BT49" i="1"/>
  <c r="CQ43" i="1"/>
  <c r="BT44" i="1"/>
  <c r="AY35" i="34" s="1"/>
  <c r="BT136" i="1"/>
  <c r="AY124" i="34" s="1"/>
  <c r="AY34" i="34"/>
  <c r="V16" i="4"/>
  <c r="V1295" i="34" s="1"/>
  <c r="V16" i="42"/>
  <c r="V16" i="40"/>
  <c r="AX201" i="34"/>
  <c r="BW85" i="14"/>
  <c r="BW87" i="14"/>
  <c r="BW83" i="14"/>
  <c r="BW89" i="14" s="1"/>
  <c r="BW84" i="14"/>
  <c r="BS129" i="14"/>
  <c r="BS137" i="14" s="1"/>
  <c r="AY634" i="34"/>
  <c r="AB18" i="4"/>
  <c r="AB1297" i="34" s="1"/>
  <c r="AB18" i="40"/>
  <c r="BY289" i="1"/>
  <c r="BY293" i="1"/>
  <c r="BY204" i="1"/>
  <c r="AT1257" i="34"/>
  <c r="AZ668" i="34"/>
  <c r="BW36" i="14"/>
  <c r="BV28" i="14"/>
  <c r="BD215" i="1"/>
  <c r="CQ46" i="1"/>
  <c r="BT47" i="1"/>
  <c r="AY38" i="34" s="1"/>
  <c r="BT137" i="1"/>
  <c r="AY37" i="34"/>
  <c r="AV22" i="14"/>
  <c r="AW22" i="14"/>
  <c r="AV21" i="14"/>
  <c r="BW41" i="1"/>
  <c r="BW39" i="1"/>
  <c r="BB177" i="1"/>
  <c r="W15" i="35"/>
  <c r="W34" i="35" s="1"/>
  <c r="W33" i="35"/>
  <c r="AV20" i="14"/>
  <c r="AV1246" i="34"/>
  <c r="BT100" i="14"/>
  <c r="BT111" i="14" s="1"/>
  <c r="BT112" i="14" s="1"/>
  <c r="AZ669" i="34"/>
  <c r="BZ33" i="1"/>
  <c r="V14" i="4"/>
  <c r="BR18" i="14"/>
  <c r="BS51" i="1"/>
  <c r="CK49" i="1"/>
  <c r="BS53" i="1"/>
  <c r="BS100" i="1"/>
  <c r="CP49" i="1"/>
  <c r="E28" i="3" s="1"/>
  <c r="E52" i="3" s="1"/>
  <c r="BS50" i="1"/>
  <c r="BS245" i="1"/>
  <c r="AX231" i="34" s="1"/>
  <c r="AD14" i="35"/>
  <c r="AX40" i="34"/>
  <c r="L64" i="3"/>
  <c r="BD41" i="14"/>
  <c r="BD42" i="14" s="1"/>
  <c r="BT205" i="14"/>
  <c r="BZ36" i="1"/>
  <c r="BU189" i="1"/>
  <c r="AZ143" i="34"/>
  <c r="AZ198" i="34" l="1"/>
  <c r="BT41" i="14"/>
  <c r="BT42" i="14" s="1"/>
  <c r="BT51" i="14" s="1"/>
  <c r="AT201" i="1"/>
  <c r="AT180" i="1" s="1"/>
  <c r="AT77" i="1"/>
  <c r="AT1270" i="34" s="1"/>
  <c r="AT78" i="1"/>
  <c r="U16" i="35" s="1"/>
  <c r="U35" i="35" s="1"/>
  <c r="BS142" i="1"/>
  <c r="AX130" i="34" s="1"/>
  <c r="AX88" i="34"/>
  <c r="BR21" i="14"/>
  <c r="AX585" i="34" s="1"/>
  <c r="AX582" i="34"/>
  <c r="BV189" i="1"/>
  <c r="AZ178" i="34"/>
  <c r="BR20" i="14"/>
  <c r="AX584" i="34" s="1"/>
  <c r="BR2" i="14"/>
  <c r="AX42" i="34"/>
  <c r="BV31" i="14"/>
  <c r="BV33" i="14"/>
  <c r="BV29" i="14"/>
  <c r="BV30" i="14" s="1"/>
  <c r="BV220" i="14"/>
  <c r="W14" i="4"/>
  <c r="BS18" i="14"/>
  <c r="CQ49" i="1"/>
  <c r="F28" i="3" s="1"/>
  <c r="F52" i="3" s="1"/>
  <c r="BT50" i="1"/>
  <c r="BT51" i="1"/>
  <c r="BT53" i="1"/>
  <c r="BT100" i="1"/>
  <c r="BT245" i="1"/>
  <c r="AY231" i="34" s="1"/>
  <c r="AE14" i="35"/>
  <c r="AY40" i="34"/>
  <c r="W16" i="4"/>
  <c r="W1295" i="34" s="1"/>
  <c r="W16" i="42"/>
  <c r="W16" i="40"/>
  <c r="AY201" i="34"/>
  <c r="BD140" i="1"/>
  <c r="BD142" i="1" s="1"/>
  <c r="AZ22" i="14"/>
  <c r="AZ21" i="14"/>
  <c r="BA22" i="14"/>
  <c r="CB43" i="1"/>
  <c r="BU49" i="1"/>
  <c r="BU44" i="1"/>
  <c r="AZ35" i="34" s="1"/>
  <c r="BU136" i="1"/>
  <c r="AZ124" i="34" s="1"/>
  <c r="AZ34" i="34"/>
  <c r="CR43" i="1"/>
  <c r="BY32" i="1"/>
  <c r="BB128" i="14"/>
  <c r="BB129" i="14" s="1"/>
  <c r="BB203" i="14"/>
  <c r="BX36" i="14"/>
  <c r="BW28" i="14"/>
  <c r="BV28" i="1"/>
  <c r="BU224" i="14"/>
  <c r="BD207" i="14"/>
  <c r="BT207" i="14" s="1"/>
  <c r="BT215" i="14"/>
  <c r="BD18" i="14"/>
  <c r="BD53" i="1"/>
  <c r="BD100" i="1"/>
  <c r="BD50" i="1"/>
  <c r="BD1243" i="34" s="1"/>
  <c r="BD51" i="1"/>
  <c r="BD1242" i="34"/>
  <c r="AZ20" i="14"/>
  <c r="AZ1246" i="34"/>
  <c r="BX84" i="14"/>
  <c r="BX85" i="14"/>
  <c r="BX87" i="14"/>
  <c r="BX83" i="14"/>
  <c r="BX89" i="14" s="1"/>
  <c r="BX39" i="1"/>
  <c r="BX41" i="1"/>
  <c r="AC18" i="4"/>
  <c r="AC1297" i="34" s="1"/>
  <c r="AC18" i="40"/>
  <c r="BZ204" i="1"/>
  <c r="BZ289" i="1"/>
  <c r="BZ293" i="1"/>
  <c r="BR19" i="14"/>
  <c r="AX583" i="34" s="1"/>
  <c r="BS52" i="1"/>
  <c r="AX41" i="34"/>
  <c r="V22" i="4"/>
  <c r="V23" i="4"/>
  <c r="V1302" i="34" s="1"/>
  <c r="V1293" i="34"/>
  <c r="BC177" i="1"/>
  <c r="X16" i="4"/>
  <c r="X1295" i="34" s="1"/>
  <c r="X16" i="40"/>
  <c r="X16" i="42"/>
  <c r="Y16" i="42" s="1"/>
  <c r="Z16" i="42" s="1"/>
  <c r="AA16" i="42" s="1"/>
  <c r="AB16" i="42" s="1"/>
  <c r="AC16" i="42" s="1"/>
  <c r="AZ201" i="34"/>
  <c r="BV188" i="1"/>
  <c r="BW188" i="1" s="1"/>
  <c r="BX188" i="1" s="1"/>
  <c r="BY188" i="1" s="1"/>
  <c r="BZ188" i="1" s="1"/>
  <c r="AZ177" i="34"/>
  <c r="AZ19" i="14"/>
  <c r="AZ52" i="1"/>
  <c r="AZ1245" i="34" s="1"/>
  <c r="AZ1244" i="34"/>
  <c r="BT140" i="1"/>
  <c r="AY128" i="34" s="1"/>
  <c r="AY125" i="34"/>
  <c r="BT92" i="14"/>
  <c r="BT93" i="14" s="1"/>
  <c r="BT103" i="14" s="1"/>
  <c r="AZ661" i="34"/>
  <c r="AD36" i="35"/>
  <c r="AD33" i="35"/>
  <c r="AC39" i="35" s="1"/>
  <c r="AD7" i="35"/>
  <c r="AD15" i="35"/>
  <c r="U48" i="35"/>
  <c r="W48" i="35" s="1"/>
  <c r="BU172" i="1"/>
  <c r="AZ158" i="34"/>
  <c r="AY161" i="34"/>
  <c r="CB46" i="1"/>
  <c r="BU47" i="1"/>
  <c r="AZ38" i="34" s="1"/>
  <c r="BU137" i="1"/>
  <c r="AZ37" i="34"/>
  <c r="CR46" i="1"/>
  <c r="BY65" i="14"/>
  <c r="BY66" i="14" s="1"/>
  <c r="BY68" i="14"/>
  <c r="BY82" i="14"/>
  <c r="BY221" i="14"/>
  <c r="BY248" i="14"/>
  <c r="BY249" i="14" s="1"/>
  <c r="BY250" i="14" s="1"/>
  <c r="BC206" i="14"/>
  <c r="BD214" i="14"/>
  <c r="BD206" i="14" s="1"/>
  <c r="BT214" i="14"/>
  <c r="BV190" i="1"/>
  <c r="AZ179" i="34"/>
  <c r="AT207" i="1" l="1"/>
  <c r="AT216" i="1" s="1"/>
  <c r="AT247" i="1" s="1"/>
  <c r="AT249" i="1" s="1"/>
  <c r="AT1271" i="34"/>
  <c r="BT142" i="1"/>
  <c r="BD177" i="1"/>
  <c r="BD20" i="14"/>
  <c r="BD1246" i="34"/>
  <c r="BW31" i="14"/>
  <c r="BW33" i="14"/>
  <c r="BW29" i="14"/>
  <c r="BW30" i="14" s="1"/>
  <c r="BW220" i="14"/>
  <c r="AE36" i="35"/>
  <c r="AE33" i="35"/>
  <c r="AD39" i="35" s="1"/>
  <c r="AE7" i="35"/>
  <c r="AE15" i="35"/>
  <c r="AE34" i="35" s="1"/>
  <c r="BS19" i="14"/>
  <c r="AY583" i="34" s="1"/>
  <c r="BT52" i="1"/>
  <c r="AY41" i="34"/>
  <c r="BW189" i="1"/>
  <c r="BV156" i="1"/>
  <c r="BD128" i="14"/>
  <c r="BD129" i="14" s="1"/>
  <c r="BD203" i="14"/>
  <c r="BY83" i="14"/>
  <c r="BY89" i="14" s="1"/>
  <c r="BY84" i="14"/>
  <c r="BY85" i="14"/>
  <c r="BY87" i="14"/>
  <c r="AZ161" i="34"/>
  <c r="AD34" i="35"/>
  <c r="U49" i="35"/>
  <c r="W49" i="35" s="1"/>
  <c r="BT160" i="14"/>
  <c r="BT161" i="14" s="1"/>
  <c r="AZ663" i="34"/>
  <c r="AT181" i="1"/>
  <c r="AT182" i="1" s="1"/>
  <c r="BD19" i="14"/>
  <c r="BD52" i="1"/>
  <c r="BD1245" i="34" s="1"/>
  <c r="BD1244" i="34"/>
  <c r="BD21" i="14"/>
  <c r="BD22" i="14"/>
  <c r="BX28" i="14"/>
  <c r="BY36" i="14"/>
  <c r="BY28" i="14" s="1"/>
  <c r="X14" i="4"/>
  <c r="BT18" i="14"/>
  <c r="CB49" i="1"/>
  <c r="BG40" i="34" s="1"/>
  <c r="BU53" i="1"/>
  <c r="BT4" i="14" s="1"/>
  <c r="BU100" i="1"/>
  <c r="BU50" i="1"/>
  <c r="BU48" i="1"/>
  <c r="AZ39" i="34" s="1"/>
  <c r="BU51" i="1"/>
  <c r="BU245" i="1"/>
  <c r="AZ231" i="34" s="1"/>
  <c r="AZ40" i="34"/>
  <c r="CR49" i="1"/>
  <c r="G28" i="3" s="1"/>
  <c r="G52" i="3" s="1"/>
  <c r="BW28" i="1"/>
  <c r="BV224" i="14"/>
  <c r="BV29" i="1"/>
  <c r="BV166" i="1"/>
  <c r="BY39" i="1"/>
  <c r="BY41" i="1"/>
  <c r="AY88" i="34"/>
  <c r="W23" i="4"/>
  <c r="W1302" i="34" s="1"/>
  <c r="W22" i="4"/>
  <c r="W22" i="42" s="1"/>
  <c r="W1293" i="34"/>
  <c r="BT134" i="14"/>
  <c r="BT144" i="14" s="1"/>
  <c r="BT145" i="14" s="1"/>
  <c r="AZ670" i="34"/>
  <c r="BT217" i="14"/>
  <c r="BU214" i="14" s="1"/>
  <c r="BZ32" i="1"/>
  <c r="BC128" i="14"/>
  <c r="BC129" i="14" s="1"/>
  <c r="BT206" i="14"/>
  <c r="BC203" i="14"/>
  <c r="BU140" i="1"/>
  <c r="AZ128" i="34" s="1"/>
  <c r="AZ125" i="34"/>
  <c r="AE22" i="4"/>
  <c r="V22" i="40"/>
  <c r="V22" i="42"/>
  <c r="V1301" i="34"/>
  <c r="BT165" i="14"/>
  <c r="BT181" i="14" s="1"/>
  <c r="BT182" i="14" s="1"/>
  <c r="AZ671" i="34"/>
  <c r="BW190" i="1"/>
  <c r="BV167" i="1"/>
  <c r="BV132" i="1" s="1"/>
  <c r="BS2" i="14"/>
  <c r="BS20" i="14"/>
  <c r="AY584" i="34" s="1"/>
  <c r="AY42" i="34"/>
  <c r="BS21" i="14"/>
  <c r="AY585" i="34" s="1"/>
  <c r="AY582" i="34"/>
  <c r="AT239" i="1" l="1"/>
  <c r="AT241" i="1" s="1"/>
  <c r="AT153" i="1" s="1"/>
  <c r="AT110" i="1"/>
  <c r="AT106" i="1"/>
  <c r="AT107" i="1" s="1"/>
  <c r="BU215" i="14"/>
  <c r="BU165" i="14" s="1"/>
  <c r="BU181" i="14" s="1"/>
  <c r="BU182" i="14" s="1"/>
  <c r="AT252" i="1"/>
  <c r="AT253" i="1"/>
  <c r="AT250" i="1"/>
  <c r="V14" i="42"/>
  <c r="AE22" i="42"/>
  <c r="W14" i="42"/>
  <c r="W22" i="40"/>
  <c r="W14" i="40" s="1"/>
  <c r="W1301" i="34"/>
  <c r="BT128" i="14"/>
  <c r="AZ662" i="34"/>
  <c r="BT203" i="14"/>
  <c r="AZ659" i="34" s="1"/>
  <c r="AZ673" i="34"/>
  <c r="BU212" i="14"/>
  <c r="BU213" i="14"/>
  <c r="BV30" i="1"/>
  <c r="BV43" i="1"/>
  <c r="BV46" i="1"/>
  <c r="BT19" i="14"/>
  <c r="AZ583" i="34" s="1"/>
  <c r="BU52" i="1"/>
  <c r="AZ41" i="34"/>
  <c r="BT2" i="14"/>
  <c r="BT20" i="14"/>
  <c r="AZ584" i="34" s="1"/>
  <c r="AZ42" i="34"/>
  <c r="BT169" i="14"/>
  <c r="BX189" i="1"/>
  <c r="BW156" i="1"/>
  <c r="BW212" i="1" s="1"/>
  <c r="BU134" i="14"/>
  <c r="BU144" i="14" s="1"/>
  <c r="BU145" i="14" s="1"/>
  <c r="BU206" i="14"/>
  <c r="BU128" i="14" s="1"/>
  <c r="BV214" i="14"/>
  <c r="X23" i="4"/>
  <c r="X1302" i="34" s="1"/>
  <c r="X22" i="4"/>
  <c r="X22" i="42" s="1"/>
  <c r="X1293" i="34"/>
  <c r="BX190" i="1"/>
  <c r="BW167" i="1"/>
  <c r="BW132" i="1" s="1"/>
  <c r="V14" i="40"/>
  <c r="AE22" i="40"/>
  <c r="BU142" i="1"/>
  <c r="BZ39" i="1"/>
  <c r="BZ41" i="1"/>
  <c r="BY29" i="14"/>
  <c r="BY31" i="14"/>
  <c r="BY33" i="14"/>
  <c r="BY220" i="14"/>
  <c r="BW224" i="14"/>
  <c r="BX28" i="1"/>
  <c r="BV131" i="1"/>
  <c r="BV169" i="1"/>
  <c r="BV172" i="1" s="1"/>
  <c r="BV213" i="1"/>
  <c r="BW29" i="1"/>
  <c r="BW166" i="1"/>
  <c r="AZ88" i="34"/>
  <c r="BT21" i="14"/>
  <c r="AZ585" i="34" s="1"/>
  <c r="AZ582" i="34"/>
  <c r="BX29" i="14"/>
  <c r="BX30" i="14" s="1"/>
  <c r="BX31" i="14"/>
  <c r="BX33" i="14"/>
  <c r="BX220" i="14"/>
  <c r="BV212" i="1"/>
  <c r="BU177" i="1"/>
  <c r="AY130" i="34"/>
  <c r="AU238" i="1" l="1"/>
  <c r="AT113" i="1"/>
  <c r="AT115" i="1"/>
  <c r="AT121" i="1" s="1"/>
  <c r="AT105" i="1"/>
  <c r="AT123" i="1" s="1"/>
  <c r="AT109" i="1"/>
  <c r="BV215" i="14"/>
  <c r="BV165" i="14" s="1"/>
  <c r="BV181" i="14" s="1"/>
  <c r="BV182" i="14" s="1"/>
  <c r="BU207" i="14"/>
  <c r="BU160" i="14" s="1"/>
  <c r="BU161" i="14" s="1"/>
  <c r="BU129" i="14"/>
  <c r="BU137" i="14" s="1"/>
  <c r="BV215" i="1"/>
  <c r="BW30" i="1"/>
  <c r="BW43" i="1"/>
  <c r="BW46" i="1"/>
  <c r="BX29" i="1"/>
  <c r="BX166" i="1"/>
  <c r="BV134" i="14"/>
  <c r="BV144" i="14" s="1"/>
  <c r="BV145" i="14" s="1"/>
  <c r="BV206" i="14"/>
  <c r="BV128" i="14" s="1"/>
  <c r="BV129" i="14" s="1"/>
  <c r="BW214" i="14"/>
  <c r="V23" i="42"/>
  <c r="BU100" i="14"/>
  <c r="BU111" i="14" s="1"/>
  <c r="BU112" i="14" s="1"/>
  <c r="BV213" i="14"/>
  <c r="BU205" i="14"/>
  <c r="BU92" i="14" s="1"/>
  <c r="BU93" i="14" s="1"/>
  <c r="W23" i="40"/>
  <c r="X14" i="42"/>
  <c r="X22" i="40"/>
  <c r="X14" i="40" s="1"/>
  <c r="X1301" i="34"/>
  <c r="BV177" i="1"/>
  <c r="BU292" i="1"/>
  <c r="AZ166" i="34"/>
  <c r="BY28" i="1"/>
  <c r="BX224" i="14"/>
  <c r="BV207" i="14"/>
  <c r="BV160" i="14" s="1"/>
  <c r="BV161" i="14" s="1"/>
  <c r="BY30" i="14"/>
  <c r="BV47" i="1"/>
  <c r="BV137" i="1"/>
  <c r="BV212" i="14"/>
  <c r="BU204" i="14"/>
  <c r="BT129" i="14"/>
  <c r="BT137" i="14" s="1"/>
  <c r="AZ634" i="34"/>
  <c r="W23" i="42"/>
  <c r="AZ130" i="34"/>
  <c r="BY190" i="1"/>
  <c r="BX167" i="1"/>
  <c r="BX132" i="1" s="1"/>
  <c r="BW213" i="1"/>
  <c r="BW215" i="1" s="1"/>
  <c r="BW131" i="1"/>
  <c r="BW169" i="1"/>
  <c r="BW172" i="1" s="1"/>
  <c r="BU169" i="14"/>
  <c r="BZ28" i="1"/>
  <c r="BY224" i="14"/>
  <c r="V23" i="40"/>
  <c r="AT157" i="1"/>
  <c r="AT130" i="1"/>
  <c r="AT242" i="1"/>
  <c r="AT279" i="1"/>
  <c r="AU280" i="1"/>
  <c r="AU281" i="1" s="1"/>
  <c r="BY189" i="1"/>
  <c r="BX156" i="1"/>
  <c r="BX212" i="1" s="1"/>
  <c r="BV44" i="1"/>
  <c r="BV49" i="1"/>
  <c r="BV136" i="1"/>
  <c r="BW215" i="14" l="1"/>
  <c r="BW165" i="14" s="1"/>
  <c r="BW181" i="14" s="1"/>
  <c r="BW182" i="14" s="1"/>
  <c r="BU103" i="14"/>
  <c r="BU3" i="14" s="1"/>
  <c r="Y16" i="4"/>
  <c r="Y1295" i="34" s="1"/>
  <c r="Y16" i="40"/>
  <c r="Z16" i="4"/>
  <c r="Z1295" i="34" s="1"/>
  <c r="Z16" i="40"/>
  <c r="BW212" i="14"/>
  <c r="BV204" i="14"/>
  <c r="X23" i="42"/>
  <c r="BX213" i="1"/>
  <c r="BX215" i="1" s="1"/>
  <c r="BX131" i="1"/>
  <c r="BX169" i="1"/>
  <c r="BX172" i="1" s="1"/>
  <c r="H50" i="3"/>
  <c r="H27" i="3"/>
  <c r="BX30" i="1"/>
  <c r="BX43" i="1"/>
  <c r="BX46" i="1"/>
  <c r="BZ189" i="1"/>
  <c r="BZ156" i="1" s="1"/>
  <c r="BY156" i="1"/>
  <c r="BW177" i="1"/>
  <c r="BV292" i="1"/>
  <c r="AU58" i="1"/>
  <c r="AT124" i="1"/>
  <c r="AT125" i="1" s="1"/>
  <c r="AT162" i="1"/>
  <c r="BV169" i="14"/>
  <c r="BV100" i="14"/>
  <c r="BV111" i="14" s="1"/>
  <c r="BV112" i="14" s="1"/>
  <c r="BW213" i="14"/>
  <c r="BV205" i="14"/>
  <c r="BV92" i="14" s="1"/>
  <c r="BV93" i="14" s="1"/>
  <c r="BW134" i="14"/>
  <c r="BW144" i="14" s="1"/>
  <c r="BW145" i="14" s="1"/>
  <c r="BW206" i="14"/>
  <c r="BW128" i="14" s="1"/>
  <c r="BW129" i="14" s="1"/>
  <c r="BX214" i="14"/>
  <c r="BW47" i="1"/>
  <c r="BW137" i="1"/>
  <c r="Y14" i="4"/>
  <c r="BU18" i="14"/>
  <c r="BU21" i="14" s="1"/>
  <c r="BV53" i="1"/>
  <c r="BU4" i="14" s="1"/>
  <c r="BV100" i="1"/>
  <c r="BV50" i="1"/>
  <c r="BV51" i="1"/>
  <c r="BA40" i="34"/>
  <c r="BV245" i="1"/>
  <c r="BV140" i="1"/>
  <c r="BV142" i="1" s="1"/>
  <c r="BY29" i="1"/>
  <c r="BY166" i="1"/>
  <c r="BZ29" i="1"/>
  <c r="BZ166" i="1"/>
  <c r="BZ190" i="1"/>
  <c r="BZ167" i="1" s="1"/>
  <c r="BZ132" i="1" s="1"/>
  <c r="BY167" i="1"/>
  <c r="BY132" i="1" s="1"/>
  <c r="BU41" i="14"/>
  <c r="BU42" i="14" s="1"/>
  <c r="BU51" i="14" s="1"/>
  <c r="BU203" i="14"/>
  <c r="X23" i="40"/>
  <c r="BV137" i="14"/>
  <c r="BW49" i="1"/>
  <c r="BW44" i="1"/>
  <c r="BW136" i="1"/>
  <c r="BX215" i="14" l="1"/>
  <c r="BX207" i="14" s="1"/>
  <c r="BX160" i="14" s="1"/>
  <c r="BX161" i="14" s="1"/>
  <c r="BW207" i="14"/>
  <c r="BW160" i="14" s="1"/>
  <c r="BW161" i="14" s="1"/>
  <c r="BW169" i="14" s="1"/>
  <c r="BV103" i="14"/>
  <c r="BV3" i="14" s="1"/>
  <c r="BZ212" i="1"/>
  <c r="BU19" i="14"/>
  <c r="BV52" i="1"/>
  <c r="BA41" i="34"/>
  <c r="AU62" i="1"/>
  <c r="AU56" i="1"/>
  <c r="AU1251" i="34"/>
  <c r="Z14" i="4"/>
  <c r="BV18" i="14"/>
  <c r="BV21" i="14" s="1"/>
  <c r="BW51" i="1"/>
  <c r="BW53" i="1"/>
  <c r="BV4" i="14" s="1"/>
  <c r="BW100" i="1"/>
  <c r="BW50" i="1"/>
  <c r="BW245" i="1"/>
  <c r="BB40" i="34"/>
  <c r="BU20" i="14"/>
  <c r="BU2" i="14"/>
  <c r="BA42" i="34"/>
  <c r="BW140" i="1"/>
  <c r="BW142" i="1" s="1"/>
  <c r="BW137" i="14"/>
  <c r="BX47" i="1"/>
  <c r="BX137" i="1"/>
  <c r="I27" i="3"/>
  <c r="I50" i="3"/>
  <c r="AA16" i="4"/>
  <c r="AA1295" i="34" s="1"/>
  <c r="AA16" i="40"/>
  <c r="BY131" i="1"/>
  <c r="BY169" i="1"/>
  <c r="BY172" i="1" s="1"/>
  <c r="BY213" i="1"/>
  <c r="BX165" i="14"/>
  <c r="BX181" i="14" s="1"/>
  <c r="BX182" i="14" s="1"/>
  <c r="BX49" i="1"/>
  <c r="BX44" i="1"/>
  <c r="BX136" i="1"/>
  <c r="BZ131" i="1"/>
  <c r="BZ169" i="1"/>
  <c r="BZ172" i="1" s="1"/>
  <c r="BZ213" i="1"/>
  <c r="BY30" i="1"/>
  <c r="BY43" i="1"/>
  <c r="BY46" i="1"/>
  <c r="AT183" i="1"/>
  <c r="AT129" i="1"/>
  <c r="AT133" i="1" s="1"/>
  <c r="AT144" i="1" s="1"/>
  <c r="BV41" i="14"/>
  <c r="BV42" i="14" s="1"/>
  <c r="BV51" i="14" s="1"/>
  <c r="BV203" i="14"/>
  <c r="BZ30" i="1"/>
  <c r="BZ43" i="1"/>
  <c r="BZ46" i="1"/>
  <c r="AE14" i="4"/>
  <c r="Y23" i="4"/>
  <c r="Y1302" i="34" s="1"/>
  <c r="Y22" i="4"/>
  <c r="Y22" i="42" s="1"/>
  <c r="Y1293" i="34"/>
  <c r="BX134" i="14"/>
  <c r="BX144" i="14" s="1"/>
  <c r="BX145" i="14" s="1"/>
  <c r="BX206" i="14"/>
  <c r="BX128" i="14" s="1"/>
  <c r="BX129" i="14" s="1"/>
  <c r="BY214" i="14"/>
  <c r="BW100" i="14"/>
  <c r="BW111" i="14" s="1"/>
  <c r="BW112" i="14" s="1"/>
  <c r="BX213" i="14"/>
  <c r="BW205" i="14"/>
  <c r="BW92" i="14" s="1"/>
  <c r="BW93" i="14" s="1"/>
  <c r="BX177" i="1"/>
  <c r="BW292" i="1"/>
  <c r="BY212" i="1"/>
  <c r="BX212" i="14"/>
  <c r="BW204" i="14"/>
  <c r="BY215" i="14" l="1"/>
  <c r="BY207" i="14" s="1"/>
  <c r="BY160" i="14" s="1"/>
  <c r="BY161" i="14" s="1"/>
  <c r="BX169" i="14"/>
  <c r="BZ215" i="1"/>
  <c r="BY215" i="1"/>
  <c r="AB16" i="4" s="1"/>
  <c r="AB1295" i="34" s="1"/>
  <c r="BW103" i="14"/>
  <c r="BW3" i="14" s="1"/>
  <c r="BX137" i="14"/>
  <c r="BY212" i="14"/>
  <c r="BY204" i="14" s="1"/>
  <c r="BX204" i="14"/>
  <c r="BY177" i="1"/>
  <c r="BX292" i="1"/>
  <c r="BY134" i="14"/>
  <c r="BY144" i="14" s="1"/>
  <c r="BY145" i="14" s="1"/>
  <c r="BY206" i="14"/>
  <c r="BY128" i="14" s="1"/>
  <c r="BY129" i="14" s="1"/>
  <c r="BY137" i="14" s="1"/>
  <c r="Y14" i="42"/>
  <c r="Y22" i="40"/>
  <c r="Y14" i="40" s="1"/>
  <c r="Y1301" i="34"/>
  <c r="BZ44" i="1"/>
  <c r="BZ49" i="1"/>
  <c r="BZ136" i="1"/>
  <c r="BY47" i="1"/>
  <c r="BY137" i="1"/>
  <c r="BY165" i="14"/>
  <c r="BY181" i="14" s="1"/>
  <c r="BY182" i="14" s="1"/>
  <c r="BX140" i="1"/>
  <c r="BX142" i="1" s="1"/>
  <c r="BV19" i="14"/>
  <c r="BW52" i="1"/>
  <c r="BB41" i="34"/>
  <c r="BX100" i="14"/>
  <c r="BX111" i="14" s="1"/>
  <c r="BX112" i="14" s="1"/>
  <c r="BY213" i="14"/>
  <c r="BX205" i="14"/>
  <c r="BX92" i="14" s="1"/>
  <c r="BX93" i="14" s="1"/>
  <c r="AU60" i="1"/>
  <c r="AU1249" i="34"/>
  <c r="BY49" i="1"/>
  <c r="BY44" i="1"/>
  <c r="BY136" i="1"/>
  <c r="BW41" i="14"/>
  <c r="BW42" i="14" s="1"/>
  <c r="BW51" i="14" s="1"/>
  <c r="BW203" i="14"/>
  <c r="BZ47" i="1"/>
  <c r="BZ137" i="1"/>
  <c r="AA14" i="4"/>
  <c r="BW18" i="14"/>
  <c r="BW21" i="14" s="1"/>
  <c r="BX50" i="1"/>
  <c r="BX51" i="1"/>
  <c r="BX53" i="1"/>
  <c r="BW4" i="14" s="1"/>
  <c r="BX100" i="1"/>
  <c r="BX245" i="1"/>
  <c r="BC40" i="34"/>
  <c r="BV20" i="14"/>
  <c r="BV2" i="14"/>
  <c r="BB42" i="34"/>
  <c r="Z22" i="4"/>
  <c r="Z22" i="42" s="1"/>
  <c r="Z23" i="4"/>
  <c r="Z1302" i="34" s="1"/>
  <c r="Z1293" i="34"/>
  <c r="AU67" i="1"/>
  <c r="AU1260" i="34" s="1"/>
  <c r="AU1255" i="34"/>
  <c r="AB16" i="40" l="1"/>
  <c r="AC16" i="40"/>
  <c r="AC16" i="4"/>
  <c r="AC1295" i="34" s="1"/>
  <c r="BX103" i="14"/>
  <c r="BX3" i="14" s="1"/>
  <c r="BW19" i="14"/>
  <c r="BX52" i="1"/>
  <c r="BC41" i="34"/>
  <c r="BW2" i="14"/>
  <c r="BW20" i="14"/>
  <c r="BC42" i="34"/>
  <c r="BY169" i="14"/>
  <c r="Y23" i="42"/>
  <c r="AE14" i="42"/>
  <c r="AA23" i="4"/>
  <c r="AA1302" i="34" s="1"/>
  <c r="AA22" i="4"/>
  <c r="AA22" i="42" s="1"/>
  <c r="AA1293" i="34"/>
  <c r="BY100" i="14"/>
  <c r="BY111" i="14" s="1"/>
  <c r="BY112" i="14" s="1"/>
  <c r="BY205" i="14"/>
  <c r="BY92" i="14" s="1"/>
  <c r="BY93" i="14" s="1"/>
  <c r="BZ177" i="1"/>
  <c r="BY292" i="1"/>
  <c r="Z22" i="40"/>
  <c r="Z14" i="40" s="1"/>
  <c r="Z14" i="42"/>
  <c r="Z1301" i="34"/>
  <c r="BZ140" i="1"/>
  <c r="BZ142" i="1" s="1"/>
  <c r="AB14" i="4"/>
  <c r="BX18" i="14"/>
  <c r="BX21" i="14" s="1"/>
  <c r="BY53" i="1"/>
  <c r="BX4" i="14" s="1"/>
  <c r="BY100" i="1"/>
  <c r="BY50" i="1"/>
  <c r="BY51" i="1"/>
  <c r="BY245" i="1"/>
  <c r="BD40" i="34"/>
  <c r="H52" i="3"/>
  <c r="BX41" i="14"/>
  <c r="BX42" i="14" s="1"/>
  <c r="BX51" i="14" s="1"/>
  <c r="BX203" i="14"/>
  <c r="AU66" i="1"/>
  <c r="AU64" i="1"/>
  <c r="AU71" i="1" s="1"/>
  <c r="AU1253" i="34"/>
  <c r="BY140" i="1"/>
  <c r="BY142" i="1" s="1"/>
  <c r="AC14" i="4"/>
  <c r="BY18" i="14"/>
  <c r="BY21" i="14" s="1"/>
  <c r="BZ53" i="1"/>
  <c r="BY4" i="14" s="1"/>
  <c r="BZ100" i="1"/>
  <c r="BZ50" i="1"/>
  <c r="BZ51" i="1"/>
  <c r="BE40" i="34"/>
  <c r="BZ245" i="1"/>
  <c r="Y23" i="40"/>
  <c r="BY41" i="14"/>
  <c r="BY42" i="14" l="1"/>
  <c r="BY51" i="14" s="1"/>
  <c r="BY203" i="14"/>
  <c r="BY103" i="14"/>
  <c r="BY3" i="14" s="1"/>
  <c r="BY19" i="14"/>
  <c r="BZ52" i="1"/>
  <c r="BE41" i="34"/>
  <c r="AB23" i="4"/>
  <c r="AB1302" i="34" s="1"/>
  <c r="AB22" i="4"/>
  <c r="AB22" i="42" s="1"/>
  <c r="AB1293" i="34"/>
  <c r="Z23" i="42"/>
  <c r="BZ292" i="1"/>
  <c r="BX2" i="14"/>
  <c r="BX20" i="14"/>
  <c r="BD42" i="34"/>
  <c r="AU1259" i="34"/>
  <c r="AU73" i="1"/>
  <c r="Z23" i="40"/>
  <c r="AC23" i="4"/>
  <c r="AC1302" i="34" s="1"/>
  <c r="AC22" i="4"/>
  <c r="AC22" i="42" s="1"/>
  <c r="AC1293" i="34"/>
  <c r="AU75" i="1"/>
  <c r="AU1268" i="34" s="1"/>
  <c r="AU1264" i="34"/>
  <c r="BX19" i="14"/>
  <c r="BY52" i="1"/>
  <c r="BD41" i="34"/>
  <c r="I52" i="3"/>
  <c r="AA14" i="42"/>
  <c r="AA22" i="40"/>
  <c r="AA14" i="40" s="1"/>
  <c r="AA1301" i="34"/>
  <c r="BY20" i="14"/>
  <c r="BY2" i="14"/>
  <c r="BE42" i="34"/>
  <c r="AU1257" i="34"/>
  <c r="AA23" i="42" l="1"/>
  <c r="AD22" i="4"/>
  <c r="AD22" i="40" s="1"/>
  <c r="AC22" i="40"/>
  <c r="AC14" i="40" s="1"/>
  <c r="AC1301" i="34"/>
  <c r="AB14" i="42"/>
  <c r="AB22" i="40"/>
  <c r="AB14" i="40" s="1"/>
  <c r="AB1301" i="34"/>
  <c r="AU78" i="1"/>
  <c r="AU77" i="1"/>
  <c r="AU1270" i="34" s="1"/>
  <c r="AU201" i="1"/>
  <c r="AU1266" i="34"/>
  <c r="AA23" i="40"/>
  <c r="V16" i="35" l="1"/>
  <c r="V35" i="35" s="1"/>
  <c r="AU1271" i="34"/>
  <c r="AB23" i="42"/>
  <c r="AD14" i="4"/>
  <c r="L60" i="4"/>
  <c r="AD14" i="40"/>
  <c r="AD1301" i="34"/>
  <c r="AU207" i="1"/>
  <c r="AU216" i="1" s="1"/>
  <c r="AU180" i="1"/>
  <c r="AC23" i="40"/>
  <c r="AB23" i="40"/>
  <c r="AC14" i="42"/>
  <c r="AD22" i="42"/>
  <c r="AD14" i="42" s="1"/>
  <c r="AU181" i="1" l="1"/>
  <c r="AU182" i="1" s="1"/>
  <c r="AD1293" i="34"/>
  <c r="AC23" i="42"/>
  <c r="AU106" i="1"/>
  <c r="AU110" i="1"/>
  <c r="AU239" i="1"/>
  <c r="AU241" i="1" s="1"/>
  <c r="AU247" i="1"/>
  <c r="AU249" i="1" s="1"/>
  <c r="AU250" i="1" l="1"/>
  <c r="AU252" i="1"/>
  <c r="AU253" i="1"/>
  <c r="AU153" i="1"/>
  <c r="AV238" i="1"/>
  <c r="AU107" i="1"/>
  <c r="AU113" i="1"/>
  <c r="AU115" i="1"/>
  <c r="AU121" i="1" s="1"/>
  <c r="AU109" i="1"/>
  <c r="AU105" i="1"/>
  <c r="AU123" i="1" s="1"/>
  <c r="AU130" i="1" l="1"/>
  <c r="AU157" i="1"/>
  <c r="AU242" i="1"/>
  <c r="AU279" i="1"/>
  <c r="AV280" i="1"/>
  <c r="AV281" i="1" s="1"/>
  <c r="AU124" i="1" l="1"/>
  <c r="AU125" i="1" s="1"/>
  <c r="AU162" i="1"/>
  <c r="AV58" i="1"/>
  <c r="BS281" i="1"/>
  <c r="AV56" i="1" l="1"/>
  <c r="AV1251" i="34"/>
  <c r="AV62" i="1"/>
  <c r="BS58" i="1"/>
  <c r="AX266" i="34"/>
  <c r="AU129" i="1"/>
  <c r="AU133" i="1" s="1"/>
  <c r="AU144" i="1" s="1"/>
  <c r="AU183" i="1"/>
  <c r="AX46" i="34" l="1"/>
  <c r="BS62" i="1"/>
  <c r="AV67" i="1"/>
  <c r="AV1260" i="34" s="1"/>
  <c r="AV1255" i="34"/>
  <c r="AV1249" i="34"/>
  <c r="AV60" i="1"/>
  <c r="BS56" i="1"/>
  <c r="AV64" i="1" l="1"/>
  <c r="AV71" i="1" s="1"/>
  <c r="AV1253" i="34"/>
  <c r="V65" i="4"/>
  <c r="V65" i="40"/>
  <c r="V65" i="42"/>
  <c r="AX50" i="34"/>
  <c r="AV66" i="1"/>
  <c r="AX44" i="34"/>
  <c r="BS60" i="1"/>
  <c r="V67" i="4" l="1"/>
  <c r="V68" i="4" s="1"/>
  <c r="W66" i="4" s="1"/>
  <c r="AV1259" i="34"/>
  <c r="BS66" i="1"/>
  <c r="AV73" i="1"/>
  <c r="V67" i="40"/>
  <c r="V68" i="40" s="1"/>
  <c r="W66" i="40" s="1"/>
  <c r="AV75" i="1"/>
  <c r="AV1268" i="34" s="1"/>
  <c r="AV1264" i="34"/>
  <c r="AX48" i="34"/>
  <c r="V67" i="42"/>
  <c r="V68" i="42" s="1"/>
  <c r="W66" i="42" s="1"/>
  <c r="AV1257" i="34"/>
  <c r="BS64" i="1"/>
  <c r="V70" i="40" l="1"/>
  <c r="BS67" i="1"/>
  <c r="AX55" i="34" s="1"/>
  <c r="AX54" i="34"/>
  <c r="BS73" i="1"/>
  <c r="BS65" i="1"/>
  <c r="BS294" i="1"/>
  <c r="AX52" i="34"/>
  <c r="V70" i="42"/>
  <c r="BS71" i="1"/>
  <c r="V70" i="4"/>
  <c r="AV77" i="1"/>
  <c r="AV1270" i="34" s="1"/>
  <c r="AV78" i="1"/>
  <c r="AV201" i="1"/>
  <c r="AV1266" i="34"/>
  <c r="V71" i="4" l="1"/>
  <c r="V71" i="40"/>
  <c r="V72" i="40" s="1"/>
  <c r="V15" i="40" s="1"/>
  <c r="V19" i="40" s="1"/>
  <c r="V71" i="42"/>
  <c r="V72" i="42" s="1"/>
  <c r="V15" i="42" s="1"/>
  <c r="V19" i="42" s="1"/>
  <c r="BS295" i="1"/>
  <c r="AX53" i="34"/>
  <c r="AV207" i="1"/>
  <c r="AV216" i="1" s="1"/>
  <c r="BS201" i="1"/>
  <c r="AV180" i="1"/>
  <c r="BS78" i="1"/>
  <c r="CK73" i="1"/>
  <c r="BS77" i="1"/>
  <c r="CP73" i="1"/>
  <c r="AX60" i="34"/>
  <c r="AV1271" i="34"/>
  <c r="W16" i="35"/>
  <c r="W35" i="35" s="1"/>
  <c r="V72" i="4"/>
  <c r="CP71" i="1"/>
  <c r="CK71" i="1"/>
  <c r="BS75" i="1"/>
  <c r="AX58" i="34"/>
  <c r="AD16" i="35" l="1"/>
  <c r="AX65" i="34"/>
  <c r="AV110" i="1"/>
  <c r="AV106" i="1"/>
  <c r="AV239" i="1"/>
  <c r="AV241" i="1" s="1"/>
  <c r="AV247" i="1"/>
  <c r="AV249" i="1" s="1"/>
  <c r="V24" i="40"/>
  <c r="V20" i="40"/>
  <c r="V20" i="42"/>
  <c r="V24" i="42"/>
  <c r="V15" i="4"/>
  <c r="BS103" i="1"/>
  <c r="CP77" i="1"/>
  <c r="AX64" i="34"/>
  <c r="H35" i="3"/>
  <c r="BS180" i="1"/>
  <c r="AV181" i="1"/>
  <c r="AV182" i="1" s="1"/>
  <c r="CK75" i="1"/>
  <c r="CP75" i="1"/>
  <c r="E32" i="3" s="1"/>
  <c r="AX62" i="34"/>
  <c r="H30" i="3"/>
  <c r="BS207" i="1"/>
  <c r="AX187" i="34"/>
  <c r="E33" i="3" l="1"/>
  <c r="E56" i="3"/>
  <c r="H36" i="3"/>
  <c r="H59" i="3"/>
  <c r="AV153" i="1"/>
  <c r="AW238" i="1"/>
  <c r="AD35" i="35"/>
  <c r="U50" i="35"/>
  <c r="W50" i="35" s="1"/>
  <c r="BS216" i="1"/>
  <c r="AX193" i="34"/>
  <c r="AX91" i="34"/>
  <c r="AV107" i="1"/>
  <c r="AV113" i="1"/>
  <c r="AV115" i="1"/>
  <c r="AV121" i="1" s="1"/>
  <c r="AV109" i="1"/>
  <c r="AV105" i="1"/>
  <c r="AV123" i="1" s="1"/>
  <c r="V1294" i="34"/>
  <c r="V19" i="4"/>
  <c r="H31" i="3"/>
  <c r="H33" i="3" s="1"/>
  <c r="H54" i="3"/>
  <c r="AX169" i="34"/>
  <c r="BS181" i="1"/>
  <c r="AV250" i="1"/>
  <c r="AV252" i="1"/>
  <c r="AV253" i="1"/>
  <c r="V24" i="4" l="1"/>
  <c r="V1303" i="34" s="1"/>
  <c r="V20" i="4"/>
  <c r="V1299" i="34" s="1"/>
  <c r="V1298" i="34"/>
  <c r="AX170" i="34"/>
  <c r="BS182" i="1"/>
  <c r="AX171" i="34" s="1"/>
  <c r="BS106" i="1"/>
  <c r="BS110" i="1"/>
  <c r="AX98" i="34" s="1"/>
  <c r="BS247" i="1"/>
  <c r="AX202" i="34"/>
  <c r="BS239" i="1"/>
  <c r="BS153" i="1"/>
  <c r="AV130" i="1"/>
  <c r="AV157" i="1"/>
  <c r="AV242" i="1"/>
  <c r="AV279" i="1"/>
  <c r="AW280" i="1"/>
  <c r="AW281" i="1" s="1"/>
  <c r="L36" i="4" l="1"/>
  <c r="BS157" i="1"/>
  <c r="BS130" i="1"/>
  <c r="AX118" i="34" s="1"/>
  <c r="BS279" i="1"/>
  <c r="AX140" i="34"/>
  <c r="BT280" i="1"/>
  <c r="AY265" i="34" s="1"/>
  <c r="BS109" i="1"/>
  <c r="AX97" i="34" s="1"/>
  <c r="BS107" i="1"/>
  <c r="AX95" i="34" s="1"/>
  <c r="BS113" i="1"/>
  <c r="AX101" i="34" s="1"/>
  <c r="BS115" i="1"/>
  <c r="AX94" i="34"/>
  <c r="BS105" i="1"/>
  <c r="AV124" i="1"/>
  <c r="AV125" i="1" s="1"/>
  <c r="AV162" i="1"/>
  <c r="BS241" i="1"/>
  <c r="AX225" i="34"/>
  <c r="AW58" i="1"/>
  <c r="CP247" i="1"/>
  <c r="AX233" i="34"/>
  <c r="BS249" i="1"/>
  <c r="BT238" i="1" l="1"/>
  <c r="AX227" i="34"/>
  <c r="AX264" i="34"/>
  <c r="BS282" i="1"/>
  <c r="AX267" i="34" s="1"/>
  <c r="AV129" i="1"/>
  <c r="AV133" i="1" s="1"/>
  <c r="AV144" i="1" s="1"/>
  <c r="AV183" i="1"/>
  <c r="BS121" i="1"/>
  <c r="AX109" i="34" s="1"/>
  <c r="AX103" i="34"/>
  <c r="BS252" i="1"/>
  <c r="AX238" i="34" s="1"/>
  <c r="BS253" i="1"/>
  <c r="AX239" i="34" s="1"/>
  <c r="BS250" i="1"/>
  <c r="AX236" i="34" s="1"/>
  <c r="CP249" i="1"/>
  <c r="E40" i="3" s="1"/>
  <c r="E64" i="3" s="1"/>
  <c r="AX235" i="34"/>
  <c r="H38" i="3"/>
  <c r="AW56" i="1"/>
  <c r="AW62" i="1"/>
  <c r="AW1251" i="34"/>
  <c r="BS242" i="1"/>
  <c r="AX228" i="34" s="1"/>
  <c r="BS162" i="1"/>
  <c r="BS124" i="1"/>
  <c r="AX144" i="34"/>
  <c r="BS123" i="1"/>
  <c r="AX111" i="34" s="1"/>
  <c r="AX93" i="34"/>
  <c r="L37" i="42"/>
  <c r="L37" i="40"/>
  <c r="L1315" i="34"/>
  <c r="L48" i="3"/>
  <c r="BS183" i="1" l="1"/>
  <c r="AX172" i="34" s="1"/>
  <c r="BS129" i="1"/>
  <c r="AX151" i="34"/>
  <c r="H41" i="3"/>
  <c r="H62" i="3"/>
  <c r="H39" i="3"/>
  <c r="AW60" i="1"/>
  <c r="AW1249" i="34"/>
  <c r="BS125" i="1"/>
  <c r="AX113" i="34" s="1"/>
  <c r="AX112" i="34"/>
  <c r="AW67" i="1"/>
  <c r="AW1260" i="34" s="1"/>
  <c r="AW1255" i="34"/>
  <c r="AY224" i="34"/>
  <c r="AW64" i="1" l="1"/>
  <c r="AW71" i="1" s="1"/>
  <c r="AW1253" i="34"/>
  <c r="AW66" i="1"/>
  <c r="BS133" i="1"/>
  <c r="AX117" i="34"/>
  <c r="AW1259" i="34" l="1"/>
  <c r="AW73" i="1"/>
  <c r="AW75" i="1"/>
  <c r="AW1268" i="34" s="1"/>
  <c r="AW1264" i="34"/>
  <c r="AX121" i="34"/>
  <c r="BS144" i="1"/>
  <c r="AX132" i="34" s="1"/>
  <c r="AW1257" i="34"/>
  <c r="AW77" i="1" l="1"/>
  <c r="AW1270" i="34" s="1"/>
  <c r="AW78" i="1"/>
  <c r="AW201" i="1"/>
  <c r="AW1266" i="34"/>
  <c r="X16" i="35" l="1"/>
  <c r="X35" i="35" s="1"/>
  <c r="AW1271" i="34"/>
  <c r="AW207" i="1"/>
  <c r="AW216" i="1" s="1"/>
  <c r="AW180" i="1"/>
  <c r="AW110" i="1" l="1"/>
  <c r="AW106" i="1"/>
  <c r="AW239" i="1"/>
  <c r="AW241" i="1" s="1"/>
  <c r="AW247" i="1"/>
  <c r="AW249" i="1" s="1"/>
  <c r="AW181" i="1"/>
  <c r="AW182" i="1" s="1"/>
  <c r="AW253" i="1" l="1"/>
  <c r="AW250" i="1"/>
  <c r="AW252" i="1"/>
  <c r="AW153" i="1"/>
  <c r="AX238" i="1"/>
  <c r="AW105" i="1"/>
  <c r="AW109" i="1"/>
  <c r="AW107" i="1"/>
  <c r="AW113" i="1"/>
  <c r="AW115" i="1"/>
  <c r="AW121" i="1" s="1"/>
  <c r="AW157" i="1" l="1"/>
  <c r="AW130" i="1"/>
  <c r="AW279" i="1"/>
  <c r="AX280" i="1"/>
  <c r="AX281" i="1" s="1"/>
  <c r="AW242" i="1"/>
  <c r="AX58" i="1" l="1"/>
  <c r="AW124" i="1"/>
  <c r="AW162" i="1"/>
  <c r="AW183" i="1" l="1"/>
  <c r="AW129" i="1"/>
  <c r="AW133" i="1" s="1"/>
  <c r="AW144" i="1" s="1"/>
  <c r="AX56" i="1"/>
  <c r="AX62" i="1"/>
  <c r="AX1251" i="34"/>
  <c r="AX60" i="1" l="1"/>
  <c r="AX1249" i="34"/>
  <c r="AX67" i="1"/>
  <c r="AX1260" i="34" s="1"/>
  <c r="AX1255" i="34"/>
  <c r="AX66" i="1" l="1"/>
  <c r="AX64" i="1"/>
  <c r="AX71" i="1" s="1"/>
  <c r="AX1253" i="34"/>
  <c r="AX75" i="1" l="1"/>
  <c r="AX1268" i="34" s="1"/>
  <c r="AX1264" i="34"/>
  <c r="AX1257" i="34"/>
  <c r="AX1259" i="34"/>
  <c r="AX73" i="1"/>
  <c r="AX78" i="1" l="1"/>
  <c r="AX1271" i="34" s="1"/>
  <c r="AX77" i="1"/>
  <c r="AX1270" i="34" s="1"/>
  <c r="AX201" i="1"/>
  <c r="AX1266" i="34"/>
  <c r="AX207" i="1" l="1"/>
  <c r="AX216" i="1" s="1"/>
  <c r="AX180" i="1"/>
  <c r="AX181" i="1" l="1"/>
  <c r="AX182" i="1" s="1"/>
  <c r="AX106" i="1"/>
  <c r="AX110" i="1"/>
  <c r="AX239" i="1"/>
  <c r="AX241" i="1" s="1"/>
  <c r="AX247" i="1"/>
  <c r="AX249" i="1" s="1"/>
  <c r="AX109" i="1" l="1"/>
  <c r="AX107" i="1"/>
  <c r="AX113" i="1"/>
  <c r="AX115" i="1"/>
  <c r="AX121" i="1" s="1"/>
  <c r="AX105" i="1"/>
  <c r="AX252" i="1"/>
  <c r="AX253" i="1"/>
  <c r="AX250" i="1"/>
  <c r="AX153" i="1"/>
  <c r="AY238" i="1"/>
  <c r="AX157" i="1" l="1"/>
  <c r="AX130" i="1"/>
  <c r="AX242" i="1"/>
  <c r="AX279" i="1"/>
  <c r="AY280" i="1"/>
  <c r="AY281" i="1" s="1"/>
  <c r="AX124" i="1" l="1"/>
  <c r="AX162" i="1"/>
  <c r="AY58" i="1"/>
  <c r="AY62" i="1" l="1"/>
  <c r="AY56" i="1"/>
  <c r="AY1251" i="34"/>
  <c r="AX183" i="1"/>
  <c r="AX129" i="1"/>
  <c r="AX133" i="1" s="1"/>
  <c r="AX144" i="1" s="1"/>
  <c r="AY60" i="1" l="1"/>
  <c r="AY1249" i="34"/>
  <c r="AY67" i="1"/>
  <c r="AY1260" i="34" s="1"/>
  <c r="AY1255" i="34"/>
  <c r="AY66" i="1" l="1"/>
  <c r="AY64" i="1"/>
  <c r="AY71" i="1" s="1"/>
  <c r="AY1253" i="34"/>
  <c r="AY75" i="1" l="1"/>
  <c r="AY1268" i="34" s="1"/>
  <c r="AY1264" i="34"/>
  <c r="AY1257" i="34"/>
  <c r="AY1259" i="34"/>
  <c r="AY73" i="1"/>
  <c r="AY78" i="1" l="1"/>
  <c r="AY1271" i="34" s="1"/>
  <c r="AY77" i="1"/>
  <c r="AY1270" i="34" s="1"/>
  <c r="AY201" i="1"/>
  <c r="AY1266" i="34"/>
  <c r="AY207" i="1" l="1"/>
  <c r="AY216" i="1" s="1"/>
  <c r="AY180" i="1"/>
  <c r="AY181" i="1" l="1"/>
  <c r="AY182" i="1" s="1"/>
  <c r="AY106" i="1"/>
  <c r="AY110" i="1"/>
  <c r="AY239" i="1"/>
  <c r="AY241" i="1" s="1"/>
  <c r="AY247" i="1"/>
  <c r="AY249" i="1" s="1"/>
  <c r="AY107" i="1" l="1"/>
  <c r="AY113" i="1"/>
  <c r="AY115" i="1"/>
  <c r="AY121" i="1" s="1"/>
  <c r="AY109" i="1"/>
  <c r="AY105" i="1"/>
  <c r="AY250" i="1"/>
  <c r="AY252" i="1"/>
  <c r="AY253" i="1"/>
  <c r="AY153" i="1"/>
  <c r="AZ238" i="1"/>
  <c r="AY130" i="1" l="1"/>
  <c r="AY157" i="1"/>
  <c r="AY242" i="1"/>
  <c r="AY279" i="1"/>
  <c r="AZ280" i="1"/>
  <c r="AZ281" i="1" s="1"/>
  <c r="AZ58" i="1" l="1"/>
  <c r="BT281" i="1"/>
  <c r="AY124" i="1"/>
  <c r="AY162" i="1"/>
  <c r="AY129" i="1" l="1"/>
  <c r="AY133" i="1" s="1"/>
  <c r="AY144" i="1" s="1"/>
  <c r="AY183" i="1"/>
  <c r="AY266" i="34"/>
  <c r="AZ56" i="1"/>
  <c r="AZ1251" i="34"/>
  <c r="AZ62" i="1"/>
  <c r="BT58" i="1"/>
  <c r="AZ1249" i="34" l="1"/>
  <c r="AZ60" i="1"/>
  <c r="BT56" i="1"/>
  <c r="AZ67" i="1"/>
  <c r="AZ1260" i="34" s="1"/>
  <c r="AZ1255" i="34"/>
  <c r="AY46" i="34"/>
  <c r="BT62" i="1"/>
  <c r="AZ66" i="1" l="1"/>
  <c r="AZ73" i="1" s="1"/>
  <c r="AZ77" i="1" s="1"/>
  <c r="AZ1270" i="34" s="1"/>
  <c r="AY44" i="34"/>
  <c r="BT60" i="1"/>
  <c r="AZ64" i="1"/>
  <c r="AZ71" i="1" s="1"/>
  <c r="AZ1253" i="34"/>
  <c r="W65" i="4"/>
  <c r="W65" i="42"/>
  <c r="W65" i="40"/>
  <c r="AY50" i="34"/>
  <c r="AZ1266" i="34" l="1"/>
  <c r="BT66" i="1"/>
  <c r="BT73" i="1" s="1"/>
  <c r="BT78" i="1" s="1"/>
  <c r="AZ201" i="1"/>
  <c r="BT201" i="1" s="1"/>
  <c r="AZ1259" i="34"/>
  <c r="AZ78" i="1"/>
  <c r="AZ1271" i="34" s="1"/>
  <c r="AZ75" i="1"/>
  <c r="AZ1268" i="34" s="1"/>
  <c r="AZ1264" i="34"/>
  <c r="AZ1257" i="34"/>
  <c r="BT64" i="1"/>
  <c r="BT71" i="1" s="1"/>
  <c r="W67" i="40"/>
  <c r="W68" i="40" s="1"/>
  <c r="X66" i="40" s="1"/>
  <c r="W67" i="42"/>
  <c r="W68" i="42" s="1"/>
  <c r="X66" i="42" s="1"/>
  <c r="AY48" i="34"/>
  <c r="W67" i="4"/>
  <c r="W68" i="4" s="1"/>
  <c r="X66" i="4" s="1"/>
  <c r="AZ207" i="1" l="1"/>
  <c r="AZ216" i="1" s="1"/>
  <c r="AZ110" i="1" s="1"/>
  <c r="CQ73" i="1"/>
  <c r="AY54" i="34"/>
  <c r="AY60" i="34"/>
  <c r="BT77" i="1"/>
  <c r="AY64" i="34" s="1"/>
  <c r="AZ180" i="1"/>
  <c r="AZ181" i="1" s="1"/>
  <c r="AZ182" i="1" s="1"/>
  <c r="BT67" i="1"/>
  <c r="AY55" i="34" s="1"/>
  <c r="W70" i="4"/>
  <c r="BT207" i="1"/>
  <c r="AY187" i="34"/>
  <c r="AE16" i="35"/>
  <c r="AE35" i="35" s="1"/>
  <c r="AY65" i="34"/>
  <c r="AZ247" i="1"/>
  <c r="AZ249" i="1" s="1"/>
  <c r="BT65" i="1"/>
  <c r="AY52" i="34"/>
  <c r="BT294" i="1"/>
  <c r="BT75" i="1"/>
  <c r="CQ71" i="1"/>
  <c r="AY58" i="34"/>
  <c r="W70" i="40"/>
  <c r="W70" i="42"/>
  <c r="AZ239" i="1" l="1"/>
  <c r="AZ241" i="1" s="1"/>
  <c r="BA238" i="1" s="1"/>
  <c r="CQ77" i="1"/>
  <c r="AZ106" i="1"/>
  <c r="AZ109" i="1" s="1"/>
  <c r="BT180" i="1"/>
  <c r="AY169" i="34" s="1"/>
  <c r="I35" i="3"/>
  <c r="I36" i="3" s="1"/>
  <c r="AZ250" i="1"/>
  <c r="AZ252" i="1"/>
  <c r="AZ253" i="1"/>
  <c r="W71" i="4"/>
  <c r="W72" i="4" s="1"/>
  <c r="W71" i="42"/>
  <c r="W72" i="42" s="1"/>
  <c r="W15" i="42" s="1"/>
  <c r="W19" i="42" s="1"/>
  <c r="W71" i="40"/>
  <c r="W72" i="40" s="1"/>
  <c r="W15" i="40" s="1"/>
  <c r="W19" i="40" s="1"/>
  <c r="AY53" i="34"/>
  <c r="BT295" i="1"/>
  <c r="AZ153" i="1"/>
  <c r="BT216" i="1"/>
  <c r="AY193" i="34"/>
  <c r="CQ75" i="1"/>
  <c r="F32" i="3" s="1"/>
  <c r="AY62" i="34"/>
  <c r="I30" i="3"/>
  <c r="AZ113" i="1" l="1"/>
  <c r="BT181" i="1"/>
  <c r="AY170" i="34" s="1"/>
  <c r="AZ115" i="1"/>
  <c r="AZ121" i="1" s="1"/>
  <c r="AZ105" i="1"/>
  <c r="AZ107" i="1"/>
  <c r="I59" i="3"/>
  <c r="W24" i="40"/>
  <c r="W29" i="40"/>
  <c r="W20" i="40"/>
  <c r="I31" i="3"/>
  <c r="I33" i="3" s="1"/>
  <c r="I54" i="3"/>
  <c r="W20" i="42"/>
  <c r="W24" i="42"/>
  <c r="W29" i="42"/>
  <c r="AZ130" i="1"/>
  <c r="BT153" i="1"/>
  <c r="AZ157" i="1"/>
  <c r="AZ242" i="1"/>
  <c r="AZ279" i="1"/>
  <c r="BA280" i="1"/>
  <c r="BA281" i="1" s="1"/>
  <c r="F56" i="3"/>
  <c r="F33" i="3"/>
  <c r="BT106" i="1"/>
  <c r="BT110" i="1"/>
  <c r="AY98" i="34" s="1"/>
  <c r="BT239" i="1"/>
  <c r="BT247" i="1"/>
  <c r="AY202" i="34"/>
  <c r="W15" i="4"/>
  <c r="BT103" i="1"/>
  <c r="BT182" i="1" l="1"/>
  <c r="AY171" i="34" s="1"/>
  <c r="BT109" i="1"/>
  <c r="AY97" i="34" s="1"/>
  <c r="BT107" i="1"/>
  <c r="AY95" i="34" s="1"/>
  <c r="BT113" i="1"/>
  <c r="AY101" i="34" s="1"/>
  <c r="BT115" i="1"/>
  <c r="AY94" i="34"/>
  <c r="AZ124" i="1"/>
  <c r="AZ162" i="1"/>
  <c r="AY225" i="34"/>
  <c r="BT241" i="1"/>
  <c r="BT242" i="1" s="1"/>
  <c r="AY228" i="34" s="1"/>
  <c r="BA58" i="1"/>
  <c r="BT157" i="1"/>
  <c r="BT130" i="1"/>
  <c r="AY118" i="34" s="1"/>
  <c r="BU280" i="1"/>
  <c r="AZ265" i="34" s="1"/>
  <c r="BT279" i="1"/>
  <c r="AY140" i="34"/>
  <c r="BT249" i="1"/>
  <c r="CQ247" i="1"/>
  <c r="AY233" i="34"/>
  <c r="AY91" i="34"/>
  <c r="BT105" i="1"/>
  <c r="W1294" i="34"/>
  <c r="W19" i="4"/>
  <c r="AZ129" i="1" l="1"/>
  <c r="AZ133" i="1" s="1"/>
  <c r="AZ144" i="1" s="1"/>
  <c r="AZ183" i="1"/>
  <c r="BA56" i="1"/>
  <c r="BA62" i="1"/>
  <c r="BA1251" i="34"/>
  <c r="BU238" i="1"/>
  <c r="AY227" i="34"/>
  <c r="W24" i="4"/>
  <c r="W1303" i="34" s="1"/>
  <c r="W28" i="4"/>
  <c r="W20" i="4"/>
  <c r="W1299" i="34" s="1"/>
  <c r="W1298" i="34"/>
  <c r="BT123" i="1"/>
  <c r="AY111" i="34" s="1"/>
  <c r="AY93" i="34"/>
  <c r="CQ249" i="1"/>
  <c r="F40" i="3" s="1"/>
  <c r="F64" i="3" s="1"/>
  <c r="AY235" i="34"/>
  <c r="BT252" i="1"/>
  <c r="AY238" i="34" s="1"/>
  <c r="BT253" i="1"/>
  <c r="AY239" i="34" s="1"/>
  <c r="BT250" i="1"/>
  <c r="AY236" i="34" s="1"/>
  <c r="I38" i="3"/>
  <c r="AY264" i="34"/>
  <c r="BT282" i="1"/>
  <c r="BT162" i="1"/>
  <c r="BT124" i="1"/>
  <c r="AY144" i="34"/>
  <c r="BT121" i="1"/>
  <c r="AY109" i="34" s="1"/>
  <c r="AY103" i="34"/>
  <c r="AZ224" i="34" l="1"/>
  <c r="AY267" i="34"/>
  <c r="W1307" i="34"/>
  <c r="BA60" i="1"/>
  <c r="BA1249" i="34"/>
  <c r="BT183" i="1"/>
  <c r="AY172" i="34" s="1"/>
  <c r="BT129" i="1"/>
  <c r="AY151" i="34"/>
  <c r="BT125" i="1"/>
  <c r="AY113" i="34" s="1"/>
  <c r="AY112" i="34"/>
  <c r="I39" i="3"/>
  <c r="I41" i="3"/>
  <c r="I62" i="3"/>
  <c r="BA67" i="1"/>
  <c r="BA1260" i="34" s="1"/>
  <c r="BA1255" i="34"/>
  <c r="BT133" i="1" l="1"/>
  <c r="AY117" i="34"/>
  <c r="BA64" i="1"/>
  <c r="BA71" i="1" s="1"/>
  <c r="BA1253" i="34"/>
  <c r="BA66" i="1"/>
  <c r="BA75" i="1" l="1"/>
  <c r="BA1268" i="34" s="1"/>
  <c r="BA1264" i="34"/>
  <c r="BA1257" i="34"/>
  <c r="BA1259" i="34"/>
  <c r="BA73" i="1"/>
  <c r="AY121" i="34"/>
  <c r="BT144" i="1"/>
  <c r="AY132" i="34" s="1"/>
  <c r="BA77" i="1" l="1"/>
  <c r="BA1270" i="34" s="1"/>
  <c r="BA78" i="1"/>
  <c r="BA1271" i="34" s="1"/>
  <c r="BA201" i="1"/>
  <c r="BA1266" i="34"/>
  <c r="BA207" i="1" l="1"/>
  <c r="BA216" i="1" s="1"/>
  <c r="BA180" i="1"/>
  <c r="BA110" i="1" l="1"/>
  <c r="BA106" i="1"/>
  <c r="BA247" i="1"/>
  <c r="BA249" i="1" s="1"/>
  <c r="BA239" i="1"/>
  <c r="BA241" i="1" s="1"/>
  <c r="BA181" i="1"/>
  <c r="BA182" i="1" s="1"/>
  <c r="BA253" i="1" l="1"/>
  <c r="BA250" i="1"/>
  <c r="BA252" i="1"/>
  <c r="BA105" i="1"/>
  <c r="BA109" i="1"/>
  <c r="BA107" i="1"/>
  <c r="BA113" i="1"/>
  <c r="BA115" i="1"/>
  <c r="BA121" i="1" s="1"/>
  <c r="BA153" i="1"/>
  <c r="BB238" i="1"/>
  <c r="BA157" i="1" l="1"/>
  <c r="BA130" i="1"/>
  <c r="BA279" i="1"/>
  <c r="BB280" i="1"/>
  <c r="BB281" i="1" s="1"/>
  <c r="BA242" i="1"/>
  <c r="BA162" i="1" l="1"/>
  <c r="BA124" i="1"/>
  <c r="BB58" i="1"/>
  <c r="BB56" i="1" l="1"/>
  <c r="BB62" i="1"/>
  <c r="BB1251" i="34"/>
  <c r="BA183" i="1"/>
  <c r="BA129" i="1"/>
  <c r="BA133" i="1" s="1"/>
  <c r="BA144" i="1" s="1"/>
  <c r="BB67" i="1" l="1"/>
  <c r="BB1260" i="34" s="1"/>
  <c r="BB1255" i="34"/>
  <c r="BB60" i="1"/>
  <c r="BB1249" i="34"/>
  <c r="BB66" i="1" l="1"/>
  <c r="BB64" i="1"/>
  <c r="BB71" i="1" s="1"/>
  <c r="BB1253" i="34"/>
  <c r="BB75" i="1" l="1"/>
  <c r="BB1268" i="34" s="1"/>
  <c r="BB1264" i="34"/>
  <c r="BB1257" i="34"/>
  <c r="BB1259" i="34"/>
  <c r="BB73" i="1"/>
  <c r="BB78" i="1" l="1"/>
  <c r="BB1271" i="34" s="1"/>
  <c r="BB77" i="1"/>
  <c r="BB1270" i="34" s="1"/>
  <c r="BB201" i="1"/>
  <c r="BB1266" i="34"/>
  <c r="BB207" i="1" l="1"/>
  <c r="BB216" i="1" s="1"/>
  <c r="BB180" i="1"/>
  <c r="BB181" i="1" l="1"/>
  <c r="BB182" i="1" s="1"/>
  <c r="BB106" i="1"/>
  <c r="BB110" i="1"/>
  <c r="BB247" i="1"/>
  <c r="BB249" i="1" s="1"/>
  <c r="BB239" i="1"/>
  <c r="BB241" i="1" s="1"/>
  <c r="BB109" i="1" l="1"/>
  <c r="BB107" i="1"/>
  <c r="BB113" i="1"/>
  <c r="BB115" i="1"/>
  <c r="BB121" i="1" s="1"/>
  <c r="BB105" i="1"/>
  <c r="BB153" i="1"/>
  <c r="BC238" i="1"/>
  <c r="BB252" i="1"/>
  <c r="BB253" i="1"/>
  <c r="BB250" i="1"/>
  <c r="BB157" i="1" l="1"/>
  <c r="BB130" i="1"/>
  <c r="BB242" i="1"/>
  <c r="BB279" i="1"/>
  <c r="BC280" i="1"/>
  <c r="BC281" i="1" s="1"/>
  <c r="BB162" i="1" l="1"/>
  <c r="BB124" i="1"/>
  <c r="BC58" i="1"/>
  <c r="BC62" i="1" l="1"/>
  <c r="BC56" i="1"/>
  <c r="BC1251" i="34"/>
  <c r="BB183" i="1"/>
  <c r="BB129" i="1"/>
  <c r="BB133" i="1" s="1"/>
  <c r="BB144" i="1" s="1"/>
  <c r="BC60" i="1" l="1"/>
  <c r="BC1249" i="34"/>
  <c r="BC67" i="1"/>
  <c r="BC1260" i="34" s="1"/>
  <c r="BC1255" i="34"/>
  <c r="BC66" i="1" l="1"/>
  <c r="BC64" i="1"/>
  <c r="BC71" i="1" s="1"/>
  <c r="BC1253" i="34"/>
  <c r="BC75" i="1" l="1"/>
  <c r="BC1268" i="34" s="1"/>
  <c r="BC1264" i="34"/>
  <c r="BC1257" i="34"/>
  <c r="BC1259" i="34"/>
  <c r="BC73" i="1"/>
  <c r="BC78" i="1" l="1"/>
  <c r="BC1271" i="34" s="1"/>
  <c r="BC77" i="1"/>
  <c r="BC1270" i="34" s="1"/>
  <c r="BC201" i="1"/>
  <c r="BC1266" i="34"/>
  <c r="BC207" i="1" l="1"/>
  <c r="BC216" i="1" s="1"/>
  <c r="BC180" i="1"/>
  <c r="BC181" i="1" l="1"/>
  <c r="BC182" i="1" s="1"/>
  <c r="BC106" i="1"/>
  <c r="BC110" i="1"/>
  <c r="BC239" i="1"/>
  <c r="BC241" i="1" s="1"/>
  <c r="BC247" i="1"/>
  <c r="BC249" i="1" s="1"/>
  <c r="BC107" i="1" l="1"/>
  <c r="BC113" i="1"/>
  <c r="BC115" i="1"/>
  <c r="BC121" i="1" s="1"/>
  <c r="BC109" i="1"/>
  <c r="BC105" i="1"/>
  <c r="BC250" i="1"/>
  <c r="BC252" i="1"/>
  <c r="BC253" i="1"/>
  <c r="BC153" i="1"/>
  <c r="BD238" i="1"/>
  <c r="BC130" i="1" l="1"/>
  <c r="BC157" i="1"/>
  <c r="BC242" i="1"/>
  <c r="BC279" i="1"/>
  <c r="BD280" i="1"/>
  <c r="BD281" i="1" s="1"/>
  <c r="BC124" i="1" l="1"/>
  <c r="BC162" i="1"/>
  <c r="BD58" i="1"/>
  <c r="BU281" i="1"/>
  <c r="AZ266" i="34" l="1"/>
  <c r="BD56" i="1"/>
  <c r="BD1251" i="34"/>
  <c r="BD62" i="1"/>
  <c r="BU58" i="1"/>
  <c r="BC129" i="1"/>
  <c r="BC133" i="1" s="1"/>
  <c r="BC144" i="1" s="1"/>
  <c r="BC183" i="1"/>
  <c r="AZ46" i="34" l="1"/>
  <c r="BU62" i="1"/>
  <c r="BD1249" i="34"/>
  <c r="BD60" i="1"/>
  <c r="BU56" i="1"/>
  <c r="BD67" i="1"/>
  <c r="BD1260" i="34" s="1"/>
  <c r="BD1255" i="34"/>
  <c r="BD64" i="1" l="1"/>
  <c r="BD71" i="1" s="1"/>
  <c r="BD1253" i="34"/>
  <c r="BD66" i="1"/>
  <c r="X65" i="4"/>
  <c r="X65" i="42"/>
  <c r="X65" i="40"/>
  <c r="CB62" i="1"/>
  <c r="AZ50" i="34"/>
  <c r="AZ44" i="34"/>
  <c r="BU60" i="1"/>
  <c r="BD1259" i="34" l="1"/>
  <c r="BU66" i="1"/>
  <c r="BD73" i="1"/>
  <c r="X67" i="42"/>
  <c r="X68" i="42" s="1"/>
  <c r="Y66" i="42" s="1"/>
  <c r="X67" i="40"/>
  <c r="X68" i="40" s="1"/>
  <c r="Y66" i="40" s="1"/>
  <c r="BD75" i="1"/>
  <c r="BD1268" i="34" s="1"/>
  <c r="BD1264" i="34"/>
  <c r="CB60" i="1"/>
  <c r="AZ48" i="34"/>
  <c r="X67" i="4"/>
  <c r="X68" i="4" s="1"/>
  <c r="Y66" i="4" s="1"/>
  <c r="BD1257" i="34"/>
  <c r="BU64" i="1"/>
  <c r="X70" i="42" l="1"/>
  <c r="BD77" i="1"/>
  <c r="BD1270" i="34" s="1"/>
  <c r="BD78" i="1"/>
  <c r="BD1271" i="34" s="1"/>
  <c r="BD201" i="1"/>
  <c r="BD1266" i="34"/>
  <c r="X70" i="40"/>
  <c r="BU67" i="1"/>
  <c r="AZ55" i="34" s="1"/>
  <c r="AZ54" i="34"/>
  <c r="BU73" i="1"/>
  <c r="X70" i="4"/>
  <c r="BU65" i="1"/>
  <c r="AZ52" i="34"/>
  <c r="BU294" i="1"/>
  <c r="BU71" i="1"/>
  <c r="CB73" i="1" l="1"/>
  <c r="BU77" i="1"/>
  <c r="BU78" i="1"/>
  <c r="AZ60" i="34"/>
  <c r="CR73" i="1"/>
  <c r="X71" i="4"/>
  <c r="X72" i="4" s="1"/>
  <c r="X71" i="42"/>
  <c r="X72" i="42" s="1"/>
  <c r="X15" i="42" s="1"/>
  <c r="X19" i="42" s="1"/>
  <c r="X71" i="40"/>
  <c r="X72" i="40" s="1"/>
  <c r="X15" i="40" s="1"/>
  <c r="X19" i="40" s="1"/>
  <c r="BV65" i="1"/>
  <c r="AZ53" i="34"/>
  <c r="BU295" i="1"/>
  <c r="BD207" i="1"/>
  <c r="BD216" i="1" s="1"/>
  <c r="BU201" i="1"/>
  <c r="BD180" i="1"/>
  <c r="CB71" i="1"/>
  <c r="BU75" i="1"/>
  <c r="AZ58" i="34"/>
  <c r="CR71" i="1"/>
  <c r="X20" i="40" l="1"/>
  <c r="X24" i="40"/>
  <c r="X29" i="40"/>
  <c r="X20" i="42"/>
  <c r="X24" i="42"/>
  <c r="X29" i="42"/>
  <c r="BD110" i="1"/>
  <c r="BD106" i="1"/>
  <c r="BD239" i="1"/>
  <c r="BD241" i="1" s="1"/>
  <c r="BD153" i="1" s="1"/>
  <c r="BD247" i="1"/>
  <c r="BD249" i="1" s="1"/>
  <c r="CB78" i="1"/>
  <c r="AZ65" i="34"/>
  <c r="X15" i="4"/>
  <c r="BU103" i="1"/>
  <c r="BU180" i="1"/>
  <c r="BD181" i="1"/>
  <c r="BD182" i="1" s="1"/>
  <c r="CB75" i="1"/>
  <c r="AZ62" i="34"/>
  <c r="CR75" i="1"/>
  <c r="G32" i="3" s="1"/>
  <c r="BU207" i="1"/>
  <c r="AZ187" i="34"/>
  <c r="Y71" i="4"/>
  <c r="Y71" i="42"/>
  <c r="Y71" i="40"/>
  <c r="BW65" i="1"/>
  <c r="BV295" i="1"/>
  <c r="CB77" i="1"/>
  <c r="AZ64" i="34"/>
  <c r="CR77" i="1"/>
  <c r="BD250" i="1" l="1"/>
  <c r="BD252" i="1"/>
  <c r="BD253" i="1"/>
  <c r="AZ91" i="34"/>
  <c r="BD130" i="1"/>
  <c r="BU153" i="1"/>
  <c r="BD157" i="1"/>
  <c r="BD242" i="1"/>
  <c r="BD279" i="1"/>
  <c r="AZ193" i="34"/>
  <c r="BU216" i="1"/>
  <c r="X1294" i="34"/>
  <c r="X19" i="4"/>
  <c r="BD107" i="1"/>
  <c r="BD113" i="1"/>
  <c r="BD115" i="1"/>
  <c r="BD121" i="1" s="1"/>
  <c r="BD109" i="1"/>
  <c r="BD105" i="1"/>
  <c r="Z71" i="4"/>
  <c r="Z71" i="40"/>
  <c r="Z71" i="42"/>
  <c r="BX65" i="1"/>
  <c r="BW295" i="1"/>
  <c r="AZ169" i="34"/>
  <c r="BU181" i="1"/>
  <c r="G56" i="3"/>
  <c r="G33" i="3"/>
  <c r="AZ170" i="34" l="1"/>
  <c r="BU182" i="1"/>
  <c r="AZ171" i="34" s="1"/>
  <c r="AA71" i="4"/>
  <c r="AA71" i="42"/>
  <c r="AA71" i="40"/>
  <c r="BY65" i="1"/>
  <c r="BX295" i="1"/>
  <c r="BU130" i="1"/>
  <c r="AZ118" i="34" s="1"/>
  <c r="BU157" i="1"/>
  <c r="BV280" i="1"/>
  <c r="BU279" i="1"/>
  <c r="AZ140" i="34"/>
  <c r="X20" i="4"/>
  <c r="X1299" i="34" s="1"/>
  <c r="X24" i="4"/>
  <c r="X1303" i="34" s="1"/>
  <c r="X28" i="4"/>
  <c r="X1298" i="34"/>
  <c r="BU106" i="1"/>
  <c r="BU110" i="1"/>
  <c r="AZ98" i="34" s="1"/>
  <c r="AZ202" i="34"/>
  <c r="BU239" i="1"/>
  <c r="BU247" i="1"/>
  <c r="BD124" i="1"/>
  <c r="BD162" i="1"/>
  <c r="BU249" i="1" l="1"/>
  <c r="CR247" i="1"/>
  <c r="AZ233" i="34"/>
  <c r="AZ225" i="34"/>
  <c r="BU241" i="1"/>
  <c r="AB71" i="4"/>
  <c r="AB71" i="42"/>
  <c r="AB71" i="40"/>
  <c r="BZ65" i="1"/>
  <c r="BY295" i="1"/>
  <c r="BD129" i="1"/>
  <c r="BD133" i="1" s="1"/>
  <c r="BD144" i="1" s="1"/>
  <c r="BD183" i="1"/>
  <c r="X1307" i="34"/>
  <c r="BU124" i="1"/>
  <c r="BU162" i="1"/>
  <c r="AZ144" i="34"/>
  <c r="BU107" i="1"/>
  <c r="AZ95" i="34" s="1"/>
  <c r="BU113" i="1"/>
  <c r="AZ101" i="34" s="1"/>
  <c r="BU115" i="1"/>
  <c r="BU109" i="1"/>
  <c r="AZ97" i="34" s="1"/>
  <c r="AZ94" i="34"/>
  <c r="BU105" i="1"/>
  <c r="AZ264" i="34"/>
  <c r="BU282" i="1"/>
  <c r="BU123" i="1" l="1"/>
  <c r="AZ111" i="34" s="1"/>
  <c r="AZ93" i="34"/>
  <c r="BU125" i="1"/>
  <c r="AZ113" i="34" s="1"/>
  <c r="AZ112" i="34"/>
  <c r="AZ267" i="34"/>
  <c r="BV282" i="1"/>
  <c r="AC71" i="4"/>
  <c r="AC71" i="42"/>
  <c r="AC71" i="40"/>
  <c r="BZ295" i="1"/>
  <c r="BU121" i="1"/>
  <c r="AZ109" i="34" s="1"/>
  <c r="AZ103" i="34"/>
  <c r="BU129" i="1"/>
  <c r="BU183" i="1"/>
  <c r="AZ172" i="34" s="1"/>
  <c r="AZ151" i="34"/>
  <c r="BV238" i="1"/>
  <c r="AZ227" i="34"/>
  <c r="BU242" i="1"/>
  <c r="AZ228" i="34" s="1"/>
  <c r="BU250" i="1"/>
  <c r="AZ236" i="34" s="1"/>
  <c r="CR249" i="1"/>
  <c r="G40" i="3" s="1"/>
  <c r="G64" i="3" s="1"/>
  <c r="AZ235" i="34"/>
  <c r="BU252" i="1"/>
  <c r="AZ238" i="34" s="1"/>
  <c r="BU253" i="1"/>
  <c r="AZ239" i="34" s="1"/>
  <c r="BU133" i="1" l="1"/>
  <c r="AZ117" i="34"/>
  <c r="BV281" i="1"/>
  <c r="BV58" i="1" s="1"/>
  <c r="BW282" i="1"/>
  <c r="BX282" i="1" s="1"/>
  <c r="BV56" i="1" l="1"/>
  <c r="BV60" i="1" s="1"/>
  <c r="BV62" i="1"/>
  <c r="BY282" i="1"/>
  <c r="BZ282" i="1" s="1"/>
  <c r="AZ121" i="34"/>
  <c r="BU144" i="1"/>
  <c r="AZ132" i="34" s="1"/>
  <c r="Y65" i="4" l="1"/>
  <c r="Y65" i="42"/>
  <c r="Y65" i="40"/>
  <c r="BV67" i="1"/>
  <c r="BV66" i="1" s="1"/>
  <c r="BV73" i="1" s="1"/>
  <c r="BV64" i="1"/>
  <c r="BV71" i="1" s="1"/>
  <c r="BV75" i="1" s="1"/>
  <c r="BV77" i="1" l="1"/>
  <c r="BV78" i="1"/>
  <c r="BV201" i="1"/>
  <c r="Y67" i="42"/>
  <c r="Y68" i="42" s="1"/>
  <c r="Z66" i="42" s="1"/>
  <c r="BV294" i="1"/>
  <c r="Y67" i="4"/>
  <c r="Y68" i="4" s="1"/>
  <c r="Z66" i="4" s="1"/>
  <c r="Y67" i="40"/>
  <c r="Y68" i="40" s="1"/>
  <c r="Z66" i="40" s="1"/>
  <c r="Y70" i="40" l="1"/>
  <c r="Y72" i="40" s="1"/>
  <c r="Y15" i="40" s="1"/>
  <c r="Y19" i="40" s="1"/>
  <c r="Y24" i="40" s="1"/>
  <c r="Y70" i="4"/>
  <c r="Y72" i="4" s="1"/>
  <c r="Y15" i="4" s="1"/>
  <c r="BV207" i="1"/>
  <c r="BV216" i="1" s="1"/>
  <c r="BV180" i="1"/>
  <c r="Y70" i="42"/>
  <c r="Y72" i="42" s="1"/>
  <c r="Y15" i="42" s="1"/>
  <c r="Y19" i="42" s="1"/>
  <c r="BV103" i="1" l="1"/>
  <c r="Y29" i="40"/>
  <c r="Y20" i="40"/>
  <c r="Y1294" i="34"/>
  <c r="Y19" i="4"/>
  <c r="Y20" i="42"/>
  <c r="Y24" i="42"/>
  <c r="Y29" i="42"/>
  <c r="BV181" i="1"/>
  <c r="BV182" i="1" s="1"/>
  <c r="BV106" i="1"/>
  <c r="BV105" i="1" s="1"/>
  <c r="BV123" i="1" s="1"/>
  <c r="BV110" i="1"/>
  <c r="BV239" i="1"/>
  <c r="BV241" i="1" s="1"/>
  <c r="BV247" i="1"/>
  <c r="BV249" i="1" s="1"/>
  <c r="BV153" i="1" l="1"/>
  <c r="BW238" i="1"/>
  <c r="Y20" i="4"/>
  <c r="Y1299" i="34" s="1"/>
  <c r="Y24" i="4"/>
  <c r="Y1303" i="34" s="1"/>
  <c r="Y28" i="4"/>
  <c r="Y1298" i="34"/>
  <c r="BV250" i="1"/>
  <c r="BV252" i="1"/>
  <c r="BV253" i="1"/>
  <c r="BV107" i="1"/>
  <c r="BV113" i="1"/>
  <c r="BV115" i="1"/>
  <c r="BV121" i="1" s="1"/>
  <c r="BV109" i="1"/>
  <c r="Y1307" i="34" l="1"/>
  <c r="BV130" i="1"/>
  <c r="BV157" i="1"/>
  <c r="BV242" i="1"/>
  <c r="BW280" i="1"/>
  <c r="BW281" i="1" s="1"/>
  <c r="BW58" i="1" s="1"/>
  <c r="BV279" i="1"/>
  <c r="BW56" i="1" l="1"/>
  <c r="BW60" i="1" s="1"/>
  <c r="BW62" i="1"/>
  <c r="BV124" i="1"/>
  <c r="BV125" i="1" s="1"/>
  <c r="BV162" i="1"/>
  <c r="BV129" i="1" l="1"/>
  <c r="BV133" i="1" s="1"/>
  <c r="BV144" i="1" s="1"/>
  <c r="BV183" i="1"/>
  <c r="Z65" i="4"/>
  <c r="Z65" i="40"/>
  <c r="Z65" i="42"/>
  <c r="BW67" i="1"/>
  <c r="BW66" i="1" s="1"/>
  <c r="BW73" i="1" s="1"/>
  <c r="BW64" i="1"/>
  <c r="BW294" i="1" l="1"/>
  <c r="BW78" i="1"/>
  <c r="BW77" i="1"/>
  <c r="BW201" i="1"/>
  <c r="Z67" i="4"/>
  <c r="Z68" i="4" s="1"/>
  <c r="AA66" i="4" s="1"/>
  <c r="BW71" i="1"/>
  <c r="BW75" i="1" s="1"/>
  <c r="Z67" i="42"/>
  <c r="Z68" i="42" s="1"/>
  <c r="AA66" i="42" s="1"/>
  <c r="Z67" i="40"/>
  <c r="Z68" i="40" s="1"/>
  <c r="AA66" i="40" s="1"/>
  <c r="Z70" i="42" l="1"/>
  <c r="Z72" i="42" s="1"/>
  <c r="Z15" i="42" s="1"/>
  <c r="Z19" i="42" s="1"/>
  <c r="Z29" i="42" s="1"/>
  <c r="Z70" i="40"/>
  <c r="Z72" i="40" s="1"/>
  <c r="Z15" i="40" s="1"/>
  <c r="Z19" i="40" s="1"/>
  <c r="BW207" i="1"/>
  <c r="BW216" i="1" s="1"/>
  <c r="BW180" i="1"/>
  <c r="Z70" i="4"/>
  <c r="Z72" i="4" s="1"/>
  <c r="Z24" i="42" l="1"/>
  <c r="Z20" i="42"/>
  <c r="BW181" i="1"/>
  <c r="BW182" i="1" s="1"/>
  <c r="BW106" i="1"/>
  <c r="BW110" i="1"/>
  <c r="BW247" i="1"/>
  <c r="BW249" i="1" s="1"/>
  <c r="BW239" i="1"/>
  <c r="BW241" i="1" s="1"/>
  <c r="Z15" i="4"/>
  <c r="BW103" i="1"/>
  <c r="Z24" i="40"/>
  <c r="Z29" i="40"/>
  <c r="Z20" i="40"/>
  <c r="BW105" i="1" l="1"/>
  <c r="BW123" i="1" s="1"/>
  <c r="Z1294" i="34"/>
  <c r="Z19" i="4"/>
  <c r="BW109" i="1"/>
  <c r="BW115" i="1"/>
  <c r="BW121" i="1" s="1"/>
  <c r="BW107" i="1"/>
  <c r="BW113" i="1"/>
  <c r="BW153" i="1"/>
  <c r="BX238" i="1"/>
  <c r="BW252" i="1"/>
  <c r="BW253" i="1"/>
  <c r="BW250" i="1"/>
  <c r="BW157" i="1" l="1"/>
  <c r="BW130" i="1"/>
  <c r="BW279" i="1"/>
  <c r="BW242" i="1"/>
  <c r="BX280" i="1"/>
  <c r="BX281" i="1" s="1"/>
  <c r="BX58" i="1" s="1"/>
  <c r="Z24" i="4"/>
  <c r="Z1303" i="34" s="1"/>
  <c r="Z28" i="4"/>
  <c r="Z20" i="4"/>
  <c r="Z1299" i="34" s="1"/>
  <c r="Z1298" i="34"/>
  <c r="Z1307" i="34" l="1"/>
  <c r="BX56" i="1"/>
  <c r="BX60" i="1" s="1"/>
  <c r="BX62" i="1"/>
  <c r="BW162" i="1"/>
  <c r="BW124" i="1"/>
  <c r="BW125" i="1" s="1"/>
  <c r="AA65" i="4" l="1"/>
  <c r="AA65" i="42"/>
  <c r="AA65" i="40"/>
  <c r="BX67" i="1"/>
  <c r="BX66" i="1" s="1"/>
  <c r="BX73" i="1" s="1"/>
  <c r="BX64" i="1"/>
  <c r="BW183" i="1"/>
  <c r="BW129" i="1"/>
  <c r="BW133" i="1" s="1"/>
  <c r="BW144" i="1" s="1"/>
  <c r="BX294" i="1" l="1"/>
  <c r="BX78" i="1"/>
  <c r="BX77" i="1"/>
  <c r="BX201" i="1"/>
  <c r="AA67" i="40"/>
  <c r="AA68" i="40" s="1"/>
  <c r="AB66" i="40" s="1"/>
  <c r="AA67" i="42"/>
  <c r="AA68" i="42" s="1"/>
  <c r="AB66" i="42" s="1"/>
  <c r="BX71" i="1"/>
  <c r="BX75" i="1" s="1"/>
  <c r="AA67" i="4"/>
  <c r="AA68" i="4" s="1"/>
  <c r="AB66" i="4" s="1"/>
  <c r="AA70" i="40" l="1"/>
  <c r="AA72" i="40" s="1"/>
  <c r="AA15" i="40" s="1"/>
  <c r="AA19" i="40" s="1"/>
  <c r="AA24" i="40" s="1"/>
  <c r="AA70" i="4"/>
  <c r="AA72" i="4" s="1"/>
  <c r="AA70" i="42"/>
  <c r="AA72" i="42" s="1"/>
  <c r="AA15" i="42" s="1"/>
  <c r="AA19" i="42" s="1"/>
  <c r="BX207" i="1"/>
  <c r="BX216" i="1" s="1"/>
  <c r="BX180" i="1"/>
  <c r="AA20" i="40" l="1"/>
  <c r="AA29" i="40"/>
  <c r="BX181" i="1"/>
  <c r="BX182" i="1" s="1"/>
  <c r="BX106" i="1"/>
  <c r="BX110" i="1"/>
  <c r="BX239" i="1"/>
  <c r="BX241" i="1" s="1"/>
  <c r="BX247" i="1"/>
  <c r="BX249" i="1" s="1"/>
  <c r="AA20" i="42"/>
  <c r="AA24" i="42"/>
  <c r="AA29" i="42"/>
  <c r="AA15" i="4"/>
  <c r="BX103" i="1"/>
  <c r="BX105" i="1" s="1"/>
  <c r="BX123" i="1" s="1"/>
  <c r="BX109" i="1" l="1"/>
  <c r="BX107" i="1"/>
  <c r="BX113" i="1"/>
  <c r="BX115" i="1"/>
  <c r="BX121" i="1" s="1"/>
  <c r="AA1294" i="34"/>
  <c r="AA19" i="4"/>
  <c r="BX252" i="1"/>
  <c r="BX253" i="1"/>
  <c r="BX250" i="1"/>
  <c r="BY238" i="1"/>
  <c r="BX153" i="1"/>
  <c r="AA24" i="4" l="1"/>
  <c r="AA1303" i="34" s="1"/>
  <c r="AA28" i="4"/>
  <c r="AA20" i="4"/>
  <c r="AA1299" i="34" s="1"/>
  <c r="AA1298" i="34"/>
  <c r="BX157" i="1"/>
  <c r="BX130" i="1"/>
  <c r="BX242" i="1"/>
  <c r="BY280" i="1"/>
  <c r="BY281" i="1" s="1"/>
  <c r="BY58" i="1" s="1"/>
  <c r="BX279" i="1"/>
  <c r="BY56" i="1" l="1"/>
  <c r="BY60" i="1" s="1"/>
  <c r="BY62" i="1"/>
  <c r="AA1307" i="34"/>
  <c r="BX162" i="1"/>
  <c r="BX124" i="1"/>
  <c r="BX125" i="1" s="1"/>
  <c r="AB65" i="4" l="1"/>
  <c r="AB65" i="42"/>
  <c r="AB65" i="40"/>
  <c r="BY67" i="1"/>
  <c r="BY66" i="1" s="1"/>
  <c r="BY73" i="1" s="1"/>
  <c r="BX183" i="1"/>
  <c r="BX129" i="1"/>
  <c r="BX133" i="1" s="1"/>
  <c r="BX144" i="1" s="1"/>
  <c r="BY64" i="1"/>
  <c r="BY71" i="1" s="1"/>
  <c r="BY75" i="1" s="1"/>
  <c r="BY294" i="1" l="1"/>
  <c r="BY77" i="1"/>
  <c r="BY78" i="1"/>
  <c r="BY201" i="1"/>
  <c r="AB67" i="40"/>
  <c r="AB68" i="40" s="1"/>
  <c r="AC66" i="40" s="1"/>
  <c r="AB67" i="42"/>
  <c r="AB68" i="42" s="1"/>
  <c r="AC66" i="42" s="1"/>
  <c r="AB67" i="4"/>
  <c r="AB68" i="4" s="1"/>
  <c r="AC66" i="4" s="1"/>
  <c r="AB70" i="42" l="1"/>
  <c r="AB72" i="42" s="1"/>
  <c r="AB15" i="42" s="1"/>
  <c r="AB19" i="42" s="1"/>
  <c r="AB24" i="42" s="1"/>
  <c r="AB70" i="40"/>
  <c r="AB72" i="40" s="1"/>
  <c r="AB15" i="40" s="1"/>
  <c r="AB19" i="40" s="1"/>
  <c r="AB20" i="40" s="1"/>
  <c r="BY207" i="1"/>
  <c r="BY216" i="1" s="1"/>
  <c r="BY180" i="1"/>
  <c r="AB70" i="4"/>
  <c r="AB72" i="4" s="1"/>
  <c r="AB29" i="40" l="1"/>
  <c r="AB20" i="42"/>
  <c r="AB29" i="42"/>
  <c r="AB24" i="40"/>
  <c r="AB15" i="4"/>
  <c r="BY103" i="1"/>
  <c r="BY181" i="1"/>
  <c r="BY182" i="1" s="1"/>
  <c r="BY106" i="1"/>
  <c r="BY110" i="1"/>
  <c r="BY239" i="1"/>
  <c r="BY241" i="1" s="1"/>
  <c r="BY247" i="1"/>
  <c r="BY249" i="1" s="1"/>
  <c r="BY250" i="1" l="1"/>
  <c r="BY252" i="1"/>
  <c r="BY253" i="1"/>
  <c r="BZ238" i="1"/>
  <c r="BY153" i="1"/>
  <c r="BY105" i="1"/>
  <c r="BY123" i="1" s="1"/>
  <c r="BY107" i="1"/>
  <c r="BY113" i="1"/>
  <c r="BY115" i="1"/>
  <c r="BY121" i="1" s="1"/>
  <c r="BY109" i="1"/>
  <c r="AB1294" i="34"/>
  <c r="AB19" i="4"/>
  <c r="AB20" i="4" l="1"/>
  <c r="AB1299" i="34" s="1"/>
  <c r="AB24" i="4"/>
  <c r="AB1303" i="34" s="1"/>
  <c r="AB28" i="4"/>
  <c r="AB1307" i="34" s="1"/>
  <c r="AB1298" i="34"/>
  <c r="BY130" i="1"/>
  <c r="BY157" i="1"/>
  <c r="BY242" i="1"/>
  <c r="BZ280" i="1"/>
  <c r="BZ281" i="1" s="1"/>
  <c r="BZ58" i="1" s="1"/>
  <c r="BY279" i="1"/>
  <c r="BY124" i="1" l="1"/>
  <c r="BY125" i="1" s="1"/>
  <c r="BY162" i="1"/>
  <c r="BZ56" i="1"/>
  <c r="BZ60" i="1" s="1"/>
  <c r="BZ62" i="1"/>
  <c r="BZ64" i="1" l="1"/>
  <c r="BZ71" i="1" s="1"/>
  <c r="BZ75" i="1" s="1"/>
  <c r="AC65" i="4"/>
  <c r="AC65" i="42"/>
  <c r="AC65" i="40"/>
  <c r="BZ67" i="1"/>
  <c r="BZ66" i="1" s="1"/>
  <c r="BZ73" i="1" s="1"/>
  <c r="BY129" i="1"/>
  <c r="BY133" i="1" s="1"/>
  <c r="BY144" i="1" s="1"/>
  <c r="BY183" i="1"/>
  <c r="BZ77" i="1" l="1"/>
  <c r="BZ78" i="1"/>
  <c r="BZ201" i="1"/>
  <c r="AC67" i="4"/>
  <c r="AC68" i="4" s="1"/>
  <c r="AC67" i="40"/>
  <c r="AC68" i="40" s="1"/>
  <c r="AC67" i="42"/>
  <c r="AC68" i="42" s="1"/>
  <c r="BZ294" i="1"/>
  <c r="BZ207" i="1" l="1"/>
  <c r="BZ216" i="1" s="1"/>
  <c r="BZ180" i="1"/>
  <c r="BZ181" i="1" s="1"/>
  <c r="BZ182" i="1" s="1"/>
  <c r="AC70" i="42"/>
  <c r="AC72" i="42" s="1"/>
  <c r="AC15" i="42" s="1"/>
  <c r="AC19" i="42" s="1"/>
  <c r="AC70" i="40"/>
  <c r="AC72" i="40" s="1"/>
  <c r="AC15" i="40" s="1"/>
  <c r="AC19" i="40" s="1"/>
  <c r="AC70" i="4"/>
  <c r="AC72" i="4" s="1"/>
  <c r="AC20" i="42" l="1"/>
  <c r="AC24" i="42"/>
  <c r="AD24" i="42" s="1"/>
  <c r="AD19" i="42" s="1"/>
  <c r="AC29" i="42"/>
  <c r="L33" i="42" s="1"/>
  <c r="AC15" i="4"/>
  <c r="BZ103" i="1"/>
  <c r="AC20" i="40"/>
  <c r="AC24" i="40"/>
  <c r="AD24" i="40" s="1"/>
  <c r="AD19" i="40" s="1"/>
  <c r="AC29" i="40"/>
  <c r="L33" i="40" s="1"/>
  <c r="BZ106" i="1"/>
  <c r="BZ110" i="1"/>
  <c r="BZ239" i="1"/>
  <c r="BZ241" i="1" s="1"/>
  <c r="BZ153" i="1" s="1"/>
  <c r="BZ247" i="1"/>
  <c r="BZ249" i="1" s="1"/>
  <c r="BZ107" i="1" l="1"/>
  <c r="BZ113" i="1"/>
  <c r="BZ115" i="1"/>
  <c r="BZ121" i="1" s="1"/>
  <c r="BZ109" i="1"/>
  <c r="BZ105" i="1"/>
  <c r="BZ123" i="1" s="1"/>
  <c r="AC1294" i="34"/>
  <c r="AC19" i="4"/>
  <c r="L34" i="40"/>
  <c r="L35" i="40" s="1"/>
  <c r="W4" i="40" s="1"/>
  <c r="AD20" i="40"/>
  <c r="L41" i="40"/>
  <c r="L34" i="42"/>
  <c r="L35" i="42" s="1"/>
  <c r="W4" i="42" s="1"/>
  <c r="L41" i="42"/>
  <c r="AD20" i="42"/>
  <c r="BZ250" i="1"/>
  <c r="BZ252" i="1"/>
  <c r="BZ253" i="1"/>
  <c r="BZ130" i="1"/>
  <c r="BZ157" i="1"/>
  <c r="BZ242" i="1"/>
  <c r="BZ279" i="1"/>
  <c r="V4" i="42" l="1"/>
  <c r="U4" i="42"/>
  <c r="L38" i="42"/>
  <c r="L40" i="42" s="1"/>
  <c r="L1" i="42" s="1"/>
  <c r="L38" i="40"/>
  <c r="U4" i="40"/>
  <c r="V4" i="40"/>
  <c r="BZ124" i="1"/>
  <c r="BZ125" i="1" s="1"/>
  <c r="BZ162" i="1"/>
  <c r="AC20" i="4"/>
  <c r="AC1299" i="34" s="1"/>
  <c r="AC24" i="4"/>
  <c r="AC28" i="4"/>
  <c r="AC1298" i="34"/>
  <c r="BZ129" i="1" l="1"/>
  <c r="BZ133" i="1" s="1"/>
  <c r="BZ144" i="1" s="1"/>
  <c r="BZ183" i="1"/>
  <c r="L40" i="40"/>
  <c r="L1" i="40" s="1"/>
  <c r="Q88" i="40"/>
  <c r="AC1307" i="34"/>
  <c r="L32" i="4"/>
  <c r="AD24" i="4"/>
  <c r="AC1303" i="34"/>
  <c r="Q89" i="40" l="1"/>
  <c r="S88" i="40"/>
  <c r="T88" i="40" s="1"/>
  <c r="L1311" i="34"/>
  <c r="L45" i="3"/>
  <c r="L61" i="4"/>
  <c r="AD1303" i="34"/>
  <c r="X35" i="4"/>
  <c r="Y35" i="4"/>
  <c r="Y37" i="4"/>
  <c r="Z36" i="4"/>
  <c r="W35" i="4"/>
  <c r="W37" i="4"/>
  <c r="X36" i="4"/>
  <c r="U36" i="4"/>
  <c r="V35" i="4"/>
  <c r="V37" i="4"/>
  <c r="AA35" i="4"/>
  <c r="AA37" i="4"/>
  <c r="X37" i="4"/>
  <c r="Y36" i="4"/>
  <c r="Z35" i="4"/>
  <c r="Z37" i="4"/>
  <c r="W36" i="4"/>
  <c r="U35" i="4"/>
  <c r="U37" i="4"/>
  <c r="V36" i="4"/>
  <c r="AA36" i="4"/>
  <c r="AD19" i="4"/>
  <c r="AA43" i="4" l="1"/>
  <c r="AA1322" i="34" s="1"/>
  <c r="AA1316" i="34"/>
  <c r="L33" i="4"/>
  <c r="L40" i="4"/>
  <c r="AD20" i="4"/>
  <c r="AD1299" i="34" s="1"/>
  <c r="AD1298" i="34"/>
  <c r="Y42" i="4"/>
  <c r="Y1321" i="34" s="1"/>
  <c r="Y1315" i="34"/>
  <c r="V43" i="4"/>
  <c r="V1322" i="34" s="1"/>
  <c r="V1316" i="34"/>
  <c r="W43" i="4"/>
  <c r="W1322" i="34" s="1"/>
  <c r="W1316" i="34"/>
  <c r="Y41" i="4"/>
  <c r="Y1320" i="34" s="1"/>
  <c r="Y1314" i="34"/>
  <c r="E47" i="3"/>
  <c r="I47" i="3"/>
  <c r="C51" i="3"/>
  <c r="G51" i="3"/>
  <c r="E63" i="3"/>
  <c r="I63" i="3"/>
  <c r="E65" i="3"/>
  <c r="B47" i="3"/>
  <c r="F47" i="3"/>
  <c r="D51" i="3"/>
  <c r="H51" i="3"/>
  <c r="B63" i="3"/>
  <c r="F63" i="3"/>
  <c r="B65" i="3"/>
  <c r="F65" i="3"/>
  <c r="C47" i="3"/>
  <c r="G47" i="3"/>
  <c r="E51" i="3"/>
  <c r="I51" i="3"/>
  <c r="C63" i="3"/>
  <c r="G63" i="3"/>
  <c r="C65" i="3"/>
  <c r="G65" i="3"/>
  <c r="D47" i="3"/>
  <c r="H47" i="3"/>
  <c r="B51" i="3"/>
  <c r="F51" i="3"/>
  <c r="L60" i="3" s="1"/>
  <c r="D63" i="3"/>
  <c r="H63" i="3"/>
  <c r="D65" i="3"/>
  <c r="H65" i="3"/>
  <c r="I65" i="3"/>
  <c r="V42" i="4"/>
  <c r="V1321" i="34" s="1"/>
  <c r="V1315" i="34"/>
  <c r="U41" i="4"/>
  <c r="U1320" i="34" s="1"/>
  <c r="U1314" i="34"/>
  <c r="AA42" i="4"/>
  <c r="AA1321" i="34" s="1"/>
  <c r="AA1315" i="34"/>
  <c r="W42" i="4"/>
  <c r="W1321" i="34" s="1"/>
  <c r="W1315" i="34"/>
  <c r="X43" i="4"/>
  <c r="X1322" i="34" s="1"/>
  <c r="X1316" i="34"/>
  <c r="V41" i="4"/>
  <c r="V1320" i="34" s="1"/>
  <c r="V1314" i="34"/>
  <c r="W41" i="4"/>
  <c r="W1320" i="34" s="1"/>
  <c r="W1314" i="34"/>
  <c r="X41" i="4"/>
  <c r="X1320" i="34" s="1"/>
  <c r="X1314" i="34"/>
  <c r="Z43" i="4"/>
  <c r="Z1322" i="34" s="1"/>
  <c r="Z1316" i="34"/>
  <c r="U42" i="4"/>
  <c r="U1321" i="34" s="1"/>
  <c r="U1315" i="34"/>
  <c r="Z42" i="4"/>
  <c r="Z1321" i="34" s="1"/>
  <c r="Z1315" i="34"/>
  <c r="U43" i="4"/>
  <c r="U1322" i="34" s="1"/>
  <c r="U1316" i="34"/>
  <c r="Z41" i="4"/>
  <c r="Z1320" i="34" s="1"/>
  <c r="Z1314" i="34"/>
  <c r="AA41" i="4"/>
  <c r="AA1320" i="34" s="1"/>
  <c r="AA1314" i="34"/>
  <c r="X42" i="4"/>
  <c r="X1321" i="34" s="1"/>
  <c r="X1315" i="34"/>
  <c r="Y43" i="4"/>
  <c r="Y1322" i="34" s="1"/>
  <c r="Y1316" i="34"/>
  <c r="Q90" i="40"/>
  <c r="S89" i="40"/>
  <c r="T89" i="40" s="1"/>
  <c r="L54" i="3" l="1"/>
  <c r="L1319" i="34"/>
  <c r="L46" i="3"/>
  <c r="L1312" i="34"/>
  <c r="L34" i="4"/>
  <c r="Q33" i="4" s="1"/>
  <c r="Q1312" i="34" s="1"/>
  <c r="Q91" i="40"/>
  <c r="S90" i="40"/>
  <c r="T90" i="40" s="1"/>
  <c r="Q92" i="40" l="1"/>
  <c r="S91" i="40"/>
  <c r="T91" i="40" s="1"/>
  <c r="V4" i="4"/>
  <c r="T34" i="4"/>
  <c r="T1313" i="34" s="1"/>
  <c r="L37" i="4"/>
  <c r="L57" i="4"/>
  <c r="W4" i="4"/>
  <c r="L58" i="4"/>
  <c r="U4" i="4"/>
  <c r="L1313" i="34"/>
  <c r="L47" i="3"/>
  <c r="L39" i="4" l="1"/>
  <c r="L1316" i="34"/>
  <c r="L49" i="3"/>
  <c r="Q93" i="40"/>
  <c r="S92" i="40"/>
  <c r="T92" i="40" s="1"/>
  <c r="L1" i="4" l="1"/>
  <c r="L4" i="14" s="1"/>
  <c r="T40" i="4"/>
  <c r="T1319" i="34" s="1"/>
  <c r="L59" i="4"/>
  <c r="I1" i="14"/>
  <c r="I1" i="34"/>
  <c r="L1318" i="34"/>
  <c r="L51" i="3"/>
  <c r="Q94" i="40"/>
  <c r="S94" i="40" s="1"/>
  <c r="T94" i="40" s="1"/>
  <c r="S93" i="40"/>
  <c r="T93" i="40" s="1"/>
  <c r="S95" i="40" l="1" a="1"/>
  <c r="S95" i="40" s="1"/>
  <c r="U88" i="40" s="1"/>
  <c r="D55" i="3"/>
  <c r="D57" i="3" s="1"/>
  <c r="H55" i="3"/>
  <c r="H57" i="3" s="1"/>
  <c r="E60" i="3"/>
  <c r="I60" i="3"/>
  <c r="E55" i="3"/>
  <c r="E57" i="3" s="1"/>
  <c r="I55" i="3"/>
  <c r="I57" i="3" s="1"/>
  <c r="B60" i="3"/>
  <c r="F60" i="3"/>
  <c r="A44" i="3"/>
  <c r="B55" i="3"/>
  <c r="B57" i="3" s="1"/>
  <c r="F55" i="3"/>
  <c r="F57" i="3" s="1"/>
  <c r="C60" i="3"/>
  <c r="G60" i="3"/>
  <c r="C5" i="3"/>
  <c r="C55" i="3"/>
  <c r="C57" i="3" s="1"/>
  <c r="G55" i="3"/>
  <c r="G57" i="3" s="1"/>
  <c r="D60" i="3"/>
  <c r="H60" i="3"/>
  <c r="I1" i="1"/>
  <c r="L62" i="3"/>
  <c r="L68" i="3" s="1"/>
  <c r="I1" i="2"/>
  <c r="U91" i="40" l="1"/>
  <c r="U93" i="40"/>
  <c r="U89" i="40"/>
  <c r="U94" i="40"/>
  <c r="U90" i="40"/>
  <c r="U92" i="40"/>
  <c r="U95" i="40" l="1"/>
  <c r="AR975" i="34" l="1"/>
  <c r="AR114" i="2"/>
  <c r="AR981" i="34" s="1"/>
  <c r="AR113" i="2"/>
  <c r="AR980" i="34" s="1"/>
  <c r="AR112" i="2"/>
  <c r="AR978" i="34" s="1"/>
  <c r="AR976" i="34"/>
  <c r="BQ109" i="2"/>
  <c r="BQ111" i="2" s="1"/>
  <c r="AW500" i="34" s="1"/>
  <c r="AR111" i="2"/>
  <c r="AR977" i="34" s="1"/>
  <c r="AS109" i="2"/>
  <c r="AR21" i="1"/>
  <c r="BR21" i="1" s="1"/>
  <c r="AR107" i="2" l="1"/>
  <c r="AR974" i="34" s="1"/>
  <c r="AW498" i="34"/>
  <c r="BQ977" i="34"/>
  <c r="BQ975" i="34"/>
  <c r="AR18" i="1"/>
  <c r="BQ112" i="2"/>
  <c r="BQ978" i="34" s="1"/>
  <c r="BQ114" i="2"/>
  <c r="CE109" i="2"/>
  <c r="AS114" i="2"/>
  <c r="AS981" i="34" s="1"/>
  <c r="AS112" i="2"/>
  <c r="AS978" i="34" s="1"/>
  <c r="AT109" i="2"/>
  <c r="AS111" i="2"/>
  <c r="AS977" i="34" s="1"/>
  <c r="BQ107" i="2"/>
  <c r="CO21" i="1"/>
  <c r="AS113" i="2"/>
  <c r="AS980" i="34" s="1"/>
  <c r="AS21" i="1"/>
  <c r="AS975" i="34"/>
  <c r="AW501" i="34"/>
  <c r="AW503" i="34" l="1"/>
  <c r="BQ981" i="34"/>
  <c r="AV15" i="1"/>
  <c r="AV1213" i="34" s="1"/>
  <c r="BR18" i="1"/>
  <c r="AT975" i="34"/>
  <c r="AT114" i="2"/>
  <c r="AT981" i="34" s="1"/>
  <c r="AT113" i="2"/>
  <c r="AT980" i="34" s="1"/>
  <c r="AT112" i="2"/>
  <c r="AT978" i="34" s="1"/>
  <c r="AT21" i="1"/>
  <c r="AT111" i="2"/>
  <c r="AT977" i="34" s="1"/>
  <c r="AU109" i="2"/>
  <c r="AS18" i="1"/>
  <c r="AS107" i="2"/>
  <c r="AS974" i="34" s="1"/>
  <c r="BQ974" i="34"/>
  <c r="AW497" i="34"/>
  <c r="CO18" i="1" l="1"/>
  <c r="AT18" i="1"/>
  <c r="AT107" i="2"/>
  <c r="AT974" i="34" s="1"/>
  <c r="AU111" i="2"/>
  <c r="AU977" i="34" s="1"/>
  <c r="AU112" i="2"/>
  <c r="AU978" i="34" s="1"/>
  <c r="AU114" i="2"/>
  <c r="AU981" i="34" s="1"/>
  <c r="AU113" i="2"/>
  <c r="AU980" i="34" s="1"/>
  <c r="AV109" i="2"/>
  <c r="AU21" i="1"/>
  <c r="AU975" i="34"/>
  <c r="AW15" i="1"/>
  <c r="AW1213" i="34" s="1"/>
  <c r="AS274" i="1"/>
  <c r="AU107" i="2" l="1"/>
  <c r="AU974" i="34" s="1"/>
  <c r="AU18" i="1"/>
  <c r="AT274" i="1"/>
  <c r="AX15" i="1"/>
  <c r="AX1213" i="34" s="1"/>
  <c r="AV112" i="2"/>
  <c r="AV978" i="34" s="1"/>
  <c r="AV975" i="34"/>
  <c r="AV21" i="1"/>
  <c r="AV111" i="2"/>
  <c r="AV977" i="34" s="1"/>
  <c r="AV114" i="2"/>
  <c r="AV981" i="34" s="1"/>
  <c r="AW109" i="2"/>
  <c r="AV113" i="2"/>
  <c r="AV980" i="34" s="1"/>
  <c r="BR109" i="2"/>
  <c r="BR975" i="34" l="1"/>
  <c r="CF109" i="2"/>
  <c r="BR111" i="2"/>
  <c r="AX498" i="34"/>
  <c r="BR114" i="2"/>
  <c r="BR112" i="2"/>
  <c r="AV18" i="1"/>
  <c r="AV107" i="2"/>
  <c r="AV974" i="34" s="1"/>
  <c r="BS21" i="1"/>
  <c r="AU274" i="1"/>
  <c r="AY15" i="1"/>
  <c r="AY1213" i="34" s="1"/>
  <c r="AW114" i="2"/>
  <c r="AW981" i="34" s="1"/>
  <c r="AX109" i="2"/>
  <c r="AW975" i="34"/>
  <c r="AW113" i="2"/>
  <c r="AW980" i="34" s="1"/>
  <c r="AW112" i="2"/>
  <c r="AW978" i="34" s="1"/>
  <c r="AW21" i="1"/>
  <c r="AW111" i="2"/>
  <c r="AW977" i="34" s="1"/>
  <c r="AX114" i="2" l="1"/>
  <c r="AX981" i="34" s="1"/>
  <c r="AX112" i="2"/>
  <c r="AX978" i="34" s="1"/>
  <c r="AX975" i="34"/>
  <c r="AY109" i="2"/>
  <c r="AX113" i="2"/>
  <c r="AX980" i="34" s="1"/>
  <c r="AX111" i="2"/>
  <c r="AX977" i="34" s="1"/>
  <c r="AX21" i="1"/>
  <c r="AZ15" i="1"/>
  <c r="AZ1213" i="34" s="1"/>
  <c r="AV274" i="1"/>
  <c r="AX500" i="34"/>
  <c r="BR977" i="34"/>
  <c r="AW107" i="2"/>
  <c r="AW974" i="34" s="1"/>
  <c r="AW18" i="1"/>
  <c r="CP21" i="1"/>
  <c r="BR107" i="2"/>
  <c r="CK21" i="1"/>
  <c r="AX501" i="34"/>
  <c r="BR978" i="34"/>
  <c r="BS18" i="1"/>
  <c r="AX503" i="34"/>
  <c r="BR981" i="34"/>
  <c r="AX18" i="1" l="1"/>
  <c r="AX107" i="2"/>
  <c r="AX974" i="34" s="1"/>
  <c r="AW274" i="1"/>
  <c r="AW125" i="1"/>
  <c r="BA15" i="1"/>
  <c r="BA1213" i="34" s="1"/>
  <c r="AW123" i="1"/>
  <c r="CK18" i="1"/>
  <c r="CP18" i="1"/>
  <c r="BR974" i="34"/>
  <c r="AX497" i="34"/>
  <c r="AY114" i="2"/>
  <c r="AY981" i="34" s="1"/>
  <c r="AY112" i="2"/>
  <c r="AY978" i="34" s="1"/>
  <c r="AY21" i="1"/>
  <c r="AY975" i="34"/>
  <c r="AY111" i="2"/>
  <c r="AY977" i="34" s="1"/>
  <c r="AY113" i="2"/>
  <c r="AY980" i="34" s="1"/>
  <c r="AZ109" i="2"/>
  <c r="BS109" i="2" s="1"/>
  <c r="BS114" i="2" l="1"/>
  <c r="BS111" i="2"/>
  <c r="BS112" i="2"/>
  <c r="BS975" i="34"/>
  <c r="CG109" i="2"/>
  <c r="AY498" i="34"/>
  <c r="AY107" i="2"/>
  <c r="AY974" i="34" s="1"/>
  <c r="AY18" i="1"/>
  <c r="AX125" i="1"/>
  <c r="AX123" i="1"/>
  <c r="BB15" i="1"/>
  <c r="BB1213" i="34" s="1"/>
  <c r="AX274" i="1"/>
  <c r="AZ113" i="2"/>
  <c r="AZ980" i="34" s="1"/>
  <c r="AZ112" i="2"/>
  <c r="AZ978" i="34" s="1"/>
  <c r="AZ111" i="2"/>
  <c r="AZ977" i="34" s="1"/>
  <c r="AZ114" i="2"/>
  <c r="AZ981" i="34" s="1"/>
  <c r="AZ21" i="1"/>
  <c r="BA109" i="2"/>
  <c r="AZ975" i="34"/>
  <c r="AY500" i="34" l="1"/>
  <c r="BS977" i="34"/>
  <c r="AY123" i="1"/>
  <c r="AY125" i="1"/>
  <c r="AY274" i="1"/>
  <c r="BC15" i="1"/>
  <c r="BC1213" i="34" s="1"/>
  <c r="BT18" i="1"/>
  <c r="AZ107" i="2"/>
  <c r="AZ974" i="34" s="1"/>
  <c r="AZ18" i="1"/>
  <c r="BA112" i="2"/>
  <c r="BA978" i="34" s="1"/>
  <c r="BA975" i="34"/>
  <c r="BB109" i="2"/>
  <c r="BA111" i="2"/>
  <c r="BA977" i="34" s="1"/>
  <c r="BA21" i="1"/>
  <c r="BA113" i="2"/>
  <c r="BA980" i="34" s="1"/>
  <c r="BA114" i="2"/>
  <c r="BA981" i="34" s="1"/>
  <c r="BS978" i="34"/>
  <c r="AY501" i="34"/>
  <c r="BT21" i="1"/>
  <c r="BS981" i="34"/>
  <c r="AY503" i="34"/>
  <c r="CQ21" i="1" l="1"/>
  <c r="BS107" i="2"/>
  <c r="BA107" i="2"/>
  <c r="BA974" i="34" s="1"/>
  <c r="BA18" i="1"/>
  <c r="CQ18" i="1"/>
  <c r="BB112" i="2"/>
  <c r="BB978" i="34" s="1"/>
  <c r="BB21" i="1"/>
  <c r="BB975" i="34"/>
  <c r="BC109" i="2"/>
  <c r="BB114" i="2"/>
  <c r="BB981" i="34" s="1"/>
  <c r="BB113" i="2"/>
  <c r="BB980" i="34" s="1"/>
  <c r="BB111" i="2"/>
  <c r="BB977" i="34" s="1"/>
  <c r="AZ274" i="1"/>
  <c r="BD15" i="1"/>
  <c r="BD1213" i="34" s="1"/>
  <c r="AZ123" i="1"/>
  <c r="AZ125" i="1"/>
  <c r="BA125" i="1" l="1"/>
  <c r="BA123" i="1"/>
  <c r="BA274" i="1"/>
  <c r="BC111" i="2"/>
  <c r="BC977" i="34" s="1"/>
  <c r="BC114" i="2"/>
  <c r="BC981" i="34" s="1"/>
  <c r="BC112" i="2"/>
  <c r="BC978" i="34" s="1"/>
  <c r="BC21" i="1"/>
  <c r="BC113" i="2"/>
  <c r="BC980" i="34" s="1"/>
  <c r="BD109" i="2"/>
  <c r="BC975" i="34"/>
  <c r="AY497" i="34"/>
  <c r="BS974" i="34"/>
  <c r="BB18" i="1"/>
  <c r="BB107" i="2"/>
  <c r="BB974" i="34" s="1"/>
  <c r="BD975" i="34" l="1"/>
  <c r="BD113" i="2"/>
  <c r="BD980" i="34" s="1"/>
  <c r="BD111" i="2"/>
  <c r="BD977" i="34" s="1"/>
  <c r="BD112" i="2"/>
  <c r="BD978" i="34" s="1"/>
  <c r="BD21" i="1"/>
  <c r="BD114" i="2"/>
  <c r="BD981" i="34" s="1"/>
  <c r="BB274" i="1"/>
  <c r="BB123" i="1"/>
  <c r="BB125" i="1"/>
  <c r="BT109" i="2"/>
  <c r="BC18" i="1"/>
  <c r="BC107" i="2"/>
  <c r="BC974" i="34" s="1"/>
  <c r="BU21" i="1"/>
  <c r="BT975" i="34" l="1"/>
  <c r="BT112" i="2"/>
  <c r="BT111" i="2"/>
  <c r="AZ498" i="34"/>
  <c r="BT114" i="2"/>
  <c r="BU109" i="2"/>
  <c r="CB21" i="1"/>
  <c r="BT107" i="2"/>
  <c r="CR21" i="1"/>
  <c r="BD18" i="1"/>
  <c r="BD107" i="2"/>
  <c r="BD974" i="34" s="1"/>
  <c r="BC123" i="1"/>
  <c r="BC274" i="1"/>
  <c r="BC125" i="1"/>
  <c r="BD274" i="1" l="1"/>
  <c r="BD123" i="1"/>
  <c r="BD125" i="1"/>
  <c r="BX18" i="1"/>
  <c r="BU18" i="1"/>
  <c r="BW18" i="1"/>
  <c r="BU975" i="34"/>
  <c r="BU150" i="2"/>
  <c r="BU114" i="2"/>
  <c r="BU981" i="34" s="1"/>
  <c r="BU112" i="2"/>
  <c r="BU978" i="34" s="1"/>
  <c r="BV109" i="2"/>
  <c r="BT978" i="34"/>
  <c r="AZ501" i="34"/>
  <c r="BV18" i="1"/>
  <c r="BT974" i="34"/>
  <c r="AZ497" i="34"/>
  <c r="AZ500" i="34"/>
  <c r="BT977" i="34"/>
  <c r="AZ503" i="34"/>
  <c r="BT981" i="34"/>
  <c r="BU152" i="2" l="1"/>
  <c r="BU153" i="2"/>
  <c r="BV150" i="2"/>
  <c r="BV975" i="34"/>
  <c r="BV112" i="2"/>
  <c r="BV978" i="34" s="1"/>
  <c r="BW109" i="2"/>
  <c r="BV114" i="2"/>
  <c r="BV981" i="34" s="1"/>
  <c r="CB18" i="1"/>
  <c r="CR18" i="1"/>
  <c r="BV153" i="2" l="1"/>
  <c r="BV152" i="2"/>
  <c r="BW975" i="34"/>
  <c r="BW112" i="2"/>
  <c r="BW978" i="34" s="1"/>
  <c r="BX109" i="2"/>
  <c r="BW114" i="2"/>
  <c r="BW981" i="34" s="1"/>
  <c r="BW150" i="2"/>
  <c r="BW153" i="2" l="1"/>
  <c r="BW152" i="2"/>
  <c r="BX114" i="2"/>
  <c r="BX981" i="34" s="1"/>
  <c r="BX975" i="34"/>
  <c r="BY109" i="2"/>
  <c r="BX112" i="2"/>
  <c r="BX978" i="34" s="1"/>
  <c r="BX150" i="2"/>
  <c r="BY150" i="2" l="1"/>
  <c r="BY975" i="34"/>
  <c r="BY112" i="2"/>
  <c r="BY978" i="34" s="1"/>
  <c r="BY114" i="2"/>
  <c r="BY981" i="34" s="1"/>
  <c r="BX152" i="2"/>
  <c r="BX153" i="2"/>
  <c r="BY153" i="2" l="1"/>
  <c r="BY152" i="2"/>
</calcChain>
</file>

<file path=xl/comments1.xml><?xml version="1.0" encoding="utf-8"?>
<comments xmlns="http://schemas.openxmlformats.org/spreadsheetml/2006/main">
  <authors>
    <author>Soyer-Osman, Erhan (Research)</author>
    <author>Nowak, Brian (Research)</author>
    <author>Hyde, Owen (Research)</author>
    <author>Lanterman, Jon (Research)</author>
    <author>Liu, Kevin (Research)</author>
    <author>Hoffman, Brandon (Research)</author>
    <author>Jordan Monahan</author>
    <author>jorgeo</author>
    <author>monahjor</author>
    <author>Monahan, Jordan (Research)</author>
    <author>sunilt</author>
  </authors>
  <commentList>
    <comment ref="AF18" authorId="0">
      <text>
        <r>
          <rPr>
            <b/>
            <sz val="9"/>
            <color indexed="81"/>
            <rFont val="Tahoma"/>
            <family val="2"/>
          </rPr>
          <t>Soyer-Osman, Erhan (Research):</t>
        </r>
        <r>
          <rPr>
            <sz val="9"/>
            <color indexed="81"/>
            <rFont val="Tahoma"/>
            <family val="2"/>
          </rPr>
          <t xml:space="preserve">
3Q call: Expect $107-108m</t>
        </r>
      </text>
    </comment>
    <comment ref="AG18" authorId="1">
      <text>
        <r>
          <rPr>
            <b/>
            <sz val="9"/>
            <color indexed="81"/>
            <rFont val="Tahoma"/>
            <family val="2"/>
          </rPr>
          <t>Nowak, Brian (Research):</t>
        </r>
        <r>
          <rPr>
            <sz val="9"/>
            <color indexed="81"/>
            <rFont val="Tahoma"/>
            <family val="2"/>
          </rPr>
          <t xml:space="preserve">
4Q:14 guidance $114-116
now 118.5-120.5 b/c of eat 24
eat 24: transaction is valued at approximately $134M, consisting of approximately 1.4M shares of Yelp Class A common stock and $75M cash, less certain transaction expenses and subject to customary working capital adjustments. </t>
        </r>
      </text>
    </comment>
    <comment ref="AH18" authorId="0">
      <text>
        <r>
          <rPr>
            <b/>
            <sz val="9"/>
            <color indexed="81"/>
            <rFont val="Tahoma"/>
            <family val="2"/>
          </rPr>
          <t>Soyer-Osman, Erhan (Research):</t>
        </r>
        <r>
          <rPr>
            <sz val="9"/>
            <color indexed="81"/>
            <rFont val="Tahoma"/>
            <family val="2"/>
          </rPr>
          <t xml:space="preserve">
1Q15: For the second quarter of 2015, net revenue is expected to be in the range of $131 million to $134 million, representing growth of approximately 49% compared to the second quarter of 2014. 
</t>
        </r>
      </text>
    </comment>
    <comment ref="AI18" authorId="2">
      <text>
        <r>
          <rPr>
            <b/>
            <sz val="9"/>
            <color indexed="81"/>
            <rFont val="Tahoma"/>
            <family val="2"/>
          </rPr>
          <t>Hyde, Owen (Research):</t>
        </r>
        <r>
          <rPr>
            <sz val="9"/>
            <color indexed="81"/>
            <rFont val="Tahoma"/>
            <family val="2"/>
          </rPr>
          <t xml:space="preserve">
2Q15: For the third quarter of 2015, net revenue is expected to be in the range of $139 million to $142 million, representing growth of approximately 37% compared to the third quarter of 2014. </t>
        </r>
      </text>
    </comment>
    <comment ref="AJ18" authorId="2">
      <text>
        <r>
          <rPr>
            <b/>
            <sz val="9"/>
            <color indexed="81"/>
            <rFont val="Tahoma"/>
            <family val="2"/>
          </rPr>
          <t>Hyde, Owen (Research):</t>
        </r>
        <r>
          <rPr>
            <sz val="9"/>
            <color indexed="81"/>
            <rFont val="Tahoma"/>
            <family val="2"/>
          </rPr>
          <t xml:space="preserve">
3Q15: guide $149.5 million to $154.5 </t>
        </r>
      </text>
    </comment>
    <comment ref="AK18" authorId="2">
      <text>
        <r>
          <rPr>
            <b/>
            <sz val="9"/>
            <color indexed="81"/>
            <rFont val="Tahoma"/>
            <family val="2"/>
          </rPr>
          <t>Hyde, Owen (Research):</t>
        </r>
        <r>
          <rPr>
            <sz val="9"/>
            <color indexed="81"/>
            <rFont val="Tahoma"/>
            <family val="2"/>
          </rPr>
          <t xml:space="preserve">
4Q15: 4Q15 guide: 154M - $157M</t>
        </r>
      </text>
    </comment>
    <comment ref="AL18" authorId="2">
      <text>
        <r>
          <rPr>
            <b/>
            <sz val="9"/>
            <color indexed="81"/>
            <rFont val="Tahoma"/>
            <family val="2"/>
          </rPr>
          <t>Hyde, Owen (Research):</t>
        </r>
        <r>
          <rPr>
            <sz val="9"/>
            <color indexed="81"/>
            <rFont val="Tahoma"/>
            <family val="2"/>
          </rPr>
          <t xml:space="preserve">
1Q16 guide: 167 to 171</t>
        </r>
      </text>
    </comment>
    <comment ref="AM18" authorId="2">
      <text>
        <r>
          <rPr>
            <b/>
            <sz val="9"/>
            <color indexed="81"/>
            <rFont val="Tahoma"/>
            <family val="2"/>
          </rPr>
          <t>Hyde, Owen (Research):</t>
        </r>
        <r>
          <rPr>
            <sz val="9"/>
            <color indexed="81"/>
            <rFont val="Tahoma"/>
            <family val="2"/>
          </rPr>
          <t xml:space="preserve">
2Q16 guide: 180 to 184</t>
        </r>
      </text>
    </comment>
    <comment ref="AN18" authorId="3">
      <text>
        <r>
          <rPr>
            <b/>
            <sz val="9"/>
            <color indexed="81"/>
            <rFont val="Tahoma"/>
            <family val="2"/>
          </rPr>
          <t>Lanterman, Jon (Research):</t>
        </r>
        <r>
          <rPr>
            <sz val="9"/>
            <color indexed="81"/>
            <rFont val="Tahoma"/>
            <family val="2"/>
          </rPr>
          <t xml:space="preserve">
3Q:16 Guide:  $191-195mn</t>
        </r>
      </text>
    </comment>
    <comment ref="AO18" authorId="4">
      <text>
        <r>
          <rPr>
            <b/>
            <sz val="9"/>
            <color indexed="81"/>
            <rFont val="Tahoma"/>
            <family val="2"/>
          </rPr>
          <t>Liu, Kevin (Research):</t>
        </r>
        <r>
          <rPr>
            <sz val="9"/>
            <color indexed="81"/>
            <rFont val="Tahoma"/>
            <family val="2"/>
          </rPr>
          <t xml:space="preserve">
guidance: $195-$199mn </t>
        </r>
      </text>
    </comment>
    <comment ref="AP18" authorId="5">
      <text>
        <r>
          <rPr>
            <b/>
            <sz val="9"/>
            <color indexed="81"/>
            <rFont val="Tahoma"/>
            <family val="2"/>
          </rPr>
          <t>Hoffman, Brandon (Research):</t>
        </r>
        <r>
          <rPr>
            <sz val="9"/>
            <color indexed="81"/>
            <rFont val="Tahoma"/>
            <family val="2"/>
          </rPr>
          <t xml:space="preserve">
guide 202-206
 </t>
        </r>
      </text>
    </comment>
    <comment ref="BP18" authorId="1">
      <text>
        <r>
          <rPr>
            <b/>
            <sz val="9"/>
            <color indexed="81"/>
            <rFont val="Tahoma"/>
            <family val="2"/>
          </rPr>
          <t>Nowak, Brian (Research):</t>
        </r>
        <r>
          <rPr>
            <sz val="9"/>
            <color indexed="81"/>
            <rFont val="Tahoma"/>
            <family val="2"/>
          </rPr>
          <t xml:space="preserve">
1Q:15 re-affirm 574-579
Eat24: 574-579
4Q:14 guidance 538-543
2Q:15 Lower 544 to 550
3Q15: lower 545.5 to 551.5</t>
        </r>
      </text>
    </comment>
    <comment ref="AI19" authorId="2">
      <text>
        <r>
          <rPr>
            <b/>
            <sz val="9"/>
            <color indexed="81"/>
            <rFont val="Tahoma"/>
            <family val="2"/>
          </rPr>
          <t>Hyde, Owen (Research):</t>
        </r>
        <r>
          <rPr>
            <sz val="9"/>
            <color indexed="81"/>
            <rFont val="Tahoma"/>
            <family val="2"/>
          </rPr>
          <t xml:space="preserve">
3Q:15:  Revenue from CPC advertisers down 52% of local revenue in the third quarter.</t>
        </r>
      </text>
    </comment>
    <comment ref="AJ20" authorId="2">
      <text>
        <r>
          <rPr>
            <b/>
            <sz val="9"/>
            <color indexed="81"/>
            <rFont val="Tahoma"/>
            <family val="2"/>
          </rPr>
          <t>Hyde, Owen (Research):</t>
        </r>
        <r>
          <rPr>
            <sz val="9"/>
            <color indexed="81"/>
            <rFont val="Tahoma"/>
            <family val="2"/>
          </rPr>
          <t xml:space="preserve">
3Q Conf Call: 
In terms of the fourth quarter, what we're expecting for brand, we're not providing any guidance on the individual line items of the revenue.
 Given that it we're eliminating our display ad product there's a lot of puts and takes with that revenue line item 
Had previously guided to 10M in 2H 
</t>
        </r>
      </text>
    </comment>
    <comment ref="I23" authorId="5">
      <text>
        <r>
          <rPr>
            <b/>
            <sz val="9"/>
            <color indexed="81"/>
            <rFont val="Tahoma"/>
            <family val="2"/>
          </rPr>
          <t>Hoffman, Brandon (Research):</t>
        </r>
        <r>
          <rPr>
            <sz val="9"/>
            <color indexed="81"/>
            <rFont val="Tahoma"/>
            <family val="2"/>
          </rPr>
          <t xml:space="preserve">
We generate revenue from our advertising products, transactions and other services. </t>
        </r>
      </text>
    </comment>
    <comment ref="AF23" authorId="0">
      <text>
        <r>
          <rPr>
            <b/>
            <sz val="9"/>
            <color indexed="81"/>
            <rFont val="Tahoma"/>
            <family val="2"/>
          </rPr>
          <t>Soyer-Osman, Erhan (Research):</t>
        </r>
        <r>
          <rPr>
            <sz val="9"/>
            <color indexed="81"/>
            <rFont val="Tahoma"/>
            <family val="2"/>
          </rPr>
          <t xml:space="preserve">
3Q call: Expect $107-108m</t>
        </r>
      </text>
    </comment>
    <comment ref="AG23" authorId="1">
      <text>
        <r>
          <rPr>
            <b/>
            <sz val="9"/>
            <color indexed="81"/>
            <rFont val="Tahoma"/>
            <family val="2"/>
          </rPr>
          <t>Nowak, Brian (Research):</t>
        </r>
        <r>
          <rPr>
            <sz val="9"/>
            <color indexed="81"/>
            <rFont val="Tahoma"/>
            <family val="2"/>
          </rPr>
          <t xml:space="preserve">
4Q:14 guidance $114-116
now 118.5-120.5 b/c of eat 24
eat 24: transaction is valued at approximately $134M, consisting of approximately 1.4M shares of Yelp Class A common stock and $75M cash, less certain transaction expenses and subject to customary working capital adjustments. </t>
        </r>
      </text>
    </comment>
    <comment ref="AH23" authorId="0">
      <text>
        <r>
          <rPr>
            <b/>
            <sz val="9"/>
            <color indexed="81"/>
            <rFont val="Tahoma"/>
            <family val="2"/>
          </rPr>
          <t>Soyer-Osman, Erhan (Research):</t>
        </r>
        <r>
          <rPr>
            <sz val="9"/>
            <color indexed="81"/>
            <rFont val="Tahoma"/>
            <family val="2"/>
          </rPr>
          <t xml:space="preserve">
1Q15: For the second quarter of 2015, net revenue is expected to be in the range of $131 million to $134 million, representing growth of approximately 49% compared to the second quarter of 2014. 
</t>
        </r>
      </text>
    </comment>
    <comment ref="AI23" authorId="2">
      <text>
        <r>
          <rPr>
            <b/>
            <sz val="9"/>
            <color indexed="81"/>
            <rFont val="Tahoma"/>
            <family val="2"/>
          </rPr>
          <t>Hyde, Owen (Research):</t>
        </r>
        <r>
          <rPr>
            <sz val="9"/>
            <color indexed="81"/>
            <rFont val="Tahoma"/>
            <family val="2"/>
          </rPr>
          <t xml:space="preserve">
2Q15: For the third quarter of 2015, net revenue is expected to be in the range of $139 million to $142 million, representing growth of approximately 37% compared to the third quarter of 2014. </t>
        </r>
      </text>
    </comment>
    <comment ref="AJ23" authorId="2">
      <text>
        <r>
          <rPr>
            <b/>
            <sz val="9"/>
            <color indexed="81"/>
            <rFont val="Tahoma"/>
            <family val="2"/>
          </rPr>
          <t>Hyde, Owen (Research):</t>
        </r>
        <r>
          <rPr>
            <sz val="9"/>
            <color indexed="81"/>
            <rFont val="Tahoma"/>
            <family val="2"/>
          </rPr>
          <t xml:space="preserve">
3Q15: guide $149.5 million to $154.5 </t>
        </r>
      </text>
    </comment>
    <comment ref="AK23" authorId="2">
      <text>
        <r>
          <rPr>
            <b/>
            <sz val="9"/>
            <color indexed="81"/>
            <rFont val="Tahoma"/>
            <family val="2"/>
          </rPr>
          <t>Hyde, Owen (Research):</t>
        </r>
        <r>
          <rPr>
            <sz val="9"/>
            <color indexed="81"/>
            <rFont val="Tahoma"/>
            <family val="2"/>
          </rPr>
          <t xml:space="preserve">
4Q15: 4Q15 guide: 154M - $157M</t>
        </r>
      </text>
    </comment>
    <comment ref="AL23" authorId="2">
      <text>
        <r>
          <rPr>
            <b/>
            <sz val="9"/>
            <color indexed="81"/>
            <rFont val="Tahoma"/>
            <family val="2"/>
          </rPr>
          <t>Hyde, Owen (Research):</t>
        </r>
        <r>
          <rPr>
            <sz val="9"/>
            <color indexed="81"/>
            <rFont val="Tahoma"/>
            <family val="2"/>
          </rPr>
          <t xml:space="preserve">
1Q16 guide: 167 to 171</t>
        </r>
      </text>
    </comment>
    <comment ref="AM23" authorId="2">
      <text>
        <r>
          <rPr>
            <b/>
            <sz val="9"/>
            <color indexed="81"/>
            <rFont val="Tahoma"/>
            <family val="2"/>
          </rPr>
          <t>Hyde, Owen (Research):</t>
        </r>
        <r>
          <rPr>
            <sz val="9"/>
            <color indexed="81"/>
            <rFont val="Tahoma"/>
            <family val="2"/>
          </rPr>
          <t xml:space="preserve">
2Q16 guide: 180 to 184</t>
        </r>
      </text>
    </comment>
    <comment ref="AN23" authorId="3">
      <text>
        <r>
          <rPr>
            <b/>
            <sz val="9"/>
            <color indexed="81"/>
            <rFont val="Tahoma"/>
            <family val="2"/>
          </rPr>
          <t>Lanterman, Jon (Research):</t>
        </r>
        <r>
          <rPr>
            <sz val="9"/>
            <color indexed="81"/>
            <rFont val="Tahoma"/>
            <family val="2"/>
          </rPr>
          <t xml:space="preserve">
3Q:16 Guide:  $191-195mn</t>
        </r>
      </text>
    </comment>
    <comment ref="AO23" authorId="4">
      <text>
        <r>
          <rPr>
            <b/>
            <sz val="9"/>
            <color indexed="81"/>
            <rFont val="Tahoma"/>
            <family val="2"/>
          </rPr>
          <t>Liu, Kevin (Research):</t>
        </r>
        <r>
          <rPr>
            <sz val="9"/>
            <color indexed="81"/>
            <rFont val="Tahoma"/>
            <family val="2"/>
          </rPr>
          <t xml:space="preserve">
guidance: $195-$199mn </t>
        </r>
      </text>
    </comment>
    <comment ref="AP23" authorId="5">
      <text>
        <r>
          <rPr>
            <b/>
            <sz val="9"/>
            <color indexed="81"/>
            <rFont val="Tahoma"/>
            <family val="2"/>
          </rPr>
          <t>Hoffman, Brandon (Research):</t>
        </r>
        <r>
          <rPr>
            <sz val="9"/>
            <color indexed="81"/>
            <rFont val="Tahoma"/>
            <family val="2"/>
          </rPr>
          <t xml:space="preserve">
guide 202-206
 </t>
        </r>
      </text>
    </comment>
    <comment ref="AQ23" authorId="5">
      <text>
        <r>
          <rPr>
            <b/>
            <sz val="9"/>
            <color indexed="81"/>
            <rFont val="Tahoma"/>
            <family val="2"/>
          </rPr>
          <t>Hoffman, Brandon (Research):</t>
        </r>
        <r>
          <rPr>
            <sz val="9"/>
            <color indexed="81"/>
            <rFont val="Tahoma"/>
            <family val="2"/>
          </rPr>
          <t xml:space="preserve">
2Q guide 217-222mn</t>
        </r>
      </text>
    </comment>
    <comment ref="AR23" authorId="5">
      <text>
        <r>
          <rPr>
            <b/>
            <sz val="9"/>
            <color indexed="81"/>
            <rFont val="Tahoma"/>
            <family val="2"/>
          </rPr>
          <t>Hoffman, Brandon (Research):</t>
        </r>
        <r>
          <rPr>
            <sz val="9"/>
            <color indexed="81"/>
            <rFont val="Tahoma"/>
            <family val="2"/>
          </rPr>
          <t xml:space="preserve">
3Q guide 211-216</t>
        </r>
      </text>
    </comment>
    <comment ref="AS23" authorId="5">
      <text>
        <r>
          <rPr>
            <b/>
            <sz val="9"/>
            <color indexed="81"/>
            <rFont val="Tahoma"/>
            <family val="2"/>
          </rPr>
          <t>Hoffman, Brandon (Research):</t>
        </r>
        <r>
          <rPr>
            <sz val="9"/>
            <color indexed="81"/>
            <rFont val="Tahoma"/>
            <family val="2"/>
          </rPr>
          <t xml:space="preserve">
4Q: 218-221</t>
        </r>
      </text>
    </comment>
    <comment ref="BP23" authorId="1">
      <text>
        <r>
          <rPr>
            <b/>
            <sz val="9"/>
            <color indexed="81"/>
            <rFont val="Tahoma"/>
            <family val="2"/>
          </rPr>
          <t>Nowak, Brian (Research):</t>
        </r>
        <r>
          <rPr>
            <sz val="9"/>
            <color indexed="81"/>
            <rFont val="Tahoma"/>
            <family val="2"/>
          </rPr>
          <t xml:space="preserve">
1Q:15 re-affirm 574-579
Eat24: 574-579
4Q:14 guidance 538-543
2Q:15 Lower 544 to 550
3Q15: lower 545.5 to 551.5</t>
        </r>
      </text>
    </comment>
    <comment ref="BQ23" authorId="2">
      <text>
        <r>
          <rPr>
            <b/>
            <sz val="9"/>
            <color indexed="81"/>
            <rFont val="Tahoma"/>
            <family val="2"/>
          </rPr>
          <t>Hyde, Owen (Research):</t>
        </r>
        <r>
          <rPr>
            <sz val="9"/>
            <color indexed="81"/>
            <rFont val="Tahoma"/>
            <family val="2"/>
          </rPr>
          <t xml:space="preserve">
2Q16 guide:700 to 708
1Q16 guide: 690 to 702M
4Q15 guide: 685M to 700M
</t>
        </r>
      </text>
    </comment>
    <comment ref="BR23" authorId="2">
      <text>
        <r>
          <rPr>
            <b/>
            <sz val="9"/>
            <color indexed="81"/>
            <rFont val="Tahoma"/>
            <family val="2"/>
          </rPr>
          <t>Hyde, Owen (Research):</t>
        </r>
        <r>
          <rPr>
            <sz val="9"/>
            <color indexed="81"/>
            <rFont val="Tahoma"/>
            <family val="2"/>
          </rPr>
          <t xml:space="preserve">
3Q17: 839-844
2Q17 855-865mn
1Q17: guide 850 - 865
2017 guidance: $880-900mn
3Q:15: So on the sales force growth for Q2, it was about 35% I think at this point were expecting it to be above 30% for 2015. And when we do the
calculations, we figure that if we grow the sales force about 25% in both 2016 and 2017 that $1 billion revenue is still achievable.</t>
        </r>
      </text>
    </comment>
    <comment ref="BS23" authorId="5">
      <text>
        <r>
          <rPr>
            <b/>
            <sz val="9"/>
            <color indexed="81"/>
            <rFont val="Tahoma"/>
            <family val="2"/>
          </rPr>
          <t>Hoffman, Brandon (Research):</t>
        </r>
        <r>
          <rPr>
            <sz val="9"/>
            <color indexed="81"/>
            <rFont val="Tahoma"/>
            <family val="2"/>
          </rPr>
          <t xml:space="preserve">
4Q guide: 935-965</t>
        </r>
      </text>
    </comment>
    <comment ref="I24" authorId="5">
      <text>
        <r>
          <rPr>
            <b/>
            <sz val="9"/>
            <color indexed="81"/>
            <rFont val="Tahoma"/>
            <family val="2"/>
          </rPr>
          <t>Hoffman, Brandon (Research):</t>
        </r>
        <r>
          <rPr>
            <sz val="9"/>
            <color indexed="81"/>
            <rFont val="Tahoma"/>
            <family val="2"/>
          </rPr>
          <t xml:space="preserve">
We generate advertising revenue from our advertising programs, which consist of enhanced listing pages and performance and impression-based advertising in search results and elsewhere on our website and mobile app. Advertising revenue also includes revenue generated from resale of our advertising products by certain partners and monetization of remnant advertising inventory through third-party ad networks. </t>
        </r>
      </text>
    </comment>
    <comment ref="I25" authorId="5">
      <text>
        <r>
          <rPr>
            <b/>
            <sz val="9"/>
            <color indexed="81"/>
            <rFont val="Tahoma"/>
            <family val="2"/>
          </rPr>
          <t xml:space="preserve">Hoffman, Brandon (Research):
</t>
        </r>
        <r>
          <rPr>
            <sz val="9"/>
            <color indexed="81"/>
            <rFont val="Tahoma"/>
            <family val="2"/>
          </rPr>
          <t xml:space="preserve">
</t>
        </r>
        <r>
          <rPr>
            <b/>
            <sz val="9"/>
            <color indexed="81"/>
            <rFont val="Tahoma"/>
            <family val="2"/>
          </rPr>
          <t>Eat24, Platform transactions, Yelp Deals, and Gift Certs</t>
        </r>
        <r>
          <rPr>
            <sz val="9"/>
            <color indexed="81"/>
            <rFont val="Tahoma"/>
            <family val="2"/>
          </rPr>
          <t xml:space="preserve">
</t>
        </r>
        <r>
          <rPr>
            <sz val="8"/>
            <color indexed="81"/>
            <rFont val="Tahoma"/>
            <family val="2"/>
          </rPr>
          <t xml:space="preserve">We generate revenue from various transactions with consumers, including through Yelp Eat24, Platform transactions and the sale of Yelp Deals and Gift Certificates. </t>
        </r>
        <r>
          <rPr>
            <b/>
            <sz val="8"/>
            <color indexed="81"/>
            <rFont val="Tahoma"/>
            <family val="2"/>
          </rPr>
          <t xml:space="preserve">Yelp Eat24 generates revenue through arrangements with restaurants, in which restaurants pay a commission percentage </t>
        </r>
        <r>
          <rPr>
            <sz val="8"/>
            <color indexed="81"/>
            <rFont val="Tahoma"/>
            <family val="2"/>
          </rPr>
          <t xml:space="preserve">fee on orders placed through the Yelp Eat24 platform. We record revenue associated with Yelp Eat24s transactions on a net basis. Our Platform partnerships are revenue-sharing arrangements that provide consumers with the ability to complete food delivery transactions, order flowers and book spa and salon appointments, among others, through third parties directly on Yelp. </t>
        </r>
        <r>
          <rPr>
            <b/>
            <sz val="8"/>
            <color indexed="81"/>
            <rFont val="Tahoma"/>
            <family val="2"/>
          </rPr>
          <t>We earn a fee on our Platform partnerships for acting as an agent for these transactions</t>
        </r>
        <r>
          <rPr>
            <sz val="8"/>
            <color indexed="81"/>
            <rFont val="Tahoma"/>
            <family val="2"/>
          </rPr>
          <t xml:space="preserve">, which we record on a net basis and include in revenue upon completion of a transaction. </t>
        </r>
        <r>
          <rPr>
            <b/>
            <sz val="8"/>
            <color indexed="81"/>
            <rFont val="Tahoma"/>
            <family val="2"/>
          </rPr>
          <t>Yelp Deals allow merchants to promote themselves and offer discounted goods and services on a real-time basis</t>
        </r>
        <r>
          <rPr>
            <sz val="8"/>
            <color indexed="81"/>
            <rFont val="Tahoma"/>
            <family val="2"/>
          </rPr>
          <t xml:space="preserve"> to consumers directly on our website and mobile app. We earn a fee on Yelp Deals for acting as an agent in these transactions, which we record on a net basis and include in revenue upon a consumers purchase of a deal. </t>
        </r>
        <r>
          <rPr>
            <b/>
            <sz val="8"/>
            <color indexed="81"/>
            <rFont val="Tahoma"/>
            <family val="2"/>
          </rPr>
          <t>Gift Certificates allow merchants to sell full-priced gift certificates directly to consumers through their business listing pages.</t>
        </r>
        <r>
          <rPr>
            <sz val="8"/>
            <color indexed="81"/>
            <rFont val="Tahoma"/>
            <family val="2"/>
          </rPr>
          <t xml:space="preserve"> We earn a fee based on the amount of the Gift Certificate sold, which we record on a net basis and include in revenue upon a consumers purchase of the Gift Certificate.</t>
        </r>
      </text>
    </comment>
    <comment ref="AR25" authorId="5">
      <text>
        <r>
          <rPr>
            <b/>
            <sz val="9"/>
            <color indexed="81"/>
            <rFont val="Tahoma"/>
            <family val="2"/>
          </rPr>
          <t>Hoffman, Brandon (Research):</t>
        </r>
        <r>
          <rPr>
            <sz val="9"/>
            <color indexed="81"/>
            <rFont val="Tahoma"/>
            <family val="2"/>
          </rPr>
          <t xml:space="preserve">
3Q call: will not be getting the Eat24 contribution, which is majority of Transactions revenue
8K: Eat24 was 34.5 of the 36.5 in 1H17, $1mn/qtr is non-Eat24 Transaction revenue
$2mn/qtr contrib from the ~8mn estimate  annualized referral fee from our PF math</t>
        </r>
      </text>
    </comment>
    <comment ref="I26" authorId="5">
      <text>
        <r>
          <rPr>
            <b/>
            <sz val="9"/>
            <color indexed="81"/>
            <rFont val="Tahoma"/>
            <family val="2"/>
          </rPr>
          <t>Hoffman, Brandon (Research):</t>
        </r>
        <r>
          <rPr>
            <sz val="9"/>
            <color indexed="81"/>
            <rFont val="Tahoma"/>
            <family val="2"/>
          </rPr>
          <t xml:space="preserve">
We generate revenue through our</t>
        </r>
        <r>
          <rPr>
            <b/>
            <sz val="9"/>
            <color indexed="81"/>
            <rFont val="Tahoma"/>
            <family val="2"/>
          </rPr>
          <t xml:space="preserve"> Yelp Reservations and Nowait products</t>
        </r>
        <r>
          <rPr>
            <sz val="9"/>
            <color indexed="81"/>
            <rFont val="Tahoma"/>
            <family val="2"/>
          </rPr>
          <t>, licensing payments for access to Yelp data through our</t>
        </r>
        <r>
          <rPr>
            <b/>
            <sz val="9"/>
            <color indexed="81"/>
            <rFont val="Tahoma"/>
            <family val="2"/>
          </rPr>
          <t xml:space="preserve"> Yelp Knowledge program </t>
        </r>
        <r>
          <rPr>
            <sz val="9"/>
            <color indexed="81"/>
            <rFont val="Tahoma"/>
            <family val="2"/>
          </rPr>
          <t xml:space="preserve">and other non-advertising related partnerships. </t>
        </r>
      </text>
    </comment>
    <comment ref="AI28" authorId="2">
      <text>
        <r>
          <rPr>
            <b/>
            <sz val="9"/>
            <color indexed="81"/>
            <rFont val="Tahoma"/>
            <family val="2"/>
          </rPr>
          <t>Hyde, Owen (Research):</t>
        </r>
        <r>
          <rPr>
            <sz val="9"/>
            <color indexed="81"/>
            <rFont val="Tahoma"/>
            <family val="2"/>
          </rPr>
          <t xml:space="preserve">
3Q15: Cost of revenue in the quarter was consistent with last quarter, as we made investments in our hosting centers and testing infrastructure we expect revenue to be approximately 10% in the fourth quarter.</t>
        </r>
      </text>
    </comment>
    <comment ref="M35" authorId="6">
      <text>
        <r>
          <rPr>
            <b/>
            <sz val="8"/>
            <color indexed="81"/>
            <rFont val="Tahoma"/>
            <family val="2"/>
          </rPr>
          <t>Jordan Monahan:</t>
        </r>
        <r>
          <rPr>
            <sz val="8"/>
            <color indexed="81"/>
            <rFont val="Tahoma"/>
            <family val="2"/>
          </rPr>
          <t xml:space="preserve">
Legal settlement accrual of $1.3m</t>
        </r>
      </text>
    </comment>
    <comment ref="AA36" authorId="6">
      <text>
        <r>
          <rPr>
            <b/>
            <sz val="8"/>
            <color indexed="81"/>
            <rFont val="Tahoma"/>
            <family val="2"/>
          </rPr>
          <t>Jordan Monahan:</t>
        </r>
        <r>
          <rPr>
            <sz val="8"/>
            <color indexed="81"/>
            <rFont val="Tahoma"/>
            <family val="2"/>
          </rPr>
          <t xml:space="preserve">
Guide $6.5m/qtr due to SeatMe acquisition</t>
        </r>
      </text>
    </comment>
    <comment ref="AB36" authorId="6">
      <text>
        <r>
          <rPr>
            <b/>
            <sz val="8"/>
            <color indexed="81"/>
            <rFont val="Tahoma"/>
            <family val="2"/>
          </rPr>
          <t>Jordan Monahan:</t>
        </r>
        <r>
          <rPr>
            <sz val="8"/>
            <color indexed="81"/>
            <rFont val="Tahoma"/>
            <family val="2"/>
          </rPr>
          <t xml:space="preserve">
Guide $8.5m</t>
        </r>
      </text>
    </comment>
    <comment ref="AG36" authorId="1">
      <text>
        <r>
          <rPr>
            <b/>
            <sz val="9"/>
            <color indexed="81"/>
            <rFont val="Tahoma"/>
            <family val="2"/>
          </rPr>
          <t>Nowak, Brian (Research):</t>
        </r>
        <r>
          <rPr>
            <sz val="9"/>
            <color indexed="81"/>
            <rFont val="Tahoma"/>
            <family val="2"/>
          </rPr>
          <t xml:space="preserve">
guidance 12-13</t>
        </r>
      </text>
    </comment>
    <comment ref="AI36" authorId="2">
      <text>
        <r>
          <rPr>
            <b/>
            <sz val="9"/>
            <color indexed="81"/>
            <rFont val="Tahoma"/>
            <family val="2"/>
          </rPr>
          <t>Hyde, Owen (Research):</t>
        </r>
        <r>
          <rPr>
            <sz val="9"/>
            <color indexed="81"/>
            <rFont val="Tahoma"/>
            <family val="2"/>
          </rPr>
          <t xml:space="preserve">
 Stock-based compensation is expected to be in the range of $16 million to $17 million,</t>
        </r>
      </text>
    </comment>
    <comment ref="AJ36" authorId="2">
      <text>
        <r>
          <rPr>
            <b/>
            <sz val="9"/>
            <color indexed="81"/>
            <rFont val="Tahoma"/>
            <family val="2"/>
          </rPr>
          <t>Hyde, Owen (Research):</t>
        </r>
        <r>
          <rPr>
            <sz val="9"/>
            <color indexed="81"/>
            <rFont val="Tahoma"/>
            <family val="2"/>
          </rPr>
          <t xml:space="preserve">
3Q:15:
SBC 16-17</t>
        </r>
      </text>
    </comment>
    <comment ref="AK36" authorId="2">
      <text>
        <r>
          <rPr>
            <b/>
            <sz val="9"/>
            <color indexed="81"/>
            <rFont val="Tahoma"/>
            <family val="2"/>
          </rPr>
          <t>Hyde, Owen (Research):</t>
        </r>
        <r>
          <rPr>
            <sz val="9"/>
            <color indexed="81"/>
            <rFont val="Tahoma"/>
            <family val="2"/>
          </rPr>
          <t xml:space="preserve">
4Q15 guide: 19 to 20M</t>
        </r>
      </text>
    </comment>
    <comment ref="AL36" authorId="2">
      <text>
        <r>
          <rPr>
            <b/>
            <sz val="9"/>
            <color indexed="81"/>
            <rFont val="Tahoma"/>
            <family val="2"/>
          </rPr>
          <t>Hyde, Owen (Research):</t>
        </r>
        <r>
          <rPr>
            <sz val="9"/>
            <color indexed="81"/>
            <rFont val="Tahoma"/>
            <family val="2"/>
          </rPr>
          <t xml:space="preserve">
1Q16 guide: 20 to 22</t>
        </r>
      </text>
    </comment>
    <comment ref="AM36" authorId="2">
      <text>
        <r>
          <rPr>
            <b/>
            <sz val="9"/>
            <color indexed="81"/>
            <rFont val="Tahoma"/>
            <family val="2"/>
          </rPr>
          <t>Hyde, Owen (Research):</t>
        </r>
        <r>
          <rPr>
            <sz val="9"/>
            <color indexed="81"/>
            <rFont val="Tahoma"/>
            <family val="2"/>
          </rPr>
          <t xml:space="preserve">
2Q16 guide:21 to 23</t>
        </r>
      </text>
    </comment>
    <comment ref="AN36" authorId="3">
      <text>
        <r>
          <rPr>
            <b/>
            <sz val="9"/>
            <color indexed="81"/>
            <rFont val="Tahoma"/>
            <family val="2"/>
          </rPr>
          <t>Lanterman, Jon (Research):</t>
        </r>
        <r>
          <rPr>
            <sz val="9"/>
            <color indexed="81"/>
            <rFont val="Tahoma"/>
            <family val="2"/>
          </rPr>
          <t xml:space="preserve">
3Q:16 Guide $24-25mn</t>
        </r>
      </text>
    </comment>
    <comment ref="AO36" authorId="4">
      <text>
        <r>
          <rPr>
            <b/>
            <sz val="9"/>
            <color indexed="81"/>
            <rFont val="Tahoma"/>
            <family val="2"/>
          </rPr>
          <t>Liu, Kevin (Research):</t>
        </r>
        <r>
          <rPr>
            <sz val="9"/>
            <color indexed="81"/>
            <rFont val="Tahoma"/>
            <family val="2"/>
          </rPr>
          <t xml:space="preserve">
guidance: $26-$27mn</t>
        </r>
      </text>
    </comment>
    <comment ref="AP36" authorId="5">
      <text>
        <r>
          <rPr>
            <b/>
            <sz val="9"/>
            <color indexed="81"/>
            <rFont val="Tahoma"/>
            <family val="2"/>
          </rPr>
          <t>Hoffman, Brandon (Research):</t>
        </r>
        <r>
          <rPr>
            <sz val="9"/>
            <color indexed="81"/>
            <rFont val="Tahoma"/>
            <family val="2"/>
          </rPr>
          <t xml:space="preserve">
guide 26-27</t>
        </r>
      </text>
    </comment>
    <comment ref="AQ36" authorId="5">
      <text>
        <r>
          <rPr>
            <b/>
            <sz val="9"/>
            <color indexed="81"/>
            <rFont val="Tahoma"/>
            <family val="2"/>
          </rPr>
          <t>Hoffman, Brandon (Research):</t>
        </r>
        <r>
          <rPr>
            <sz val="9"/>
            <color indexed="81"/>
            <rFont val="Tahoma"/>
            <family val="2"/>
          </rPr>
          <t xml:space="preserve">
2Q guide: 25-26</t>
        </r>
      </text>
    </comment>
    <comment ref="AR36" authorId="5">
      <text>
        <r>
          <rPr>
            <b/>
            <sz val="9"/>
            <color indexed="81"/>
            <rFont val="Tahoma"/>
            <family val="2"/>
          </rPr>
          <t>Hoffman, Brandon (Research):</t>
        </r>
        <r>
          <rPr>
            <sz val="9"/>
            <color indexed="81"/>
            <rFont val="Tahoma"/>
            <family val="2"/>
          </rPr>
          <t xml:space="preserve">
3Q guide: 25-27</t>
        </r>
      </text>
    </comment>
    <comment ref="AS36" authorId="5">
      <text>
        <r>
          <rPr>
            <b/>
            <sz val="9"/>
            <color indexed="81"/>
            <rFont val="Tahoma"/>
            <family val="2"/>
          </rPr>
          <t>Hoffman, Brandon (Research):</t>
        </r>
        <r>
          <rPr>
            <sz val="9"/>
            <color indexed="81"/>
            <rFont val="Tahoma"/>
            <family val="2"/>
          </rPr>
          <t xml:space="preserve">
4Q: 26-27</t>
        </r>
      </text>
    </comment>
    <comment ref="BN36" authorId="6">
      <text>
        <r>
          <rPr>
            <b/>
            <sz val="8"/>
            <color indexed="81"/>
            <rFont val="Tahoma"/>
            <family val="2"/>
          </rPr>
          <t>Jordan Monahan:</t>
        </r>
        <r>
          <rPr>
            <sz val="8"/>
            <color indexed="81"/>
            <rFont val="Tahoma"/>
            <family val="2"/>
          </rPr>
          <t xml:space="preserve">
Guide $15m</t>
        </r>
      </text>
    </comment>
    <comment ref="BP36" authorId="1">
      <text>
        <r>
          <rPr>
            <b/>
            <sz val="9"/>
            <color indexed="81"/>
            <rFont val="Tahoma"/>
            <family val="2"/>
          </rPr>
          <t>Nowak, Brian (Research):</t>
        </r>
        <r>
          <rPr>
            <sz val="9"/>
            <color indexed="81"/>
            <rFont val="Tahoma"/>
            <family val="2"/>
          </rPr>
          <t xml:space="preserve">
4Q:14 guidance 58-60mn
2Q15 guide 62-64
3Q15: guide 61 to 63</t>
        </r>
      </text>
    </comment>
    <comment ref="BQ36" authorId="2">
      <text>
        <r>
          <rPr>
            <b/>
            <sz val="9"/>
            <color indexed="81"/>
            <rFont val="Tahoma"/>
            <family val="2"/>
          </rPr>
          <t>Hyde, Owen (Research):</t>
        </r>
        <r>
          <rPr>
            <sz val="9"/>
            <color indexed="81"/>
            <rFont val="Tahoma"/>
            <family val="2"/>
          </rPr>
          <t xml:space="preserve">
2Q16 guide: 85 to 87
1Q16: 84 to 87
4Q15 guide: 83M to 87M</t>
        </r>
      </text>
    </comment>
    <comment ref="BR36" authorId="4">
      <text>
        <r>
          <rPr>
            <b/>
            <sz val="9"/>
            <color indexed="81"/>
            <rFont val="Tahoma"/>
            <family val="2"/>
          </rPr>
          <t>Liu, Kevin (Research):</t>
        </r>
        <r>
          <rPr>
            <sz val="9"/>
            <color indexed="81"/>
            <rFont val="Tahoma"/>
            <family val="2"/>
          </rPr>
          <t xml:space="preserve">
2Q17 guide 102-104
1Q17 guide 105-107
2017 guide: 110-112mn </t>
        </r>
      </text>
    </comment>
    <comment ref="BS36" authorId="5">
      <text>
        <r>
          <rPr>
            <b/>
            <sz val="9"/>
            <color indexed="81"/>
            <rFont val="Tahoma"/>
            <family val="2"/>
          </rPr>
          <t>Hoffman, Brandon (Research):</t>
        </r>
        <r>
          <rPr>
            <sz val="9"/>
            <color indexed="81"/>
            <rFont val="Tahoma"/>
            <family val="2"/>
          </rPr>
          <t xml:space="preserve">
4Q: 112-116</t>
        </r>
      </text>
    </comment>
    <comment ref="AG37" authorId="1">
      <text>
        <r>
          <rPr>
            <b/>
            <sz val="9"/>
            <color indexed="81"/>
            <rFont val="Tahoma"/>
            <family val="2"/>
          </rPr>
          <t>Nowak, Brian (Research):</t>
        </r>
        <r>
          <rPr>
            <sz val="9"/>
            <color indexed="81"/>
            <rFont val="Tahoma"/>
            <family val="2"/>
          </rPr>
          <t xml:space="preserve">
guidance 4-5% of revenue</t>
        </r>
      </text>
    </comment>
    <comment ref="AI37" authorId="2">
      <text>
        <r>
          <rPr>
            <b/>
            <sz val="9"/>
            <color indexed="81"/>
            <rFont val="Tahoma"/>
            <family val="2"/>
          </rPr>
          <t>Hyde, Owen (Research):</t>
        </r>
        <r>
          <rPr>
            <sz val="9"/>
            <color indexed="81"/>
            <rFont val="Tahoma"/>
            <family val="2"/>
          </rPr>
          <t xml:space="preserve">
depreciation and amortization is expected to be 5%-6% of revenue.</t>
        </r>
      </text>
    </comment>
    <comment ref="AJ37" authorId="2">
      <text>
        <r>
          <rPr>
            <b/>
            <sz val="9"/>
            <color indexed="81"/>
            <rFont val="Tahoma"/>
            <family val="2"/>
          </rPr>
          <t>Hyde, Owen (Research):</t>
        </r>
        <r>
          <rPr>
            <sz val="9"/>
            <color indexed="81"/>
            <rFont val="Tahoma"/>
            <family val="2"/>
          </rPr>
          <t xml:space="preserve">
3Q15: 
5-6% of revenue</t>
        </r>
      </text>
    </comment>
    <comment ref="AK37" authorId="2">
      <text>
        <r>
          <rPr>
            <b/>
            <sz val="9"/>
            <color indexed="81"/>
            <rFont val="Tahoma"/>
            <family val="2"/>
          </rPr>
          <t>Hyde, Owen (Research):</t>
        </r>
        <r>
          <rPr>
            <sz val="9"/>
            <color indexed="81"/>
            <rFont val="Tahoma"/>
            <family val="2"/>
          </rPr>
          <t xml:space="preserve">
4Q15 guide: 5% of revenue or 7.8M  based on midpoint</t>
        </r>
      </text>
    </comment>
    <comment ref="AL37" authorId="2">
      <text>
        <r>
          <rPr>
            <b/>
            <sz val="9"/>
            <color indexed="81"/>
            <rFont val="Tahoma"/>
            <family val="2"/>
          </rPr>
          <t>Hyde, Owen (Research):</t>
        </r>
        <r>
          <rPr>
            <sz val="9"/>
            <color indexed="81"/>
            <rFont val="Tahoma"/>
            <family val="2"/>
          </rPr>
          <t xml:space="preserve">
1Q16: 5 % of rev</t>
        </r>
      </text>
    </comment>
    <comment ref="AM37" authorId="2">
      <text>
        <r>
          <rPr>
            <b/>
            <sz val="9"/>
            <color indexed="81"/>
            <rFont val="Tahoma"/>
            <family val="2"/>
          </rPr>
          <t>Hyde, Owen (Research):</t>
        </r>
        <r>
          <rPr>
            <sz val="9"/>
            <color indexed="81"/>
            <rFont val="Tahoma"/>
            <family val="2"/>
          </rPr>
          <t xml:space="preserve">
2Q16 guide:5% of rev</t>
        </r>
      </text>
    </comment>
    <comment ref="AO37" authorId="4">
      <text>
        <r>
          <rPr>
            <b/>
            <sz val="9"/>
            <color indexed="81"/>
            <rFont val="Tahoma"/>
            <family val="2"/>
          </rPr>
          <t>Liu, Kevin (Research):</t>
        </r>
        <r>
          <rPr>
            <sz val="9"/>
            <color indexed="81"/>
            <rFont val="Tahoma"/>
            <family val="2"/>
          </rPr>
          <t xml:space="preserve">
4.5-5% of rev </t>
        </r>
      </text>
    </comment>
    <comment ref="AP37" authorId="5">
      <text>
        <r>
          <rPr>
            <b/>
            <sz val="9"/>
            <color indexed="81"/>
            <rFont val="Tahoma"/>
            <family val="2"/>
          </rPr>
          <t>Hoffman, Brandon (Research):</t>
        </r>
        <r>
          <rPr>
            <sz val="9"/>
            <color indexed="81"/>
            <rFont val="Tahoma"/>
            <family val="2"/>
          </rPr>
          <t xml:space="preserve">
5.0-5.5% of rev</t>
        </r>
      </text>
    </comment>
    <comment ref="AQ37" authorId="5">
      <text>
        <r>
          <rPr>
            <b/>
            <sz val="9"/>
            <color indexed="81"/>
            <rFont val="Tahoma"/>
            <family val="2"/>
          </rPr>
          <t>Hoffman, Brandon (Research):</t>
        </r>
        <r>
          <rPr>
            <sz val="9"/>
            <color indexed="81"/>
            <rFont val="Tahoma"/>
            <family val="2"/>
          </rPr>
          <t xml:space="preserve">
2Q guide 5% of rev</t>
        </r>
      </text>
    </comment>
    <comment ref="AR37" authorId="5">
      <text>
        <r>
          <rPr>
            <b/>
            <sz val="9"/>
            <color indexed="81"/>
            <rFont val="Tahoma"/>
            <family val="2"/>
          </rPr>
          <t>Hoffman, Brandon (Research):</t>
        </r>
        <r>
          <rPr>
            <sz val="9"/>
            <color indexed="81"/>
            <rFont val="Tahoma"/>
            <family val="2"/>
          </rPr>
          <t xml:space="preserve">
3Q guide: 5% rev
</t>
        </r>
      </text>
    </comment>
    <comment ref="AS37" authorId="5">
      <text>
        <r>
          <rPr>
            <b/>
            <sz val="9"/>
            <color indexed="81"/>
            <rFont val="Tahoma"/>
            <family val="2"/>
          </rPr>
          <t>Hoffman, Brandon (Research):</t>
        </r>
        <r>
          <rPr>
            <sz val="9"/>
            <color indexed="81"/>
            <rFont val="Tahoma"/>
            <family val="2"/>
          </rPr>
          <t xml:space="preserve">
4Q: ~5% of rev</t>
        </r>
      </text>
    </comment>
    <comment ref="BN37" authorId="6">
      <text>
        <r>
          <rPr>
            <b/>
            <sz val="8"/>
            <color indexed="81"/>
            <rFont val="Tahoma"/>
            <family val="2"/>
          </rPr>
          <t>Jordan Monahan:</t>
        </r>
        <r>
          <rPr>
            <sz val="8"/>
            <color indexed="81"/>
            <rFont val="Tahoma"/>
            <family val="2"/>
          </rPr>
          <t xml:space="preserve">
Amortization of $2m ($0.5m/qtr)</t>
        </r>
      </text>
    </comment>
    <comment ref="BP37" authorId="1">
      <text>
        <r>
          <rPr>
            <b/>
            <sz val="9"/>
            <color indexed="81"/>
            <rFont val="Tahoma"/>
            <family val="2"/>
          </rPr>
          <t>Nowak, Brian (Research):</t>
        </r>
        <r>
          <rPr>
            <sz val="9"/>
            <color indexed="81"/>
            <rFont val="Tahoma"/>
            <family val="2"/>
          </rPr>
          <t xml:space="preserve">
guidance 4-5% of revenue
2Q15 guide 5-6% of rev
3Q15: 5-6% of rev</t>
        </r>
      </text>
    </comment>
    <comment ref="BQ37" authorId="2">
      <text>
        <r>
          <rPr>
            <b/>
            <sz val="9"/>
            <color indexed="81"/>
            <rFont val="Tahoma"/>
            <family val="2"/>
          </rPr>
          <t>Hyde, Owen (Research):</t>
        </r>
        <r>
          <rPr>
            <sz val="9"/>
            <color indexed="81"/>
            <rFont val="Tahoma"/>
            <family val="2"/>
          </rPr>
          <t xml:space="preserve">
2Q16 guide:5% of rev
1Q16: 5% of revenue
4Q15 guide: 5% of revenue or 34.6M  based on midpoint</t>
        </r>
      </text>
    </comment>
    <comment ref="BR37" authorId="4">
      <text>
        <r>
          <rPr>
            <b/>
            <sz val="9"/>
            <color indexed="81"/>
            <rFont val="Tahoma"/>
            <family val="2"/>
          </rPr>
          <t>Hoffman, Brandon (Research):</t>
        </r>
        <r>
          <rPr>
            <sz val="9"/>
            <color indexed="81"/>
            <rFont val="Tahoma"/>
            <family val="2"/>
          </rPr>
          <t xml:space="preserve">
2Q17 guide ~5%
1Q17 guide 5.0-5.5%
4Q16 4.5-5% of rev</t>
        </r>
      </text>
    </comment>
    <comment ref="BS37" authorId="5">
      <text>
        <r>
          <rPr>
            <b/>
            <sz val="9"/>
            <color indexed="81"/>
            <rFont val="Tahoma"/>
            <family val="2"/>
          </rPr>
          <t>Hoffman, Brandon (Research):</t>
        </r>
        <r>
          <rPr>
            <sz val="9"/>
            <color indexed="81"/>
            <rFont val="Tahoma"/>
            <family val="2"/>
          </rPr>
          <t xml:space="preserve">
4Q: ~5% of rev</t>
        </r>
      </text>
    </comment>
    <comment ref="M49" authorId="6">
      <text>
        <r>
          <rPr>
            <b/>
            <sz val="8"/>
            <color indexed="81"/>
            <rFont val="Tahoma"/>
            <family val="2"/>
          </rPr>
          <t>Jordan Monahan:</t>
        </r>
        <r>
          <rPr>
            <sz val="8"/>
            <color indexed="81"/>
            <rFont val="Tahoma"/>
            <family val="2"/>
          </rPr>
          <t xml:space="preserve">
Does not match to company EBITDA since we exclude legal settlement accrual of 1.3m</t>
        </r>
      </text>
    </comment>
    <comment ref="X49" authorId="6">
      <text>
        <r>
          <rPr>
            <b/>
            <sz val="8"/>
            <color indexed="81"/>
            <rFont val="Tahoma"/>
            <family val="2"/>
          </rPr>
          <t>Jordan Monahan:</t>
        </r>
        <r>
          <rPr>
            <sz val="8"/>
            <color indexed="81"/>
            <rFont val="Tahoma"/>
            <family val="2"/>
          </rPr>
          <t xml:space="preserve">
Guide: $1.25m to $1.5m excluding $1m Qype charge</t>
        </r>
      </text>
    </comment>
    <comment ref="AG49" authorId="1">
      <text>
        <r>
          <rPr>
            <b/>
            <sz val="9"/>
            <color indexed="81"/>
            <rFont val="Tahoma"/>
            <family val="2"/>
          </rPr>
          <t>Nowak, Brian (Research):</t>
        </r>
        <r>
          <rPr>
            <sz val="9"/>
            <color indexed="81"/>
            <rFont val="Tahoma"/>
            <family val="2"/>
          </rPr>
          <t xml:space="preserve">
4Q:14 guidance $19-21
</t>
        </r>
      </text>
    </comment>
    <comment ref="AH49" authorId="0">
      <text>
        <r>
          <rPr>
            <b/>
            <sz val="9"/>
            <color indexed="81"/>
            <rFont val="Tahoma"/>
            <family val="2"/>
          </rPr>
          <t>Soyer-Osman, Erhan (Research):</t>
        </r>
        <r>
          <rPr>
            <sz val="9"/>
            <color indexed="81"/>
            <rFont val="Tahoma"/>
            <family val="2"/>
          </rPr>
          <t xml:space="preserve">
1Q:15 Adjusted EBITDA is expected to be in the range of $22 million to $24 million.
</t>
        </r>
      </text>
    </comment>
    <comment ref="AI49" authorId="2">
      <text>
        <r>
          <rPr>
            <b/>
            <sz val="9"/>
            <color indexed="81"/>
            <rFont val="Tahoma"/>
            <family val="2"/>
          </rPr>
          <t>Hyde, Owen (Research):</t>
        </r>
        <r>
          <rPr>
            <sz val="9"/>
            <color indexed="81"/>
            <rFont val="Tahoma"/>
            <family val="2"/>
          </rPr>
          <t xml:space="preserve">
Adjusted EBITDA is expected to be in the range of $12 million to $15 million.</t>
        </r>
      </text>
    </comment>
    <comment ref="AJ49" authorId="2">
      <text>
        <r>
          <rPr>
            <b/>
            <sz val="9"/>
            <color indexed="81"/>
            <rFont val="Tahoma"/>
            <family val="2"/>
          </rPr>
          <t>Hyde, Owen (Research):</t>
        </r>
        <r>
          <rPr>
            <sz val="9"/>
            <color indexed="81"/>
            <rFont val="Tahoma"/>
            <family val="2"/>
          </rPr>
          <t xml:space="preserve">
3Q guide: 20 to 24M</t>
        </r>
      </text>
    </comment>
    <comment ref="AK49" authorId="2">
      <text>
        <r>
          <rPr>
            <b/>
            <sz val="9"/>
            <color indexed="81"/>
            <rFont val="Tahoma"/>
            <family val="2"/>
          </rPr>
          <t>Hyde, Owen (Research):</t>
        </r>
        <r>
          <rPr>
            <sz val="9"/>
            <color indexed="81"/>
            <rFont val="Tahoma"/>
            <family val="2"/>
          </rPr>
          <t xml:space="preserve">
4Q15 guide: 10M to 12M</t>
        </r>
      </text>
    </comment>
    <comment ref="AL49" authorId="2">
      <text>
        <r>
          <rPr>
            <b/>
            <sz val="9"/>
            <color indexed="81"/>
            <rFont val="Tahoma"/>
            <family val="2"/>
          </rPr>
          <t>Hyde, Owen (Research):</t>
        </r>
        <r>
          <rPr>
            <sz val="9"/>
            <color indexed="81"/>
            <rFont val="Tahoma"/>
            <family val="2"/>
          </rPr>
          <t xml:space="preserve">
1Q16: 21 to 25</t>
        </r>
      </text>
    </comment>
    <comment ref="AM49" authorId="2">
      <text>
        <r>
          <rPr>
            <b/>
            <sz val="9"/>
            <color indexed="81"/>
            <rFont val="Tahoma"/>
            <family val="2"/>
          </rPr>
          <t>Hyde, Owen (Research):</t>
        </r>
        <r>
          <rPr>
            <sz val="9"/>
            <color indexed="81"/>
            <rFont val="Tahoma"/>
            <family val="2"/>
          </rPr>
          <t xml:space="preserve">
2Q16 guide: 24 to 28</t>
        </r>
      </text>
    </comment>
    <comment ref="AN49" authorId="3">
      <text>
        <r>
          <rPr>
            <b/>
            <sz val="9"/>
            <color indexed="81"/>
            <rFont val="Tahoma"/>
            <family val="2"/>
          </rPr>
          <t>Lanterman, Jon (Research):</t>
        </r>
        <r>
          <rPr>
            <sz val="9"/>
            <color indexed="81"/>
            <rFont val="Tahoma"/>
            <family val="2"/>
          </rPr>
          <t xml:space="preserve">
3Q:16 Guide: $36-40mn</t>
        </r>
      </text>
    </comment>
    <comment ref="AO49" authorId="4">
      <text>
        <r>
          <rPr>
            <b/>
            <sz val="9"/>
            <color indexed="81"/>
            <rFont val="Tahoma"/>
            <family val="2"/>
          </rPr>
          <t>Liu, Kevin (Research):</t>
        </r>
        <r>
          <rPr>
            <sz val="9"/>
            <color indexed="81"/>
            <rFont val="Tahoma"/>
            <family val="2"/>
          </rPr>
          <t xml:space="preserve">
guidance: $25-$28mn</t>
        </r>
      </text>
    </comment>
    <comment ref="AP49" authorId="5">
      <text>
        <r>
          <rPr>
            <b/>
            <sz val="9"/>
            <color indexed="81"/>
            <rFont val="Tahoma"/>
            <family val="2"/>
          </rPr>
          <t>Hoffman, Brandon (Research):</t>
        </r>
        <r>
          <rPr>
            <sz val="9"/>
            <color indexed="81"/>
            <rFont val="Tahoma"/>
            <family val="2"/>
          </rPr>
          <t xml:space="preserve">
guide 32-35</t>
        </r>
      </text>
    </comment>
    <comment ref="AQ49" authorId="5">
      <text>
        <r>
          <rPr>
            <b/>
            <sz val="9"/>
            <color indexed="81"/>
            <rFont val="Tahoma"/>
            <family val="2"/>
          </rPr>
          <t>Hoffman, Brandon (Research):</t>
        </r>
        <r>
          <rPr>
            <sz val="9"/>
            <color indexed="81"/>
            <rFont val="Tahoma"/>
            <family val="2"/>
          </rPr>
          <t xml:space="preserve">
2Q guide: 32-35mn
expect lower EBITDA margin in 3Q than in 2Q from local sales hiring</t>
        </r>
      </text>
    </comment>
    <comment ref="AR49" authorId="5">
      <text>
        <r>
          <rPr>
            <b/>
            <sz val="9"/>
            <color indexed="81"/>
            <rFont val="Tahoma"/>
            <family val="2"/>
          </rPr>
          <t>Hoffman, Brandon (Research):</t>
        </r>
        <r>
          <rPr>
            <sz val="9"/>
            <color indexed="81"/>
            <rFont val="Tahoma"/>
            <family val="2"/>
          </rPr>
          <t xml:space="preserve">
3Q guide: 39-42</t>
        </r>
      </text>
    </comment>
    <comment ref="AS49" authorId="5">
      <text>
        <r>
          <rPr>
            <b/>
            <sz val="9"/>
            <color indexed="81"/>
            <rFont val="Tahoma"/>
            <family val="2"/>
          </rPr>
          <t>Hoffman, Brandon (Research):</t>
        </r>
        <r>
          <rPr>
            <sz val="9"/>
            <color indexed="81"/>
            <rFont val="Tahoma"/>
            <family val="2"/>
          </rPr>
          <t xml:space="preserve">
4Q: 29-32</t>
        </r>
      </text>
    </comment>
    <comment ref="BM49" authorId="7">
      <text>
        <r>
          <rPr>
            <b/>
            <sz val="8"/>
            <color indexed="81"/>
            <rFont val="Tahoma"/>
            <family val="2"/>
          </rPr>
          <t>Guide:</t>
        </r>
        <r>
          <rPr>
            <sz val="8"/>
            <color indexed="81"/>
            <rFont val="Tahoma"/>
            <family val="2"/>
          </rPr>
          <t xml:space="preserve">
"For the full year, adjusted EBITDA is expected to be approximately $3.5 million to $4 million excluding the one-time charges related to Qype."
Source: 3Q12 transcript</t>
        </r>
      </text>
    </comment>
    <comment ref="BP49" authorId="1">
      <text>
        <r>
          <rPr>
            <b/>
            <sz val="9"/>
            <color indexed="81"/>
            <rFont val="Tahoma"/>
            <family val="2"/>
          </rPr>
          <t xml:space="preserve">Nowak, Brian (Research):
</t>
        </r>
        <r>
          <rPr>
            <sz val="9"/>
            <color indexed="81"/>
            <rFont val="Tahoma"/>
            <family val="2"/>
          </rPr>
          <t xml:space="preserve">3Q15: lower  guide 72 to 76 M
</t>
        </r>
        <r>
          <rPr>
            <sz val="9"/>
            <color indexed="81"/>
            <rFont val="Tahoma"/>
            <family val="2"/>
          </rPr>
          <t xml:space="preserve">
2Q15: Lower guide 72-78
1Q:15 Reiterate FY guidance of 102-105
Eat24: 102-105
4Q:14 guidance 100-103</t>
        </r>
      </text>
    </comment>
    <comment ref="BQ49" authorId="2">
      <text>
        <r>
          <rPr>
            <b/>
            <sz val="9"/>
            <color indexed="81"/>
            <rFont val="Tahoma"/>
            <family val="2"/>
          </rPr>
          <t>Hyde, Owen (Research):</t>
        </r>
        <r>
          <rPr>
            <sz val="9"/>
            <color indexed="81"/>
            <rFont val="Tahoma"/>
            <family val="2"/>
          </rPr>
          <t xml:space="preserve">
2Q16 guide:100 to 108
1Q16: 93 to 105
4Q15 guide: 90M to 105M</t>
        </r>
      </text>
    </comment>
    <comment ref="BR49" authorId="2">
      <text>
        <r>
          <rPr>
            <b/>
            <sz val="9"/>
            <color indexed="81"/>
            <rFont val="Tahoma"/>
            <family val="2"/>
          </rPr>
          <t>Hyde, Owen (Research):</t>
        </r>
        <r>
          <rPr>
            <sz val="9"/>
            <color indexed="81"/>
            <rFont val="Tahoma"/>
            <family val="2"/>
          </rPr>
          <t xml:space="preserve">
3Q17 guide 154-157
2Q17 guide 143-153mn
1Q17 guide 130-145mm
2017 guidance: $150-$165mn 
</t>
        </r>
        <r>
          <rPr>
            <b/>
            <sz val="9"/>
            <color indexed="81"/>
            <rFont val="Tahoma"/>
            <family val="2"/>
          </rPr>
          <t xml:space="preserve">3Q15:  </t>
        </r>
        <r>
          <rPr>
            <sz val="9"/>
            <color indexed="81"/>
            <rFont val="Tahoma"/>
            <family val="2"/>
          </rPr>
          <t>In terms of your million dollar question and 2017 and what's the target margin we haven't specifically said what the margin is. I would imagine it's going to be quite a bit higher than 2015. And that when we look at long-term, what our target margin is we feel like it's going to be on an adjusted EBITDA basis 35% to 40% and we feel pretty confident that we haven't set a specific revenue goal for that margin as we continue to invest in the business but we can see a lot of opportunities to increase our margin.</t>
        </r>
      </text>
    </comment>
    <comment ref="BS49" authorId="5">
      <text>
        <r>
          <rPr>
            <b/>
            <sz val="9"/>
            <color indexed="81"/>
            <rFont val="Tahoma"/>
            <family val="2"/>
          </rPr>
          <t>Hoffman, Brandon (Research):</t>
        </r>
        <r>
          <rPr>
            <sz val="9"/>
            <color indexed="81"/>
            <rFont val="Tahoma"/>
            <family val="2"/>
          </rPr>
          <t xml:space="preserve">
4Q: 175-187</t>
        </r>
      </text>
    </comment>
    <comment ref="AG65" authorId="1">
      <text>
        <r>
          <rPr>
            <b/>
            <sz val="9"/>
            <color indexed="81"/>
            <rFont val="Tahoma"/>
            <family val="2"/>
          </rPr>
          <t>Nowak, Brian (Research):</t>
        </r>
        <r>
          <rPr>
            <sz val="9"/>
            <color indexed="81"/>
            <rFont val="Tahoma"/>
            <family val="2"/>
          </rPr>
          <t xml:space="preserve">
guidance for 40%</t>
        </r>
      </text>
    </comment>
    <comment ref="AH65" authorId="1">
      <text>
        <r>
          <rPr>
            <b/>
            <sz val="9"/>
            <color indexed="81"/>
            <rFont val="Tahoma"/>
            <family val="2"/>
          </rPr>
          <t>Nowak, Brian (Research):</t>
        </r>
        <r>
          <rPr>
            <sz val="9"/>
            <color indexed="81"/>
            <rFont val="Tahoma"/>
            <family val="2"/>
          </rPr>
          <t xml:space="preserve">
guidance for 40%</t>
        </r>
      </text>
    </comment>
    <comment ref="AI65" authorId="1">
      <text>
        <r>
          <rPr>
            <b/>
            <sz val="9"/>
            <color indexed="81"/>
            <rFont val="Tahoma"/>
            <family val="2"/>
          </rPr>
          <t>Nowak, Brian (Research):</t>
        </r>
        <r>
          <rPr>
            <sz val="9"/>
            <color indexed="81"/>
            <rFont val="Tahoma"/>
            <family val="2"/>
          </rPr>
          <t xml:space="preserve">
guidance for 40%</t>
        </r>
      </text>
    </comment>
    <comment ref="AJ65" authorId="1">
      <text>
        <r>
          <rPr>
            <b/>
            <sz val="9"/>
            <color indexed="81"/>
            <rFont val="Tahoma"/>
            <family val="2"/>
          </rPr>
          <t>Nowak, Brian (Research):</t>
        </r>
        <r>
          <rPr>
            <sz val="9"/>
            <color indexed="81"/>
            <rFont val="Tahoma"/>
            <family val="2"/>
          </rPr>
          <t xml:space="preserve">
guidance for 40%</t>
        </r>
      </text>
    </comment>
    <comment ref="BP65" authorId="1">
      <text>
        <r>
          <rPr>
            <b/>
            <sz val="9"/>
            <color indexed="81"/>
            <rFont val="Tahoma"/>
            <family val="2"/>
          </rPr>
          <t>Nowak, Brian (Research):</t>
        </r>
        <r>
          <rPr>
            <sz val="9"/>
            <color indexed="81"/>
            <rFont val="Tahoma"/>
            <family val="2"/>
          </rPr>
          <t xml:space="preserve">
guidance for 40%</t>
        </r>
      </text>
    </comment>
    <comment ref="AF66" authorId="1">
      <text>
        <r>
          <rPr>
            <b/>
            <sz val="9"/>
            <color indexed="81"/>
            <rFont val="Tahoma"/>
            <family val="2"/>
          </rPr>
          <t>Nowak, Brian (Research):</t>
        </r>
        <r>
          <rPr>
            <sz val="9"/>
            <color indexed="81"/>
            <rFont val="Tahoma"/>
            <family val="2"/>
          </rPr>
          <t xml:space="preserve">
released all of deferred tax valuation allowance in 4Q</t>
        </r>
      </text>
    </comment>
    <comment ref="Z83" authorId="6">
      <text>
        <r>
          <rPr>
            <b/>
            <sz val="8"/>
            <color indexed="81"/>
            <rFont val="Tahoma"/>
            <family val="2"/>
          </rPr>
          <t>Jordan Monahan:</t>
        </r>
        <r>
          <rPr>
            <sz val="8"/>
            <color indexed="81"/>
            <rFont val="Tahoma"/>
            <family val="2"/>
          </rPr>
          <t xml:space="preserve">
Guide 65MM</t>
        </r>
      </text>
    </comment>
    <comment ref="AA83" authorId="8">
      <text>
        <r>
          <rPr>
            <b/>
            <sz val="8"/>
            <color indexed="81"/>
            <rFont val="Tahoma"/>
            <family val="2"/>
          </rPr>
          <t>monahjor:</t>
        </r>
        <r>
          <rPr>
            <sz val="8"/>
            <color indexed="81"/>
            <rFont val="Tahoma"/>
            <family val="2"/>
          </rPr>
          <t xml:space="preserve">
Guide 66.5m
263k shares paid for SeatMe acquisition</t>
        </r>
      </text>
    </comment>
    <comment ref="AB83" authorId="8">
      <text>
        <r>
          <rPr>
            <b/>
            <sz val="8"/>
            <color indexed="81"/>
            <rFont val="Tahoma"/>
            <family val="2"/>
          </rPr>
          <t>monahjor:</t>
        </r>
        <r>
          <rPr>
            <sz val="8"/>
            <color indexed="81"/>
            <rFont val="Tahoma"/>
            <family val="2"/>
          </rPr>
          <t xml:space="preserve">
Follow-on offering of 4.9m shares</t>
        </r>
      </text>
    </comment>
    <comment ref="AC83" authorId="8">
      <text>
        <r>
          <rPr>
            <b/>
            <sz val="8"/>
            <color indexed="81"/>
            <rFont val="Tahoma"/>
            <family val="2"/>
          </rPr>
          <t>monahjor:</t>
        </r>
        <r>
          <rPr>
            <sz val="8"/>
            <color indexed="81"/>
            <rFont val="Tahoma"/>
            <family val="2"/>
          </rPr>
          <t xml:space="preserve">
Guide 71m
Follow-on offering of 4.9m shares</t>
        </r>
      </text>
    </comment>
    <comment ref="AD83" authorId="9">
      <text>
        <r>
          <rPr>
            <b/>
            <sz val="9"/>
            <color indexed="81"/>
            <rFont val="Tahoma"/>
            <family val="2"/>
          </rPr>
          <t>Monahan, Jordan (Research):</t>
        </r>
        <r>
          <rPr>
            <sz val="9"/>
            <color indexed="81"/>
            <rFont val="Tahoma"/>
            <family val="2"/>
          </rPr>
          <t xml:space="preserve">
Guide 72m</t>
        </r>
      </text>
    </comment>
    <comment ref="AI83" authorId="1">
      <text>
        <r>
          <rPr>
            <b/>
            <sz val="9"/>
            <color indexed="81"/>
            <rFont val="Tahoma"/>
            <family val="2"/>
          </rPr>
          <t>Nowak, Brian (Research):</t>
        </r>
        <r>
          <rPr>
            <sz val="9"/>
            <color indexed="81"/>
            <rFont val="Tahoma"/>
            <family val="2"/>
          </rPr>
          <t xml:space="preserve">
guide for 75mn</t>
        </r>
      </text>
    </comment>
    <comment ref="AJ83" authorId="2">
      <text>
        <r>
          <rPr>
            <b/>
            <sz val="9"/>
            <color indexed="81"/>
            <rFont val="Tahoma"/>
            <family val="2"/>
          </rPr>
          <t>Hyde, Owen (Research):</t>
        </r>
        <r>
          <rPr>
            <sz val="9"/>
            <color indexed="81"/>
            <rFont val="Tahoma"/>
            <family val="2"/>
          </rPr>
          <t xml:space="preserve">
3Q guide: weighted average basic share count to be approximately 75.5 million in the fourth quarter </t>
        </r>
      </text>
    </comment>
    <comment ref="AK83" authorId="2">
      <text>
        <r>
          <rPr>
            <b/>
            <sz val="9"/>
            <color indexed="81"/>
            <rFont val="Tahoma"/>
            <family val="2"/>
          </rPr>
          <t>Hyde, Owen (Research):</t>
        </r>
        <r>
          <rPr>
            <sz val="9"/>
            <color indexed="81"/>
            <rFont val="Tahoma"/>
            <family val="2"/>
          </rPr>
          <t xml:space="preserve">
4Q15 guide: 76.5</t>
        </r>
      </text>
    </comment>
    <comment ref="AL83" authorId="2">
      <text>
        <r>
          <rPr>
            <b/>
            <sz val="9"/>
            <color indexed="81"/>
            <rFont val="Tahoma"/>
            <family val="2"/>
          </rPr>
          <t>Hyde, Owen (Research):</t>
        </r>
        <r>
          <rPr>
            <sz val="9"/>
            <color indexed="81"/>
            <rFont val="Tahoma"/>
            <family val="2"/>
          </rPr>
          <t xml:space="preserve">
1Q16 guide: 76.5 to 77</t>
        </r>
      </text>
    </comment>
    <comment ref="AP83" authorId="5">
      <text>
        <r>
          <rPr>
            <b/>
            <sz val="9"/>
            <color indexed="81"/>
            <rFont val="Tahoma"/>
            <family val="2"/>
          </rPr>
          <t>Hoffman, Brandon (Research):</t>
        </r>
        <r>
          <rPr>
            <sz val="9"/>
            <color indexed="81"/>
            <rFont val="Tahoma"/>
            <family val="2"/>
          </rPr>
          <t xml:space="preserve">
guide 80-82mm</t>
        </r>
      </text>
    </comment>
    <comment ref="AQ83" authorId="5">
      <text>
        <r>
          <rPr>
            <b/>
            <sz val="9"/>
            <color indexed="81"/>
            <rFont val="Tahoma"/>
            <family val="2"/>
          </rPr>
          <t>Hoffman, Brandon (Research):</t>
        </r>
        <r>
          <rPr>
            <sz val="9"/>
            <color indexed="81"/>
            <rFont val="Tahoma"/>
            <family val="2"/>
          </rPr>
          <t xml:space="preserve">
2Q guide 80-82mn</t>
        </r>
      </text>
    </comment>
    <comment ref="BQ83" authorId="2">
      <text>
        <r>
          <rPr>
            <b/>
            <sz val="9"/>
            <color indexed="81"/>
            <rFont val="Tahoma"/>
            <family val="2"/>
          </rPr>
          <t>Hyde, Owen (Research):</t>
        </r>
        <r>
          <rPr>
            <sz val="9"/>
            <color indexed="81"/>
            <rFont val="Tahoma"/>
            <family val="2"/>
          </rPr>
          <t xml:space="preserve">
1Q16: 77.5
4Q15 guide: 77.5</t>
        </r>
      </text>
    </comment>
    <comment ref="BR83" authorId="5">
      <text>
        <r>
          <rPr>
            <b/>
            <sz val="9"/>
            <color indexed="81"/>
            <rFont val="Tahoma"/>
            <family val="2"/>
          </rPr>
          <t>Hoffman, Brandon (Research):</t>
        </r>
        <r>
          <rPr>
            <sz val="9"/>
            <color indexed="81"/>
            <rFont val="Tahoma"/>
            <family val="2"/>
          </rPr>
          <t xml:space="preserve">
2Q17 guide 80-82mn
1Q17 guide 81-84mm </t>
        </r>
      </text>
    </comment>
    <comment ref="X84" authorId="6">
      <text>
        <r>
          <rPr>
            <b/>
            <sz val="8"/>
            <color indexed="81"/>
            <rFont val="Tahoma"/>
            <family val="2"/>
          </rPr>
          <t>Jordan Monahan:</t>
        </r>
        <r>
          <rPr>
            <sz val="8"/>
            <color indexed="81"/>
            <rFont val="Tahoma"/>
            <family val="2"/>
          </rPr>
          <t xml:space="preserve">
Guide 63.5m
Includes 0.970m shares for Qype acquisition</t>
        </r>
      </text>
    </comment>
    <comment ref="AG84" authorId="1">
      <text>
        <r>
          <rPr>
            <b/>
            <sz val="9"/>
            <color indexed="81"/>
            <rFont val="Tahoma"/>
            <family val="2"/>
          </rPr>
          <t>Nowak, Brian (Research):</t>
        </r>
        <r>
          <rPr>
            <sz val="9"/>
            <color indexed="81"/>
            <rFont val="Tahoma"/>
            <family val="2"/>
          </rPr>
          <t xml:space="preserve">
Updated 1Q16 YoY table
Previously 
=77.211+1.4
4Q:14 guidance for 78
transaction is valued at approximately $134M, consisting of approximately 1.4M shares of Yelp Class A common stock and $75M cash, less certain transaction expenses and subject to customary working capital adjustments. 
Eat24 Update:79</t>
        </r>
      </text>
    </comment>
    <comment ref="AI84" authorId="1">
      <text>
        <r>
          <rPr>
            <b/>
            <sz val="9"/>
            <color indexed="81"/>
            <rFont val="Tahoma"/>
            <family val="2"/>
          </rPr>
          <t>Nowak, Brian (Research):</t>
        </r>
        <r>
          <rPr>
            <sz val="9"/>
            <color indexed="81"/>
            <rFont val="Tahoma"/>
            <family val="2"/>
          </rPr>
          <t xml:space="preserve">
guide for 82</t>
        </r>
      </text>
    </comment>
    <comment ref="AJ84" authorId="2">
      <text>
        <r>
          <rPr>
            <b/>
            <sz val="9"/>
            <color indexed="81"/>
            <rFont val="Tahoma"/>
            <family val="2"/>
          </rPr>
          <t>Hyde, Owen (Research):</t>
        </r>
        <r>
          <rPr>
            <sz val="9"/>
            <color indexed="81"/>
            <rFont val="Tahoma"/>
            <family val="2"/>
          </rPr>
          <t xml:space="preserve">
3Q guide:82M</t>
        </r>
      </text>
    </comment>
    <comment ref="AK84" authorId="2">
      <text>
        <r>
          <rPr>
            <b/>
            <sz val="9"/>
            <color indexed="81"/>
            <rFont val="Tahoma"/>
            <family val="2"/>
          </rPr>
          <t>Hyde, Owen (Research):</t>
        </r>
        <r>
          <rPr>
            <sz val="9"/>
            <color indexed="81"/>
            <rFont val="Tahoma"/>
            <family val="2"/>
          </rPr>
          <t xml:space="preserve">
4Q15 guide: 83.5M</t>
        </r>
      </text>
    </comment>
    <comment ref="AL84" authorId="2">
      <text>
        <r>
          <rPr>
            <b/>
            <sz val="9"/>
            <color indexed="81"/>
            <rFont val="Tahoma"/>
            <family val="2"/>
          </rPr>
          <t>Hyde, Owen (Research):</t>
        </r>
        <r>
          <rPr>
            <sz val="9"/>
            <color indexed="81"/>
            <rFont val="Tahoma"/>
            <family val="2"/>
          </rPr>
          <t xml:space="preserve">
1Q16 guide: 78 to 80</t>
        </r>
      </text>
    </comment>
    <comment ref="AS84" authorId="5">
      <text>
        <r>
          <rPr>
            <b/>
            <sz val="9"/>
            <color indexed="81"/>
            <rFont val="Tahoma"/>
            <family val="2"/>
          </rPr>
          <t>Hoffman, Brandon (Research):</t>
        </r>
        <r>
          <rPr>
            <sz val="9"/>
            <color indexed="81"/>
            <rFont val="Tahoma"/>
            <family val="2"/>
          </rPr>
          <t xml:space="preserve">
4Q: 90-91</t>
        </r>
      </text>
    </comment>
    <comment ref="BP84" authorId="2">
      <text>
        <r>
          <rPr>
            <b/>
            <sz val="9"/>
            <color indexed="81"/>
            <rFont val="Tahoma"/>
            <family val="2"/>
          </rPr>
          <t>Hyde, Owen (Research):</t>
        </r>
        <r>
          <rPr>
            <sz val="9"/>
            <color indexed="81"/>
            <rFont val="Tahoma"/>
            <family val="2"/>
          </rPr>
          <t xml:space="preserve">
3Q guide 82M</t>
        </r>
      </text>
    </comment>
    <comment ref="BQ84" authorId="2">
      <text>
        <r>
          <rPr>
            <b/>
            <sz val="9"/>
            <color indexed="81"/>
            <rFont val="Tahoma"/>
            <family val="2"/>
          </rPr>
          <t>Hyde, Owen (Research):</t>
        </r>
        <r>
          <rPr>
            <sz val="9"/>
            <color indexed="81"/>
            <rFont val="Tahoma"/>
            <family val="2"/>
          </rPr>
          <t xml:space="preserve">
1Q16: 84.5
4Q15 guide: 84.5</t>
        </r>
      </text>
    </comment>
    <comment ref="BS84" authorId="5">
      <text>
        <r>
          <rPr>
            <b/>
            <sz val="9"/>
            <color indexed="81"/>
            <rFont val="Tahoma"/>
            <family val="2"/>
          </rPr>
          <t>Hoffman, Brandon (Research):</t>
        </r>
        <r>
          <rPr>
            <sz val="9"/>
            <color indexed="81"/>
            <rFont val="Tahoma"/>
            <family val="2"/>
          </rPr>
          <t xml:space="preserve">
4Q: 91-93</t>
        </r>
      </text>
    </comment>
    <comment ref="AG87" authorId="0">
      <text>
        <r>
          <rPr>
            <b/>
            <sz val="9"/>
            <color indexed="81"/>
            <rFont val="Tahoma"/>
            <family val="2"/>
          </rPr>
          <t>Soyer-Osman, Erhan (Research):</t>
        </r>
        <r>
          <rPr>
            <sz val="9"/>
            <color indexed="81"/>
            <rFont val="Tahoma"/>
            <family val="2"/>
          </rPr>
          <t xml:space="preserve">
eat24</t>
        </r>
      </text>
    </comment>
    <comment ref="AR92" authorId="5">
      <text>
        <r>
          <rPr>
            <b/>
            <sz val="9"/>
            <color indexed="81"/>
            <rFont val="Tahoma"/>
            <family val="2"/>
          </rPr>
          <t>Hoffman, Brandon (Research):</t>
        </r>
        <r>
          <rPr>
            <sz val="9"/>
            <color indexed="81"/>
            <rFont val="Tahoma"/>
            <family val="2"/>
          </rPr>
          <t xml:space="preserve">
4Q: 13mn spent on 200mn total authorization</t>
        </r>
      </text>
    </comment>
    <comment ref="AQ93" authorId="5">
      <text>
        <r>
          <rPr>
            <b/>
            <sz val="9"/>
            <color indexed="81"/>
            <rFont val="Tahoma"/>
            <family val="2"/>
          </rPr>
          <t>Hoffman, Brandon (Research):</t>
        </r>
        <r>
          <rPr>
            <sz val="9"/>
            <color indexed="81"/>
            <rFont val="Tahoma"/>
            <family val="2"/>
          </rPr>
          <t xml:space="preserve">
3Q call: We repurchased 185,000 shares of Yelp stock during the third quarter at an aggregate purchase price of about $8 million. We currently have $192 million remaining available under the share repurchase authorization put in place in July. And we expect to continue repurchasing shares from
time to time as part of our overall capital allocation activity.</t>
        </r>
      </text>
    </comment>
    <comment ref="AD156" authorId="10">
      <text>
        <r>
          <rPr>
            <sz val="8"/>
            <color indexed="81"/>
            <rFont val="Tahoma"/>
            <family val="2"/>
          </rPr>
          <t>$60.429m : Short-term marketable securities</t>
        </r>
        <r>
          <rPr>
            <sz val="8"/>
            <color indexed="81"/>
            <rFont val="Tahoma"/>
            <family val="2"/>
          </rPr>
          <t xml:space="preserve">
</t>
        </r>
      </text>
    </comment>
    <comment ref="AE156" authorId="10">
      <text>
        <r>
          <rPr>
            <sz val="8"/>
            <color indexed="81"/>
            <rFont val="Tahoma"/>
            <family val="2"/>
          </rPr>
          <t>$73.527m : Short-term marketable securities</t>
        </r>
        <r>
          <rPr>
            <sz val="8"/>
            <color indexed="81"/>
            <rFont val="Tahoma"/>
            <family val="2"/>
          </rPr>
          <t xml:space="preserve">
</t>
        </r>
      </text>
    </comment>
    <comment ref="AD161" authorId="10">
      <text>
        <r>
          <rPr>
            <sz val="8"/>
            <color indexed="81"/>
            <rFont val="Tahoma"/>
            <family val="2"/>
          </rPr>
          <t>Includes Long-term marketable securities of $61.704m</t>
        </r>
        <r>
          <rPr>
            <sz val="8"/>
            <color indexed="81"/>
            <rFont val="Tahoma"/>
            <family val="2"/>
          </rPr>
          <t xml:space="preserve">
</t>
        </r>
      </text>
    </comment>
    <comment ref="AE161" authorId="10">
      <text>
        <r>
          <rPr>
            <sz val="8"/>
            <color indexed="81"/>
            <rFont val="Tahoma"/>
            <family val="2"/>
          </rPr>
          <t>Includes Long-term marketable securities of $53.621m</t>
        </r>
        <r>
          <rPr>
            <sz val="8"/>
            <color indexed="81"/>
            <rFont val="Tahoma"/>
            <family val="2"/>
          </rPr>
          <t xml:space="preserve">
</t>
        </r>
      </text>
    </comment>
    <comment ref="BL206" authorId="7">
      <text>
        <r>
          <rPr>
            <sz val="8"/>
            <color indexed="81"/>
            <rFont val="Tahoma"/>
            <family val="2"/>
          </rPr>
          <t>Yelp Foundation</t>
        </r>
      </text>
    </comment>
    <comment ref="AH220" authorId="2">
      <text>
        <r>
          <rPr>
            <b/>
            <sz val="9"/>
            <color indexed="81"/>
            <rFont val="Tahoma"/>
            <family val="2"/>
          </rPr>
          <t>Hyde, Owen (Research):</t>
        </r>
        <r>
          <rPr>
            <sz val="9"/>
            <color indexed="81"/>
            <rFont val="Tahoma"/>
            <family val="2"/>
          </rPr>
          <t xml:space="preserve">
Includes Acquisitions </t>
        </r>
      </text>
    </comment>
    <comment ref="AR222" authorId="5">
      <text>
        <r>
          <rPr>
            <b/>
            <sz val="9"/>
            <color indexed="81"/>
            <rFont val="Tahoma"/>
            <family val="2"/>
          </rPr>
          <t>Hoffman, Brandon (Research):</t>
        </r>
        <r>
          <rPr>
            <sz val="9"/>
            <color indexed="81"/>
            <rFont val="Tahoma"/>
            <family val="2"/>
          </rPr>
          <t xml:space="preserve">
3Q call: At the closing of the sale of Eat24 in early October, we received another $252 million in cash with an additional $29 million held in escrow for 18
months for indemnification purposes. Neither amount is reflected on the September ending balance sheet</t>
        </r>
      </text>
    </comment>
    <comment ref="X223" authorId="6">
      <text>
        <r>
          <rPr>
            <b/>
            <sz val="8"/>
            <color indexed="81"/>
            <rFont val="Tahoma"/>
            <family val="2"/>
          </rPr>
          <t>Jordan Monahan:</t>
        </r>
        <r>
          <rPr>
            <sz val="8"/>
            <color indexed="81"/>
            <rFont val="Tahoma"/>
            <family val="2"/>
          </rPr>
          <t xml:space="preserve">
Qype acquisition:
18.6m euro or $24.2m USD</t>
        </r>
      </text>
    </comment>
    <comment ref="AA223" authorId="8">
      <text>
        <r>
          <rPr>
            <b/>
            <sz val="8"/>
            <color indexed="81"/>
            <rFont val="Tahoma"/>
            <family val="2"/>
          </rPr>
          <t>monahjor:</t>
        </r>
        <r>
          <rPr>
            <sz val="8"/>
            <color indexed="81"/>
            <rFont val="Tahoma"/>
            <family val="2"/>
          </rPr>
          <t xml:space="preserve">
Yelp will acquire SeatMe for approximately $2.2 million in cash and up to approximately 263,000 shares of its Class A common stock, for a total purchase price of approximately $12.7 million (subject to customary working capital adjustments).  The transaction, which has been approved by the boards of directors of both companies, is subject to approval by the SeatMe stockholders and the satisfaction of customary closing conditions.  The transaction is expected to close on or about July 24, 2013 and the purchase price recorded in Yelp's third quarter 2013 financial statements.
Yelp expects to record an increase in amortization of intangibles and an increase in stock based compensation with the additional equity granted to the employees of SeatMe. The SeatMe team consists of approximately 15 employees who are expected to join Yelp at its new headquarters in the fourth quarter of 2013. We will update our third quarter and full year 2013 financial outlook when we report our second quarter 2013 financial results on Wednesday, July 31st.</t>
        </r>
      </text>
    </comment>
    <comment ref="AD223" authorId="10">
      <text>
        <r>
          <rPr>
            <sz val="8"/>
            <color indexed="81"/>
            <rFont val="Tahoma"/>
            <family val="2"/>
          </rPr>
          <t>Purchases of marketable securities</t>
        </r>
        <r>
          <rPr>
            <sz val="8"/>
            <color indexed="81"/>
            <rFont val="Tahoma"/>
            <family val="2"/>
          </rPr>
          <t xml:space="preserve">
</t>
        </r>
      </text>
    </comment>
    <comment ref="AE223" authorId="10">
      <text>
        <r>
          <rPr>
            <sz val="8"/>
            <color indexed="81"/>
            <rFont val="Tahoma"/>
            <family val="2"/>
          </rPr>
          <t>$148.359m : Purchases of marketable securities</t>
        </r>
        <r>
          <rPr>
            <sz val="8"/>
            <color indexed="81"/>
            <rFont val="Tahoma"/>
            <family val="2"/>
          </rPr>
          <t xml:space="preserve">
$21m : Maturities of marketable securities</t>
        </r>
      </text>
    </comment>
    <comment ref="AG223" authorId="0">
      <text>
        <r>
          <rPr>
            <b/>
            <sz val="9"/>
            <color indexed="81"/>
            <rFont val="Tahoma"/>
            <family val="2"/>
          </rPr>
          <t>Soyer-Osman, Erhan (Research):</t>
        </r>
        <r>
          <rPr>
            <sz val="9"/>
            <color indexed="81"/>
            <rFont val="Tahoma"/>
            <family val="2"/>
          </rPr>
          <t xml:space="preserve">
eat24: 75$mn</t>
        </r>
      </text>
    </comment>
    <comment ref="AB230" authorId="8">
      <text>
        <r>
          <rPr>
            <b/>
            <sz val="8"/>
            <color indexed="81"/>
            <rFont val="Tahoma"/>
            <family val="2"/>
          </rPr>
          <t>monahjor:</t>
        </r>
        <r>
          <rPr>
            <sz val="8"/>
            <color indexed="81"/>
            <rFont val="Tahoma"/>
            <family val="2"/>
          </rPr>
          <t xml:space="preserve">
$277m net proceeds per 4Q call
Yelp Announces Proposed Follow-On Offering
Nov. 5, 2013 /PRNewswire/ -- Yelp Inc. (NYSE: YELP) announced today the closing of its underwritten registered public offering of an aggregate of 4,312,500 shares of Class A common stock, including 562,500 shares of Class A common stock sold pursuant to the full exercise by the underwriters of their option to purchase additional shares. All of the shares were sold at a price to the public of $67.00 per share, for a total of approximately $288.9 million. 
</t>
        </r>
      </text>
    </comment>
    <comment ref="AD231" authorId="10">
      <text>
        <r>
          <rPr>
            <sz val="8"/>
            <color indexed="81"/>
            <rFont val="Tahoma"/>
            <family val="2"/>
          </rPr>
          <t>$4.087m : Proceeds from issuance of common stock for Employee Stock Purchase Plan</t>
        </r>
        <r>
          <rPr>
            <sz val="8"/>
            <color indexed="81"/>
            <rFont val="Tahoma"/>
            <family val="2"/>
          </rPr>
          <t xml:space="preserve">
$.460m : Excess tax benefit from share-based award activity</t>
        </r>
      </text>
    </comment>
    <comment ref="AE231" authorId="10">
      <text>
        <r>
          <rPr>
            <sz val="8"/>
            <color indexed="81"/>
            <rFont val="Tahoma"/>
            <family val="2"/>
          </rPr>
          <t>$4.087m : Proceeds from issuance of common stock for Employee Stock Purchase Plan</t>
        </r>
        <r>
          <rPr>
            <sz val="8"/>
            <color indexed="81"/>
            <rFont val="Tahoma"/>
            <family val="2"/>
          </rPr>
          <t xml:space="preserve">
$.899m : Excess tax benefit from share-based award activity</t>
        </r>
      </text>
    </comment>
    <comment ref="AB236" authorId="8">
      <text>
        <r>
          <rPr>
            <b/>
            <sz val="8"/>
            <color indexed="81"/>
            <rFont val="Tahoma"/>
            <family val="2"/>
          </rPr>
          <t>monahjor:</t>
        </r>
        <r>
          <rPr>
            <sz val="8"/>
            <color indexed="81"/>
            <rFont val="Tahoma"/>
            <family val="2"/>
          </rPr>
          <t xml:space="preserve">
Plugged until CF released
</t>
        </r>
      </text>
    </comment>
    <comment ref="AH258" authorId="1">
      <text>
        <r>
          <rPr>
            <b/>
            <sz val="9"/>
            <color indexed="81"/>
            <rFont val="Tahoma"/>
            <family val="2"/>
          </rPr>
          <t>Nowak, Brian (Research):</t>
        </r>
        <r>
          <rPr>
            <sz val="9"/>
            <color indexed="81"/>
            <rFont val="Tahoma"/>
            <family val="2"/>
          </rPr>
          <t xml:space="preserve">
includes eat24 of 74mn</t>
        </r>
      </text>
    </comment>
    <comment ref="BN258" authorId="6">
      <text>
        <r>
          <rPr>
            <b/>
            <sz val="8"/>
            <color indexed="81"/>
            <rFont val="Tahoma"/>
            <family val="2"/>
          </rPr>
          <t>Jordan Monahan:</t>
        </r>
        <r>
          <rPr>
            <sz val="8"/>
            <color indexed="81"/>
            <rFont val="Tahoma"/>
            <family val="2"/>
          </rPr>
          <t xml:space="preserve">
Guide $6-$8m capex plus $7m for FS H/Q improvements</t>
        </r>
      </text>
    </comment>
    <comment ref="BO258" authorId="6">
      <text>
        <r>
          <rPr>
            <b/>
            <sz val="8"/>
            <color indexed="81"/>
            <rFont val="Tahoma"/>
            <family val="2"/>
          </rPr>
          <t>Jordan Monahan:</t>
        </r>
        <r>
          <rPr>
            <sz val="8"/>
            <color indexed="81"/>
            <rFont val="Tahoma"/>
            <family val="2"/>
          </rPr>
          <t xml:space="preserve">
Plan to spend $10-$14m</t>
        </r>
      </text>
    </comment>
    <comment ref="BP258" authorId="0">
      <text>
        <r>
          <rPr>
            <b/>
            <sz val="9"/>
            <color indexed="81"/>
            <rFont val="Tahoma"/>
            <family val="2"/>
          </rPr>
          <t>Soyer-Osman, Erhan (Research):</t>
        </r>
        <r>
          <rPr>
            <sz val="9"/>
            <color indexed="81"/>
            <rFont val="Tahoma"/>
            <family val="2"/>
          </rPr>
          <t xml:space="preserve">
$25M in 2015
</t>
        </r>
      </text>
    </comment>
    <comment ref="BQ258" authorId="2">
      <text>
        <r>
          <rPr>
            <b/>
            <sz val="9"/>
            <color indexed="81"/>
            <rFont val="Tahoma"/>
            <family val="2"/>
          </rPr>
          <t>Hyde, Owen (Research):</t>
        </r>
        <r>
          <rPr>
            <sz val="9"/>
            <color indexed="81"/>
            <rFont val="Tahoma"/>
            <family val="2"/>
          </rPr>
          <t xml:space="preserve">
4Q15 guide: 30M
- 10-14mn for capitalized website
- remainder is for office space
</t>
        </r>
      </text>
    </comment>
    <comment ref="AA265" authorId="8">
      <text>
        <r>
          <rPr>
            <b/>
            <sz val="8"/>
            <color indexed="81"/>
            <rFont val="Tahoma"/>
            <family val="2"/>
          </rPr>
          <t>monahjor:</t>
        </r>
        <r>
          <rPr>
            <sz val="8"/>
            <color indexed="81"/>
            <rFont val="Tahoma"/>
            <family val="2"/>
          </rPr>
          <t xml:space="preserve">
Acquisitions</t>
        </r>
      </text>
    </comment>
    <comment ref="AC265" authorId="8">
      <text>
        <r>
          <rPr>
            <b/>
            <sz val="8"/>
            <color indexed="81"/>
            <rFont val="Tahoma"/>
            <family val="2"/>
          </rPr>
          <t>monahjor:</t>
        </r>
        <r>
          <rPr>
            <sz val="8"/>
            <color indexed="81"/>
            <rFont val="Tahoma"/>
            <family val="2"/>
          </rPr>
          <t xml:space="preserve">
Guide 5% of rev</t>
        </r>
      </text>
    </comment>
    <comment ref="AG265" authorId="0">
      <text>
        <r>
          <rPr>
            <b/>
            <sz val="9"/>
            <color indexed="81"/>
            <rFont val="Tahoma"/>
            <family val="2"/>
          </rPr>
          <t>Soyer-Osman, Erhan (Research):</t>
        </r>
        <r>
          <rPr>
            <sz val="9"/>
            <color indexed="81"/>
            <rFont val="Tahoma"/>
            <family val="2"/>
          </rPr>
          <t xml:space="preserve">
1Q15: about 5%
</t>
        </r>
      </text>
    </comment>
    <comment ref="X266" authorId="6">
      <text>
        <r>
          <rPr>
            <b/>
            <sz val="8"/>
            <color indexed="81"/>
            <rFont val="Tahoma"/>
            <family val="2"/>
          </rPr>
          <t>Jordan Monahan:</t>
        </r>
        <r>
          <rPr>
            <sz val="8"/>
            <color indexed="81"/>
            <rFont val="Tahoma"/>
            <family val="2"/>
          </rPr>
          <t xml:space="preserve">
Expect higher amortization due to Qype acquisition</t>
        </r>
      </text>
    </comment>
    <comment ref="AH266" authorId="0">
      <text>
        <r>
          <rPr>
            <b/>
            <sz val="9"/>
            <color indexed="81"/>
            <rFont val="Tahoma"/>
            <family val="2"/>
          </rPr>
          <t>Soyer-Osman, Erhan (Research):</t>
        </r>
        <r>
          <rPr>
            <sz val="9"/>
            <color indexed="81"/>
            <rFont val="Tahoma"/>
            <family val="2"/>
          </rPr>
          <t xml:space="preserve">
1Q15 conf call:  depreciation and amortization is expected to be approximately 5% of revenue.</t>
        </r>
      </text>
    </comment>
    <comment ref="AI266" authorId="1">
      <text>
        <r>
          <rPr>
            <b/>
            <sz val="9"/>
            <color indexed="81"/>
            <rFont val="Tahoma"/>
            <family val="2"/>
          </rPr>
          <t>Nowak, Brian (Research):</t>
        </r>
        <r>
          <rPr>
            <sz val="9"/>
            <color indexed="81"/>
            <rFont val="Tahoma"/>
            <family val="2"/>
          </rPr>
          <t xml:space="preserve">
guidance 5-6% of revenue</t>
        </r>
      </text>
    </comment>
    <comment ref="AJ266" authorId="1">
      <text>
        <r>
          <rPr>
            <b/>
            <sz val="9"/>
            <color indexed="81"/>
            <rFont val="Tahoma"/>
            <family val="2"/>
          </rPr>
          <t>Nowak, Brian (Research):</t>
        </r>
        <r>
          <rPr>
            <sz val="9"/>
            <color indexed="81"/>
            <rFont val="Tahoma"/>
            <family val="2"/>
          </rPr>
          <t xml:space="preserve">
guidance 5-6% o revenue</t>
        </r>
      </text>
    </comment>
    <comment ref="AK266" authorId="2">
      <text>
        <r>
          <rPr>
            <b/>
            <sz val="9"/>
            <color indexed="81"/>
            <rFont val="Tahoma"/>
            <family val="2"/>
          </rPr>
          <t>Hyde, Owen (Research):</t>
        </r>
        <r>
          <rPr>
            <sz val="9"/>
            <color indexed="81"/>
            <rFont val="Tahoma"/>
            <family val="2"/>
          </rPr>
          <t xml:space="preserve">
4Q15: 5% of rev</t>
        </r>
      </text>
    </comment>
    <comment ref="AL266" authorId="2">
      <text>
        <r>
          <rPr>
            <b/>
            <sz val="9"/>
            <color indexed="81"/>
            <rFont val="Tahoma"/>
            <family val="2"/>
          </rPr>
          <t>Hyde, Owen (Research):</t>
        </r>
        <r>
          <rPr>
            <sz val="9"/>
            <color indexed="81"/>
            <rFont val="Tahoma"/>
            <family val="2"/>
          </rPr>
          <t xml:space="preserve">
1Q16 guide: 5% of revenue</t>
        </r>
      </text>
    </comment>
    <comment ref="AP266" authorId="5">
      <text>
        <r>
          <rPr>
            <b/>
            <sz val="9"/>
            <color indexed="81"/>
            <rFont val="Tahoma"/>
            <family val="2"/>
          </rPr>
          <t>Hoffman, Brandon (Research):</t>
        </r>
        <r>
          <rPr>
            <sz val="9"/>
            <color indexed="81"/>
            <rFont val="Tahoma"/>
            <family val="2"/>
          </rPr>
          <t xml:space="preserve">
guide 5-5.5% </t>
        </r>
      </text>
    </comment>
    <comment ref="AQ266" authorId="5">
      <text>
        <r>
          <rPr>
            <b/>
            <sz val="9"/>
            <color indexed="81"/>
            <rFont val="Tahoma"/>
            <family val="2"/>
          </rPr>
          <t>Hoffman, Brandon (Research):</t>
        </r>
        <r>
          <rPr>
            <sz val="9"/>
            <color indexed="81"/>
            <rFont val="Tahoma"/>
            <family val="2"/>
          </rPr>
          <t xml:space="preserve">
2Q guide: ~5% of rev</t>
        </r>
      </text>
    </comment>
    <comment ref="BP266" authorId="1">
      <text>
        <r>
          <rPr>
            <b/>
            <sz val="9"/>
            <color indexed="81"/>
            <rFont val="Tahoma"/>
            <family val="2"/>
          </rPr>
          <t>Nowak, Brian (Research):</t>
        </r>
        <r>
          <rPr>
            <sz val="9"/>
            <color indexed="81"/>
            <rFont val="Tahoma"/>
            <family val="2"/>
          </rPr>
          <t xml:space="preserve">
conf call 1Q:15 guidance 5% of revenue
4Q:14 guidance 4-5% of revenue
</t>
        </r>
      </text>
    </comment>
    <comment ref="BQ266" authorId="2">
      <text>
        <r>
          <rPr>
            <b/>
            <sz val="9"/>
            <color indexed="81"/>
            <rFont val="Tahoma"/>
            <family val="2"/>
          </rPr>
          <t>Hyde, Owen (Research):</t>
        </r>
        <r>
          <rPr>
            <sz val="9"/>
            <color indexed="81"/>
            <rFont val="Tahoma"/>
            <family val="2"/>
          </rPr>
          <t xml:space="preserve">
1Q16 guide: 5%
4Q15: 5% of rev</t>
        </r>
      </text>
    </comment>
    <comment ref="BR266" authorId="4">
      <text>
        <r>
          <rPr>
            <b/>
            <sz val="9"/>
            <color indexed="81"/>
            <rFont val="Tahoma"/>
            <family val="2"/>
          </rPr>
          <t>Hoffman, Brandon (Research):</t>
        </r>
        <r>
          <rPr>
            <sz val="9"/>
            <color indexed="81"/>
            <rFont val="Tahoma"/>
            <family val="2"/>
          </rPr>
          <t xml:space="preserve">
2Q17 guide ~5%
1Q17 guide 5.0-5.5%
4Q16 guide 4.5-5%</t>
        </r>
      </text>
    </comment>
    <comment ref="BS266" authorId="5">
      <text>
        <r>
          <rPr>
            <b/>
            <sz val="9"/>
            <color indexed="81"/>
            <rFont val="Tahoma"/>
            <family val="2"/>
          </rPr>
          <t>Hoffman, Brandon (Research):</t>
        </r>
        <r>
          <rPr>
            <sz val="9"/>
            <color indexed="81"/>
            <rFont val="Tahoma"/>
            <family val="2"/>
          </rPr>
          <t xml:space="preserve">
4Q: ~5% revenue</t>
        </r>
      </text>
    </comment>
    <comment ref="BZ266" authorId="2">
      <text>
        <r>
          <rPr>
            <b/>
            <sz val="9"/>
            <color indexed="81"/>
            <rFont val="Tahoma"/>
            <family val="2"/>
          </rPr>
          <t>Hyde, Owen (Research):</t>
        </r>
        <r>
          <rPr>
            <sz val="9"/>
            <color indexed="81"/>
            <rFont val="Tahoma"/>
            <family val="2"/>
          </rPr>
          <t xml:space="preserve">
4% of rev LT target</t>
        </r>
      </text>
    </comment>
    <comment ref="W281" authorId="6">
      <text>
        <r>
          <rPr>
            <b/>
            <sz val="8"/>
            <color indexed="81"/>
            <rFont val="Tahoma"/>
            <family val="2"/>
          </rPr>
          <t>Jordan Monahan:</t>
        </r>
        <r>
          <rPr>
            <sz val="8"/>
            <color indexed="81"/>
            <rFont val="Tahoma"/>
            <family val="2"/>
          </rPr>
          <t xml:space="preserve">
From 10-Q</t>
        </r>
      </text>
    </comment>
  </commentList>
</comments>
</file>

<file path=xl/comments2.xml><?xml version="1.0" encoding="utf-8"?>
<comments xmlns="http://schemas.openxmlformats.org/spreadsheetml/2006/main">
  <authors>
    <author>monahjor</author>
    <author>Soyer-Osman, Erhan (Research)</author>
    <author>Nowak, Brian (Research)</author>
    <author>Hyde, Owen (Research)</author>
    <author>Lanterman, Jon (Research)</author>
    <author>Liu, Kevin (Research)</author>
    <author>Hoffman, Brandon (Research)</author>
    <author>Jordan Monahan</author>
    <author>Monahan, Jordan (Research)</author>
    <author>sunilt</author>
    <author>erhan</author>
  </authors>
  <commentList>
    <comment ref="Z12" authorId="0">
      <text>
        <r>
          <rPr>
            <b/>
            <sz val="8"/>
            <color indexed="81"/>
            <rFont val="Tahoma"/>
            <family val="2"/>
          </rPr>
          <t>monahjor:</t>
        </r>
        <r>
          <rPr>
            <sz val="8"/>
            <color indexed="81"/>
            <rFont val="Tahoma"/>
            <family val="2"/>
          </rPr>
          <t xml:space="preserve">
International was 5% of total revenue</t>
        </r>
      </text>
    </comment>
    <comment ref="AA12" authorId="0">
      <text>
        <r>
          <rPr>
            <b/>
            <sz val="8"/>
            <color indexed="81"/>
            <rFont val="Tahoma"/>
            <family val="2"/>
          </rPr>
          <t>monahjor:</t>
        </r>
        <r>
          <rPr>
            <sz val="8"/>
            <color indexed="81"/>
            <rFont val="Tahoma"/>
            <family val="2"/>
          </rPr>
          <t xml:space="preserve">
International revenue was 5% of total</t>
        </r>
      </text>
    </comment>
    <comment ref="AF12" authorId="1">
      <text>
        <r>
          <rPr>
            <b/>
            <sz val="9"/>
            <color indexed="81"/>
            <rFont val="Tahoma"/>
            <family val="2"/>
          </rPr>
          <t>Soyer-Osman, Erhan (Research):</t>
        </r>
        <r>
          <rPr>
            <sz val="9"/>
            <color indexed="81"/>
            <rFont val="Tahoma"/>
            <family val="2"/>
          </rPr>
          <t xml:space="preserve">
3Q call: Expect $107-108m</t>
        </r>
      </text>
    </comment>
    <comment ref="AG12" authorId="2">
      <text>
        <r>
          <rPr>
            <b/>
            <sz val="9"/>
            <color indexed="81"/>
            <rFont val="Tahoma"/>
            <family val="2"/>
          </rPr>
          <t>Nowak, Brian (Research):</t>
        </r>
        <r>
          <rPr>
            <sz val="9"/>
            <color indexed="81"/>
            <rFont val="Tahoma"/>
            <family val="2"/>
          </rPr>
          <t xml:space="preserve">
4Q:14 guidance $114-116
now 118.5-120.5 (eat24)</t>
        </r>
      </text>
    </comment>
    <comment ref="AH12" authorId="1">
      <text>
        <r>
          <rPr>
            <b/>
            <sz val="9"/>
            <color indexed="81"/>
            <rFont val="Tahoma"/>
            <family val="2"/>
          </rPr>
          <t>Soyer-Osman, Erhan (Research):</t>
        </r>
        <r>
          <rPr>
            <sz val="9"/>
            <color indexed="81"/>
            <rFont val="Tahoma"/>
            <family val="2"/>
          </rPr>
          <t xml:space="preserve">
1Q15:  $131 million to $134 million, representing growth of approximately 49% compared to the second quarter of 2014. </t>
        </r>
      </text>
    </comment>
    <comment ref="AI12" authorId="3">
      <text>
        <r>
          <rPr>
            <b/>
            <sz val="9"/>
            <color indexed="81"/>
            <rFont val="Tahoma"/>
            <family val="2"/>
          </rPr>
          <t>Hyde, Owen (Research):</t>
        </r>
        <r>
          <rPr>
            <sz val="9"/>
            <color indexed="81"/>
            <rFont val="Tahoma"/>
            <family val="2"/>
          </rPr>
          <t xml:space="preserve">
2Q15: For the third quarter of 2015, net revenue is expected to be in the range of $139 million to $142 million, representing growth of approximately 37% compared to the third quarter of 2014. </t>
        </r>
      </text>
    </comment>
    <comment ref="AK12" authorId="3">
      <text>
        <r>
          <rPr>
            <b/>
            <sz val="9"/>
            <color indexed="81"/>
            <rFont val="Tahoma"/>
            <family val="2"/>
          </rPr>
          <t>Hyde, Owen (Research):</t>
        </r>
        <r>
          <rPr>
            <sz val="9"/>
            <color indexed="81"/>
            <rFont val="Tahoma"/>
            <family val="2"/>
          </rPr>
          <t xml:space="preserve">
4Q15 guide: $154M to $157M</t>
        </r>
      </text>
    </comment>
    <comment ref="AL12" authorId="3">
      <text>
        <r>
          <rPr>
            <b/>
            <sz val="9"/>
            <color indexed="81"/>
            <rFont val="Tahoma"/>
            <family val="2"/>
          </rPr>
          <t>Hyde, Owen (Research):</t>
        </r>
        <r>
          <rPr>
            <sz val="9"/>
            <color indexed="81"/>
            <rFont val="Tahoma"/>
            <family val="2"/>
          </rPr>
          <t xml:space="preserve">
1Q16 guiude: 167 to 171</t>
        </r>
      </text>
    </comment>
    <comment ref="AM12" authorId="3">
      <text>
        <r>
          <rPr>
            <b/>
            <sz val="9"/>
            <color indexed="81"/>
            <rFont val="Tahoma"/>
            <family val="2"/>
          </rPr>
          <t>Hyde, Owen (Research):</t>
        </r>
        <r>
          <rPr>
            <sz val="9"/>
            <color indexed="81"/>
            <rFont val="Tahoma"/>
            <family val="2"/>
          </rPr>
          <t xml:space="preserve">
2Q:16 guide: 180 to 184</t>
        </r>
      </text>
    </comment>
    <comment ref="AN12" authorId="4">
      <text>
        <r>
          <rPr>
            <b/>
            <sz val="9"/>
            <color indexed="81"/>
            <rFont val="Tahoma"/>
            <family val="2"/>
          </rPr>
          <t>Lanterman, Jon (Research):</t>
        </r>
        <r>
          <rPr>
            <sz val="9"/>
            <color indexed="81"/>
            <rFont val="Tahoma"/>
            <family val="2"/>
          </rPr>
          <t xml:space="preserve">
3Q:16 Guide: $191-195mn</t>
        </r>
      </text>
    </comment>
    <comment ref="AO12" authorId="5">
      <text>
        <r>
          <rPr>
            <b/>
            <sz val="9"/>
            <color indexed="81"/>
            <rFont val="Tahoma"/>
            <family val="2"/>
          </rPr>
          <t>Liu, Kevin (Research):</t>
        </r>
        <r>
          <rPr>
            <sz val="9"/>
            <color indexed="81"/>
            <rFont val="Tahoma"/>
            <family val="2"/>
          </rPr>
          <t xml:space="preserve">
guidance: $195-$199mn </t>
        </r>
      </text>
    </comment>
    <comment ref="AP12" authorId="6">
      <text>
        <r>
          <rPr>
            <b/>
            <sz val="9"/>
            <color indexed="81"/>
            <rFont val="Tahoma"/>
            <family val="2"/>
          </rPr>
          <t>Hoffman, Brandon (Research):</t>
        </r>
        <r>
          <rPr>
            <sz val="9"/>
            <color indexed="81"/>
            <rFont val="Tahoma"/>
            <family val="2"/>
          </rPr>
          <t xml:space="preserve">
1Q17: guided 202-206</t>
        </r>
      </text>
    </comment>
    <comment ref="AQ12" authorId="6">
      <text>
        <r>
          <rPr>
            <b/>
            <sz val="9"/>
            <color indexed="81"/>
            <rFont val="Tahoma"/>
            <family val="2"/>
          </rPr>
          <t>Hoffman, Brandon (Research):</t>
        </r>
        <r>
          <rPr>
            <sz val="9"/>
            <color indexed="81"/>
            <rFont val="Tahoma"/>
            <family val="2"/>
          </rPr>
          <t xml:space="preserve">
2Q guide: 217-222mn</t>
        </r>
      </text>
    </comment>
    <comment ref="AR12" authorId="6">
      <text>
        <r>
          <rPr>
            <b/>
            <sz val="9"/>
            <color indexed="81"/>
            <rFont val="Tahoma"/>
            <family val="2"/>
          </rPr>
          <t>Hoffman, Brandon (Research):</t>
        </r>
        <r>
          <rPr>
            <sz val="9"/>
            <color indexed="81"/>
            <rFont val="Tahoma"/>
            <family val="2"/>
          </rPr>
          <t xml:space="preserve">
3Q guide: 211-216 (ex Eat24)</t>
        </r>
      </text>
    </comment>
    <comment ref="BM12" authorId="7">
      <text>
        <r>
          <rPr>
            <b/>
            <sz val="8"/>
            <color indexed="81"/>
            <rFont val="Tahoma"/>
            <family val="2"/>
          </rPr>
          <t>Jordan Monahan:</t>
        </r>
        <r>
          <rPr>
            <sz val="8"/>
            <color indexed="81"/>
            <rFont val="Tahoma"/>
            <family val="2"/>
          </rPr>
          <t xml:space="preserve">
management expects Qype to add $6m revenue in 2013 &amp; $6m costs</t>
        </r>
      </text>
    </comment>
    <comment ref="BO12" authorId="2">
      <text>
        <r>
          <rPr>
            <b/>
            <sz val="9"/>
            <color indexed="81"/>
            <rFont val="Tahoma"/>
            <family val="2"/>
          </rPr>
          <t>Nowak, Brian (Research):</t>
        </r>
        <r>
          <rPr>
            <sz val="9"/>
            <color indexed="81"/>
            <rFont val="Tahoma"/>
            <family val="2"/>
          </rPr>
          <t xml:space="preserve">
2Q:15 544 to 550
1Q:15 re-affirm 574-579
Eat24: 574-579
4Q:14 guidance 538-543
</t>
        </r>
      </text>
    </comment>
    <comment ref="BP12" authorId="3">
      <text>
        <r>
          <rPr>
            <b/>
            <sz val="9"/>
            <color indexed="81"/>
            <rFont val="Tahoma"/>
            <family val="2"/>
          </rPr>
          <t>Hyde, Owen (Research):</t>
        </r>
        <r>
          <rPr>
            <sz val="9"/>
            <color indexed="81"/>
            <rFont val="Tahoma"/>
            <family val="2"/>
          </rPr>
          <t xml:space="preserve">
2Q:16 guide: 700 to 708
1Q16 guide: 690 to 702M
4Q15 guide: 685M to 700M
</t>
        </r>
      </text>
    </comment>
    <comment ref="BQ12" authorId="3">
      <text>
        <r>
          <rPr>
            <b/>
            <sz val="9"/>
            <color indexed="81"/>
            <rFont val="Tahoma"/>
            <family val="2"/>
          </rPr>
          <t>Hoffman, Brandon (Research):</t>
        </r>
        <r>
          <rPr>
            <sz val="9"/>
            <color indexed="81"/>
            <rFont val="Tahoma"/>
            <family val="2"/>
          </rPr>
          <t xml:space="preserve">
3Q17: 839-844
2Q17 guide 855-865mn
1Q17 guide 850-860
2017 guidance: $880-900mn
3Q:15: So on the sales force growth for Q2, it was about 35% I think at this point were expecting it to be above 30% for 2015. And when we do the
calculations, we figure that if we grow the sales force about 25% in both 2016 and 2017 that $1 billion revenue is still achievable.</t>
        </r>
      </text>
    </comment>
    <comment ref="BR12" authorId="6">
      <text>
        <r>
          <rPr>
            <b/>
            <sz val="9"/>
            <color indexed="81"/>
            <rFont val="Tahoma"/>
            <family val="2"/>
          </rPr>
          <t>Hoffman, Brandon (Research):</t>
        </r>
        <r>
          <rPr>
            <sz val="9"/>
            <color indexed="81"/>
            <rFont val="Tahoma"/>
            <family val="2"/>
          </rPr>
          <t xml:space="preserve">
4Q guide: 935-965</t>
        </r>
      </text>
    </comment>
    <comment ref="AR15" authorId="6">
      <text>
        <r>
          <rPr>
            <b/>
            <sz val="9"/>
            <color indexed="81"/>
            <rFont val="Tahoma"/>
            <family val="2"/>
          </rPr>
          <t>Hoffman, Brandon (Research):</t>
        </r>
        <r>
          <rPr>
            <sz val="9"/>
            <color indexed="81"/>
            <rFont val="Tahoma"/>
            <family val="2"/>
          </rPr>
          <t xml:space="preserve">
3Q: We anticipate fourth quarter revenue in the range of $211 million to $216 million, </t>
        </r>
        <r>
          <rPr>
            <b/>
            <sz val="9"/>
            <color indexed="81"/>
            <rFont val="Tahoma"/>
            <family val="2"/>
          </rPr>
          <t xml:space="preserve">an increase of 10% at
the midpoint of the range </t>
        </r>
        <r>
          <rPr>
            <sz val="9"/>
            <color indexed="81"/>
            <rFont val="Tahoma"/>
            <family val="2"/>
          </rPr>
          <t xml:space="preserve">from reported fourth quarter 2016 revenue. Excluding Eat24 from both periods, to enhance comparability and to better depict growth expectations for the ongoing businesses, our outlook for fourth quarter revenue growth </t>
        </r>
        <r>
          <rPr>
            <b/>
            <sz val="9"/>
            <color indexed="81"/>
            <rFont val="Tahoma"/>
            <family val="2"/>
          </rPr>
          <t>would be in the high teens year-to-year (ex Eat24)</t>
        </r>
      </text>
    </comment>
    <comment ref="I22" authorId="6">
      <text>
        <r>
          <rPr>
            <b/>
            <sz val="9"/>
            <color indexed="81"/>
            <rFont val="Tahoma"/>
            <family val="2"/>
          </rPr>
          <t>Hoffman, Brandon (Research):</t>
        </r>
        <r>
          <rPr>
            <sz val="9"/>
            <color indexed="81"/>
            <rFont val="Tahoma"/>
            <family val="2"/>
          </rPr>
          <t xml:space="preserve">
We generate advertising revenue from our advertising programs, which consist of enhanced listing pages and performance and impression-based advertising in search results and elsewhere on our website and mobile app. Advertising revenue also includes revenue generated from resale of our advertising products by certain partners and monetization of remnant advertising inventory through third-party ad networks. </t>
        </r>
      </text>
    </comment>
    <comment ref="AQ22" authorId="6">
      <text>
        <r>
          <rPr>
            <b/>
            <sz val="9"/>
            <color indexed="81"/>
            <rFont val="Tahoma"/>
            <family val="2"/>
          </rPr>
          <t>Hoffman, Brandon (Research):</t>
        </r>
        <r>
          <rPr>
            <sz val="9"/>
            <color indexed="81"/>
            <rFont val="Tahoma"/>
            <family val="2"/>
          </rPr>
          <t xml:space="preserve">
3Q call: 
RAQ with a 11mn ann run rate… currently selling ads on a CPC basis.
Request volume doubled compared to a year ago, and on an annualized basis, consumers generated more than </t>
        </r>
        <r>
          <rPr>
            <b/>
            <sz val="9"/>
            <color indexed="81"/>
            <rFont val="Tahoma"/>
            <family val="2"/>
          </rPr>
          <t>15 million leads</t>
        </r>
        <r>
          <rPr>
            <sz val="9"/>
            <color indexed="81"/>
            <rFont val="Tahoma"/>
            <family val="2"/>
          </rPr>
          <t xml:space="preserve">, representing projects </t>
        </r>
        <r>
          <rPr>
            <b/>
            <sz val="9"/>
            <color indexed="81"/>
            <rFont val="Tahoma"/>
            <family val="2"/>
          </rPr>
          <t>~3bn in GMV</t>
        </r>
        <r>
          <rPr>
            <sz val="9"/>
            <color indexed="81"/>
            <rFont val="Tahoma"/>
            <family val="2"/>
          </rPr>
          <t xml:space="preserve"> to the </t>
        </r>
        <r>
          <rPr>
            <b/>
            <sz val="9"/>
            <color indexed="81"/>
            <rFont val="Tahoma"/>
            <family val="2"/>
          </rPr>
          <t xml:space="preserve">973,000 </t>
        </r>
        <r>
          <rPr>
            <sz val="9"/>
            <color indexed="81"/>
            <rFont val="Tahoma"/>
            <family val="2"/>
          </rPr>
          <t>local businesses connected to Request a Quote.</t>
        </r>
      </text>
    </comment>
    <comment ref="AQ25" authorId="6">
      <text>
        <r>
          <rPr>
            <b/>
            <sz val="9"/>
            <color indexed="81"/>
            <rFont val="Tahoma"/>
            <family val="2"/>
          </rPr>
          <t>Hoffman, Brandon (Research):</t>
        </r>
        <r>
          <rPr>
            <sz val="9"/>
            <color indexed="81"/>
            <rFont val="Tahoma"/>
            <family val="2"/>
          </rPr>
          <t xml:space="preserve">
3Q call: Advertising revenue rose 18% year-to-year to $200 million, </t>
        </r>
        <r>
          <rPr>
            <b/>
            <sz val="9"/>
            <color indexed="81"/>
            <rFont val="Tahoma"/>
            <family val="2"/>
          </rPr>
          <t>propelled by growth in paid advertising accounts</t>
        </r>
        <r>
          <rPr>
            <sz val="9"/>
            <color indexed="81"/>
            <rFont val="Tahoma"/>
            <family val="2"/>
          </rPr>
          <t>.</t>
        </r>
      </text>
    </comment>
    <comment ref="BR25" authorId="6">
      <text>
        <r>
          <rPr>
            <b/>
            <sz val="9"/>
            <color indexed="81"/>
            <rFont val="Tahoma"/>
            <family val="2"/>
          </rPr>
          <t>Hoffman, Brandon (Research):</t>
        </r>
        <r>
          <rPr>
            <sz val="9"/>
            <color indexed="81"/>
            <rFont val="Tahoma"/>
            <family val="2"/>
          </rPr>
          <t xml:space="preserve">
4Q guide: high-teens to 20%</t>
        </r>
      </text>
    </comment>
    <comment ref="I28" authorId="6">
      <text>
        <r>
          <rPr>
            <b/>
            <sz val="9"/>
            <color indexed="81"/>
            <rFont val="Tahoma"/>
            <family val="2"/>
          </rPr>
          <t xml:space="preserve">Hoffman, Brandon (Research):
</t>
        </r>
        <r>
          <rPr>
            <sz val="9"/>
            <color indexed="81"/>
            <rFont val="Tahoma"/>
            <family val="2"/>
          </rPr>
          <t xml:space="preserve">
</t>
        </r>
        <r>
          <rPr>
            <b/>
            <sz val="9"/>
            <color indexed="81"/>
            <rFont val="Tahoma"/>
            <family val="2"/>
          </rPr>
          <t>Eat24, Platform transactions, Yelp Deals, and Gift Certs</t>
        </r>
        <r>
          <rPr>
            <sz val="9"/>
            <color indexed="81"/>
            <rFont val="Tahoma"/>
            <family val="2"/>
          </rPr>
          <t xml:space="preserve">
</t>
        </r>
        <r>
          <rPr>
            <sz val="8"/>
            <color indexed="81"/>
            <rFont val="Tahoma"/>
            <family val="2"/>
          </rPr>
          <t xml:space="preserve">We generate revenue from various transactions with consumers, including through Yelp Eat24, Platform transactions and the sale of Yelp Deals and Gift Certificates. </t>
        </r>
        <r>
          <rPr>
            <b/>
            <sz val="8"/>
            <color indexed="81"/>
            <rFont val="Tahoma"/>
            <family val="2"/>
          </rPr>
          <t xml:space="preserve">Yelp Eat24 generates revenue through arrangements with restaurants, in which restaurants pay a commission percentage </t>
        </r>
        <r>
          <rPr>
            <sz val="8"/>
            <color indexed="81"/>
            <rFont val="Tahoma"/>
            <family val="2"/>
          </rPr>
          <t xml:space="preserve">fee on orders placed through the Yelp Eat24 platform. We record revenue associated with Yelp Eat24s transactions on a net basis. Our Platform partnerships are revenue-sharing arrangements that provide consumers with the ability to complete food delivery transactions, order flowers and book spa and salon appointments, among others, through third parties directly on Yelp. </t>
        </r>
        <r>
          <rPr>
            <b/>
            <sz val="8"/>
            <color indexed="81"/>
            <rFont val="Tahoma"/>
            <family val="2"/>
          </rPr>
          <t>We earn a fee on our Platform partnerships for acting as an agent for these transactions</t>
        </r>
        <r>
          <rPr>
            <sz val="8"/>
            <color indexed="81"/>
            <rFont val="Tahoma"/>
            <family val="2"/>
          </rPr>
          <t xml:space="preserve">, which we record on a net basis and include in revenue upon completion of a transaction. </t>
        </r>
        <r>
          <rPr>
            <b/>
            <sz val="8"/>
            <color indexed="81"/>
            <rFont val="Tahoma"/>
            <family val="2"/>
          </rPr>
          <t>Yelp Deals allow merchants to promote themselves and offer discounted goods and services on a real-time basis</t>
        </r>
        <r>
          <rPr>
            <sz val="8"/>
            <color indexed="81"/>
            <rFont val="Tahoma"/>
            <family val="2"/>
          </rPr>
          <t xml:space="preserve"> to consumers directly on our website and mobile app. We earn a fee on Yelp Deals for acting as an agent in these transactions, which we record on a net basis and include in revenue upon a consumers purchase of a deal. </t>
        </r>
        <r>
          <rPr>
            <b/>
            <sz val="8"/>
            <color indexed="81"/>
            <rFont val="Tahoma"/>
            <family val="2"/>
          </rPr>
          <t>Gift Certificates allow merchants to sell full-priced gift certificates directly to consumers through their business listing pages.</t>
        </r>
        <r>
          <rPr>
            <sz val="8"/>
            <color indexed="81"/>
            <rFont val="Tahoma"/>
            <family val="2"/>
          </rPr>
          <t xml:space="preserve"> We earn a fee based on the amount of the Gift Certificate sold, which we record on a net basis and include in revenue upon a consumers purchase of the Gift Certificate.</t>
        </r>
      </text>
    </comment>
    <comment ref="AR28" authorId="6">
      <text>
        <r>
          <rPr>
            <b/>
            <sz val="9"/>
            <color indexed="81"/>
            <rFont val="Tahoma"/>
            <family val="2"/>
          </rPr>
          <t>Hoffman, Brandon (Research):</t>
        </r>
        <r>
          <rPr>
            <sz val="9"/>
            <color indexed="81"/>
            <rFont val="Tahoma"/>
            <family val="2"/>
          </rPr>
          <t xml:space="preserve">
4Q: 2mn came from Eat24 prior to sale on Oct 10th; 1mn was "extra revenue per order that recognizing" </t>
        </r>
      </text>
    </comment>
    <comment ref="AS28" authorId="6">
      <text>
        <r>
          <rPr>
            <b/>
            <sz val="9"/>
            <color indexed="81"/>
            <rFont val="Tahoma"/>
            <family val="2"/>
          </rPr>
          <t>Hoffman, Brandon (Research):</t>
        </r>
        <r>
          <rPr>
            <sz val="9"/>
            <color indexed="81"/>
            <rFont val="Tahoma"/>
            <family val="2"/>
          </rPr>
          <t xml:space="preserve">
4Q guide: 1mn will come from extra revenue per order from GRUB in 1Q.. Then onto agreement. </t>
        </r>
      </text>
    </comment>
    <comment ref="BR28" authorId="6">
      <text>
        <r>
          <rPr>
            <b/>
            <sz val="9"/>
            <color indexed="81"/>
            <rFont val="Tahoma"/>
            <family val="2"/>
          </rPr>
          <t>Hoffman, Brandon (Research):</t>
        </r>
        <r>
          <rPr>
            <sz val="9"/>
            <color indexed="81"/>
            <rFont val="Tahoma"/>
            <family val="2"/>
          </rPr>
          <t xml:space="preserve">
4Q guide: 10mn range with bulk from GRUB partnership (integrated in full by mid-year) </t>
        </r>
      </text>
    </comment>
    <comment ref="I34" authorId="6">
      <text>
        <r>
          <rPr>
            <b/>
            <sz val="9"/>
            <color indexed="81"/>
            <rFont val="Tahoma"/>
            <family val="2"/>
          </rPr>
          <t>Hoffman, Brandon (Research):</t>
        </r>
        <r>
          <rPr>
            <sz val="9"/>
            <color indexed="81"/>
            <rFont val="Tahoma"/>
            <family val="2"/>
          </rPr>
          <t xml:space="preserve">
We generate revenue through our</t>
        </r>
        <r>
          <rPr>
            <b/>
            <sz val="9"/>
            <color indexed="81"/>
            <rFont val="Tahoma"/>
            <family val="2"/>
          </rPr>
          <t xml:space="preserve"> Yelp Reservations and Nowait products</t>
        </r>
        <r>
          <rPr>
            <sz val="9"/>
            <color indexed="81"/>
            <rFont val="Tahoma"/>
            <family val="2"/>
          </rPr>
          <t>, licensing payments for access to Yelp data through our</t>
        </r>
        <r>
          <rPr>
            <b/>
            <sz val="9"/>
            <color indexed="81"/>
            <rFont val="Tahoma"/>
            <family val="2"/>
          </rPr>
          <t xml:space="preserve"> Yelp Knowledge program </t>
        </r>
        <r>
          <rPr>
            <sz val="9"/>
            <color indexed="81"/>
            <rFont val="Tahoma"/>
            <family val="2"/>
          </rPr>
          <t xml:space="preserve">and other non-advertising related partnerships. </t>
        </r>
      </text>
    </comment>
    <comment ref="AQ34" authorId="6">
      <text>
        <r>
          <rPr>
            <b/>
            <sz val="9"/>
            <color indexed="81"/>
            <rFont val="Tahoma"/>
            <family val="2"/>
          </rPr>
          <t>Hoffman, Brandon (Research):</t>
        </r>
        <r>
          <rPr>
            <sz val="9"/>
            <color indexed="81"/>
            <rFont val="Tahoma"/>
            <family val="2"/>
          </rPr>
          <t xml:space="preserve">
3Q call: we're expanding Yelp Reservations in Nowait, which together seat over 50 million diners at more than 9,000 local businesses in the third quarter.</t>
        </r>
      </text>
    </comment>
    <comment ref="BR34" authorId="6">
      <text>
        <r>
          <rPr>
            <b/>
            <sz val="9"/>
            <color indexed="81"/>
            <rFont val="Tahoma"/>
            <family val="2"/>
          </rPr>
          <t>Hoffman, Brandon (Research):</t>
        </r>
        <r>
          <rPr>
            <sz val="9"/>
            <color indexed="81"/>
            <rFont val="Tahoma"/>
            <family val="2"/>
          </rPr>
          <t xml:space="preserve">
4Q guide: roughly 20mn </t>
        </r>
      </text>
    </comment>
    <comment ref="BR37" authorId="6">
      <text>
        <r>
          <rPr>
            <b/>
            <sz val="9"/>
            <color indexed="81"/>
            <rFont val="Tahoma"/>
            <family val="2"/>
          </rPr>
          <t>Hoffman, Brandon (Research):</t>
        </r>
        <r>
          <rPr>
            <sz val="9"/>
            <color indexed="81"/>
            <rFont val="Tahoma"/>
            <family val="2"/>
          </rPr>
          <t xml:space="preserve">
4Q guide: in the mid-30s</t>
        </r>
      </text>
    </comment>
    <comment ref="AH42" authorId="3">
      <text>
        <r>
          <rPr>
            <b/>
            <sz val="9"/>
            <color indexed="81"/>
            <rFont val="Tahoma"/>
            <family val="2"/>
          </rPr>
          <t>Hyde, Owen (Research):</t>
        </r>
        <r>
          <rPr>
            <sz val="9"/>
            <color indexed="81"/>
            <rFont val="Tahoma"/>
            <family val="2"/>
          </rPr>
          <t xml:space="preserve">
73% y/y</t>
        </r>
      </text>
    </comment>
    <comment ref="AI42" authorId="3">
      <text>
        <r>
          <rPr>
            <b/>
            <sz val="9"/>
            <color indexed="81"/>
            <rFont val="Tahoma"/>
            <family val="2"/>
          </rPr>
          <t>Hyde, Owen (Research):</t>
        </r>
        <r>
          <rPr>
            <sz val="9"/>
            <color indexed="81"/>
            <rFont val="Tahoma"/>
            <family val="2"/>
          </rPr>
          <t xml:space="preserve">
Grew 73% Y/Y</t>
        </r>
      </text>
    </comment>
    <comment ref="AB57" authorId="0">
      <text>
        <r>
          <rPr>
            <b/>
            <sz val="8"/>
            <color indexed="81"/>
            <rFont val="Tahoma"/>
            <family val="2"/>
          </rPr>
          <t>monahjor:</t>
        </r>
        <r>
          <rPr>
            <sz val="8"/>
            <color indexed="81"/>
            <rFont val="Tahoma"/>
            <family val="2"/>
          </rPr>
          <t xml:space="preserve">
$2.6m</t>
        </r>
      </text>
    </comment>
    <comment ref="AC57" authorId="8">
      <text>
        <r>
          <rPr>
            <b/>
            <sz val="9"/>
            <color indexed="81"/>
            <rFont val="Tahoma"/>
            <family val="2"/>
          </rPr>
          <t>Monahan, Jordan (Research):</t>
        </r>
        <r>
          <rPr>
            <sz val="9"/>
            <color indexed="81"/>
            <rFont val="Tahoma"/>
            <family val="2"/>
          </rPr>
          <t xml:space="preserve">
$2.5m per 1Q call</t>
        </r>
      </text>
    </comment>
    <comment ref="AI57" authorId="3">
      <text>
        <r>
          <rPr>
            <b/>
            <sz val="9"/>
            <color indexed="81"/>
            <rFont val="Tahoma"/>
            <family val="2"/>
          </rPr>
          <t>Hyde, Owen (Research):</t>
        </r>
        <r>
          <rPr>
            <sz val="9"/>
            <color indexed="81"/>
            <rFont val="Tahoma"/>
            <family val="2"/>
          </rPr>
          <t xml:space="preserve">
3Q15 call: international revenue is running at about $3 million a quarter and international expenses running at around $6 million a quarter so really on a databases I think about business of sort of a $3 million quarter kind of investment and which really gives the opportunity ability to use our product across 31 other countries that are in the US and that in the of itself feels like a pretty appropriate investment level to continue to go forward with given that it while it is still a work in progress today, we think there's a big long-term opportunity for Yelp a broad and want to continue to keep that option I was the open.</t>
        </r>
      </text>
    </comment>
    <comment ref="AJ57" authorId="2">
      <text>
        <r>
          <rPr>
            <b/>
            <sz val="9"/>
            <color indexed="81"/>
            <rFont val="Tahoma"/>
            <family val="2"/>
          </rPr>
          <t>Nowak, Brian (Research):</t>
        </r>
        <r>
          <rPr>
            <sz val="9"/>
            <color indexed="81"/>
            <rFont val="Tahoma"/>
            <family val="2"/>
          </rPr>
          <t xml:space="preserve">
per Rob runs 3mn of rev..-6mn of S&amp;M = -3mn of EBITDA per qtr</t>
        </r>
      </text>
    </comment>
    <comment ref="AN57" authorId="4">
      <text>
        <r>
          <rPr>
            <b/>
            <sz val="9"/>
            <color indexed="81"/>
            <rFont val="Tahoma"/>
            <family val="2"/>
          </rPr>
          <t>Lanterman, Jon (Research):</t>
        </r>
        <r>
          <rPr>
            <sz val="9"/>
            <color indexed="81"/>
            <rFont val="Tahoma"/>
            <family val="2"/>
          </rPr>
          <t xml:space="preserve">
3Q16 Transcript (November 2):
And on the international front, the -- </t>
        </r>
        <r>
          <rPr>
            <b/>
            <sz val="9"/>
            <color indexed="81"/>
            <rFont val="Tahoma"/>
            <family val="2"/>
          </rPr>
          <t>we will stop selling new accounts pretty much immediately, as of today or as of this week</t>
        </r>
        <r>
          <rPr>
            <sz val="9"/>
            <color indexed="81"/>
            <rFont val="Tahoma"/>
            <family val="2"/>
          </rPr>
          <t>. So the business that we have there will trail off over the coming year.</t>
        </r>
        <r>
          <rPr>
            <b/>
            <sz val="9"/>
            <color indexed="81"/>
            <rFont val="Tahoma"/>
            <family val="2"/>
          </rPr>
          <t xml:space="preserve"> It's 1% of current revenue, </t>
        </r>
        <r>
          <rPr>
            <sz val="9"/>
            <color indexed="81"/>
            <rFont val="Tahoma"/>
            <family val="2"/>
          </rPr>
          <t>so, yes, I guess it's a headwind, but not much of one, probably not very much in the fourth quarter, and a little bit next year</t>
        </r>
      </text>
    </comment>
    <comment ref="AI58" authorId="3">
      <text>
        <r>
          <rPr>
            <b/>
            <sz val="9"/>
            <color indexed="81"/>
            <rFont val="Tahoma"/>
            <family val="2"/>
          </rPr>
          <t>Hyde, Owen (Research):</t>
        </r>
        <r>
          <rPr>
            <sz val="9"/>
            <color indexed="81"/>
            <rFont val="Tahoma"/>
            <family val="2"/>
          </rPr>
          <t xml:space="preserve">
Taking out FX in international revenue did grow still at 35% which is quite similar to kind of domestic revenue growth albeit on a much smaller base.
How is this possible </t>
        </r>
      </text>
    </comment>
    <comment ref="Y60" authorId="1">
      <text>
        <r>
          <rPr>
            <b/>
            <sz val="9"/>
            <color indexed="81"/>
            <rFont val="Tahoma"/>
            <family val="2"/>
          </rPr>
          <t>Soyer-Osman, Erhan (Research):</t>
        </r>
        <r>
          <rPr>
            <sz val="9"/>
            <color indexed="81"/>
            <rFont val="Tahoma"/>
            <family val="2"/>
          </rPr>
          <t xml:space="preserve">
MS estimate</t>
        </r>
      </text>
    </comment>
    <comment ref="AB60" authorId="0">
      <text>
        <r>
          <rPr>
            <b/>
            <sz val="8"/>
            <color indexed="81"/>
            <rFont val="Tahoma"/>
            <family val="2"/>
          </rPr>
          <t>monahjor:</t>
        </r>
        <r>
          <rPr>
            <sz val="8"/>
            <color indexed="81"/>
            <rFont val="Tahoma"/>
            <family val="2"/>
          </rPr>
          <t xml:space="preserve">
4%</t>
        </r>
      </text>
    </comment>
    <comment ref="AC60" authorId="8">
      <text>
        <r>
          <rPr>
            <b/>
            <sz val="9"/>
            <color indexed="81"/>
            <rFont val="Tahoma"/>
            <family val="2"/>
          </rPr>
          <t>Monahan, Jordan (Research):</t>
        </r>
        <r>
          <rPr>
            <sz val="9"/>
            <color indexed="81"/>
            <rFont val="Tahoma"/>
            <family val="2"/>
          </rPr>
          <t xml:space="preserve">
3% per 1Q call</t>
        </r>
      </text>
    </comment>
    <comment ref="AI60" authorId="3">
      <text>
        <r>
          <rPr>
            <b/>
            <sz val="9"/>
            <color indexed="81"/>
            <rFont val="Tahoma"/>
            <family val="2"/>
          </rPr>
          <t>Hyde, Owen (Research):</t>
        </r>
        <r>
          <rPr>
            <sz val="9"/>
            <color indexed="81"/>
            <rFont val="Tahoma"/>
            <family val="2"/>
          </rPr>
          <t xml:space="preserve">
3Q call: And in terms of international, I think that certainly we've had an evolution there over the last five years as we've begun that international rollout and while there was definitely a time period where we were sort of racing to bring Yelp it to markets all across the world and plant those seeds in a lot of ways we feel like we planted the seeds now and the core countries that with we expect then went to be in the future years so now it's really about making sure that each of those seeds is growing to its full potential in the years ahead.
 And then, figuring out that monetization in Europe in particular before we triple down on that level of investment so still think it's a great long-term option for the business but you're probably not going to see as a triple down on that investment --.</t>
        </r>
      </text>
    </comment>
    <comment ref="I67" authorId="6">
      <text>
        <r>
          <rPr>
            <b/>
            <sz val="9"/>
            <color indexed="81"/>
            <rFont val="Tahoma"/>
            <family val="2"/>
          </rPr>
          <t>Hoffman, Brandon (Research):</t>
        </r>
        <r>
          <rPr>
            <sz val="9"/>
            <color indexed="81"/>
            <rFont val="Tahoma"/>
            <family val="2"/>
          </rPr>
          <t xml:space="preserve">
</t>
        </r>
        <r>
          <rPr>
            <sz val="8"/>
            <color indexed="81"/>
            <rFont val="Tahoma"/>
            <family val="2"/>
          </rPr>
          <t>classifies revenue from</t>
        </r>
        <r>
          <rPr>
            <b/>
            <sz val="8"/>
            <color indexed="81"/>
            <rFont val="Tahoma"/>
            <family val="2"/>
          </rPr>
          <t xml:space="preserve"> all of its business listing and advertising products, including advertising and listings sold by partners, as </t>
        </r>
        <r>
          <rPr>
            <b/>
            <u/>
            <sz val="8"/>
            <color indexed="81"/>
            <rFont val="Tahoma"/>
            <family val="2"/>
          </rPr>
          <t>advertising revenue</t>
        </r>
        <r>
          <rPr>
            <b/>
            <sz val="8"/>
            <color indexed="81"/>
            <rFont val="Tahoma"/>
            <family val="2"/>
          </rPr>
          <t>.</t>
        </r>
        <r>
          <rPr>
            <sz val="8"/>
            <color indexed="81"/>
            <rFont val="Tahoma"/>
            <family val="2"/>
          </rPr>
          <t xml:space="preserve"> As a result, revenue generated through ad resales and monetization of remnant advertising inventory through third-party ad networks is now classified as advertising revenue rather than other services revenue</t>
        </r>
      </text>
    </comment>
    <comment ref="AK77" authorId="3">
      <text>
        <r>
          <rPr>
            <b/>
            <sz val="9"/>
            <color indexed="81"/>
            <rFont val="Tahoma"/>
            <family val="2"/>
          </rPr>
          <t>Hyde, Owen (Research):</t>
        </r>
        <r>
          <rPr>
            <sz val="9"/>
            <color indexed="81"/>
            <rFont val="Tahoma"/>
            <family val="2"/>
          </rPr>
          <t xml:space="preserve">
Fullfillment improvement</t>
        </r>
      </text>
    </comment>
    <comment ref="AL77" authorId="3">
      <text>
        <r>
          <rPr>
            <b/>
            <sz val="9"/>
            <color indexed="81"/>
            <rFont val="Tahoma"/>
            <family val="2"/>
          </rPr>
          <t>Hyde, Owen (Research):</t>
        </r>
        <r>
          <rPr>
            <sz val="9"/>
            <color indexed="81"/>
            <rFont val="Tahoma"/>
            <family val="2"/>
          </rPr>
          <t xml:space="preserve">
Fullfillment improvement</t>
        </r>
      </text>
    </comment>
    <comment ref="I83" authorId="6">
      <text>
        <r>
          <rPr>
            <b/>
            <sz val="9"/>
            <color indexed="81"/>
            <rFont val="Tahoma"/>
            <family val="2"/>
          </rPr>
          <t xml:space="preserve">Hoffman, Brandon (Research):
</t>
        </r>
        <r>
          <rPr>
            <sz val="9"/>
            <color indexed="81"/>
            <rFont val="Tahoma"/>
            <family val="2"/>
          </rPr>
          <t xml:space="preserve">
</t>
        </r>
        <r>
          <rPr>
            <b/>
            <sz val="8"/>
            <color indexed="81"/>
            <rFont val="Tahoma"/>
            <family val="2"/>
          </rPr>
          <t xml:space="preserve">Paying advertising accounts comprise all business accounts </t>
        </r>
        <r>
          <rPr>
            <sz val="8"/>
            <color indexed="81"/>
            <rFont val="Tahoma"/>
            <family val="2"/>
          </rPr>
          <t xml:space="preserve">from which we recognized advertising revenue in a given three-month period. As with our advertising revenue classification, paying advertising accounts </t>
        </r>
        <r>
          <rPr>
            <b/>
            <sz val="8"/>
            <color indexed="81"/>
            <rFont val="Tahoma"/>
            <family val="2"/>
          </rPr>
          <t>includes customer accounts that purchased our core marketing services from partners and resellers,</t>
        </r>
        <r>
          <rPr>
            <sz val="8"/>
            <color indexed="81"/>
            <rFont val="Tahoma"/>
            <family val="2"/>
          </rPr>
          <t xml:space="preserve"> and excludes Yelp Reservations customers that are not also advertising customers.</t>
        </r>
      </text>
    </comment>
    <comment ref="AG84" authorId="2">
      <text>
        <r>
          <rPr>
            <b/>
            <sz val="9"/>
            <color indexed="81"/>
            <rFont val="Tahoma"/>
            <family val="2"/>
          </rPr>
          <t>Nowak, Brian (Research):</t>
        </r>
        <r>
          <rPr>
            <sz val="9"/>
            <color indexed="81"/>
            <rFont val="Tahoma"/>
            <family val="2"/>
          </rPr>
          <t xml:space="preserve">
sales force realignment issues</t>
        </r>
      </text>
    </comment>
    <comment ref="AK84" authorId="2">
      <text>
        <r>
          <rPr>
            <b/>
            <sz val="9"/>
            <color indexed="81"/>
            <rFont val="Tahoma"/>
            <family val="2"/>
          </rPr>
          <t>Nowak, Brian (Research):</t>
        </r>
        <r>
          <rPr>
            <sz val="9"/>
            <color indexed="81"/>
            <rFont val="Tahoma"/>
            <family val="2"/>
          </rPr>
          <t xml:space="preserve">
promotional accounts</t>
        </r>
      </text>
    </comment>
    <comment ref="AQ84" authorId="6">
      <text>
        <r>
          <rPr>
            <b/>
            <sz val="9"/>
            <color indexed="81"/>
            <rFont val="Tahoma"/>
            <family val="2"/>
          </rPr>
          <t>Hoffman, Brandon (Research):</t>
        </r>
        <r>
          <rPr>
            <sz val="9"/>
            <color indexed="81"/>
            <rFont val="Tahoma"/>
            <family val="2"/>
          </rPr>
          <t xml:space="preserve">
3Q call: Our advertiser base grew by 7,500 sequentially to 155,000 in the third quarter of 2017, and that increase reflects sales momentum in both local and self-serve as well as improved account retention.
In the third quarter, we </t>
        </r>
        <r>
          <rPr>
            <b/>
            <sz val="9"/>
            <color indexed="81"/>
            <rFont val="Tahoma"/>
            <family val="2"/>
          </rPr>
          <t xml:space="preserve">onboarded thousands of new advertisers via self-serve </t>
        </r>
        <r>
          <rPr>
            <sz val="9"/>
            <color indexed="81"/>
            <rFont val="Tahoma"/>
            <family val="2"/>
          </rPr>
          <t>with convenient tools that allow business owners to se tup and manage campaigns themselves</t>
        </r>
      </text>
    </comment>
    <comment ref="U91" authorId="3">
      <text>
        <r>
          <rPr>
            <b/>
            <sz val="9"/>
            <color indexed="81"/>
            <rFont val="Tahoma"/>
            <family val="2"/>
          </rPr>
          <t>Hyde, Owen (Research):</t>
        </r>
        <r>
          <rPr>
            <sz val="9"/>
            <color indexed="81"/>
            <rFont val="Tahoma"/>
            <family val="2"/>
          </rPr>
          <t xml:space="preserve">
MSe</t>
        </r>
      </text>
    </comment>
    <comment ref="V91" authorId="3">
      <text>
        <r>
          <rPr>
            <b/>
            <sz val="9"/>
            <color indexed="81"/>
            <rFont val="Tahoma"/>
            <family val="2"/>
          </rPr>
          <t>Hyde, Owen (Research):</t>
        </r>
        <r>
          <rPr>
            <sz val="9"/>
            <color indexed="81"/>
            <rFont val="Tahoma"/>
            <family val="2"/>
          </rPr>
          <t xml:space="preserve">
MSe</t>
        </r>
      </text>
    </comment>
    <comment ref="W91" authorId="3">
      <text>
        <r>
          <rPr>
            <b/>
            <sz val="9"/>
            <color indexed="81"/>
            <rFont val="Tahoma"/>
            <family val="2"/>
          </rPr>
          <t>Hyde, Owen (Research):</t>
        </r>
        <r>
          <rPr>
            <sz val="9"/>
            <color indexed="81"/>
            <rFont val="Tahoma"/>
            <family val="2"/>
          </rPr>
          <t xml:space="preserve">
MSe</t>
        </r>
      </text>
    </comment>
    <comment ref="X91" authorId="3">
      <text>
        <r>
          <rPr>
            <b/>
            <sz val="9"/>
            <color indexed="81"/>
            <rFont val="Tahoma"/>
            <family val="2"/>
          </rPr>
          <t>Hyde, Owen (Research):</t>
        </r>
        <r>
          <rPr>
            <sz val="9"/>
            <color indexed="81"/>
            <rFont val="Tahoma"/>
            <family val="2"/>
          </rPr>
          <t xml:space="preserve">
MSe</t>
        </r>
      </text>
    </comment>
    <comment ref="AK91" authorId="3">
      <text>
        <r>
          <rPr>
            <b/>
            <sz val="9"/>
            <color indexed="81"/>
            <rFont val="Tahoma"/>
            <family val="2"/>
          </rPr>
          <t>Hyde, Owen (Research):</t>
        </r>
        <r>
          <rPr>
            <sz val="9"/>
            <color indexed="81"/>
            <rFont val="Tahoma"/>
            <family val="2"/>
          </rPr>
          <t xml:space="preserve">
1Q16: still plan to grow sales heads 20 to 30% this year</t>
        </r>
      </text>
    </comment>
    <comment ref="AL91" authorId="3">
      <text>
        <r>
          <rPr>
            <b/>
            <sz val="9"/>
            <color indexed="81"/>
            <rFont val="Tahoma"/>
            <family val="2"/>
          </rPr>
          <t>Hyde, Owen (Research):</t>
        </r>
        <r>
          <rPr>
            <sz val="9"/>
            <color indexed="81"/>
            <rFont val="Tahoma"/>
            <family val="2"/>
          </rPr>
          <t xml:space="preserve">
1Q16: still plan to grow sales heads 20 to 30% this year</t>
        </r>
      </text>
    </comment>
    <comment ref="AM91" authorId="3">
      <text>
        <r>
          <rPr>
            <b/>
            <sz val="9"/>
            <color indexed="81"/>
            <rFont val="Tahoma"/>
            <family val="2"/>
          </rPr>
          <t>Hyde, Owen (Research):</t>
        </r>
        <r>
          <rPr>
            <sz val="9"/>
            <color indexed="81"/>
            <rFont val="Tahoma"/>
            <family val="2"/>
          </rPr>
          <t xml:space="preserve">
4Q15 call:  spend slightly less in marketing in the second half of 2016 and also expect slower sales headcount growth in the fourth quarter of 2016 compared to the same period in 2015.</t>
        </r>
      </text>
    </comment>
    <comment ref="AN91" authorId="3">
      <text>
        <r>
          <rPr>
            <b/>
            <sz val="9"/>
            <color indexed="81"/>
            <rFont val="Tahoma"/>
            <family val="2"/>
          </rPr>
          <t xml:space="preserve">Hyde, Owen (Research):
</t>
        </r>
        <r>
          <rPr>
            <sz val="9"/>
            <color indexed="81"/>
            <rFont val="Tahoma"/>
            <family val="2"/>
          </rPr>
          <t>3Q:16 Earnings Call: Headcount and Revenue growth is starting to de-couple and will continue to do so.
4Q15 call:  spend slightly less in marketing in the second half of 2016 and also expect slower sales headcount growth in the fourth quarter of 2016 compared to the same period in 2015.</t>
        </r>
      </text>
    </comment>
    <comment ref="AO91" authorId="6">
      <text>
        <r>
          <rPr>
            <b/>
            <sz val="9"/>
            <color indexed="81"/>
            <rFont val="Tahoma"/>
            <family val="2"/>
          </rPr>
          <t>Hoffman, Brandon (Research):</t>
        </r>
        <r>
          <rPr>
            <sz val="9"/>
            <color indexed="81"/>
            <rFont val="Tahoma"/>
            <family val="2"/>
          </rPr>
          <t xml:space="preserve">
1Q17 10Q:
Key strategy - enhance monetization ("plan to aggressively grow our sales force")</t>
        </r>
      </text>
    </comment>
    <comment ref="AP91" authorId="6">
      <text>
        <r>
          <rPr>
            <b/>
            <sz val="9"/>
            <color indexed="81"/>
            <rFont val="Tahoma"/>
            <family val="2"/>
          </rPr>
          <t>Hoffman, Brandon (Research):</t>
        </r>
        <r>
          <rPr>
            <sz val="9"/>
            <color indexed="81"/>
            <rFont val="Tahoma"/>
            <family val="2"/>
          </rPr>
          <t xml:space="preserve">
2Q call: tracking towards mid-teens% increase in sales staff for the year
</t>
        </r>
      </text>
    </comment>
    <comment ref="BN91" authorId="2">
      <text>
        <r>
          <rPr>
            <b/>
            <sz val="9"/>
            <color indexed="81"/>
            <rFont val="Tahoma"/>
            <family val="2"/>
          </rPr>
          <t>Nowak, Brian (Research):</t>
        </r>
        <r>
          <rPr>
            <sz val="9"/>
            <color indexed="81"/>
            <rFont val="Tahoma"/>
            <family val="2"/>
          </rPr>
          <t xml:space="preserve">
less than 100 are international</t>
        </r>
      </text>
    </comment>
    <comment ref="BQ91" authorId="3">
      <text>
        <r>
          <rPr>
            <b/>
            <sz val="9"/>
            <color indexed="81"/>
            <rFont val="Tahoma"/>
            <family val="2"/>
          </rPr>
          <t>Hyde, Owen (Research):</t>
        </r>
        <r>
          <rPr>
            <sz val="9"/>
            <color indexed="81"/>
            <rFont val="Tahoma"/>
            <family val="2"/>
          </rPr>
          <t xml:space="preserve">
3Q15: So on the sales force growth for Q2, it was about 35% I think at this point were expecting it to be above 30% for 2015. And when we do the
calculations, we figure that if we grow the sales force about 25% in both 2016 and 2017 that $1 billion revenue is still achievable.</t>
        </r>
      </text>
    </comment>
    <comment ref="AG92" authorId="2">
      <text>
        <r>
          <rPr>
            <b/>
            <sz val="9"/>
            <color indexed="81"/>
            <rFont val="Tahoma"/>
            <family val="2"/>
          </rPr>
          <t>Nowak, Brian (Research):</t>
        </r>
        <r>
          <rPr>
            <sz val="9"/>
            <color indexed="81"/>
            <rFont val="Tahoma"/>
            <family val="2"/>
          </rPr>
          <t xml:space="preserve">
should be +50 1Q call back</t>
        </r>
      </text>
    </comment>
    <comment ref="AS92" authorId="6">
      <text>
        <r>
          <rPr>
            <b/>
            <sz val="9"/>
            <color indexed="81"/>
            <rFont val="Tahoma"/>
            <family val="2"/>
          </rPr>
          <t>Hoffman, Brandon (Research):</t>
        </r>
        <r>
          <rPr>
            <sz val="9"/>
            <color indexed="81"/>
            <rFont val="Tahoma"/>
            <family val="2"/>
          </rPr>
          <t xml:space="preserve">
3Q17 call: will be opening the DC office to expand recruiting options</t>
        </r>
      </text>
    </comment>
    <comment ref="AH93" authorId="2">
      <text>
        <r>
          <rPr>
            <b/>
            <sz val="9"/>
            <color indexed="81"/>
            <rFont val="Tahoma"/>
            <family val="2"/>
          </rPr>
          <t>Nowak, Brian (Research):</t>
        </r>
        <r>
          <rPr>
            <sz val="9"/>
            <color indexed="81"/>
            <rFont val="Tahoma"/>
            <family val="2"/>
          </rPr>
          <t xml:space="preserve">
55% per 1Q call back</t>
        </r>
      </text>
    </comment>
    <comment ref="AI93" authorId="2">
      <text>
        <r>
          <rPr>
            <b/>
            <sz val="9"/>
            <color indexed="81"/>
            <rFont val="Tahoma"/>
            <family val="2"/>
          </rPr>
          <t>Nowak, Brian (Research):</t>
        </r>
        <r>
          <rPr>
            <sz val="9"/>
            <color indexed="81"/>
            <rFont val="Tahoma"/>
            <family val="2"/>
          </rPr>
          <t xml:space="preserve">
up 35% per 3Q</t>
        </r>
      </text>
    </comment>
    <comment ref="AQ93" authorId="6">
      <text>
        <r>
          <rPr>
            <b/>
            <sz val="9"/>
            <color indexed="81"/>
            <rFont val="Tahoma"/>
            <family val="2"/>
          </rPr>
          <t>Hoffman, Brandon (Research):</t>
        </r>
        <r>
          <rPr>
            <sz val="9"/>
            <color indexed="81"/>
            <rFont val="Tahoma"/>
            <family val="2"/>
          </rPr>
          <t xml:space="preserve">
2Q guide: 2H will have mid teens % net sales rep growth</t>
        </r>
      </text>
    </comment>
    <comment ref="BO93" authorId="1">
      <text>
        <r>
          <rPr>
            <b/>
            <sz val="9"/>
            <color indexed="81"/>
            <rFont val="Tahoma"/>
            <family val="2"/>
          </rPr>
          <t>Soyer-Osman, Erhan (Research):</t>
        </r>
        <r>
          <rPr>
            <sz val="9"/>
            <color indexed="81"/>
            <rFont val="Tahoma"/>
            <family val="2"/>
          </rPr>
          <t xml:space="preserve">
Given the continued success of our sales team and the large opportunity ahead, we plan to increase sales head count by approximately 40% in 2015.
2Q:15 Now guiding to 30%</t>
        </r>
      </text>
    </comment>
    <comment ref="BP93" authorId="2">
      <text>
        <r>
          <rPr>
            <b/>
            <sz val="9"/>
            <color indexed="81"/>
            <rFont val="Tahoma"/>
            <family val="2"/>
          </rPr>
          <t>Nowak, Brian (Research)</t>
        </r>
        <r>
          <rPr>
            <sz val="9"/>
            <color indexed="81"/>
            <rFont val="Tahoma"/>
            <family val="2"/>
          </rPr>
          <t xml:space="preserve">:
2Q: 20-30%
1Q16: 20 to 30% growth
 </t>
        </r>
        <r>
          <rPr>
            <b/>
            <sz val="9"/>
            <color indexed="81"/>
            <rFont val="Tahoma"/>
            <family val="2"/>
          </rPr>
          <t xml:space="preserve">
</t>
        </r>
        <r>
          <rPr>
            <sz val="9"/>
            <color indexed="81"/>
            <rFont val="Tahoma"/>
            <family val="2"/>
          </rPr>
          <t xml:space="preserve">4Q15 guide: 20% to 30%
</t>
        </r>
        <r>
          <rPr>
            <sz val="9"/>
            <color indexed="81"/>
            <rFont val="Tahoma"/>
            <family val="2"/>
          </rPr>
          <t xml:space="preserve">
2Q:15 conf call…expect sales force to CAGR 25% to 2017</t>
        </r>
      </text>
    </comment>
    <comment ref="BQ93" authorId="2">
      <text>
        <r>
          <rPr>
            <b/>
            <sz val="9"/>
            <color indexed="81"/>
            <rFont val="Tahoma"/>
            <family val="2"/>
          </rPr>
          <t>Nowak, Brian (Research):</t>
        </r>
        <r>
          <rPr>
            <sz val="9"/>
            <color indexed="81"/>
            <rFont val="Tahoma"/>
            <family val="2"/>
          </rPr>
          <t xml:space="preserve">
2Q:15 conf call…expect sales force to CAGR 25% to 2017</t>
        </r>
      </text>
    </comment>
    <comment ref="AG97" authorId="2">
      <text>
        <r>
          <rPr>
            <b/>
            <sz val="9"/>
            <color indexed="81"/>
            <rFont val="Tahoma"/>
            <family val="2"/>
          </rPr>
          <t>Nowak, Brian (Research):</t>
        </r>
        <r>
          <rPr>
            <sz val="9"/>
            <color indexed="81"/>
            <rFont val="Tahoma"/>
            <family val="2"/>
          </rPr>
          <t xml:space="preserve">
sales force reorg/un-reorg</t>
        </r>
      </text>
    </comment>
    <comment ref="I107" authorId="3">
      <text>
        <r>
          <rPr>
            <b/>
            <sz val="9"/>
            <color indexed="81"/>
            <rFont val="Tahoma"/>
            <family val="2"/>
          </rPr>
          <t>Hyde, Owen (Research):</t>
        </r>
        <r>
          <rPr>
            <sz val="9"/>
            <color indexed="81"/>
            <rFont val="Tahoma"/>
            <family val="2"/>
          </rPr>
          <t xml:space="preserve">
Eat24
Other Transaction Revenue
Other Revenue</t>
        </r>
      </text>
    </comment>
    <comment ref="I109" authorId="3">
      <text>
        <r>
          <rPr>
            <b/>
            <sz val="9"/>
            <color indexed="81"/>
            <rFont val="Tahoma"/>
            <family val="2"/>
          </rPr>
          <t>Hyde, Owen (Research):</t>
        </r>
        <r>
          <rPr>
            <sz val="9"/>
            <color indexed="81"/>
            <rFont val="Tahoma"/>
            <family val="2"/>
          </rPr>
          <t xml:space="preserve">
Other Revenue
Other Transaction Revenue</t>
        </r>
      </text>
    </comment>
    <comment ref="AB109" authorId="0">
      <text>
        <r>
          <rPr>
            <b/>
            <sz val="8"/>
            <color indexed="81"/>
            <rFont val="Tahoma"/>
            <family val="2"/>
          </rPr>
          <t>monahjor:</t>
        </r>
        <r>
          <rPr>
            <sz val="8"/>
            <color indexed="81"/>
            <rFont val="Tahoma"/>
            <family val="2"/>
          </rPr>
          <t xml:space="preserve">
4Q call: We've got E24 and delivery. com live and as I mentioned earlier, we're seeing 10,000 orders per week</t>
        </r>
      </text>
    </comment>
    <comment ref="AE109" authorId="1">
      <text>
        <r>
          <rPr>
            <b/>
            <sz val="9"/>
            <color indexed="81"/>
            <rFont val="Tahoma"/>
            <family val="2"/>
          </rPr>
          <t>Soyer-Osman, Erhan (Research):</t>
        </r>
        <r>
          <rPr>
            <sz val="9"/>
            <color indexed="81"/>
            <rFont val="Tahoma"/>
            <family val="2"/>
          </rPr>
          <t xml:space="preserve">
Partnership with YP</t>
        </r>
      </text>
    </comment>
    <comment ref="AF109" authorId="1">
      <text>
        <r>
          <rPr>
            <b/>
            <sz val="9"/>
            <color indexed="81"/>
            <rFont val="Tahoma"/>
            <family val="2"/>
          </rPr>
          <t>Soyer-Osman, Erhan (Research):</t>
        </r>
        <r>
          <rPr>
            <sz val="9"/>
            <color indexed="81"/>
            <rFont val="Tahoma"/>
            <family val="2"/>
          </rPr>
          <t xml:space="preserve">
4Q call: Expect $7m. Re-aligned agreement</t>
        </r>
      </text>
    </comment>
    <comment ref="AG109" authorId="1">
      <text>
        <r>
          <rPr>
            <b/>
            <sz val="9"/>
            <color indexed="81"/>
            <rFont val="Tahoma"/>
            <family val="2"/>
          </rPr>
          <t>Soyer-Osman, Erhan (Research):</t>
        </r>
        <r>
          <rPr>
            <sz val="9"/>
            <color indexed="81"/>
            <rFont val="Tahoma"/>
            <family val="2"/>
          </rPr>
          <t xml:space="preserve">
5mn Eat24 / YP was about 3mn</t>
        </r>
      </text>
    </comment>
    <comment ref="BQ109" authorId="6">
      <text>
        <r>
          <rPr>
            <b/>
            <sz val="9"/>
            <color indexed="81"/>
            <rFont val="Tahoma"/>
            <family val="2"/>
          </rPr>
          <t>Hoffman, Brandon (Research):</t>
        </r>
        <r>
          <rPr>
            <sz val="9"/>
            <color indexed="81"/>
            <rFont val="Tahoma"/>
            <family val="2"/>
          </rPr>
          <t xml:space="preserve">
1Q17 - TurnStyle acq April 2017 (9 mos) contributes 1-2mm rev
NoWait Mar 2017 (10 mos) contributes LSDmm (~2mm)</t>
        </r>
      </text>
    </comment>
    <comment ref="AG111" authorId="2">
      <text>
        <r>
          <rPr>
            <b/>
            <sz val="9"/>
            <color indexed="81"/>
            <rFont val="Tahoma"/>
            <family val="2"/>
          </rPr>
          <t>Nowak, Brian (Research):</t>
        </r>
        <r>
          <rPr>
            <sz val="9"/>
            <color indexed="81"/>
            <rFont val="Tahoma"/>
            <family val="2"/>
          </rPr>
          <t xml:space="preserve">
Yip</t>
        </r>
      </text>
    </comment>
    <comment ref="Z112" authorId="0">
      <text>
        <r>
          <rPr>
            <b/>
            <sz val="8"/>
            <color indexed="81"/>
            <rFont val="Tahoma"/>
            <family val="2"/>
          </rPr>
          <t>monahjor:</t>
        </r>
        <r>
          <rPr>
            <sz val="8"/>
            <color indexed="81"/>
            <rFont val="Tahoma"/>
            <family val="2"/>
          </rPr>
          <t xml:space="preserve">
+87% Y/Y
Yelp Deal revenue up 100% Y/Y</t>
        </r>
      </text>
    </comment>
    <comment ref="AB112" authorId="0">
      <text>
        <r>
          <rPr>
            <b/>
            <sz val="8"/>
            <color indexed="81"/>
            <rFont val="Tahoma"/>
            <family val="2"/>
          </rPr>
          <t>monahjor:</t>
        </r>
        <r>
          <rPr>
            <sz val="8"/>
            <color indexed="81"/>
            <rFont val="Tahoma"/>
            <family val="2"/>
          </rPr>
          <t xml:space="preserve">
reflects the new partnerships entered into during the year</t>
        </r>
      </text>
    </comment>
    <comment ref="I117" authorId="3">
      <text>
        <r>
          <rPr>
            <b/>
            <sz val="9"/>
            <color indexed="81"/>
            <rFont val="Tahoma"/>
            <family val="2"/>
          </rPr>
          <t>Hyde, Owen (Research):</t>
        </r>
        <r>
          <rPr>
            <sz val="9"/>
            <color indexed="81"/>
            <rFont val="Tahoma"/>
            <family val="2"/>
          </rPr>
          <t xml:space="preserve">
</t>
        </r>
        <r>
          <rPr>
            <b/>
            <sz val="9"/>
            <color indexed="81"/>
            <rFont val="Tahoma"/>
            <family val="2"/>
          </rPr>
          <t xml:space="preserve">Transactions. </t>
        </r>
        <r>
          <rPr>
            <sz val="9"/>
            <color indexed="81"/>
            <rFont val="Tahoma"/>
            <family val="2"/>
          </rPr>
          <t>We generate revenue from various transactions with consumers, including through</t>
        </r>
        <r>
          <rPr>
            <b/>
            <sz val="9"/>
            <color indexed="81"/>
            <rFont val="Tahoma"/>
            <family val="2"/>
          </rPr>
          <t xml:space="preserve"> Eat24</t>
        </r>
        <r>
          <rPr>
            <sz val="9"/>
            <color indexed="81"/>
            <rFont val="Tahoma"/>
            <family val="2"/>
          </rPr>
          <t>,</t>
        </r>
        <r>
          <rPr>
            <b/>
            <sz val="9"/>
            <color indexed="81"/>
            <rFont val="Tahoma"/>
            <family val="2"/>
          </rPr>
          <t xml:space="preserve"> Platform transaction</t>
        </r>
        <r>
          <rPr>
            <sz val="9"/>
            <color indexed="81"/>
            <rFont val="Tahoma"/>
            <family val="2"/>
          </rPr>
          <t xml:space="preserve">s and the sale of </t>
        </r>
        <r>
          <rPr>
            <b/>
            <sz val="9"/>
            <color indexed="81"/>
            <rFont val="Tahoma"/>
            <family val="2"/>
          </rPr>
          <t>Yelp Deals and Gift Certificates</t>
        </r>
        <r>
          <rPr>
            <sz val="9"/>
            <color indexed="81"/>
            <rFont val="Tahoma"/>
            <family val="2"/>
          </rPr>
          <t>. 
Our</t>
        </r>
        <r>
          <rPr>
            <b/>
            <sz val="9"/>
            <color indexed="81"/>
            <rFont val="Tahoma"/>
            <family val="2"/>
          </rPr>
          <t xml:space="preserve"> Eat24 </t>
        </r>
        <r>
          <rPr>
            <sz val="9"/>
            <color indexed="81"/>
            <rFont val="Tahoma"/>
            <family val="2"/>
          </rPr>
          <t>business generates revenue through arrangements with restaurants, in which restaurants pay a commission percentage fee on orders placed through Eat24’s platform. We record revenue associated with Eat24’s transactions on a net basis. 
Our</t>
        </r>
        <r>
          <rPr>
            <b/>
            <sz val="9"/>
            <color indexed="81"/>
            <rFont val="Tahoma"/>
            <family val="2"/>
          </rPr>
          <t xml:space="preserve"> Platform partnerships</t>
        </r>
        <r>
          <rPr>
            <sz val="9"/>
            <color indexed="81"/>
            <rFont val="Tahoma"/>
            <family val="2"/>
          </rPr>
          <t xml:space="preserve"> are revenue-sharing arrangements that provide consumers with the ability to complete food delivery transactions, order flowers and book spa and salon appointments, among other products and services, through third parties directly on Yelp. We earn a fee on our Platform partnerships for acting as an agent for these transactions, which we record on a net basis and include in revenue upon completion of a transaction. 
</t>
        </r>
        <r>
          <rPr>
            <b/>
            <sz val="9"/>
            <color indexed="81"/>
            <rFont val="Tahoma"/>
            <family val="2"/>
          </rPr>
          <t>Yelp Deals</t>
        </r>
        <r>
          <rPr>
            <sz val="9"/>
            <color indexed="81"/>
            <rFont val="Tahoma"/>
            <family val="2"/>
          </rPr>
          <t xml:space="preserve"> allow merchants to promote themselves and offer discounted goods and services on a real-time basis to consumers directly on our website and mobile app. We earn a fee on Yelp Deals for acting as an agent in these transactions, which we record on a net basis and include in revenue upon a consumer’s purchase of a deal. 
</t>
        </r>
        <r>
          <rPr>
            <b/>
            <sz val="9"/>
            <color indexed="81"/>
            <rFont val="Tahoma"/>
            <family val="2"/>
          </rPr>
          <t xml:space="preserve">Gift Certificates </t>
        </r>
        <r>
          <rPr>
            <sz val="9"/>
            <color indexed="81"/>
            <rFont val="Tahoma"/>
            <family val="2"/>
          </rPr>
          <t>allow merchants to sell full-priced gift certificates directly to consumers through their business listing pages. We earn a fee based on the amount of the Gift Certificate sold, which we record on a net basis and include in revenue upon a consumer’s purchase of the Gift Certificate.</t>
        </r>
      </text>
    </comment>
    <comment ref="AI117" authorId="3">
      <text>
        <r>
          <rPr>
            <b/>
            <sz val="9"/>
            <color indexed="81"/>
            <rFont val="Tahoma"/>
            <family val="2"/>
          </rPr>
          <t>Hyde, Owen (Research):</t>
        </r>
        <r>
          <rPr>
            <sz val="9"/>
            <color indexed="81"/>
            <rFont val="Tahoma"/>
            <family val="2"/>
          </rPr>
          <t xml:space="preserve">
 September integartion into search for food </t>
        </r>
      </text>
    </comment>
    <comment ref="AR117" authorId="6">
      <text>
        <r>
          <rPr>
            <b/>
            <sz val="9"/>
            <color indexed="81"/>
            <rFont val="Tahoma"/>
            <family val="2"/>
          </rPr>
          <t>Hoffman, Brandon (Research):</t>
        </r>
        <r>
          <rPr>
            <sz val="9"/>
            <color indexed="81"/>
            <rFont val="Tahoma"/>
            <family val="2"/>
          </rPr>
          <t xml:space="preserve">
4Q: 5mn / 2mn was from Eat24 prior to close / 1mn from extra rev per order
3Q call: will not be getting the Eat24 contribution, which is majority of Transactions revenue
8K: Eat24 was 34.5 of the 36.5 in 1H17, $1mn/qtr is non-Eat24 Transaction revenue
$2mn/qtr contrib from the ~8mn estimate  annualized referral fee from our PF math</t>
        </r>
      </text>
    </comment>
    <comment ref="BR117" authorId="6">
      <text>
        <r>
          <rPr>
            <b/>
            <sz val="9"/>
            <color indexed="81"/>
            <rFont val="Tahoma"/>
            <family val="2"/>
          </rPr>
          <t>Hoffman, Brandon (Research):</t>
        </r>
        <r>
          <rPr>
            <sz val="9"/>
            <color indexed="81"/>
            <rFont val="Tahoma"/>
            <family val="2"/>
          </rPr>
          <t xml:space="preserve">
4Q: roughly 10mn 
3Q: MS est… PF estimate was 12 contrib from referral fees with Grub + 4mn non-Eat24 transaction revenue… ~16mn</t>
        </r>
      </text>
    </comment>
    <comment ref="AR118" authorId="6">
      <text>
        <r>
          <rPr>
            <b/>
            <sz val="9"/>
            <color indexed="81"/>
            <rFont val="Tahoma"/>
            <family val="2"/>
          </rPr>
          <t>Hoffman, Brandon (Research):</t>
        </r>
        <r>
          <rPr>
            <sz val="9"/>
            <color indexed="81"/>
            <rFont val="Tahoma"/>
            <family val="2"/>
          </rPr>
          <t xml:space="preserve">
Losing Eat24, post close on October 10 2017</t>
        </r>
      </text>
    </comment>
    <comment ref="AS118" authorId="6">
      <text>
        <r>
          <rPr>
            <b/>
            <sz val="9"/>
            <color indexed="81"/>
            <rFont val="Tahoma"/>
            <family val="2"/>
          </rPr>
          <t>Hoffman, Brandon (Research):</t>
        </r>
        <r>
          <rPr>
            <sz val="9"/>
            <color indexed="81"/>
            <rFont val="Tahoma"/>
            <family val="2"/>
          </rPr>
          <t xml:space="preserve">
3Q call: by end of 1Q18, the additional restaurants from GRUB should be available on Yelp Platform</t>
        </r>
      </text>
    </comment>
    <comment ref="AL119" authorId="3">
      <text>
        <r>
          <rPr>
            <b/>
            <sz val="9"/>
            <color indexed="81"/>
            <rFont val="Tahoma"/>
            <family val="2"/>
          </rPr>
          <t>Hyde, Owen (Research):</t>
        </r>
        <r>
          <rPr>
            <sz val="9"/>
            <color indexed="81"/>
            <rFont val="Tahoma"/>
            <family val="2"/>
          </rPr>
          <t xml:space="preserve">
10Q: increase was primarily the result of revenue from Eat24</t>
        </r>
      </text>
    </comment>
    <comment ref="AM119" authorId="3">
      <text>
        <r>
          <rPr>
            <b/>
            <sz val="9"/>
            <color indexed="81"/>
            <rFont val="Tahoma"/>
            <family val="2"/>
          </rPr>
          <t>Hyde, Owen (Research):</t>
        </r>
        <r>
          <rPr>
            <sz val="9"/>
            <color indexed="81"/>
            <rFont val="Tahoma"/>
            <family val="2"/>
          </rPr>
          <t xml:space="preserve">
10Q: increase was primarily the result of revenue from Eat24</t>
        </r>
      </text>
    </comment>
    <comment ref="AL120" authorId="2">
      <text>
        <r>
          <rPr>
            <b/>
            <sz val="9"/>
            <color indexed="81"/>
            <rFont val="Tahoma"/>
            <family val="2"/>
          </rPr>
          <t>Nowak, Brian (Research):</t>
        </r>
        <r>
          <rPr>
            <sz val="9"/>
            <color indexed="81"/>
            <rFont val="Tahoma"/>
            <family val="2"/>
          </rPr>
          <t xml:space="preserve">
inorganic benefit from search integration</t>
        </r>
      </text>
    </comment>
    <comment ref="AM120" authorId="2">
      <text>
        <r>
          <rPr>
            <b/>
            <sz val="9"/>
            <color indexed="81"/>
            <rFont val="Tahoma"/>
            <family val="2"/>
          </rPr>
          <t>Nowak, Brian (Research):</t>
        </r>
        <r>
          <rPr>
            <sz val="9"/>
            <color indexed="81"/>
            <rFont val="Tahoma"/>
            <family val="2"/>
          </rPr>
          <t xml:space="preserve">
inorganic benefit from search integration</t>
        </r>
      </text>
    </comment>
    <comment ref="AN120" authorId="5">
      <text>
        <r>
          <rPr>
            <b/>
            <sz val="9"/>
            <color indexed="81"/>
            <rFont val="Tahoma"/>
            <family val="2"/>
          </rPr>
          <t>Liu, Kevin (Research):</t>
        </r>
        <r>
          <rPr>
            <sz val="9"/>
            <color indexed="81"/>
            <rFont val="Tahoma"/>
            <family val="2"/>
          </rPr>
          <t xml:space="preserve">
transaction volume lower due to negative impact from order volume; we made a number of changes to marketing</t>
        </r>
      </text>
    </comment>
    <comment ref="AO120" authorId="6">
      <text>
        <r>
          <rPr>
            <b/>
            <sz val="9"/>
            <color indexed="81"/>
            <rFont val="Tahoma"/>
            <family val="2"/>
          </rPr>
          <t>Hoffman, Brandon (Research):</t>
        </r>
        <r>
          <rPr>
            <sz val="9"/>
            <color indexed="81"/>
            <rFont val="Tahoma"/>
            <family val="2"/>
          </rPr>
          <t xml:space="preserve">
1Q17: "Transaction revenue grew 25% year-to-year in the first quarter to $18 million"
Eat24 revenue growth accelerated in the first quarter as we ramped marketing in the second half of last year and realized pricing power in the form of higher take rates in the first quarter</t>
        </r>
      </text>
    </comment>
    <comment ref="AP120" authorId="6">
      <text>
        <r>
          <rPr>
            <b/>
            <sz val="9"/>
            <color indexed="81"/>
            <rFont val="Tahoma"/>
            <family val="2"/>
          </rPr>
          <t>Hoffman, Brandon (Research):</t>
        </r>
        <r>
          <rPr>
            <sz val="9"/>
            <color indexed="81"/>
            <rFont val="Tahoma"/>
            <family val="2"/>
          </rPr>
          <t xml:space="preserve">
2Q call:
transaction revenue rose 19% year-over-year to $18.4 million for the second quarter. </t>
        </r>
        <r>
          <rPr>
            <b/>
            <sz val="9"/>
            <color indexed="81"/>
            <rFont val="Tahoma"/>
            <family val="2"/>
          </rPr>
          <t>At Eat24, order volume and take rates both improved</t>
        </r>
        <r>
          <rPr>
            <sz val="9"/>
            <color indexed="81"/>
            <rFont val="Tahoma"/>
            <family val="2"/>
          </rPr>
          <t xml:space="preserve"> year-over-year. Food orders from the Yelp transaction platform grew nearly 50% year-over-year, which is 3x to 4x faster than Yelp's overall traffic growth, </t>
        </r>
      </text>
    </comment>
    <comment ref="I124" authorId="3">
      <text>
        <r>
          <rPr>
            <b/>
            <sz val="9"/>
            <color indexed="81"/>
            <rFont val="Tahoma"/>
            <family val="2"/>
          </rPr>
          <t>Hyde, Owen (Research):</t>
        </r>
        <r>
          <rPr>
            <sz val="9"/>
            <color indexed="81"/>
            <rFont val="Tahoma"/>
            <family val="2"/>
          </rPr>
          <t xml:space="preserve">
Eat24
Yelp Reservations
Yelp Platform </t>
        </r>
      </text>
    </comment>
    <comment ref="AG124" authorId="3">
      <text>
        <r>
          <rPr>
            <b/>
            <sz val="9"/>
            <color indexed="81"/>
            <rFont val="Tahoma"/>
            <family val="2"/>
          </rPr>
          <t>Hyde, Owen (Research):</t>
        </r>
        <r>
          <rPr>
            <sz val="9"/>
            <color indexed="81"/>
            <rFont val="Tahoma"/>
            <family val="2"/>
          </rPr>
          <t xml:space="preserve">
Backed into from YoY Growth</t>
        </r>
      </text>
    </comment>
    <comment ref="AH124" authorId="3">
      <text>
        <r>
          <rPr>
            <b/>
            <sz val="9"/>
            <color indexed="81"/>
            <rFont val="Tahoma"/>
            <family val="2"/>
          </rPr>
          <t>Hyde, Owen (Research):</t>
        </r>
        <r>
          <rPr>
            <sz val="9"/>
            <color indexed="81"/>
            <rFont val="Tahoma"/>
            <family val="2"/>
          </rPr>
          <t xml:space="preserve">
Backed into from YoY Growth</t>
        </r>
      </text>
    </comment>
    <comment ref="AI124" authorId="3">
      <text>
        <r>
          <rPr>
            <b/>
            <sz val="9"/>
            <color indexed="81"/>
            <rFont val="Tahoma"/>
            <family val="2"/>
          </rPr>
          <t>Hyde, Owen (Research):</t>
        </r>
        <r>
          <rPr>
            <sz val="9"/>
            <color indexed="81"/>
            <rFont val="Tahoma"/>
            <family val="2"/>
          </rPr>
          <t xml:space="preserve">
 September integartion into search for food </t>
        </r>
      </text>
    </comment>
    <comment ref="AL124" authorId="3">
      <text>
        <r>
          <rPr>
            <b/>
            <sz val="9"/>
            <color indexed="81"/>
            <rFont val="Tahoma"/>
            <family val="2"/>
          </rPr>
          <t>Hyde, Owen (Research):</t>
        </r>
        <r>
          <rPr>
            <sz val="9"/>
            <color indexed="81"/>
            <rFont val="Tahoma"/>
            <family val="2"/>
          </rPr>
          <t xml:space="preserve">
2Q16 call: Total transaction volume grew almost 50% year-over-year in the second quarter, totaling nearly 6 million transactions and bookings via Yelp Eat24, Yelp Reservations and Yelp Platform.</t>
        </r>
      </text>
    </comment>
    <comment ref="AM124" authorId="3">
      <text>
        <r>
          <rPr>
            <b/>
            <sz val="9"/>
            <color indexed="81"/>
            <rFont val="Tahoma"/>
            <family val="2"/>
          </rPr>
          <t>Hyde, Owen (Research):</t>
        </r>
        <r>
          <rPr>
            <sz val="9"/>
            <color indexed="81"/>
            <rFont val="Tahoma"/>
            <family val="2"/>
          </rPr>
          <t xml:space="preserve">
2Q16 call: Total transaction volume grew almost 50% year-over-year in the second quarter, totaling nearly 6 million transactions and bookings via Yelp Eat24, Yelp Reservations and Yelp Platform.</t>
        </r>
      </text>
    </comment>
    <comment ref="AK127" authorId="3">
      <text>
        <r>
          <rPr>
            <b/>
            <sz val="9"/>
            <color indexed="81"/>
            <rFont val="Tahoma"/>
            <family val="2"/>
          </rPr>
          <t>Hyde, Owen (Research):</t>
        </r>
        <r>
          <rPr>
            <sz val="9"/>
            <color indexed="81"/>
            <rFont val="Tahoma"/>
            <family val="2"/>
          </rPr>
          <t xml:space="preserve">
1Q16 call: Transactions on Yelp platform grew over 150% year-over-year in the first quarter</t>
        </r>
      </text>
    </comment>
    <comment ref="AL127" authorId="3">
      <text>
        <r>
          <rPr>
            <b/>
            <sz val="9"/>
            <color indexed="81"/>
            <rFont val="Tahoma"/>
            <family val="2"/>
          </rPr>
          <t>Hyde, Owen (Research):</t>
        </r>
        <r>
          <rPr>
            <sz val="9"/>
            <color indexed="81"/>
            <rFont val="Tahoma"/>
            <family val="2"/>
          </rPr>
          <t xml:space="preserve">
Total transaction volume, which consists of transactions and bookings through Eat24, Yelp Reservations and Yelp Platform, grew 49% in the quarter over the same quarter in 2015.</t>
        </r>
      </text>
    </comment>
    <comment ref="AM127" authorId="3">
      <text>
        <r>
          <rPr>
            <b/>
            <sz val="9"/>
            <color indexed="81"/>
            <rFont val="Tahoma"/>
            <family val="2"/>
          </rPr>
          <t>Lanterman, Jon (Research):</t>
        </r>
        <r>
          <rPr>
            <sz val="9"/>
            <color indexed="81"/>
            <rFont val="Tahoma"/>
            <family val="2"/>
          </rPr>
          <t xml:space="preserve">
3Q:16 Press Release:
Total transaction volume, which consists of completed transactions and bookings through Eat24, Yelp Reservations and Yelp Platform, grew 39% in the quarter over the same quarter in 2015.
3Q:16 Earnings Call: The number of transactions on Yelp Platform was particularly strong, more than doubling year to year, demonstrating the power of connecting Yelp's large base of purchase-oriented consumers with great local businesses.</t>
        </r>
      </text>
    </comment>
    <comment ref="AN127" authorId="5">
      <text>
        <r>
          <rPr>
            <b/>
            <sz val="9"/>
            <color indexed="81"/>
            <rFont val="Tahoma"/>
            <family val="2"/>
          </rPr>
          <t>Liu, Kevin (Research):</t>
        </r>
        <r>
          <rPr>
            <sz val="9"/>
            <color indexed="81"/>
            <rFont val="Tahoma"/>
            <family val="2"/>
          </rPr>
          <t xml:space="preserve">
transaction volume lower due to negative impact from order volume; we made a number of changes to marketing</t>
        </r>
      </text>
    </comment>
    <comment ref="AO127" authorId="6">
      <text>
        <r>
          <rPr>
            <b/>
            <sz val="9"/>
            <color indexed="81"/>
            <rFont val="Tahoma"/>
            <family val="2"/>
          </rPr>
          <t>Hoffman, Brandon (Research):</t>
        </r>
        <r>
          <rPr>
            <sz val="9"/>
            <color indexed="81"/>
            <rFont val="Tahoma"/>
            <family val="2"/>
          </rPr>
          <t xml:space="preserve">
1Q17: "Our drive to make Yelp more transactional is showing progress, with transaction volumes on the Yelp site and app growing in excess of 50% year-to-year and now accounting for 30% of our total transaction volume."</t>
        </r>
      </text>
    </comment>
    <comment ref="AP127" authorId="6">
      <text>
        <r>
          <rPr>
            <b/>
            <sz val="9"/>
            <color indexed="81"/>
            <rFont val="Tahoma"/>
            <family val="2"/>
          </rPr>
          <t>Hoffman, Brandon (Research):</t>
        </r>
        <r>
          <rPr>
            <sz val="9"/>
            <color indexed="81"/>
            <rFont val="Tahoma"/>
            <family val="2"/>
          </rPr>
          <t xml:space="preserve">
2Q call:
Food orders from the Yelp transaction platform grew nearly 50% year-over-year</t>
        </r>
      </text>
    </comment>
    <comment ref="AQ127" authorId="6">
      <text>
        <r>
          <rPr>
            <b/>
            <sz val="9"/>
            <color indexed="81"/>
            <rFont val="Tahoma"/>
            <family val="2"/>
          </rPr>
          <t>Hoffman, Brandon (Research):</t>
        </r>
        <r>
          <rPr>
            <sz val="9"/>
            <color indexed="81"/>
            <rFont val="Tahoma"/>
            <family val="2"/>
          </rPr>
          <t xml:space="preserve">
3Q call: Yelp platform transaction volume increased 40%</t>
        </r>
      </text>
    </comment>
    <comment ref="AI130" authorId="3">
      <text>
        <r>
          <rPr>
            <b/>
            <sz val="9"/>
            <color indexed="81"/>
            <rFont val="Tahoma"/>
            <family val="2"/>
          </rPr>
          <t>Hyde, Owen (Research):</t>
        </r>
        <r>
          <rPr>
            <sz val="9"/>
            <color indexed="81"/>
            <rFont val="Tahoma"/>
            <family val="2"/>
          </rPr>
          <t xml:space="preserve">
MSe</t>
        </r>
      </text>
    </comment>
    <comment ref="AJ130" authorId="3">
      <text>
        <r>
          <rPr>
            <b/>
            <sz val="9"/>
            <color indexed="81"/>
            <rFont val="Tahoma"/>
            <family val="2"/>
          </rPr>
          <t>Hyde, Owen (Research):</t>
        </r>
        <r>
          <rPr>
            <sz val="9"/>
            <color indexed="81"/>
            <rFont val="Tahoma"/>
            <family val="2"/>
          </rPr>
          <t xml:space="preserve">
MSe</t>
        </r>
      </text>
    </comment>
    <comment ref="AK130" authorId="3">
      <text>
        <r>
          <rPr>
            <b/>
            <sz val="9"/>
            <color indexed="81"/>
            <rFont val="Tahoma"/>
            <family val="2"/>
          </rPr>
          <t>Hyde, Owen (Research):</t>
        </r>
        <r>
          <rPr>
            <sz val="9"/>
            <color indexed="81"/>
            <rFont val="Tahoma"/>
            <family val="2"/>
          </rPr>
          <t xml:space="preserve">
MSe</t>
        </r>
      </text>
    </comment>
    <comment ref="I136" authorId="3">
      <text>
        <r>
          <rPr>
            <b/>
            <sz val="9"/>
            <color indexed="81"/>
            <rFont val="Tahoma"/>
            <family val="2"/>
          </rPr>
          <t>Hyde, Owen (Research):</t>
        </r>
        <r>
          <rPr>
            <sz val="9"/>
            <color indexed="81"/>
            <rFont val="Tahoma"/>
            <family val="2"/>
          </rPr>
          <t xml:space="preserve">
</t>
        </r>
        <r>
          <rPr>
            <b/>
            <sz val="9"/>
            <color indexed="81"/>
            <rFont val="Tahoma"/>
            <family val="2"/>
          </rPr>
          <t xml:space="preserve">Other Services. </t>
        </r>
        <r>
          <rPr>
            <sz val="9"/>
            <color indexed="81"/>
            <rFont val="Tahoma"/>
            <family val="2"/>
          </rPr>
          <t xml:space="preserve">We generate revenue through partner arrangements and </t>
        </r>
        <r>
          <rPr>
            <b/>
            <sz val="9"/>
            <color indexed="81"/>
            <rFont val="Tahoma"/>
            <family val="2"/>
          </rPr>
          <t xml:space="preserve">monetization of remnant advertising inventory through third-party ad networks. </t>
        </r>
        <r>
          <rPr>
            <sz val="9"/>
            <color indexed="81"/>
            <rFont val="Tahoma"/>
            <family val="2"/>
          </rPr>
          <t>These partner arrangements include allowing third-party data providers to update business listing information on behalf of businesses and resale of our local advertising products by certain partners. 
We also generate revenue through content</t>
        </r>
        <r>
          <rPr>
            <b/>
            <sz val="9"/>
            <color indexed="81"/>
            <rFont val="Tahoma"/>
            <family val="2"/>
          </rPr>
          <t xml:space="preserve"> licensing arrangements under our “Yelp Knowledge” social analytics program.</t>
        </r>
        <r>
          <rPr>
            <sz val="9"/>
            <color indexed="81"/>
            <rFont val="Tahoma"/>
            <family val="2"/>
          </rPr>
          <t xml:space="preserve"> These partner arrangements include granting third-party data providers access to Yelp data and reviews for analysis.
</t>
        </r>
        <r>
          <rPr>
            <b/>
            <sz val="9"/>
            <color indexed="81"/>
            <rFont val="Tahoma"/>
            <family val="2"/>
          </rPr>
          <t xml:space="preserve">
Yelp Reservations and Nowait</t>
        </r>
      </text>
    </comment>
    <comment ref="AQ136" authorId="6">
      <text>
        <r>
          <rPr>
            <b/>
            <sz val="9"/>
            <color indexed="81"/>
            <rFont val="Tahoma"/>
            <family val="2"/>
          </rPr>
          <t>Hoffman, Brandon (Research):</t>
        </r>
        <r>
          <rPr>
            <sz val="9"/>
            <color indexed="81"/>
            <rFont val="Tahoma"/>
            <family val="2"/>
          </rPr>
          <t xml:space="preserve">
3Q call: subscription offerings contributed meaningful incremental revenue as we integrated and began to scale Yelp WiFi marketing
Other revenue, which is </t>
        </r>
        <r>
          <rPr>
            <b/>
            <sz val="9"/>
            <color indexed="81"/>
            <rFont val="Tahoma"/>
            <family val="2"/>
          </rPr>
          <t xml:space="preserve">now primarily subscriptions </t>
        </r>
        <r>
          <rPr>
            <sz val="9"/>
            <color indexed="81"/>
            <rFont val="Tahoma"/>
            <family val="2"/>
          </rPr>
          <t xml:space="preserve">from businesses using our on-location products, tripled year-to-year to $4.3 million in the third quarter. The </t>
        </r>
        <r>
          <rPr>
            <b/>
            <sz val="9"/>
            <color indexed="81"/>
            <rFont val="Tahoma"/>
            <family val="2"/>
          </rPr>
          <t>acquisitions of Nowait and Turnstyle earlier in 2017 account for just over half of that year-to-year gain</t>
        </r>
        <r>
          <rPr>
            <sz val="9"/>
            <color indexed="81"/>
            <rFont val="Tahoma"/>
            <family val="2"/>
          </rPr>
          <t>, with account growth at Yelp
Reservations driving revenue as well.</t>
        </r>
      </text>
    </comment>
    <comment ref="BQ136" authorId="6">
      <text>
        <r>
          <rPr>
            <b/>
            <sz val="9"/>
            <color indexed="81"/>
            <rFont val="Tahoma"/>
            <family val="2"/>
          </rPr>
          <t>Hoffman, Brandon (Research):</t>
        </r>
        <r>
          <rPr>
            <sz val="9"/>
            <color indexed="81"/>
            <rFont val="Tahoma"/>
            <family val="2"/>
          </rPr>
          <t xml:space="preserve">
1Q17 - TurnStyle acq April 2017 (9 mos) contributes 1-2mm rev
NoWait Mar 2017 (10 mos) contributes LSDmm (~2mm)</t>
        </r>
      </text>
    </comment>
    <comment ref="BR136" authorId="6">
      <text>
        <r>
          <rPr>
            <b/>
            <sz val="9"/>
            <color indexed="81"/>
            <rFont val="Tahoma"/>
            <family val="2"/>
          </rPr>
          <t>Hoffman, Brandon (Research):</t>
        </r>
        <r>
          <rPr>
            <sz val="9"/>
            <color indexed="81"/>
            <rFont val="Tahoma"/>
            <family val="2"/>
          </rPr>
          <t xml:space="preserve">
4Q: roughly 20mn </t>
        </r>
      </text>
    </comment>
    <comment ref="AP139" authorId="6">
      <text>
        <r>
          <rPr>
            <b/>
            <sz val="9"/>
            <color indexed="81"/>
            <rFont val="Tahoma"/>
            <family val="2"/>
          </rPr>
          <t>Hoffman, Brandon (Research):</t>
        </r>
        <r>
          <rPr>
            <sz val="9"/>
            <color indexed="81"/>
            <rFont val="Tahoma"/>
            <family val="2"/>
          </rPr>
          <t xml:space="preserve">
2Q call:
Subscription and other revenue jumps year-over-year and quarter-to-quarter, thanks to the acquisitions of Nowait and Turnstyle and an acceleration in revenue growth at Yelp Reservations into the high 50% range year-over-year</t>
        </r>
      </text>
    </comment>
    <comment ref="I144" authorId="3">
      <text>
        <r>
          <rPr>
            <b/>
            <sz val="9"/>
            <color indexed="81"/>
            <rFont val="Tahoma"/>
            <family val="2"/>
          </rPr>
          <t>Hyde, Owen (Research):</t>
        </r>
        <r>
          <rPr>
            <sz val="9"/>
            <color indexed="81"/>
            <rFont val="Tahoma"/>
            <family val="2"/>
          </rPr>
          <t xml:space="preserve">
Stndard take rate is 12.5%</t>
        </r>
      </text>
    </comment>
    <comment ref="AG144" authorId="2">
      <text>
        <r>
          <rPr>
            <b/>
            <sz val="9"/>
            <color indexed="81"/>
            <rFont val="Tahoma"/>
            <family val="2"/>
          </rPr>
          <t>Nowak, Brian (Research):</t>
        </r>
        <r>
          <rPr>
            <sz val="9"/>
            <color indexed="81"/>
            <rFont val="Tahoma"/>
            <family val="2"/>
          </rPr>
          <t xml:space="preserve">
10Q
1Q:15 earnings partial quarter
stump period about 5mn for the Q
For the entire period would have been 9mn or grow 63% y/y
acquired in February 2015</t>
        </r>
      </text>
    </comment>
    <comment ref="AH144" authorId="3">
      <text>
        <r>
          <rPr>
            <b/>
            <sz val="9"/>
            <color indexed="81"/>
            <rFont val="Tahoma"/>
            <family val="2"/>
          </rPr>
          <t>Hyde, Owen (Research):</t>
        </r>
        <r>
          <rPr>
            <sz val="9"/>
            <color indexed="81"/>
            <rFont val="Tahoma"/>
            <family val="2"/>
          </rPr>
          <t xml:space="preserve">
10mn per 2Q: conf call
up 72% yoy</t>
        </r>
      </text>
    </comment>
    <comment ref="AI144" authorId="3">
      <text>
        <r>
          <rPr>
            <b/>
            <sz val="9"/>
            <color indexed="81"/>
            <rFont val="Tahoma"/>
            <family val="2"/>
          </rPr>
          <t>Hyde, Owen (Research):</t>
        </r>
        <r>
          <rPr>
            <sz val="9"/>
            <color indexed="81"/>
            <rFont val="Tahoma"/>
            <family val="2"/>
          </rPr>
          <t xml:space="preserve">
3Q call: 
Eat24 revenue grew 73% in the third quarter and we been pleased with its performance.
Consumers come to try one searching for local businesses and are increasingly transacting directly on Yelp as demonstrated by approximately 170% year-over-year growth in the number of platform transactions in the third quarter.</t>
        </r>
      </text>
    </comment>
    <comment ref="AJ144" authorId="3">
      <text>
        <r>
          <rPr>
            <b/>
            <sz val="9"/>
            <color indexed="81"/>
            <rFont val="Tahoma"/>
            <family val="2"/>
          </rPr>
          <t>Hyde, Owen (Research):</t>
        </r>
        <r>
          <rPr>
            <sz val="9"/>
            <color indexed="81"/>
            <rFont val="Tahoma"/>
            <family val="2"/>
          </rPr>
          <t xml:space="preserve">
4Q15 Release: In the fourth quarter, Eat24 revenue growth accelerated, with revenue</t>
        </r>
        <r>
          <rPr>
            <b/>
            <sz val="9"/>
            <color indexed="81"/>
            <rFont val="Tahoma"/>
            <family val="2"/>
          </rPr>
          <t xml:space="preserve"> up approximately 80% compared to the fourth quarter of 2014.</t>
        </r>
        <r>
          <rPr>
            <sz val="9"/>
            <color indexed="81"/>
            <rFont val="Tahoma"/>
            <family val="2"/>
          </rPr>
          <t xml:space="preserve"> 
In the fourth quarter of 2015, over 15 million diners were seated through SeatMe, an increase of approximately 120% over the fourth quarter of 2014.
in september they integrated it into search and it drove faster growth</t>
        </r>
      </text>
    </comment>
    <comment ref="AK144" authorId="2">
      <text>
        <r>
          <rPr>
            <b/>
            <sz val="9"/>
            <color indexed="81"/>
            <rFont val="Tahoma"/>
            <family val="2"/>
          </rPr>
          <t>Nowak, Brian (Research):</t>
        </r>
        <r>
          <rPr>
            <sz val="9"/>
            <color indexed="81"/>
            <rFont val="Tahoma"/>
            <family val="2"/>
          </rPr>
          <t xml:space="preserve">
MSe
grub +20% sequentially 2013-2015</t>
        </r>
      </text>
    </comment>
    <comment ref="AL147" authorId="2">
      <text>
        <r>
          <rPr>
            <b/>
            <sz val="9"/>
            <color indexed="81"/>
            <rFont val="Tahoma"/>
            <family val="2"/>
          </rPr>
          <t>Nowak, Brian (Research):</t>
        </r>
        <r>
          <rPr>
            <sz val="9"/>
            <color indexed="81"/>
            <rFont val="Tahoma"/>
            <family val="2"/>
          </rPr>
          <t xml:space="preserve">
inorganic benefit from search integration</t>
        </r>
      </text>
    </comment>
    <comment ref="AM147" authorId="2">
      <text>
        <r>
          <rPr>
            <b/>
            <sz val="9"/>
            <color indexed="81"/>
            <rFont val="Tahoma"/>
            <family val="2"/>
          </rPr>
          <t>Nowak, Brian (Research):</t>
        </r>
        <r>
          <rPr>
            <sz val="9"/>
            <color indexed="81"/>
            <rFont val="Tahoma"/>
            <family val="2"/>
          </rPr>
          <t xml:space="preserve">
inorganic benefit from search integration</t>
        </r>
      </text>
    </comment>
    <comment ref="AN147" authorId="5">
      <text>
        <r>
          <rPr>
            <b/>
            <sz val="9"/>
            <color indexed="81"/>
            <rFont val="Tahoma"/>
            <family val="2"/>
          </rPr>
          <t>Liu, Kevin (Research):</t>
        </r>
        <r>
          <rPr>
            <sz val="9"/>
            <color indexed="81"/>
            <rFont val="Tahoma"/>
            <family val="2"/>
          </rPr>
          <t xml:space="preserve">
transaction volume lower due to negative impact from order volume; we made a number of changes to marketing</t>
        </r>
      </text>
    </comment>
    <comment ref="AO147" authorId="6">
      <text>
        <r>
          <rPr>
            <b/>
            <sz val="9"/>
            <color indexed="81"/>
            <rFont val="Tahoma"/>
            <family val="2"/>
          </rPr>
          <t>Hoffman, Brandon (Research):</t>
        </r>
        <r>
          <rPr>
            <sz val="9"/>
            <color indexed="81"/>
            <rFont val="Tahoma"/>
            <family val="2"/>
          </rPr>
          <t xml:space="preserve">
At Eat24, our product and marketing strategy delivered tangible results in the form of reacceleration and revenue growth in the first quarter. We believe we have significant opportunity to drive food order activity within Yelp while also promoting Eat24 via external marketing of its own
Year-over-year, Eat24 revenue growth accelerated in the first quarter as we ramped marketing in the second half of last year and realized pricing power in the form of higher take rates in the first quarter. Deeper integration with Yelp continues to drive growth through Eat24, and we see lots of room to expand transaction volume.</t>
        </r>
      </text>
    </comment>
    <comment ref="I150" authorId="3">
      <text>
        <r>
          <rPr>
            <b/>
            <sz val="9"/>
            <color indexed="81"/>
            <rFont val="Tahoma"/>
            <family val="2"/>
          </rPr>
          <t>Hyde, Owen (Research):</t>
        </r>
        <r>
          <rPr>
            <sz val="9"/>
            <color indexed="81"/>
            <rFont val="Tahoma"/>
            <family val="2"/>
          </rPr>
          <t xml:space="preserve">
Platform transactions 
Sale of Yelp Deals 
Gift Certificates. </t>
        </r>
      </text>
    </comment>
    <comment ref="I157" authorId="3">
      <text>
        <r>
          <rPr>
            <b/>
            <sz val="9"/>
            <color indexed="81"/>
            <rFont val="Tahoma"/>
            <family val="2"/>
          </rPr>
          <t>Hyde, Owen (Research):</t>
        </r>
        <r>
          <rPr>
            <sz val="9"/>
            <color indexed="81"/>
            <rFont val="Tahoma"/>
            <family val="2"/>
          </rPr>
          <t xml:space="preserve">
</t>
        </r>
        <r>
          <rPr>
            <b/>
            <sz val="9"/>
            <color indexed="81"/>
            <rFont val="Tahoma"/>
            <family val="2"/>
          </rPr>
          <t xml:space="preserve">Other Services. </t>
        </r>
        <r>
          <rPr>
            <sz val="9"/>
            <color indexed="81"/>
            <rFont val="Tahoma"/>
            <family val="2"/>
          </rPr>
          <t xml:space="preserve">We generate revenue through partner arrangements and </t>
        </r>
        <r>
          <rPr>
            <b/>
            <sz val="9"/>
            <color indexed="81"/>
            <rFont val="Tahoma"/>
            <family val="2"/>
          </rPr>
          <t xml:space="preserve">monetization of remnant advertising inventory through third-party ad networks. </t>
        </r>
        <r>
          <rPr>
            <sz val="9"/>
            <color indexed="81"/>
            <rFont val="Tahoma"/>
            <family val="2"/>
          </rPr>
          <t>These partner arrangements include allowing third-party data providers to update business listing information on behalf of businesses and resale of our local advertising products by certain partners. 
We also generate revenue through content</t>
        </r>
        <r>
          <rPr>
            <b/>
            <sz val="9"/>
            <color indexed="81"/>
            <rFont val="Tahoma"/>
            <family val="2"/>
          </rPr>
          <t xml:space="preserve"> licensing arrangements under our “Yelp Knowledge” social analytics program.</t>
        </r>
        <r>
          <rPr>
            <sz val="9"/>
            <color indexed="81"/>
            <rFont val="Tahoma"/>
            <family val="2"/>
          </rPr>
          <t xml:space="preserve"> These partner arrangements include granting third-party data providers access to Yelp data and reviews for analysis.</t>
        </r>
      </text>
    </comment>
    <comment ref="BQ157" authorId="6">
      <text>
        <r>
          <rPr>
            <b/>
            <sz val="9"/>
            <color indexed="81"/>
            <rFont val="Tahoma"/>
            <family val="2"/>
          </rPr>
          <t>Hoffman, Brandon (Research):</t>
        </r>
        <r>
          <rPr>
            <sz val="9"/>
            <color indexed="81"/>
            <rFont val="Tahoma"/>
            <family val="2"/>
          </rPr>
          <t xml:space="preserve">
1Q17 - TurnStyle acq April 2017 (9 mos) contributes 1-2mm rev
NoWait Mar 2017 (10 mos) contributes LSDmm (~2mm)</t>
        </r>
      </text>
    </comment>
    <comment ref="I192" authorId="2">
      <text>
        <r>
          <rPr>
            <b/>
            <sz val="12"/>
            <color indexed="81"/>
            <rFont val="Tahoma"/>
            <family val="2"/>
          </rPr>
          <t>Nowak, Brian (Research):</t>
        </r>
        <r>
          <rPr>
            <sz val="12"/>
            <color indexed="81"/>
            <rFont val="Tahoma"/>
            <family val="2"/>
          </rPr>
          <t xml:space="preserve">
Our customer repeat rate defined as the percentage of current customers who advertise with us in the past 12 months was 70% this past quarter,
consistent with the first quarter of 2012 and second quarter of last year.</t>
        </r>
      </text>
    </comment>
    <comment ref="M192" authorId="7">
      <text>
        <r>
          <rPr>
            <b/>
            <sz val="8"/>
            <color indexed="81"/>
            <rFont val="Tahoma"/>
            <family val="2"/>
          </rPr>
          <t>bnowak</t>
        </r>
        <r>
          <rPr>
            <sz val="8"/>
            <color indexed="81"/>
            <rFont val="Tahoma"/>
            <family val="2"/>
          </rPr>
          <t xml:space="preserve">
1Q2012 call: "our customer repeat rate was 70% this past quarter compared to 66% in the fourth quarter of 2011 and 72% in the first quarter of last year."</t>
        </r>
      </text>
    </comment>
    <comment ref="P192" authorId="7">
      <text>
        <r>
          <rPr>
            <b/>
            <sz val="8"/>
            <color indexed="81"/>
            <rFont val="Tahoma"/>
            <family val="2"/>
          </rPr>
          <t>bnowak</t>
        </r>
        <r>
          <rPr>
            <sz val="8"/>
            <color indexed="81"/>
            <rFont val="Tahoma"/>
            <family val="2"/>
          </rPr>
          <t xml:space="preserve">
1Q2012 call: "our customer repeat rate was 70% this past quarter compared to 66% in the fourth quarter of 2011 and 72% in the first quarter of last year."</t>
        </r>
      </text>
    </comment>
    <comment ref="Q192" authorId="7">
      <text>
        <r>
          <rPr>
            <b/>
            <sz val="8"/>
            <color indexed="81"/>
            <rFont val="Tahoma"/>
            <family val="2"/>
          </rPr>
          <t>bnowak</t>
        </r>
        <r>
          <rPr>
            <sz val="8"/>
            <color indexed="81"/>
            <rFont val="Tahoma"/>
            <family val="2"/>
          </rPr>
          <t xml:space="preserve">
1Q2012 call: "our customer repeat rate was 70% this past quarter compared to 66% in the fourth quarter of 2011 and 72% in the first quarter of last year."</t>
        </r>
      </text>
    </comment>
    <comment ref="R192" authorId="7">
      <text>
        <r>
          <rPr>
            <b/>
            <sz val="8"/>
            <color indexed="81"/>
            <rFont val="Tahoma"/>
            <family val="2"/>
          </rPr>
          <t>Jordan Monahan:</t>
        </r>
        <r>
          <rPr>
            <sz val="8"/>
            <color indexed="81"/>
            <rFont val="Tahoma"/>
            <family val="2"/>
          </rPr>
          <t xml:space="preserve">
2Q2012 call: "70% this past quarter, consistent with the first quarter of 2012 and second quarter of last year."</t>
        </r>
      </text>
    </comment>
    <comment ref="T192" authorId="7">
      <text>
        <r>
          <rPr>
            <b/>
            <sz val="8"/>
            <color indexed="81"/>
            <rFont val="Tahoma"/>
            <family val="2"/>
          </rPr>
          <t>Jordan Monahan:</t>
        </r>
        <r>
          <rPr>
            <sz val="8"/>
            <color indexed="81"/>
            <rFont val="Tahoma"/>
            <family val="2"/>
          </rPr>
          <t xml:space="preserve">
4Q2012 call</t>
        </r>
      </text>
    </comment>
    <comment ref="U192" authorId="7">
      <text>
        <r>
          <rPr>
            <b/>
            <sz val="8"/>
            <color indexed="81"/>
            <rFont val="Tahoma"/>
            <family val="2"/>
          </rPr>
          <t>Jordan Monahan:</t>
        </r>
        <r>
          <rPr>
            <sz val="8"/>
            <color indexed="81"/>
            <rFont val="Tahoma"/>
            <family val="2"/>
          </rPr>
          <t xml:space="preserve">
1Q2012 call: "our customer repeat rate was 70% this past quarter compared to 66% in the fourth quarter of 2011 and 72% in the first quarter of last year."</t>
        </r>
      </text>
    </comment>
    <comment ref="V192" authorId="7">
      <text>
        <r>
          <rPr>
            <b/>
            <sz val="8"/>
            <color indexed="81"/>
            <rFont val="Tahoma"/>
            <family val="2"/>
          </rPr>
          <t>Jordan Monahan:</t>
        </r>
        <r>
          <rPr>
            <sz val="8"/>
            <color indexed="81"/>
            <rFont val="Tahoma"/>
            <family val="2"/>
          </rPr>
          <t xml:space="preserve">
2Q2012 call: "70% this past quarter, consistent with the first quarter of 2012 and second quarter of last year."</t>
        </r>
      </text>
    </comment>
    <comment ref="W192" authorId="7">
      <text>
        <r>
          <rPr>
            <b/>
            <sz val="8"/>
            <color indexed="81"/>
            <rFont val="Tahoma"/>
            <family val="2"/>
          </rPr>
          <t>Jordan Monahan:</t>
        </r>
        <r>
          <rPr>
            <sz val="8"/>
            <color indexed="81"/>
            <rFont val="Tahoma"/>
            <family val="2"/>
          </rPr>
          <t xml:space="preserve">
3Q call: "72% this past quarter, which is up slightly from our historical range"</t>
        </r>
      </text>
    </comment>
    <comment ref="AD192" authorId="9">
      <text>
        <r>
          <rPr>
            <sz val="8"/>
            <color indexed="81"/>
            <rFont val="Tahoma"/>
            <family val="2"/>
          </rPr>
          <t>Source : Call transcript</t>
        </r>
        <r>
          <rPr>
            <sz val="8"/>
            <color indexed="81"/>
            <rFont val="Tahoma"/>
            <family val="2"/>
          </rPr>
          <t xml:space="preserve">
</t>
        </r>
      </text>
    </comment>
    <comment ref="AE192" authorId="9">
      <text>
        <r>
          <rPr>
            <sz val="8"/>
            <color indexed="81"/>
            <rFont val="Tahoma"/>
            <family val="2"/>
          </rPr>
          <t>Source : Call transcript</t>
        </r>
        <r>
          <rPr>
            <sz val="8"/>
            <color indexed="81"/>
            <rFont val="Tahoma"/>
            <family val="2"/>
          </rPr>
          <t xml:space="preserve">
</t>
        </r>
      </text>
    </comment>
    <comment ref="I199" authorId="2">
      <text>
        <r>
          <rPr>
            <b/>
            <sz val="9"/>
            <color indexed="81"/>
            <rFont val="Tahoma"/>
            <family val="2"/>
          </rPr>
          <t>Nowak, Brian (Research):</t>
        </r>
        <r>
          <rPr>
            <sz val="9"/>
            <color indexed="81"/>
            <rFont val="Tahoma"/>
            <family val="2"/>
          </rPr>
          <t xml:space="preserve">
customer they recognized revenue from in the past 3 months</t>
        </r>
      </text>
    </comment>
    <comment ref="Z199" authorId="0">
      <text>
        <r>
          <rPr>
            <b/>
            <sz val="8"/>
            <color indexed="81"/>
            <rFont val="Tahoma"/>
            <family val="2"/>
          </rPr>
          <t>monahjor:</t>
        </r>
        <r>
          <rPr>
            <sz val="8"/>
            <color indexed="81"/>
            <rFont val="Tahoma"/>
            <family val="2"/>
          </rPr>
          <t xml:space="preserve">
51.4</t>
        </r>
      </text>
    </comment>
    <comment ref="AB199" authorId="0">
      <text>
        <r>
          <rPr>
            <b/>
            <sz val="8"/>
            <color indexed="81"/>
            <rFont val="Tahoma"/>
            <family val="2"/>
          </rPr>
          <t>monahjor:</t>
        </r>
        <r>
          <rPr>
            <sz val="8"/>
            <color indexed="81"/>
            <rFont val="Tahoma"/>
            <family val="2"/>
          </rPr>
          <t xml:space="preserve">
2.2k from Qype Germany integration</t>
        </r>
      </text>
    </comment>
    <comment ref="Z202" authorId="0">
      <text>
        <r>
          <rPr>
            <b/>
            <sz val="8"/>
            <color indexed="81"/>
            <rFont val="Tahoma"/>
            <family val="2"/>
          </rPr>
          <t>monahjor:</t>
        </r>
        <r>
          <rPr>
            <sz val="8"/>
            <color indexed="81"/>
            <rFont val="Tahoma"/>
            <family val="2"/>
          </rPr>
          <t xml:space="preserve">
+62% Y/Y</t>
        </r>
      </text>
    </comment>
    <comment ref="AB202" authorId="0">
      <text>
        <r>
          <rPr>
            <b/>
            <sz val="8"/>
            <color indexed="81"/>
            <rFont val="Tahoma"/>
            <family val="2"/>
          </rPr>
          <t>monahjor:</t>
        </r>
        <r>
          <rPr>
            <sz val="8"/>
            <color indexed="81"/>
            <rFont val="Tahoma"/>
            <family val="2"/>
          </rPr>
          <t xml:space="preserve">
+64% ex-Qype</t>
        </r>
      </text>
    </comment>
    <comment ref="BN206" authorId="10">
      <text>
        <r>
          <rPr>
            <b/>
            <sz val="8"/>
            <color indexed="81"/>
            <rFont val="Tahoma"/>
            <family val="2"/>
          </rPr>
          <t>erhan:</t>
        </r>
        <r>
          <rPr>
            <sz val="8"/>
            <color indexed="81"/>
            <rFont val="Tahoma"/>
            <family val="2"/>
          </rPr>
          <t xml:space="preserve">
Assume unit pricing grows at rate of inflation absent specific pricing changes - however, mix shifts boost reported pricing as markets mature</t>
        </r>
      </text>
    </comment>
    <comment ref="AM218" authorId="4">
      <text>
        <r>
          <rPr>
            <b/>
            <sz val="9"/>
            <color indexed="81"/>
            <rFont val="Tahoma"/>
            <family val="2"/>
          </rPr>
          <t>Lanterman, Jon (Research):</t>
        </r>
        <r>
          <rPr>
            <sz val="9"/>
            <color indexed="81"/>
            <rFont val="Tahoma"/>
            <family val="2"/>
          </rPr>
          <t xml:space="preserve">
National 40% contrib to growth</t>
        </r>
      </text>
    </comment>
    <comment ref="AM219" authorId="4">
      <text>
        <r>
          <rPr>
            <b/>
            <sz val="9"/>
            <color indexed="81"/>
            <rFont val="Tahoma"/>
            <family val="2"/>
          </rPr>
          <t>Lanterman, Jon (Research):</t>
        </r>
        <r>
          <rPr>
            <sz val="9"/>
            <color indexed="81"/>
            <rFont val="Tahoma"/>
            <family val="2"/>
          </rPr>
          <t xml:space="preserve">
Self Serve 20% contrib to growth</t>
        </r>
      </text>
    </comment>
    <comment ref="AM220" authorId="4">
      <text>
        <r>
          <rPr>
            <b/>
            <sz val="9"/>
            <color indexed="81"/>
            <rFont val="Tahoma"/>
            <family val="2"/>
          </rPr>
          <t>Lanterman, Jon (Research):</t>
        </r>
        <r>
          <rPr>
            <sz val="9"/>
            <color indexed="81"/>
            <rFont val="Tahoma"/>
            <family val="2"/>
          </rPr>
          <t xml:space="preserve">
Local Local 40% contrib to growth</t>
        </r>
      </text>
    </comment>
    <comment ref="AN229" authorId="6">
      <text>
        <r>
          <rPr>
            <b/>
            <sz val="9"/>
            <color indexed="81"/>
            <rFont val="Tahoma"/>
            <family val="2"/>
          </rPr>
          <t>Hoffman, Brandon (Research):</t>
        </r>
        <r>
          <rPr>
            <sz val="9"/>
            <color indexed="81"/>
            <rFont val="Tahoma"/>
            <family val="2"/>
          </rPr>
          <t xml:space="preserve">
4Q16 National revenue growth accelerated into the high 30% range</t>
        </r>
      </text>
    </comment>
    <comment ref="AO229" authorId="6">
      <text>
        <r>
          <rPr>
            <b/>
            <sz val="9"/>
            <color indexed="81"/>
            <rFont val="Tahoma"/>
            <family val="2"/>
          </rPr>
          <t>Hoffman, Brandon (Research):</t>
        </r>
        <r>
          <rPr>
            <sz val="9"/>
            <color indexed="81"/>
            <rFont val="Tahoma"/>
            <family val="2"/>
          </rPr>
          <t xml:space="preserve">
1Q17 grew revenue in the high 20% range in the first quarter, led by revenue gains amongst franchise and mid-market customers, where we increased the penetration of customers' business locations</t>
        </r>
      </text>
    </comment>
    <comment ref="AP229" authorId="2">
      <text>
        <r>
          <rPr>
            <b/>
            <sz val="9"/>
            <color indexed="81"/>
            <rFont val="Tahoma"/>
            <family val="2"/>
          </rPr>
          <t>Nowak, Brian (Research):</t>
        </r>
        <r>
          <rPr>
            <sz val="9"/>
            <color indexed="81"/>
            <rFont val="Tahoma"/>
            <family val="2"/>
          </rPr>
          <t xml:space="preserve">
roughly 20%</t>
        </r>
      </text>
    </comment>
    <comment ref="AQ229" authorId="6">
      <text>
        <r>
          <rPr>
            <b/>
            <sz val="9"/>
            <color indexed="81"/>
            <rFont val="Tahoma"/>
            <family val="2"/>
          </rPr>
          <t>Hoffman, Brandon (Research):</t>
        </r>
        <r>
          <rPr>
            <sz val="9"/>
            <color indexed="81"/>
            <rFont val="Tahoma"/>
            <family val="2"/>
          </rPr>
          <t xml:space="preserve">
3Q call: National revenue grew in the low 20% range, with account growth in the high 20% led by the midmarket and
franchise customer segments</t>
        </r>
      </text>
    </comment>
    <comment ref="AK233" authorId="3">
      <text>
        <r>
          <rPr>
            <b/>
            <sz val="9"/>
            <color indexed="81"/>
            <rFont val="Tahoma"/>
            <family val="2"/>
          </rPr>
          <t>Hoffman, Brandon (Research):</t>
        </r>
        <r>
          <rPr>
            <sz val="9"/>
            <color indexed="81"/>
            <rFont val="Tahoma"/>
            <family val="2"/>
          </rPr>
          <t xml:space="preserve">
May 2016 JPM Conference: chains are 20% of revenue</t>
        </r>
      </text>
    </comment>
    <comment ref="AL233" authorId="6">
      <text>
        <r>
          <rPr>
            <b/>
            <sz val="9"/>
            <color indexed="81"/>
            <rFont val="Tahoma"/>
            <family val="2"/>
          </rPr>
          <t>Hoffman, Brandon (Research):</t>
        </r>
        <r>
          <rPr>
            <sz val="9"/>
            <color indexed="81"/>
            <rFont val="Tahoma"/>
            <family val="2"/>
          </rPr>
          <t xml:space="preserve">
2Q16  I think we said a quarter ago, that the multi-location national piece is about 20%.</t>
        </r>
      </text>
    </comment>
    <comment ref="AM233" authorId="6">
      <text>
        <r>
          <rPr>
            <b/>
            <sz val="9"/>
            <color indexed="81"/>
            <rFont val="Tahoma"/>
            <family val="2"/>
          </rPr>
          <t>Hoffman, Brandon (Research):</t>
        </r>
        <r>
          <rPr>
            <sz val="9"/>
            <color indexed="81"/>
            <rFont val="Tahoma"/>
            <family val="2"/>
          </rPr>
          <t xml:space="preserve">
3Q16  I don't think we've given out a percentage on the self-serve side to date, but national continues to be</t>
        </r>
        <r>
          <rPr>
            <b/>
            <sz val="9"/>
            <color indexed="81"/>
            <rFont val="Tahoma"/>
            <family val="2"/>
          </rPr>
          <t xml:space="preserve"> about 20% of revenue.</t>
        </r>
      </text>
    </comment>
    <comment ref="AO233" authorId="6">
      <text>
        <r>
          <rPr>
            <b/>
            <sz val="9"/>
            <color indexed="81"/>
            <rFont val="Tahoma"/>
            <family val="2"/>
          </rPr>
          <t>Hoffman, Brandon (Research):</t>
        </r>
        <r>
          <rPr>
            <sz val="9"/>
            <color indexed="81"/>
            <rFont val="Tahoma"/>
            <family val="2"/>
          </rPr>
          <t xml:space="preserve">
1Q17 The national channel, which accounts for just over 20% of total ad revenue</t>
        </r>
      </text>
    </comment>
    <comment ref="AQ233" authorId="6">
      <text>
        <r>
          <rPr>
            <b/>
            <sz val="9"/>
            <color indexed="81"/>
            <rFont val="Tahoma"/>
            <family val="2"/>
          </rPr>
          <t>Hoffman, Brandon (Research):</t>
        </r>
        <r>
          <rPr>
            <sz val="9"/>
            <color indexed="81"/>
            <rFont val="Tahoma"/>
            <family val="2"/>
          </rPr>
          <t xml:space="preserve">
3Q call: National at ~20%
Sep 2017 Citi Conference: about 20% of our business selling nationally</t>
        </r>
      </text>
    </comment>
    <comment ref="AL236" authorId="6">
      <text>
        <r>
          <rPr>
            <b/>
            <sz val="9"/>
            <color indexed="81"/>
            <rFont val="Tahoma"/>
            <family val="2"/>
          </rPr>
          <t>Hoffman, Brandon (Research):</t>
        </r>
        <r>
          <rPr>
            <sz val="9"/>
            <color indexed="81"/>
            <rFont val="Tahoma"/>
            <family val="2"/>
          </rPr>
          <t xml:space="preserve">
2Q16 self-serve channel where revenue more than doubled from the year-ago quarter</t>
        </r>
      </text>
    </comment>
    <comment ref="AM236" authorId="6">
      <text>
        <r>
          <rPr>
            <b/>
            <sz val="9"/>
            <color indexed="81"/>
            <rFont val="Tahoma"/>
            <family val="2"/>
          </rPr>
          <t>Hoffman, Brandon (Research):</t>
        </r>
        <r>
          <rPr>
            <sz val="9"/>
            <color indexed="81"/>
            <rFont val="Tahoma"/>
            <family val="2"/>
          </rPr>
          <t xml:space="preserve">
3Q16 self-serve channel was a real highlight in the quarter, with self-serve </t>
        </r>
        <r>
          <rPr>
            <b/>
            <sz val="9"/>
            <color indexed="81"/>
            <rFont val="Tahoma"/>
            <family val="2"/>
          </rPr>
          <t xml:space="preserve">revenue more than doubling year over year, </t>
        </r>
        <r>
          <rPr>
            <sz val="9"/>
            <color indexed="81"/>
            <rFont val="Tahoma"/>
            <family val="2"/>
          </rPr>
          <t>and year-to-year growth accelerating from the second quarter to the third quarter</t>
        </r>
      </text>
    </comment>
    <comment ref="AN236" authorId="6">
      <text>
        <r>
          <rPr>
            <b/>
            <sz val="9"/>
            <color indexed="81"/>
            <rFont val="Tahoma"/>
            <family val="2"/>
          </rPr>
          <t>Hoffman, Brandon (Research):</t>
        </r>
        <r>
          <rPr>
            <sz val="9"/>
            <color indexed="81"/>
            <rFont val="Tahoma"/>
            <family val="2"/>
          </rPr>
          <t xml:space="preserve">
4Q16 self-serve revenue doubled versus the fourth quarter of 2015.</t>
        </r>
      </text>
    </comment>
    <comment ref="AO236" authorId="6">
      <text>
        <r>
          <rPr>
            <b/>
            <sz val="9"/>
            <color indexed="81"/>
            <rFont val="Tahoma"/>
            <family val="2"/>
          </rPr>
          <t>Hoffman, Brandon (Research):</t>
        </r>
        <r>
          <rPr>
            <sz val="9"/>
            <color indexed="81"/>
            <rFont val="Tahoma"/>
            <family val="2"/>
          </rPr>
          <t xml:space="preserve">
1Q17 The self-serve business continues to be our fastest-growing channel, with year-to-year </t>
        </r>
        <r>
          <rPr>
            <b/>
            <sz val="9"/>
            <color indexed="81"/>
            <rFont val="Tahoma"/>
            <family val="2"/>
          </rPr>
          <t>revenue growth in the 70% range i</t>
        </r>
        <r>
          <rPr>
            <sz val="9"/>
            <color indexed="81"/>
            <rFont val="Tahoma"/>
            <family val="2"/>
          </rPr>
          <t>n the first quarter. In addition to the new customer momentum that Jeremy described, we saw double-digit increases in revenue per customer in self-serve,</t>
        </r>
      </text>
    </comment>
    <comment ref="AP236" authorId="6">
      <text>
        <r>
          <rPr>
            <b/>
            <sz val="9"/>
            <color indexed="81"/>
            <rFont val="Tahoma"/>
            <family val="2"/>
          </rPr>
          <t>Hoffman, Brandon (Research):</t>
        </r>
        <r>
          <rPr>
            <sz val="9"/>
            <color indexed="81"/>
            <rFont val="Tahoma"/>
            <family val="2"/>
          </rPr>
          <t xml:space="preserve">
2Q call: same growth rate as 1Q</t>
        </r>
      </text>
    </comment>
    <comment ref="AQ236" authorId="6">
      <text>
        <r>
          <rPr>
            <b/>
            <sz val="9"/>
            <color indexed="81"/>
            <rFont val="Tahoma"/>
            <family val="2"/>
          </rPr>
          <t>Hoffman, Brandon (Research):</t>
        </r>
        <r>
          <rPr>
            <sz val="9"/>
            <color indexed="81"/>
            <rFont val="Tahoma"/>
            <family val="2"/>
          </rPr>
          <t xml:space="preserve">
3Q call: self-serve revenue grew in the 50% range year-to-year, driven by an increase in customer count</t>
        </r>
      </text>
    </comment>
    <comment ref="AR236" authorId="6">
      <text>
        <r>
          <rPr>
            <b/>
            <sz val="9"/>
            <color indexed="81"/>
            <rFont val="Tahoma"/>
            <family val="2"/>
          </rPr>
          <t>Hoffman, Brandon (Research):</t>
        </r>
        <r>
          <rPr>
            <sz val="9"/>
            <color indexed="81"/>
            <rFont val="Tahoma"/>
            <family val="2"/>
          </rPr>
          <t xml:space="preserve">
4Q: SS grew over 50% for 2017… below that for 4Q. 
SS grew fastest, followed by national, then local</t>
        </r>
      </text>
    </comment>
    <comment ref="AG240" authorId="4">
      <text>
        <r>
          <rPr>
            <b/>
            <sz val="9"/>
            <color indexed="81"/>
            <rFont val="Tahoma"/>
            <family val="2"/>
          </rPr>
          <t>Lanterman, Jon (Research):</t>
        </r>
        <r>
          <rPr>
            <sz val="9"/>
            <color indexed="81"/>
            <rFont val="Tahoma"/>
            <family val="2"/>
          </rPr>
          <t xml:space="preserve">
up 150% y/y as a percentage of total</t>
        </r>
      </text>
    </comment>
    <comment ref="AH240" authorId="4">
      <text>
        <r>
          <rPr>
            <b/>
            <sz val="9"/>
            <color indexed="81"/>
            <rFont val="Tahoma"/>
            <family val="2"/>
          </rPr>
          <t>Lanterman, Jon (Research):</t>
        </r>
        <r>
          <rPr>
            <sz val="9"/>
            <color indexed="81"/>
            <rFont val="Tahoma"/>
            <family val="2"/>
          </rPr>
          <t xml:space="preserve">
up 150% y/y as a percentage of total</t>
        </r>
      </text>
    </comment>
    <comment ref="AI240" authorId="4">
      <text>
        <r>
          <rPr>
            <b/>
            <sz val="9"/>
            <color indexed="81"/>
            <rFont val="Tahoma"/>
            <family val="2"/>
          </rPr>
          <t>Lanterman, Jon (Research):</t>
        </r>
        <r>
          <rPr>
            <sz val="9"/>
            <color indexed="81"/>
            <rFont val="Tahoma"/>
            <family val="2"/>
          </rPr>
          <t xml:space="preserve">
up 150% y/y as a percentage of total</t>
        </r>
      </text>
    </comment>
    <comment ref="AL240" authorId="6">
      <text>
        <r>
          <rPr>
            <b/>
            <sz val="9"/>
            <color indexed="81"/>
            <rFont val="Tahoma"/>
            <family val="2"/>
          </rPr>
          <t>Hoffman, Brandon (Research):</t>
        </r>
        <r>
          <rPr>
            <sz val="9"/>
            <color indexed="81"/>
            <rFont val="Tahoma"/>
            <family val="2"/>
          </rPr>
          <t xml:space="preserve">
2Q16 the self-serve is pretty small</t>
        </r>
      </text>
    </comment>
    <comment ref="AQ240" authorId="6">
      <text>
        <r>
          <rPr>
            <b/>
            <sz val="9"/>
            <color indexed="81"/>
            <rFont val="Tahoma"/>
            <family val="2"/>
          </rPr>
          <t>Hoffman, Brandon (Research):</t>
        </r>
        <r>
          <rPr>
            <sz val="9"/>
            <color indexed="81"/>
            <rFont val="Tahoma"/>
            <family val="2"/>
          </rPr>
          <t xml:space="preserve">
3Q call: SS at ~10%</t>
        </r>
      </text>
    </comment>
    <comment ref="AM243" authorId="6">
      <text>
        <r>
          <rPr>
            <b/>
            <sz val="9"/>
            <color indexed="81"/>
            <rFont val="Tahoma"/>
            <family val="2"/>
          </rPr>
          <t>Hoffman, Brandon (Research):</t>
        </r>
        <r>
          <rPr>
            <sz val="9"/>
            <color indexed="81"/>
            <rFont val="Tahoma"/>
            <family val="2"/>
          </rPr>
          <t xml:space="preserve">
3Q16 we got quite a stalking horse on the 41% growth of the local business right now
</t>
        </r>
      </text>
    </comment>
    <comment ref="AN243" authorId="6">
      <text>
        <r>
          <rPr>
            <b/>
            <sz val="9"/>
            <color indexed="81"/>
            <rFont val="Tahoma"/>
            <family val="2"/>
          </rPr>
          <t>Hoffman, Brandon (Research):</t>
        </r>
        <r>
          <rPr>
            <sz val="9"/>
            <color indexed="81"/>
            <rFont val="Tahoma"/>
            <family val="2"/>
          </rPr>
          <t xml:space="preserve">
4Q16 our core local SMB revenue grew roughly </t>
        </r>
        <r>
          <rPr>
            <b/>
            <sz val="9"/>
            <color indexed="81"/>
            <rFont val="Tahoma"/>
            <family val="2"/>
          </rPr>
          <t>30% year-over-year.</t>
        </r>
      </text>
    </comment>
    <comment ref="AO243" authorId="6">
      <text>
        <r>
          <rPr>
            <b/>
            <sz val="9"/>
            <color indexed="81"/>
            <rFont val="Tahoma"/>
            <family val="2"/>
          </rPr>
          <t>Hoffman, Brandon (Research):</t>
        </r>
        <r>
          <rPr>
            <sz val="9"/>
            <color indexed="81"/>
            <rFont val="Tahoma"/>
            <family val="2"/>
          </rPr>
          <t xml:space="preserve">
1Q17 Starting with the channel we call local, which includes revenue generated by our outbound sales teams, revenue in this channel grew at a</t>
        </r>
        <r>
          <rPr>
            <b/>
            <sz val="9"/>
            <color indexed="81"/>
            <rFont val="Tahoma"/>
            <family val="2"/>
          </rPr>
          <t xml:space="preserve"> high teens rate </t>
        </r>
        <r>
          <rPr>
            <sz val="9"/>
            <color indexed="81"/>
            <rFont val="Tahoma"/>
            <family val="2"/>
          </rPr>
          <t>in the first quarter propelled by year-to-year growth in the number of paying accounts as well as high single-digit growth in revenue per customer</t>
        </r>
      </text>
    </comment>
    <comment ref="AQ243" authorId="6">
      <text>
        <r>
          <rPr>
            <b/>
            <sz val="9"/>
            <color indexed="81"/>
            <rFont val="Tahoma"/>
            <family val="2"/>
          </rPr>
          <t>Hoffman, Brandon (Research):</t>
        </r>
        <r>
          <rPr>
            <sz val="9"/>
            <color indexed="81"/>
            <rFont val="Tahoma"/>
            <family val="2"/>
          </rPr>
          <t xml:space="preserve">
3Q call: Local revenue grew 15% year-to-year in the third quarter with an even balance between account growth
and growth in revenue per account</t>
        </r>
      </text>
    </comment>
    <comment ref="AQ247" authorId="6">
      <text>
        <r>
          <rPr>
            <b/>
            <sz val="9"/>
            <color indexed="81"/>
            <rFont val="Tahoma"/>
            <family val="2"/>
          </rPr>
          <t>Hoffman, Brandon (Research):</t>
        </r>
        <r>
          <rPr>
            <sz val="9"/>
            <color indexed="81"/>
            <rFont val="Tahoma"/>
            <family val="2"/>
          </rPr>
          <t xml:space="preserve">
3Q call: local at 70%
Sep 2017 Citi Conference: 70% or so is selling through local sales team</t>
        </r>
      </text>
    </comment>
    <comment ref="AG260" authorId="2">
      <text>
        <r>
          <rPr>
            <b/>
            <sz val="9"/>
            <color indexed="81"/>
            <rFont val="Tahoma"/>
            <family val="2"/>
          </rPr>
          <t>Nowak, Brian (Research):</t>
        </r>
        <r>
          <rPr>
            <sz val="9"/>
            <color indexed="81"/>
            <rFont val="Tahoma"/>
            <family val="2"/>
          </rPr>
          <t xml:space="preserve">
ex EAT 24</t>
        </r>
      </text>
    </comment>
    <comment ref="AH260" authorId="2">
      <text>
        <r>
          <rPr>
            <b/>
            <sz val="9"/>
            <color indexed="81"/>
            <rFont val="Tahoma"/>
            <family val="2"/>
          </rPr>
          <t>Nowak, Brian (Research):</t>
        </r>
        <r>
          <rPr>
            <sz val="9"/>
            <color indexed="81"/>
            <rFont val="Tahoma"/>
            <family val="2"/>
          </rPr>
          <t xml:space="preserve">
ex EAT 24</t>
        </r>
      </text>
    </comment>
    <comment ref="AI260" authorId="2">
      <text>
        <r>
          <rPr>
            <b/>
            <sz val="9"/>
            <color indexed="81"/>
            <rFont val="Tahoma"/>
            <family val="2"/>
          </rPr>
          <t>Nowak, Brian (Research):</t>
        </r>
        <r>
          <rPr>
            <sz val="9"/>
            <color indexed="81"/>
            <rFont val="Tahoma"/>
            <family val="2"/>
          </rPr>
          <t xml:space="preserve">
ex EAT 24</t>
        </r>
      </text>
    </comment>
    <comment ref="AJ260" authorId="2">
      <text>
        <r>
          <rPr>
            <b/>
            <sz val="9"/>
            <color indexed="81"/>
            <rFont val="Tahoma"/>
            <family val="2"/>
          </rPr>
          <t>Nowak, Brian (Research):</t>
        </r>
        <r>
          <rPr>
            <sz val="9"/>
            <color indexed="81"/>
            <rFont val="Tahoma"/>
            <family val="2"/>
          </rPr>
          <t xml:space="preserve">
ex EAT 24</t>
        </r>
      </text>
    </comment>
    <comment ref="AK260" authorId="2">
      <text>
        <r>
          <rPr>
            <b/>
            <sz val="9"/>
            <color indexed="81"/>
            <rFont val="Tahoma"/>
            <family val="2"/>
          </rPr>
          <t>Nowak, Brian (Research):</t>
        </r>
        <r>
          <rPr>
            <sz val="9"/>
            <color indexed="81"/>
            <rFont val="Tahoma"/>
            <family val="2"/>
          </rPr>
          <t xml:space="preserve">
ex EAT 24</t>
        </r>
      </text>
    </comment>
    <comment ref="AL260" authorId="2">
      <text>
        <r>
          <rPr>
            <b/>
            <sz val="9"/>
            <color indexed="81"/>
            <rFont val="Tahoma"/>
            <family val="2"/>
          </rPr>
          <t>Nowak, Brian (Research):</t>
        </r>
        <r>
          <rPr>
            <sz val="9"/>
            <color indexed="81"/>
            <rFont val="Tahoma"/>
            <family val="2"/>
          </rPr>
          <t xml:space="preserve">
ex EAT 24</t>
        </r>
      </text>
    </comment>
    <comment ref="AM260" authorId="2">
      <text>
        <r>
          <rPr>
            <b/>
            <sz val="9"/>
            <color indexed="81"/>
            <rFont val="Tahoma"/>
            <family val="2"/>
          </rPr>
          <t>Nowak, Brian (Research):</t>
        </r>
        <r>
          <rPr>
            <sz val="9"/>
            <color indexed="81"/>
            <rFont val="Tahoma"/>
            <family val="2"/>
          </rPr>
          <t xml:space="preserve">
ex EAT 24</t>
        </r>
      </text>
    </comment>
    <comment ref="AN260" authorId="2">
      <text>
        <r>
          <rPr>
            <b/>
            <sz val="9"/>
            <color indexed="81"/>
            <rFont val="Tahoma"/>
            <family val="2"/>
          </rPr>
          <t>Nowak, Brian (Research):</t>
        </r>
        <r>
          <rPr>
            <sz val="9"/>
            <color indexed="81"/>
            <rFont val="Tahoma"/>
            <family val="2"/>
          </rPr>
          <t xml:space="preserve">
ex EAT 24</t>
        </r>
      </text>
    </comment>
    <comment ref="AO260" authorId="2">
      <text>
        <r>
          <rPr>
            <b/>
            <sz val="9"/>
            <color indexed="81"/>
            <rFont val="Tahoma"/>
            <family val="2"/>
          </rPr>
          <t>Nowak, Brian (Research):</t>
        </r>
        <r>
          <rPr>
            <sz val="9"/>
            <color indexed="81"/>
            <rFont val="Tahoma"/>
            <family val="2"/>
          </rPr>
          <t xml:space="preserve">
ex EAT 24</t>
        </r>
      </text>
    </comment>
    <comment ref="AP260" authorId="2">
      <text>
        <r>
          <rPr>
            <b/>
            <sz val="9"/>
            <color indexed="81"/>
            <rFont val="Tahoma"/>
            <family val="2"/>
          </rPr>
          <t>Nowak, Brian (Research):</t>
        </r>
        <r>
          <rPr>
            <sz val="9"/>
            <color indexed="81"/>
            <rFont val="Tahoma"/>
            <family val="2"/>
          </rPr>
          <t xml:space="preserve">
ex EAT 24</t>
        </r>
      </text>
    </comment>
    <comment ref="AQ260" authorId="2">
      <text>
        <r>
          <rPr>
            <b/>
            <sz val="9"/>
            <color indexed="81"/>
            <rFont val="Tahoma"/>
            <family val="2"/>
          </rPr>
          <t>Nowak, Brian (Research):</t>
        </r>
        <r>
          <rPr>
            <sz val="9"/>
            <color indexed="81"/>
            <rFont val="Tahoma"/>
            <family val="2"/>
          </rPr>
          <t xml:space="preserve">
ex EAT 24</t>
        </r>
      </text>
    </comment>
    <comment ref="AR260" authorId="2">
      <text>
        <r>
          <rPr>
            <b/>
            <sz val="9"/>
            <color indexed="81"/>
            <rFont val="Tahoma"/>
            <family val="2"/>
          </rPr>
          <t>Nowak, Brian (Research):</t>
        </r>
        <r>
          <rPr>
            <sz val="9"/>
            <color indexed="81"/>
            <rFont val="Tahoma"/>
            <family val="2"/>
          </rPr>
          <t xml:space="preserve">
ex EAT 24</t>
        </r>
      </text>
    </comment>
    <comment ref="AS260" authorId="2">
      <text>
        <r>
          <rPr>
            <b/>
            <sz val="9"/>
            <color indexed="81"/>
            <rFont val="Tahoma"/>
            <family val="2"/>
          </rPr>
          <t>Nowak, Brian (Research):</t>
        </r>
        <r>
          <rPr>
            <sz val="9"/>
            <color indexed="81"/>
            <rFont val="Tahoma"/>
            <family val="2"/>
          </rPr>
          <t xml:space="preserve">
ex EAT 24</t>
        </r>
      </text>
    </comment>
    <comment ref="AT260" authorId="2">
      <text>
        <r>
          <rPr>
            <b/>
            <sz val="9"/>
            <color indexed="81"/>
            <rFont val="Tahoma"/>
            <family val="2"/>
          </rPr>
          <t>Nowak, Brian (Research):</t>
        </r>
        <r>
          <rPr>
            <sz val="9"/>
            <color indexed="81"/>
            <rFont val="Tahoma"/>
            <family val="2"/>
          </rPr>
          <t xml:space="preserve">
ex EAT 24</t>
        </r>
      </text>
    </comment>
    <comment ref="AU260" authorId="2">
      <text>
        <r>
          <rPr>
            <b/>
            <sz val="9"/>
            <color indexed="81"/>
            <rFont val="Tahoma"/>
            <family val="2"/>
          </rPr>
          <t>Nowak, Brian (Research):</t>
        </r>
        <r>
          <rPr>
            <sz val="9"/>
            <color indexed="81"/>
            <rFont val="Tahoma"/>
            <family val="2"/>
          </rPr>
          <t xml:space="preserve">
ex EAT 24</t>
        </r>
      </text>
    </comment>
    <comment ref="AV260" authorId="2">
      <text>
        <r>
          <rPr>
            <b/>
            <sz val="9"/>
            <color indexed="81"/>
            <rFont val="Tahoma"/>
            <family val="2"/>
          </rPr>
          <t>Nowak, Brian (Research):</t>
        </r>
        <r>
          <rPr>
            <sz val="9"/>
            <color indexed="81"/>
            <rFont val="Tahoma"/>
            <family val="2"/>
          </rPr>
          <t xml:space="preserve">
ex EAT 24</t>
        </r>
      </text>
    </comment>
    <comment ref="AW260" authorId="2">
      <text>
        <r>
          <rPr>
            <b/>
            <sz val="9"/>
            <color indexed="81"/>
            <rFont val="Tahoma"/>
            <family val="2"/>
          </rPr>
          <t>Nowak, Brian (Research):</t>
        </r>
        <r>
          <rPr>
            <sz val="9"/>
            <color indexed="81"/>
            <rFont val="Tahoma"/>
            <family val="2"/>
          </rPr>
          <t xml:space="preserve">
ex EAT 24</t>
        </r>
      </text>
    </comment>
    <comment ref="AX260" authorId="2">
      <text>
        <r>
          <rPr>
            <b/>
            <sz val="9"/>
            <color indexed="81"/>
            <rFont val="Tahoma"/>
            <family val="2"/>
          </rPr>
          <t>Nowak, Brian (Research):</t>
        </r>
        <r>
          <rPr>
            <sz val="9"/>
            <color indexed="81"/>
            <rFont val="Tahoma"/>
            <family val="2"/>
          </rPr>
          <t xml:space="preserve">
ex EAT 24</t>
        </r>
      </text>
    </comment>
    <comment ref="AY260" authorId="2">
      <text>
        <r>
          <rPr>
            <b/>
            <sz val="9"/>
            <color indexed="81"/>
            <rFont val="Tahoma"/>
            <family val="2"/>
          </rPr>
          <t>Nowak, Brian (Research):</t>
        </r>
        <r>
          <rPr>
            <sz val="9"/>
            <color indexed="81"/>
            <rFont val="Tahoma"/>
            <family val="2"/>
          </rPr>
          <t xml:space="preserve">
ex EAT 24</t>
        </r>
      </text>
    </comment>
    <comment ref="AZ260" authorId="2">
      <text>
        <r>
          <rPr>
            <b/>
            <sz val="9"/>
            <color indexed="81"/>
            <rFont val="Tahoma"/>
            <family val="2"/>
          </rPr>
          <t>Nowak, Brian (Research):</t>
        </r>
        <r>
          <rPr>
            <sz val="9"/>
            <color indexed="81"/>
            <rFont val="Tahoma"/>
            <family val="2"/>
          </rPr>
          <t xml:space="preserve">
ex EAT 24</t>
        </r>
      </text>
    </comment>
    <comment ref="BA260" authorId="2">
      <text>
        <r>
          <rPr>
            <b/>
            <sz val="9"/>
            <color indexed="81"/>
            <rFont val="Tahoma"/>
            <family val="2"/>
          </rPr>
          <t>Nowak, Brian (Research):</t>
        </r>
        <r>
          <rPr>
            <sz val="9"/>
            <color indexed="81"/>
            <rFont val="Tahoma"/>
            <family val="2"/>
          </rPr>
          <t xml:space="preserve">
ex EAT 24</t>
        </r>
      </text>
    </comment>
    <comment ref="BB260" authorId="2">
      <text>
        <r>
          <rPr>
            <b/>
            <sz val="9"/>
            <color indexed="81"/>
            <rFont val="Tahoma"/>
            <family val="2"/>
          </rPr>
          <t>Nowak, Brian (Research):</t>
        </r>
        <r>
          <rPr>
            <sz val="9"/>
            <color indexed="81"/>
            <rFont val="Tahoma"/>
            <family val="2"/>
          </rPr>
          <t xml:space="preserve">
ex EAT 24</t>
        </r>
      </text>
    </comment>
    <comment ref="BC260" authorId="2">
      <text>
        <r>
          <rPr>
            <b/>
            <sz val="9"/>
            <color indexed="81"/>
            <rFont val="Tahoma"/>
            <family val="2"/>
          </rPr>
          <t>Nowak, Brian (Research):</t>
        </r>
        <r>
          <rPr>
            <sz val="9"/>
            <color indexed="81"/>
            <rFont val="Tahoma"/>
            <family val="2"/>
          </rPr>
          <t xml:space="preserve">
ex EAT 24</t>
        </r>
      </text>
    </comment>
    <comment ref="BD260" authorId="2">
      <text>
        <r>
          <rPr>
            <b/>
            <sz val="9"/>
            <color indexed="81"/>
            <rFont val="Tahoma"/>
            <family val="2"/>
          </rPr>
          <t>Nowak, Brian (Research):</t>
        </r>
        <r>
          <rPr>
            <sz val="9"/>
            <color indexed="81"/>
            <rFont val="Tahoma"/>
            <family val="2"/>
          </rPr>
          <t xml:space="preserve">
ex EAT 24</t>
        </r>
      </text>
    </comment>
    <comment ref="AQ275" authorId="6">
      <text>
        <r>
          <rPr>
            <b/>
            <sz val="9"/>
            <color indexed="81"/>
            <rFont val="Tahoma"/>
            <family val="2"/>
          </rPr>
          <t>Hoffman, Brandon (Research):</t>
        </r>
        <r>
          <rPr>
            <sz val="9"/>
            <color indexed="81"/>
            <rFont val="Tahoma"/>
            <family val="2"/>
          </rPr>
          <t xml:space="preserve">
3Q call: We're starting to see positive impacts on advertiser satisfaction, particularly
in our largest revenue vertical, home and local services, which is </t>
        </r>
        <r>
          <rPr>
            <b/>
            <sz val="9"/>
            <color indexed="81"/>
            <rFont val="Tahoma"/>
            <family val="2"/>
          </rPr>
          <t xml:space="preserve">growing approximately 5 percentage points faster </t>
        </r>
        <r>
          <rPr>
            <sz val="9"/>
            <color indexed="81"/>
            <rFont val="Tahoma"/>
            <family val="2"/>
          </rPr>
          <t xml:space="preserve">than all other revenue categories combined, </t>
        </r>
        <r>
          <rPr>
            <b/>
            <sz val="9"/>
            <color indexed="81"/>
            <rFont val="Tahoma"/>
            <family val="2"/>
          </rPr>
          <t>thanks in part to Request a Quote</t>
        </r>
      </text>
    </comment>
    <comment ref="AM297" authorId="4">
      <text>
        <r>
          <rPr>
            <b/>
            <sz val="9"/>
            <color indexed="81"/>
            <rFont val="Tahoma"/>
            <family val="2"/>
          </rPr>
          <t>Lanterman, Jon (Research):</t>
        </r>
        <r>
          <rPr>
            <sz val="9"/>
            <color indexed="81"/>
            <rFont val="Tahoma"/>
            <family val="2"/>
          </rPr>
          <t xml:space="preserve">
Accounted for 75% of % growth</t>
        </r>
      </text>
    </comment>
    <comment ref="AC312" authorId="8">
      <text>
        <r>
          <rPr>
            <b/>
            <sz val="9"/>
            <color indexed="81"/>
            <rFont val="Tahoma"/>
            <family val="2"/>
          </rPr>
          <t>Monahan, Jordan (Research):</t>
        </r>
        <r>
          <rPr>
            <sz val="9"/>
            <color indexed="81"/>
            <rFont val="Tahoma"/>
            <family val="2"/>
          </rPr>
          <t xml:space="preserve">
31.1</t>
        </r>
      </text>
    </comment>
    <comment ref="AG313" authorId="2">
      <text>
        <r>
          <rPr>
            <b/>
            <sz val="9"/>
            <color indexed="81"/>
            <rFont val="Tahoma"/>
            <family val="2"/>
          </rPr>
          <t>Nowak, Brian (Research):</t>
        </r>
        <r>
          <rPr>
            <sz val="9"/>
            <color indexed="81"/>
            <rFont val="Tahoma"/>
            <family val="2"/>
          </rPr>
          <t xml:space="preserve">
4Q:14 conf call…expect to increase sequentailly</t>
        </r>
      </text>
    </comment>
    <comment ref="AA314" authorId="0">
      <text>
        <r>
          <rPr>
            <b/>
            <sz val="8"/>
            <color indexed="81"/>
            <rFont val="Tahoma"/>
            <family val="2"/>
          </rPr>
          <t>monahjor:</t>
        </r>
        <r>
          <rPr>
            <sz val="8"/>
            <color indexed="81"/>
            <rFont val="Tahoma"/>
            <family val="2"/>
          </rPr>
          <t xml:space="preserve">
+98% Y/Y</t>
        </r>
      </text>
    </comment>
    <comment ref="AB316" authorId="0">
      <text>
        <r>
          <rPr>
            <b/>
            <sz val="8"/>
            <color indexed="81"/>
            <rFont val="Tahoma"/>
            <family val="2"/>
          </rPr>
          <t>monahjor:</t>
        </r>
        <r>
          <rPr>
            <sz val="8"/>
            <color indexed="81"/>
            <rFont val="Tahoma"/>
            <family val="2"/>
          </rPr>
          <t xml:space="preserve">
21% per 4Q call</t>
        </r>
      </text>
    </comment>
    <comment ref="AC316" authorId="8">
      <text>
        <r>
          <rPr>
            <b/>
            <sz val="9"/>
            <color indexed="81"/>
            <rFont val="Tahoma"/>
            <family val="2"/>
          </rPr>
          <t>Monahan, Jordan (Research):</t>
        </r>
        <r>
          <rPr>
            <sz val="9"/>
            <color indexed="81"/>
            <rFont val="Tahoma"/>
            <family val="2"/>
          </rPr>
          <t xml:space="preserve">
32%</t>
        </r>
      </text>
    </comment>
    <comment ref="I320" authorId="1">
      <text>
        <r>
          <rPr>
            <b/>
            <sz val="9"/>
            <color indexed="81"/>
            <rFont val="Tahoma"/>
            <family val="2"/>
          </rPr>
          <t>Soyer-Osman, Erhan (Research):</t>
        </r>
        <r>
          <rPr>
            <sz val="9"/>
            <color indexed="81"/>
            <rFont val="Tahoma"/>
            <family val="2"/>
          </rPr>
          <t xml:space="preserve">
Desktop+Mobile Web</t>
        </r>
      </text>
    </comment>
    <comment ref="AA320" authorId="0">
      <text>
        <r>
          <rPr>
            <b/>
            <sz val="8"/>
            <color indexed="81"/>
            <rFont val="Tahoma"/>
            <family val="2"/>
          </rPr>
          <t>monahjor:</t>
        </r>
        <r>
          <rPr>
            <sz val="8"/>
            <color indexed="81"/>
            <rFont val="Tahoma"/>
            <family val="2"/>
          </rPr>
          <t xml:space="preserve">
18% of traffic from outside the US</t>
        </r>
      </text>
    </comment>
    <comment ref="AJ320" authorId="3">
      <text>
        <r>
          <rPr>
            <b/>
            <sz val="9"/>
            <color indexed="81"/>
            <rFont val="Tahoma"/>
            <family val="2"/>
          </rPr>
          <t>Hyde, Owen (Research):</t>
        </r>
        <r>
          <rPr>
            <sz val="9"/>
            <color indexed="81"/>
            <rFont val="Tahoma"/>
            <family val="2"/>
          </rPr>
          <t xml:space="preserve">
traffic one thing I would
call out is that in Q4, as we've seen in previous years, there is usually a little bit of it dipped or less growth or even a negative growth in traffic and
app usage and whatnot in Q4 so I'd caution people to take that into consideration as we go to the holidays again we've seen it in prior years I want
to make sure people recognized that they have it.</t>
        </r>
      </text>
    </comment>
    <comment ref="I333" authorId="1">
      <text>
        <r>
          <rPr>
            <b/>
            <sz val="9"/>
            <color indexed="81"/>
            <rFont val="Tahoma"/>
            <family val="2"/>
          </rPr>
          <t>Soyer-Osman, Erhan (Research):</t>
        </r>
        <r>
          <rPr>
            <sz val="9"/>
            <color indexed="81"/>
            <rFont val="Tahoma"/>
            <family val="2"/>
          </rPr>
          <t xml:space="preserve">
Desktop</t>
        </r>
      </text>
    </comment>
    <comment ref="AF333" authorId="2">
      <text>
        <r>
          <rPr>
            <b/>
            <sz val="9"/>
            <color indexed="81"/>
            <rFont val="Tahoma"/>
            <family val="2"/>
          </rPr>
          <t>Nowak, Brian (Research):</t>
        </r>
        <r>
          <rPr>
            <sz val="9"/>
            <color indexed="81"/>
            <rFont val="Tahoma"/>
            <family val="2"/>
          </rPr>
          <t xml:space="preserve">
average desktop users supposed to be flat yoy at 78mn</t>
        </r>
      </text>
    </comment>
    <comment ref="I341" authorId="1">
      <text>
        <r>
          <rPr>
            <b/>
            <sz val="9"/>
            <color indexed="81"/>
            <rFont val="Tahoma"/>
            <family val="2"/>
          </rPr>
          <t>Soyer-Osman, Erhan (Research):</t>
        </r>
        <r>
          <rPr>
            <sz val="9"/>
            <color indexed="81"/>
            <rFont val="Tahoma"/>
            <family val="2"/>
          </rPr>
          <t xml:space="preserve">
Mobile Web + Mobile App</t>
        </r>
      </text>
    </comment>
    <comment ref="X341" authorId="0">
      <text>
        <r>
          <rPr>
            <b/>
            <sz val="8"/>
            <color indexed="81"/>
            <rFont val="Tahoma"/>
            <family val="2"/>
          </rPr>
          <t>monahjor:</t>
        </r>
        <r>
          <rPr>
            <sz val="8"/>
            <color indexed="81"/>
            <rFont val="Tahoma"/>
            <family val="2"/>
          </rPr>
          <t xml:space="preserve">
33m mobile users
45% of total searches from mobile
36% of ad impressions on mobile</t>
        </r>
      </text>
    </comment>
    <comment ref="Y341" authorId="0">
      <text>
        <r>
          <rPr>
            <b/>
            <sz val="8"/>
            <color indexed="81"/>
            <rFont val="Tahoma"/>
            <family val="2"/>
          </rPr>
          <t>monahjor:</t>
        </r>
        <r>
          <rPr>
            <sz val="8"/>
            <color indexed="81"/>
            <rFont val="Tahoma"/>
            <family val="2"/>
          </rPr>
          <t xml:space="preserve">
45% of total searches from mobile
36% of ad impressions on mobile</t>
        </r>
      </text>
    </comment>
    <comment ref="Z341" authorId="0">
      <text>
        <r>
          <rPr>
            <b/>
            <sz val="8"/>
            <color indexed="81"/>
            <rFont val="Tahoma"/>
            <family val="2"/>
          </rPr>
          <t>monahjor:</t>
        </r>
        <r>
          <rPr>
            <sz val="8"/>
            <color indexed="81"/>
            <rFont val="Tahoma"/>
            <family val="2"/>
          </rPr>
          <t xml:space="preserve">
RESTATED
</t>
        </r>
      </text>
    </comment>
    <comment ref="AA341" authorId="0">
      <text>
        <r>
          <rPr>
            <b/>
            <sz val="8"/>
            <color indexed="81"/>
            <rFont val="Tahoma"/>
            <family val="2"/>
          </rPr>
          <t>monahjor:</t>
        </r>
        <r>
          <rPr>
            <sz val="8"/>
            <color indexed="81"/>
            <rFont val="Tahoma"/>
            <family val="2"/>
          </rPr>
          <t xml:space="preserve">
NOT YET RESTATED for Qype
62% of total searches from  mobile
46% of ad impressions on mobile</t>
        </r>
      </text>
    </comment>
    <comment ref="AB341" authorId="0">
      <text>
        <r>
          <rPr>
            <b/>
            <sz val="8"/>
            <color indexed="81"/>
            <rFont val="Tahoma"/>
            <family val="2"/>
          </rPr>
          <t>monahjor:</t>
        </r>
        <r>
          <rPr>
            <sz val="8"/>
            <color indexed="81"/>
            <rFont val="Tahoma"/>
            <family val="2"/>
          </rPr>
          <t xml:space="preserve">
53m mobile users
30% of new reviews were contributed through mobile devices </t>
        </r>
      </text>
    </comment>
    <comment ref="AC341" authorId="8">
      <text>
        <r>
          <rPr>
            <b/>
            <sz val="9"/>
            <color indexed="81"/>
            <rFont val="Tahoma"/>
            <family val="2"/>
          </rPr>
          <t>Monahan, Jordan (Research):</t>
        </r>
        <r>
          <rPr>
            <sz val="9"/>
            <color indexed="81"/>
            <rFont val="Tahoma"/>
            <family val="2"/>
          </rPr>
          <t xml:space="preserve">
60% of searches from mobile per 1Q call
49% of ad impressions on mobile</t>
        </r>
      </text>
    </comment>
    <comment ref="X346" authorId="0">
      <text>
        <r>
          <rPr>
            <b/>
            <sz val="8"/>
            <color indexed="81"/>
            <rFont val="Tahoma"/>
            <family val="2"/>
          </rPr>
          <t>monahjor:</t>
        </r>
        <r>
          <rPr>
            <sz val="8"/>
            <color indexed="81"/>
            <rFont val="Tahoma"/>
            <family val="2"/>
          </rPr>
          <t xml:space="preserve">
Assume restated for Qype</t>
        </r>
      </text>
    </comment>
    <comment ref="AB349" authorId="0">
      <text>
        <r>
          <rPr>
            <b/>
            <sz val="8"/>
            <color indexed="81"/>
            <rFont val="Tahoma"/>
            <family val="2"/>
          </rPr>
          <t>monahjor:</t>
        </r>
        <r>
          <rPr>
            <sz val="8"/>
            <color indexed="81"/>
            <rFont val="Tahoma"/>
            <family val="2"/>
          </rPr>
          <t xml:space="preserve">
42.3 per 4Q call</t>
        </r>
      </text>
    </comment>
    <comment ref="AG350" authorId="2">
      <text>
        <r>
          <rPr>
            <b/>
            <sz val="9"/>
            <color indexed="81"/>
            <rFont val="Tahoma"/>
            <family val="2"/>
          </rPr>
          <t>Nowak, Brian (Research):</t>
        </r>
        <r>
          <rPr>
            <sz val="9"/>
            <color indexed="81"/>
            <rFont val="Tahoma"/>
            <family val="2"/>
          </rPr>
          <t xml:space="preserve">
1Q:15 google impact in Europe</t>
        </r>
      </text>
    </comment>
    <comment ref="Z357" authorId="0">
      <text>
        <r>
          <rPr>
            <b/>
            <sz val="8"/>
            <color indexed="81"/>
            <rFont val="Tahoma"/>
            <family val="2"/>
          </rPr>
          <t>monahjor:</t>
        </r>
        <r>
          <rPr>
            <sz val="8"/>
            <color indexed="81"/>
            <rFont val="Tahoma"/>
            <family val="2"/>
          </rPr>
          <t xml:space="preserve">
46% of total searches from Yelp mobile app</t>
        </r>
      </text>
    </comment>
    <comment ref="AC357" authorId="8">
      <text>
        <r>
          <rPr>
            <b/>
            <sz val="9"/>
            <color indexed="81"/>
            <rFont val="Tahoma"/>
            <family val="2"/>
          </rPr>
          <t>Monahan, Jordan (Research):</t>
        </r>
        <r>
          <rPr>
            <sz val="9"/>
            <color indexed="81"/>
            <rFont val="Tahoma"/>
            <family val="2"/>
          </rPr>
          <t xml:space="preserve">
10.9 per 1Q call</t>
        </r>
      </text>
    </comment>
    <comment ref="AF357" authorId="2">
      <text>
        <r>
          <rPr>
            <b/>
            <sz val="9"/>
            <color indexed="81"/>
            <rFont val="Tahoma"/>
            <family val="2"/>
          </rPr>
          <t>Nowak, Brian (Research):</t>
        </r>
        <r>
          <rPr>
            <sz val="9"/>
            <color indexed="81"/>
            <rFont val="Tahoma"/>
            <family val="2"/>
          </rPr>
          <t xml:space="preserve">
14.5mn, up 40% YoY 2/15 rob</t>
        </r>
      </text>
    </comment>
    <comment ref="AF360" authorId="2">
      <text>
        <r>
          <rPr>
            <b/>
            <sz val="9"/>
            <color indexed="81"/>
            <rFont val="Tahoma"/>
            <family val="2"/>
          </rPr>
          <t>Nowak, Brian (Research):</t>
        </r>
        <r>
          <rPr>
            <sz val="9"/>
            <color indexed="81"/>
            <rFont val="Tahoma"/>
            <family val="2"/>
          </rPr>
          <t xml:space="preserve">
up40% YoY</t>
        </r>
      </text>
    </comment>
    <comment ref="AA371" authorId="0">
      <text>
        <r>
          <rPr>
            <b/>
            <sz val="8"/>
            <color indexed="81"/>
            <rFont val="Tahoma"/>
            <family val="2"/>
          </rPr>
          <t>monahjor:</t>
        </r>
        <r>
          <rPr>
            <sz val="8"/>
            <color indexed="81"/>
            <rFont val="Tahoma"/>
            <family val="2"/>
          </rPr>
          <t xml:space="preserve">
8% of reviews from outside the US</t>
        </r>
      </text>
    </comment>
    <comment ref="AB371" authorId="0">
      <text>
        <r>
          <rPr>
            <b/>
            <sz val="8"/>
            <color indexed="81"/>
            <rFont val="Tahoma"/>
            <family val="2"/>
          </rPr>
          <t>monahjor:</t>
        </r>
        <r>
          <rPr>
            <sz val="8"/>
            <color indexed="81"/>
            <rFont val="Tahoma"/>
            <family val="2"/>
          </rPr>
          <t xml:space="preserve">
1.8m reviews from Qype</t>
        </r>
      </text>
    </comment>
    <comment ref="AB374" authorId="0">
      <text>
        <r>
          <rPr>
            <b/>
            <sz val="8"/>
            <color indexed="81"/>
            <rFont val="Tahoma"/>
            <family val="2"/>
          </rPr>
          <t>monahjor:</t>
        </r>
        <r>
          <rPr>
            <sz val="8"/>
            <color indexed="81"/>
            <rFont val="Tahoma"/>
            <family val="2"/>
          </rPr>
          <t xml:space="preserve">
+42% ex-Qype reviews</t>
        </r>
      </text>
    </comment>
    <comment ref="AL416" authorId="4">
      <text>
        <r>
          <rPr>
            <b/>
            <sz val="9"/>
            <color indexed="81"/>
            <rFont val="Tahoma"/>
            <family val="2"/>
          </rPr>
          <t>Lanterman, Jon (Research):</t>
        </r>
        <r>
          <rPr>
            <sz val="9"/>
            <color indexed="81"/>
            <rFont val="Tahoma"/>
            <family val="2"/>
          </rPr>
          <t xml:space="preserve">
3Q Transcript: There are 3 million-plus that have claimed their presence on Yelp</t>
        </r>
      </text>
    </comment>
    <comment ref="AM416" authorId="4">
      <text>
        <r>
          <rPr>
            <b/>
            <sz val="9"/>
            <color indexed="81"/>
            <rFont val="Tahoma"/>
            <family val="2"/>
          </rPr>
          <t>Lanterman, Jon (Research):</t>
        </r>
        <r>
          <rPr>
            <sz val="9"/>
            <color indexed="81"/>
            <rFont val="Tahoma"/>
            <family val="2"/>
          </rPr>
          <t xml:space="preserve">
3Q Transcript: 3.2 million local businesses have claimed their presence on Yelp</t>
        </r>
      </text>
    </comment>
    <comment ref="AA422" authorId="10">
      <text>
        <r>
          <rPr>
            <b/>
            <sz val="8"/>
            <color indexed="81"/>
            <rFont val="Tahoma"/>
            <family val="2"/>
          </rPr>
          <t>erhan:</t>
        </r>
        <r>
          <rPr>
            <sz val="8"/>
            <color indexed="81"/>
            <rFont val="Tahoma"/>
            <family val="2"/>
          </rPr>
          <t xml:space="preserve">
from cantor conf:
at the end of Q3, we had about 57,000 advertisers on the platform out of a huge ocean of roughly 18 million to 20 million in the US. And so we have seen great traction with advertisers.</t>
        </r>
      </text>
    </comment>
    <comment ref="AB446" authorId="0">
      <text>
        <r>
          <rPr>
            <b/>
            <sz val="8"/>
            <color indexed="81"/>
            <rFont val="Tahoma"/>
            <family val="2"/>
          </rPr>
          <t>monahjor:</t>
        </r>
        <r>
          <rPr>
            <sz val="8"/>
            <color indexed="81"/>
            <rFont val="Tahoma"/>
            <family val="2"/>
          </rPr>
          <t xml:space="preserve">
117</t>
        </r>
      </text>
    </comment>
    <comment ref="AB452" authorId="0">
      <text>
        <r>
          <rPr>
            <b/>
            <sz val="8"/>
            <color indexed="81"/>
            <rFont val="Tahoma"/>
            <family val="2"/>
          </rPr>
          <t>monahjor:</t>
        </r>
        <r>
          <rPr>
            <sz val="8"/>
            <color indexed="81"/>
            <rFont val="Tahoma"/>
            <family val="2"/>
          </rPr>
          <t xml:space="preserve">
61</t>
        </r>
      </text>
    </comment>
    <comment ref="AG472" authorId="2">
      <text>
        <r>
          <rPr>
            <b/>
            <sz val="9"/>
            <color indexed="81"/>
            <rFont val="Tahoma"/>
            <family val="2"/>
          </rPr>
          <t>Nowak, Brian (Research):</t>
        </r>
        <r>
          <rPr>
            <sz val="9"/>
            <color indexed="81"/>
            <rFont val="Tahoma"/>
            <family val="2"/>
          </rPr>
          <t xml:space="preserve">
1Q impacted by programmatic</t>
        </r>
      </text>
    </comment>
    <comment ref="AI472" authorId="3">
      <text>
        <r>
          <rPr>
            <b/>
            <sz val="9"/>
            <color indexed="81"/>
            <rFont val="Tahoma"/>
            <family val="2"/>
          </rPr>
          <t>Hyde, Owen (Research):</t>
        </r>
        <r>
          <rPr>
            <sz val="9"/>
            <color indexed="81"/>
            <rFont val="Tahoma"/>
            <family val="2"/>
          </rPr>
          <t xml:space="preserve">
2Q:15 Phasing out brand by end of 2015.
Expect 10mn for 2H</t>
        </r>
      </text>
    </comment>
    <comment ref="AJ472" authorId="3">
      <text>
        <r>
          <rPr>
            <b/>
            <sz val="9"/>
            <color indexed="81"/>
            <rFont val="Tahoma"/>
            <family val="2"/>
          </rPr>
          <t xml:space="preserve">Hyde, Owen (Research):
</t>
        </r>
        <r>
          <rPr>
            <sz val="9"/>
            <color indexed="81"/>
            <rFont val="Tahoma"/>
            <family val="2"/>
          </rPr>
          <t>3Q15: Not giving specific guide on branded business
Given that the outperformance in the quarter was around brand and that you basically I think kept your implied Q4 revenue guidance relatively stable, it's sort of implies that you are taking down your local ad revenue</t>
        </r>
        <r>
          <rPr>
            <b/>
            <sz val="9"/>
            <color indexed="81"/>
            <rFont val="Tahoma"/>
            <family val="2"/>
          </rPr>
          <t xml:space="preserve">
</t>
        </r>
        <r>
          <rPr>
            <sz val="9"/>
            <color indexed="81"/>
            <rFont val="Tahoma"/>
            <family val="2"/>
          </rPr>
          <t xml:space="preserve">
2Q:15 Phasing out brand by end of 2015.
Expect 10mn for 2H</t>
        </r>
      </text>
    </comment>
    <comment ref="BO472" authorId="3">
      <text>
        <r>
          <rPr>
            <b/>
            <sz val="9"/>
            <color indexed="81"/>
            <rFont val="Tahoma"/>
            <family val="2"/>
          </rPr>
          <t>Hyde, Owen (Research):</t>
        </r>
        <r>
          <rPr>
            <sz val="9"/>
            <color indexed="81"/>
            <rFont val="Tahoma"/>
            <family val="2"/>
          </rPr>
          <t xml:space="preserve">
2Q:15 Phasing out brand by end of 2015</t>
        </r>
      </text>
    </comment>
    <comment ref="Z473" authorId="0">
      <text>
        <r>
          <rPr>
            <b/>
            <sz val="8"/>
            <color indexed="81"/>
            <rFont val="Tahoma"/>
            <family val="2"/>
          </rPr>
          <t>monahjor:</t>
        </r>
        <r>
          <rPr>
            <sz val="8"/>
            <color indexed="81"/>
            <rFont val="Tahoma"/>
            <family val="2"/>
          </rPr>
          <t xml:space="preserve">
+24% Y/Y</t>
        </r>
      </text>
    </comment>
    <comment ref="AI473" authorId="3">
      <text>
        <r>
          <rPr>
            <b/>
            <sz val="9"/>
            <color indexed="81"/>
            <rFont val="Tahoma"/>
            <family val="2"/>
          </rPr>
          <t>Hyde, Owen (Research):</t>
        </r>
        <r>
          <rPr>
            <sz val="9"/>
            <color indexed="81"/>
            <rFont val="Tahoma"/>
            <family val="2"/>
          </rPr>
          <t xml:space="preserve">
3Q call: We saw higher-than-expected brand advertising revenue in the third quarter due to lower than expected contact cancellations.</t>
        </r>
      </text>
    </comment>
    <comment ref="AH478" authorId="1">
      <text>
        <r>
          <rPr>
            <b/>
            <sz val="9"/>
            <color indexed="81"/>
            <rFont val="Tahoma"/>
            <family val="2"/>
          </rPr>
          <t>Soyer-Osman, Erhan (Research):</t>
        </r>
        <r>
          <rPr>
            <sz val="9"/>
            <color indexed="81"/>
            <rFont val="Tahoma"/>
            <family val="2"/>
          </rPr>
          <t xml:space="preserve">
1Q:15 expect brand advertising revenue to be up sequentially as we've seen stronger pipe lines in Q2 and expect to open up mobile
inventory and programatic advertising this year.</t>
        </r>
      </text>
    </comment>
    <comment ref="X480" authorId="7">
      <text>
        <r>
          <rPr>
            <b/>
            <sz val="8"/>
            <color indexed="81"/>
            <rFont val="Tahoma"/>
            <family val="2"/>
          </rPr>
          <t>Jordan Monahan:</t>
        </r>
        <r>
          <rPr>
            <sz val="8"/>
            <color indexed="81"/>
            <rFont val="Tahoma"/>
            <family val="2"/>
          </rPr>
          <t xml:space="preserve">
one-time issues in 4Q2012 related to ad sales reps</t>
        </r>
      </text>
    </comment>
    <comment ref="AI490" authorId="3">
      <text>
        <r>
          <rPr>
            <b/>
            <sz val="9"/>
            <color indexed="81"/>
            <rFont val="Tahoma"/>
            <family val="2"/>
          </rPr>
          <t>Hyde, Owen (Research):</t>
        </r>
        <r>
          <rPr>
            <sz val="9"/>
            <color indexed="81"/>
            <rFont val="Tahoma"/>
            <family val="2"/>
          </rPr>
          <t xml:space="preserve">
3Q15 call: Revenue from CPC advertisers down 52% of local revenue in the third quarter.</t>
        </r>
      </text>
    </comment>
    <comment ref="X491" authorId="7">
      <text>
        <r>
          <rPr>
            <b/>
            <sz val="8"/>
            <color indexed="81"/>
            <rFont val="Tahoma"/>
            <family val="2"/>
          </rPr>
          <t>Jordan Monahan:</t>
        </r>
        <r>
          <rPr>
            <sz val="8"/>
            <color indexed="81"/>
            <rFont val="Tahoma"/>
            <family val="2"/>
          </rPr>
          <t xml:space="preserve">
+82% Y/Y ex-Qype</t>
        </r>
      </text>
    </comment>
    <comment ref="Z491" authorId="0">
      <text>
        <r>
          <rPr>
            <b/>
            <sz val="8"/>
            <color indexed="81"/>
            <rFont val="Tahoma"/>
            <family val="2"/>
          </rPr>
          <t>monahjor:</t>
        </r>
        <r>
          <rPr>
            <sz val="8"/>
            <color indexed="81"/>
            <rFont val="Tahoma"/>
            <family val="2"/>
          </rPr>
          <t xml:space="preserve">
+77% Y/Y</t>
        </r>
      </text>
    </comment>
    <comment ref="AK499" authorId="3">
      <text>
        <r>
          <rPr>
            <b/>
            <sz val="9"/>
            <color indexed="81"/>
            <rFont val="Tahoma"/>
            <family val="2"/>
          </rPr>
          <t>Hyde, Owen (Research):</t>
        </r>
        <r>
          <rPr>
            <sz val="9"/>
            <color indexed="81"/>
            <rFont val="Tahoma"/>
            <family val="2"/>
          </rPr>
          <t xml:space="preserve">
Fullfillment improvement</t>
        </r>
      </text>
    </comment>
    <comment ref="AL499" authorId="3">
      <text>
        <r>
          <rPr>
            <b/>
            <sz val="9"/>
            <color indexed="81"/>
            <rFont val="Tahoma"/>
            <family val="2"/>
          </rPr>
          <t>Hyde, Owen (Research):</t>
        </r>
        <r>
          <rPr>
            <sz val="9"/>
            <color indexed="81"/>
            <rFont val="Tahoma"/>
            <family val="2"/>
          </rPr>
          <t xml:space="preserve">
Fullfillment improvement</t>
        </r>
      </text>
    </comment>
    <comment ref="U506" authorId="3">
      <text>
        <r>
          <rPr>
            <b/>
            <sz val="9"/>
            <color indexed="81"/>
            <rFont val="Tahoma"/>
            <family val="2"/>
          </rPr>
          <t>Hyde, Owen (Research):</t>
        </r>
        <r>
          <rPr>
            <sz val="9"/>
            <color indexed="81"/>
            <rFont val="Tahoma"/>
            <family val="2"/>
          </rPr>
          <t xml:space="preserve">
MSe</t>
        </r>
      </text>
    </comment>
    <comment ref="V506" authorId="3">
      <text>
        <r>
          <rPr>
            <b/>
            <sz val="9"/>
            <color indexed="81"/>
            <rFont val="Tahoma"/>
            <family val="2"/>
          </rPr>
          <t>Hyde, Owen (Research):</t>
        </r>
        <r>
          <rPr>
            <sz val="9"/>
            <color indexed="81"/>
            <rFont val="Tahoma"/>
            <family val="2"/>
          </rPr>
          <t xml:space="preserve">
MSe</t>
        </r>
      </text>
    </comment>
    <comment ref="W506" authorId="3">
      <text>
        <r>
          <rPr>
            <b/>
            <sz val="9"/>
            <color indexed="81"/>
            <rFont val="Tahoma"/>
            <family val="2"/>
          </rPr>
          <t>Hyde, Owen (Research):</t>
        </r>
        <r>
          <rPr>
            <sz val="9"/>
            <color indexed="81"/>
            <rFont val="Tahoma"/>
            <family val="2"/>
          </rPr>
          <t xml:space="preserve">
MSe</t>
        </r>
      </text>
    </comment>
    <comment ref="X506" authorId="3">
      <text>
        <r>
          <rPr>
            <b/>
            <sz val="9"/>
            <color indexed="81"/>
            <rFont val="Tahoma"/>
            <family val="2"/>
          </rPr>
          <t>Hyde, Owen (Research):</t>
        </r>
        <r>
          <rPr>
            <sz val="9"/>
            <color indexed="81"/>
            <rFont val="Tahoma"/>
            <family val="2"/>
          </rPr>
          <t xml:space="preserve">
MSe</t>
        </r>
      </text>
    </comment>
    <comment ref="AK506" authorId="3">
      <text>
        <r>
          <rPr>
            <b/>
            <sz val="9"/>
            <color indexed="81"/>
            <rFont val="Tahoma"/>
            <family val="2"/>
          </rPr>
          <t>Hyde, Owen (Research):</t>
        </r>
        <r>
          <rPr>
            <sz val="9"/>
            <color indexed="81"/>
            <rFont val="Tahoma"/>
            <family val="2"/>
          </rPr>
          <t xml:space="preserve">
1Q16: still plan to grow sales heads 20 to 30% this year</t>
        </r>
      </text>
    </comment>
    <comment ref="AL506" authorId="3">
      <text>
        <r>
          <rPr>
            <b/>
            <sz val="9"/>
            <color indexed="81"/>
            <rFont val="Tahoma"/>
            <family val="2"/>
          </rPr>
          <t>Hyde, Owen (Research):</t>
        </r>
        <r>
          <rPr>
            <sz val="9"/>
            <color indexed="81"/>
            <rFont val="Tahoma"/>
            <family val="2"/>
          </rPr>
          <t xml:space="preserve">
1Q16: still plan to grow sales heads 20 to 30% this year</t>
        </r>
      </text>
    </comment>
    <comment ref="AM506" authorId="3">
      <text>
        <r>
          <rPr>
            <b/>
            <sz val="9"/>
            <color indexed="81"/>
            <rFont val="Tahoma"/>
            <family val="2"/>
          </rPr>
          <t>Hyde, Owen (Research):</t>
        </r>
        <r>
          <rPr>
            <sz val="9"/>
            <color indexed="81"/>
            <rFont val="Tahoma"/>
            <family val="2"/>
          </rPr>
          <t xml:space="preserve">
4Q15 call:  spend slightly less in marketing in the second half of 2016 and also expect slower sales headcount growth in the fourth quarter of 2016 compared to the same period in 2015.</t>
        </r>
      </text>
    </comment>
    <comment ref="AN506" authorId="3">
      <text>
        <r>
          <rPr>
            <b/>
            <sz val="9"/>
            <color indexed="81"/>
            <rFont val="Tahoma"/>
            <family val="2"/>
          </rPr>
          <t xml:space="preserve">Hyde, Owen (Research):
</t>
        </r>
        <r>
          <rPr>
            <sz val="9"/>
            <color indexed="81"/>
            <rFont val="Tahoma"/>
            <family val="2"/>
          </rPr>
          <t>3Q:16 Earnings Call: Headcount and Revenue growth is starting to de-couple and will continue to do so.
4Q15 call:  spend slightly less in marketing in the second half of 2016 and also expect slower sales headcount growth in the fourth quarter of 2016 compared to the same period in 2015.</t>
        </r>
      </text>
    </comment>
    <comment ref="BN506" authorId="2">
      <text>
        <r>
          <rPr>
            <b/>
            <sz val="9"/>
            <color indexed="81"/>
            <rFont val="Tahoma"/>
            <family val="2"/>
          </rPr>
          <t>Nowak, Brian (Research):</t>
        </r>
        <r>
          <rPr>
            <sz val="9"/>
            <color indexed="81"/>
            <rFont val="Tahoma"/>
            <family val="2"/>
          </rPr>
          <t xml:space="preserve">
less than 100 are international</t>
        </r>
      </text>
    </comment>
    <comment ref="BQ506" authorId="3">
      <text>
        <r>
          <rPr>
            <b/>
            <sz val="9"/>
            <color indexed="81"/>
            <rFont val="Tahoma"/>
            <family val="2"/>
          </rPr>
          <t>Hyde, Owen (Research):</t>
        </r>
        <r>
          <rPr>
            <sz val="9"/>
            <color indexed="81"/>
            <rFont val="Tahoma"/>
            <family val="2"/>
          </rPr>
          <t xml:space="preserve">
3Q15: So on the sales force growth for Q2, it was about 35% I think at this point were expecting it to be above 30% for 2015. And when we do the
calculations, we figure that if we grow the sales force about 25% in both 2016 and 2017 that $1 billion revenue is still achievable.</t>
        </r>
      </text>
    </comment>
    <comment ref="AG507" authorId="2">
      <text>
        <r>
          <rPr>
            <b/>
            <sz val="9"/>
            <color indexed="81"/>
            <rFont val="Tahoma"/>
            <family val="2"/>
          </rPr>
          <t>Nowak, Brian (Research):</t>
        </r>
        <r>
          <rPr>
            <sz val="9"/>
            <color indexed="81"/>
            <rFont val="Tahoma"/>
            <family val="2"/>
          </rPr>
          <t xml:space="preserve">
should be +50 1Q call back</t>
        </r>
      </text>
    </comment>
    <comment ref="V508" authorId="1">
      <text>
        <r>
          <rPr>
            <b/>
            <sz val="9"/>
            <color indexed="81"/>
            <rFont val="Tahoma"/>
            <family val="2"/>
          </rPr>
          <t>Soyer-Osman, Erhan (Research):</t>
        </r>
        <r>
          <rPr>
            <sz val="9"/>
            <color indexed="81"/>
            <rFont val="Tahoma"/>
            <family val="2"/>
          </rPr>
          <t xml:space="preserve">
above 50%</t>
        </r>
      </text>
    </comment>
    <comment ref="W508" authorId="1">
      <text>
        <r>
          <rPr>
            <b/>
            <sz val="9"/>
            <color indexed="81"/>
            <rFont val="Tahoma"/>
            <family val="2"/>
          </rPr>
          <t>Soyer-Osman, Erhan (Research):</t>
        </r>
        <r>
          <rPr>
            <sz val="9"/>
            <color indexed="81"/>
            <rFont val="Tahoma"/>
            <family val="2"/>
          </rPr>
          <t xml:space="preserve">
above 50%</t>
        </r>
      </text>
    </comment>
    <comment ref="AA508" authorId="1">
      <text>
        <r>
          <rPr>
            <b/>
            <sz val="9"/>
            <color indexed="81"/>
            <rFont val="Tahoma"/>
            <family val="2"/>
          </rPr>
          <t>Soyer-Osman, Erhan (Research):</t>
        </r>
        <r>
          <rPr>
            <sz val="9"/>
            <color indexed="81"/>
            <rFont val="Tahoma"/>
            <family val="2"/>
          </rPr>
          <t xml:space="preserve">
3Q13 Sales head count grew 53% year over year, as we made out from last quarter when we were a bit light on hiring.</t>
        </r>
      </text>
    </comment>
    <comment ref="AH508" authorId="2">
      <text>
        <r>
          <rPr>
            <b/>
            <sz val="9"/>
            <color indexed="81"/>
            <rFont val="Tahoma"/>
            <family val="2"/>
          </rPr>
          <t>Nowak, Brian (Research):</t>
        </r>
        <r>
          <rPr>
            <sz val="9"/>
            <color indexed="81"/>
            <rFont val="Tahoma"/>
            <family val="2"/>
          </rPr>
          <t xml:space="preserve">
55% per 1Q call back</t>
        </r>
      </text>
    </comment>
    <comment ref="AI508" authorId="2">
      <text>
        <r>
          <rPr>
            <b/>
            <sz val="9"/>
            <color indexed="81"/>
            <rFont val="Tahoma"/>
            <family val="2"/>
          </rPr>
          <t>Nowak, Brian (Research):</t>
        </r>
        <r>
          <rPr>
            <sz val="9"/>
            <color indexed="81"/>
            <rFont val="Tahoma"/>
            <family val="2"/>
          </rPr>
          <t xml:space="preserve">
up 35% per 3Q</t>
        </r>
      </text>
    </comment>
    <comment ref="BO508" authorId="1">
      <text>
        <r>
          <rPr>
            <b/>
            <sz val="9"/>
            <color indexed="81"/>
            <rFont val="Tahoma"/>
            <family val="2"/>
          </rPr>
          <t>Soyer-Osman, Erhan (Research):</t>
        </r>
        <r>
          <rPr>
            <sz val="9"/>
            <color indexed="81"/>
            <rFont val="Tahoma"/>
            <family val="2"/>
          </rPr>
          <t xml:space="preserve">
Given the continued success of our sales team and the large opportunity ahead, we plan to increase sales head count by approximately 40% in 2015.
2Q:15 Now guiding to 30%</t>
        </r>
      </text>
    </comment>
    <comment ref="BP508" authorId="2">
      <text>
        <r>
          <rPr>
            <b/>
            <sz val="9"/>
            <color indexed="81"/>
            <rFont val="Tahoma"/>
            <family val="2"/>
          </rPr>
          <t>Nowak, Brian (Research)</t>
        </r>
        <r>
          <rPr>
            <sz val="9"/>
            <color indexed="81"/>
            <rFont val="Tahoma"/>
            <family val="2"/>
          </rPr>
          <t xml:space="preserve">:
2Q: 20-30%
1Q16: 20 to 30% growth
 </t>
        </r>
        <r>
          <rPr>
            <b/>
            <sz val="9"/>
            <color indexed="81"/>
            <rFont val="Tahoma"/>
            <family val="2"/>
          </rPr>
          <t xml:space="preserve">
</t>
        </r>
        <r>
          <rPr>
            <sz val="9"/>
            <color indexed="81"/>
            <rFont val="Tahoma"/>
            <family val="2"/>
          </rPr>
          <t xml:space="preserve">4Q15 guide: 20% to 30%
</t>
        </r>
        <r>
          <rPr>
            <sz val="9"/>
            <color indexed="81"/>
            <rFont val="Tahoma"/>
            <family val="2"/>
          </rPr>
          <t xml:space="preserve">
2Q:15 conf call…expect sales force to CAGR 25% to 2017</t>
        </r>
      </text>
    </comment>
    <comment ref="BQ508" authorId="2">
      <text>
        <r>
          <rPr>
            <b/>
            <sz val="9"/>
            <color indexed="81"/>
            <rFont val="Tahoma"/>
            <family val="2"/>
          </rPr>
          <t>Nowak, Brian (Research):</t>
        </r>
        <r>
          <rPr>
            <sz val="9"/>
            <color indexed="81"/>
            <rFont val="Tahoma"/>
            <family val="2"/>
          </rPr>
          <t xml:space="preserve">
2Q:15 conf call…expect sales force to CAGR 25% to 2017</t>
        </r>
      </text>
    </comment>
    <comment ref="AG512" authorId="2">
      <text>
        <r>
          <rPr>
            <b/>
            <sz val="9"/>
            <color indexed="81"/>
            <rFont val="Tahoma"/>
            <family val="2"/>
          </rPr>
          <t>Nowak, Brian (Research):</t>
        </r>
        <r>
          <rPr>
            <sz val="9"/>
            <color indexed="81"/>
            <rFont val="Tahoma"/>
            <family val="2"/>
          </rPr>
          <t xml:space="preserve">
sales force reorg/un-reorg</t>
        </r>
      </text>
    </comment>
    <comment ref="AG519" authorId="2">
      <text>
        <r>
          <rPr>
            <b/>
            <sz val="9"/>
            <color indexed="81"/>
            <rFont val="Tahoma"/>
            <family val="2"/>
          </rPr>
          <t>Nowak, Brian (Research):</t>
        </r>
        <r>
          <rPr>
            <sz val="9"/>
            <color indexed="81"/>
            <rFont val="Tahoma"/>
            <family val="2"/>
          </rPr>
          <t xml:space="preserve">
sales force realignment issues</t>
        </r>
      </text>
    </comment>
    <comment ref="AK519" authorId="2">
      <text>
        <r>
          <rPr>
            <b/>
            <sz val="9"/>
            <color indexed="81"/>
            <rFont val="Tahoma"/>
            <family val="2"/>
          </rPr>
          <t>Nowak, Brian (Research):</t>
        </r>
        <r>
          <rPr>
            <sz val="9"/>
            <color indexed="81"/>
            <rFont val="Tahoma"/>
            <family val="2"/>
          </rPr>
          <t xml:space="preserve">
promotional accounts</t>
        </r>
      </text>
    </comment>
    <comment ref="I555" authorId="2">
      <text>
        <r>
          <rPr>
            <b/>
            <sz val="12"/>
            <color indexed="81"/>
            <rFont val="Tahoma"/>
            <family val="2"/>
          </rPr>
          <t>Nowak, Brian (Research):</t>
        </r>
        <r>
          <rPr>
            <sz val="12"/>
            <color indexed="81"/>
            <rFont val="Tahoma"/>
            <family val="2"/>
          </rPr>
          <t xml:space="preserve">
Our customer repeat rate defined as the percentage of current customers who advertise with us in the past 12 months was 70% this past quarter,
consistent with the first quarter of 2012 and second quarter of last year.</t>
        </r>
      </text>
    </comment>
    <comment ref="M555" authorId="7">
      <text>
        <r>
          <rPr>
            <b/>
            <sz val="8"/>
            <color indexed="81"/>
            <rFont val="Tahoma"/>
            <family val="2"/>
          </rPr>
          <t>bnowak</t>
        </r>
        <r>
          <rPr>
            <sz val="8"/>
            <color indexed="81"/>
            <rFont val="Tahoma"/>
            <family val="2"/>
          </rPr>
          <t xml:space="preserve">
1Q2012 call: "our customer repeat rate was 70% this past quarter compared to 66% in the fourth quarter of 2011 and 72% in the first quarter of last year."</t>
        </r>
      </text>
    </comment>
    <comment ref="P555" authorId="7">
      <text>
        <r>
          <rPr>
            <b/>
            <sz val="8"/>
            <color indexed="81"/>
            <rFont val="Tahoma"/>
            <family val="2"/>
          </rPr>
          <t>bnowak</t>
        </r>
        <r>
          <rPr>
            <sz val="8"/>
            <color indexed="81"/>
            <rFont val="Tahoma"/>
            <family val="2"/>
          </rPr>
          <t xml:space="preserve">
1Q2012 call: "our customer repeat rate was 70% this past quarter compared to 66% in the fourth quarter of 2011 and 72% in the first quarter of last year."</t>
        </r>
      </text>
    </comment>
    <comment ref="Q555" authorId="7">
      <text>
        <r>
          <rPr>
            <b/>
            <sz val="8"/>
            <color indexed="81"/>
            <rFont val="Tahoma"/>
            <family val="2"/>
          </rPr>
          <t>bnowak</t>
        </r>
        <r>
          <rPr>
            <sz val="8"/>
            <color indexed="81"/>
            <rFont val="Tahoma"/>
            <family val="2"/>
          </rPr>
          <t xml:space="preserve">
1Q2012 call: "our customer repeat rate was 70% this past quarter compared to 66% in the fourth quarter of 2011 and 72% in the first quarter of last year."</t>
        </r>
      </text>
    </comment>
    <comment ref="R555" authorId="7">
      <text>
        <r>
          <rPr>
            <b/>
            <sz val="8"/>
            <color indexed="81"/>
            <rFont val="Tahoma"/>
            <family val="2"/>
          </rPr>
          <t>Jordan Monahan:</t>
        </r>
        <r>
          <rPr>
            <sz val="8"/>
            <color indexed="81"/>
            <rFont val="Tahoma"/>
            <family val="2"/>
          </rPr>
          <t xml:space="preserve">
2Q2012 call: "70% this past quarter, consistent with the first quarter of 2012 and second quarter of last year."</t>
        </r>
      </text>
    </comment>
    <comment ref="T555" authorId="7">
      <text>
        <r>
          <rPr>
            <b/>
            <sz val="8"/>
            <color indexed="81"/>
            <rFont val="Tahoma"/>
            <family val="2"/>
          </rPr>
          <t>Jordan Monahan:</t>
        </r>
        <r>
          <rPr>
            <sz val="8"/>
            <color indexed="81"/>
            <rFont val="Tahoma"/>
            <family val="2"/>
          </rPr>
          <t xml:space="preserve">
4Q2012 call</t>
        </r>
      </text>
    </comment>
    <comment ref="U555" authorId="7">
      <text>
        <r>
          <rPr>
            <b/>
            <sz val="8"/>
            <color indexed="81"/>
            <rFont val="Tahoma"/>
            <family val="2"/>
          </rPr>
          <t>Jordan Monahan:</t>
        </r>
        <r>
          <rPr>
            <sz val="8"/>
            <color indexed="81"/>
            <rFont val="Tahoma"/>
            <family val="2"/>
          </rPr>
          <t xml:space="preserve">
1Q2012 call: "our customer repeat rate was 70% this past quarter compared to 66% in the fourth quarter of 2011 and 72% in the first quarter of last year."</t>
        </r>
      </text>
    </comment>
    <comment ref="V555" authorId="7">
      <text>
        <r>
          <rPr>
            <b/>
            <sz val="8"/>
            <color indexed="81"/>
            <rFont val="Tahoma"/>
            <family val="2"/>
          </rPr>
          <t>Jordan Monahan:</t>
        </r>
        <r>
          <rPr>
            <sz val="8"/>
            <color indexed="81"/>
            <rFont val="Tahoma"/>
            <family val="2"/>
          </rPr>
          <t xml:space="preserve">
2Q2012 call: "70% this past quarter, consistent with the first quarter of 2012 and second quarter of last year."</t>
        </r>
      </text>
    </comment>
    <comment ref="W555" authorId="7">
      <text>
        <r>
          <rPr>
            <b/>
            <sz val="8"/>
            <color indexed="81"/>
            <rFont val="Tahoma"/>
            <family val="2"/>
          </rPr>
          <t>Jordan Monahan:</t>
        </r>
        <r>
          <rPr>
            <sz val="8"/>
            <color indexed="81"/>
            <rFont val="Tahoma"/>
            <family val="2"/>
          </rPr>
          <t xml:space="preserve">
3Q call: "72% this past quarter, which is up slightly from our historical range"</t>
        </r>
      </text>
    </comment>
    <comment ref="AD555" authorId="9">
      <text>
        <r>
          <rPr>
            <sz val="8"/>
            <color indexed="81"/>
            <rFont val="Tahoma"/>
            <family val="2"/>
          </rPr>
          <t>Source : Call transcript</t>
        </r>
        <r>
          <rPr>
            <sz val="8"/>
            <color indexed="81"/>
            <rFont val="Tahoma"/>
            <family val="2"/>
          </rPr>
          <t xml:space="preserve">
</t>
        </r>
      </text>
    </comment>
    <comment ref="AE555" authorId="9">
      <text>
        <r>
          <rPr>
            <sz val="8"/>
            <color indexed="81"/>
            <rFont val="Tahoma"/>
            <family val="2"/>
          </rPr>
          <t>Source : Call transcript</t>
        </r>
        <r>
          <rPr>
            <sz val="8"/>
            <color indexed="81"/>
            <rFont val="Tahoma"/>
            <family val="2"/>
          </rPr>
          <t xml:space="preserve">
</t>
        </r>
      </text>
    </comment>
    <comment ref="AG555" authorId="1">
      <text>
        <r>
          <rPr>
            <b/>
            <sz val="9"/>
            <color indexed="81"/>
            <rFont val="Tahoma"/>
            <family val="2"/>
          </rPr>
          <t>Soyer-Osman, Erhan (Research):</t>
        </r>
        <r>
          <rPr>
            <sz val="9"/>
            <color indexed="81"/>
            <rFont val="Tahoma"/>
            <family val="2"/>
          </rPr>
          <t xml:space="preserve">
calculated on LAAs not ALBAs</t>
        </r>
      </text>
    </comment>
    <comment ref="I562" authorId="2">
      <text>
        <r>
          <rPr>
            <b/>
            <sz val="9"/>
            <color indexed="81"/>
            <rFont val="Tahoma"/>
            <family val="2"/>
          </rPr>
          <t>Nowak, Brian (Research):</t>
        </r>
        <r>
          <rPr>
            <sz val="9"/>
            <color indexed="81"/>
            <rFont val="Tahoma"/>
            <family val="2"/>
          </rPr>
          <t xml:space="preserve">
customer they recognized revenue from in the past 3 months</t>
        </r>
      </text>
    </comment>
    <comment ref="Z562" authorId="0">
      <text>
        <r>
          <rPr>
            <b/>
            <sz val="8"/>
            <color indexed="81"/>
            <rFont val="Tahoma"/>
            <family val="2"/>
          </rPr>
          <t>monahjor:</t>
        </r>
        <r>
          <rPr>
            <sz val="8"/>
            <color indexed="81"/>
            <rFont val="Tahoma"/>
            <family val="2"/>
          </rPr>
          <t xml:space="preserve">
51.4</t>
        </r>
      </text>
    </comment>
    <comment ref="AB562" authorId="0">
      <text>
        <r>
          <rPr>
            <b/>
            <sz val="8"/>
            <color indexed="81"/>
            <rFont val="Tahoma"/>
            <family val="2"/>
          </rPr>
          <t>monahjor:</t>
        </r>
        <r>
          <rPr>
            <sz val="8"/>
            <color indexed="81"/>
            <rFont val="Tahoma"/>
            <family val="2"/>
          </rPr>
          <t xml:space="preserve">
2.2k from Qype Germany integration</t>
        </r>
      </text>
    </comment>
    <comment ref="Z565" authorId="0">
      <text>
        <r>
          <rPr>
            <b/>
            <sz val="8"/>
            <color indexed="81"/>
            <rFont val="Tahoma"/>
            <family val="2"/>
          </rPr>
          <t>monahjor:</t>
        </r>
        <r>
          <rPr>
            <sz val="8"/>
            <color indexed="81"/>
            <rFont val="Tahoma"/>
            <family val="2"/>
          </rPr>
          <t xml:space="preserve">
+62% Y/Y</t>
        </r>
      </text>
    </comment>
    <comment ref="AB565" authorId="0">
      <text>
        <r>
          <rPr>
            <b/>
            <sz val="8"/>
            <color indexed="81"/>
            <rFont val="Tahoma"/>
            <family val="2"/>
          </rPr>
          <t>monahjor:</t>
        </r>
        <r>
          <rPr>
            <sz val="8"/>
            <color indexed="81"/>
            <rFont val="Tahoma"/>
            <family val="2"/>
          </rPr>
          <t xml:space="preserve">
+64% ex-Qype</t>
        </r>
      </text>
    </comment>
    <comment ref="BN570" authorId="10">
      <text>
        <r>
          <rPr>
            <b/>
            <sz val="8"/>
            <color indexed="81"/>
            <rFont val="Tahoma"/>
            <family val="2"/>
          </rPr>
          <t>erhan:</t>
        </r>
        <r>
          <rPr>
            <sz val="8"/>
            <color indexed="81"/>
            <rFont val="Tahoma"/>
            <family val="2"/>
          </rPr>
          <t xml:space="preserve">
Assume unit pricing grows at rate of inflation absent specific pricing changes - however, mix shifts boost reported pricing as markets mature</t>
        </r>
      </text>
    </comment>
    <comment ref="AE591" authorId="2">
      <text>
        <r>
          <rPr>
            <b/>
            <sz val="9"/>
            <color indexed="81"/>
            <rFont val="Tahoma"/>
            <family val="2"/>
          </rPr>
          <t>Nowak, Brian (Research):</t>
        </r>
        <r>
          <rPr>
            <sz val="9"/>
            <color indexed="81"/>
            <rFont val="Tahoma"/>
            <family val="2"/>
          </rPr>
          <t xml:space="preserve">
4Q:14 conf call 23
% of rev</t>
        </r>
      </text>
    </comment>
    <comment ref="AF591" authorId="2">
      <text>
        <r>
          <rPr>
            <b/>
            <sz val="9"/>
            <color indexed="81"/>
            <rFont val="Tahoma"/>
            <family val="2"/>
          </rPr>
          <t>Nowak, Brian (Research):</t>
        </r>
        <r>
          <rPr>
            <sz val="9"/>
            <color indexed="81"/>
            <rFont val="Tahoma"/>
            <family val="2"/>
          </rPr>
          <t xml:space="preserve">
4Q:14 conf call 32% of rev</t>
        </r>
      </text>
    </comment>
    <comment ref="AG591" authorId="1">
      <text>
        <r>
          <rPr>
            <b/>
            <sz val="9"/>
            <color indexed="81"/>
            <rFont val="Tahoma"/>
            <family val="2"/>
          </rPr>
          <t>Soyer-Osman, Erhan (Research):</t>
        </r>
        <r>
          <rPr>
            <sz val="9"/>
            <color indexed="81"/>
            <rFont val="Tahoma"/>
            <family val="2"/>
          </rPr>
          <t xml:space="preserve">
1Q15 conf call: 40% of revs</t>
        </r>
      </text>
    </comment>
    <comment ref="AH591" authorId="3">
      <text>
        <r>
          <rPr>
            <b/>
            <sz val="9"/>
            <color indexed="81"/>
            <rFont val="Tahoma"/>
            <family val="2"/>
          </rPr>
          <t>Hyde, Owen (Research):</t>
        </r>
        <r>
          <rPr>
            <sz val="9"/>
            <color indexed="81"/>
            <rFont val="Tahoma"/>
            <family val="2"/>
          </rPr>
          <t xml:space="preserve">
2Q call</t>
        </r>
      </text>
    </comment>
    <comment ref="AI591" authorId="3">
      <text>
        <r>
          <rPr>
            <b/>
            <sz val="9"/>
            <color indexed="81"/>
            <rFont val="Tahoma"/>
            <family val="2"/>
          </rPr>
          <t>Hyde, Owen (Research):</t>
        </r>
        <r>
          <rPr>
            <sz val="9"/>
            <color indexed="81"/>
            <rFont val="Tahoma"/>
            <family val="2"/>
          </rPr>
          <t xml:space="preserve">
3Q call</t>
        </r>
      </text>
    </comment>
    <comment ref="AJ591" authorId="3">
      <text>
        <r>
          <rPr>
            <b/>
            <sz val="9"/>
            <color indexed="81"/>
            <rFont val="Tahoma"/>
            <family val="2"/>
          </rPr>
          <t>Hyde, Owen (Research):</t>
        </r>
        <r>
          <rPr>
            <sz val="9"/>
            <color indexed="81"/>
            <rFont val="Tahoma"/>
            <family val="2"/>
          </rPr>
          <t xml:space="preserve">
4Q call</t>
        </r>
      </text>
    </comment>
    <comment ref="AK591" authorId="3">
      <text>
        <r>
          <rPr>
            <b/>
            <sz val="9"/>
            <color indexed="81"/>
            <rFont val="Tahoma"/>
            <family val="2"/>
          </rPr>
          <t>Hyde, Owen (Research):</t>
        </r>
        <r>
          <rPr>
            <sz val="9"/>
            <color indexed="81"/>
            <rFont val="Tahoma"/>
            <family val="2"/>
          </rPr>
          <t xml:space="preserve">
JPM Conf</t>
        </r>
      </text>
    </comment>
    <comment ref="J595" authorId="4">
      <text>
        <r>
          <rPr>
            <b/>
            <sz val="9"/>
            <color indexed="81"/>
            <rFont val="Tahoma"/>
            <family val="2"/>
          </rPr>
          <t>Lanterman, Jon (Research):</t>
        </r>
        <r>
          <rPr>
            <sz val="9"/>
            <color indexed="81"/>
            <rFont val="Tahoma"/>
            <family val="2"/>
          </rPr>
          <t xml:space="preserve">
Information is from the quarterly earnigns slides</t>
        </r>
      </text>
    </comment>
    <comment ref="I597" authorId="1">
      <text>
        <r>
          <rPr>
            <b/>
            <sz val="9"/>
            <color indexed="81"/>
            <rFont val="Tahoma"/>
            <family val="2"/>
          </rPr>
          <t>Soyer-Osman, Erhan (Research):</t>
        </r>
        <r>
          <rPr>
            <sz val="9"/>
            <color indexed="81"/>
            <rFont val="Tahoma"/>
            <family val="2"/>
          </rPr>
          <t xml:space="preserve">
SF, Boston, Chicago, LA, NYC, Seattle
</t>
        </r>
      </text>
    </comment>
    <comment ref="I611" authorId="1">
      <text>
        <r>
          <rPr>
            <b/>
            <sz val="9"/>
            <color indexed="81"/>
            <rFont val="Tahoma"/>
            <family val="2"/>
          </rPr>
          <t>Soyer-Osman, Erhan (Research):</t>
        </r>
        <r>
          <rPr>
            <sz val="9"/>
            <color indexed="81"/>
            <rFont val="Tahoma"/>
            <family val="2"/>
          </rPr>
          <t xml:space="preserve">
San Diego, DC, Austin, Atlanta, Portland, Houston, Phoenix, San Jose, Philadelphia, Denver Minneapolis, Dallas, Miami, Detroit</t>
        </r>
      </text>
    </comment>
    <comment ref="I625" authorId="1">
      <text>
        <r>
          <rPr>
            <b/>
            <sz val="9"/>
            <color indexed="81"/>
            <rFont val="Tahoma"/>
            <family val="2"/>
          </rPr>
          <t>Soyer-Osman, Erhan (Research):</t>
        </r>
        <r>
          <rPr>
            <sz val="9"/>
            <color indexed="81"/>
            <rFont val="Tahoma"/>
            <family val="2"/>
          </rPr>
          <t xml:space="preserve">
Sacramento, Honolulu, St. Louis, Orlando, Raleigh-Durham, Kansas City, LV, San Antonio, Columbus, Indianapolis, Charlotte, Cincinnati, Tucson, Nashville, New Orleans, Cleveland, SLC, Providence</t>
        </r>
      </text>
    </comment>
    <comment ref="AG645" authorId="1">
      <text>
        <r>
          <rPr>
            <b/>
            <sz val="9"/>
            <color indexed="81"/>
            <rFont val="Tahoma"/>
            <family val="2"/>
          </rPr>
          <t>Soyer-Osman, Erhan (Research):</t>
        </r>
        <r>
          <rPr>
            <sz val="9"/>
            <color indexed="81"/>
            <rFont val="Tahoma"/>
            <family val="2"/>
          </rPr>
          <t xml:space="preserve">
1Q15 conf call: latest cohort growing mid-60s</t>
        </r>
      </text>
    </comment>
  </commentList>
</comments>
</file>

<file path=xl/comments3.xml><?xml version="1.0" encoding="utf-8"?>
<comments xmlns="http://schemas.openxmlformats.org/spreadsheetml/2006/main">
  <authors>
    <author>Soyer-Osman, Erhan (Research)</author>
    <author>Hyde, Owen (Research)</author>
    <author>Nowak, Brian (Research)</author>
    <author>Liu, Kevin (Research)</author>
    <author>Hoffman, Brandon (Research)</author>
    <author>Lanterman, Jon (Research)</author>
    <author>monahjor</author>
    <author>jorgeo</author>
    <author>Jordan Monahan</author>
    <author>Monahan, Jordan (Research)</author>
    <author>egbert</author>
  </authors>
  <commentList>
    <comment ref="AH10" authorId="0">
      <text>
        <r>
          <rPr>
            <b/>
            <sz val="9"/>
            <color indexed="81"/>
            <rFont val="Tahoma"/>
            <family val="2"/>
          </rPr>
          <t>Soyer-Osman, Erhan (Research):</t>
        </r>
        <r>
          <rPr>
            <sz val="9"/>
            <color indexed="81"/>
            <rFont val="Tahoma"/>
            <family val="2"/>
          </rPr>
          <t xml:space="preserve">
1Q15: For the second quarter of 2015, net revenue is expected to be in the range of $131 million to $134 million, representing growth of approximately 49% compared to the second quarter of 2014. </t>
        </r>
      </text>
    </comment>
    <comment ref="AI10" authorId="1">
      <text>
        <r>
          <rPr>
            <b/>
            <sz val="9"/>
            <color indexed="81"/>
            <rFont val="Tahoma"/>
            <family val="2"/>
          </rPr>
          <t>Hyde, Owen (Research):</t>
        </r>
        <r>
          <rPr>
            <sz val="9"/>
            <color indexed="81"/>
            <rFont val="Tahoma"/>
            <family val="2"/>
          </rPr>
          <t xml:space="preserve">
2Q15: For the third quarter of 2015, net revenue is expected to be in the range of $139 million to $142 million, representing growth of approximately 37% compared to the third quarter of 2014. </t>
        </r>
      </text>
    </comment>
    <comment ref="AJ10" authorId="1">
      <text>
        <r>
          <rPr>
            <b/>
            <sz val="9"/>
            <color indexed="81"/>
            <rFont val="Tahoma"/>
            <family val="2"/>
          </rPr>
          <t>Hyde, Owen (Research):</t>
        </r>
        <r>
          <rPr>
            <sz val="9"/>
            <color indexed="81"/>
            <rFont val="Tahoma"/>
            <family val="2"/>
          </rPr>
          <t xml:space="preserve">
3Q15 guide: 149.5 to 154.5</t>
        </r>
      </text>
    </comment>
    <comment ref="BO10" authorId="2">
      <text>
        <r>
          <rPr>
            <b/>
            <sz val="9"/>
            <color indexed="81"/>
            <rFont val="Tahoma"/>
            <family val="2"/>
          </rPr>
          <t>Nowak, Brian (Research):</t>
        </r>
        <r>
          <rPr>
            <sz val="9"/>
            <color indexed="81"/>
            <rFont val="Tahoma"/>
            <family val="2"/>
          </rPr>
          <t xml:space="preserve">
2Q:15 544 to 550
1Q:15 re-affirm 574-579
Eat24: 574-579
4Q:14 guidance 538-543
</t>
        </r>
      </text>
    </comment>
    <comment ref="BP10" authorId="1">
      <text>
        <r>
          <rPr>
            <b/>
            <sz val="9"/>
            <color indexed="81"/>
            <rFont val="Tahoma"/>
            <family val="2"/>
          </rPr>
          <t>Hyde, Owen (Research):</t>
        </r>
        <r>
          <rPr>
            <sz val="9"/>
            <color indexed="81"/>
            <rFont val="Tahoma"/>
            <family val="2"/>
          </rPr>
          <t xml:space="preserve">
4Q15 guide:  $685M to $700</t>
        </r>
      </text>
    </comment>
    <comment ref="BQ10" authorId="1">
      <text>
        <r>
          <rPr>
            <b/>
            <sz val="9"/>
            <color indexed="81"/>
            <rFont val="Tahoma"/>
            <family val="2"/>
          </rPr>
          <t>Hyde, Owen (Research):</t>
        </r>
        <r>
          <rPr>
            <sz val="9"/>
            <color indexed="81"/>
            <rFont val="Tahoma"/>
            <family val="2"/>
          </rPr>
          <t xml:space="preserve">
2017 guidance: $880-900mn
3Q:15: So on the sales force growth for Q2, it was about 35% I think at this point were expecting it to be above 30% for 2015. And when we do the
calculations, we figure that if we grow the sales force about 25% in both 2016 and 2017 that $1 billion revenue is still achievable.</t>
        </r>
      </text>
    </comment>
    <comment ref="AG18" authorId="0">
      <text>
        <r>
          <rPr>
            <b/>
            <sz val="9"/>
            <color indexed="81"/>
            <rFont val="Tahoma"/>
            <family val="2"/>
          </rPr>
          <t>Soyer-Osman, Erhan (Research):</t>
        </r>
        <r>
          <rPr>
            <sz val="9"/>
            <color indexed="81"/>
            <rFont val="Tahoma"/>
            <family val="2"/>
          </rPr>
          <t xml:space="preserve">
4Q14: b/w 19-21
</t>
        </r>
      </text>
    </comment>
    <comment ref="AH18" authorId="0">
      <text>
        <r>
          <rPr>
            <b/>
            <sz val="9"/>
            <color indexed="81"/>
            <rFont val="Tahoma"/>
            <family val="2"/>
          </rPr>
          <t>Soyer-Osman, Erhan (Research):</t>
        </r>
        <r>
          <rPr>
            <sz val="9"/>
            <color indexed="81"/>
            <rFont val="Tahoma"/>
            <family val="2"/>
          </rPr>
          <t xml:space="preserve">
1Q:15 Adjusted EBITDA is expected to be in the range of $22 million to $24 million.</t>
        </r>
      </text>
    </comment>
    <comment ref="AI18" authorId="1">
      <text>
        <r>
          <rPr>
            <b/>
            <sz val="9"/>
            <color indexed="81"/>
            <rFont val="Tahoma"/>
            <family val="2"/>
          </rPr>
          <t>Hyde, Owen (Research):</t>
        </r>
        <r>
          <rPr>
            <sz val="9"/>
            <color indexed="81"/>
            <rFont val="Tahoma"/>
            <family val="2"/>
          </rPr>
          <t xml:space="preserve">
Adjusted EBITDA is expected to be in the range of $12 million to $15 million.</t>
        </r>
      </text>
    </comment>
    <comment ref="AK18" authorId="1">
      <text>
        <r>
          <rPr>
            <b/>
            <sz val="9"/>
            <color indexed="81"/>
            <rFont val="Tahoma"/>
            <family val="2"/>
          </rPr>
          <t>Hyde, Owen (Research):</t>
        </r>
        <r>
          <rPr>
            <sz val="9"/>
            <color indexed="81"/>
            <rFont val="Tahoma"/>
            <family val="2"/>
          </rPr>
          <t xml:space="preserve">
4Q15 guide:  $10 to $12M</t>
        </r>
      </text>
    </comment>
    <comment ref="AL18" authorId="1">
      <text>
        <r>
          <rPr>
            <b/>
            <sz val="9"/>
            <color indexed="81"/>
            <rFont val="Tahoma"/>
            <family val="2"/>
          </rPr>
          <t>Hyde, Owen (Research):</t>
        </r>
        <r>
          <rPr>
            <sz val="9"/>
            <color indexed="81"/>
            <rFont val="Tahoma"/>
            <family val="2"/>
          </rPr>
          <t xml:space="preserve">
1Q16 guide: 21 to 25</t>
        </r>
      </text>
    </comment>
    <comment ref="AM18" authorId="1">
      <text>
        <r>
          <rPr>
            <b/>
            <sz val="9"/>
            <color indexed="81"/>
            <rFont val="Tahoma"/>
            <family val="2"/>
          </rPr>
          <t>Hyde, Owen (Research):</t>
        </r>
        <r>
          <rPr>
            <sz val="9"/>
            <color indexed="81"/>
            <rFont val="Tahoma"/>
            <family val="2"/>
          </rPr>
          <t xml:space="preserve">
2Q:16 guide: 24 to 28</t>
        </r>
      </text>
    </comment>
    <comment ref="BO18" authorId="2">
      <text>
        <r>
          <rPr>
            <b/>
            <sz val="9"/>
            <color indexed="81"/>
            <rFont val="Tahoma"/>
            <family val="2"/>
          </rPr>
          <t>Nowak, Brian (Research):</t>
        </r>
        <r>
          <rPr>
            <sz val="9"/>
            <color indexed="81"/>
            <rFont val="Tahoma"/>
            <family val="2"/>
          </rPr>
          <t xml:space="preserve">
2Q:15 72-28
1Q:15 Reiterate FY guidance of 102-105
Eat24: 102-105
4Q:14 guidance 100-103</t>
        </r>
      </text>
    </comment>
    <comment ref="BP18" authorId="1">
      <text>
        <r>
          <rPr>
            <b/>
            <sz val="9"/>
            <color indexed="81"/>
            <rFont val="Tahoma"/>
            <family val="2"/>
          </rPr>
          <t xml:space="preserve">Hyde, Owen (Research):
</t>
        </r>
        <r>
          <rPr>
            <sz val="9"/>
            <color indexed="81"/>
            <rFont val="Tahoma"/>
            <family val="2"/>
          </rPr>
          <t>2Q16 guide: 100 to 108</t>
        </r>
        <r>
          <rPr>
            <b/>
            <sz val="9"/>
            <color indexed="81"/>
            <rFont val="Tahoma"/>
            <family val="2"/>
          </rPr>
          <t xml:space="preserve">
</t>
        </r>
        <r>
          <rPr>
            <sz val="9"/>
            <color indexed="81"/>
            <rFont val="Tahoma"/>
            <family val="2"/>
          </rPr>
          <t>1Q16 guide: 93 to 105
4Q15: $90 to $105M</t>
        </r>
      </text>
    </comment>
    <comment ref="BQ18" authorId="1">
      <text>
        <r>
          <rPr>
            <b/>
            <sz val="9"/>
            <color indexed="81"/>
            <rFont val="Tahoma"/>
            <family val="2"/>
          </rPr>
          <t>Hyde, Owen (Research):</t>
        </r>
        <r>
          <rPr>
            <sz val="9"/>
            <color indexed="81"/>
            <rFont val="Tahoma"/>
            <family val="2"/>
          </rPr>
          <t xml:space="preserve">
2017 guidance: $150-$165mn 
</t>
        </r>
        <r>
          <rPr>
            <b/>
            <sz val="9"/>
            <color indexed="81"/>
            <rFont val="Tahoma"/>
            <family val="2"/>
          </rPr>
          <t xml:space="preserve">3Q15:  </t>
        </r>
        <r>
          <rPr>
            <sz val="9"/>
            <color indexed="81"/>
            <rFont val="Tahoma"/>
            <family val="2"/>
          </rPr>
          <t>In terms of your million dollar question and 2017 and what's the target margin we haven't specifically said what the margin is. I would imagine it's going to be quite a bit higher than 2015. And that when we look at long-term, what our target margin is we feel like it's going to be on an adjusted EBITDA basis 35% to 40% and we feel pretty confident that we haven't set a specific revenue goal for that margin as we continue to invest in the business but we can see a lot of opportunities to increase our margin.</t>
        </r>
      </text>
    </comment>
    <comment ref="BQ29" authorId="3">
      <text>
        <r>
          <rPr>
            <b/>
            <sz val="9"/>
            <color indexed="81"/>
            <rFont val="Tahoma"/>
            <family val="2"/>
          </rPr>
          <t>Liu, Kevin (Research):</t>
        </r>
        <r>
          <rPr>
            <sz val="9"/>
            <color indexed="81"/>
            <rFont val="Tahoma"/>
            <family val="2"/>
          </rPr>
          <t xml:space="preserve">
4Q:16 earnings guidance: high single digits as % of rev</t>
        </r>
      </text>
    </comment>
    <comment ref="BY29" authorId="2">
      <text>
        <r>
          <rPr>
            <b/>
            <sz val="9"/>
            <color indexed="81"/>
            <rFont val="Tahoma"/>
            <family val="2"/>
          </rPr>
          <t>Nowak, Brian (Research):</t>
        </r>
        <r>
          <rPr>
            <sz val="9"/>
            <color indexed="81"/>
            <rFont val="Tahoma"/>
            <family val="2"/>
          </rPr>
          <t xml:space="preserve">
3/9 long-term target is 7-8% of rev</t>
        </r>
      </text>
    </comment>
    <comment ref="BP30" authorId="2">
      <text>
        <r>
          <rPr>
            <b/>
            <sz val="9"/>
            <color indexed="81"/>
            <rFont val="Tahoma"/>
            <family val="2"/>
          </rPr>
          <t>Nowak, Brian (Research):</t>
        </r>
        <r>
          <rPr>
            <sz val="9"/>
            <color indexed="81"/>
            <rFont val="Tahoma"/>
            <family val="2"/>
          </rPr>
          <t xml:space="preserve">
3/9 expect to be modestly down as % of revenue</t>
        </r>
      </text>
    </comment>
    <comment ref="AI36" authorId="2">
      <text>
        <r>
          <rPr>
            <b/>
            <sz val="9"/>
            <color indexed="81"/>
            <rFont val="Tahoma"/>
            <family val="2"/>
          </rPr>
          <t>Nowak, Brian (Research):</t>
        </r>
        <r>
          <rPr>
            <sz val="9"/>
            <color indexed="81"/>
            <rFont val="Tahoma"/>
            <family val="2"/>
          </rPr>
          <t xml:space="preserve">
post 2Q expect cogs to stay 10% of revenue…but could trend back to 7% over next few years</t>
        </r>
      </text>
    </comment>
    <comment ref="AJ36" authorId="2">
      <text>
        <r>
          <rPr>
            <b/>
            <sz val="9"/>
            <color indexed="81"/>
            <rFont val="Tahoma"/>
            <family val="2"/>
          </rPr>
          <t>Nowak, Brian (Research):</t>
        </r>
        <r>
          <rPr>
            <sz val="9"/>
            <color indexed="81"/>
            <rFont val="Tahoma"/>
            <family val="2"/>
          </rPr>
          <t xml:space="preserve">
3Q Call: investments in our hosting centers and testing infrastructure we expect revenue to be approximately 10% in the fourth quarter.
post 2Q expect cogs to stay 10% of revenue…but could trend back to 7% over next few years</t>
        </r>
      </text>
    </comment>
    <comment ref="AK36" authorId="2">
      <text>
        <r>
          <rPr>
            <b/>
            <sz val="9"/>
            <color indexed="81"/>
            <rFont val="Tahoma"/>
            <family val="2"/>
          </rPr>
          <t>Nowak, Brian (Research):</t>
        </r>
        <r>
          <rPr>
            <sz val="9"/>
            <color indexed="81"/>
            <rFont val="Tahoma"/>
            <family val="2"/>
          </rPr>
          <t xml:space="preserve">
post 2Q expect cogs to stay 10% of revenue…but could trend back to 7% over next few years</t>
        </r>
      </text>
    </comment>
    <comment ref="AQ36" authorId="4">
      <text>
        <r>
          <rPr>
            <b/>
            <sz val="9"/>
            <color indexed="81"/>
            <rFont val="Tahoma"/>
            <family val="2"/>
          </rPr>
          <t>Hoffman, Brandon (Research):</t>
        </r>
        <r>
          <rPr>
            <sz val="9"/>
            <color indexed="81"/>
            <rFont val="Tahoma"/>
            <family val="2"/>
          </rPr>
          <t xml:space="preserve">
3Q call: Cost of revenue was $19 million in the quarter, pushed higher mostly by transaction and processing costs associated with Eat24. Gross margins remained above 90% as of the third quarter and we expect them to stay in the low 90% range going forward</t>
        </r>
      </text>
    </comment>
    <comment ref="AR37" authorId="4">
      <text>
        <r>
          <rPr>
            <b/>
            <sz val="9"/>
            <color indexed="81"/>
            <rFont val="Tahoma"/>
            <family val="2"/>
          </rPr>
          <t>Hoffman, Brandon (Research):</t>
        </r>
        <r>
          <rPr>
            <sz val="9"/>
            <color indexed="81"/>
            <rFont val="Tahoma"/>
            <family val="2"/>
          </rPr>
          <t xml:space="preserve">
Assumes that 94-95% GM in Core Yelp, while Eat24 had about 65% GM</t>
        </r>
      </text>
    </comment>
    <comment ref="BY41" authorId="1">
      <text>
        <r>
          <rPr>
            <b/>
            <sz val="9"/>
            <color indexed="81"/>
            <rFont val="Tahoma"/>
            <family val="2"/>
          </rPr>
          <t>Hyde, Owen (Research):</t>
        </r>
        <r>
          <rPr>
            <sz val="9"/>
            <color indexed="81"/>
            <rFont val="Tahoma"/>
            <family val="2"/>
          </rPr>
          <t xml:space="preserve">
2Q16 slides: LT Target model = 7% to 8% (includes SBC)</t>
        </r>
      </text>
    </comment>
    <comment ref="AL45" authorId="1">
      <text>
        <r>
          <rPr>
            <b/>
            <sz val="9"/>
            <color indexed="81"/>
            <rFont val="Tahoma"/>
            <family val="2"/>
          </rPr>
          <t>Hyde, Owen (Research):</t>
        </r>
        <r>
          <rPr>
            <sz val="9"/>
            <color indexed="81"/>
            <rFont val="Tahoma"/>
            <family val="2"/>
          </rPr>
          <t xml:space="preserve">
10Q:  External website hosting, Internet service fees, related salaries and expenses of internal personnel that support the website infrastructure decreased by $0.2mn YoY
</t>
        </r>
      </text>
    </comment>
    <comment ref="AM45" authorId="5">
      <text>
        <r>
          <rPr>
            <b/>
            <sz val="9"/>
            <color indexed="81"/>
            <rFont val="Tahoma"/>
            <family val="2"/>
          </rPr>
          <t>Lanterman, Jon (Research):</t>
        </r>
        <r>
          <rPr>
            <sz val="9"/>
            <color indexed="81"/>
            <rFont val="Tahoma"/>
            <family val="2"/>
          </rPr>
          <t xml:space="preserve">
xternal website hosting, Internet service fees, and the salaries and related expenses of the internal personnel that support the website infrastructure decreased by $1.4 million in the three months ended September 30, 2016. </t>
        </r>
      </text>
    </comment>
    <comment ref="AO45" authorId="4">
      <text>
        <r>
          <rPr>
            <b/>
            <sz val="9"/>
            <color indexed="81"/>
            <rFont val="Tahoma"/>
            <family val="2"/>
          </rPr>
          <t>Hoffman, Brandon (Research):</t>
        </r>
        <r>
          <rPr>
            <sz val="9"/>
            <color indexed="81"/>
            <rFont val="Tahoma"/>
            <family val="2"/>
          </rPr>
          <t xml:space="preserve">
10Q: We also experienced a decrease of $0.1 million in website infrastructure expense. This decrease is primarily due to lower hosting costs achieved from improved pricing from key website hosting vendors, offset by an increase in salary.</t>
        </r>
      </text>
    </comment>
    <comment ref="BO45" authorId="2">
      <text>
        <r>
          <rPr>
            <b/>
            <sz val="9"/>
            <color indexed="81"/>
            <rFont val="Tahoma"/>
            <family val="2"/>
          </rPr>
          <t>Nowak, Brian (Research):</t>
        </r>
        <r>
          <rPr>
            <sz val="9"/>
            <color indexed="81"/>
            <rFont val="Tahoma"/>
            <family val="2"/>
          </rPr>
          <t xml:space="preserve">
Cost of revenue increased in 2015 due to investments we’ve made in our hosting centers and testing infrastructure</t>
        </r>
      </text>
    </comment>
    <comment ref="BP45" authorId="5">
      <text>
        <r>
          <rPr>
            <b/>
            <sz val="9"/>
            <color indexed="81"/>
            <rFont val="Tahoma"/>
            <family val="2"/>
          </rPr>
          <t>Lanterman, Jon (Research):</t>
        </r>
        <r>
          <rPr>
            <sz val="9"/>
            <color indexed="81"/>
            <rFont val="Tahoma"/>
            <family val="2"/>
          </rPr>
          <t xml:space="preserve">
External website hosting, and the salaries and related expenses of the internal personnel that support the website infrastructure increased $1.0 million and $12.2 million in 2016 and 2015, respectively, resulting from an increase in the number of visitors to our website and transactions completed in our website compared to the prior years, as well as increased headcount for personnel supporting the website infrastructure. In 2016, those increases were partially offset by improved pricing from key website hosting vendors achieved during 2016.</t>
        </r>
      </text>
    </comment>
    <comment ref="AL48" authorId="1">
      <text>
        <r>
          <rPr>
            <b/>
            <sz val="9"/>
            <color indexed="81"/>
            <rFont val="Tahoma"/>
            <family val="2"/>
          </rPr>
          <t>Hyde, Owen (Research):</t>
        </r>
        <r>
          <rPr>
            <sz val="9"/>
            <color indexed="81"/>
            <rFont val="Tahoma"/>
            <family val="2"/>
          </rPr>
          <t xml:space="preserve">
Implied by outside hosting + website personnel 6M ended =+3</t>
        </r>
      </text>
    </comment>
    <comment ref="AP49" authorId="4">
      <text>
        <r>
          <rPr>
            <b/>
            <sz val="9"/>
            <color indexed="81"/>
            <rFont val="Tahoma"/>
            <family val="2"/>
          </rPr>
          <t>Hoffman, Brandon (Research):</t>
        </r>
        <r>
          <rPr>
            <sz val="9"/>
            <color indexed="81"/>
            <rFont val="Tahoma"/>
            <family val="2"/>
          </rPr>
          <t xml:space="preserve">
2Q 10Q: increased from growth in ad and transaction revenues</t>
        </r>
      </text>
    </comment>
    <comment ref="BO49" authorId="1">
      <text>
        <r>
          <rPr>
            <b/>
            <sz val="9"/>
            <color indexed="81"/>
            <rFont val="Tahoma"/>
            <family val="2"/>
          </rPr>
          <t>Hyde, Owen (Research):</t>
        </r>
        <r>
          <rPr>
            <sz val="9"/>
            <color indexed="81"/>
            <rFont val="Tahoma"/>
            <family val="2"/>
          </rPr>
          <t xml:space="preserve">
Impacted by CC fees from Eat24
3/9/16 majority of increase from eat24 credit card
</t>
        </r>
      </text>
    </comment>
    <comment ref="AL50" authorId="1">
      <text>
        <r>
          <rPr>
            <b/>
            <sz val="9"/>
            <color indexed="81"/>
            <rFont val="Tahoma"/>
            <family val="2"/>
          </rPr>
          <t>Hyde, Owen (Research):</t>
        </r>
        <r>
          <rPr>
            <sz val="9"/>
            <color indexed="81"/>
            <rFont val="Tahoma"/>
            <family val="2"/>
          </rPr>
          <t xml:space="preserve">
Not mentioned in 10Q</t>
        </r>
      </text>
    </comment>
    <comment ref="AP50" authorId="4">
      <text>
        <r>
          <rPr>
            <b/>
            <sz val="9"/>
            <color indexed="81"/>
            <rFont val="Tahoma"/>
            <family val="2"/>
          </rPr>
          <t>Hoffman, Brandon (Research):</t>
        </r>
        <r>
          <rPr>
            <sz val="9"/>
            <color indexed="81"/>
            <rFont val="Tahoma"/>
            <family val="2"/>
          </rPr>
          <t xml:space="preserve">
2Q 10Q: increased from lift in number of transactions</t>
        </r>
      </text>
    </comment>
    <comment ref="AB64" authorId="6">
      <text>
        <r>
          <rPr>
            <b/>
            <sz val="8"/>
            <color indexed="81"/>
            <rFont val="Tahoma"/>
            <family val="2"/>
          </rPr>
          <t>monahjor:</t>
        </r>
        <r>
          <rPr>
            <sz val="8"/>
            <color indexed="81"/>
            <rFont val="Tahoma"/>
            <family val="2"/>
          </rPr>
          <t xml:space="preserve">
 Domestic sales and marketing was 49% of revenue compared to 50% in the prior year's quarter.</t>
        </r>
      </text>
    </comment>
    <comment ref="AG64" authorId="0">
      <text>
        <r>
          <rPr>
            <b/>
            <sz val="9"/>
            <color indexed="81"/>
            <rFont val="Tahoma"/>
            <family val="2"/>
          </rPr>
          <t>Soyer-Osman, Erhan (Research):</t>
        </r>
        <r>
          <rPr>
            <sz val="9"/>
            <color indexed="81"/>
            <rFont val="Tahoma"/>
            <family val="2"/>
          </rPr>
          <t xml:space="preserve">
1Q earnings couple million in online/offline</t>
        </r>
      </text>
    </comment>
    <comment ref="AH64" authorId="0">
      <text>
        <r>
          <rPr>
            <b/>
            <sz val="9"/>
            <color indexed="81"/>
            <rFont val="Tahoma"/>
            <family val="2"/>
          </rPr>
          <t>Soyer-Osman, Erhan (Research):</t>
        </r>
        <r>
          <rPr>
            <sz val="9"/>
            <color indexed="81"/>
            <rFont val="Tahoma"/>
            <family val="2"/>
          </rPr>
          <t xml:space="preserve">
1Q earnings step up marketing spend a bit more</t>
        </r>
      </text>
    </comment>
    <comment ref="AI64" authorId="1">
      <text>
        <r>
          <rPr>
            <b/>
            <sz val="9"/>
            <color indexed="81"/>
            <rFont val="Tahoma"/>
            <family val="2"/>
          </rPr>
          <t>Hyde, Owen (Research):</t>
        </r>
        <r>
          <rPr>
            <sz val="9"/>
            <color indexed="81"/>
            <rFont val="Tahoma"/>
            <family val="2"/>
          </rPr>
          <t xml:space="preserve">
3Q15: 
The increase in sales and marketing expense was primarily driven by the increase in marketing with our national TV advertising campaign on higher than expected sales headcount growth.</t>
        </r>
      </text>
    </comment>
    <comment ref="BL64" authorId="7">
      <text>
        <r>
          <rPr>
            <b/>
            <sz val="8"/>
            <color indexed="81"/>
            <rFont val="Tahoma"/>
            <family val="2"/>
          </rPr>
          <t>jorgeo:</t>
        </r>
        <r>
          <rPr>
            <sz val="8"/>
            <color indexed="81"/>
            <rFont val="Tahoma"/>
            <family val="2"/>
          </rPr>
          <t xml:space="preserve">
"We expect our community management costs to increase as we continue to expand to new markets and within existing markets. We expect our sales and marketing expenses to increase both domestically and internationally as we expand our domestic and international footprint, increase the number of active local business accounts and continue to build our brand. In particular, we expect to spend approximately $15 million internationally in 2012 as compared to approximately $7 million spent in 2011. The substantial majority of these expenses will be related to hiring an international sales force. We expect sales and marketing expenses to increase and to be our largest expense for the foreseeable future."
Source: Prospectus</t>
        </r>
      </text>
    </comment>
    <comment ref="BN64" authorId="0">
      <text>
        <r>
          <rPr>
            <b/>
            <sz val="9"/>
            <color indexed="81"/>
            <rFont val="Tahoma"/>
            <family val="2"/>
          </rPr>
          <t>Soyer-Osman, Erhan (Research):</t>
        </r>
        <r>
          <rPr>
            <sz val="9"/>
            <color indexed="81"/>
            <rFont val="Tahoma"/>
            <family val="2"/>
          </rPr>
          <t xml:space="preserve">
spent $10mn in CAC(offline)</t>
        </r>
      </text>
    </comment>
    <comment ref="BO64" authorId="0">
      <text>
        <r>
          <rPr>
            <b/>
            <sz val="9"/>
            <color indexed="81"/>
            <rFont val="Tahoma"/>
            <family val="2"/>
          </rPr>
          <t>Soyer-Osman, Erhan (Research):</t>
        </r>
        <r>
          <rPr>
            <sz val="9"/>
            <color indexed="81"/>
            <rFont val="Tahoma"/>
            <family val="2"/>
          </rPr>
          <t xml:space="preserve">
expect $30mn spend in both offline and online advertising
</t>
        </r>
      </text>
    </comment>
    <comment ref="BP64" authorId="1">
      <text>
        <r>
          <rPr>
            <b/>
            <sz val="9"/>
            <color indexed="81"/>
            <rFont val="Tahoma"/>
            <family val="2"/>
          </rPr>
          <t>Hyde, Owen (Research):</t>
        </r>
        <r>
          <rPr>
            <sz val="9"/>
            <color indexed="81"/>
            <rFont val="Tahoma"/>
            <family val="2"/>
          </rPr>
          <t xml:space="preserve">
4Q15 call: plan to continue investing in marketing throughout 2016</t>
        </r>
      </text>
    </comment>
    <comment ref="BQ64" authorId="4">
      <text>
        <r>
          <rPr>
            <b/>
            <sz val="9"/>
            <color indexed="81"/>
            <rFont val="Tahoma"/>
            <family val="2"/>
          </rPr>
          <t>Hoffman, Brandon (Research):</t>
        </r>
        <r>
          <rPr>
            <sz val="9"/>
            <color indexed="81"/>
            <rFont val="Tahoma"/>
            <family val="2"/>
          </rPr>
          <t xml:space="preserve">
1Q17 mgmt called out investing in performance marketing, away from brand mktg
4Q16 expect marketing to grow in-line or slightly faster than revenue in 2017</t>
        </r>
      </text>
    </comment>
    <comment ref="AK65" authorId="2">
      <text>
        <r>
          <rPr>
            <b/>
            <sz val="9"/>
            <color indexed="81"/>
            <rFont val="Tahoma"/>
            <family val="2"/>
          </rPr>
          <t>Nowak, Brian (Research):</t>
        </r>
        <r>
          <rPr>
            <sz val="9"/>
            <color indexed="81"/>
            <rFont val="Tahoma"/>
            <family val="2"/>
          </rPr>
          <t xml:space="preserve">
4Q:15 conf callheavier in 1H given hiring </t>
        </r>
      </text>
    </comment>
    <comment ref="AL65" authorId="2">
      <text>
        <r>
          <rPr>
            <b/>
            <sz val="9"/>
            <color indexed="81"/>
            <rFont val="Tahoma"/>
            <family val="2"/>
          </rPr>
          <t>Nowak, Brian (Research):</t>
        </r>
        <r>
          <rPr>
            <sz val="9"/>
            <color indexed="81"/>
            <rFont val="Tahoma"/>
            <family val="2"/>
          </rPr>
          <t xml:space="preserve">
4Q:15 conf call heavier in 1H given hiring </t>
        </r>
      </text>
    </comment>
    <comment ref="AO65" authorId="4">
      <text>
        <r>
          <rPr>
            <b/>
            <sz val="9"/>
            <color indexed="81"/>
            <rFont val="Tahoma"/>
            <family val="2"/>
          </rPr>
          <t>Hoffman, Brandon (Research):</t>
        </r>
        <r>
          <rPr>
            <sz val="9"/>
            <color indexed="81"/>
            <rFont val="Tahoma"/>
            <family val="2"/>
          </rPr>
          <t xml:space="preserve">
1Q17 ticked upward in the first quarter. Higher salaries and greater commissions paid to our sales force and an increase in marketing investment, particularly in performance marketing, drove the increase in this expense category relative to revenue</t>
        </r>
      </text>
    </comment>
    <comment ref="AP65" authorId="4">
      <text>
        <r>
          <rPr>
            <b/>
            <sz val="9"/>
            <color indexed="81"/>
            <rFont val="Tahoma"/>
            <family val="2"/>
          </rPr>
          <t>Hoffman, Brandon (Research):</t>
        </r>
        <r>
          <rPr>
            <sz val="9"/>
            <color indexed="81"/>
            <rFont val="Tahoma"/>
            <family val="2"/>
          </rPr>
          <t xml:space="preserve">
2Q 
This improvement reflects lower brand advertising spending and lower sales commissions in the most recent quarter.</t>
        </r>
      </text>
    </comment>
    <comment ref="AQ65" authorId="4">
      <text>
        <r>
          <rPr>
            <b/>
            <sz val="9"/>
            <color indexed="81"/>
            <rFont val="Tahoma"/>
            <family val="2"/>
          </rPr>
          <t>Hoffman, Brandon (Research):</t>
        </r>
        <r>
          <rPr>
            <sz val="9"/>
            <color indexed="81"/>
            <rFont val="Tahoma"/>
            <family val="2"/>
          </rPr>
          <t xml:space="preserve">
3Q call: Year-to-date, in 2017, the ratio of sales and marketing expenses to total revenue has decreased by 3.7 percentage points versus the same time frame last year. That </t>
        </r>
        <r>
          <rPr>
            <b/>
            <sz val="9"/>
            <color indexed="81"/>
            <rFont val="Tahoma"/>
            <family val="2"/>
          </rPr>
          <t xml:space="preserve">improvement in sales and marketing efficiency </t>
        </r>
        <r>
          <rPr>
            <sz val="9"/>
            <color indexed="81"/>
            <rFont val="Tahoma"/>
            <family val="2"/>
          </rPr>
          <t>has been achieved at the same time that we've grown mobile app users, reduced dependence on third-party traffic, opened new sales channels and marketing capabilities and devoted incremental sales resources to launch new product lines. This</t>
        </r>
      </text>
    </comment>
    <comment ref="BQ68" authorId="3">
      <text>
        <r>
          <rPr>
            <b/>
            <sz val="9"/>
            <color indexed="81"/>
            <rFont val="Tahoma"/>
            <family val="2"/>
          </rPr>
          <t>Liu, Kevin (Research):</t>
        </r>
        <r>
          <rPr>
            <sz val="9"/>
            <color indexed="81"/>
            <rFont val="Tahoma"/>
            <family val="2"/>
          </rPr>
          <t xml:space="preserve">
4Q:16 earnings call: grow in line or slightly faster than rev; continued investment in local and national sales teams, marketing initiatives</t>
        </r>
      </text>
    </comment>
    <comment ref="AG73" authorId="0">
      <text>
        <r>
          <rPr>
            <b/>
            <sz val="9"/>
            <color indexed="81"/>
            <rFont val="Tahoma"/>
            <family val="2"/>
          </rPr>
          <t>Soyer-Osman, Erhan (Research):</t>
        </r>
        <r>
          <rPr>
            <sz val="9"/>
            <color indexed="81"/>
            <rFont val="Tahoma"/>
            <family val="2"/>
          </rPr>
          <t xml:space="preserve">
1Q earnings couple million in online/offline</t>
        </r>
      </text>
    </comment>
    <comment ref="AH73" authorId="0">
      <text>
        <r>
          <rPr>
            <b/>
            <sz val="9"/>
            <color indexed="81"/>
            <rFont val="Tahoma"/>
            <family val="2"/>
          </rPr>
          <t>Soyer-Osman, Erhan (Research):</t>
        </r>
        <r>
          <rPr>
            <sz val="9"/>
            <color indexed="81"/>
            <rFont val="Tahoma"/>
            <family val="2"/>
          </rPr>
          <t xml:space="preserve">
1Q earnings step up marketing spend a bit more</t>
        </r>
      </text>
    </comment>
    <comment ref="AI73" authorId="0">
      <text>
        <r>
          <rPr>
            <b/>
            <sz val="9"/>
            <color indexed="81"/>
            <rFont val="Tahoma"/>
            <family val="2"/>
          </rPr>
          <t>bnowak</t>
        </r>
        <r>
          <rPr>
            <sz val="9"/>
            <color indexed="81"/>
            <rFont val="Tahoma"/>
            <family val="2"/>
          </rPr>
          <t xml:space="preserve">
expect 10mn in 3Q per 2Q:15 conf call</t>
        </r>
      </text>
    </comment>
    <comment ref="AJ73" authorId="0">
      <text>
        <r>
          <rPr>
            <b/>
            <sz val="9"/>
            <color indexed="81"/>
            <rFont val="Tahoma"/>
            <family val="2"/>
          </rPr>
          <t>bnowak</t>
        </r>
        <r>
          <rPr>
            <sz val="9"/>
            <color indexed="81"/>
            <rFont val="Tahoma"/>
            <family val="2"/>
          </rPr>
          <t xml:space="preserve">
3Q call: 13M, 10 on yelp and 3 on eat24
expect 20mn in 2h per 2Q:15 conf call</t>
        </r>
      </text>
    </comment>
    <comment ref="AK73" authorId="1">
      <text>
        <r>
          <rPr>
            <b/>
            <sz val="9"/>
            <color indexed="81"/>
            <rFont val="Tahoma"/>
            <family val="2"/>
          </rPr>
          <t>Hyde, Owen (Research):</t>
        </r>
        <r>
          <rPr>
            <sz val="9"/>
            <color indexed="81"/>
            <rFont val="Tahoma"/>
            <family val="2"/>
          </rPr>
          <t xml:space="preserve">
1Q16 call: 13mn
4Q15 call: 14mn in 1Q</t>
        </r>
      </text>
    </comment>
    <comment ref="AL73" authorId="1">
      <text>
        <r>
          <rPr>
            <b/>
            <sz val="9"/>
            <color indexed="81"/>
            <rFont val="Tahoma"/>
            <family val="2"/>
          </rPr>
          <t>Hyde, Owen (Research):</t>
        </r>
        <r>
          <rPr>
            <sz val="9"/>
            <color indexed="81"/>
            <rFont val="Tahoma"/>
            <family val="2"/>
          </rPr>
          <t xml:space="preserve">
2Q16 call: "through the first part of the year we spent I think almost exactly $25 million"
4Q15 call: 
we plan to spend slightly less in marketing in the second half of 2016 and also expect slower sales headcount growth in the fourth quarter of 2016 compared to the same period in 2015</t>
        </r>
      </text>
    </comment>
    <comment ref="AM73" authorId="5">
      <text>
        <r>
          <rPr>
            <b/>
            <sz val="9"/>
            <color indexed="81"/>
            <rFont val="Tahoma"/>
            <family val="2"/>
          </rPr>
          <t>Lanterman, Jon (Research):</t>
        </r>
        <r>
          <rPr>
            <sz val="9"/>
            <color indexed="81"/>
            <rFont val="Tahoma"/>
            <family val="2"/>
          </rPr>
          <t xml:space="preserve">
3Q:16 Conference Call:
Total advertising spend in the third quarter of 2016 was $12.4 million which compares to about $11 million in the third quarter of 2015. We actually spent almost $2 million more in marketing than we'd originally planned during the third quarter, taking advantage of better-than-expected overall
performance to for long-term brand awareness and traffic growth.</t>
        </r>
      </text>
    </comment>
    <comment ref="AO73" authorId="4">
      <text>
        <r>
          <rPr>
            <b/>
            <sz val="9"/>
            <color indexed="81"/>
            <rFont val="Tahoma"/>
            <family val="2"/>
          </rPr>
          <t>Hoffman, Brandon (Research):</t>
        </r>
        <r>
          <rPr>
            <sz val="9"/>
            <color indexed="81"/>
            <rFont val="Tahoma"/>
            <family val="2"/>
          </rPr>
          <t xml:space="preserve">
1Q17 mgmt called out investing in performance marketing, away from brand mktg</t>
        </r>
      </text>
    </comment>
    <comment ref="AP73" authorId="4">
      <text>
        <r>
          <rPr>
            <b/>
            <sz val="9"/>
            <color indexed="81"/>
            <rFont val="Tahoma"/>
            <family val="2"/>
          </rPr>
          <t>Hoffman, Brandon (Research):</t>
        </r>
        <r>
          <rPr>
            <sz val="9"/>
            <color indexed="81"/>
            <rFont val="Tahoma"/>
            <family val="2"/>
          </rPr>
          <t xml:space="preserve">
2Q17 mgmt called out investing in performance marketing, away from brand mktg</t>
        </r>
      </text>
    </comment>
    <comment ref="AQ73" authorId="4">
      <text>
        <r>
          <rPr>
            <b/>
            <sz val="9"/>
            <color indexed="81"/>
            <rFont val="Tahoma"/>
            <family val="2"/>
          </rPr>
          <t>Hoffman, Brandon (Research):</t>
        </r>
        <r>
          <rPr>
            <sz val="9"/>
            <color indexed="81"/>
            <rFont val="Tahoma"/>
            <family val="2"/>
          </rPr>
          <t xml:space="preserve">
3Q call: Within our mobile app user growth, the installation contribution from performance marketing is up nearly 4x versus last year</t>
        </r>
      </text>
    </comment>
    <comment ref="BM73" authorId="2">
      <text>
        <r>
          <rPr>
            <b/>
            <sz val="9"/>
            <color indexed="81"/>
            <rFont val="Tahoma"/>
            <family val="2"/>
          </rPr>
          <t>Nowak, Brian (Research):</t>
        </r>
        <r>
          <rPr>
            <sz val="9"/>
            <color indexed="81"/>
            <rFont val="Tahoma"/>
            <family val="2"/>
          </rPr>
          <t xml:space="preserve">
diminimus per Rob 2/2015</t>
        </r>
      </text>
    </comment>
    <comment ref="BP73" authorId="1">
      <text>
        <r>
          <rPr>
            <b/>
            <sz val="9"/>
            <color indexed="81"/>
            <rFont val="Tahoma"/>
            <family val="2"/>
          </rPr>
          <t>Hyde, Owen (Research):</t>
        </r>
        <r>
          <rPr>
            <sz val="9"/>
            <color indexed="81"/>
            <rFont val="Tahoma"/>
            <family val="2"/>
          </rPr>
          <t xml:space="preserve">
JPM Conf May 25: One of the big lumps this year is the marketing spending that is up significantly from last year. We're doing that to drive awareness and engagement. As I said, that's one of our primary priorities. We're really happy with what we're seeing there. </t>
        </r>
        <r>
          <rPr>
            <b/>
            <sz val="9"/>
            <color indexed="81"/>
            <rFont val="Tahoma"/>
            <family val="2"/>
          </rPr>
          <t>We don't think it's going to be ratcheting up as another big percent of revenue in future years.</t>
        </r>
        <r>
          <rPr>
            <sz val="9"/>
            <color indexed="81"/>
            <rFont val="Tahoma"/>
            <family val="2"/>
          </rPr>
          <t xml:space="preserve"> And frankly, $50 million spent against the kind of revenue outlook that we have for this year doesn't seem like it's wildly out of the way you ought to steward a consumer brand in terms of the proportion of revenue that we're dedicating to that.
It's a lump in the throat of our P&amp;L today, but it's not in the long term 
2Q:16 less than 50mn
1Q16: 50 mn
50mn…20mn incremental vs 2015 
4Q15 call:  spend slightly less in marketing in the second half of 2016 and also expect slower sales headcount growth in the fourth quarter of 2016 compared to the same period in 2015.</t>
        </r>
      </text>
    </comment>
    <comment ref="BQ74" authorId="2">
      <text>
        <r>
          <rPr>
            <b/>
            <sz val="9"/>
            <color indexed="81"/>
            <rFont val="Tahoma"/>
            <family val="2"/>
          </rPr>
          <t>Nowak, Brian (Research):</t>
        </r>
        <r>
          <rPr>
            <sz val="9"/>
            <color indexed="81"/>
            <rFont val="Tahoma"/>
            <family val="2"/>
          </rPr>
          <t xml:space="preserve">
BN modeling in other rev share or other customer acquisition channels than sales</t>
        </r>
      </text>
    </comment>
    <comment ref="BO77" authorId="1">
      <text>
        <r>
          <rPr>
            <b/>
            <sz val="9"/>
            <color indexed="81"/>
            <rFont val="Tahoma"/>
            <family val="2"/>
          </rPr>
          <t>Hyde, Owen (Research):</t>
        </r>
        <r>
          <rPr>
            <sz val="9"/>
            <color indexed="81"/>
            <rFont val="Tahoma"/>
            <family val="2"/>
          </rPr>
          <t xml:space="preserve">
As a result of new marketing campaigns, including those of Eat24 in 2015, domestic and international marketing and advertising costs increased by $23.8 million and $9.2 million in 2015 and 2014, respectively.</t>
        </r>
      </text>
    </comment>
    <comment ref="BQ77" authorId="2">
      <text>
        <r>
          <rPr>
            <b/>
            <sz val="9"/>
            <color indexed="81"/>
            <rFont val="Tahoma"/>
            <family val="2"/>
          </rPr>
          <t>Nowak, Brian (Research):</t>
        </r>
        <r>
          <rPr>
            <sz val="9"/>
            <color indexed="81"/>
            <rFont val="Tahoma"/>
            <family val="2"/>
          </rPr>
          <t xml:space="preserve">
BN modeling in other rev share or other customer acquisition channels than sales</t>
        </r>
      </text>
    </comment>
    <comment ref="BY92" authorId="1">
      <text>
        <r>
          <rPr>
            <b/>
            <sz val="9"/>
            <color indexed="81"/>
            <rFont val="Tahoma"/>
            <family val="2"/>
          </rPr>
          <t>Hyde, Owen (Research):</t>
        </r>
        <r>
          <rPr>
            <sz val="9"/>
            <color indexed="81"/>
            <rFont val="Tahoma"/>
            <family val="2"/>
          </rPr>
          <t xml:space="preserve">
2Q16 slides: LT Target model = 43% to 44% (includes SBC)</t>
        </r>
      </text>
    </comment>
    <comment ref="AJ96" authorId="1">
      <text>
        <r>
          <rPr>
            <b/>
            <sz val="9"/>
            <color indexed="81"/>
            <rFont val="Tahoma"/>
            <family val="2"/>
          </rPr>
          <t>Hyde, Owen (Research):</t>
        </r>
        <r>
          <rPr>
            <sz val="9"/>
            <color indexed="81"/>
            <rFont val="Tahoma"/>
            <family val="2"/>
          </rPr>
          <t xml:space="preserve">
Why does this spike?</t>
        </r>
      </text>
    </comment>
    <comment ref="AN96" authorId="1">
      <text>
        <r>
          <rPr>
            <b/>
            <sz val="9"/>
            <color indexed="81"/>
            <rFont val="Tahoma"/>
            <family val="2"/>
          </rPr>
          <t>Hyde, Owen (Research):</t>
        </r>
        <r>
          <rPr>
            <sz val="9"/>
            <color indexed="81"/>
            <rFont val="Tahoma"/>
            <family val="2"/>
          </rPr>
          <t xml:space="preserve">
Why does this spike?</t>
        </r>
      </text>
    </comment>
    <comment ref="AH97" authorId="1">
      <text>
        <r>
          <rPr>
            <b/>
            <sz val="9"/>
            <color indexed="81"/>
            <rFont val="Tahoma"/>
            <family val="2"/>
          </rPr>
          <t>Hyde, Owen (Research):</t>
        </r>
        <r>
          <rPr>
            <sz val="9"/>
            <color indexed="81"/>
            <rFont val="Tahoma"/>
            <family val="2"/>
          </rPr>
          <t xml:space="preserve">
10Q last 6 months doesn't add</t>
        </r>
      </text>
    </comment>
    <comment ref="AH101" authorId="1">
      <text>
        <r>
          <rPr>
            <b/>
            <sz val="9"/>
            <color indexed="81"/>
            <rFont val="Tahoma"/>
            <family val="2"/>
          </rPr>
          <t>Hyde, Owen (Research):</t>
        </r>
        <r>
          <rPr>
            <sz val="9"/>
            <color indexed="81"/>
            <rFont val="Tahoma"/>
            <family val="2"/>
          </rPr>
          <t xml:space="preserve">
10Q last 6 months doesn't add</t>
        </r>
      </text>
    </comment>
    <comment ref="AJ101" authorId="1">
      <text>
        <r>
          <rPr>
            <b/>
            <sz val="9"/>
            <color indexed="81"/>
            <rFont val="Tahoma"/>
            <family val="2"/>
          </rPr>
          <t>Hyde, Owen (Research):</t>
        </r>
        <r>
          <rPr>
            <sz val="9"/>
            <color indexed="81"/>
            <rFont val="Tahoma"/>
            <family val="2"/>
          </rPr>
          <t xml:space="preserve">
Why is this down?</t>
        </r>
      </text>
    </comment>
    <comment ref="AN101" authorId="1">
      <text>
        <r>
          <rPr>
            <b/>
            <sz val="9"/>
            <color indexed="81"/>
            <rFont val="Tahoma"/>
            <family val="2"/>
          </rPr>
          <t>Hyde, Owen (Research):</t>
        </r>
        <r>
          <rPr>
            <sz val="9"/>
            <color indexed="81"/>
            <rFont val="Tahoma"/>
            <family val="2"/>
          </rPr>
          <t xml:space="preserve">
Why is this down?</t>
        </r>
      </text>
    </comment>
    <comment ref="BO101" authorId="2">
      <text>
        <r>
          <rPr>
            <b/>
            <sz val="9"/>
            <color indexed="81"/>
            <rFont val="Tahoma"/>
            <family val="2"/>
          </rPr>
          <t>Nowak, Brian (Research):</t>
        </r>
        <r>
          <rPr>
            <sz val="9"/>
            <color indexed="81"/>
            <rFont val="Tahoma"/>
            <family val="2"/>
          </rPr>
          <t xml:space="preserve">
Allie: The primary driver of the increase in S&amp;M facilities expense was due to the costs associated with the buildout of our new New York office, our first Chicago office, and the expansion of our office space in San Francisco and Phoenix.</t>
        </r>
      </text>
    </comment>
    <comment ref="BL102" authorId="1">
      <text>
        <r>
          <rPr>
            <b/>
            <sz val="9"/>
            <color indexed="81"/>
            <rFont val="Tahoma"/>
            <family val="2"/>
          </rPr>
          <t>Hyde, Owen (Research):</t>
        </r>
        <r>
          <rPr>
            <sz val="9"/>
            <color indexed="81"/>
            <rFont val="Tahoma"/>
            <family val="2"/>
          </rPr>
          <t xml:space="preserve">
In addition, we experienced an increase in facilities and related allocations of $5.0 million and domestic and international marketing and advertising costs of $0.4 million. For the year ended December 31, 2012, we spent $13.2 million related to our international sales and marketing operations compared to $7.0 million for the year ended December 31, 2011.</t>
        </r>
      </text>
    </comment>
    <comment ref="BP108" authorId="5">
      <text>
        <r>
          <rPr>
            <b/>
            <sz val="9"/>
            <color indexed="81"/>
            <rFont val="Tahoma"/>
            <family val="2"/>
          </rPr>
          <t>Lanterman, Jon (Research):</t>
        </r>
        <r>
          <rPr>
            <sz val="9"/>
            <color indexed="81"/>
            <rFont val="Tahoma"/>
            <family val="2"/>
          </rPr>
          <t xml:space="preserve">
We noted y-y headline 2016 Salesforce Headcount growth was just 11% owing to two things we did approaching the end of the year: 1) eliminating sales, marketing and Community Management in Europe, and 2) transferring a large number of new-business salespeople to staff up the newer "Local Client Partner" team, which focuses on Local SMB upsells and client satisfaction.  LCPs were not included in the year-end salesforce headcount, though they are quite productive.  Each of those two aforementioned items had an approximately 75 head reduction to the headline salesforce headcount.  The related Sales &amp; Marketing expenses for both, however, were carried for essentially the entire year.</t>
        </r>
      </text>
    </comment>
    <comment ref="AI119" authorId="1">
      <text>
        <r>
          <rPr>
            <b/>
            <sz val="9"/>
            <color indexed="81"/>
            <rFont val="Tahoma"/>
            <family val="2"/>
          </rPr>
          <t>Hyde, Owen (Research):</t>
        </r>
        <r>
          <rPr>
            <sz val="9"/>
            <color indexed="81"/>
            <rFont val="Tahoma"/>
            <family val="2"/>
          </rPr>
          <t xml:space="preserve">
3Q15: continue to invest in consumer features and advertising products.</t>
        </r>
      </text>
    </comment>
    <comment ref="BL119" authorId="7">
      <text>
        <r>
          <rPr>
            <b/>
            <sz val="8"/>
            <color indexed="81"/>
            <rFont val="Tahoma"/>
            <family val="2"/>
          </rPr>
          <t>jorgeo:</t>
        </r>
        <r>
          <rPr>
            <sz val="8"/>
            <color indexed="81"/>
            <rFont val="Tahoma"/>
            <family val="2"/>
          </rPr>
          <t xml:space="preserve">
"We believe that continued investment in features, software development tools and code modification is important to attaining our strategic objectives, and, as a result, we expect product development expense to increase for the foreseeable future."
Source: Prospectus</t>
        </r>
      </text>
    </comment>
    <comment ref="AO120" authorId="4">
      <text>
        <r>
          <rPr>
            <b/>
            <sz val="9"/>
            <color indexed="81"/>
            <rFont val="Tahoma"/>
            <family val="2"/>
          </rPr>
          <t>Hoffman, Brandon (Research):</t>
        </r>
        <r>
          <rPr>
            <sz val="9"/>
            <color indexed="81"/>
            <rFont val="Tahoma"/>
            <family val="2"/>
          </rPr>
          <t xml:space="preserve">
Product development expenses grew 24% year-to-year to $40 million in the first quarter. 
increase reflects hiring that's helped expand Yelp's engineering capacity. </t>
        </r>
      </text>
    </comment>
    <comment ref="BP120" authorId="2">
      <text>
        <r>
          <rPr>
            <b/>
            <sz val="9"/>
            <color indexed="81"/>
            <rFont val="Tahoma"/>
            <family val="2"/>
          </rPr>
          <t>Nowak, Brian (Research):</t>
        </r>
        <r>
          <rPr>
            <sz val="9"/>
            <color indexed="81"/>
            <rFont val="Tahoma"/>
            <family val="2"/>
          </rPr>
          <t xml:space="preserve">
expect to be source of leverage (fall as % of revenue) per Rob post 4Q</t>
        </r>
      </text>
    </comment>
    <comment ref="BQ120" authorId="4">
      <text>
        <r>
          <rPr>
            <b/>
            <sz val="9"/>
            <color indexed="81"/>
            <rFont val="Tahoma"/>
            <family val="2"/>
          </rPr>
          <t>Hoffman, Brandon (Research):</t>
        </r>
        <r>
          <rPr>
            <sz val="9"/>
            <color indexed="81"/>
            <rFont val="Tahoma"/>
            <family val="2"/>
          </rPr>
          <t xml:space="preserve">
2Q17 investments to "accelerate growth of Yelp WIFI later this year and into 2018"
1Q17 going to be investing in new acquisitions (TurnStyle and NoWait)</t>
        </r>
      </text>
    </comment>
    <comment ref="BQ121" authorId="3">
      <text>
        <r>
          <rPr>
            <b/>
            <sz val="9"/>
            <color indexed="81"/>
            <rFont val="Tahoma"/>
            <family val="2"/>
          </rPr>
          <t>Liu, Kevin (Research):</t>
        </r>
        <r>
          <rPr>
            <sz val="9"/>
            <color indexed="81"/>
            <rFont val="Tahoma"/>
            <family val="2"/>
          </rPr>
          <t xml:space="preserve">
4Q:16 earnings call: grow at a slower rate than sales and marketing </t>
        </r>
      </text>
    </comment>
    <comment ref="AH123" authorId="2">
      <text>
        <r>
          <rPr>
            <b/>
            <sz val="9"/>
            <color indexed="81"/>
            <rFont val="Tahoma"/>
            <family val="2"/>
          </rPr>
          <t>Nowak, Brian (Research):</t>
        </r>
        <r>
          <rPr>
            <sz val="9"/>
            <color indexed="81"/>
            <rFont val="Tahoma"/>
            <family val="2"/>
          </rPr>
          <t xml:space="preserve">
increased talent competition called out </t>
        </r>
      </text>
    </comment>
    <comment ref="AP128" authorId="4">
      <text>
        <r>
          <rPr>
            <b/>
            <sz val="9"/>
            <color indexed="81"/>
            <rFont val="Tahoma"/>
            <family val="2"/>
          </rPr>
          <t>Hoffman, Brandon (Research):</t>
        </r>
        <r>
          <rPr>
            <sz val="9"/>
            <color indexed="81"/>
            <rFont val="Tahoma"/>
            <family val="2"/>
          </rPr>
          <t xml:space="preserve">
2Q call:
The acquisitions of Nowait and Turnstyle added about $1.5 million of development expense in the quarter, and new hires accounted for the majority of product expense growth.</t>
        </r>
      </text>
    </comment>
    <comment ref="BY128" authorId="1">
      <text>
        <r>
          <rPr>
            <b/>
            <sz val="9"/>
            <color indexed="81"/>
            <rFont val="Tahoma"/>
            <family val="2"/>
          </rPr>
          <t>Hyde, Owen (Research):</t>
        </r>
        <r>
          <rPr>
            <sz val="9"/>
            <color indexed="81"/>
            <rFont val="Tahoma"/>
            <family val="2"/>
          </rPr>
          <t xml:space="preserve">
2Q16 slides: LT Target model = 12% to 14% (includes SBC)</t>
        </r>
      </text>
    </comment>
    <comment ref="AH135" authorId="1">
      <text>
        <r>
          <rPr>
            <b/>
            <sz val="9"/>
            <color indexed="81"/>
            <rFont val="Tahoma"/>
            <family val="2"/>
          </rPr>
          <t>Hyde, Owen (Research):</t>
        </r>
        <r>
          <rPr>
            <sz val="9"/>
            <color indexed="81"/>
            <rFont val="Tahoma"/>
            <family val="2"/>
          </rPr>
          <t xml:space="preserve">
10Q: 6 months don't add up</t>
        </r>
      </text>
    </comment>
    <comment ref="AI135" authorId="1">
      <text>
        <r>
          <rPr>
            <b/>
            <sz val="9"/>
            <color indexed="81"/>
            <rFont val="Tahoma"/>
            <family val="2"/>
          </rPr>
          <t>Hyde, Owen (Research):</t>
        </r>
        <r>
          <rPr>
            <sz val="9"/>
            <color indexed="81"/>
            <rFont val="Tahoma"/>
            <family val="2"/>
          </rPr>
          <t xml:space="preserve">
10Q: 9 months ended don't add up</t>
        </r>
      </text>
    </comment>
    <comment ref="BP141" authorId="5">
      <text>
        <r>
          <rPr>
            <b/>
            <sz val="9"/>
            <color indexed="81"/>
            <rFont val="Tahoma"/>
            <family val="2"/>
          </rPr>
          <t>Lanterman, Jon (Research):</t>
        </r>
        <r>
          <rPr>
            <sz val="9"/>
            <color indexed="81"/>
            <rFont val="Tahoma"/>
            <family val="2"/>
          </rPr>
          <t xml:space="preserve">
On the Product Development side, hiring engineers was a priority last year and their compensation tends to be higher, so as the mix of hiring shifts toward that population, so does the average per-head expense.</t>
        </r>
      </text>
    </comment>
    <comment ref="AB151" authorId="6">
      <text>
        <r>
          <rPr>
            <b/>
            <sz val="8"/>
            <color indexed="81"/>
            <rFont val="Tahoma"/>
            <family val="2"/>
          </rPr>
          <t>monahjor:</t>
        </r>
        <r>
          <rPr>
            <sz val="8"/>
            <color indexed="81"/>
            <rFont val="Tahoma"/>
            <family val="2"/>
          </rPr>
          <t xml:space="preserve">
We made an effort to reduce spend as a percentage of revenue year-over-year, and expect this trend to continue in 2014</t>
        </r>
      </text>
    </comment>
    <comment ref="BL151" authorId="8">
      <text>
        <r>
          <rPr>
            <b/>
            <sz val="8"/>
            <color indexed="81"/>
            <rFont val="Tahoma"/>
            <family val="2"/>
          </rPr>
          <t>Jordan Monahan:</t>
        </r>
        <r>
          <rPr>
            <sz val="8"/>
            <color indexed="81"/>
            <rFont val="Tahoma"/>
            <family val="2"/>
          </rPr>
          <t xml:space="preserve">
We believe that additional costs of becoming a public company will be between $3.0 million and $5.0 million per year</t>
        </r>
      </text>
    </comment>
    <comment ref="AG152" authorId="2">
      <text>
        <r>
          <rPr>
            <b/>
            <sz val="9"/>
            <color indexed="81"/>
            <rFont val="Tahoma"/>
            <family val="2"/>
          </rPr>
          <t>Nowak, Brian (Research):</t>
        </r>
        <r>
          <rPr>
            <sz val="9"/>
            <color indexed="81"/>
            <rFont val="Tahoma"/>
            <family val="2"/>
          </rPr>
          <t xml:space="preserve">
Eat24 integration</t>
        </r>
      </text>
    </comment>
    <comment ref="BY160" authorId="1">
      <text>
        <r>
          <rPr>
            <b/>
            <sz val="9"/>
            <color indexed="81"/>
            <rFont val="Tahoma"/>
            <family val="2"/>
          </rPr>
          <t>Hyde, Owen (Research):</t>
        </r>
        <r>
          <rPr>
            <sz val="9"/>
            <color indexed="81"/>
            <rFont val="Tahoma"/>
            <family val="2"/>
          </rPr>
          <t xml:space="preserve">
2Q16 slides: LT Target model = 8% to 11% (includes SBC)</t>
        </r>
      </text>
    </comment>
    <comment ref="BO166" authorId="5">
      <text>
        <r>
          <rPr>
            <b/>
            <sz val="9"/>
            <color indexed="81"/>
            <rFont val="Tahoma"/>
            <family val="2"/>
          </rPr>
          <t>Lanterman, Jon (Research):</t>
        </r>
        <r>
          <rPr>
            <sz val="9"/>
            <color indexed="81"/>
            <rFont val="Tahoma"/>
            <family val="2"/>
          </rPr>
          <t xml:space="preserve">
Outside Consultants</t>
        </r>
      </text>
    </comment>
    <comment ref="AL167" authorId="1">
      <text>
        <r>
          <rPr>
            <b/>
            <sz val="9"/>
            <color indexed="81"/>
            <rFont val="Tahoma"/>
            <family val="2"/>
          </rPr>
          <t>Hyde, Owen (Research):</t>
        </r>
        <r>
          <rPr>
            <sz val="9"/>
            <color indexed="81"/>
            <rFont val="Tahoma"/>
            <family val="2"/>
          </rPr>
          <t xml:space="preserve">
Implied (plug) not stated in Q</t>
        </r>
      </text>
    </comment>
    <comment ref="AP168" authorId="4">
      <text>
        <r>
          <rPr>
            <b/>
            <sz val="9"/>
            <color indexed="81"/>
            <rFont val="Tahoma"/>
            <family val="2"/>
          </rPr>
          <t>Hoffman, Brandon (Research):</t>
        </r>
        <r>
          <rPr>
            <sz val="9"/>
            <color indexed="81"/>
            <rFont val="Tahoma"/>
            <family val="2"/>
          </rPr>
          <t xml:space="preserve">
2Q 10Q: improved collection rates from ad customers even as ad revenue increased over same period</t>
        </r>
      </text>
    </comment>
    <comment ref="AQ168" authorId="4">
      <text>
        <r>
          <rPr>
            <b/>
            <sz val="9"/>
            <color indexed="81"/>
            <rFont val="Tahoma"/>
            <family val="2"/>
          </rPr>
          <t>Hoffman, Brandon (Research):</t>
        </r>
        <r>
          <rPr>
            <sz val="9"/>
            <color indexed="81"/>
            <rFont val="Tahoma"/>
            <family val="2"/>
          </rPr>
          <t xml:space="preserve">
10Q: improved collection rates from advertising customers even as advertising revenue increased over the same period</t>
        </r>
      </text>
    </comment>
    <comment ref="BP168" authorId="5">
      <text>
        <r>
          <rPr>
            <b/>
            <sz val="9"/>
            <color indexed="81"/>
            <rFont val="Tahoma"/>
            <family val="2"/>
          </rPr>
          <t>Lanterman, Jon (Research):</t>
        </r>
        <r>
          <rPr>
            <sz val="9"/>
            <color indexed="81"/>
            <rFont val="Tahoma"/>
            <family val="2"/>
          </rPr>
          <t xml:space="preserve">
The two major drivers of the increase in bad debt expense were: 1) the larger and growing base of advertisers and budgets, and 2) the continued shift to CPC from CPM.  CPC is billed in arrears whereas CPM was billed in advance, so Yelp reserves more bad debt as the mix shifts to CPC.  Transactions, including Eat24, was not a significant factor in the year-to-year growth of Bad Debt Expense in 4Q or FY16.</t>
        </r>
      </text>
    </comment>
    <comment ref="BL169" authorId="1">
      <text>
        <r>
          <rPr>
            <b/>
            <sz val="9"/>
            <color indexed="81"/>
            <rFont val="Tahoma"/>
            <family val="2"/>
          </rPr>
          <t>Hyde, Owen (Research):</t>
        </r>
        <r>
          <rPr>
            <sz val="9"/>
            <color indexed="81"/>
            <rFont val="Tahoma"/>
            <family val="2"/>
          </rPr>
          <t xml:space="preserve">
.7M in legal expenses</t>
        </r>
      </text>
    </comment>
    <comment ref="BM169" authorId="1">
      <text>
        <r>
          <rPr>
            <b/>
            <sz val="9"/>
            <color indexed="81"/>
            <rFont val="Tahoma"/>
            <family val="2"/>
          </rPr>
          <t>Hyde, Owen (Research):</t>
        </r>
        <r>
          <rPr>
            <sz val="9"/>
            <color indexed="81"/>
            <rFont val="Tahoma"/>
            <family val="2"/>
          </rPr>
          <t xml:space="preserve">
decreased legal expenses</t>
        </r>
      </text>
    </comment>
    <comment ref="U185" authorId="8">
      <text>
        <r>
          <rPr>
            <b/>
            <sz val="8"/>
            <color indexed="81"/>
            <rFont val="Tahoma"/>
            <family val="2"/>
          </rPr>
          <t>Jordan Monahan:</t>
        </r>
        <r>
          <rPr>
            <sz val="8"/>
            <color indexed="81"/>
            <rFont val="Tahoma"/>
            <family val="2"/>
          </rPr>
          <t xml:space="preserve">
$5.5m one-time charge due to IPO</t>
        </r>
      </text>
    </comment>
    <comment ref="Z185" authorId="8">
      <text>
        <r>
          <rPr>
            <b/>
            <sz val="8"/>
            <color indexed="81"/>
            <rFont val="Tahoma"/>
            <family val="2"/>
          </rPr>
          <t>Jordan Monahan:</t>
        </r>
        <r>
          <rPr>
            <sz val="8"/>
            <color indexed="81"/>
            <rFont val="Tahoma"/>
            <family val="2"/>
          </rPr>
          <t xml:space="preserve">
Guide $5.5m/qtr per 1Q2013 call</t>
        </r>
      </text>
    </comment>
    <comment ref="AA185" authorId="8">
      <text>
        <r>
          <rPr>
            <b/>
            <sz val="8"/>
            <color indexed="81"/>
            <rFont val="Tahoma"/>
            <family val="2"/>
          </rPr>
          <t>Jordan Monahan:</t>
        </r>
        <r>
          <rPr>
            <sz val="8"/>
            <color indexed="81"/>
            <rFont val="Tahoma"/>
            <family val="2"/>
          </rPr>
          <t xml:space="preserve">
Guide $6.3m/qtr per 2Q2013 call</t>
        </r>
      </text>
    </comment>
    <comment ref="AB185" authorId="6">
      <text>
        <r>
          <rPr>
            <b/>
            <sz val="8"/>
            <color indexed="81"/>
            <rFont val="Tahoma"/>
            <family val="2"/>
          </rPr>
          <t>monahjor:</t>
        </r>
        <r>
          <rPr>
            <sz val="8"/>
            <color indexed="81"/>
            <rFont val="Tahoma"/>
            <family val="2"/>
          </rPr>
          <t xml:space="preserve">
Guide 8.5</t>
        </r>
      </text>
    </comment>
    <comment ref="AC185" authorId="6">
      <text>
        <r>
          <rPr>
            <b/>
            <sz val="8"/>
            <color indexed="81"/>
            <rFont val="Tahoma"/>
            <family val="2"/>
          </rPr>
          <t>monahjor:</t>
        </r>
        <r>
          <rPr>
            <sz val="8"/>
            <color indexed="81"/>
            <rFont val="Tahoma"/>
            <family val="2"/>
          </rPr>
          <t xml:space="preserve">
Guide 10-11m</t>
        </r>
      </text>
    </comment>
    <comment ref="AD185" authorId="9">
      <text>
        <r>
          <rPr>
            <b/>
            <sz val="9"/>
            <color indexed="81"/>
            <rFont val="Tahoma"/>
            <family val="2"/>
          </rPr>
          <t>Monahan, Jordan (Research):</t>
        </r>
        <r>
          <rPr>
            <sz val="9"/>
            <color indexed="81"/>
            <rFont val="Tahoma"/>
            <family val="2"/>
          </rPr>
          <t xml:space="preserve">
Guide $10-11</t>
        </r>
      </text>
    </comment>
    <comment ref="AF185" authorId="0">
      <text>
        <r>
          <rPr>
            <b/>
            <sz val="9"/>
            <color indexed="81"/>
            <rFont val="Tahoma"/>
            <family val="2"/>
          </rPr>
          <t>Soyer-Osman, Erhan (Research):</t>
        </r>
        <r>
          <rPr>
            <sz val="9"/>
            <color indexed="81"/>
            <rFont val="Tahoma"/>
            <family val="2"/>
          </rPr>
          <t xml:space="preserve">
3Q call: Guide 12-13</t>
        </r>
      </text>
    </comment>
    <comment ref="AG185" authorId="0">
      <text>
        <r>
          <rPr>
            <b/>
            <sz val="9"/>
            <color indexed="81"/>
            <rFont val="Tahoma"/>
            <family val="2"/>
          </rPr>
          <t>Soyer-Osman, Erhan (Research):</t>
        </r>
        <r>
          <rPr>
            <sz val="9"/>
            <color indexed="81"/>
            <rFont val="Tahoma"/>
            <family val="2"/>
          </rPr>
          <t xml:space="preserve">
Guide: between 12-13M</t>
        </r>
      </text>
    </comment>
    <comment ref="AH185" authorId="0">
      <text>
        <r>
          <rPr>
            <b/>
            <sz val="9"/>
            <color indexed="81"/>
            <rFont val="Tahoma"/>
            <family val="2"/>
          </rPr>
          <t>Soyer-Osman, Erhan (Research):</t>
        </r>
        <r>
          <rPr>
            <sz val="9"/>
            <color indexed="81"/>
            <rFont val="Tahoma"/>
            <family val="2"/>
          </rPr>
          <t xml:space="preserve">
1Q15 conf call Reiterate Stock-based compensation is expected to be in the range of $14 million to $15 million</t>
        </r>
      </text>
    </comment>
    <comment ref="AI185" authorId="1">
      <text>
        <r>
          <rPr>
            <b/>
            <sz val="9"/>
            <color indexed="81"/>
            <rFont val="Tahoma"/>
            <family val="2"/>
          </rPr>
          <t>Hyde, Owen (Research):</t>
        </r>
        <r>
          <rPr>
            <sz val="9"/>
            <color indexed="81"/>
            <rFont val="Tahoma"/>
            <family val="2"/>
          </rPr>
          <t xml:space="preserve">
 Stock-based compensation is expected to be in the range of $16 million to $17 million,</t>
        </r>
      </text>
    </comment>
    <comment ref="AJ185" authorId="2">
      <text>
        <r>
          <rPr>
            <b/>
            <sz val="9"/>
            <color indexed="81"/>
            <rFont val="Tahoma"/>
            <family val="2"/>
          </rPr>
          <t>Nowak, Brian (Research):</t>
        </r>
        <r>
          <rPr>
            <sz val="9"/>
            <color indexed="81"/>
            <rFont val="Tahoma"/>
            <family val="2"/>
          </rPr>
          <t xml:space="preserve">
guidance 16-17mn</t>
        </r>
      </text>
    </comment>
    <comment ref="AK185" authorId="1">
      <text>
        <r>
          <rPr>
            <b/>
            <sz val="9"/>
            <color indexed="81"/>
            <rFont val="Tahoma"/>
            <family val="2"/>
          </rPr>
          <t>Hyde, Owen (Research):</t>
        </r>
        <r>
          <rPr>
            <sz val="9"/>
            <color indexed="81"/>
            <rFont val="Tahoma"/>
            <family val="2"/>
          </rPr>
          <t xml:space="preserve">
4Q15: 19 to 21</t>
        </r>
      </text>
    </comment>
    <comment ref="AL185" authorId="1">
      <text>
        <r>
          <rPr>
            <b/>
            <sz val="9"/>
            <color indexed="81"/>
            <rFont val="Tahoma"/>
            <family val="2"/>
          </rPr>
          <t>Hyde, Owen (Research):</t>
        </r>
        <r>
          <rPr>
            <sz val="9"/>
            <color indexed="81"/>
            <rFont val="Tahoma"/>
            <family val="2"/>
          </rPr>
          <t xml:space="preserve">
1Q16: 20 to 22</t>
        </r>
      </text>
    </comment>
    <comment ref="AM185" authorId="1">
      <text>
        <r>
          <rPr>
            <b/>
            <sz val="9"/>
            <color indexed="81"/>
            <rFont val="Tahoma"/>
            <family val="2"/>
          </rPr>
          <t>Hyde, Owen (Research):</t>
        </r>
        <r>
          <rPr>
            <sz val="9"/>
            <color indexed="81"/>
            <rFont val="Tahoma"/>
            <family val="2"/>
          </rPr>
          <t xml:space="preserve">
2Q16: 21 to 23</t>
        </r>
      </text>
    </comment>
    <comment ref="AN185" authorId="5">
      <text>
        <r>
          <rPr>
            <b/>
            <sz val="9"/>
            <color indexed="81"/>
            <rFont val="Tahoma"/>
            <family val="2"/>
          </rPr>
          <t>Lanterman, Jon (Research):</t>
        </r>
        <r>
          <rPr>
            <sz val="9"/>
            <color indexed="81"/>
            <rFont val="Tahoma"/>
            <family val="2"/>
          </rPr>
          <t xml:space="preserve">
3Q:16 guide: $24-25mn</t>
        </r>
      </text>
    </comment>
    <comment ref="AP185" authorId="4">
      <text>
        <r>
          <rPr>
            <b/>
            <sz val="9"/>
            <color indexed="81"/>
            <rFont val="Tahoma"/>
            <family val="2"/>
          </rPr>
          <t>Hoffman, Brandon (Research):</t>
        </r>
        <r>
          <rPr>
            <sz val="9"/>
            <color indexed="81"/>
            <rFont val="Tahoma"/>
            <family val="2"/>
          </rPr>
          <t xml:space="preserve">
1Q17 guide 26-27</t>
        </r>
      </text>
    </comment>
    <comment ref="AQ185" authorId="4">
      <text>
        <r>
          <rPr>
            <b/>
            <sz val="9"/>
            <color indexed="81"/>
            <rFont val="Tahoma"/>
            <family val="2"/>
          </rPr>
          <t>Hoffman, Brandon (Research):</t>
        </r>
        <r>
          <rPr>
            <sz val="9"/>
            <color indexed="81"/>
            <rFont val="Tahoma"/>
            <family val="2"/>
          </rPr>
          <t xml:space="preserve">
2Q: guide 25-26</t>
        </r>
      </text>
    </comment>
    <comment ref="AR185" authorId="4">
      <text>
        <r>
          <rPr>
            <b/>
            <sz val="9"/>
            <color indexed="81"/>
            <rFont val="Tahoma"/>
            <family val="2"/>
          </rPr>
          <t>Hoffman, Brandon (Research):</t>
        </r>
        <r>
          <rPr>
            <sz val="9"/>
            <color indexed="81"/>
            <rFont val="Tahoma"/>
            <family val="2"/>
          </rPr>
          <t xml:space="preserve">
3Q guide: 25-27</t>
        </r>
      </text>
    </comment>
    <comment ref="AS185" authorId="4">
      <text>
        <r>
          <rPr>
            <b/>
            <sz val="9"/>
            <color indexed="81"/>
            <rFont val="Tahoma"/>
            <family val="2"/>
          </rPr>
          <t>Hoffman, Brandon (Research):</t>
        </r>
        <r>
          <rPr>
            <sz val="9"/>
            <color indexed="81"/>
            <rFont val="Tahoma"/>
            <family val="2"/>
          </rPr>
          <t xml:space="preserve">
4Q: 26-27</t>
        </r>
      </text>
    </comment>
    <comment ref="BN185" authorId="6">
      <text>
        <r>
          <rPr>
            <b/>
            <sz val="8"/>
            <color indexed="81"/>
            <rFont val="Tahoma"/>
            <family val="2"/>
          </rPr>
          <t>monahjor:</t>
        </r>
        <r>
          <rPr>
            <sz val="8"/>
            <color indexed="81"/>
            <rFont val="Tahoma"/>
            <family val="2"/>
          </rPr>
          <t xml:space="preserve">
guide 43-45</t>
        </r>
      </text>
    </comment>
    <comment ref="BO185" authorId="0">
      <text>
        <r>
          <rPr>
            <b/>
            <sz val="9"/>
            <color indexed="81"/>
            <rFont val="Tahoma"/>
            <family val="2"/>
          </rPr>
          <t>Soyer-Osman, Erhan (Research):</t>
        </r>
        <r>
          <rPr>
            <sz val="9"/>
            <color indexed="81"/>
            <rFont val="Tahoma"/>
            <family val="2"/>
          </rPr>
          <t xml:space="preserve">
2Q15 62-64
1Q15 conf call reiterate B/W 58 and $60</t>
        </r>
      </text>
    </comment>
    <comment ref="BP185" authorId="1">
      <text>
        <r>
          <rPr>
            <b/>
            <sz val="9"/>
            <color indexed="81"/>
            <rFont val="Tahoma"/>
            <family val="2"/>
          </rPr>
          <t>Hyde, Owen (Research):</t>
        </r>
        <r>
          <rPr>
            <sz val="9"/>
            <color indexed="81"/>
            <rFont val="Tahoma"/>
            <family val="2"/>
          </rPr>
          <t xml:space="preserve">
2Q16 guide: 85 to 87
1Q16: 84 to 87
4Q15: 83 to 87
one-time annual refresh and bump</t>
        </r>
      </text>
    </comment>
    <comment ref="BQ185" authorId="5">
      <text>
        <r>
          <rPr>
            <b/>
            <sz val="9"/>
            <color indexed="81"/>
            <rFont val="Tahoma"/>
            <family val="2"/>
          </rPr>
          <t>Hoffman, Brandon (Research):</t>
        </r>
        <r>
          <rPr>
            <sz val="9"/>
            <color indexed="81"/>
            <rFont val="Tahoma"/>
            <family val="2"/>
          </rPr>
          <t xml:space="preserve">
2Q17 guide 102-104
1Q17 guide 105-107
4Q16: Expected to be between $110-112</t>
        </r>
      </text>
    </comment>
    <comment ref="BR185" authorId="4">
      <text>
        <r>
          <rPr>
            <b/>
            <sz val="9"/>
            <color indexed="81"/>
            <rFont val="Tahoma"/>
            <family val="2"/>
          </rPr>
          <t>Hoffman, Brandon (Research):</t>
        </r>
        <r>
          <rPr>
            <sz val="9"/>
            <color indexed="81"/>
            <rFont val="Tahoma"/>
            <family val="2"/>
          </rPr>
          <t xml:space="preserve">
4Q: 112-116</t>
        </r>
      </text>
    </comment>
    <comment ref="M209" authorId="8">
      <text>
        <r>
          <rPr>
            <b/>
            <sz val="8"/>
            <color indexed="81"/>
            <rFont val="Tahoma"/>
            <family val="2"/>
          </rPr>
          <t>Jordan Monahan:</t>
        </r>
        <r>
          <rPr>
            <sz val="8"/>
            <color indexed="81"/>
            <rFont val="Tahoma"/>
            <family val="2"/>
          </rPr>
          <t xml:space="preserve">
Legal settlement accrual of $1.3m</t>
        </r>
      </text>
    </comment>
    <comment ref="T209" authorId="8">
      <text>
        <r>
          <rPr>
            <b/>
            <sz val="8"/>
            <color indexed="81"/>
            <rFont val="Tahoma"/>
            <family val="2"/>
          </rPr>
          <t>Jordan Monahan:</t>
        </r>
        <r>
          <rPr>
            <sz val="8"/>
            <color indexed="81"/>
            <rFont val="Tahoma"/>
            <family val="2"/>
          </rPr>
          <t xml:space="preserve">
Yelp foundation contribution (in stock, non-cash)</t>
        </r>
      </text>
    </comment>
    <comment ref="X209" authorId="8">
      <text>
        <r>
          <rPr>
            <b/>
            <sz val="8"/>
            <color indexed="81"/>
            <rFont val="Tahoma"/>
            <family val="2"/>
          </rPr>
          <t>Jordan Monahan:</t>
        </r>
        <r>
          <rPr>
            <sz val="8"/>
            <color indexed="81"/>
            <rFont val="Tahoma"/>
            <family val="2"/>
          </rPr>
          <t xml:space="preserve">
$1m restructuring related to Qype acquisition</t>
        </r>
      </text>
    </comment>
    <comment ref="Y209" authorId="10">
      <text>
        <r>
          <rPr>
            <sz val="8"/>
            <color indexed="81"/>
            <rFont val="Tahoma"/>
            <family val="2"/>
          </rPr>
          <t>Restructuring &amp; integration costs of $675K represent final severance charges related to Qype</t>
        </r>
      </text>
    </comment>
    <comment ref="U216" authorId="8">
      <text>
        <r>
          <rPr>
            <b/>
            <sz val="8"/>
            <color indexed="81"/>
            <rFont val="Tahoma"/>
            <family val="2"/>
          </rPr>
          <t>Jordan Monahan:</t>
        </r>
        <r>
          <rPr>
            <sz val="8"/>
            <color indexed="81"/>
            <rFont val="Tahoma"/>
            <family val="2"/>
          </rPr>
          <t xml:space="preserve">
One-time SBC charge due to executive option grants that vested at IPO</t>
        </r>
      </text>
    </comment>
    <comment ref="AH217" authorId="0">
      <text>
        <r>
          <rPr>
            <b/>
            <sz val="9"/>
            <color indexed="81"/>
            <rFont val="Tahoma"/>
            <family val="2"/>
          </rPr>
          <t>Soyer-Osman, Erhan (Research):</t>
        </r>
        <r>
          <rPr>
            <sz val="9"/>
            <color indexed="81"/>
            <rFont val="Tahoma"/>
            <family val="2"/>
          </rPr>
          <t xml:space="preserve">
1Q15 conf call Reiterate Stock-based compensation is expected to be in the range of $14 million to $15 million</t>
        </r>
      </text>
    </comment>
    <comment ref="AI217" authorId="1">
      <text>
        <r>
          <rPr>
            <b/>
            <sz val="9"/>
            <color indexed="81"/>
            <rFont val="Tahoma"/>
            <family val="2"/>
          </rPr>
          <t>Hyde, Owen (Research):</t>
        </r>
        <r>
          <rPr>
            <sz val="9"/>
            <color indexed="81"/>
            <rFont val="Tahoma"/>
            <family val="2"/>
          </rPr>
          <t xml:space="preserve">
 Stock-based compensation is expected to be in the range of $16 million to $17 million,</t>
        </r>
      </text>
    </comment>
    <comment ref="AK217" authorId="1">
      <text>
        <r>
          <rPr>
            <b/>
            <sz val="9"/>
            <color indexed="81"/>
            <rFont val="Tahoma"/>
            <family val="2"/>
          </rPr>
          <t>Hyde, Owen (Research):</t>
        </r>
        <r>
          <rPr>
            <sz val="9"/>
            <color indexed="81"/>
            <rFont val="Tahoma"/>
            <family val="2"/>
          </rPr>
          <t xml:space="preserve">
4Q15 guide: 19 to 21M</t>
        </r>
      </text>
    </comment>
    <comment ref="AO217" authorId="1">
      <text>
        <r>
          <rPr>
            <b/>
            <sz val="9"/>
            <color indexed="81"/>
            <rFont val="Tahoma"/>
            <family val="2"/>
          </rPr>
          <t>Hyde, Owen (Research):</t>
        </r>
        <r>
          <rPr>
            <sz val="9"/>
            <color indexed="81"/>
            <rFont val="Tahoma"/>
            <family val="2"/>
          </rPr>
          <t xml:space="preserve">
4Q15 guide: 19 to 21M</t>
        </r>
      </text>
    </comment>
    <comment ref="AP217" authorId="4">
      <text>
        <r>
          <rPr>
            <b/>
            <sz val="9"/>
            <color indexed="81"/>
            <rFont val="Tahoma"/>
            <family val="2"/>
          </rPr>
          <t>Hoffman, Brandon (Research):</t>
        </r>
        <r>
          <rPr>
            <sz val="9"/>
            <color indexed="81"/>
            <rFont val="Tahoma"/>
            <family val="2"/>
          </rPr>
          <t xml:space="preserve">
guide 26-27mn</t>
        </r>
      </text>
    </comment>
    <comment ref="AS217" authorId="4">
      <text>
        <r>
          <rPr>
            <b/>
            <sz val="9"/>
            <color indexed="81"/>
            <rFont val="Tahoma"/>
            <family val="2"/>
          </rPr>
          <t>Hoffman, Brandon (Research):</t>
        </r>
        <r>
          <rPr>
            <sz val="9"/>
            <color indexed="81"/>
            <rFont val="Tahoma"/>
            <family val="2"/>
          </rPr>
          <t xml:space="preserve">
4Q: 26-27</t>
        </r>
      </text>
    </comment>
    <comment ref="AW217" authorId="1">
      <text>
        <r>
          <rPr>
            <b/>
            <sz val="9"/>
            <color indexed="81"/>
            <rFont val="Tahoma"/>
            <family val="2"/>
          </rPr>
          <t>Hyde, Owen (Research):</t>
        </r>
        <r>
          <rPr>
            <sz val="9"/>
            <color indexed="81"/>
            <rFont val="Tahoma"/>
            <family val="2"/>
          </rPr>
          <t xml:space="preserve">
4Q15 guide: 19 to 21M</t>
        </r>
      </text>
    </comment>
    <comment ref="BA217" authorId="1">
      <text>
        <r>
          <rPr>
            <b/>
            <sz val="9"/>
            <color indexed="81"/>
            <rFont val="Tahoma"/>
            <family val="2"/>
          </rPr>
          <t>Hyde, Owen (Research):</t>
        </r>
        <r>
          <rPr>
            <sz val="9"/>
            <color indexed="81"/>
            <rFont val="Tahoma"/>
            <family val="2"/>
          </rPr>
          <t xml:space="preserve">
4Q15 guide: 19 to 21M</t>
        </r>
      </text>
    </comment>
    <comment ref="BO217" authorId="0">
      <text>
        <r>
          <rPr>
            <b/>
            <sz val="9"/>
            <color indexed="81"/>
            <rFont val="Tahoma"/>
            <family val="2"/>
          </rPr>
          <t>Soyer-Osman, Erhan (Research):</t>
        </r>
        <r>
          <rPr>
            <sz val="9"/>
            <color indexed="81"/>
            <rFont val="Tahoma"/>
            <family val="2"/>
          </rPr>
          <t xml:space="preserve">
1Q15 conf call reiterate B/W 58 and $60</t>
        </r>
      </text>
    </comment>
    <comment ref="BP217" authorId="1">
      <text>
        <r>
          <rPr>
            <b/>
            <sz val="9"/>
            <color indexed="81"/>
            <rFont val="Tahoma"/>
            <family val="2"/>
          </rPr>
          <t>Hyde, Owen (Research):</t>
        </r>
        <r>
          <rPr>
            <sz val="9"/>
            <color indexed="81"/>
            <rFont val="Tahoma"/>
            <family val="2"/>
          </rPr>
          <t xml:space="preserve">
4Q15: 83 to 87M</t>
        </r>
      </text>
    </comment>
    <comment ref="BQ217" authorId="4">
      <text>
        <r>
          <rPr>
            <b/>
            <sz val="9"/>
            <color indexed="81"/>
            <rFont val="Tahoma"/>
            <family val="2"/>
          </rPr>
          <t>Hoffman, Brandon (Research):</t>
        </r>
        <r>
          <rPr>
            <sz val="9"/>
            <color indexed="81"/>
            <rFont val="Tahoma"/>
            <family val="2"/>
          </rPr>
          <t xml:space="preserve">
1Q17 guide 105-107mn</t>
        </r>
      </text>
    </comment>
    <comment ref="BR217" authorId="4">
      <text>
        <r>
          <rPr>
            <b/>
            <sz val="9"/>
            <color indexed="81"/>
            <rFont val="Tahoma"/>
            <family val="2"/>
          </rPr>
          <t>Hoffman, Brandon (Research):</t>
        </r>
        <r>
          <rPr>
            <sz val="9"/>
            <color indexed="81"/>
            <rFont val="Tahoma"/>
            <family val="2"/>
          </rPr>
          <t xml:space="preserve">
4Q: 112-116</t>
        </r>
      </text>
    </comment>
    <comment ref="U223" authorId="8">
      <text>
        <r>
          <rPr>
            <b/>
            <sz val="8"/>
            <color indexed="81"/>
            <rFont val="Tahoma"/>
            <family val="2"/>
          </rPr>
          <t>Jordan Monahan:</t>
        </r>
        <r>
          <rPr>
            <sz val="8"/>
            <color indexed="81"/>
            <rFont val="Tahoma"/>
            <family val="2"/>
          </rPr>
          <t xml:space="preserve">
One-time SBC charge due to executive option grants that vested at IPO</t>
        </r>
      </text>
    </comment>
    <comment ref="T231" authorId="8">
      <text>
        <r>
          <rPr>
            <b/>
            <sz val="8"/>
            <color indexed="81"/>
            <rFont val="Tahoma"/>
            <family val="2"/>
          </rPr>
          <t>Jordan Monahan:</t>
        </r>
        <r>
          <rPr>
            <sz val="8"/>
            <color indexed="81"/>
            <rFont val="Tahoma"/>
            <family val="2"/>
          </rPr>
          <t xml:space="preserve">
71 community managers</t>
        </r>
      </text>
    </comment>
    <comment ref="AJ231" authorId="2">
      <text>
        <r>
          <rPr>
            <b/>
            <sz val="9"/>
            <color indexed="81"/>
            <rFont val="Tahoma"/>
            <family val="2"/>
          </rPr>
          <t>Nowak, Brian (Research):</t>
        </r>
        <r>
          <rPr>
            <sz val="9"/>
            <color indexed="81"/>
            <rFont val="Tahoma"/>
            <family val="2"/>
          </rPr>
          <t xml:space="preserve">
10k</t>
        </r>
      </text>
    </comment>
    <comment ref="AG232" authorId="1">
      <text>
        <r>
          <rPr>
            <b/>
            <sz val="9"/>
            <color indexed="81"/>
            <rFont val="Tahoma"/>
            <family val="2"/>
          </rPr>
          <t>Hyde, Owen (Research):</t>
        </r>
        <r>
          <rPr>
            <sz val="9"/>
            <color indexed="81"/>
            <rFont val="Tahoma"/>
            <family val="2"/>
          </rPr>
          <t xml:space="preserve">
Includes Eat24 Employess, est 275-350</t>
        </r>
      </text>
    </comment>
    <comment ref="BO232" authorId="1">
      <text>
        <r>
          <rPr>
            <b/>
            <sz val="9"/>
            <color indexed="81"/>
            <rFont val="Tahoma"/>
            <family val="2"/>
          </rPr>
          <t>Hyde, Owen (Research):</t>
        </r>
        <r>
          <rPr>
            <sz val="9"/>
            <color indexed="81"/>
            <rFont val="Tahoma"/>
            <family val="2"/>
          </rPr>
          <t xml:space="preserve">
Includes Eat24, headcount est. 275-350</t>
        </r>
      </text>
    </comment>
    <comment ref="I248" authorId="2">
      <text>
        <r>
          <rPr>
            <b/>
            <sz val="9"/>
            <color indexed="81"/>
            <rFont val="Tahoma"/>
            <family val="2"/>
          </rPr>
          <t>Nowak, Brian (Research):</t>
        </r>
        <r>
          <rPr>
            <sz val="9"/>
            <color indexed="81"/>
            <rFont val="Tahoma"/>
            <family val="2"/>
          </rPr>
          <t xml:space="preserve">
</t>
        </r>
      </text>
    </comment>
    <comment ref="I249" authorId="0">
      <text>
        <r>
          <rPr>
            <b/>
            <sz val="9"/>
            <color indexed="81"/>
            <rFont val="Tahoma"/>
            <family val="2"/>
          </rPr>
          <t>Soyer-Osman, Erhan (Research):</t>
        </r>
        <r>
          <rPr>
            <sz val="9"/>
            <color indexed="81"/>
            <rFont val="Tahoma"/>
            <family val="2"/>
          </rPr>
          <t xml:space="preserve">
March 2013: So the way I'd looked at it is, we generally pay salespeople $30,000 to $40,000 a year plus 10% commission. </t>
        </r>
      </text>
    </comment>
  </commentList>
</comments>
</file>

<file path=xl/comments4.xml><?xml version="1.0" encoding="utf-8"?>
<comments xmlns="http://schemas.openxmlformats.org/spreadsheetml/2006/main">
  <authors>
    <author>Hyde, Owen (Research)</author>
    <author>Jordan Monahan</author>
    <author>Tam, Alicia (Research)</author>
  </authors>
  <commentList>
    <comment ref="I54" authorId="0">
      <text>
        <r>
          <rPr>
            <b/>
            <sz val="9"/>
            <color indexed="81"/>
            <rFont val="Tahoma"/>
            <family val="2"/>
          </rPr>
          <t>Hyde, Owen (Research):</t>
        </r>
        <r>
          <rPr>
            <sz val="9"/>
            <color indexed="81"/>
            <rFont val="Tahoma"/>
            <family val="2"/>
          </rPr>
          <t xml:space="preserve">
Use productivity tab to generate local sales revenue</t>
        </r>
      </text>
    </comment>
    <comment ref="P66" authorId="1">
      <text>
        <r>
          <rPr>
            <b/>
            <sz val="8"/>
            <color indexed="81"/>
            <rFont val="Tahoma"/>
            <family val="2"/>
          </rPr>
          <t>Jordan Monahan:</t>
        </r>
        <r>
          <rPr>
            <sz val="8"/>
            <color indexed="81"/>
            <rFont val="Tahoma"/>
            <family val="2"/>
          </rPr>
          <t xml:space="preserve">
S1:
At December 31, 2011, we had federal and state net operating loss carryforwards of approximately $28.0 million and $28.2 million, respectively, expiring beginning in 2024 and 2013, respectively. We also had losses in Ireland of $4.5 million, which may be carried forward indefinitely against Ireland profits.</t>
        </r>
      </text>
    </comment>
    <comment ref="Q66" authorId="2">
      <text>
        <r>
          <rPr>
            <b/>
            <sz val="8"/>
            <color indexed="81"/>
            <rFont val="Tahoma"/>
            <family val="2"/>
          </rPr>
          <t>Tam, Alicia (Research):</t>
        </r>
        <r>
          <rPr>
            <sz val="8"/>
            <color indexed="81"/>
            <rFont val="Tahoma"/>
            <family val="2"/>
          </rPr>
          <t xml:space="preserve">
10K:
At December 31, 2012, the Company has federal and state net operating loss carryforwards of approximately $49.8 million and $59.5 million respectively, expiring beginning in 2024 and 2013, respectively. Further, the Company has trading losses in Ireland of $8.7 million. The Ireland trading losses may be carried forward indefinitely against Ireland profits. The Company has losses of $14.3 million, $13.2 million and $3.1 million in Germany, the United Kingdom and France, respectively, which may be carried forward indefinitely against profits in the respective jurisdictions as a result of the acquisition of Qype. </t>
        </r>
      </text>
    </comment>
    <comment ref="R66" authorId="2">
      <text>
        <r>
          <rPr>
            <b/>
            <sz val="8"/>
            <color indexed="81"/>
            <rFont val="Tahoma"/>
            <family val="2"/>
          </rPr>
          <t>Tam, Alicia (Research):</t>
        </r>
        <r>
          <rPr>
            <sz val="8"/>
            <color indexed="81"/>
            <rFont val="Tahoma"/>
            <family val="2"/>
          </rPr>
          <t xml:space="preserve">
10K: 
At December 31, 2013, the Company has federal and state net operating loss carryforwards of approximately $113.3 million and $79.8 million respectively, expiring beginning in 2024 and 2014, respectively.  Further, the Company has trading losses in Ireland of $15.9 million. The Ireland trading losses may be carried forward indefinitely against Ireland profits. The Company has losses of $11.8 million, $12.9 million, and $1.8 million in Germany, the United Kingdom and France, respectively, which may be carried forward indefinitely against profits in the respective jurisdictions as a result of the acquisition of Qype. </t>
        </r>
      </text>
    </comment>
    <comment ref="S66" authorId="2">
      <text>
        <r>
          <rPr>
            <b/>
            <sz val="8"/>
            <color indexed="81"/>
            <rFont val="Tahoma"/>
            <family val="2"/>
          </rPr>
          <t>Tam, Alicia (Research):</t>
        </r>
        <r>
          <rPr>
            <sz val="8"/>
            <color indexed="81"/>
            <rFont val="Tahoma"/>
            <family val="2"/>
          </rPr>
          <t xml:space="preserve">
10K:
At December 31, 2014, the Company has federal and state net operating loss carryforwards of approximately $166.7 million and $146.5 million respectively, expiring beginning in 2024 and 2015, respectively. Further, the Company has trading losses in Ireland of $11.5 million. The Ireland trading losses may be carried forward indefinitely against Ireland profits. The Company has losses of $9.6 million and $13.4 million in Germany and France, respectively, which may be carried forward indefinitely against profits in the respective jurisdictions as a result of the acquisitions of Qype and Cityvox.</t>
        </r>
      </text>
    </comment>
    <comment ref="T66" authorId="0">
      <text>
        <r>
          <rPr>
            <b/>
            <sz val="9"/>
            <color indexed="81"/>
            <rFont val="Tahoma"/>
            <family val="2"/>
          </rPr>
          <t>Hyde, Owen (Research):</t>
        </r>
        <r>
          <rPr>
            <sz val="9"/>
            <color indexed="81"/>
            <rFont val="Tahoma"/>
            <family val="2"/>
          </rPr>
          <t xml:space="preserve">
10K: At December 31, 2015, the Company had federal and state net operating loss carryforwards of approximately $171.0 million and $140.6 million, respectively, expiring beginning in 2024 and 2016, respectively. The Company also had trading losses in Ireland of $8.9 million at December 31, 2015. </t>
        </r>
      </text>
    </comment>
  </commentList>
</comments>
</file>

<file path=xl/comments5.xml><?xml version="1.0" encoding="utf-8"?>
<comments xmlns="http://schemas.openxmlformats.org/spreadsheetml/2006/main">
  <authors>
    <author>Hyde, Owen (Research)</author>
    <author>Nowak, Brian (Research)</author>
    <author>Jordan Monahan</author>
    <author>Tam, Alicia (Research)</author>
  </authors>
  <commentList>
    <comment ref="T15" authorId="0">
      <text>
        <r>
          <rPr>
            <b/>
            <sz val="9"/>
            <color indexed="81"/>
            <rFont val="Tahoma"/>
            <family val="2"/>
          </rPr>
          <t>Hyde, Owen (Research):</t>
        </r>
        <r>
          <rPr>
            <sz val="9"/>
            <color indexed="81"/>
            <rFont val="Tahoma"/>
            <family val="2"/>
          </rPr>
          <t xml:space="preserve">
4Q15 call: No cash taxes in 2016</t>
        </r>
      </text>
    </comment>
    <comment ref="AD22" authorId="1">
      <text>
        <r>
          <rPr>
            <b/>
            <sz val="9"/>
            <color indexed="81"/>
            <rFont val="Tahoma"/>
            <family val="2"/>
          </rPr>
          <t xml:space="preserve">Nowak, Brian 
</t>
        </r>
        <r>
          <rPr>
            <sz val="9"/>
            <color indexed="81"/>
            <rFont val="Tahoma"/>
            <family val="2"/>
          </rPr>
          <t xml:space="preserve">lanney intimates 35-40% long-term 8/30/16 </t>
        </r>
      </text>
    </comment>
    <comment ref="I52" authorId="0">
      <text>
        <r>
          <rPr>
            <b/>
            <sz val="9"/>
            <color indexed="81"/>
            <rFont val="Tahoma"/>
            <family val="2"/>
          </rPr>
          <t>Hyde, Owen (Research):</t>
        </r>
        <r>
          <rPr>
            <sz val="9"/>
            <color indexed="81"/>
            <rFont val="Tahoma"/>
            <family val="2"/>
          </rPr>
          <t xml:space="preserve">
Bloomberg</t>
        </r>
      </text>
    </comment>
    <comment ref="I53" authorId="0">
      <text>
        <r>
          <rPr>
            <b/>
            <sz val="9"/>
            <color indexed="81"/>
            <rFont val="Tahoma"/>
            <family val="2"/>
          </rPr>
          <t>Hyde, Owen (Research):</t>
        </r>
        <r>
          <rPr>
            <sz val="9"/>
            <color indexed="81"/>
            <rFont val="Tahoma"/>
            <family val="2"/>
          </rPr>
          <t xml:space="preserve">
10 year note 
http://finance.yahoo.com/q?s=%5ETNX</t>
        </r>
      </text>
    </comment>
    <comment ref="I54" authorId="0">
      <text>
        <r>
          <rPr>
            <b/>
            <sz val="9"/>
            <color indexed="81"/>
            <rFont val="Tahoma"/>
            <family val="2"/>
          </rPr>
          <t>Hyde, Owen (Research):</t>
        </r>
        <r>
          <rPr>
            <sz val="9"/>
            <color indexed="81"/>
            <rFont val="Tahoma"/>
            <family val="2"/>
          </rPr>
          <t xml:space="preserve">
Implied ERP (Current Month)
http://pages.stern.nyu.edu/~adamodar/</t>
        </r>
      </text>
    </comment>
    <comment ref="P66" authorId="2">
      <text>
        <r>
          <rPr>
            <b/>
            <sz val="8"/>
            <color indexed="81"/>
            <rFont val="Tahoma"/>
            <family val="2"/>
          </rPr>
          <t>Jordan Monahan:</t>
        </r>
        <r>
          <rPr>
            <sz val="8"/>
            <color indexed="81"/>
            <rFont val="Tahoma"/>
            <family val="2"/>
          </rPr>
          <t xml:space="preserve">
S1:
At December 31, 2011, we had federal and state net operating loss carryforwards of approximately $28.0 million and $28.2 million, respectively, expiring beginning in 2024 and 2013, respectively. We also had losses in Ireland of $4.5 million, which may be carried forward indefinitely against Ireland profits.</t>
        </r>
      </text>
    </comment>
    <comment ref="Q66" authorId="3">
      <text>
        <r>
          <rPr>
            <b/>
            <sz val="8"/>
            <color indexed="81"/>
            <rFont val="Tahoma"/>
            <family val="2"/>
          </rPr>
          <t>Tam, Alicia (Research):</t>
        </r>
        <r>
          <rPr>
            <sz val="8"/>
            <color indexed="81"/>
            <rFont val="Tahoma"/>
            <family val="2"/>
          </rPr>
          <t xml:space="preserve">
10K:
At December 31, 2012, the Company has federal and state net operating loss carryforwards of approximately $49.8 million and $59.5 million respectively, expiring beginning in 2024 and 2013, respectively. Further, the Company has trading losses in Ireland of $8.7 million. The Ireland trading losses may be carried forward indefinitely against Ireland profits. The Company has losses of $14.3 million, $13.2 million and $3.1 million in Germany, the United Kingdom and France, respectively, which may be carried forward indefinitely against profits in the respective jurisdictions as a result of the acquisition of Qype. </t>
        </r>
      </text>
    </comment>
    <comment ref="R66" authorId="3">
      <text>
        <r>
          <rPr>
            <b/>
            <sz val="8"/>
            <color indexed="81"/>
            <rFont val="Tahoma"/>
            <family val="2"/>
          </rPr>
          <t>Tam, Alicia (Research):</t>
        </r>
        <r>
          <rPr>
            <sz val="8"/>
            <color indexed="81"/>
            <rFont val="Tahoma"/>
            <family val="2"/>
          </rPr>
          <t xml:space="preserve">
10K: 
At December 31, 2013, the Company has federal and state net operating loss carryforwards of approximately $113.3 million and $79.8 million respectively, expiring beginning in 2024 and 2014, respectively.  Further, the Company has trading losses in Ireland of $15.9 million. The Ireland trading losses may be carried forward indefinitely against Ireland profits. The Company has losses of $11.8 million, $12.9 million, and $1.8 million in Germany, the United Kingdom and France, respectively, which may be carried forward indefinitely against profits in the respective jurisdictions as a result of the acquisition of Qype. </t>
        </r>
      </text>
    </comment>
    <comment ref="S66" authorId="3">
      <text>
        <r>
          <rPr>
            <b/>
            <sz val="8"/>
            <color indexed="81"/>
            <rFont val="Tahoma"/>
            <family val="2"/>
          </rPr>
          <t>Tam, Alicia (Research):</t>
        </r>
        <r>
          <rPr>
            <sz val="8"/>
            <color indexed="81"/>
            <rFont val="Tahoma"/>
            <family val="2"/>
          </rPr>
          <t xml:space="preserve">
10K:
At December 31, 2014, the Company has federal and state net operating loss carryforwards of approximately $166.7 million and $146.5 million respectively, expiring beginning in 2024 and 2015, respectively. Further, the Company has trading losses in Ireland of $11.5 million. The Ireland trading losses may be carried forward indefinitely against Ireland profits. The Company has losses of $9.6 million and $13.4 million in Germany and France, respectively, which may be carried forward indefinitely against profits in the respective jurisdictions as a result of the acquisitions of Qype and Cityvox.</t>
        </r>
      </text>
    </comment>
    <comment ref="T66" authorId="0">
      <text>
        <r>
          <rPr>
            <b/>
            <sz val="9"/>
            <color indexed="81"/>
            <rFont val="Tahoma"/>
            <family val="2"/>
          </rPr>
          <t>Hyde, Owen (Research):</t>
        </r>
        <r>
          <rPr>
            <sz val="9"/>
            <color indexed="81"/>
            <rFont val="Tahoma"/>
            <family val="2"/>
          </rPr>
          <t xml:space="preserve">
10K: At December 31, 2015, the Company had federal and state net operating loss carryforwards of approximately $171.0 million and $140.6 million, respectively, expiring beginning in 2024 and 2016, respectively. The Company also had trading losses in Ireland of $8.9 million at December 31, 2015. </t>
        </r>
      </text>
    </comment>
  </commentList>
</comments>
</file>

<file path=xl/comments6.xml><?xml version="1.0" encoding="utf-8"?>
<comments xmlns="http://schemas.openxmlformats.org/spreadsheetml/2006/main">
  <authors>
    <author>Hyde, Owen (Research)</author>
    <author>Jordan Monahan</author>
    <author>Tam, Alicia (Research)</author>
  </authors>
  <commentList>
    <comment ref="I54" authorId="0">
      <text>
        <r>
          <rPr>
            <b/>
            <sz val="9"/>
            <color indexed="81"/>
            <rFont val="Tahoma"/>
            <family val="2"/>
          </rPr>
          <t>Hyde, Owen (Research):</t>
        </r>
        <r>
          <rPr>
            <sz val="9"/>
            <color indexed="81"/>
            <rFont val="Tahoma"/>
            <family val="2"/>
          </rPr>
          <t xml:space="preserve">
Use productivity tab to generate local sales revenue</t>
        </r>
      </text>
    </comment>
    <comment ref="P66" authorId="1">
      <text>
        <r>
          <rPr>
            <b/>
            <sz val="8"/>
            <color indexed="81"/>
            <rFont val="Tahoma"/>
            <family val="2"/>
          </rPr>
          <t>Jordan Monahan:</t>
        </r>
        <r>
          <rPr>
            <sz val="8"/>
            <color indexed="81"/>
            <rFont val="Tahoma"/>
            <family val="2"/>
          </rPr>
          <t xml:space="preserve">
S1:
At December 31, 2011, we had federal and state net operating loss carryforwards of approximately $28.0 million and $28.2 million, respectively, expiring beginning in 2024 and 2013, respectively. We also had losses in Ireland of $4.5 million, which may be carried forward indefinitely against Ireland profits.</t>
        </r>
      </text>
    </comment>
    <comment ref="Q66" authorId="2">
      <text>
        <r>
          <rPr>
            <b/>
            <sz val="8"/>
            <color indexed="81"/>
            <rFont val="Tahoma"/>
            <family val="2"/>
          </rPr>
          <t>Tam, Alicia (Research):</t>
        </r>
        <r>
          <rPr>
            <sz val="8"/>
            <color indexed="81"/>
            <rFont val="Tahoma"/>
            <family val="2"/>
          </rPr>
          <t xml:space="preserve">
10K:
At December 31, 2012, the Company has federal and state net operating loss carryforwards of approximately $49.8 million and $59.5 million respectively, expiring beginning in 2024 and 2013, respectively. Further, the Company has trading losses in Ireland of $8.7 million. The Ireland trading losses may be carried forward indefinitely against Ireland profits. The Company has losses of $14.3 million, $13.2 million and $3.1 million in Germany, the United Kingdom and France, respectively, which may be carried forward indefinitely against profits in the respective jurisdictions as a result of the acquisition of Qype. </t>
        </r>
      </text>
    </comment>
    <comment ref="R66" authorId="2">
      <text>
        <r>
          <rPr>
            <b/>
            <sz val="8"/>
            <color indexed="81"/>
            <rFont val="Tahoma"/>
            <family val="2"/>
          </rPr>
          <t>Tam, Alicia (Research):</t>
        </r>
        <r>
          <rPr>
            <sz val="8"/>
            <color indexed="81"/>
            <rFont val="Tahoma"/>
            <family val="2"/>
          </rPr>
          <t xml:space="preserve">
10K: 
At December 31, 2013, the Company has federal and state net operating loss carryforwards of approximately $113.3 million and $79.8 million respectively, expiring beginning in 2024 and 2014, respectively.  Further, the Company has trading losses in Ireland of $15.9 million. The Ireland trading losses may be carried forward indefinitely against Ireland profits. The Company has losses of $11.8 million, $12.9 million, and $1.8 million in Germany, the United Kingdom and France, respectively, which may be carried forward indefinitely against profits in the respective jurisdictions as a result of the acquisition of Qype. </t>
        </r>
      </text>
    </comment>
    <comment ref="S66" authorId="2">
      <text>
        <r>
          <rPr>
            <b/>
            <sz val="8"/>
            <color indexed="81"/>
            <rFont val="Tahoma"/>
            <family val="2"/>
          </rPr>
          <t>Tam, Alicia (Research):</t>
        </r>
        <r>
          <rPr>
            <sz val="8"/>
            <color indexed="81"/>
            <rFont val="Tahoma"/>
            <family val="2"/>
          </rPr>
          <t xml:space="preserve">
10K:
At December 31, 2014, the Company has federal and state net operating loss carryforwards of approximately $166.7 million and $146.5 million respectively, expiring beginning in 2024 and 2015, respectively. Further, the Company has trading losses in Ireland of $11.5 million. The Ireland trading losses may be carried forward indefinitely against Ireland profits. The Company has losses of $9.6 million and $13.4 million in Germany and France, respectively, which may be carried forward indefinitely against profits in the respective jurisdictions as a result of the acquisitions of Qype and Cityvox.</t>
        </r>
      </text>
    </comment>
    <comment ref="T66" authorId="0">
      <text>
        <r>
          <rPr>
            <b/>
            <sz val="9"/>
            <color indexed="81"/>
            <rFont val="Tahoma"/>
            <family val="2"/>
          </rPr>
          <t>Hyde, Owen (Research):</t>
        </r>
        <r>
          <rPr>
            <sz val="9"/>
            <color indexed="81"/>
            <rFont val="Tahoma"/>
            <family val="2"/>
          </rPr>
          <t xml:space="preserve">
10K: At December 31, 2015, the Company had federal and state net operating loss carryforwards of approximately $171.0 million and $140.6 million, respectively, expiring beginning in 2024 and 2016, respectively. The Company also had trading losses in Ireland of $8.9 million at December 31, 2015. </t>
        </r>
      </text>
    </comment>
  </commentList>
</comments>
</file>

<file path=xl/sharedStrings.xml><?xml version="1.0" encoding="utf-8"?>
<sst xmlns="http://schemas.openxmlformats.org/spreadsheetml/2006/main" count="2157" uniqueCount="1074">
  <si>
    <t>Average monthly revenue per business account</t>
  </si>
  <si>
    <t>Period-to-period change</t>
  </si>
  <si>
    <t>REVENUE SUMMARY</t>
  </si>
  <si>
    <t>Active US markets</t>
  </si>
  <si>
    <t>Active international markets</t>
  </si>
  <si>
    <t>GOOG.O,mscalc:closePriceCurrencyCalc</t>
  </si>
  <si>
    <t>GOOG.O,mscalc:targetPrice</t>
  </si>
  <si>
    <t>GOOG.O,mscalc:targetPrice,,,,USD</t>
  </si>
  <si>
    <t>GOOG.O,mscalc:sedolCodeCalc</t>
  </si>
  <si>
    <t>B020QX2</t>
  </si>
  <si>
    <t>,mscalc:sedolCodeCalc</t>
  </si>
  <si>
    <t>,mscalc:closePriceCurrencyCalc</t>
  </si>
  <si>
    <t>,mscalc:targetPrice,,,,USD</t>
  </si>
  <si>
    <t>Net Issuances</t>
  </si>
  <si>
    <t>Net revenue</t>
  </si>
  <si>
    <t>EXPE.O,mscalc:targetPrice,,,,USD</t>
  </si>
  <si>
    <t>EXPE.O,mscalc:sedolCodeCalc</t>
  </si>
  <si>
    <t>B0F0DY9</t>
  </si>
  <si>
    <t>AMZN.O,mscalc:sedolCodeCalc</t>
  </si>
  <si>
    <t>2000019</t>
  </si>
  <si>
    <t>NILE.O,mscalc:sedolCodeCalc</t>
  </si>
  <si>
    <t>B00G5P7</t>
  </si>
  <si>
    <t>OWW.N,mscalc:closePriceCurrencyCalc</t>
  </si>
  <si>
    <t>NILE.O,mscalc:targetPrice,,,,USD</t>
  </si>
  <si>
    <t>EXPE.O,mscalc:closePriceCurrencyCalc</t>
  </si>
  <si>
    <t>AMZN.O,mscalc:targetPrice,,,,USD</t>
  </si>
  <si>
    <t>NILE.O,mscalc:closePriceCurrencyCalc</t>
  </si>
  <si>
    <t>OWW.N,mscalc:sedolCodeCalc</t>
  </si>
  <si>
    <t>B23G859</t>
  </si>
  <si>
    <t>OWW.N,mscalc:targetPrice,,,,USD</t>
  </si>
  <si>
    <t>AMZN.O,mscalc:closePriceCurrencyCalc</t>
  </si>
  <si>
    <t>7</t>
  </si>
  <si>
    <t>672</t>
  </si>
  <si>
    <t>% of capex</t>
  </si>
  <si>
    <t>Incremental EBITDA margin</t>
  </si>
  <si>
    <t>Free cash flow % of EBITDA</t>
  </si>
  <si>
    <t>Depreciation and amortization</t>
  </si>
  <si>
    <t>Product development</t>
  </si>
  <si>
    <t>Morgan Stanley | Yelp model</t>
  </si>
  <si>
    <t>Restricted cash</t>
  </si>
  <si>
    <t>Accrued liabilities</t>
  </si>
  <si>
    <t>Deferred revenue</t>
  </si>
  <si>
    <t>Long-term liabilities</t>
  </si>
  <si>
    <t>Redeemable convertible preferred stock</t>
  </si>
  <si>
    <t>Provision for doubtful accounts</t>
  </si>
  <si>
    <t>Purchases of property, equipment and software (Capex)</t>
  </si>
  <si>
    <t>Capitalized website and software development costs</t>
  </si>
  <si>
    <t>Change in restricted cash</t>
  </si>
  <si>
    <t>Proceeds from issuance of common stock</t>
  </si>
  <si>
    <t>Discounted cash flow analysis</t>
  </si>
  <si>
    <t>Cost of revenue</t>
  </si>
  <si>
    <t>Stock-based compensation</t>
  </si>
  <si>
    <t>Total stock-based compensation</t>
  </si>
  <si>
    <t>Stock-based compensation allocation</t>
  </si>
  <si>
    <t>Cost of revenue (ex-SBC)</t>
  </si>
  <si>
    <t>Total revenue</t>
  </si>
  <si>
    <t>Funds from operations</t>
  </si>
  <si>
    <t>% of total revenue</t>
  </si>
  <si>
    <t>Sales and marketing (ex-SBC)</t>
  </si>
  <si>
    <t>GAAP operating expenses</t>
  </si>
  <si>
    <t>Total GAAP operating expenses</t>
  </si>
  <si>
    <t>Operating expense drivers</t>
  </si>
  <si>
    <t>Sales and marketing</t>
  </si>
  <si>
    <t>DRIVER: Base case - % of revenue</t>
  </si>
  <si>
    <t>Accounts receivable, net</t>
  </si>
  <si>
    <t>Other assets</t>
  </si>
  <si>
    <t>Cash &amp; cash equivalents</t>
  </si>
  <si>
    <t>Common equity</t>
  </si>
  <si>
    <t>Additional paid-in capital</t>
  </si>
  <si>
    <t>Accumulated other comprehensive income</t>
  </si>
  <si>
    <t>Net income</t>
  </si>
  <si>
    <t>Depreciation &amp; amortization</t>
  </si>
  <si>
    <t>Prepaid expenses &amp; other current assets</t>
  </si>
  <si>
    <t>Prepaid expenses and other current assets</t>
  </si>
  <si>
    <t>Days Sales Outstanding</t>
  </si>
  <si>
    <t>Deferred revenue - % of revenue</t>
  </si>
  <si>
    <t>EV/FCF</t>
  </si>
  <si>
    <t>2009-2014</t>
  </si>
  <si>
    <t>B7TL820</t>
  </si>
  <si>
    <t>Profitability summary</t>
  </si>
  <si>
    <t>Case mechanics</t>
  </si>
  <si>
    <t>(+/-) Net changes in cash</t>
  </si>
  <si>
    <t>(+/-) Restatements / adjustments</t>
  </si>
  <si>
    <t>(USD millions)</t>
  </si>
  <si>
    <t>Total Current Assets</t>
  </si>
  <si>
    <t>Total Assets</t>
  </si>
  <si>
    <t>Total Current Liabilities</t>
  </si>
  <si>
    <t>Total Liabilities</t>
  </si>
  <si>
    <t>Total Shareholders' Equity</t>
  </si>
  <si>
    <t>Total Liabilities &amp; Shareholders' Equity</t>
  </si>
  <si>
    <t>Accounts receivable</t>
  </si>
  <si>
    <t>Depreciation &amp; Amortization</t>
  </si>
  <si>
    <t>Changes in Working Capital</t>
  </si>
  <si>
    <t>Operating Cash Flow</t>
  </si>
  <si>
    <t>Investing Cash Flow</t>
  </si>
  <si>
    <t>Financing Cash Flow</t>
  </si>
  <si>
    <t>Effects of FX</t>
  </si>
  <si>
    <t>Beginning Cash</t>
  </si>
  <si>
    <t>Ending Cash</t>
  </si>
  <si>
    <t>Unrecorded Goodwill from Poolings, Write-Offs and Cumulative Amortization</t>
  </si>
  <si>
    <t>ND</t>
  </si>
  <si>
    <t>Accounts payable</t>
  </si>
  <si>
    <t>Income Statement</t>
  </si>
  <si>
    <t>Diluted</t>
  </si>
  <si>
    <t>General and administrative</t>
  </si>
  <si>
    <t>General and administrative (ex-SBC)</t>
  </si>
  <si>
    <t>Company Reported EBITDA Adj.</t>
  </si>
  <si>
    <t>Company Reported EBITDA Adj. Toggle</t>
  </si>
  <si>
    <t>Period-End Date</t>
  </si>
  <si>
    <t>Check</t>
  </si>
  <si>
    <t>Balance sheet assumptions</t>
  </si>
  <si>
    <t>Total operating expenses (GAAP)</t>
  </si>
  <si>
    <t>Total operating expenses (adjusted)</t>
  </si>
  <si>
    <t>Operating income (GAAP)</t>
  </si>
  <si>
    <t>GAAP operating margin</t>
  </si>
  <si>
    <t>Operating income (adjusted)</t>
  </si>
  <si>
    <t>Adjusted operating margin</t>
  </si>
  <si>
    <t>Pre-tax income (GAAP)</t>
  </si>
  <si>
    <t>Pre-tax income (adjusted)</t>
  </si>
  <si>
    <t>Tax rate (adjusted)</t>
  </si>
  <si>
    <t>Net income (GAAP)</t>
  </si>
  <si>
    <t>Net income (adjusted)</t>
  </si>
  <si>
    <t>Gross margin</t>
  </si>
  <si>
    <t>Adjusted EBITDA</t>
  </si>
  <si>
    <t>Adjusted EBITDA margin</t>
  </si>
  <si>
    <t>EPS (GAAP)</t>
  </si>
  <si>
    <t>Gross profit</t>
  </si>
  <si>
    <t>EPS (adjusted)</t>
  </si>
  <si>
    <t>Free cash flow analysis</t>
  </si>
  <si>
    <t>Cash from operations</t>
  </si>
  <si>
    <t>(-) Capex</t>
  </si>
  <si>
    <t>Free cash flow</t>
  </si>
  <si>
    <t>% change Y/Y</t>
  </si>
  <si>
    <t>EBITDA</t>
  </si>
  <si>
    <t>Cash flow statement assumptions</t>
  </si>
  <si>
    <t>CAGR</t>
  </si>
  <si>
    <t>2012-2015</t>
  </si>
  <si>
    <t>2013-2016</t>
  </si>
  <si>
    <t>2014-2017</t>
  </si>
  <si>
    <t>2015-2018</t>
  </si>
  <si>
    <t>NA</t>
  </si>
  <si>
    <t>Base Case</t>
  </si>
  <si>
    <t>Bull Case</t>
  </si>
  <si>
    <t>Bear Case</t>
  </si>
  <si>
    <t>% of revenue</t>
  </si>
  <si>
    <t>Revenue</t>
  </si>
  <si>
    <t>% change Q/Q</t>
  </si>
  <si>
    <t>NPV Calculations</t>
  </si>
  <si>
    <t>Year for 1-year forward value</t>
  </si>
  <si>
    <t>Discounted cash flows</t>
  </si>
  <si>
    <t>NPV of terminal value</t>
  </si>
  <si>
    <t>Enterprise value</t>
  </si>
  <si>
    <t>Equity value</t>
  </si>
  <si>
    <t>Fully Diluted Shares</t>
  </si>
  <si>
    <t>Equity value per share</t>
  </si>
  <si>
    <t>Implied terminal EBITDA multiple</t>
  </si>
  <si>
    <t>Valuation Date</t>
  </si>
  <si>
    <t>Cost of Equity</t>
  </si>
  <si>
    <t>Cost of Debt</t>
  </si>
  <si>
    <t>Marginal Tax-Rate</t>
  </si>
  <si>
    <t>Long-Term Debt / Total Cap.</t>
  </si>
  <si>
    <t>WACC</t>
  </si>
  <si>
    <t>Perpetual Growth Rate</t>
  </si>
  <si>
    <t>Wtd Avg</t>
  </si>
  <si>
    <t>Equity</t>
  </si>
  <si>
    <t>Price per</t>
  </si>
  <si>
    <t>Treasury</t>
  </si>
  <si>
    <t>Share Tranche</t>
  </si>
  <si>
    <t>Options</t>
  </si>
  <si>
    <t>Strike Price</t>
  </si>
  <si>
    <t>Proceeds</t>
  </si>
  <si>
    <t>Value</t>
  </si>
  <si>
    <t>Shares</t>
  </si>
  <si>
    <t>Share</t>
  </si>
  <si>
    <t>Test</t>
  </si>
  <si>
    <t>Method</t>
  </si>
  <si>
    <t>Tranche 1</t>
  </si>
  <si>
    <t>Tranche 2</t>
  </si>
  <si>
    <t>Tranche 3</t>
  </si>
  <si>
    <t>Tranche 4</t>
  </si>
  <si>
    <t>Tranche 5</t>
  </si>
  <si>
    <t>Tranche 6</t>
  </si>
  <si>
    <t>Tranche 7</t>
  </si>
  <si>
    <t>Totals</t>
  </si>
  <si>
    <t>ModelWare DCF Metrics</t>
  </si>
  <si>
    <t>WACC / Hurdle Rate</t>
  </si>
  <si>
    <t>PV of FCF</t>
  </si>
  <si>
    <t>PV of terminal year</t>
  </si>
  <si>
    <t>Net cash / (debt)</t>
  </si>
  <si>
    <t>EV/Revenue</t>
  </si>
  <si>
    <t>Discount rate</t>
  </si>
  <si>
    <t>3-year normalized growth</t>
  </si>
  <si>
    <t>Perpetual growth rate</t>
  </si>
  <si>
    <t>Implied terminal year EBITDA multiple</t>
  </si>
  <si>
    <t>EV/EBITDA</t>
  </si>
  <si>
    <t>P/E (adjusted)</t>
  </si>
  <si>
    <t>PEG</t>
  </si>
  <si>
    <t>P/E (GAAP)</t>
  </si>
  <si>
    <t>2011-2014</t>
  </si>
  <si>
    <t>2014E</t>
  </si>
  <si>
    <t>2015E</t>
  </si>
  <si>
    <t>2016E</t>
  </si>
  <si>
    <t>2017E</t>
  </si>
  <si>
    <t>2018E</t>
  </si>
  <si>
    <t>2019E</t>
  </si>
  <si>
    <t>2020E</t>
  </si>
  <si>
    <t>Variance</t>
  </si>
  <si>
    <t>Total net revenue</t>
  </si>
  <si>
    <t>ElementName</t>
  </si>
  <si>
    <t>ScaleOverride</t>
  </si>
  <si>
    <t>UnitOverride</t>
  </si>
  <si>
    <t>ReverseSign</t>
  </si>
  <si>
    <t>IsDrivingAssumption</t>
  </si>
  <si>
    <t>SegmentID</t>
  </si>
  <si>
    <t>ModelWare items - DO NOT REMOVE</t>
  </si>
  <si>
    <t>ms_eqr_gcim_Decimal:ms_eqr_gcim_decimal</t>
  </si>
  <si>
    <t>Stock-based compensation adjustment (net of tax)</t>
  </si>
  <si>
    <t>Tax Adjustments</t>
  </si>
  <si>
    <t>(-) Stock-based compensation</t>
  </si>
  <si>
    <t>(+/-) Changes in working capital</t>
  </si>
  <si>
    <t>(-) Cash taxes</t>
  </si>
  <si>
    <t>EBITDA Margin</t>
  </si>
  <si>
    <t>FCF (CFO-capex)</t>
  </si>
  <si>
    <t>mstag:tag031</t>
  </si>
  <si>
    <t>mstag:tag032</t>
  </si>
  <si>
    <t>mstag:tag033</t>
  </si>
  <si>
    <t>mstag:tag034</t>
  </si>
  <si>
    <t>31</t>
  </si>
  <si>
    <t>USD</t>
  </si>
  <si>
    <t>++</t>
  </si>
  <si>
    <t>FB.O,mscalc:closePriceCurrencyCalc</t>
  </si>
  <si>
    <t>FB.O,mscalc:sedolCodeCalc</t>
  </si>
  <si>
    <t>FB.O,mscalc:targetPrice,,,,USD</t>
  </si>
  <si>
    <t>FB.O,mscalc:targetPrice</t>
  </si>
  <si>
    <t>Current price</t>
  </si>
  <si>
    <t>FCF yield</t>
  </si>
  <si>
    <t>Upside/downside vs. FV</t>
  </si>
  <si>
    <t>Fair value (1-year forward)</t>
  </si>
  <si>
    <t>Fair value (one year forward)</t>
  </si>
  <si>
    <t>Property, equipment and software, net</t>
  </si>
  <si>
    <t>Accumulated deficit</t>
  </si>
  <si>
    <t>Loss on disposal of assets and website development costs</t>
  </si>
  <si>
    <t>Accounts payable and accrued expenses</t>
  </si>
  <si>
    <t>Local advertising</t>
  </si>
  <si>
    <t>Brand advertising</t>
  </si>
  <si>
    <t>Product development (ex-SBC)</t>
  </si>
  <si>
    <t>Purchases of intangible assets and other assets</t>
  </si>
  <si>
    <t>Sale and maturities of investments</t>
  </si>
  <si>
    <t>Purchases of investments</t>
  </si>
  <si>
    <t>Proceeds from early exercise of stock options</t>
  </si>
  <si>
    <t>Repurchase from early exercise of stock options</t>
  </si>
  <si>
    <t>Days Payable Outstanding</t>
  </si>
  <si>
    <t>Local advertising revenue</t>
  </si>
  <si>
    <t>Brand advertising revenue</t>
  </si>
  <si>
    <t>Morgan Stanley | Yelp revenue drivers</t>
  </si>
  <si>
    <t>Morgan Stanley | Yelp expense drivers</t>
  </si>
  <si>
    <t>Morgan Stanley | Yelp DCF</t>
  </si>
  <si>
    <t>Morgan Stanley | Yelp valuation</t>
  </si>
  <si>
    <t>Other operating activities</t>
  </si>
  <si>
    <t>Payments for deferred offering costs</t>
  </si>
  <si>
    <t>Stock based compensation</t>
  </si>
  <si>
    <t>Active local business accounts (000s)</t>
  </si>
  <si>
    <t>Capital expenditures</t>
  </si>
  <si>
    <t>One-time items</t>
  </si>
  <si>
    <t>Cumulative reviews</t>
  </si>
  <si>
    <t>Claimed local business locations</t>
  </si>
  <si>
    <t>Tax rate (GAAP)</t>
  </si>
  <si>
    <t>Income tax provision/(benefit) (adjusted)</t>
  </si>
  <si>
    <t>Income tax provision/(benefit) (GAAP)</t>
  </si>
  <si>
    <t>Consensus</t>
  </si>
  <si>
    <t>% of total reviews</t>
  </si>
  <si>
    <t>2015-FY</t>
  </si>
  <si>
    <t>2016-FY</t>
  </si>
  <si>
    <t>YELP.N</t>
  </si>
  <si>
    <t>Full-time employees</t>
  </si>
  <si>
    <t>% of total active markets</t>
  </si>
  <si>
    <t>Desktop unique visitors</t>
  </si>
  <si>
    <t>Mobile unique visitors</t>
  </si>
  <si>
    <t>% of total unique visitors</t>
  </si>
  <si>
    <t>Ticker:</t>
  </si>
  <si>
    <t>Currency</t>
  </si>
  <si>
    <t>Current Stock Price</t>
  </si>
  <si>
    <t>Count</t>
  </si>
  <si>
    <t>YELP.N,mscalc:sedolCodeCalc</t>
  </si>
  <si>
    <t>YELP.N,mscalc:targetPrice,,,,USD</t>
  </si>
  <si>
    <t>YELP.N,mscalc:closePriceCurrencyCalc</t>
  </si>
  <si>
    <t>$AZ$2</t>
  </si>
  <si>
    <t>Brand revenue per average unique visitor (annualized)</t>
  </si>
  <si>
    <t>Average monthly unique visitors</t>
  </si>
  <si>
    <t>Available reviews</t>
  </si>
  <si>
    <t>Filtered reviews</t>
  </si>
  <si>
    <t>Removed reviews</t>
  </si>
  <si>
    <t>Active WW Yelp markets</t>
  </si>
  <si>
    <t>OPERATIONAL METRICS</t>
  </si>
  <si>
    <t>Active Yelp markets (# of markets)</t>
  </si>
  <si>
    <t>Reviews (millions)</t>
  </si>
  <si>
    <t>Claimed locations (millions)</t>
  </si>
  <si>
    <t>Active local business accounts</t>
  </si>
  <si>
    <t>Cumulative reviews per claimed location ('0)</t>
  </si>
  <si>
    <t>Cumulative reviews per active Yelp market</t>
  </si>
  <si>
    <t>Non-recurring items</t>
  </si>
  <si>
    <t>Cost of revenue (ex-SBC/D&amp;A)</t>
  </si>
  <si>
    <t>Operating expenses ex-SBC/D&amp;A/non-recurring items</t>
  </si>
  <si>
    <t>Total adjusted operating expenses</t>
  </si>
  <si>
    <t>3-year average D&amp;A</t>
  </si>
  <si>
    <t>Interest income assumptions</t>
  </si>
  <si>
    <t>Current period cash</t>
  </si>
  <si>
    <t>Prior period cash</t>
  </si>
  <si>
    <t>Interest income</t>
  </si>
  <si>
    <t>Implied annualized interest rate</t>
  </si>
  <si>
    <t>Beginning NOL value</t>
  </si>
  <si>
    <t>NOL used</t>
  </si>
  <si>
    <t>Ending NOL value</t>
  </si>
  <si>
    <t>GAAP pre-tax income</t>
  </si>
  <si>
    <t>Taxable income</t>
  </si>
  <si>
    <t>Assumed cash tax rate</t>
  </si>
  <si>
    <t>Cash taxes paid</t>
  </si>
  <si>
    <t>Prepaid expenses &amp; other current assets - % of non-GAAP opex</t>
  </si>
  <si>
    <t>Accrued expenses &amp; other current liabilities - % of non-GAAP opex</t>
  </si>
  <si>
    <t>Free cash flow % of revenue</t>
  </si>
  <si>
    <t>One year forward</t>
  </si>
  <si>
    <t>Interest &amp; other income / (expense), net (adjusted)</t>
  </si>
  <si>
    <t>Interest &amp; other income / (expense), net (GAAP)</t>
  </si>
  <si>
    <t>Tax / NOL worksheet</t>
  </si>
  <si>
    <t>Statutory tax rate</t>
  </si>
  <si>
    <t>2016-2019</t>
  </si>
  <si>
    <t>Morgan Stanley - Yelp DCF analysis</t>
  </si>
  <si>
    <t>Paying accounts per full-time employee</t>
  </si>
  <si>
    <t>Employee metrics</t>
  </si>
  <si>
    <t>(-) Debt</t>
  </si>
  <si>
    <t>(+) Cash</t>
  </si>
  <si>
    <t>2017-2020</t>
  </si>
  <si>
    <t>Customers repeating</t>
  </si>
  <si>
    <t>Customers not repeating</t>
  </si>
  <si>
    <t>Gross customer adds</t>
  </si>
  <si>
    <t>Net customer adds</t>
  </si>
  <si>
    <t>Customer repeat rate (LTM)</t>
  </si>
  <si>
    <t>FCF / EBITDA</t>
  </si>
  <si>
    <t>United States</t>
  </si>
  <si>
    <t>Fully-diluted shares (for market cap)</t>
  </si>
  <si>
    <t>% of total MOBILE unique visitors</t>
  </si>
  <si>
    <t>US vs. International total revenue</t>
  </si>
  <si>
    <t>Total US revenue</t>
  </si>
  <si>
    <t>Total international revenue</t>
  </si>
  <si>
    <t>LOCAL ADVERTISING REVENUE</t>
  </si>
  <si>
    <t>BRAND ADVERTISING REVENUE</t>
  </si>
  <si>
    <t>US vs. International average monthly unique visitors</t>
  </si>
  <si>
    <t>US average monthly unique visitors</t>
  </si>
  <si>
    <t>International average monthly unique visitors</t>
  </si>
  <si>
    <t>Average monthly unique visitor breakout by source</t>
  </si>
  <si>
    <t>% of total average monthly unique visitors</t>
  </si>
  <si>
    <t>US vs. International cumulative reviews</t>
  </si>
  <si>
    <t>US cumulative reviews</t>
  </si>
  <si>
    <t>International cumulative reviews</t>
  </si>
  <si>
    <t>Market cap (at current price)</t>
  </si>
  <si>
    <t>Enterprise value (at current price)</t>
  </si>
  <si>
    <t>Debt (last reported)</t>
  </si>
  <si>
    <t>Cash (last reported)</t>
  </si>
  <si>
    <t>Market cap (1-year forward)</t>
  </si>
  <si>
    <t>Enterprise value (1-year forward)</t>
  </si>
  <si>
    <t>Paying business participation rate</t>
  </si>
  <si>
    <t>Balance Sheet (USD millions)</t>
  </si>
  <si>
    <t>Cash Flow Statement (USD millions)</t>
  </si>
  <si>
    <t>Assets</t>
  </si>
  <si>
    <t>Liabilities</t>
  </si>
  <si>
    <t>Shareholders' Equity</t>
  </si>
  <si>
    <t>bps change Y/Y</t>
  </si>
  <si>
    <t>bps change Q/Q</t>
  </si>
  <si>
    <t>bps change Q/Q - % of revenue</t>
  </si>
  <si>
    <t>DRIVER: Base case - period-to-period addition Q/Q</t>
  </si>
  <si>
    <t>DRIVER: Base case - period-to-period addition ($m) Q/Q</t>
  </si>
  <si>
    <t>Period-to-period addition Y/Y</t>
  </si>
  <si>
    <t>Number of Yelp Markets</t>
  </si>
  <si>
    <t>2005-2006</t>
  </si>
  <si>
    <t>2007-2008</t>
  </si>
  <si>
    <t>2009-2010</t>
  </si>
  <si>
    <t>Cumulative Reviews</t>
  </si>
  <si>
    <t>Q/Q Abs Growth</t>
  </si>
  <si>
    <t>Average Local Advertising Revenue per Market</t>
  </si>
  <si>
    <t>Free Cash Flow Analyses</t>
  </si>
  <si>
    <t>Y/Y Abs Growth</t>
  </si>
  <si>
    <t>Beg Share Count</t>
  </si>
  <si>
    <t>Dilution</t>
  </si>
  <si>
    <t>Shares Repurchased</t>
  </si>
  <si>
    <t>Ending Share Count</t>
  </si>
  <si>
    <t>Repurchases ($)</t>
  </si>
  <si>
    <t>Avg. Cost of Repurchase</t>
  </si>
  <si>
    <t>Average Shares Outstanding</t>
  </si>
  <si>
    <t>Dollars per Market</t>
  </si>
  <si>
    <t>bps change Y/Y - % of revenue</t>
  </si>
  <si>
    <t>Total Reported Cohort Revenue</t>
  </si>
  <si>
    <t>% change Two-Year</t>
  </si>
  <si>
    <t>Cohort Sanity Check</t>
  </si>
  <si>
    <t>Free Cash Flow Analysis</t>
  </si>
  <si>
    <t>Estimated Non-cash Comp.</t>
  </si>
  <si>
    <t>Cash Interest Exp.</t>
  </si>
  <si>
    <t>Cash Taxes</t>
  </si>
  <si>
    <t>Capex</t>
  </si>
  <si>
    <t>Chg in Wking Cap.</t>
  </si>
  <si>
    <t>Free Cash Flow</t>
  </si>
  <si>
    <t>YoY Growth</t>
  </si>
  <si>
    <t>FCF Conversion</t>
  </si>
  <si>
    <t>Operating Cash Flow to EBITDA</t>
  </si>
  <si>
    <t>FCF per Share</t>
  </si>
  <si>
    <t>Uses of Free Cash Flow:</t>
  </si>
  <si>
    <t>Dividend</t>
  </si>
  <si>
    <t>Debt Repayment / Issuance</t>
  </si>
  <si>
    <t>Acquisitions / Investments (net)</t>
  </si>
  <si>
    <t>Share Repurchases</t>
  </si>
  <si>
    <t>Excess Free Cash</t>
  </si>
  <si>
    <t>Change in WC % of Sales</t>
  </si>
  <si>
    <t>WC</t>
  </si>
  <si>
    <t>WC % of Sales</t>
  </si>
  <si>
    <t>Return on Invested Capital</t>
  </si>
  <si>
    <t>- Cash</t>
  </si>
  <si>
    <t>- Accounts Payable</t>
  </si>
  <si>
    <t>- Accrued Expenses</t>
  </si>
  <si>
    <t>Invested Capital</t>
  </si>
  <si>
    <t>NOPAT</t>
  </si>
  <si>
    <t>Adjusted EBIT</t>
  </si>
  <si>
    <t>GAAP EBIT</t>
  </si>
  <si>
    <t>Adjusted Taxes:</t>
  </si>
  <si>
    <t>Taxes on EBIT (at 40%)</t>
  </si>
  <si>
    <t>ROIC</t>
  </si>
  <si>
    <t>EPS (adjusted non-GAAP) - diluted</t>
  </si>
  <si>
    <t>EPS (GAAP) - basic</t>
  </si>
  <si>
    <t>EPS (GAAP) - diluted</t>
  </si>
  <si>
    <t>DRIVER: Base case - Q/Q Abs Growth</t>
  </si>
  <si>
    <t>Total D&amp;A</t>
  </si>
  <si>
    <t>Average Depreciable Life</t>
  </si>
  <si>
    <t>Average Net PP&amp;E</t>
  </si>
  <si>
    <t>D&amp;A % of Net PP&amp;E</t>
  </si>
  <si>
    <t>Capex % of Net PPE</t>
  </si>
  <si>
    <t>MODEL TAB</t>
  </si>
  <si>
    <t>X</t>
  </si>
  <si>
    <t>REVENUE DRIVERS TAB</t>
  </si>
  <si>
    <t>EXPENSE DRIVERS TAB</t>
  </si>
  <si>
    <t>Reviews</t>
  </si>
  <si>
    <t>Unique Visitors</t>
  </si>
  <si>
    <t>Claimed Business Locations</t>
  </si>
  <si>
    <t>Active Local Business Accounts</t>
  </si>
  <si>
    <t>2011-Present</t>
  </si>
  <si>
    <t>Date:</t>
  </si>
  <si>
    <t>(In millions USD)</t>
  </si>
  <si>
    <t>Morgan Stanley</t>
  </si>
  <si>
    <t>Adj. EBITDA</t>
  </si>
  <si>
    <t>YELP</t>
  </si>
  <si>
    <t>Implied 2011 Cohort Local Revenue</t>
  </si>
  <si>
    <t>2014</t>
  </si>
  <si>
    <t>Local Advertising Account</t>
  </si>
  <si>
    <t>NM</t>
  </si>
  <si>
    <t>CPC Revenue</t>
  </si>
  <si>
    <t>Display Revenue</t>
  </si>
  <si>
    <t>Home &amp; Local</t>
  </si>
  <si>
    <t>Restaurants</t>
  </si>
  <si>
    <t>Beauty &amp; Fitness</t>
  </si>
  <si>
    <t>Shopping</t>
  </si>
  <si>
    <t>Health</t>
  </si>
  <si>
    <t>Other</t>
  </si>
  <si>
    <t>Deal Customers (000s)</t>
  </si>
  <si>
    <t>Total Revenue</t>
  </si>
  <si>
    <t>Current Price</t>
  </si>
  <si>
    <t>% Upside/(Downside)</t>
  </si>
  <si>
    <t>Y/Y % Growth</t>
  </si>
  <si>
    <t>Offline and Online  Advertising Spend</t>
  </si>
  <si>
    <t>Sales Headcount</t>
  </si>
  <si>
    <t>Total Local Ad Revenue (mn)</t>
  </si>
  <si>
    <t>Total Local Ad Revenue per Sales Rep</t>
  </si>
  <si>
    <t>Sales and marketing Ex-Ad Spend per Sales Rep</t>
  </si>
  <si>
    <t>Other services (and EAT24)</t>
  </si>
  <si>
    <t>Abs change Y/Y</t>
  </si>
  <si>
    <t>Sales Force Efficiency Analysis</t>
  </si>
  <si>
    <t>Revenue from Cohort</t>
  </si>
  <si>
    <t>Y/Y% Growth</t>
  </si>
  <si>
    <t>Abs Growth</t>
  </si>
  <si>
    <t>Delta to Oldest Cohort</t>
  </si>
  <si>
    <t>Core Sales and marketing Excluding Ad Spend</t>
  </si>
  <si>
    <t>Y/Y Change in bp</t>
  </si>
  <si>
    <t>Revenue Ex EAT24</t>
  </si>
  <si>
    <t>EAT24 S&amp;M (assume 60% S&amp;M)</t>
  </si>
  <si>
    <t>% Change Y/Y</t>
  </si>
  <si>
    <t>2016 EBITDA</t>
  </si>
  <si>
    <t>Active Business Account</t>
  </si>
  <si>
    <t>Active Business Account per Sales Rep</t>
  </si>
  <si>
    <t>2014-2018</t>
  </si>
  <si>
    <t>2012-2014</t>
  </si>
  <si>
    <t>Base Case DCF Valuation Assumptions</t>
  </si>
  <si>
    <t>Bull Case DCF Valuation Assumptions</t>
  </si>
  <si>
    <t>Bear Case DCF Valuation Assumptions</t>
  </si>
  <si>
    <t>Implied Target Multiple</t>
  </si>
  <si>
    <t>DCF Target Price</t>
  </si>
  <si>
    <t>'14-'18 EBITDA CAGR</t>
  </si>
  <si>
    <t>Revenue Mix by Vertical (Total Revenue)</t>
  </si>
  <si>
    <t>B7KCD72</t>
  </si>
  <si>
    <t>Total</t>
  </si>
  <si>
    <t>Revenue Mix</t>
  </si>
  <si>
    <t>Revenue YoY Growth</t>
  </si>
  <si>
    <t>Revenue Abs YoY Growth</t>
  </si>
  <si>
    <t>Two-Year change Y/Y</t>
  </si>
  <si>
    <t>abs  change Y/Y</t>
  </si>
  <si>
    <t>Local Advertising Revenue</t>
  </si>
  <si>
    <t>2016</t>
  </si>
  <si>
    <t>TY - 2025</t>
  </si>
  <si>
    <t>Mobile Web unique users</t>
  </si>
  <si>
    <t>Terminal EBITDA Margin</t>
  </si>
  <si>
    <t>Terminal FCF Conversion</t>
  </si>
  <si>
    <t>Equity Value: WACC vs. Perpetual Growth Rate</t>
  </si>
  <si>
    <t>Equity Value per Share: WACC vs. Perpetual Growth Rate</t>
  </si>
  <si>
    <t xml:space="preserve">Two-year % change </t>
  </si>
  <si>
    <t>Eat24</t>
  </si>
  <si>
    <t>Abs change Q/Q</t>
  </si>
  <si>
    <t>Organic Revenue</t>
  </si>
  <si>
    <t>Net New Sales Reps</t>
  </si>
  <si>
    <t>% EBITDA Margin</t>
  </si>
  <si>
    <t>% Change</t>
  </si>
  <si>
    <t>N/A</t>
  </si>
  <si>
    <t>GAAP EPS</t>
  </si>
  <si>
    <t>2017</t>
  </si>
  <si>
    <t>Accretion of redeemable convertible preferred stock/Other</t>
  </si>
  <si>
    <t>Other Adjustments</t>
  </si>
  <si>
    <t>2015</t>
  </si>
  <si>
    <t>Cost of Revenue (GAAP)</t>
  </si>
  <si>
    <t>YoY Change</t>
  </si>
  <si>
    <t>Outside Hosting/Internet Service</t>
  </si>
  <si>
    <t>Setup Costs</t>
  </si>
  <si>
    <t>SBC</t>
  </si>
  <si>
    <t>commission expense</t>
  </si>
  <si>
    <t>facilities/insurance/taxes/other</t>
  </si>
  <si>
    <t>marketing</t>
  </si>
  <si>
    <t>Drivers of Change:</t>
  </si>
  <si>
    <t xml:space="preserve">Creative design </t>
  </si>
  <si>
    <t xml:space="preserve">Website Support Personnel </t>
  </si>
  <si>
    <t>Credit card fees</t>
  </si>
  <si>
    <t>Third Party Delivery Costs (Eat24)</t>
  </si>
  <si>
    <t>Headcount related (ex-SBC)</t>
  </si>
  <si>
    <t>Product Development (GAAP)</t>
  </si>
  <si>
    <t>Sales and marketing (GAAP)</t>
  </si>
  <si>
    <t xml:space="preserve">outside consultants </t>
  </si>
  <si>
    <t xml:space="preserve">Support systems </t>
  </si>
  <si>
    <t>facilities</t>
  </si>
  <si>
    <t>bad debt</t>
  </si>
  <si>
    <t>General and administrative (GAAP)</t>
  </si>
  <si>
    <t>Top 5 Vericals</t>
  </si>
  <si>
    <t>YoY % Change</t>
  </si>
  <si>
    <t>sequential change Q/Q</t>
  </si>
  <si>
    <t>Local Acts/Sales Rep (W/ 2Q Lag)</t>
  </si>
  <si>
    <t>2 Yr % Change</t>
  </si>
  <si>
    <t>Abs  change Y/Y</t>
  </si>
  <si>
    <t xml:space="preserve"> </t>
  </si>
  <si>
    <t>YoY Change (in bp)</t>
  </si>
  <si>
    <t>% of Revenue</t>
  </si>
  <si>
    <t>EAT 24 Revenue</t>
  </si>
  <si>
    <t>Credit Card Costs</t>
  </si>
  <si>
    <t>Delivery Costs</t>
  </si>
  <si>
    <t>% Growth</t>
  </si>
  <si>
    <t>Non-Sales Employees</t>
  </si>
  <si>
    <t>Total Sales Employees</t>
  </si>
  <si>
    <t>Total Non-Sales Employees</t>
  </si>
  <si>
    <t>Period-to-period Addition</t>
  </si>
  <si>
    <t>Net New Non-Sales Employees</t>
  </si>
  <si>
    <t>Incremental Cost/Net New Sales Rep ($K, ex-SBC)</t>
  </si>
  <si>
    <t>Incremental SBC/Net New Sales Rep ($K)</t>
  </si>
  <si>
    <t>Incremental G&amp;A Cost/Net New Non-Sales Employee ($K, ex-SBC)</t>
  </si>
  <si>
    <t>Incremental R&amp;D Cost/Net New Non-Sales Employee ($K, ex-SBC)</t>
  </si>
  <si>
    <t>Beta</t>
  </si>
  <si>
    <t>Risk free rate</t>
  </si>
  <si>
    <t>Market Risk Premium</t>
  </si>
  <si>
    <t>CAPM</t>
  </si>
  <si>
    <t>Total Revenue YoY Growth</t>
  </si>
  <si>
    <t>Bad Debt % of Revenue</t>
  </si>
  <si>
    <t>Facilities % of Revenue</t>
  </si>
  <si>
    <t>Headcount Costs</t>
  </si>
  <si>
    <t>Outside Hosting % of Revenue</t>
  </si>
  <si>
    <t>facilities/insurance/taxes/other % of rev</t>
  </si>
  <si>
    <t>Total Headcount Cost Growth (pre SBC)</t>
  </si>
  <si>
    <t>Support systems  % of rev</t>
  </si>
  <si>
    <t>Facilities % of rev</t>
  </si>
  <si>
    <t>Graveyard</t>
  </si>
  <si>
    <t>SBC per Employee</t>
  </si>
  <si>
    <t>Avg monthly revenue per local advertising account</t>
  </si>
  <si>
    <t>1E</t>
  </si>
  <si>
    <t>2E</t>
  </si>
  <si>
    <t>3E</t>
  </si>
  <si>
    <t>4E</t>
  </si>
  <si>
    <t>Period-to-period addition</t>
  </si>
  <si>
    <t>Bull Case = 2</t>
  </si>
  <si>
    <t>Bear Case = 3</t>
  </si>
  <si>
    <t xml:space="preserve">Other Services </t>
  </si>
  <si>
    <t>Gross Margin</t>
  </si>
  <si>
    <t>Gross Profit</t>
  </si>
  <si>
    <t>Incremental facilities/insurance/taxes/other</t>
  </si>
  <si>
    <t>Incremental marketing</t>
  </si>
  <si>
    <t>Incremental  Other</t>
  </si>
  <si>
    <t>Incremental Headcount Expenses</t>
  </si>
  <si>
    <t>Adjusted Operating Expenses</t>
  </si>
  <si>
    <t xml:space="preserve">Adjusted Opertaing Income </t>
  </si>
  <si>
    <t>% Operating Margin</t>
  </si>
  <si>
    <t>Base</t>
  </si>
  <si>
    <t>Sensitivity  Analysis Output</t>
  </si>
  <si>
    <t xml:space="preserve">Bull </t>
  </si>
  <si>
    <t>Bear</t>
  </si>
  <si>
    <t xml:space="preserve">Graveyard </t>
  </si>
  <si>
    <t>Local Acts/Sales Rep (W/ 1Yr Lag)</t>
  </si>
  <si>
    <t>Local Accounts/Sales Rep (1 Yr Lag)</t>
  </si>
  <si>
    <t>Incremental Margins</t>
  </si>
  <si>
    <t>Local Acts Added/Sales Rep (W/ 2Q Lag)</t>
  </si>
  <si>
    <t>Other Revenue</t>
  </si>
  <si>
    <t>Local Revenue (BULL CASE)</t>
  </si>
  <si>
    <t>Local Revenue (BEAR CASE)</t>
  </si>
  <si>
    <t>MSe</t>
  </si>
  <si>
    <t xml:space="preserve">Variance </t>
  </si>
  <si>
    <t>2015-2020</t>
  </si>
  <si>
    <t>Total Local Ad Revenue per Sales Rep (2 Qtr Lagged)</t>
  </si>
  <si>
    <t>Incremental Local Ad Dollars per Sales Rep (2 Qtr Lagged)</t>
  </si>
  <si>
    <t>Incremental G&amp;A SBC/New Non-Sales Employee ($K)</t>
  </si>
  <si>
    <t>Incremental R&amp;D SBC/New Non-Sales Employee ($K)</t>
  </si>
  <si>
    <t>Basic (GAAP)</t>
  </si>
  <si>
    <t>Diluted (Non-GAAP)</t>
  </si>
  <si>
    <t>Other Revenue &amp; Eat24</t>
  </si>
  <si>
    <t>National Chains</t>
  </si>
  <si>
    <t>Q/Q $ Growth</t>
  </si>
  <si>
    <t>Y/Y $ Growth</t>
  </si>
  <si>
    <t>Local Ad Revenue/MAU</t>
  </si>
  <si>
    <t>2 Yr Change</t>
  </si>
  <si>
    <t>S&amp;M Ex-Advertising, SBC</t>
  </si>
  <si>
    <t>CPC/CPM Mix</t>
  </si>
  <si>
    <t>Mobile App unique devices</t>
  </si>
  <si>
    <t>Other Services Revenue</t>
  </si>
  <si>
    <t>Other Services &amp; Other Transaction Revenue</t>
  </si>
  <si>
    <t>Revenue Per Transaction</t>
  </si>
  <si>
    <t>Other Transaction Revenue (MSe)</t>
  </si>
  <si>
    <t>Eat 24 Revenue (MSe)</t>
  </si>
  <si>
    <t>Other Services Revenue (Reported)</t>
  </si>
  <si>
    <t>Transaction Volume</t>
  </si>
  <si>
    <t>Local Advertising Accounts (in thousands)</t>
  </si>
  <si>
    <t>Self-Serve</t>
  </si>
  <si>
    <t>Contribution to Growth</t>
  </si>
  <si>
    <t>National</t>
  </si>
  <si>
    <t>Self Serve</t>
  </si>
  <si>
    <t>Adj, EPS</t>
  </si>
  <si>
    <t xml:space="preserve">Gross Profit </t>
  </si>
  <si>
    <t>ARPU</t>
  </si>
  <si>
    <t xml:space="preserve">annualized </t>
  </si>
  <si>
    <t># of accts lost</t>
  </si>
  <si>
    <t>churn rate</t>
  </si>
  <si>
    <t>7k</t>
  </si>
  <si>
    <t>FY Revenue guidance</t>
  </si>
  <si>
    <t>Implied Churn Rate</t>
  </si>
  <si>
    <t>~5%</t>
  </si>
  <si>
    <t>Annualized ARPU</t>
  </si>
  <si>
    <t>FY17 Revised Guidance</t>
  </si>
  <si>
    <t>$865mm</t>
  </si>
  <si>
    <t>Downward Rev. Revision</t>
  </si>
  <si>
    <t>$35mm</t>
  </si>
  <si>
    <t>Implied # of Accts Lost</t>
  </si>
  <si>
    <t>FY17 Revenue Guide Down*</t>
  </si>
  <si>
    <t>Active Accts 4Q16</t>
  </si>
  <si>
    <t>~138k</t>
  </si>
  <si>
    <t>Implied Churn Rate Q/Q%</t>
  </si>
  <si>
    <t>Guidance Implied Impact to Accounts</t>
  </si>
  <si>
    <t>Company-wide ARPU 2016</t>
  </si>
  <si>
    <t>~$409/mo</t>
  </si>
  <si>
    <t>~$4,910/yr</t>
  </si>
  <si>
    <t>~7,540</t>
  </si>
  <si>
    <t>~5.5%</t>
  </si>
  <si>
    <t>~$37mn</t>
  </si>
  <si>
    <t>2Q16</t>
  </si>
  <si>
    <t>3Q16</t>
  </si>
  <si>
    <t>4Q16</t>
  </si>
  <si>
    <t>1Q17</t>
  </si>
  <si>
    <t>1Q16</t>
  </si>
  <si>
    <t>Transaction revenue</t>
  </si>
  <si>
    <t>Advertising Revenue</t>
  </si>
  <si>
    <t>ADVERTISING REVENUE</t>
  </si>
  <si>
    <t>Transactions (EAT24)</t>
  </si>
  <si>
    <t>Other Services (Reservations, Nowait)</t>
  </si>
  <si>
    <t>Advertising (Direct and resellers)</t>
  </si>
  <si>
    <t>Avg monthly revenue per paying advertising acct</t>
  </si>
  <si>
    <t>Paying Advertising Accounts (000s)</t>
  </si>
  <si>
    <t>Paying Accts Added/Sales Rep (W/ 2Q Lag)</t>
  </si>
  <si>
    <t>TRANSACTION &amp; OTHER SERVICES REVENUE</t>
  </si>
  <si>
    <t>SALESFORCE EFFICIENCY ANALYSIS</t>
  </si>
  <si>
    <t>Total Ad Revenue (mn)</t>
  </si>
  <si>
    <t>Total Ad Revenue per Sales Rep</t>
  </si>
  <si>
    <t>Total Ad Revenue per Sales Rep (2 Qtr Lagged)</t>
  </si>
  <si>
    <t>Incremental Ad Dollars per Sales Rep (2 Qtr Lagged)</t>
  </si>
  <si>
    <t>Paying Advertising Account</t>
  </si>
  <si>
    <t>Q/Q Abs Growth (DRIVER)</t>
  </si>
  <si>
    <t>% of Ad Revenue</t>
  </si>
  <si>
    <t>Total revenue (ex-Brand Advertising)</t>
  </si>
  <si>
    <t>Advertising revenue</t>
  </si>
  <si>
    <t>Other services revenue</t>
  </si>
  <si>
    <t>5-Yr CAGR</t>
  </si>
  <si>
    <t>Total net revenue (old - restated segments 1Q17)</t>
  </si>
  <si>
    <t>Organic YELP (ex-Eat24)</t>
  </si>
  <si>
    <t>P / E Mult. ('17e EPS)</t>
  </si>
  <si>
    <t xml:space="preserve">AD REVENUE CHANNEL BREAKDOWN </t>
  </si>
  <si>
    <t>Top 5 Verticals</t>
  </si>
  <si>
    <t>CUSTOMER TYPE (VERTICALS)</t>
  </si>
  <si>
    <t>Local</t>
  </si>
  <si>
    <t>% of Local Ad Channel Revenue</t>
  </si>
  <si>
    <t>Ad Revenue Mix</t>
  </si>
  <si>
    <t>DRIVER: Base case - % of total revenue</t>
  </si>
  <si>
    <t>Core Adj. EBITDA</t>
  </si>
  <si>
    <t>Core Incremental Margins</t>
  </si>
  <si>
    <t>Revenue (Pro-forma)</t>
  </si>
  <si>
    <t>EBITDA (Pro-forma)</t>
  </si>
  <si>
    <t>Net Revenue</t>
  </si>
  <si>
    <t>4Q17</t>
  </si>
  <si>
    <t>PPE check</t>
  </si>
  <si>
    <t>Check: Local Ad Channel Y/Y growth %</t>
  </si>
  <si>
    <t>EV / Revenue Mult. ('19e EBITDA)</t>
  </si>
  <si>
    <t>EV / EBITDA Mult. ('19e EBITDA)</t>
  </si>
  <si>
    <t>43</t>
  </si>
  <si>
    <t>Research</t>
  </si>
  <si>
    <t>MSA32LVJ</t>
  </si>
  <si>
    <t>BASE CASE</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</si>
  <si>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</si>
  <si>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</si>
  <si>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</si>
  <si>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</si>
  <si>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</si>
  <si>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</si>
  <si>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Brian Nowak</t>
  </si>
  <si>
    <t>Date: 08 Feb 2018</t>
  </si>
  <si>
    <t>Ticker: YELP.N</t>
  </si>
  <si>
    <t>Stock Rating: Equal-Weight</t>
  </si>
  <si>
    <t>Industry: Internet</t>
  </si>
  <si>
    <t>Industry View: In-Line</t>
  </si>
  <si>
    <t>Price as of 08 Feb 2018: 41.00</t>
  </si>
  <si>
    <t>Target Price: 40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</si>
  <si>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</si>
  <si>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</si>
  <si>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</si>
  <si>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</si>
  <si>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Yelp Inc.</t>
  </si>
  <si>
    <t>STOCK RATINGS</t>
  </si>
  <si>
    <t>Global Stock Ratings Distribution</t>
  </si>
  <si>
    <t>(as of January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</si>
  <si>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</si>
  <si>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</si>
  <si>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</si>
  <si>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</si>
  <si>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</si>
  <si>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</si>
  <si>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</si>
  <si>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</si>
  <si>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</si>
  <si>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</si>
  <si>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</si>
  <si>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</si>
  <si>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</si>
  <si>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</si>
  <si>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</si>
  <si>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</si>
  <si>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</si>
  <si>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</si>
  <si>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</si>
  <si>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</si>
  <si>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</si>
  <si>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</si>
  <si>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</si>
  <si>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</si>
  <si>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</si>
  <si>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</si>
  <si>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</si>
  <si>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</si>
  <si>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</si>
  <si>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</si>
  <si>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</si>
  <si>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</si>
  <si>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</si>
  <si>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</si>
  <si>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</si>
  <si>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</si>
  <si>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</si>
  <si>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</si>
  <si>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</si>
  <si>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</si>
  <si>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</si>
  <si>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</si>
  <si>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</si>
  <si>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</si>
  <si>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</si>
  <si>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</si>
  <si>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</si>
  <si>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</si>
  <si>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</si>
  <si>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</si>
  <si>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</si>
  <si>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</si>
  <si>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</si>
  <si>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</si>
  <si>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</si>
  <si>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</si>
  <si>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</si>
  <si>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</si>
  <si>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</si>
  <si>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</si>
  <si>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</si>
  <si>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</si>
  <si>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</si>
  <si>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</si>
  <si>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</si>
  <si>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</si>
  <si>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</si>
  <si>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</si>
  <si>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</si>
  <si>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</si>
  <si>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</si>
  <si>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</si>
  <si>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</si>
  <si>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</si>
  <si>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</si>
  <si>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</si>
  <si>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</si>
  <si>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</si>
  <si>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</si>
  <si>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</si>
  <si>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</si>
  <si>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</si>
  <si>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</si>
  <si>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</si>
  <si>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</si>
  <si>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</si>
  <si>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</si>
  <si>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</si>
  <si>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</si>
  <si>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</si>
  <si>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</si>
  <si>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</si>
  <si>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</si>
  <si>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</si>
  <si>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</si>
  <si>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</si>
  <si>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</si>
  <si>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</si>
  <si>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</si>
  <si>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</si>
  <si>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</si>
  <si>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</si>
  <si>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</si>
  <si>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</si>
  <si>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</si>
  <si>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</si>
  <si>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</si>
  <si>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</si>
  <si>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</si>
  <si>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</si>
  <si>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</si>
  <si>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</si>
  <si>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</si>
  <si>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</si>
  <si>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</si>
  <si>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</si>
  <si>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</si>
  <si>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</si>
  <si>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</si>
  <si>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</si>
  <si>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</si>
  <si>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</si>
  <si>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</si>
  <si>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</si>
  <si>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</si>
  <si>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</si>
  <si>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</si>
  <si>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</si>
  <si>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</si>
  <si>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</si>
  <si>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</si>
  <si>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</si>
  <si>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</si>
  <si>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</si>
  <si>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</si>
  <si>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</si>
  <si>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</si>
  <si>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</si>
  <si>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</si>
  <si>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</si>
  <si>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</si>
  <si>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</si>
  <si>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</si>
  <si>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</si>
  <si>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</si>
  <si>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</si>
  <si>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</si>
  <si>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</si>
  <si>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</si>
  <si>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</si>
  <si>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</si>
  <si>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</si>
  <si>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</si>
  <si>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</si>
  <si>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</si>
  <si>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</si>
  <si>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</si>
  <si>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</si>
  <si>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</si>
  <si>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</si>
  <si>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</si>
  <si>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</si>
  <si>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</si>
  <si>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</si>
  <si>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</si>
  <si>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</si>
  <si>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</si>
  <si>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</si>
  <si>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</si>
  <si>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</si>
  <si>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</si>
  <si>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</si>
  <si>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</si>
  <si>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</si>
  <si>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</si>
  <si>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</si>
  <si>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</si>
  <si>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</si>
  <si>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</si>
  <si>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</si>
  <si>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</si>
  <si>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</si>
  <si>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</si>
  <si>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</si>
  <si>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</si>
  <si>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</si>
  <si>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</si>
  <si>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</si>
  <si>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</si>
  <si>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</si>
  <si>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</si>
  <si>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</si>
  <si>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</si>
  <si>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</si>
  <si>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</si>
  <si>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</si>
  <si>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</si>
  <si>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</si>
  <si>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</si>
  <si>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</si>
  <si>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</si>
  <si>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</si>
  <si>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</si>
  <si>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</si>
  <si>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</si>
  <si>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</si>
  <si>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</si>
  <si>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</si>
  <si>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</si>
  <si>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</si>
  <si>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</si>
  <si>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</si>
  <si>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</si>
  <si>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</si>
  <si>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</si>
  <si>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</si>
  <si>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</si>
  <si>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</si>
  <si>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</si>
  <si>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</si>
  <si>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</si>
  <si>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</si>
  <si>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</si>
  <si>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</si>
  <si>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</si>
  <si>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</si>
  <si>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</si>
  <si>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</si>
  <si>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</si>
  <si>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</si>
  <si>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</si>
  <si>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</si>
  <si>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</si>
  <si>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</si>
  <si>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</si>
  <si>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</si>
  <si>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</si>
  <si>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</si>
  <si>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</si>
  <si>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Yelp Inc.</t>
  </si>
  <si>
    <t>In the next 3 months, Morgan Stanley expects to receive or intends to seek compensation for investment</t>
  </si>
  <si>
    <t>banking services from Yelp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</si>
  <si>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</si>
  <si>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</si>
  <si>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</si>
  <si>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</si>
  <si>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</si>
  <si>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Brian Nowak,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</si>
  <si>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</si>
  <si>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</si>
  <si>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</si>
  <si>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</si>
  <si>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</si>
  <si>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</si>
  <si>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</si>
  <si>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</si>
  <si>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</si>
  <si>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</si>
  <si>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</si>
  <si>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</si>
  <si>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</si>
  <si>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</si>
  <si>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</si>
  <si>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</si>
  <si>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</si>
  <si>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</si>
  <si>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</si>
  <si>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</si>
  <si>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</si>
  <si>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</si>
  <si>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</si>
  <si>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</si>
  <si>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</si>
  <si>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</si>
  <si>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</si>
  <si>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</si>
  <si>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</si>
  <si>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</si>
  <si>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</si>
  <si>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</si>
  <si>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</si>
  <si>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</si>
  <si>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</si>
  <si>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</si>
  <si>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</si>
  <si>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</si>
  <si>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</si>
  <si>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</si>
  <si>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</si>
  <si>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</si>
  <si>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</si>
  <si>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</si>
  <si>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</si>
  <si>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</si>
  <si>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</si>
  <si>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</si>
  <si>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</si>
  <si>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</si>
  <si>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</si>
  <si>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</si>
  <si>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</si>
  <si>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</si>
  <si>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</si>
  <si>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</si>
  <si>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</si>
  <si>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</si>
  <si>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</si>
  <si>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</si>
  <si>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</si>
  <si>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</si>
  <si>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</si>
  <si>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</si>
  <si>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</si>
  <si>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</si>
  <si>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</si>
  <si>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</si>
  <si>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</si>
  <si>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</si>
  <si>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</si>
  <si>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brahoffm</t>
  </si>
  <si>
    <t>Yelp Inc</t>
  </si>
  <si>
    <t>L:\TECH\INTERNET\MODELS\YELP_model.xlsm</t>
  </si>
  <si>
    <t>[BRO MSA]</t>
  </si>
  <si>
    <t>[PRODUCT MODEL]</t>
  </si>
  <si>
    <t>[EMAIL_ALERT YES]</t>
  </si>
  <si>
    <t>[DISCIPLINE Company]</t>
  </si>
  <si>
    <t>[SUPPRESSED NO]</t>
  </si>
  <si>
    <t>[DOCDAT 2018-02-08]</t>
  </si>
  <si>
    <t>[DOCTIME 12:18]</t>
  </si>
  <si>
    <t>[PSYM YELP.N(S&amp;P) (None)]</t>
  </si>
  <si>
    <t>[COU 1]</t>
  </si>
  <si>
    <t>[ANA ]</t>
  </si>
  <si>
    <t>[HL YELP.N Model]</t>
  </si>
  <si>
    <t>[IND ]</t>
  </si>
  <si>
    <t>[PANA MSA32LVJ]</t>
  </si>
</sst>
</file>

<file path=xl/styles.xml><?xml version="1.0" encoding="utf-8"?>
<styleSheet xmlns="http://schemas.openxmlformats.org/spreadsheetml/2006/main" xmlns:mc="http://schemas.openxmlformats.org/markup-compatibility/2006" xmlns:x14ac="http://schemas.microsoft.com/office/spreadsheetml/2009/9/ac" mc:Ignorable="x14ac">
  <numFmts count="62">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yyyy_);;;@_)"/>
    <numFmt numFmtId="165" formatCode="&quot;Q&quot;#_);\(&quot;Q&quot;#\);\-\-_);&quot;Q&quot;@_)"/>
    <numFmt numFmtId="166" formatCode="[$$-409]#,##0_);\([$$-409]#,##0\);[$$-409]\-\-_);@_)"/>
    <numFmt numFmtId="167" formatCode="#,##0_);\(#,##0\);\-\-_);@_)"/>
    <numFmt numFmtId="168" formatCode="#,##0.0_);\(#,##0.0\);\-\-_);@_)"/>
    <numFmt numFmtId="169" formatCode="#,##0.0\x_);\(#,##0.0\x\);\-\-\x_);@_)"/>
    <numFmt numFmtId="170" formatCode="#,##0.0%_);\(#,##0.0%\);\-\-\%_);@_)"/>
    <numFmt numFmtId="171" formatCode="[$$-409]#,##0.0_);\([$$-409]#,##0.0\);[$$-409]\-\-_);@_)"/>
    <numFmt numFmtId="172" formatCode="[$$-409]#,##0.00_);\([$$-409]#,##0.00\);[$$-409]\-\-_);@_)"/>
    <numFmt numFmtId="173" formatCode="#,##0.00_);\(#,##0.00\);\-\-_);@_)"/>
    <numFmt numFmtId="174" formatCode="#,##0%_);\(#,##0%\);\-\-\%_);@_)"/>
    <numFmt numFmtId="175" formatCode="mmm\-yy_);;;@_)"/>
    <numFmt numFmtId="176" formatCode="yyyy&quot;E&quot;_);;;@_)"/>
    <numFmt numFmtId="177" formatCode="m/d/yy_);;@_)"/>
    <numFmt numFmtId="178" formatCode="_ * #,##0_ ;_ * \-#,##0_ ;_ * &quot;-&quot;_ ;_ @_ "/>
    <numFmt numFmtId="179" formatCode="#,##0.0_);\(#,##0.0\)"/>
    <numFmt numFmtId="180" formatCode="#,##0.0"/>
    <numFmt numFmtId="181" formatCode="0.0%"/>
    <numFmt numFmtId="182" formatCode="#,##0.00%_);\(#,##0.00%\);\-\-\%_);@_)"/>
    <numFmt numFmtId="183" formatCode="0.0&quot;x&quot;"/>
    <numFmt numFmtId="184" formatCode="&quot;Yes&quot;;;&quot;No&quot;"/>
    <numFmt numFmtId="185" formatCode="0.0%;\(0.0%\)"/>
    <numFmt numFmtId="186" formatCode="&quot;$&quot;#,##0.0_);[Red]\(&quot;$&quot;#,##0.0\)"/>
    <numFmt numFmtId="187" formatCode="_(* #,##0.0_);_(* \(#,##0.0\);_(* &quot;-&quot;??_);_(@_)"/>
    <numFmt numFmtId="188" formatCode="0.0_)\%;\(0.0\)\%;0.0_)\%;@_)_%"/>
    <numFmt numFmtId="189" formatCode="#,##0.0_)_%;\(#,##0.0\)_%;0.0_)_%;@_)_%"/>
    <numFmt numFmtId="190" formatCode="#,##0.0_);\(#,##0.0\);#,##0.0_);@_)"/>
    <numFmt numFmtId="191" formatCode="&quot;$&quot;_(#,##0.00_);&quot;$&quot;\(#,##0.00\);&quot;$&quot;_(0.00_);@_)"/>
    <numFmt numFmtId="192" formatCode="#,##0.00_);\(#,##0.00\);0.00_);@_)"/>
    <numFmt numFmtId="193" formatCode="#,##0.0_)\x;\(#,##0.0\)\x;0.0_)\x;@_)_x"/>
    <numFmt numFmtId="194" formatCode="#,##0.0_)_x;\(#,##0.0\)_x;0.0_)_x;@_)_x"/>
    <numFmt numFmtId="195" formatCode="0.0%_);\(0.0%\)"/>
    <numFmt numFmtId="196" formatCode="0.00\ \ \ \ "/>
    <numFmt numFmtId="197" formatCode="#,##0.00000_);\(#,##0.00000\)"/>
    <numFmt numFmtId="198" formatCode="#,##0.000_);\(#,##0.000\)"/>
    <numFmt numFmtId="199" formatCode="0.0"/>
    <numFmt numFmtId="200" formatCode="#,##0.0000_);\(#,##0.0000\)"/>
    <numFmt numFmtId="202" formatCode="_(* #,##0.000_);_(* \(#,##0.000\);_(* &quot;-&quot;??_);_(@_)"/>
    <numFmt numFmtId="203" formatCode="_(* #,##0_);_(* \(#,##0\);_(* &quot;-&quot;??_);_(@_)"/>
    <numFmt numFmtId="204" formatCode="&quot;$&quot;#,##0.00"/>
    <numFmt numFmtId="205" formatCode="&quot;$&quot;#,##0"/>
    <numFmt numFmtId="214" formatCode="0&quot;bp&quot;"/>
    <numFmt numFmtId="215" formatCode="0.0%_);\(0.0%\);0.0%_);@_)"/>
    <numFmt numFmtId="216" formatCode="&quot;$&quot;#,##0.00_);\(&quot;$&quot;#,##0.00\);&quot;$&quot;#,##0.00_);@_)"/>
    <numFmt numFmtId="217" formatCode="0.0000"/>
    <numFmt numFmtId="218" formatCode="&quot;$&quot;#,##0.0"/>
    <numFmt numFmtId="219" formatCode="0.0%_);\(0.0%\);&quot;–&quot;_)"/>
    <numFmt numFmtId="220" formatCode="_(* #,##0.0_);_(* \(#,##0.0\);_(* &quot;-&quot;?_);_(@_)"/>
    <numFmt numFmtId="221" formatCode="0.000"/>
    <numFmt numFmtId="222" formatCode="_(&quot;$&quot;* #,##0_);_(&quot;$&quot;* \(#,##0\);_(&quot;$&quot;* &quot;-&quot;??_);_(@_)"/>
    <numFmt numFmtId="223" formatCode="0_)"/>
    <numFmt numFmtId="225" formatCode="0.0&quot;bp&quot;"/>
    <numFmt numFmtId="226" formatCode="&quot;$&quot;#,##0;[Red]&quot;$&quot;#,##0"/>
    <numFmt numFmtId="228" formatCode="#,##0\ &quot;bp&quot;"/>
    <numFmt numFmtId="229" formatCode="yyyy"/>
    <numFmt numFmtId="237" formatCode="mm/dd/yy\ hh:mm"/>
  </numFmts>
  <fonts count="128">
    <font>
      <sz val="10"/>
      <name val="Arial"/>
    </font>
    <font>
      <sz val="10"/>
      <name val="Arial"/>
      <family val="2"/>
    </font>
    <font>
      <sz val="8"/>
      <name val="Arial"/>
      <family val="2"/>
    </font>
    <font>
      <b/>
      <sz val="8"/>
      <name val="Arial"/>
      <family val="2"/>
    </font>
    <font>
      <b/>
      <u val="singleAccounting"/>
      <sz val="8"/>
      <name val="Arial"/>
      <family val="2"/>
    </font>
    <font>
      <b/>
      <u/>
      <sz val="8"/>
      <name val="Arial"/>
      <family val="2"/>
    </font>
    <font>
      <sz val="8"/>
      <color indexed="8"/>
      <name val="Arial"/>
      <family val="2"/>
    </font>
    <font>
      <sz val="8"/>
      <color indexed="62"/>
      <name val="Arial"/>
      <family val="2"/>
    </font>
    <font>
      <b/>
      <sz val="8"/>
      <color indexed="8"/>
      <name val="Arial"/>
      <family val="2"/>
    </font>
    <font>
      <b/>
      <sz val="8"/>
      <color indexed="61"/>
      <name val="Arial"/>
      <family val="2"/>
    </font>
    <font>
      <sz val="8"/>
      <name val="Arial"/>
      <family val="2"/>
    </font>
    <font>
      <sz val="10"/>
      <name val="Arial"/>
      <family val="2"/>
    </font>
    <font>
      <sz val="10"/>
      <name val="MS Sans Serif"/>
      <family val="2"/>
    </font>
    <font>
      <b/>
      <sz val="10"/>
      <color indexed="8"/>
      <name val="Times New Roman"/>
      <family val="1"/>
    </font>
    <font>
      <b/>
      <sz val="10"/>
      <name val="Arial"/>
      <family val="2"/>
    </font>
    <font>
      <sz val="9"/>
      <name val="Times New Roman"/>
      <family val="1"/>
    </font>
    <font>
      <sz val="10"/>
      <color indexed="8"/>
      <name val="Times New Roman"/>
      <family val="1"/>
    </font>
    <font>
      <i/>
      <sz val="8"/>
      <name val="Times New Roman"/>
      <family val="1"/>
    </font>
    <font>
      <sz val="12"/>
      <name val="바탕체"/>
      <family val="1"/>
      <charset val="129"/>
    </font>
    <font>
      <sz val="8"/>
      <color indexed="81"/>
      <name val="Tahoma"/>
      <family val="2"/>
    </font>
    <font>
      <b/>
      <sz val="8"/>
      <color indexed="81"/>
      <name val="Tahoma"/>
      <family val="2"/>
    </font>
    <font>
      <sz val="8"/>
      <color indexed="10"/>
      <name val="Arial"/>
      <family val="2"/>
    </font>
    <font>
      <b/>
      <sz val="8"/>
      <color indexed="9"/>
      <name val="Arial"/>
      <family val="2"/>
    </font>
    <font>
      <sz val="8"/>
      <color indexed="8"/>
      <name val="Arial"/>
      <family val="2"/>
    </font>
    <font>
      <sz val="8"/>
      <color indexed="12"/>
      <name val="Arial"/>
      <family val="2"/>
    </font>
    <font>
      <b/>
      <sz val="8"/>
      <color indexed="12"/>
      <name val="Arial"/>
      <family val="2"/>
    </font>
    <font>
      <b/>
      <sz val="8"/>
      <name val="Arial"/>
      <family val="2"/>
    </font>
    <font>
      <b/>
      <u val="singleAccounting"/>
      <sz val="8"/>
      <name val="Arial"/>
      <family val="2"/>
    </font>
    <font>
      <i/>
      <sz val="8"/>
      <name val="Arial"/>
      <family val="2"/>
    </font>
    <font>
      <b/>
      <i/>
      <sz val="8"/>
      <name val="Arial"/>
      <family val="2"/>
    </font>
    <font>
      <sz val="8"/>
      <color indexed="17"/>
      <name val="Arial"/>
      <family val="2"/>
    </font>
    <font>
      <sz val="11"/>
      <name val="Arial"/>
      <family val="2"/>
    </font>
    <font>
      <sz val="8"/>
      <color indexed="9"/>
      <name val="Arial"/>
      <family val="2"/>
    </font>
    <font>
      <b/>
      <sz val="8"/>
      <color indexed="8"/>
      <name val="Arial"/>
      <family val="2"/>
    </font>
    <font>
      <b/>
      <u/>
      <sz val="8"/>
      <color indexed="8"/>
      <name val="Arial"/>
      <family val="2"/>
    </font>
    <font>
      <b/>
      <sz val="8"/>
      <color indexed="61"/>
      <name val="Arial"/>
      <family val="2"/>
    </font>
    <font>
      <b/>
      <u/>
      <sz val="8"/>
      <name val="Arial"/>
      <family val="2"/>
    </font>
    <font>
      <b/>
      <sz val="8"/>
      <color indexed="62"/>
      <name val="Arial"/>
      <family val="2"/>
    </font>
    <font>
      <b/>
      <sz val="8"/>
      <color indexed="10"/>
      <name val="Arial"/>
      <family val="2"/>
    </font>
    <font>
      <sz val="8"/>
      <color indexed="20"/>
      <name val="Arial"/>
      <family val="2"/>
    </font>
    <font>
      <sz val="10"/>
      <name val="GillSans"/>
      <family val="2"/>
    </font>
    <font>
      <sz val="10"/>
      <name val="Helvetica"/>
      <family val="2"/>
    </font>
    <font>
      <sz val="8"/>
      <name val="Palatino"/>
      <family val="1"/>
    </font>
    <font>
      <sz val="8"/>
      <color indexed="10"/>
      <name val="Arial"/>
      <family val="2"/>
    </font>
    <font>
      <b/>
      <sz val="8"/>
      <color indexed="10"/>
      <name val="Arial"/>
      <family val="2"/>
    </font>
    <font>
      <b/>
      <sz val="8"/>
      <color indexed="17"/>
      <name val="Arial"/>
      <family val="2"/>
    </font>
    <font>
      <b/>
      <sz val="8"/>
      <color indexed="17"/>
      <name val="Arial"/>
      <family val="2"/>
    </font>
    <font>
      <b/>
      <sz val="8"/>
      <color indexed="20"/>
      <name val="Arial"/>
      <family val="2"/>
    </font>
    <font>
      <b/>
      <sz val="8"/>
      <color indexed="20"/>
      <name val="Arial"/>
      <family val="2"/>
    </font>
    <font>
      <sz val="8"/>
      <color indexed="53"/>
      <name val="Arial"/>
      <family val="2"/>
    </font>
    <font>
      <sz val="8"/>
      <color indexed="62"/>
      <name val="Arial"/>
      <family val="2"/>
    </font>
    <font>
      <sz val="8"/>
      <color indexed="59"/>
      <name val="Arial"/>
      <family val="2"/>
    </font>
    <font>
      <b/>
      <sz val="8"/>
      <color indexed="6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8"/>
      <color indexed="54"/>
      <name val="Arial"/>
      <family val="2"/>
    </font>
    <font>
      <b/>
      <sz val="8"/>
      <color indexed="54"/>
      <name val="Arial"/>
      <family val="2"/>
    </font>
    <font>
      <b/>
      <sz val="8"/>
      <color indexed="54"/>
      <name val="Arial"/>
      <family val="2"/>
    </font>
    <font>
      <sz val="10"/>
      <name val="Arial"/>
      <family val="2"/>
    </font>
    <font>
      <b/>
      <sz val="10"/>
      <color indexed="9"/>
      <name val="Arial"/>
      <family val="2"/>
    </font>
    <font>
      <b/>
      <u/>
      <sz val="8"/>
      <color indexed="12"/>
      <name val="Arial"/>
      <family val="2"/>
    </font>
    <font>
      <i/>
      <sz val="8"/>
      <color indexed="8"/>
      <name val="Arial"/>
      <family val="2"/>
    </font>
    <font>
      <sz val="10"/>
      <color indexed="8"/>
      <name val="Arial"/>
      <family val="2"/>
    </font>
    <font>
      <b/>
      <u/>
      <sz val="12"/>
      <name val="Arial"/>
      <family val="2"/>
    </font>
    <font>
      <sz val="9"/>
      <color indexed="81"/>
      <name val="Tahoma"/>
      <family val="2"/>
    </font>
    <font>
      <b/>
      <sz val="9"/>
      <color indexed="81"/>
      <name val="Tahoma"/>
      <family val="2"/>
    </font>
    <font>
      <b/>
      <sz val="8"/>
      <color indexed="8"/>
      <name val="Arial"/>
      <family val="2"/>
    </font>
    <font>
      <u/>
      <sz val="8"/>
      <name val="Arial"/>
      <family val="2"/>
    </font>
    <font>
      <b/>
      <sz val="12"/>
      <color indexed="81"/>
      <name val="Tahoma"/>
      <family val="2"/>
    </font>
    <font>
      <sz val="12"/>
      <color indexed="81"/>
      <name val="Tahoma"/>
      <family val="2"/>
    </font>
    <font>
      <b/>
      <sz val="10"/>
      <name val="Segoe UI"/>
      <family val="2"/>
    </font>
    <font>
      <sz val="10"/>
      <name val="Segoe UI"/>
      <family val="2"/>
    </font>
    <font>
      <b/>
      <sz val="8"/>
      <color indexed="8"/>
      <name val="Segoe UI"/>
      <family val="2"/>
    </font>
    <font>
      <u val="singleAccounting"/>
      <sz val="8"/>
      <name val="Arial"/>
      <family val="2"/>
    </font>
    <font>
      <sz val="10"/>
      <name val="Arial"/>
      <family val="2"/>
    </font>
    <font>
      <u/>
      <sz val="8"/>
      <color indexed="12"/>
      <name val="Arial"/>
      <family val="2"/>
    </font>
    <font>
      <sz val="8"/>
      <color indexed="8"/>
      <name val="Segoe UI"/>
      <family val="2"/>
    </font>
    <font>
      <b/>
      <u/>
      <sz val="8"/>
      <color indexed="81"/>
      <name val="Tahoma"/>
      <family val="2"/>
    </font>
    <font>
      <sz val="11"/>
      <color theme="1"/>
      <name val="Calibri"/>
      <family val="2"/>
      <scheme val="minor"/>
    </font>
    <font>
      <b/>
      <sz val="8"/>
      <color theme="0"/>
      <name val="Arial"/>
      <family val="2"/>
    </font>
    <font>
      <sz val="8"/>
      <color theme="0"/>
      <name val="Arial"/>
      <family val="2"/>
    </font>
    <font>
      <b/>
      <sz val="8"/>
      <color rgb="FF0000FF"/>
      <name val="Arial"/>
      <family val="2"/>
    </font>
    <font>
      <b/>
      <sz val="8"/>
      <color theme="1"/>
      <name val="Arial"/>
      <family val="2"/>
    </font>
    <font>
      <sz val="8"/>
      <color theme="1"/>
      <name val="Arial"/>
      <family val="2"/>
    </font>
    <font>
      <sz val="8"/>
      <color rgb="FF0000FF"/>
      <name val="Arial"/>
      <family val="2"/>
    </font>
    <font>
      <sz val="10"/>
      <color rgb="FFFFFFFF"/>
      <name val="Arial"/>
      <family val="2"/>
    </font>
    <font>
      <sz val="8"/>
      <color theme="1"/>
      <name val="Segoe UI"/>
      <family val="2"/>
    </font>
    <font>
      <sz val="8"/>
      <color theme="0"/>
      <name val="Segoe UI"/>
      <family val="2"/>
    </font>
    <font>
      <b/>
      <sz val="10"/>
      <color theme="0"/>
      <name val="Segoe UI"/>
      <family val="2"/>
    </font>
    <font>
      <b/>
      <sz val="8"/>
      <color rgb="FFFF0000"/>
      <name val="Arial"/>
      <family val="2"/>
    </font>
    <font>
      <b/>
      <u/>
      <sz val="8"/>
      <color rgb="FF0000FF"/>
      <name val="Arial"/>
      <family val="2"/>
    </font>
    <font>
      <sz val="8"/>
      <color rgb="FFFF0000"/>
      <name val="Arial"/>
      <family val="2"/>
    </font>
    <font>
      <b/>
      <sz val="8"/>
      <color rgb="FF2270AB"/>
      <name val="Arial"/>
      <family val="2"/>
    </font>
    <font>
      <sz val="8"/>
      <color rgb="FF4D4D4D"/>
      <name val="Arial"/>
      <family val="2"/>
    </font>
    <font>
      <sz val="10"/>
      <color rgb="FF4D4D4D"/>
      <name val="Arial"/>
      <family val="2"/>
    </font>
    <font>
      <sz val="8"/>
      <color rgb="FF00B050"/>
      <name val="Arial"/>
      <family val="2"/>
    </font>
    <font>
      <b/>
      <sz val="8"/>
      <color rgb="FF00B050"/>
      <name val="Arial"/>
      <family val="2"/>
    </font>
    <font>
      <sz val="8"/>
      <color theme="4"/>
      <name val="Arial"/>
      <family val="2"/>
    </font>
    <font>
      <sz val="7"/>
      <color theme="0"/>
      <name val="Arial"/>
      <family val="2"/>
    </font>
    <font>
      <u/>
      <sz val="8"/>
      <color rgb="FF0000FF"/>
      <name val="Arial"/>
      <family val="2"/>
    </font>
    <font>
      <b/>
      <sz val="8"/>
      <color theme="4"/>
      <name val="Arial"/>
      <family val="2"/>
    </font>
    <font>
      <b/>
      <sz val="8"/>
      <color rgb="FF137CB1"/>
      <name val="Arial"/>
      <family val="2"/>
    </font>
    <font>
      <b/>
      <sz val="8"/>
      <color theme="6"/>
      <name val="Arial"/>
      <family val="2"/>
    </font>
    <font>
      <sz val="8"/>
      <color theme="6"/>
      <name val="Arial"/>
      <family val="2"/>
    </font>
    <font>
      <u/>
      <sz val="8"/>
      <color theme="6"/>
      <name val="Arial"/>
      <family val="2"/>
    </font>
    <font>
      <sz val="8"/>
      <color rgb="FF0070C0"/>
      <name val="Arial"/>
      <family val="2"/>
    </font>
    <font>
      <sz val="8"/>
      <color rgb="FFCC6600"/>
      <name val="Arial"/>
      <family val="2"/>
    </font>
    <font>
      <sz val="10"/>
      <name val="Arial"/>
      <family val="2"/>
    </font>
    <font>
      <sz val="8"/>
      <color rgb="FFC00000"/>
      <name val="Arial"/>
      <family val="2"/>
    </font>
    <font>
      <sz val="10"/>
      <name val="Courier"/>
      <family val="3"/>
    </font>
    <font>
      <i/>
      <sz val="10"/>
      <name val="Arial"/>
      <family val="2"/>
    </font>
    <font>
      <sz val="10"/>
      <color rgb="FF000000"/>
      <name val="Arial"/>
      <family val="2"/>
    </font>
    <font>
      <b/>
      <sz val="12"/>
      <color rgb="FF000080"/>
      <name val="Arial"/>
      <family val="2"/>
    </font>
  </fonts>
  <fills count="38">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42"/>
      </patternFill>
    </fill>
    <fill>
      <patternFill patternType="solid">
        <fgColor indexed="43"/>
        <bgColor indexed="64"/>
      </patternFill>
    </fill>
    <fill>
      <patternFill patternType="solid">
        <fgColor indexed="9"/>
        <bgColor indexed="64"/>
      </patternFill>
    </fill>
    <fill>
      <patternFill patternType="solid">
        <fgColor indexed="60"/>
        <bgColor indexed="64"/>
      </patternFill>
    </fill>
    <fill>
      <patternFill patternType="solid">
        <fgColor indexed="41"/>
        <bgColor indexed="64"/>
      </patternFill>
    </fill>
    <fill>
      <patternFill patternType="solid">
        <fgColor indexed="61"/>
        <bgColor indexed="64"/>
      </patternFill>
    </fill>
    <fill>
      <patternFill patternType="solid">
        <fgColor indexed="24"/>
        <bgColor indexed="64"/>
      </patternFill>
    </fill>
    <fill>
      <patternFill patternType="solid">
        <fgColor theme="0" tint="-0.14999847407452621"/>
        <bgColor indexed="64"/>
      </patternFill>
    </fill>
    <fill>
      <patternFill patternType="solid">
        <fgColor theme="1"/>
        <bgColor indexed="64"/>
      </patternFill>
    </fill>
    <fill>
      <patternFill patternType="solid">
        <fgColor rgb="FFA8D7E2"/>
        <bgColor indexed="64"/>
      </patternFill>
    </fill>
    <fill>
      <patternFill patternType="solid">
        <fgColor theme="0"/>
        <bgColor indexed="64"/>
      </patternFill>
    </fill>
    <fill>
      <patternFill patternType="solid">
        <fgColor rgb="FFA8D7D8"/>
        <bgColor indexed="64"/>
      </patternFill>
    </fill>
    <fill>
      <patternFill patternType="solid">
        <fgColor rgb="FFFFC000"/>
        <bgColor indexed="64"/>
      </patternFill>
    </fill>
    <fill>
      <patternFill patternType="solid">
        <fgColor rgb="FFFFFF00"/>
        <bgColor indexed="64"/>
      </patternFill>
    </fill>
    <fill>
      <patternFill patternType="solid">
        <fgColor rgb="FFFFFFCC"/>
        <bgColor indexed="64"/>
      </patternFill>
    </fill>
    <fill>
      <patternFill patternType="solid">
        <fgColor rgb="FF137CB1"/>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BF5E6"/>
        <bgColor indexed="64"/>
      </patternFill>
    </fill>
    <fill>
      <patternFill patternType="solid">
        <fgColor theme="4"/>
        <bgColor indexed="64"/>
      </patternFill>
    </fill>
    <fill>
      <patternFill patternType="solid">
        <fgColor theme="7" tint="0.79998168889431442"/>
        <bgColor indexed="64"/>
      </patternFill>
    </fill>
    <fill>
      <patternFill patternType="solid">
        <fgColor indexed="65"/>
        <bgColor indexed="64"/>
      </patternFill>
    </fill>
  </fills>
  <borders count="7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style="thin">
        <color indexed="64"/>
      </right>
      <top/>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thin">
        <color indexed="64"/>
      </top>
      <bottom/>
      <diagonal/>
    </border>
    <border>
      <left/>
      <right/>
      <top/>
      <bottom style="thin">
        <color indexed="64"/>
      </bottom>
      <diagonal/>
    </border>
    <border>
      <left/>
      <right/>
      <top/>
      <bottom style="medium">
        <color indexed="8"/>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8"/>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diagonal/>
    </border>
    <border>
      <left style="hair">
        <color indexed="64"/>
      </left>
      <right style="hair">
        <color indexed="64"/>
      </right>
      <top/>
      <bottom/>
      <diagonal/>
    </border>
    <border>
      <left style="hair">
        <color indexed="64"/>
      </left>
      <right style="hair">
        <color indexed="64"/>
      </right>
      <top style="thin">
        <color indexed="64"/>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bottom style="thin">
        <color indexed="64"/>
      </bottom>
      <diagonal/>
    </border>
    <border>
      <left style="thin">
        <color rgb="FF000000"/>
      </left>
      <right/>
      <top style="thin">
        <color rgb="FF000000"/>
      </top>
      <bottom/>
      <diagonal/>
    </border>
    <border>
      <left/>
      <right/>
      <top style="thin">
        <color rgb="FF000000"/>
      </top>
      <bottom/>
      <diagonal/>
    </border>
    <border>
      <left/>
      <right/>
      <top/>
      <bottom style="thin">
        <color rgb="FF000000"/>
      </bottom>
      <diagonal/>
    </border>
    <border>
      <left style="thin">
        <color indexed="64"/>
      </left>
      <right/>
      <top/>
      <bottom style="thin">
        <color rgb="FF000000"/>
      </bottom>
      <diagonal/>
    </border>
    <border>
      <left/>
      <right/>
      <top style="thin">
        <color indexed="64"/>
      </top>
      <bottom style="thin">
        <color rgb="FF000000"/>
      </bottom>
      <diagonal/>
    </border>
    <border>
      <left style="thin">
        <color rgb="FF000000"/>
      </left>
      <right/>
      <top/>
      <bottom/>
      <diagonal/>
    </border>
    <border>
      <left/>
      <right style="thin">
        <color rgb="FF000000"/>
      </right>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indexed="64"/>
      </top>
      <bottom style="thin">
        <color indexed="64"/>
      </bottom>
      <diagonal/>
    </border>
    <border>
      <left style="thin">
        <color rgb="FF000000"/>
      </left>
      <right/>
      <top/>
      <bottom style="thin">
        <color indexed="64"/>
      </bottom>
      <diagonal/>
    </border>
    <border>
      <left style="thin">
        <color indexed="64"/>
      </left>
      <right/>
      <top style="thin">
        <color rgb="FF000000"/>
      </top>
      <bottom style="thin">
        <color indexed="64"/>
      </bottom>
      <diagonal/>
    </border>
    <border>
      <left/>
      <right style="thin">
        <color indexed="64"/>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style="thin">
        <color indexed="64"/>
      </top>
      <bottom style="thin">
        <color indexed="64"/>
      </bottom>
      <diagonal/>
    </border>
    <border>
      <left style="medium">
        <color rgb="FF000000"/>
      </left>
      <right/>
      <top/>
      <bottom/>
      <diagonal/>
    </border>
    <border>
      <left/>
      <right style="medium">
        <color rgb="FF000000"/>
      </right>
      <top/>
      <bottom/>
      <diagonal/>
    </border>
    <border>
      <left style="medium">
        <color rgb="FF000000"/>
      </left>
      <right/>
      <top/>
      <bottom style="thin">
        <color indexed="64"/>
      </bottom>
      <diagonal/>
    </border>
    <border>
      <left style="medium">
        <color rgb="FF000000"/>
      </left>
      <right/>
      <top/>
      <bottom style="medium">
        <color rgb="FF000000"/>
      </bottom>
      <diagonal/>
    </border>
    <border>
      <left/>
      <right style="medium">
        <color rgb="FF000000"/>
      </right>
      <top/>
      <bottom style="medium">
        <color rgb="FF000000"/>
      </bottom>
      <diagonal/>
    </border>
    <border>
      <left/>
      <right style="medium">
        <color rgb="FF000000"/>
      </right>
      <top style="thin">
        <color indexed="64"/>
      </top>
      <bottom style="thin">
        <color indexed="64"/>
      </bottom>
      <diagonal/>
    </border>
    <border>
      <left/>
      <right style="medium">
        <color rgb="FF000000"/>
      </right>
      <top/>
      <bottom style="thin">
        <color indexed="64"/>
      </bottom>
      <diagonal/>
    </border>
    <border>
      <left style="medium">
        <color rgb="FF000000"/>
      </left>
      <right/>
      <top style="thin">
        <color indexed="64"/>
      </top>
      <bottom style="thin">
        <color rgb="FF000000"/>
      </bottom>
      <diagonal/>
    </border>
    <border>
      <left/>
      <right style="medium">
        <color rgb="FF000000"/>
      </right>
      <top style="thin">
        <color indexed="64"/>
      </top>
      <bottom style="thin">
        <color rgb="FF000000"/>
      </bottom>
      <diagonal/>
    </border>
    <border>
      <left style="thin">
        <color theme="0"/>
      </left>
      <right/>
      <top/>
      <bottom/>
      <diagonal/>
    </border>
    <border>
      <left/>
      <right style="thin">
        <color indexed="64"/>
      </right>
      <top style="thin">
        <color indexed="64"/>
      </top>
      <bottom style="thin">
        <color rgb="FF000000"/>
      </bottom>
      <diagonal/>
    </border>
    <border>
      <left style="dotted">
        <color rgb="FFFF0000"/>
      </left>
      <right/>
      <top/>
      <bottom/>
      <diagonal/>
    </border>
    <border>
      <left/>
      <right/>
      <top style="dotted">
        <color rgb="FFFF0000"/>
      </top>
      <bottom/>
      <diagonal/>
    </border>
    <border>
      <left/>
      <right/>
      <top/>
      <bottom style="dotted">
        <color rgb="FFFF0000"/>
      </bottom>
      <diagonal/>
    </border>
    <border>
      <left style="dotted">
        <color rgb="FFFF0000"/>
      </left>
      <right/>
      <top style="dotted">
        <color rgb="FFFF0000"/>
      </top>
      <bottom/>
      <diagonal/>
    </border>
    <border>
      <left style="dotted">
        <color rgb="FFFF0000"/>
      </left>
      <right/>
      <top/>
      <bottom style="dotted">
        <color rgb="FFFF0000"/>
      </bottom>
      <diagonal/>
    </border>
    <border>
      <left/>
      <right style="thin">
        <color indexed="64"/>
      </right>
      <top style="thin">
        <color rgb="FF000000"/>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s>
  <cellStyleXfs count="92">
    <xf numFmtId="0" fontId="0" fillId="0" borderId="0"/>
    <xf numFmtId="0" fontId="40" fillId="0" borderId="0"/>
    <xf numFmtId="0" fontId="11" fillId="0" borderId="0"/>
    <xf numFmtId="190" fontId="11" fillId="0" borderId="0" applyFont="0" applyFill="0" applyBorder="0" applyAlignment="0" applyProtection="0"/>
    <xf numFmtId="191" fontId="11" fillId="0" borderId="0" applyFont="0" applyFill="0" applyBorder="0" applyAlignment="0" applyProtection="0"/>
    <xf numFmtId="192" fontId="11" fillId="0" borderId="0" applyFont="0" applyFill="0" applyBorder="0" applyAlignment="0" applyProtection="0"/>
    <xf numFmtId="0" fontId="41" fillId="0" borderId="0"/>
    <xf numFmtId="193" fontId="11" fillId="0" borderId="0" applyFont="0" applyFill="0" applyBorder="0" applyAlignment="0" applyProtection="0"/>
    <xf numFmtId="194" fontId="11" fillId="0" borderId="0" applyFont="0" applyFill="0" applyBorder="0" applyAlignment="0" applyProtection="0"/>
    <xf numFmtId="188" fontId="11" fillId="0" borderId="0" applyFont="0" applyFill="0" applyBorder="0" applyAlignment="0" applyProtection="0"/>
    <xf numFmtId="189" fontId="11" fillId="0" borderId="0" applyFont="0" applyFill="0" applyBorder="0" applyAlignment="0" applyProtection="0"/>
    <xf numFmtId="0" fontId="1" fillId="0" borderId="0"/>
    <xf numFmtId="0" fontId="89" fillId="0" borderId="0"/>
    <xf numFmtId="0" fontId="11" fillId="0" borderId="0" applyFill="0" applyAlignment="0">
      <protection locked="0"/>
    </xf>
    <xf numFmtId="0" fontId="12" fillId="0" borderId="0"/>
    <xf numFmtId="0" fontId="12" fillId="0" borderId="0"/>
    <xf numFmtId="223" fontId="12" fillId="0" borderId="0"/>
    <xf numFmtId="0" fontId="53" fillId="2" borderId="0" applyNumberFormat="0" applyBorder="0" applyAlignment="0" applyProtection="0"/>
    <xf numFmtId="0" fontId="53" fillId="3" borderId="0" applyNumberFormat="0" applyBorder="0" applyAlignment="0" applyProtection="0"/>
    <xf numFmtId="0" fontId="53" fillId="4" borderId="0" applyNumberFormat="0" applyBorder="0" applyAlignment="0" applyProtection="0"/>
    <xf numFmtId="0" fontId="53" fillId="2" borderId="0" applyNumberFormat="0" applyBorder="0" applyAlignment="0" applyProtection="0"/>
    <xf numFmtId="0" fontId="53" fillId="5" borderId="0" applyNumberFormat="0" applyBorder="0" applyAlignment="0" applyProtection="0"/>
    <xf numFmtId="0" fontId="53" fillId="4" borderId="0" applyNumberFormat="0" applyBorder="0" applyAlignment="0" applyProtection="0"/>
    <xf numFmtId="0" fontId="11" fillId="0" borderId="0"/>
    <xf numFmtId="0" fontId="53" fillId="6" borderId="0" applyNumberFormat="0" applyBorder="0" applyAlignment="0" applyProtection="0"/>
    <xf numFmtId="0" fontId="53" fillId="3" borderId="0" applyNumberFormat="0" applyBorder="0" applyAlignment="0" applyProtection="0"/>
    <xf numFmtId="0" fontId="53" fillId="4" borderId="0" applyNumberFormat="0" applyBorder="0" applyAlignment="0" applyProtection="0"/>
    <xf numFmtId="0" fontId="53" fillId="6" borderId="0" applyNumberFormat="0" applyBorder="0" applyAlignment="0" applyProtection="0"/>
    <xf numFmtId="0" fontId="53" fillId="7" borderId="0" applyNumberFormat="0" applyBorder="0" applyAlignment="0" applyProtection="0"/>
    <xf numFmtId="0" fontId="53" fillId="4" borderId="0" applyNumberFormat="0" applyBorder="0" applyAlignment="0" applyProtection="0"/>
    <xf numFmtId="0" fontId="54" fillId="8" borderId="0" applyNumberFormat="0" applyBorder="0" applyAlignment="0" applyProtection="0"/>
    <xf numFmtId="0" fontId="54" fillId="3" borderId="0" applyNumberFormat="0" applyBorder="0" applyAlignment="0" applyProtection="0"/>
    <xf numFmtId="0" fontId="54" fillId="9" borderId="0" applyNumberFormat="0" applyBorder="0" applyAlignment="0" applyProtection="0"/>
    <xf numFmtId="0" fontId="54" fillId="6" borderId="0" applyNumberFormat="0" applyBorder="0" applyAlignment="0" applyProtection="0"/>
    <xf numFmtId="0" fontId="54" fillId="8" borderId="0" applyNumberFormat="0" applyBorder="0" applyAlignment="0" applyProtection="0"/>
    <xf numFmtId="0" fontId="54" fillId="4" borderId="0" applyNumberFormat="0" applyBorder="0" applyAlignment="0" applyProtection="0"/>
    <xf numFmtId="0" fontId="54" fillId="8" borderId="0" applyNumberFormat="0" applyBorder="0" applyAlignment="0" applyProtection="0"/>
    <xf numFmtId="0" fontId="54" fillId="3"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8" borderId="0" applyNumberFormat="0" applyBorder="0" applyAlignment="0" applyProtection="0"/>
    <xf numFmtId="0" fontId="54" fillId="3" borderId="0" applyNumberFormat="0" applyBorder="0" applyAlignment="0" applyProtection="0"/>
    <xf numFmtId="0" fontId="55" fillId="11" borderId="0" applyNumberFormat="0" applyBorder="0" applyAlignment="0" applyProtection="0"/>
    <xf numFmtId="0" fontId="13" fillId="0" borderId="0"/>
    <xf numFmtId="0" fontId="56" fillId="12" borderId="1" applyNumberFormat="0" applyAlignment="0" applyProtection="0"/>
    <xf numFmtId="0" fontId="57" fillId="13" borderId="2" applyNumberFormat="0" applyAlignment="0" applyProtection="0"/>
    <xf numFmtId="43" fontId="1" fillId="0" borderId="0" applyFont="0" applyFill="0" applyBorder="0" applyAlignment="0" applyProtection="0"/>
    <xf numFmtId="43" fontId="89" fillId="0" borderId="0" applyFont="0" applyFill="0" applyBorder="0" applyAlignment="0" applyProtection="0"/>
    <xf numFmtId="43" fontId="2" fillId="0" borderId="0" applyFont="0" applyFill="0" applyBorder="0" applyAlignment="0" applyProtection="0"/>
    <xf numFmtId="44" fontId="1" fillId="0" borderId="0" applyFont="0" applyFill="0" applyBorder="0" applyAlignment="0" applyProtection="0"/>
    <xf numFmtId="44" fontId="11" fillId="0" borderId="0" applyFont="0" applyFill="0" applyBorder="0" applyAlignment="0" applyProtection="0"/>
    <xf numFmtId="44" fontId="89" fillId="0" borderId="0" applyFont="0" applyFill="0" applyBorder="0" applyAlignment="0" applyProtection="0"/>
    <xf numFmtId="185" fontId="11" fillId="14" borderId="3">
      <alignment horizontal="right"/>
    </xf>
    <xf numFmtId="0" fontId="58" fillId="0" borderId="0" applyNumberFormat="0" applyFill="0" applyBorder="0" applyAlignment="0" applyProtection="0"/>
    <xf numFmtId="186" fontId="11" fillId="14" borderId="3">
      <alignment horizontal="right"/>
    </xf>
    <xf numFmtId="0" fontId="59" fillId="15" borderId="0" applyNumberFormat="0" applyBorder="0" applyAlignment="0" applyProtection="0"/>
    <xf numFmtId="0" fontId="42" fillId="0" borderId="0" applyFont="0" applyFill="0" applyBorder="0" applyAlignment="0" applyProtection="0">
      <alignment horizontal="right"/>
    </xf>
    <xf numFmtId="0" fontId="60" fillId="0" borderId="4" applyNumberFormat="0" applyFill="0" applyAlignment="0" applyProtection="0"/>
    <xf numFmtId="0" fontId="61" fillId="0" borderId="5" applyNumberFormat="0" applyFill="0" applyAlignment="0" applyProtection="0"/>
    <xf numFmtId="0" fontId="62" fillId="0" borderId="6" applyNumberFormat="0" applyFill="0" applyAlignment="0" applyProtection="0"/>
    <xf numFmtId="0" fontId="62" fillId="0" borderId="0" applyNumberFormat="0" applyFill="0" applyBorder="0" applyAlignment="0" applyProtection="0"/>
    <xf numFmtId="0" fontId="63" fillId="4" borderId="1" applyNumberFormat="0" applyAlignment="0" applyProtection="0"/>
    <xf numFmtId="0" fontId="64" fillId="0" borderId="7" applyNumberFormat="0" applyFill="0" applyAlignment="0" applyProtection="0"/>
    <xf numFmtId="195" fontId="11" fillId="0" borderId="0">
      <alignment horizontal="right"/>
    </xf>
    <xf numFmtId="0" fontId="65" fillId="4" borderId="0" applyNumberFormat="0" applyBorder="0" applyAlignment="0" applyProtection="0"/>
    <xf numFmtId="0" fontId="11" fillId="0" borderId="0"/>
    <xf numFmtId="0" fontId="11" fillId="0" borderId="0"/>
    <xf numFmtId="0" fontId="93" fillId="0" borderId="0"/>
    <xf numFmtId="0" fontId="11" fillId="0" borderId="0"/>
    <xf numFmtId="0" fontId="1" fillId="4" borderId="8" applyNumberFormat="0" applyFont="0" applyAlignment="0" applyProtection="0"/>
    <xf numFmtId="0" fontId="89" fillId="4" borderId="8" applyNumberFormat="0" applyFont="0" applyAlignment="0" applyProtection="0"/>
    <xf numFmtId="199" fontId="11" fillId="0" borderId="0"/>
    <xf numFmtId="0" fontId="66" fillId="12" borderId="9" applyNumberFormat="0" applyAlignment="0" applyProtection="0"/>
    <xf numFmtId="0" fontId="15" fillId="0" borderId="0">
      <alignment vertical="center"/>
    </xf>
    <xf numFmtId="9" fontId="1" fillId="0" borderId="0" applyFont="0" applyFill="0" applyBorder="0" applyAlignment="0" applyProtection="0"/>
    <xf numFmtId="9" fontId="89" fillId="0" borderId="0" applyFont="0" applyFill="0" applyBorder="0" applyAlignment="0" applyProtection="0"/>
    <xf numFmtId="9" fontId="93" fillId="0" borderId="0" applyFont="0" applyFill="0" applyBorder="0" applyAlignment="0" applyProtection="0"/>
    <xf numFmtId="196" fontId="40" fillId="14" borderId="0"/>
    <xf numFmtId="0" fontId="11" fillId="16" borderId="0" applyNumberFormat="0" applyFont="0" applyBorder="0" applyAlignment="0" applyProtection="0"/>
    <xf numFmtId="179" fontId="16" fillId="0" borderId="0"/>
    <xf numFmtId="0" fontId="16" fillId="0" borderId="0"/>
    <xf numFmtId="0" fontId="16" fillId="0" borderId="10">
      <alignment horizontal="centerContinuous"/>
    </xf>
    <xf numFmtId="0" fontId="17" fillId="0" borderId="10"/>
    <xf numFmtId="0" fontId="67" fillId="0" borderId="0" applyNumberFormat="0" applyFill="0" applyBorder="0" applyAlignment="0" applyProtection="0"/>
    <xf numFmtId="0" fontId="68" fillId="0" borderId="11" applyNumberFormat="0" applyFill="0" applyAlignment="0" applyProtection="0"/>
    <xf numFmtId="0" fontId="69" fillId="0" borderId="0" applyNumberFormat="0" applyFill="0" applyBorder="0" applyAlignment="0" applyProtection="0"/>
    <xf numFmtId="178" fontId="18" fillId="0" borderId="0" applyFont="0" applyFill="0" applyBorder="0" applyAlignment="0" applyProtection="0"/>
    <xf numFmtId="0" fontId="18" fillId="0" borderId="0" applyFont="0" applyFill="0" applyBorder="0" applyAlignment="0" applyProtection="0"/>
    <xf numFmtId="0" fontId="1" fillId="16" borderId="0" applyNumberFormat="0" applyFont="0" applyBorder="0" applyAlignment="0" applyProtection="0"/>
    <xf numFmtId="44" fontId="122" fillId="0" borderId="0" applyFont="0" applyFill="0" applyBorder="0" applyAlignment="0" applyProtection="0"/>
    <xf numFmtId="0" fontId="124" fillId="0" borderId="0"/>
    <xf numFmtId="0" fontId="1" fillId="0" borderId="0"/>
  </cellStyleXfs>
  <cellXfs count="2941">
    <xf numFmtId="0" fontId="0" fillId="0" borderId="0" xfId="0"/>
    <xf numFmtId="0" fontId="2" fillId="17" borderId="0" xfId="0" applyFont="1" applyFill="1" applyAlignment="1">
      <alignment vertical="center"/>
    </xf>
    <xf numFmtId="0" fontId="3" fillId="17" borderId="0" xfId="0" applyFont="1" applyFill="1" applyBorder="1" applyAlignment="1">
      <alignment vertical="center"/>
    </xf>
    <xf numFmtId="0" fontId="3" fillId="17" borderId="14" xfId="0" applyFont="1" applyFill="1" applyBorder="1" applyAlignment="1">
      <alignment vertical="center"/>
    </xf>
    <xf numFmtId="0" fontId="3" fillId="17" borderId="0" xfId="0" applyFont="1" applyFill="1" applyAlignment="1">
      <alignment vertical="center"/>
    </xf>
    <xf numFmtId="0" fontId="2" fillId="17" borderId="0" xfId="0" applyFont="1" applyFill="1" applyBorder="1" applyAlignment="1">
      <alignment vertical="center"/>
    </xf>
    <xf numFmtId="0" fontId="2" fillId="18" borderId="0" xfId="0" applyFont="1" applyFill="1" applyAlignment="1">
      <alignment vertical="center"/>
    </xf>
    <xf numFmtId="167" fontId="2" fillId="18" borderId="0" xfId="0" applyNumberFormat="1" applyFont="1" applyFill="1" applyAlignment="1">
      <alignment horizontal="right" vertical="center"/>
    </xf>
    <xf numFmtId="174" fontId="7" fillId="17" borderId="0" xfId="0" applyNumberFormat="1" applyFont="1" applyFill="1" applyAlignment="1">
      <alignment vertical="center"/>
    </xf>
    <xf numFmtId="0" fontId="4" fillId="17" borderId="0" xfId="0" applyFont="1" applyFill="1" applyBorder="1" applyAlignment="1">
      <alignment horizontal="centerContinuous" vertical="center"/>
    </xf>
    <xf numFmtId="164" fontId="3" fillId="17" borderId="14" xfId="0" applyNumberFormat="1" applyFont="1" applyFill="1" applyBorder="1" applyAlignment="1">
      <alignment horizontal="right" vertical="center"/>
    </xf>
    <xf numFmtId="0" fontId="9" fillId="17" borderId="0" xfId="0" applyFont="1" applyFill="1" applyAlignment="1">
      <alignment vertical="center"/>
    </xf>
    <xf numFmtId="176" fontId="3" fillId="17" borderId="14" xfId="0" applyNumberFormat="1" applyFont="1" applyFill="1" applyBorder="1" applyAlignment="1">
      <alignment horizontal="right" vertical="center"/>
    </xf>
    <xf numFmtId="0" fontId="2" fillId="17" borderId="0" xfId="0" applyFont="1" applyFill="1" applyBorder="1" applyAlignment="1">
      <alignment horizontal="left" vertical="center" indent="1"/>
    </xf>
    <xf numFmtId="170" fontId="2" fillId="17" borderId="0" xfId="0" applyNumberFormat="1" applyFont="1" applyFill="1" applyBorder="1" applyAlignment="1">
      <alignment vertical="center"/>
    </xf>
    <xf numFmtId="170" fontId="21" fillId="17" borderId="0" xfId="0" applyNumberFormat="1" applyFont="1" applyFill="1" applyBorder="1" applyAlignment="1">
      <alignment vertical="center"/>
    </xf>
    <xf numFmtId="166" fontId="3" fillId="17" borderId="3" xfId="0" applyNumberFormat="1" applyFont="1" applyFill="1" applyBorder="1" applyAlignment="1">
      <alignment vertical="center"/>
    </xf>
    <xf numFmtId="183" fontId="10" fillId="17" borderId="15" xfId="0" applyNumberFormat="1" applyFont="1" applyFill="1" applyBorder="1" applyAlignment="1">
      <alignment horizontal="right"/>
    </xf>
    <xf numFmtId="179" fontId="6" fillId="17" borderId="0" xfId="0" applyNumberFormat="1" applyFont="1" applyFill="1" applyAlignment="1">
      <alignment vertical="center"/>
    </xf>
    <xf numFmtId="0" fontId="10" fillId="17" borderId="0" xfId="0" applyFont="1" applyFill="1"/>
    <xf numFmtId="0" fontId="3" fillId="19" borderId="0" xfId="0" applyFont="1" applyFill="1" applyBorder="1" applyAlignment="1">
      <alignment horizontal="centerContinuous"/>
    </xf>
    <xf numFmtId="0" fontId="10" fillId="19" borderId="0" xfId="0" applyFont="1" applyFill="1" applyBorder="1" applyAlignment="1">
      <alignment horizontal="centerContinuous"/>
    </xf>
    <xf numFmtId="0" fontId="3" fillId="17" borderId="16" xfId="0" applyFont="1" applyFill="1" applyBorder="1" applyAlignment="1">
      <alignment horizontal="centerContinuous"/>
    </xf>
    <xf numFmtId="0" fontId="10" fillId="17" borderId="17" xfId="0" applyFont="1" applyFill="1" applyBorder="1" applyAlignment="1">
      <alignment horizontal="centerContinuous"/>
    </xf>
    <xf numFmtId="0" fontId="10" fillId="17" borderId="18" xfId="0" applyFont="1" applyFill="1" applyBorder="1"/>
    <xf numFmtId="167" fontId="23" fillId="17" borderId="3" xfId="0" applyNumberFormat="1" applyFont="1" applyFill="1" applyBorder="1" applyAlignment="1">
      <alignment vertical="center"/>
    </xf>
    <xf numFmtId="0" fontId="3" fillId="17" borderId="18" xfId="0" applyFont="1" applyFill="1" applyBorder="1"/>
    <xf numFmtId="167" fontId="8" fillId="17" borderId="3" xfId="0" applyNumberFormat="1" applyFont="1" applyFill="1" applyBorder="1" applyAlignment="1">
      <alignment vertical="center"/>
    </xf>
    <xf numFmtId="0" fontId="10" fillId="17" borderId="19" xfId="0" applyFont="1" applyFill="1" applyBorder="1"/>
    <xf numFmtId="0" fontId="3" fillId="17" borderId="0" xfId="0" applyFont="1" applyFill="1"/>
    <xf numFmtId="8" fontId="8" fillId="17" borderId="0" xfId="0" applyNumberFormat="1" applyFont="1" applyFill="1"/>
    <xf numFmtId="9" fontId="10" fillId="17" borderId="0" xfId="0" applyNumberFormat="1" applyFont="1" applyFill="1"/>
    <xf numFmtId="0" fontId="10" fillId="17" borderId="13" xfId="0" applyFont="1" applyFill="1" applyBorder="1"/>
    <xf numFmtId="168" fontId="23" fillId="17" borderId="0" xfId="0" applyNumberFormat="1" applyFont="1" applyFill="1" applyAlignment="1">
      <alignment vertical="center"/>
    </xf>
    <xf numFmtId="0" fontId="10" fillId="17" borderId="0" xfId="0" applyFont="1" applyFill="1" applyAlignment="1">
      <alignment horizontal="center"/>
    </xf>
    <xf numFmtId="9" fontId="3" fillId="17" borderId="0" xfId="0" applyNumberFormat="1" applyFont="1" applyFill="1"/>
    <xf numFmtId="0" fontId="2" fillId="17" borderId="0" xfId="0" applyFont="1" applyFill="1"/>
    <xf numFmtId="0" fontId="3" fillId="17" borderId="0" xfId="0" applyFont="1" applyFill="1" applyAlignment="1">
      <alignment horizontal="center"/>
    </xf>
    <xf numFmtId="7" fontId="25" fillId="17" borderId="0" xfId="0" applyNumberFormat="1" applyFont="1" applyFill="1"/>
    <xf numFmtId="166" fontId="3" fillId="17" borderId="0" xfId="0" applyNumberFormat="1" applyFont="1" applyFill="1" applyAlignment="1">
      <alignment vertical="center"/>
    </xf>
    <xf numFmtId="0" fontId="2" fillId="0" borderId="0" xfId="0" applyFont="1"/>
    <xf numFmtId="0" fontId="3" fillId="0" borderId="0" xfId="0" applyFont="1"/>
    <xf numFmtId="0" fontId="2" fillId="0" borderId="0" xfId="0" applyFont="1" applyFill="1"/>
    <xf numFmtId="0" fontId="14" fillId="0" borderId="0" xfId="0" applyFont="1"/>
    <xf numFmtId="49" fontId="0" fillId="0" borderId="0" xfId="0" applyNumberFormat="1"/>
    <xf numFmtId="175" fontId="2" fillId="18" borderId="0" xfId="0" applyNumberFormat="1" applyFont="1" applyFill="1" applyAlignment="1">
      <alignment vertical="center"/>
    </xf>
    <xf numFmtId="177" fontId="2" fillId="18" borderId="0" xfId="0" applyNumberFormat="1" applyFont="1" applyFill="1" applyAlignment="1">
      <alignment vertical="center"/>
    </xf>
    <xf numFmtId="179" fontId="21" fillId="17" borderId="0" xfId="0" applyNumberFormat="1" applyFont="1" applyFill="1" applyAlignment="1">
      <alignment vertical="center"/>
    </xf>
    <xf numFmtId="166" fontId="26" fillId="17" borderId="0" xfId="0" applyNumberFormat="1" applyFont="1" applyFill="1" applyAlignment="1">
      <alignment vertical="center"/>
    </xf>
    <xf numFmtId="0" fontId="35" fillId="17" borderId="0" xfId="0" applyFont="1" applyFill="1" applyAlignment="1">
      <alignment vertical="center"/>
    </xf>
    <xf numFmtId="0" fontId="26" fillId="17" borderId="0" xfId="0" applyFont="1" applyFill="1" applyBorder="1" applyAlignment="1">
      <alignment vertical="center"/>
    </xf>
    <xf numFmtId="0" fontId="26" fillId="17" borderId="14" xfId="0" applyFont="1" applyFill="1" applyBorder="1" applyAlignment="1">
      <alignment vertical="center"/>
    </xf>
    <xf numFmtId="0" fontId="26" fillId="17" borderId="0" xfId="0" applyFont="1" applyFill="1" applyAlignment="1">
      <alignment vertical="center"/>
    </xf>
    <xf numFmtId="0" fontId="26" fillId="17" borderId="13" xfId="0" applyFont="1" applyFill="1" applyBorder="1" applyAlignment="1">
      <alignment vertical="center"/>
    </xf>
    <xf numFmtId="0" fontId="2" fillId="17" borderId="0" xfId="0" applyFont="1" applyFill="1" applyBorder="1"/>
    <xf numFmtId="0" fontId="26" fillId="17" borderId="0" xfId="0" applyFont="1" applyFill="1"/>
    <xf numFmtId="0" fontId="2" fillId="18" borderId="0" xfId="0" applyFont="1" applyFill="1"/>
    <xf numFmtId="0" fontId="2" fillId="17" borderId="0" xfId="0" quotePrefix="1" applyFont="1" applyFill="1"/>
    <xf numFmtId="171" fontId="2" fillId="17" borderId="0" xfId="0" applyNumberFormat="1" applyFont="1" applyFill="1"/>
    <xf numFmtId="168" fontId="2" fillId="17" borderId="0" xfId="0" applyNumberFormat="1" applyFont="1" applyFill="1"/>
    <xf numFmtId="0" fontId="33" fillId="19" borderId="20" xfId="0" applyFont="1" applyFill="1" applyBorder="1" applyAlignment="1">
      <alignment vertical="center"/>
    </xf>
    <xf numFmtId="179" fontId="2" fillId="17" borderId="0" xfId="0" applyNumberFormat="1" applyFont="1" applyFill="1" applyAlignment="1">
      <alignment vertical="center"/>
    </xf>
    <xf numFmtId="166" fontId="2" fillId="0" borderId="0" xfId="0" applyNumberFormat="1" applyFont="1" applyFill="1" applyBorder="1" applyAlignment="1">
      <alignment vertical="center"/>
    </xf>
    <xf numFmtId="0" fontId="6" fillId="0" borderId="0" xfId="0" applyFont="1" applyFill="1" applyBorder="1" applyAlignment="1">
      <alignment horizontal="left" vertical="center" indent="1"/>
    </xf>
    <xf numFmtId="0" fontId="6" fillId="0" borderId="0" xfId="0" applyFont="1" applyFill="1" applyBorder="1" applyAlignment="1">
      <alignment vertical="center"/>
    </xf>
    <xf numFmtId="168" fontId="33" fillId="0" borderId="0" xfId="0" applyNumberFormat="1" applyFont="1" applyFill="1" applyBorder="1" applyAlignment="1">
      <alignment vertical="center"/>
    </xf>
    <xf numFmtId="166" fontId="6" fillId="0" borderId="0" xfId="0" applyNumberFormat="1" applyFont="1" applyFill="1" applyBorder="1" applyAlignment="1">
      <alignment vertical="center"/>
    </xf>
    <xf numFmtId="179" fontId="6" fillId="17" borderId="0" xfId="0" applyNumberFormat="1" applyFont="1" applyFill="1" applyBorder="1" applyAlignment="1">
      <alignment vertical="center"/>
    </xf>
    <xf numFmtId="179" fontId="33" fillId="0" borderId="0" xfId="0" applyNumberFormat="1" applyFont="1" applyFill="1" applyBorder="1" applyAlignment="1">
      <alignment vertical="center"/>
    </xf>
    <xf numFmtId="179" fontId="33" fillId="19" borderId="20" xfId="0" applyNumberFormat="1" applyFont="1" applyFill="1" applyBorder="1" applyAlignment="1">
      <alignment vertical="center"/>
    </xf>
    <xf numFmtId="179" fontId="26" fillId="17" borderId="12" xfId="0" applyNumberFormat="1" applyFont="1" applyFill="1" applyBorder="1" applyAlignment="1">
      <alignment vertical="center"/>
    </xf>
    <xf numFmtId="0" fontId="26" fillId="17" borderId="13" xfId="0" applyFont="1" applyFill="1" applyBorder="1" applyAlignment="1">
      <alignment horizontal="centerContinuous" vertical="center"/>
    </xf>
    <xf numFmtId="0" fontId="26" fillId="17" borderId="0" xfId="0" applyFont="1" applyFill="1" applyAlignment="1">
      <alignment horizontal="center" vertical="center"/>
    </xf>
    <xf numFmtId="9" fontId="26" fillId="17" borderId="0" xfId="0" applyNumberFormat="1" applyFont="1" applyFill="1" applyAlignment="1">
      <alignment horizontal="right" vertical="center"/>
    </xf>
    <xf numFmtId="179" fontId="26" fillId="0" borderId="0" xfId="0" applyNumberFormat="1" applyFont="1" applyFill="1" applyBorder="1" applyAlignment="1">
      <alignment vertical="center"/>
    </xf>
    <xf numFmtId="9" fontId="26" fillId="0" borderId="0" xfId="0" applyNumberFormat="1" applyFont="1" applyFill="1" applyBorder="1" applyAlignment="1">
      <alignment horizontal="right" vertical="center"/>
    </xf>
    <xf numFmtId="179" fontId="26" fillId="17" borderId="0" xfId="0" applyNumberFormat="1" applyFont="1" applyFill="1" applyBorder="1" applyAlignment="1">
      <alignment vertical="center"/>
    </xf>
    <xf numFmtId="167" fontId="26" fillId="17" borderId="0" xfId="0" applyNumberFormat="1" applyFont="1" applyFill="1" applyBorder="1" applyAlignment="1">
      <alignment vertical="center"/>
    </xf>
    <xf numFmtId="172" fontId="26" fillId="17" borderId="0" xfId="0" applyNumberFormat="1" applyFont="1" applyFill="1" applyBorder="1" applyAlignment="1">
      <alignment horizontal="right" vertical="center"/>
    </xf>
    <xf numFmtId="0" fontId="29" fillId="17" borderId="13" xfId="0" applyFont="1" applyFill="1" applyBorder="1" applyAlignment="1">
      <alignment vertical="center"/>
    </xf>
    <xf numFmtId="179" fontId="2" fillId="17" borderId="0" xfId="0" applyNumberFormat="1" applyFont="1" applyFill="1"/>
    <xf numFmtId="0" fontId="6" fillId="0" borderId="0" xfId="0" applyFont="1" applyFill="1" applyBorder="1"/>
    <xf numFmtId="171" fontId="2" fillId="0" borderId="0" xfId="0" applyNumberFormat="1" applyFont="1" applyFill="1" applyBorder="1"/>
    <xf numFmtId="0" fontId="2" fillId="0" borderId="0" xfId="0" applyFont="1" applyFill="1" applyBorder="1"/>
    <xf numFmtId="168" fontId="2" fillId="17" borderId="0" xfId="0" applyNumberFormat="1" applyFont="1" applyFill="1" applyBorder="1"/>
    <xf numFmtId="170" fontId="2" fillId="17" borderId="0" xfId="0" applyNumberFormat="1" applyFont="1" applyFill="1"/>
    <xf numFmtId="179" fontId="6" fillId="17" borderId="0" xfId="0" applyNumberFormat="1" applyFont="1" applyFill="1"/>
    <xf numFmtId="179" fontId="6" fillId="17" borderId="0" xfId="0" applyNumberFormat="1" applyFont="1" applyFill="1" applyAlignment="1">
      <alignment horizontal="left" vertical="center" indent="1"/>
    </xf>
    <xf numFmtId="179" fontId="2" fillId="17" borderId="0" xfId="0" applyNumberFormat="1" applyFont="1" applyFill="1" applyAlignment="1">
      <alignment horizontal="right" vertical="center"/>
    </xf>
    <xf numFmtId="0" fontId="10" fillId="0" borderId="0" xfId="0" applyFont="1"/>
    <xf numFmtId="0" fontId="3" fillId="0" borderId="0" xfId="0" applyFont="1" applyFill="1"/>
    <xf numFmtId="179" fontId="8" fillId="17" borderId="0" xfId="0" applyNumberFormat="1" applyFont="1" applyFill="1"/>
    <xf numFmtId="0" fontId="10" fillId="17" borderId="0" xfId="0" applyFont="1" applyFill="1" applyBorder="1"/>
    <xf numFmtId="0" fontId="6" fillId="0" borderId="0" xfId="0" applyNumberFormat="1" applyFont="1" applyAlignment="1">
      <alignment horizontal="right" vertical="center"/>
    </xf>
    <xf numFmtId="170" fontId="10" fillId="17" borderId="0" xfId="0" applyNumberFormat="1" applyFont="1" applyFill="1" applyAlignment="1">
      <alignment horizontal="right" vertical="center"/>
    </xf>
    <xf numFmtId="170" fontId="3" fillId="17" borderId="0" xfId="0" applyNumberFormat="1" applyFont="1" applyFill="1" applyAlignment="1">
      <alignment horizontal="right" vertical="center"/>
    </xf>
    <xf numFmtId="0" fontId="23" fillId="17" borderId="0" xfId="0" applyFont="1" applyFill="1" applyAlignment="1">
      <alignment vertical="center"/>
    </xf>
    <xf numFmtId="0" fontId="23" fillId="17" borderId="0" xfId="0" applyFont="1" applyFill="1"/>
    <xf numFmtId="179" fontId="3" fillId="17" borderId="0" xfId="0" applyNumberFormat="1" applyFont="1" applyFill="1"/>
    <xf numFmtId="179" fontId="2" fillId="17" borderId="0" xfId="0" applyNumberFormat="1" applyFont="1" applyFill="1" applyBorder="1"/>
    <xf numFmtId="0" fontId="2" fillId="0" borderId="0" xfId="0" applyFont="1" applyBorder="1" applyAlignment="1">
      <alignment horizontal="left" vertical="center" indent="1"/>
    </xf>
    <xf numFmtId="170" fontId="24" fillId="17" borderId="0" xfId="0" applyNumberFormat="1" applyFont="1" applyFill="1" applyAlignment="1">
      <alignment horizontal="right" vertical="center"/>
    </xf>
    <xf numFmtId="179" fontId="44" fillId="17" borderId="0" xfId="0" applyNumberFormat="1" applyFont="1" applyFill="1" applyAlignment="1">
      <alignment vertical="center"/>
    </xf>
    <xf numFmtId="174" fontId="47" fillId="17" borderId="0" xfId="0" applyNumberFormat="1" applyFont="1" applyFill="1" applyAlignment="1">
      <alignment vertical="center"/>
    </xf>
    <xf numFmtId="179" fontId="3" fillId="17" borderId="0" xfId="0" applyNumberFormat="1" applyFont="1" applyFill="1" applyBorder="1"/>
    <xf numFmtId="168" fontId="2" fillId="0" borderId="0" xfId="0" applyNumberFormat="1" applyFont="1" applyFill="1" applyBorder="1"/>
    <xf numFmtId="0" fontId="2" fillId="0" borderId="0" xfId="0" applyFont="1" applyBorder="1"/>
    <xf numFmtId="174" fontId="48" fillId="17" borderId="0" xfId="0" applyNumberFormat="1" applyFont="1" applyFill="1" applyAlignment="1">
      <alignment vertical="center"/>
    </xf>
    <xf numFmtId="179" fontId="3" fillId="17" borderId="0" xfId="0" applyNumberFormat="1" applyFont="1" applyFill="1" applyBorder="1" applyAlignment="1">
      <alignment vertical="center"/>
    </xf>
    <xf numFmtId="179" fontId="6" fillId="17" borderId="13" xfId="0" applyNumberFormat="1" applyFont="1" applyFill="1" applyBorder="1" applyAlignment="1">
      <alignment vertical="center"/>
    </xf>
    <xf numFmtId="179" fontId="2" fillId="0" borderId="0" xfId="0" applyNumberFormat="1" applyFont="1" applyFill="1" applyBorder="1" applyAlignment="1">
      <alignment vertical="center"/>
    </xf>
    <xf numFmtId="0" fontId="10" fillId="17" borderId="0" xfId="0" applyFont="1" applyFill="1" applyAlignment="1">
      <alignment horizontal="left" vertical="center" indent="1"/>
    </xf>
    <xf numFmtId="0" fontId="10" fillId="17" borderId="0" xfId="0" applyFont="1" applyFill="1" applyAlignment="1">
      <alignment vertical="center"/>
    </xf>
    <xf numFmtId="179" fontId="10" fillId="17" borderId="0" xfId="0" applyNumberFormat="1" applyFont="1" applyFill="1" applyAlignment="1">
      <alignment vertical="center"/>
    </xf>
    <xf numFmtId="9" fontId="10" fillId="17" borderId="0" xfId="0" applyNumberFormat="1" applyFont="1" applyFill="1" applyAlignment="1">
      <alignment horizontal="right" vertical="center"/>
    </xf>
    <xf numFmtId="174" fontId="50" fillId="17" borderId="0" xfId="0" applyNumberFormat="1" applyFont="1" applyFill="1" applyAlignment="1">
      <alignment vertical="center"/>
    </xf>
    <xf numFmtId="0" fontId="10" fillId="14" borderId="0" xfId="0" applyFont="1" applyFill="1"/>
    <xf numFmtId="0" fontId="10" fillId="14" borderId="0" xfId="0" applyFont="1" applyFill="1" applyAlignment="1">
      <alignment vertical="center"/>
    </xf>
    <xf numFmtId="167" fontId="10" fillId="14" borderId="0" xfId="0" applyNumberFormat="1" applyFont="1" applyFill="1" applyAlignment="1">
      <alignment horizontal="right" vertical="center"/>
    </xf>
    <xf numFmtId="177" fontId="10" fillId="14" borderId="0" xfId="0" applyNumberFormat="1" applyFont="1" applyFill="1" applyAlignment="1">
      <alignment vertical="center"/>
    </xf>
    <xf numFmtId="170" fontId="10" fillId="17" borderId="0" xfId="0" applyNumberFormat="1" applyFont="1" applyFill="1" applyAlignment="1">
      <alignment vertical="center"/>
    </xf>
    <xf numFmtId="0" fontId="10" fillId="17" borderId="0" xfId="0" applyFont="1" applyFill="1" applyAlignment="1">
      <alignment horizontal="left" vertical="center"/>
    </xf>
    <xf numFmtId="167" fontId="10" fillId="17" borderId="0" xfId="0" applyNumberFormat="1" applyFont="1" applyFill="1" applyAlignment="1">
      <alignment vertical="center"/>
    </xf>
    <xf numFmtId="167" fontId="51" fillId="17" borderId="0" xfId="0" applyNumberFormat="1" applyFont="1" applyFill="1" applyAlignment="1">
      <alignment vertical="center"/>
    </xf>
    <xf numFmtId="37" fontId="10" fillId="17" borderId="0" xfId="0" applyNumberFormat="1" applyFont="1" applyFill="1" applyAlignment="1">
      <alignment vertical="center"/>
    </xf>
    <xf numFmtId="0" fontId="10" fillId="18" borderId="0" xfId="0" applyFont="1" applyFill="1" applyAlignment="1">
      <alignment horizontal="center" vertical="center"/>
    </xf>
    <xf numFmtId="0" fontId="3" fillId="17" borderId="13" xfId="0" applyFont="1" applyFill="1" applyBorder="1" applyAlignment="1">
      <alignment vertical="center"/>
    </xf>
    <xf numFmtId="166" fontId="10" fillId="17" borderId="0" xfId="0" applyNumberFormat="1" applyFont="1" applyFill="1" applyAlignment="1">
      <alignment vertical="center"/>
    </xf>
    <xf numFmtId="166" fontId="51" fillId="17" borderId="0" xfId="0" applyNumberFormat="1" applyFont="1" applyFill="1" applyAlignment="1">
      <alignment vertical="center"/>
    </xf>
    <xf numFmtId="0" fontId="43" fillId="17" borderId="0" xfId="0" applyFont="1" applyFill="1" applyAlignment="1">
      <alignment horizontal="center" vertical="center"/>
    </xf>
    <xf numFmtId="166" fontId="10" fillId="17" borderId="0" xfId="0" applyNumberFormat="1" applyFont="1" applyFill="1" applyBorder="1" applyAlignment="1">
      <alignment vertical="center"/>
    </xf>
    <xf numFmtId="180" fontId="23" fillId="17" borderId="0" xfId="0" applyNumberFormat="1" applyFont="1" applyFill="1" applyBorder="1" applyAlignment="1">
      <alignment vertical="center"/>
    </xf>
    <xf numFmtId="0" fontId="10" fillId="17" borderId="0" xfId="0" applyFont="1" applyFill="1" applyAlignment="1">
      <alignment horizontal="left" vertical="center" indent="2"/>
    </xf>
    <xf numFmtId="0" fontId="3" fillId="17" borderId="16" xfId="0" applyFont="1" applyFill="1" applyBorder="1" applyAlignment="1">
      <alignment vertical="center"/>
    </xf>
    <xf numFmtId="0" fontId="10" fillId="17" borderId="20" xfId="0" applyFont="1" applyFill="1" applyBorder="1" applyAlignment="1">
      <alignment vertical="center"/>
    </xf>
    <xf numFmtId="0" fontId="10" fillId="17" borderId="17" xfId="0" applyFont="1" applyFill="1" applyBorder="1" applyAlignment="1">
      <alignment vertical="center"/>
    </xf>
    <xf numFmtId="0" fontId="10" fillId="17" borderId="18" xfId="0" applyFont="1" applyFill="1" applyBorder="1" applyAlignment="1">
      <alignment vertical="center"/>
    </xf>
    <xf numFmtId="0" fontId="10" fillId="17" borderId="0" xfId="0" applyFont="1" applyFill="1" applyBorder="1" applyAlignment="1">
      <alignment vertical="center"/>
    </xf>
    <xf numFmtId="0" fontId="3" fillId="17" borderId="18" xfId="0" applyFont="1" applyFill="1" applyBorder="1" applyAlignment="1">
      <alignment vertical="center"/>
    </xf>
    <xf numFmtId="0" fontId="10" fillId="17" borderId="19" xfId="0" applyFont="1" applyFill="1" applyBorder="1" applyAlignment="1">
      <alignment vertical="center"/>
    </xf>
    <xf numFmtId="0" fontId="10" fillId="17" borderId="13" xfId="0" applyFont="1" applyFill="1" applyBorder="1" applyAlignment="1">
      <alignment vertical="center"/>
    </xf>
    <xf numFmtId="0" fontId="3" fillId="17" borderId="20" xfId="0" applyFont="1" applyFill="1" applyBorder="1" applyAlignment="1">
      <alignment vertical="center"/>
    </xf>
    <xf numFmtId="0" fontId="3" fillId="17" borderId="17" xfId="0" applyFont="1" applyFill="1" applyBorder="1" applyAlignment="1">
      <alignment vertical="center"/>
    </xf>
    <xf numFmtId="0" fontId="10" fillId="17" borderId="24" xfId="0" applyFont="1" applyFill="1" applyBorder="1" applyAlignment="1">
      <alignment vertical="center"/>
    </xf>
    <xf numFmtId="0" fontId="10" fillId="17" borderId="25" xfId="0" applyFont="1" applyFill="1" applyBorder="1" applyAlignment="1">
      <alignment vertical="center"/>
    </xf>
    <xf numFmtId="0" fontId="3" fillId="20" borderId="16" xfId="0" applyFont="1" applyFill="1" applyBorder="1" applyAlignment="1">
      <alignment vertical="center"/>
    </xf>
    <xf numFmtId="0" fontId="3" fillId="20" borderId="20" xfId="0" applyFont="1" applyFill="1" applyBorder="1" applyAlignment="1">
      <alignment vertical="center"/>
    </xf>
    <xf numFmtId="170" fontId="3" fillId="20" borderId="17" xfId="0" applyNumberFormat="1" applyFont="1" applyFill="1" applyBorder="1" applyAlignment="1">
      <alignment vertical="center"/>
    </xf>
    <xf numFmtId="0" fontId="52" fillId="20" borderId="26" xfId="0" applyFont="1" applyFill="1" applyBorder="1" applyAlignment="1">
      <alignment horizontal="center" vertical="center"/>
    </xf>
    <xf numFmtId="0" fontId="8" fillId="20" borderId="26" xfId="0" applyFont="1" applyFill="1" applyBorder="1" applyAlignment="1">
      <alignment horizontal="center" vertical="center"/>
    </xf>
    <xf numFmtId="0" fontId="52" fillId="16" borderId="26" xfId="0" applyFont="1" applyFill="1" applyBorder="1" applyAlignment="1">
      <alignment horizontal="center" vertical="center"/>
    </xf>
    <xf numFmtId="168" fontId="10" fillId="17" borderId="0" xfId="0" applyNumberFormat="1" applyFont="1" applyFill="1" applyAlignment="1">
      <alignment vertical="center"/>
    </xf>
    <xf numFmtId="0" fontId="3" fillId="17" borderId="0" xfId="0" applyFont="1" applyFill="1" applyBorder="1" applyAlignment="1">
      <alignment horizontal="center" vertical="center"/>
    </xf>
    <xf numFmtId="168" fontId="50" fillId="17" borderId="0" xfId="0" applyNumberFormat="1" applyFont="1" applyFill="1" applyAlignment="1">
      <alignment vertical="center"/>
    </xf>
    <xf numFmtId="0" fontId="3" fillId="17" borderId="13" xfId="0" applyFont="1" applyFill="1" applyBorder="1" applyAlignment="1">
      <alignment horizontal="center" vertical="center"/>
    </xf>
    <xf numFmtId="172" fontId="50" fillId="17" borderId="0" xfId="0" applyNumberFormat="1" applyFont="1" applyFill="1" applyAlignment="1">
      <alignment vertical="center"/>
    </xf>
    <xf numFmtId="171" fontId="10" fillId="17" borderId="0" xfId="0" applyNumberFormat="1" applyFont="1" applyFill="1" applyAlignment="1">
      <alignment vertical="center"/>
    </xf>
    <xf numFmtId="184" fontId="10" fillId="17" borderId="0" xfId="0" applyNumberFormat="1" applyFont="1" applyFill="1" applyAlignment="1">
      <alignment horizontal="center" vertical="center"/>
    </xf>
    <xf numFmtId="173" fontId="50" fillId="17" borderId="0" xfId="0" applyNumberFormat="1" applyFont="1" applyFill="1" applyAlignment="1">
      <alignment vertical="center"/>
    </xf>
    <xf numFmtId="168" fontId="8" fillId="17" borderId="12" xfId="0" applyNumberFormat="1" applyFont="1" applyFill="1" applyBorder="1" applyAlignment="1">
      <alignment vertical="center"/>
    </xf>
    <xf numFmtId="172" fontId="3" fillId="17" borderId="12" xfId="0" applyNumberFormat="1" applyFont="1" applyFill="1" applyBorder="1" applyAlignment="1">
      <alignment vertical="center"/>
    </xf>
    <xf numFmtId="171" fontId="3" fillId="17" borderId="12" xfId="0" applyNumberFormat="1" applyFont="1" applyFill="1" applyBorder="1" applyAlignment="1">
      <alignment vertical="center"/>
    </xf>
    <xf numFmtId="168" fontId="3" fillId="17" borderId="12" xfId="0" applyNumberFormat="1" applyFont="1" applyFill="1" applyBorder="1" applyAlignment="1">
      <alignment vertical="center"/>
    </xf>
    <xf numFmtId="0" fontId="3" fillId="17" borderId="27" xfId="0" applyFont="1" applyFill="1" applyBorder="1" applyAlignment="1">
      <alignment vertical="center"/>
    </xf>
    <xf numFmtId="182" fontId="10" fillId="17" borderId="0" xfId="0" applyNumberFormat="1" applyFont="1" applyFill="1" applyAlignment="1">
      <alignment vertical="center"/>
    </xf>
    <xf numFmtId="37" fontId="43" fillId="17" borderId="0" xfId="0" applyNumberFormat="1" applyFont="1" applyFill="1" applyAlignment="1">
      <alignment vertical="center"/>
    </xf>
    <xf numFmtId="181" fontId="6" fillId="17" borderId="3" xfId="0" applyNumberFormat="1" applyFont="1" applyFill="1" applyBorder="1" applyAlignment="1">
      <alignment vertical="center"/>
    </xf>
    <xf numFmtId="0" fontId="23" fillId="17" borderId="0" xfId="0" applyFont="1" applyFill="1" applyBorder="1"/>
    <xf numFmtId="0" fontId="8" fillId="17" borderId="0" xfId="0" applyFont="1" applyFill="1" applyAlignment="1">
      <alignment vertical="center"/>
    </xf>
    <xf numFmtId="0" fontId="23" fillId="0" borderId="0" xfId="0" applyFont="1"/>
    <xf numFmtId="3" fontId="10" fillId="17" borderId="0" xfId="0" applyNumberFormat="1" applyFont="1" applyFill="1" applyAlignment="1">
      <alignment vertical="center"/>
    </xf>
    <xf numFmtId="167" fontId="8" fillId="17" borderId="0" xfId="0" applyNumberFormat="1" applyFont="1" applyFill="1" applyBorder="1" applyAlignment="1">
      <alignment vertical="center"/>
    </xf>
    <xf numFmtId="169" fontId="3" fillId="17" borderId="0" xfId="0" applyNumberFormat="1" applyFont="1" applyFill="1" applyBorder="1" applyAlignment="1">
      <alignment vertical="center"/>
    </xf>
    <xf numFmtId="9" fontId="3" fillId="17" borderId="0" xfId="0" applyNumberFormat="1" applyFont="1" applyFill="1" applyBorder="1" applyAlignment="1">
      <alignment vertical="center"/>
    </xf>
    <xf numFmtId="167" fontId="10" fillId="17" borderId="0" xfId="0" applyNumberFormat="1" applyFont="1" applyFill="1" applyBorder="1" applyAlignment="1">
      <alignment vertical="center"/>
    </xf>
    <xf numFmtId="169" fontId="10" fillId="17" borderId="0" xfId="0" applyNumberFormat="1" applyFont="1" applyFill="1" applyBorder="1" applyAlignment="1">
      <alignment vertical="center"/>
    </xf>
    <xf numFmtId="9" fontId="10" fillId="17" borderId="0" xfId="0" applyNumberFormat="1" applyFont="1" applyFill="1" applyBorder="1" applyAlignment="1">
      <alignment vertical="center"/>
    </xf>
    <xf numFmtId="168" fontId="10" fillId="17" borderId="0" xfId="0" applyNumberFormat="1" applyFont="1" applyFill="1" applyBorder="1" applyAlignment="1">
      <alignment vertical="center"/>
    </xf>
    <xf numFmtId="176" fontId="3" fillId="19" borderId="20" xfId="0" applyNumberFormat="1" applyFont="1" applyFill="1" applyBorder="1" applyAlignment="1">
      <alignment horizontal="right" vertical="center"/>
    </xf>
    <xf numFmtId="167" fontId="32" fillId="17" borderId="0" xfId="0" applyNumberFormat="1" applyFont="1" applyFill="1" applyBorder="1" applyAlignment="1">
      <alignment vertical="center"/>
    </xf>
    <xf numFmtId="0" fontId="10" fillId="0" borderId="0" xfId="0" applyFont="1" applyFill="1" applyBorder="1" applyAlignment="1">
      <alignment vertical="center"/>
    </xf>
    <xf numFmtId="167" fontId="32" fillId="0" borderId="0" xfId="0" applyNumberFormat="1" applyFont="1" applyFill="1" applyBorder="1" applyAlignment="1">
      <alignment vertical="center"/>
    </xf>
    <xf numFmtId="170" fontId="10" fillId="0" borderId="0" xfId="0" applyNumberFormat="1" applyFont="1" applyFill="1" applyBorder="1" applyAlignment="1">
      <alignment vertical="center"/>
    </xf>
    <xf numFmtId="170" fontId="7" fillId="17" borderId="0" xfId="0" applyNumberFormat="1" applyFont="1" applyFill="1" applyAlignment="1">
      <alignment vertical="center"/>
    </xf>
    <xf numFmtId="179" fontId="39" fillId="17" borderId="0" xfId="0" applyNumberFormat="1" applyFont="1" applyFill="1" applyAlignment="1">
      <alignment vertical="center"/>
    </xf>
    <xf numFmtId="9" fontId="2" fillId="17" borderId="0" xfId="0" applyNumberFormat="1" applyFont="1" applyFill="1" applyAlignment="1">
      <alignment vertical="center"/>
    </xf>
    <xf numFmtId="9" fontId="8" fillId="17" borderId="0" xfId="0" applyNumberFormat="1" applyFont="1" applyFill="1" applyBorder="1" applyAlignment="1">
      <alignment horizontal="right" vertical="center"/>
    </xf>
    <xf numFmtId="4" fontId="25" fillId="17" borderId="0" xfId="0" applyNumberFormat="1" applyFont="1" applyFill="1" applyBorder="1" applyAlignment="1">
      <alignment vertical="center"/>
    </xf>
    <xf numFmtId="4" fontId="23" fillId="17" borderId="0" xfId="0" applyNumberFormat="1" applyFont="1" applyFill="1" applyBorder="1" applyAlignment="1">
      <alignment vertical="center"/>
    </xf>
    <xf numFmtId="198" fontId="8" fillId="17" borderId="0" xfId="0" applyNumberFormat="1" applyFont="1" applyFill="1"/>
    <xf numFmtId="198" fontId="3" fillId="0" borderId="0" xfId="0" applyNumberFormat="1" applyFont="1"/>
    <xf numFmtId="179" fontId="6" fillId="17" borderId="0" xfId="0" applyNumberFormat="1" applyFont="1" applyFill="1" applyBorder="1"/>
    <xf numFmtId="179" fontId="8" fillId="17" borderId="0" xfId="0" applyNumberFormat="1" applyFont="1" applyFill="1" applyBorder="1" applyAlignment="1">
      <alignment horizontal="left" vertical="center" indent="1"/>
    </xf>
    <xf numFmtId="179" fontId="6" fillId="17" borderId="0" xfId="0" applyNumberFormat="1" applyFont="1" applyFill="1" applyBorder="1" applyAlignment="1">
      <alignment horizontal="left" vertical="center" indent="1"/>
    </xf>
    <xf numFmtId="179" fontId="21" fillId="17" borderId="0" xfId="0" applyNumberFormat="1" applyFont="1" applyFill="1" applyBorder="1" applyAlignment="1">
      <alignment vertical="center"/>
    </xf>
    <xf numFmtId="179" fontId="10" fillId="17" borderId="13" xfId="0" applyNumberFormat="1" applyFont="1" applyFill="1" applyBorder="1" applyAlignment="1">
      <alignment vertical="center"/>
    </xf>
    <xf numFmtId="179" fontId="10" fillId="17" borderId="0" xfId="0" applyNumberFormat="1" applyFont="1" applyFill="1" applyBorder="1" applyAlignment="1">
      <alignment vertical="center"/>
    </xf>
    <xf numFmtId="4" fontId="21" fillId="17" borderId="0" xfId="0" applyNumberFormat="1" applyFont="1" applyFill="1" applyBorder="1" applyAlignment="1">
      <alignment vertical="center"/>
    </xf>
    <xf numFmtId="181" fontId="2" fillId="17" borderId="0" xfId="0" applyNumberFormat="1" applyFont="1" applyFill="1" applyBorder="1" applyAlignment="1">
      <alignment horizontal="right" vertical="center"/>
    </xf>
    <xf numFmtId="170" fontId="2" fillId="17" borderId="0" xfId="0" applyNumberFormat="1" applyFont="1" applyFill="1" applyBorder="1" applyAlignment="1">
      <alignment horizontal="right" vertical="center"/>
    </xf>
    <xf numFmtId="181" fontId="2" fillId="17" borderId="0" xfId="74" applyNumberFormat="1" applyFont="1" applyFill="1" applyBorder="1"/>
    <xf numFmtId="181" fontId="2" fillId="17" borderId="0" xfId="0" applyNumberFormat="1" applyFont="1" applyFill="1" applyBorder="1"/>
    <xf numFmtId="179" fontId="10" fillId="17" borderId="0" xfId="0" applyNumberFormat="1" applyFont="1" applyFill="1"/>
    <xf numFmtId="179" fontId="10" fillId="17" borderId="0" xfId="0" applyNumberFormat="1" applyFont="1" applyFill="1" applyAlignment="1">
      <alignment horizontal="right" vertical="center"/>
    </xf>
    <xf numFmtId="181" fontId="10" fillId="17" borderId="0" xfId="74" applyNumberFormat="1" applyFont="1" applyFill="1" applyAlignment="1">
      <alignment horizontal="right" vertical="center"/>
    </xf>
    <xf numFmtId="179" fontId="3" fillId="17" borderId="0" xfId="0" applyNumberFormat="1" applyFont="1" applyFill="1" applyAlignment="1">
      <alignment horizontal="right" vertical="center"/>
    </xf>
    <xf numFmtId="43" fontId="2" fillId="17" borderId="0" xfId="46" applyFont="1" applyFill="1" applyBorder="1" applyAlignment="1">
      <alignment vertical="center"/>
    </xf>
    <xf numFmtId="170" fontId="6" fillId="0" borderId="0" xfId="0" applyNumberFormat="1" applyFont="1" applyFill="1" applyBorder="1" applyAlignment="1">
      <alignment horizontal="right" vertical="center"/>
    </xf>
    <xf numFmtId="37" fontId="10" fillId="17" borderId="13" xfId="0" applyNumberFormat="1" applyFont="1" applyFill="1" applyBorder="1" applyAlignment="1">
      <alignment vertical="center"/>
    </xf>
    <xf numFmtId="9" fontId="24" fillId="17" borderId="0" xfId="0" applyNumberFormat="1" applyFont="1" applyFill="1" applyAlignment="1">
      <alignment vertical="center"/>
    </xf>
    <xf numFmtId="43" fontId="7" fillId="17" borderId="0" xfId="46" applyFont="1" applyFill="1" applyAlignment="1">
      <alignment vertical="center"/>
    </xf>
    <xf numFmtId="202" fontId="7" fillId="17" borderId="0" xfId="46" applyNumberFormat="1" applyFont="1" applyFill="1" applyAlignment="1">
      <alignment vertical="center"/>
    </xf>
    <xf numFmtId="43" fontId="7" fillId="17" borderId="0" xfId="46" applyNumberFormat="1" applyFont="1" applyFill="1" applyAlignment="1">
      <alignment vertical="center"/>
    </xf>
    <xf numFmtId="0" fontId="2" fillId="0" borderId="0" xfId="0" applyFont="1" applyFill="1" applyAlignment="1">
      <alignment vertical="center"/>
    </xf>
    <xf numFmtId="205" fontId="3" fillId="17" borderId="0" xfId="49" applyNumberFormat="1" applyFont="1" applyFill="1" applyBorder="1"/>
    <xf numFmtId="198" fontId="2" fillId="17" borderId="0" xfId="0" applyNumberFormat="1" applyFont="1" applyFill="1" applyBorder="1"/>
    <xf numFmtId="187" fontId="26" fillId="17" borderId="0" xfId="46" applyNumberFormat="1" applyFont="1" applyFill="1" applyBorder="1"/>
    <xf numFmtId="0" fontId="0" fillId="17" borderId="0" xfId="0" applyFill="1"/>
    <xf numFmtId="171" fontId="2" fillId="17" borderId="0" xfId="0" applyNumberFormat="1" applyFont="1" applyFill="1" applyAlignment="1">
      <alignment horizontal="right" vertical="center"/>
    </xf>
    <xf numFmtId="167" fontId="7" fillId="17" borderId="0" xfId="0" applyNumberFormat="1" applyFont="1" applyFill="1" applyAlignment="1">
      <alignment horizontal="right" vertical="center"/>
    </xf>
    <xf numFmtId="171" fontId="7" fillId="17" borderId="0" xfId="0" applyNumberFormat="1" applyFont="1" applyFill="1" applyAlignment="1">
      <alignment horizontal="right" vertical="center"/>
    </xf>
    <xf numFmtId="167" fontId="2" fillId="17" borderId="0" xfId="0" applyNumberFormat="1" applyFont="1" applyFill="1" applyAlignment="1">
      <alignment vertical="center"/>
    </xf>
    <xf numFmtId="198" fontId="26" fillId="17" borderId="0" xfId="0" applyNumberFormat="1" applyFont="1" applyFill="1" applyBorder="1" applyAlignment="1">
      <alignment vertical="center"/>
    </xf>
    <xf numFmtId="0" fontId="11" fillId="0" borderId="0" xfId="0" applyFont="1" applyFill="1" applyBorder="1"/>
    <xf numFmtId="0" fontId="14" fillId="0" borderId="0" xfId="0" applyFont="1" applyFill="1" applyBorder="1"/>
    <xf numFmtId="0" fontId="0" fillId="0" borderId="0" xfId="0" applyFill="1" applyBorder="1"/>
    <xf numFmtId="0" fontId="3" fillId="0" borderId="0" xfId="0" applyFont="1" applyFill="1" applyBorder="1"/>
    <xf numFmtId="0" fontId="2" fillId="0" borderId="18" xfId="0" applyFont="1" applyFill="1" applyBorder="1" applyAlignment="1">
      <alignment vertical="center"/>
    </xf>
    <xf numFmtId="0" fontId="2" fillId="0" borderId="0" xfId="0" applyFont="1" applyFill="1" applyBorder="1" applyAlignment="1">
      <alignment vertical="center"/>
    </xf>
    <xf numFmtId="0" fontId="2" fillId="0" borderId="3" xfId="0" applyFont="1" applyFill="1" applyBorder="1" applyAlignment="1">
      <alignment vertical="center"/>
    </xf>
    <xf numFmtId="39" fontId="3" fillId="17" borderId="3" xfId="0" applyNumberFormat="1" applyFont="1" applyFill="1" applyBorder="1" applyAlignment="1">
      <alignment vertical="center"/>
    </xf>
    <xf numFmtId="0" fontId="3" fillId="0" borderId="0" xfId="0" applyFont="1" applyBorder="1"/>
    <xf numFmtId="198" fontId="37" fillId="17" borderId="0" xfId="0" applyNumberFormat="1" applyFont="1" applyFill="1" applyBorder="1" applyAlignment="1">
      <alignment vertical="center"/>
    </xf>
    <xf numFmtId="0" fontId="3" fillId="17" borderId="0" xfId="0" applyFont="1" applyFill="1" applyBorder="1"/>
    <xf numFmtId="203" fontId="3" fillId="0" borderId="0" xfId="46" applyNumberFormat="1" applyFont="1"/>
    <xf numFmtId="37" fontId="72" fillId="17" borderId="0" xfId="0" applyNumberFormat="1" applyFont="1" applyFill="1" applyBorder="1" applyAlignment="1">
      <alignment vertical="center"/>
    </xf>
    <xf numFmtId="203" fontId="3" fillId="0" borderId="0" xfId="46" applyNumberFormat="1" applyFont="1" applyBorder="1"/>
    <xf numFmtId="0" fontId="10" fillId="0" borderId="0" xfId="0" applyFont="1" applyBorder="1"/>
    <xf numFmtId="179" fontId="24" fillId="17" borderId="0" xfId="0" applyNumberFormat="1" applyFont="1" applyFill="1" applyAlignment="1">
      <alignment vertical="center"/>
    </xf>
    <xf numFmtId="172" fontId="3" fillId="17" borderId="0" xfId="0" applyNumberFormat="1" applyFont="1" applyFill="1" applyBorder="1" applyAlignment="1">
      <alignment vertical="center"/>
    </xf>
    <xf numFmtId="8" fontId="10" fillId="17" borderId="0" xfId="0" applyNumberFormat="1" applyFont="1" applyFill="1" applyBorder="1" applyAlignment="1">
      <alignment vertical="center"/>
    </xf>
    <xf numFmtId="170" fontId="23" fillId="17" borderId="0" xfId="0" applyNumberFormat="1" applyFont="1" applyFill="1" applyAlignment="1">
      <alignment horizontal="right" vertical="center"/>
    </xf>
    <xf numFmtId="4" fontId="7" fillId="17" borderId="0" xfId="0" applyNumberFormat="1" applyFont="1" applyFill="1" applyAlignment="1">
      <alignment vertical="center"/>
    </xf>
    <xf numFmtId="172" fontId="10" fillId="17" borderId="0" xfId="0" applyNumberFormat="1" applyFont="1" applyFill="1" applyAlignment="1">
      <alignment horizontal="right" vertical="center"/>
    </xf>
    <xf numFmtId="168" fontId="10" fillId="17" borderId="0" xfId="0" applyNumberFormat="1" applyFont="1" applyFill="1" applyAlignment="1">
      <alignment horizontal="right" vertical="center"/>
    </xf>
    <xf numFmtId="8" fontId="23" fillId="17" borderId="0" xfId="0" applyNumberFormat="1" applyFont="1" applyFill="1" applyAlignment="1">
      <alignment vertical="center"/>
    </xf>
    <xf numFmtId="175" fontId="23" fillId="17" borderId="28" xfId="0" applyNumberFormat="1" applyFont="1" applyFill="1" applyBorder="1" applyAlignment="1">
      <alignment horizontal="right" vertical="center"/>
    </xf>
    <xf numFmtId="9" fontId="72" fillId="17" borderId="0" xfId="0" applyNumberFormat="1" applyFont="1" applyFill="1" applyBorder="1" applyAlignment="1">
      <alignment horizontal="right" vertical="center"/>
    </xf>
    <xf numFmtId="170" fontId="21" fillId="0" borderId="0" xfId="0" applyNumberFormat="1" applyFont="1" applyFill="1" applyBorder="1" applyAlignment="1">
      <alignment vertical="center"/>
    </xf>
    <xf numFmtId="179" fontId="6" fillId="17" borderId="0" xfId="0" applyNumberFormat="1" applyFont="1" applyFill="1" applyBorder="1" applyAlignment="1">
      <alignment horizontal="right" vertical="center"/>
    </xf>
    <xf numFmtId="179" fontId="2" fillId="17" borderId="13" xfId="0" applyNumberFormat="1" applyFont="1" applyFill="1" applyBorder="1" applyAlignment="1">
      <alignment vertical="center"/>
    </xf>
    <xf numFmtId="37" fontId="10" fillId="17" borderId="3" xfId="0" applyNumberFormat="1" applyFont="1" applyFill="1" applyBorder="1" applyAlignment="1">
      <alignment vertical="center"/>
    </xf>
    <xf numFmtId="37" fontId="10" fillId="17" borderId="15" xfId="0" applyNumberFormat="1" applyFont="1" applyFill="1" applyBorder="1" applyAlignment="1">
      <alignment vertical="center"/>
    </xf>
    <xf numFmtId="37" fontId="3" fillId="17" borderId="3" xfId="0" applyNumberFormat="1" applyFont="1" applyFill="1" applyBorder="1" applyAlignment="1">
      <alignment vertical="center"/>
    </xf>
    <xf numFmtId="0" fontId="8" fillId="0" borderId="0" xfId="0" applyNumberFormat="1" applyFont="1" applyAlignment="1">
      <alignment horizontal="right" vertical="center"/>
    </xf>
    <xf numFmtId="37" fontId="10" fillId="17" borderId="0" xfId="0" applyNumberFormat="1" applyFont="1" applyFill="1"/>
    <xf numFmtId="0" fontId="78" fillId="17" borderId="0" xfId="0" applyFont="1" applyFill="1"/>
    <xf numFmtId="6" fontId="10" fillId="17" borderId="0" xfId="0" applyNumberFormat="1" applyFont="1" applyFill="1"/>
    <xf numFmtId="37" fontId="10" fillId="0" borderId="15" xfId="0" applyNumberFormat="1" applyFont="1" applyFill="1" applyBorder="1" applyAlignment="1">
      <alignment vertical="center"/>
    </xf>
    <xf numFmtId="181" fontId="8" fillId="17" borderId="0" xfId="0" applyNumberFormat="1" applyFont="1" applyFill="1" applyBorder="1" applyAlignment="1">
      <alignment horizontal="right" vertical="center"/>
    </xf>
    <xf numFmtId="181" fontId="72" fillId="0" borderId="0" xfId="0" applyNumberFormat="1" applyFont="1" applyFill="1" applyBorder="1" applyAlignment="1">
      <alignment horizontal="right" vertical="center"/>
    </xf>
    <xf numFmtId="181" fontId="8" fillId="0" borderId="0" xfId="0" applyNumberFormat="1" applyFont="1" applyFill="1" applyBorder="1" applyAlignment="1">
      <alignment horizontal="right" vertical="center"/>
    </xf>
    <xf numFmtId="167" fontId="2" fillId="17" borderId="0" xfId="0" applyNumberFormat="1" applyFont="1" applyFill="1" applyAlignment="1">
      <alignment horizontal="right" vertical="center"/>
    </xf>
    <xf numFmtId="0" fontId="27" fillId="0" borderId="0" xfId="0" applyFont="1" applyFill="1" applyBorder="1" applyAlignment="1">
      <alignment horizontal="centerContinuous" vertical="center"/>
    </xf>
    <xf numFmtId="181" fontId="2" fillId="0" borderId="0" xfId="0" applyNumberFormat="1" applyFont="1" applyFill="1" applyBorder="1" applyAlignment="1">
      <alignment horizontal="right" vertical="center"/>
    </xf>
    <xf numFmtId="170" fontId="2" fillId="0" borderId="0" xfId="0" applyNumberFormat="1" applyFont="1" applyFill="1" applyBorder="1" applyAlignment="1">
      <alignment horizontal="right" vertical="center"/>
    </xf>
    <xf numFmtId="179" fontId="21" fillId="0" borderId="0" xfId="0" applyNumberFormat="1" applyFont="1" applyFill="1" applyBorder="1" applyAlignment="1">
      <alignment vertical="center"/>
    </xf>
    <xf numFmtId="9" fontId="44" fillId="0" borderId="0" xfId="0" applyNumberFormat="1" applyFont="1" applyFill="1" applyBorder="1" applyAlignment="1">
      <alignment horizontal="right" vertical="center"/>
    </xf>
    <xf numFmtId="199" fontId="23" fillId="0" borderId="0" xfId="0" applyNumberFormat="1" applyFont="1" applyFill="1" applyBorder="1"/>
    <xf numFmtId="187" fontId="38" fillId="0" borderId="0" xfId="46" applyNumberFormat="1" applyFont="1" applyFill="1" applyBorder="1"/>
    <xf numFmtId="179" fontId="38" fillId="0" borderId="0" xfId="0" applyNumberFormat="1" applyFont="1" applyFill="1" applyBorder="1"/>
    <xf numFmtId="198" fontId="38" fillId="0" borderId="0" xfId="0" applyNumberFormat="1" applyFont="1" applyFill="1" applyBorder="1"/>
    <xf numFmtId="174" fontId="7" fillId="0" borderId="0" xfId="0" applyNumberFormat="1" applyFont="1" applyFill="1" applyBorder="1" applyAlignment="1">
      <alignment vertical="center"/>
    </xf>
    <xf numFmtId="176" fontId="26" fillId="0" borderId="0" xfId="0" applyNumberFormat="1" applyFont="1" applyFill="1" applyBorder="1" applyAlignment="1">
      <alignment horizontal="right" vertical="center"/>
    </xf>
    <xf numFmtId="179" fontId="38" fillId="0" borderId="0" xfId="0" applyNumberFormat="1" applyFont="1" applyFill="1" applyBorder="1" applyAlignment="1">
      <alignment vertical="center"/>
    </xf>
    <xf numFmtId="179" fontId="49" fillId="0" borderId="0" xfId="0" applyNumberFormat="1" applyFont="1" applyFill="1" applyBorder="1" applyAlignment="1">
      <alignment vertical="center"/>
    </xf>
    <xf numFmtId="179" fontId="39" fillId="0" borderId="0" xfId="0" applyNumberFormat="1" applyFont="1" applyFill="1" applyBorder="1" applyAlignment="1">
      <alignment vertical="center"/>
    </xf>
    <xf numFmtId="0" fontId="26" fillId="0" borderId="0" xfId="0" applyFont="1" applyFill="1" applyBorder="1" applyAlignment="1">
      <alignment vertical="center"/>
    </xf>
    <xf numFmtId="179" fontId="44" fillId="0" borderId="0" xfId="0" applyNumberFormat="1" applyFont="1" applyFill="1" applyBorder="1" applyAlignment="1">
      <alignment vertical="center"/>
    </xf>
    <xf numFmtId="187" fontId="72" fillId="0" borderId="0" xfId="46" applyNumberFormat="1" applyFont="1" applyFill="1" applyBorder="1" applyAlignment="1">
      <alignment horizontal="right" vertical="center"/>
    </xf>
    <xf numFmtId="179" fontId="30" fillId="0" borderId="0" xfId="0" applyNumberFormat="1" applyFont="1" applyFill="1" applyBorder="1" applyAlignment="1">
      <alignment vertical="center"/>
    </xf>
    <xf numFmtId="181" fontId="25" fillId="0" borderId="0" xfId="0" applyNumberFormat="1" applyFont="1" applyFill="1" applyBorder="1" applyAlignment="1">
      <alignment horizontal="right" vertical="center"/>
    </xf>
    <xf numFmtId="187" fontId="44" fillId="0" borderId="0" xfId="46" applyNumberFormat="1" applyFont="1" applyFill="1" applyBorder="1" applyAlignment="1">
      <alignment vertical="center"/>
    </xf>
    <xf numFmtId="187" fontId="46" fillId="0" borderId="0" xfId="46" applyNumberFormat="1" applyFont="1" applyFill="1" applyBorder="1" applyAlignment="1">
      <alignment vertical="center"/>
    </xf>
    <xf numFmtId="37" fontId="44" fillId="0" borderId="0" xfId="0" applyNumberFormat="1" applyFont="1" applyFill="1" applyBorder="1" applyAlignment="1">
      <alignment vertical="center"/>
    </xf>
    <xf numFmtId="37" fontId="72" fillId="0" borderId="0" xfId="46" applyNumberFormat="1" applyFont="1" applyFill="1" applyBorder="1" applyAlignment="1">
      <alignment horizontal="right" vertical="center"/>
    </xf>
    <xf numFmtId="199" fontId="2" fillId="0" borderId="0" xfId="0" applyNumberFormat="1" applyFont="1" applyFill="1" applyBorder="1"/>
    <xf numFmtId="181" fontId="72" fillId="0" borderId="0" xfId="74" applyNumberFormat="1" applyFont="1" applyFill="1" applyBorder="1" applyAlignment="1">
      <alignment horizontal="right" vertical="center"/>
    </xf>
    <xf numFmtId="179" fontId="72" fillId="0" borderId="0" xfId="46" applyNumberFormat="1" applyFont="1" applyFill="1" applyBorder="1" applyAlignment="1">
      <alignment horizontal="right" vertical="center"/>
    </xf>
    <xf numFmtId="181" fontId="3" fillId="0" borderId="0" xfId="0" applyNumberFormat="1" applyFont="1" applyFill="1" applyBorder="1" applyAlignment="1">
      <alignment horizontal="right" vertical="center"/>
    </xf>
    <xf numFmtId="198" fontId="8" fillId="0" borderId="0" xfId="0" applyNumberFormat="1" applyFont="1" applyFill="1" applyBorder="1" applyAlignment="1">
      <alignment vertical="center"/>
    </xf>
    <xf numFmtId="1" fontId="3" fillId="0" borderId="0" xfId="0" applyNumberFormat="1" applyFont="1" applyFill="1" applyBorder="1"/>
    <xf numFmtId="198" fontId="33" fillId="0" borderId="0" xfId="0" applyNumberFormat="1" applyFont="1" applyFill="1" applyBorder="1" applyAlignment="1">
      <alignment vertical="center"/>
    </xf>
    <xf numFmtId="198" fontId="49" fillId="0" borderId="0" xfId="0" applyNumberFormat="1" applyFont="1" applyFill="1" applyBorder="1" applyAlignment="1">
      <alignment vertical="center"/>
    </xf>
    <xf numFmtId="9" fontId="2" fillId="0" borderId="0" xfId="74" applyFont="1" applyFill="1" applyBorder="1"/>
    <xf numFmtId="172" fontId="26" fillId="0" borderId="0" xfId="0" applyNumberFormat="1" applyFont="1" applyFill="1" applyBorder="1" applyAlignment="1">
      <alignment horizontal="right" vertical="center"/>
    </xf>
    <xf numFmtId="179" fontId="70" fillId="0" borderId="0" xfId="0" applyNumberFormat="1" applyFont="1" applyFill="1" applyBorder="1" applyAlignment="1">
      <alignment vertical="center"/>
    </xf>
    <xf numFmtId="203" fontId="3" fillId="0" borderId="0" xfId="46" applyNumberFormat="1" applyFont="1" applyFill="1" applyBorder="1"/>
    <xf numFmtId="0" fontId="22" fillId="21" borderId="16" xfId="0" applyNumberFormat="1" applyFont="1" applyFill="1" applyBorder="1" applyAlignment="1">
      <alignment horizontal="centerContinuous" vertical="center"/>
    </xf>
    <xf numFmtId="49" fontId="22" fillId="21" borderId="20" xfId="0" applyNumberFormat="1" applyFont="1" applyFill="1" applyBorder="1" applyAlignment="1">
      <alignment horizontal="centerContinuous" vertical="center"/>
    </xf>
    <xf numFmtId="49" fontId="22" fillId="21" borderId="17" xfId="0" applyNumberFormat="1" applyFont="1" applyFill="1" applyBorder="1" applyAlignment="1">
      <alignment horizontal="centerContinuous" vertical="center"/>
    </xf>
    <xf numFmtId="168" fontId="22" fillId="21" borderId="20" xfId="0" applyNumberFormat="1" applyFont="1" applyFill="1" applyBorder="1" applyAlignment="1">
      <alignment horizontal="centerContinuous" vertical="center"/>
    </xf>
    <xf numFmtId="49" fontId="22" fillId="21" borderId="16" xfId="0" applyNumberFormat="1" applyFont="1" applyFill="1" applyBorder="1" applyAlignment="1">
      <alignment horizontal="centerContinuous" vertical="center"/>
    </xf>
    <xf numFmtId="168" fontId="22" fillId="21" borderId="17" xfId="0" applyNumberFormat="1" applyFont="1" applyFill="1" applyBorder="1" applyAlignment="1">
      <alignment horizontal="centerContinuous" vertical="center"/>
    </xf>
    <xf numFmtId="165" fontId="22" fillId="21" borderId="19" xfId="0" applyNumberFormat="1" applyFont="1" applyFill="1" applyBorder="1" applyAlignment="1">
      <alignment horizontal="right" vertical="center"/>
    </xf>
    <xf numFmtId="165" fontId="22" fillId="21" borderId="13" xfId="0" applyNumberFormat="1" applyFont="1" applyFill="1" applyBorder="1" applyAlignment="1">
      <alignment horizontal="right" vertical="center"/>
    </xf>
    <xf numFmtId="165" fontId="22" fillId="21" borderId="15" xfId="0" applyNumberFormat="1" applyFont="1" applyFill="1" applyBorder="1" applyAlignment="1">
      <alignment horizontal="right" vertical="center"/>
    </xf>
    <xf numFmtId="165" fontId="3" fillId="0" borderId="17" xfId="0" applyNumberFormat="1" applyFont="1" applyBorder="1" applyAlignment="1">
      <alignment horizontal="right" vertical="center"/>
    </xf>
    <xf numFmtId="165" fontId="3" fillId="0" borderId="16" xfId="0" applyNumberFormat="1" applyFont="1" applyBorder="1" applyAlignment="1">
      <alignment horizontal="right" vertical="center"/>
    </xf>
    <xf numFmtId="165" fontId="3" fillId="0" borderId="20" xfId="0" applyNumberFormat="1" applyFont="1" applyBorder="1" applyAlignment="1">
      <alignment horizontal="right" vertical="center"/>
    </xf>
    <xf numFmtId="49" fontId="4" fillId="0" borderId="38" xfId="0" applyNumberFormat="1" applyFont="1" applyBorder="1" applyAlignment="1">
      <alignment horizontal="centerContinuous" vertical="center"/>
    </xf>
    <xf numFmtId="49" fontId="4" fillId="0" borderId="39" xfId="0" applyNumberFormat="1" applyFont="1" applyBorder="1" applyAlignment="1">
      <alignment horizontal="centerContinuous" vertical="center"/>
    </xf>
    <xf numFmtId="164" fontId="22" fillId="21" borderId="40" xfId="0" applyNumberFormat="1" applyFont="1" applyFill="1" applyBorder="1" applyAlignment="1">
      <alignment horizontal="right" vertical="center"/>
    </xf>
    <xf numFmtId="164" fontId="22" fillId="21" borderId="41" xfId="0" applyNumberFormat="1" applyFont="1" applyFill="1" applyBorder="1" applyAlignment="1">
      <alignment horizontal="right" vertical="center"/>
    </xf>
    <xf numFmtId="176" fontId="3" fillId="0" borderId="42" xfId="0" applyNumberFormat="1" applyFont="1" applyBorder="1" applyAlignment="1">
      <alignment horizontal="right" vertical="center"/>
    </xf>
    <xf numFmtId="165" fontId="22" fillId="0" borderId="0" xfId="0" applyNumberFormat="1" applyFont="1" applyFill="1" applyBorder="1" applyAlignment="1">
      <alignment horizontal="right" vertical="center"/>
    </xf>
    <xf numFmtId="165" fontId="3" fillId="0" borderId="12" xfId="0" applyNumberFormat="1" applyFont="1" applyFill="1" applyBorder="1" applyAlignment="1">
      <alignment horizontal="right" vertical="center"/>
    </xf>
    <xf numFmtId="164" fontId="22" fillId="0" borderId="0" xfId="0" applyNumberFormat="1" applyFont="1" applyFill="1" applyBorder="1" applyAlignment="1">
      <alignment horizontal="right" vertical="center"/>
    </xf>
    <xf numFmtId="176" fontId="3" fillId="0" borderId="12" xfId="0" applyNumberFormat="1" applyFont="1" applyFill="1" applyBorder="1" applyAlignment="1">
      <alignment horizontal="right" vertical="center"/>
    </xf>
    <xf numFmtId="0" fontId="26" fillId="0" borderId="0" xfId="0" applyFont="1" applyFill="1" applyAlignment="1">
      <alignment horizontal="center" vertical="center"/>
    </xf>
    <xf numFmtId="179" fontId="2" fillId="0" borderId="0" xfId="0" applyNumberFormat="1" applyFont="1" applyFill="1" applyBorder="1"/>
    <xf numFmtId="0" fontId="33" fillId="0" borderId="0" xfId="0" applyFont="1" applyFill="1" applyBorder="1" applyAlignment="1">
      <alignment vertical="center"/>
    </xf>
    <xf numFmtId="179" fontId="3" fillId="22" borderId="0" xfId="0" applyNumberFormat="1" applyFont="1" applyFill="1" applyBorder="1" applyAlignment="1">
      <alignment vertical="center"/>
    </xf>
    <xf numFmtId="179" fontId="33" fillId="23" borderId="12" xfId="0" applyNumberFormat="1" applyFont="1" applyFill="1" applyBorder="1" applyAlignment="1">
      <alignment vertical="center"/>
    </xf>
    <xf numFmtId="0" fontId="94" fillId="23" borderId="12" xfId="0" applyFont="1" applyFill="1" applyBorder="1" applyAlignment="1">
      <alignment vertical="center"/>
    </xf>
    <xf numFmtId="179" fontId="94" fillId="23" borderId="12" xfId="0" applyNumberFormat="1" applyFont="1" applyFill="1" applyBorder="1" applyAlignment="1">
      <alignment vertical="center"/>
    </xf>
    <xf numFmtId="179" fontId="95" fillId="23" borderId="12" xfId="0" applyNumberFormat="1" applyFont="1" applyFill="1" applyBorder="1" applyAlignment="1">
      <alignment vertical="center"/>
    </xf>
    <xf numFmtId="179" fontId="2" fillId="17" borderId="0" xfId="0" applyNumberFormat="1" applyFont="1" applyFill="1" applyBorder="1" applyAlignment="1">
      <alignment horizontal="right" vertical="center"/>
    </xf>
    <xf numFmtId="179" fontId="6" fillId="0" borderId="0" xfId="0" applyNumberFormat="1" applyFont="1" applyFill="1"/>
    <xf numFmtId="179" fontId="2" fillId="0" borderId="0" xfId="0" applyNumberFormat="1" applyFont="1" applyFill="1" applyBorder="1" applyAlignment="1">
      <alignment horizontal="right" vertical="center"/>
    </xf>
    <xf numFmtId="179" fontId="49" fillId="17" borderId="0" xfId="0" applyNumberFormat="1" applyFont="1" applyFill="1" applyBorder="1" applyAlignment="1">
      <alignment vertical="center"/>
    </xf>
    <xf numFmtId="179" fontId="8" fillId="17" borderId="0" xfId="0" applyNumberFormat="1" applyFont="1" applyFill="1" applyBorder="1" applyAlignment="1">
      <alignment vertical="center"/>
    </xf>
    <xf numFmtId="179" fontId="39" fillId="17" borderId="0" xfId="0" applyNumberFormat="1" applyFont="1" applyFill="1" applyBorder="1" applyAlignment="1">
      <alignment vertical="center"/>
    </xf>
    <xf numFmtId="198" fontId="3" fillId="22" borderId="0" xfId="0" applyNumberFormat="1" applyFont="1" applyFill="1" applyBorder="1" applyAlignment="1">
      <alignment vertical="center"/>
    </xf>
    <xf numFmtId="0" fontId="94" fillId="0" borderId="0" xfId="0" applyFont="1" applyFill="1" applyBorder="1" applyAlignment="1">
      <alignment vertical="center"/>
    </xf>
    <xf numFmtId="179" fontId="94" fillId="0" borderId="0" xfId="0" applyNumberFormat="1" applyFont="1" applyFill="1" applyBorder="1" applyAlignment="1">
      <alignment vertical="center"/>
    </xf>
    <xf numFmtId="179" fontId="2" fillId="17" borderId="0" xfId="0" applyNumberFormat="1" applyFont="1" applyFill="1" applyBorder="1" applyAlignment="1">
      <alignment vertical="center"/>
    </xf>
    <xf numFmtId="9" fontId="96" fillId="17" borderId="0" xfId="0" applyNumberFormat="1" applyFont="1" applyFill="1" applyBorder="1" applyAlignment="1">
      <alignment horizontal="right" vertical="center"/>
    </xf>
    <xf numFmtId="187" fontId="96" fillId="17" borderId="0" xfId="46" applyNumberFormat="1" applyFont="1" applyFill="1" applyBorder="1"/>
    <xf numFmtId="0" fontId="26" fillId="24" borderId="0" xfId="0" applyFont="1" applyFill="1" applyBorder="1" applyAlignment="1">
      <alignment vertical="center"/>
    </xf>
    <xf numFmtId="181" fontId="96" fillId="22" borderId="0" xfId="0" applyNumberFormat="1" applyFont="1" applyFill="1" applyBorder="1" applyAlignment="1">
      <alignment horizontal="right" vertical="center"/>
    </xf>
    <xf numFmtId="181" fontId="96" fillId="17" borderId="0" xfId="0" applyNumberFormat="1" applyFont="1" applyFill="1" applyBorder="1" applyAlignment="1">
      <alignment horizontal="right" vertical="center"/>
    </xf>
    <xf numFmtId="179" fontId="2" fillId="17" borderId="0" xfId="0" applyNumberFormat="1" applyFont="1" applyFill="1" applyBorder="1" applyAlignment="1">
      <alignment horizontal="left" vertical="center" indent="1"/>
    </xf>
    <xf numFmtId="179" fontId="8" fillId="17" borderId="0" xfId="0" applyNumberFormat="1" applyFont="1" applyFill="1" applyBorder="1" applyAlignment="1">
      <alignment horizontal="left" vertical="center" indent="2"/>
    </xf>
    <xf numFmtId="187" fontId="72" fillId="17" borderId="0" xfId="46" applyNumberFormat="1" applyFont="1" applyFill="1" applyBorder="1" applyAlignment="1">
      <alignment vertical="center"/>
    </xf>
    <xf numFmtId="187" fontId="72" fillId="17" borderId="0" xfId="46" applyNumberFormat="1" applyFont="1" applyFill="1" applyBorder="1"/>
    <xf numFmtId="187" fontId="8" fillId="17" borderId="0" xfId="46" applyNumberFormat="1" applyFont="1" applyFill="1" applyBorder="1" applyAlignment="1">
      <alignment vertical="center"/>
    </xf>
    <xf numFmtId="179" fontId="6" fillId="17" borderId="0" xfId="0" applyNumberFormat="1" applyFont="1" applyFill="1" applyBorder="1" applyAlignment="1">
      <alignment horizontal="left" vertical="center" indent="2"/>
    </xf>
    <xf numFmtId="181" fontId="47" fillId="17" borderId="0" xfId="0" applyNumberFormat="1" applyFont="1" applyFill="1" applyBorder="1" applyAlignment="1">
      <alignment horizontal="right" vertical="center"/>
    </xf>
    <xf numFmtId="181" fontId="81" fillId="17" borderId="0" xfId="0" applyNumberFormat="1" applyFont="1" applyFill="1" applyBorder="1" applyAlignment="1">
      <alignment horizontal="right" vertical="center"/>
    </xf>
    <xf numFmtId="187" fontId="8" fillId="17" borderId="0" xfId="46" applyNumberFormat="1" applyFont="1" applyFill="1" applyBorder="1"/>
    <xf numFmtId="179" fontId="30" fillId="17" borderId="0" xfId="0" applyNumberFormat="1" applyFont="1" applyFill="1" applyBorder="1" applyAlignment="1">
      <alignment vertical="center"/>
    </xf>
    <xf numFmtId="179" fontId="72" fillId="17" borderId="0" xfId="0" applyNumberFormat="1" applyFont="1" applyFill="1" applyBorder="1" applyAlignment="1">
      <alignment vertical="center"/>
    </xf>
    <xf numFmtId="170" fontId="3" fillId="17" borderId="0" xfId="0" applyNumberFormat="1" applyFont="1" applyFill="1" applyBorder="1" applyAlignment="1">
      <alignment horizontal="right" vertical="center"/>
    </xf>
    <xf numFmtId="170" fontId="10" fillId="17" borderId="0" xfId="0" applyNumberFormat="1" applyFont="1" applyFill="1" applyBorder="1" applyAlignment="1">
      <alignment horizontal="right" vertical="center"/>
    </xf>
    <xf numFmtId="37" fontId="3" fillId="17" borderId="0" xfId="0" applyNumberFormat="1" applyFont="1" applyFill="1" applyBorder="1" applyAlignment="1">
      <alignment vertical="center"/>
    </xf>
    <xf numFmtId="37" fontId="49" fillId="17" borderId="0" xfId="0" applyNumberFormat="1" applyFont="1" applyFill="1" applyBorder="1" applyAlignment="1">
      <alignment vertical="center"/>
    </xf>
    <xf numFmtId="199" fontId="2" fillId="17" borderId="0" xfId="0" applyNumberFormat="1" applyFont="1" applyFill="1" applyBorder="1"/>
    <xf numFmtId="181" fontId="72" fillId="17" borderId="0" xfId="74" applyNumberFormat="1" applyFont="1" applyFill="1" applyBorder="1" applyAlignment="1">
      <alignment horizontal="right" vertical="center"/>
    </xf>
    <xf numFmtId="181" fontId="3" fillId="17" borderId="0" xfId="0" applyNumberFormat="1" applyFont="1" applyFill="1" applyBorder="1" applyAlignment="1">
      <alignment horizontal="right" vertical="center"/>
    </xf>
    <xf numFmtId="198" fontId="8" fillId="17" borderId="0" xfId="0" applyNumberFormat="1" applyFont="1" applyFill="1" applyBorder="1" applyAlignment="1">
      <alignment vertical="center"/>
    </xf>
    <xf numFmtId="1" fontId="3" fillId="17" borderId="0" xfId="0" applyNumberFormat="1" applyFont="1" applyFill="1" applyBorder="1"/>
    <xf numFmtId="198" fontId="8" fillId="17" borderId="0" xfId="0" applyNumberFormat="1" applyFont="1" applyFill="1" applyBorder="1" applyAlignment="1">
      <alignment horizontal="left" vertical="center" indent="2"/>
    </xf>
    <xf numFmtId="198" fontId="72" fillId="17" borderId="0" xfId="0" applyNumberFormat="1" applyFont="1" applyFill="1" applyBorder="1" applyAlignment="1">
      <alignment horizontal="right" vertical="center"/>
    </xf>
    <xf numFmtId="198" fontId="3" fillId="17" borderId="0" xfId="0" applyNumberFormat="1" applyFont="1" applyFill="1" applyBorder="1" applyAlignment="1">
      <alignment vertical="center"/>
    </xf>
    <xf numFmtId="198" fontId="2" fillId="17" borderId="0" xfId="0" applyNumberFormat="1" applyFont="1" applyFill="1" applyBorder="1" applyAlignment="1">
      <alignment horizontal="right" vertical="center"/>
    </xf>
    <xf numFmtId="198" fontId="49" fillId="17" borderId="0" xfId="0" applyNumberFormat="1" applyFont="1" applyFill="1" applyBorder="1" applyAlignment="1">
      <alignment vertical="center"/>
    </xf>
    <xf numFmtId="187" fontId="97" fillId="22" borderId="0" xfId="46" applyNumberFormat="1" applyFont="1" applyFill="1" applyBorder="1" applyAlignment="1">
      <alignment vertical="center"/>
    </xf>
    <xf numFmtId="187" fontId="96" fillId="18" borderId="0" xfId="46" applyNumberFormat="1" applyFont="1" applyFill="1" applyBorder="1" applyAlignment="1">
      <alignment horizontal="right" vertical="center"/>
    </xf>
    <xf numFmtId="179" fontId="98" fillId="17" borderId="0" xfId="0" applyNumberFormat="1" applyFont="1" applyFill="1" applyBorder="1" applyAlignment="1">
      <alignment vertical="center"/>
    </xf>
    <xf numFmtId="37" fontId="96" fillId="18" borderId="0" xfId="46" applyNumberFormat="1" applyFont="1" applyFill="1" applyBorder="1" applyAlignment="1">
      <alignment horizontal="right" vertical="center"/>
    </xf>
    <xf numFmtId="179" fontId="96" fillId="18" borderId="0" xfId="46" applyNumberFormat="1" applyFont="1" applyFill="1" applyBorder="1" applyAlignment="1">
      <alignment horizontal="right" vertical="center"/>
    </xf>
    <xf numFmtId="181" fontId="96" fillId="18" borderId="0" xfId="74" applyNumberFormat="1" applyFont="1" applyFill="1" applyBorder="1" applyAlignment="1">
      <alignment horizontal="right" vertical="center"/>
    </xf>
    <xf numFmtId="198" fontId="96" fillId="18" borderId="0" xfId="46" applyNumberFormat="1" applyFont="1" applyFill="1" applyBorder="1" applyAlignment="1">
      <alignment horizontal="right" vertical="center"/>
    </xf>
    <xf numFmtId="198" fontId="3" fillId="22" borderId="0" xfId="0" applyNumberFormat="1" applyFont="1" applyFill="1" applyBorder="1"/>
    <xf numFmtId="198" fontId="96" fillId="17" borderId="0" xfId="0" applyNumberFormat="1" applyFont="1" applyFill="1" applyBorder="1" applyAlignment="1">
      <alignment vertical="center"/>
    </xf>
    <xf numFmtId="198" fontId="2" fillId="17" borderId="0" xfId="0" applyNumberFormat="1" applyFont="1" applyFill="1" applyBorder="1" applyAlignment="1">
      <alignment vertical="center"/>
    </xf>
    <xf numFmtId="179" fontId="96" fillId="17" borderId="0" xfId="0" applyNumberFormat="1" applyFont="1" applyFill="1" applyBorder="1" applyAlignment="1">
      <alignment vertical="center"/>
    </xf>
    <xf numFmtId="179" fontId="96" fillId="22" borderId="0" xfId="0" applyNumberFormat="1" applyFont="1" applyFill="1" applyBorder="1" applyAlignment="1">
      <alignment vertical="center"/>
    </xf>
    <xf numFmtId="37" fontId="2" fillId="17" borderId="0" xfId="0" applyNumberFormat="1" applyFont="1" applyFill="1" applyBorder="1" applyAlignment="1">
      <alignment vertical="center"/>
    </xf>
    <xf numFmtId="37" fontId="96" fillId="17" borderId="0" xfId="0" applyNumberFormat="1" applyFont="1" applyFill="1" applyBorder="1" applyAlignment="1">
      <alignment vertical="center"/>
    </xf>
    <xf numFmtId="37" fontId="3" fillId="22" borderId="0" xfId="0" applyNumberFormat="1" applyFont="1" applyFill="1" applyBorder="1" applyAlignment="1">
      <alignment vertical="center"/>
    </xf>
    <xf numFmtId="37" fontId="96" fillId="22" borderId="0" xfId="0" applyNumberFormat="1" applyFont="1" applyFill="1" applyBorder="1" applyAlignment="1">
      <alignment vertical="center"/>
    </xf>
    <xf numFmtId="199" fontId="26" fillId="24" borderId="0" xfId="0" applyNumberFormat="1" applyFont="1" applyFill="1" applyBorder="1" applyAlignment="1">
      <alignment vertical="center"/>
    </xf>
    <xf numFmtId="181" fontId="2" fillId="17" borderId="0" xfId="0" applyNumberFormat="1" applyFont="1" applyFill="1" applyBorder="1" applyAlignment="1">
      <alignment horizontal="right"/>
    </xf>
    <xf numFmtId="0" fontId="2" fillId="17" borderId="0" xfId="0" applyFont="1" applyFill="1" applyBorder="1" applyAlignment="1">
      <alignment horizontal="right"/>
    </xf>
    <xf numFmtId="199" fontId="26" fillId="0" borderId="0" xfId="0" applyNumberFormat="1" applyFont="1" applyFill="1" applyBorder="1" applyAlignment="1">
      <alignment horizontal="right" vertical="center"/>
    </xf>
    <xf numFmtId="181" fontId="3" fillId="17" borderId="0" xfId="0" applyNumberFormat="1" applyFont="1" applyFill="1" applyBorder="1" applyAlignment="1">
      <alignment horizontal="right"/>
    </xf>
    <xf numFmtId="199" fontId="26" fillId="22" borderId="0" xfId="0" applyNumberFormat="1" applyFont="1" applyFill="1" applyBorder="1" applyAlignment="1">
      <alignment horizontal="right" vertical="center"/>
    </xf>
    <xf numFmtId="179" fontId="99" fillId="17" borderId="0" xfId="0" applyNumberFormat="1" applyFont="1" applyFill="1" applyBorder="1" applyAlignment="1">
      <alignment vertical="center"/>
    </xf>
    <xf numFmtId="199" fontId="96" fillId="22" borderId="0" xfId="0" applyNumberFormat="1" applyFont="1" applyFill="1" applyBorder="1" applyAlignment="1">
      <alignment horizontal="right" vertical="center"/>
    </xf>
    <xf numFmtId="168" fontId="99" fillId="17" borderId="0" xfId="0" applyNumberFormat="1" applyFont="1" applyFill="1" applyBorder="1" applyAlignment="1">
      <alignment vertical="center"/>
    </xf>
    <xf numFmtId="0" fontId="26" fillId="23" borderId="13" xfId="0" applyFont="1" applyFill="1" applyBorder="1" applyAlignment="1">
      <alignment vertical="center"/>
    </xf>
    <xf numFmtId="9" fontId="26" fillId="23" borderId="13" xfId="0" applyNumberFormat="1" applyFont="1" applyFill="1" applyBorder="1" applyAlignment="1">
      <alignment vertical="center"/>
    </xf>
    <xf numFmtId="0" fontId="26" fillId="23" borderId="0" xfId="0" applyFont="1" applyFill="1" applyBorder="1" applyAlignment="1">
      <alignment vertical="center"/>
    </xf>
    <xf numFmtId="9" fontId="26" fillId="0" borderId="0" xfId="0" applyNumberFormat="1" applyFont="1" applyFill="1" applyBorder="1" applyAlignment="1">
      <alignment vertical="center"/>
    </xf>
    <xf numFmtId="0" fontId="0" fillId="0" borderId="0" xfId="0" applyFill="1"/>
    <xf numFmtId="0" fontId="33" fillId="19" borderId="0" xfId="0" applyFont="1" applyFill="1" applyBorder="1" applyAlignment="1">
      <alignment vertical="center"/>
    </xf>
    <xf numFmtId="179" fontId="33" fillId="19" borderId="0" xfId="0" applyNumberFormat="1" applyFont="1" applyFill="1" applyBorder="1" applyAlignment="1">
      <alignment vertical="center"/>
    </xf>
    <xf numFmtId="179" fontId="45" fillId="0" borderId="0" xfId="0" applyNumberFormat="1" applyFont="1" applyFill="1" applyBorder="1" applyAlignment="1">
      <alignment vertical="center"/>
    </xf>
    <xf numFmtId="168" fontId="6" fillId="0" borderId="0" xfId="0" applyNumberFormat="1" applyFont="1" applyFill="1" applyBorder="1" applyAlignment="1">
      <alignment vertical="center"/>
    </xf>
    <xf numFmtId="0" fontId="0" fillId="0" borderId="0" xfId="0" applyBorder="1"/>
    <xf numFmtId="179" fontId="33" fillId="17" borderId="0" xfId="0" applyNumberFormat="1" applyFont="1" applyFill="1" applyBorder="1" applyAlignment="1">
      <alignment vertical="center"/>
    </xf>
    <xf numFmtId="9" fontId="2" fillId="0" borderId="0" xfId="0" applyNumberFormat="1" applyFont="1" applyFill="1" applyBorder="1" applyAlignment="1">
      <alignment horizontal="right" vertical="center"/>
    </xf>
    <xf numFmtId="181" fontId="2" fillId="0" borderId="0" xfId="0" applyNumberFormat="1" applyFont="1" applyFill="1" applyBorder="1"/>
    <xf numFmtId="0" fontId="2" fillId="0" borderId="0" xfId="0" applyFont="1" applyFill="1" applyBorder="1" applyAlignment="1">
      <alignment horizontal="left" vertical="center" indent="1"/>
    </xf>
    <xf numFmtId="168" fontId="26" fillId="0" borderId="0" xfId="0" applyNumberFormat="1" applyFont="1" applyFill="1" applyBorder="1" applyAlignment="1">
      <alignment vertical="center"/>
    </xf>
    <xf numFmtId="198" fontId="6" fillId="0" borderId="0" xfId="0" applyNumberFormat="1" applyFont="1" applyFill="1" applyBorder="1" applyAlignment="1">
      <alignment vertical="center"/>
    </xf>
    <xf numFmtId="170" fontId="23" fillId="0" borderId="0" xfId="0" applyNumberFormat="1" applyFont="1" applyFill="1" applyBorder="1" applyAlignment="1">
      <alignment horizontal="right" vertical="center"/>
    </xf>
    <xf numFmtId="179" fontId="6" fillId="0" borderId="0" xfId="0" applyNumberFormat="1" applyFont="1" applyFill="1" applyBorder="1" applyAlignment="1">
      <alignment vertical="center"/>
    </xf>
    <xf numFmtId="172" fontId="6" fillId="0" borderId="0" xfId="0" applyNumberFormat="1" applyFont="1" applyFill="1" applyBorder="1" applyAlignment="1">
      <alignment vertical="center"/>
    </xf>
    <xf numFmtId="179" fontId="24" fillId="0" borderId="0" xfId="0" applyNumberFormat="1" applyFont="1" applyFill="1" applyBorder="1" applyAlignment="1">
      <alignment vertical="center"/>
    </xf>
    <xf numFmtId="0" fontId="73" fillId="0" borderId="0" xfId="0" applyFont="1" applyFill="1" applyBorder="1"/>
    <xf numFmtId="0" fontId="3" fillId="0" borderId="0" xfId="0" applyFont="1" applyFill="1" applyBorder="1" applyAlignment="1">
      <alignment vertical="center"/>
    </xf>
    <xf numFmtId="0" fontId="23" fillId="0" borderId="0" xfId="0" applyFont="1" applyFill="1" applyBorder="1"/>
    <xf numFmtId="0" fontId="23" fillId="0" borderId="0" xfId="0" applyFont="1" applyFill="1" applyBorder="1" applyAlignment="1">
      <alignment vertical="center"/>
    </xf>
    <xf numFmtId="179" fontId="23" fillId="0" borderId="0" xfId="0" applyNumberFormat="1" applyFont="1" applyFill="1" applyBorder="1" applyAlignment="1">
      <alignment vertical="center"/>
    </xf>
    <xf numFmtId="179" fontId="10" fillId="0" borderId="0" xfId="0" applyNumberFormat="1" applyFont="1" applyFill="1" applyBorder="1" applyAlignment="1">
      <alignment vertical="center"/>
    </xf>
    <xf numFmtId="0" fontId="10" fillId="0" borderId="0" xfId="0" applyFont="1" applyFill="1" applyBorder="1"/>
    <xf numFmtId="0" fontId="23" fillId="0" borderId="0" xfId="0" applyFont="1" applyFill="1" applyBorder="1" applyAlignment="1">
      <alignment horizontal="left" vertical="center" indent="1"/>
    </xf>
    <xf numFmtId="170" fontId="23" fillId="0" borderId="0" xfId="0" applyNumberFormat="1" applyFont="1" applyFill="1" applyBorder="1" applyAlignment="1">
      <alignment vertical="center"/>
    </xf>
    <xf numFmtId="7" fontId="33" fillId="0" borderId="0" xfId="0" applyNumberFormat="1" applyFont="1" applyFill="1" applyBorder="1" applyAlignment="1">
      <alignment horizontal="right" vertical="center"/>
    </xf>
    <xf numFmtId="0" fontId="33" fillId="0" borderId="0" xfId="0" applyFont="1" applyFill="1" applyBorder="1" applyAlignment="1">
      <alignment horizontal="left" vertical="center" indent="1"/>
    </xf>
    <xf numFmtId="7" fontId="26" fillId="0" borderId="0" xfId="0" applyNumberFormat="1" applyFont="1" applyFill="1" applyBorder="1" applyAlignment="1">
      <alignment horizontal="right" vertical="center"/>
    </xf>
    <xf numFmtId="8" fontId="2" fillId="0" borderId="0" xfId="0" applyNumberFormat="1" applyFont="1" applyFill="1" applyBorder="1"/>
    <xf numFmtId="181" fontId="2" fillId="0" borderId="0" xfId="0" applyNumberFormat="1" applyFont="1" applyFill="1" applyBorder="1" applyAlignment="1">
      <alignment vertical="center"/>
    </xf>
    <xf numFmtId="0" fontId="8" fillId="0" borderId="0" xfId="0" applyFont="1" applyFill="1" applyBorder="1"/>
    <xf numFmtId="168" fontId="8" fillId="0" borderId="0" xfId="0" applyNumberFormat="1" applyFont="1" applyFill="1" applyBorder="1" applyAlignment="1">
      <alignment vertical="center"/>
    </xf>
    <xf numFmtId="179" fontId="3" fillId="0" borderId="0" xfId="0" applyNumberFormat="1" applyFont="1" applyFill="1" applyBorder="1" applyAlignment="1">
      <alignment vertical="center"/>
    </xf>
    <xf numFmtId="171" fontId="3" fillId="0" borderId="0" xfId="0" applyNumberFormat="1" applyFont="1" applyFill="1" applyBorder="1"/>
    <xf numFmtId="9" fontId="3" fillId="0" borderId="0" xfId="0" applyNumberFormat="1" applyFont="1" applyFill="1" applyBorder="1" applyAlignment="1">
      <alignment horizontal="right" vertical="center"/>
    </xf>
    <xf numFmtId="179" fontId="8" fillId="0" borderId="0" xfId="0" applyNumberFormat="1" applyFont="1" applyFill="1" applyBorder="1" applyAlignment="1">
      <alignment vertical="center"/>
    </xf>
    <xf numFmtId="0" fontId="8" fillId="0" borderId="0" xfId="0" applyFont="1" applyFill="1" applyBorder="1" applyAlignment="1">
      <alignment vertical="center"/>
    </xf>
    <xf numFmtId="179" fontId="3" fillId="0" borderId="0" xfId="0" applyNumberFormat="1" applyFont="1" applyFill="1" applyBorder="1"/>
    <xf numFmtId="179" fontId="6" fillId="0" borderId="0" xfId="0" applyNumberFormat="1" applyFont="1" applyFill="1" applyBorder="1" applyAlignment="1">
      <alignment horizontal="right" vertical="center"/>
    </xf>
    <xf numFmtId="179" fontId="99" fillId="0" borderId="0" xfId="0" applyNumberFormat="1" applyFont="1" applyFill="1" applyBorder="1" applyAlignment="1">
      <alignment vertical="center"/>
    </xf>
    <xf numFmtId="168" fontId="96" fillId="0" borderId="0" xfId="0" applyNumberFormat="1" applyFont="1" applyFill="1" applyBorder="1" applyAlignment="1">
      <alignment vertical="center"/>
    </xf>
    <xf numFmtId="179" fontId="96" fillId="0" borderId="0" xfId="0" applyNumberFormat="1" applyFont="1" applyFill="1" applyBorder="1" applyAlignment="1">
      <alignment vertical="center"/>
    </xf>
    <xf numFmtId="179" fontId="99" fillId="22" borderId="0" xfId="0" applyNumberFormat="1" applyFont="1" applyFill="1" applyBorder="1" applyAlignment="1">
      <alignment vertical="center"/>
    </xf>
    <xf numFmtId="179" fontId="2" fillId="22" borderId="0" xfId="0" applyNumberFormat="1" applyFont="1" applyFill="1" applyBorder="1" applyAlignment="1">
      <alignment vertical="center"/>
    </xf>
    <xf numFmtId="170" fontId="99" fillId="0" borderId="0" xfId="0" applyNumberFormat="1" applyFont="1" applyFill="1" applyBorder="1" applyAlignment="1">
      <alignment vertical="center"/>
    </xf>
    <xf numFmtId="170" fontId="99" fillId="22" borderId="0" xfId="0" applyNumberFormat="1" applyFont="1" applyFill="1" applyBorder="1" applyAlignment="1">
      <alignment vertical="center"/>
    </xf>
    <xf numFmtId="170" fontId="2" fillId="22" borderId="0" xfId="0" applyNumberFormat="1" applyFont="1" applyFill="1" applyBorder="1" applyAlignment="1">
      <alignment vertical="center"/>
    </xf>
    <xf numFmtId="179" fontId="98" fillId="22" borderId="0" xfId="0" applyNumberFormat="1" applyFont="1" applyFill="1" applyBorder="1" applyAlignment="1">
      <alignment vertical="center"/>
    </xf>
    <xf numFmtId="0" fontId="26" fillId="17" borderId="43" xfId="0" applyFont="1" applyFill="1" applyBorder="1" applyAlignment="1">
      <alignment vertical="center"/>
    </xf>
    <xf numFmtId="0" fontId="0" fillId="0" borderId="43" xfId="0" applyBorder="1"/>
    <xf numFmtId="0" fontId="2" fillId="17" borderId="43" xfId="0" applyFont="1" applyFill="1" applyBorder="1" applyAlignment="1">
      <alignment horizontal="left" vertical="center" indent="1"/>
    </xf>
    <xf numFmtId="170" fontId="2" fillId="17" borderId="44" xfId="0" applyNumberFormat="1" applyFont="1" applyFill="1" applyBorder="1" applyAlignment="1">
      <alignment horizontal="right" vertical="center"/>
    </xf>
    <xf numFmtId="0" fontId="2" fillId="17" borderId="43" xfId="0" applyFont="1" applyFill="1" applyBorder="1" applyAlignment="1">
      <alignment vertical="center"/>
    </xf>
    <xf numFmtId="170" fontId="2" fillId="17" borderId="18" xfId="0" applyNumberFormat="1" applyFont="1" applyFill="1" applyBorder="1" applyAlignment="1">
      <alignment horizontal="right" vertical="center"/>
    </xf>
    <xf numFmtId="0" fontId="2" fillId="17" borderId="18" xfId="0" applyFont="1" applyFill="1" applyBorder="1" applyAlignment="1">
      <alignment vertical="center"/>
    </xf>
    <xf numFmtId="170" fontId="2" fillId="17" borderId="43" xfId="0" applyNumberFormat="1" applyFont="1" applyFill="1" applyBorder="1" applyAlignment="1">
      <alignment horizontal="right" vertical="center"/>
    </xf>
    <xf numFmtId="0" fontId="94" fillId="23" borderId="16" xfId="0" applyFont="1" applyFill="1" applyBorder="1" applyAlignment="1">
      <alignment vertical="center"/>
    </xf>
    <xf numFmtId="0" fontId="94" fillId="23" borderId="20" xfId="0" applyFont="1" applyFill="1" applyBorder="1" applyAlignment="1">
      <alignment vertical="center"/>
    </xf>
    <xf numFmtId="0" fontId="94" fillId="23" borderId="17" xfId="0" applyFont="1" applyFill="1" applyBorder="1" applyAlignment="1">
      <alignment vertical="center"/>
    </xf>
    <xf numFmtId="0" fontId="94" fillId="0" borderId="18" xfId="0" applyFont="1" applyFill="1" applyBorder="1" applyAlignment="1">
      <alignment vertical="center"/>
    </xf>
    <xf numFmtId="0" fontId="94" fillId="0" borderId="3" xfId="0" applyFont="1" applyFill="1" applyBorder="1" applyAlignment="1">
      <alignment vertical="center"/>
    </xf>
    <xf numFmtId="0" fontId="33" fillId="0" borderId="18" xfId="0" applyFont="1" applyFill="1" applyBorder="1" applyAlignment="1">
      <alignment vertical="center"/>
    </xf>
    <xf numFmtId="179" fontId="96" fillId="22" borderId="3" xfId="0" applyNumberFormat="1" applyFont="1" applyFill="1" applyBorder="1" applyAlignment="1">
      <alignment vertical="center"/>
    </xf>
    <xf numFmtId="0" fontId="6" fillId="0" borderId="18" xfId="0" applyFont="1" applyFill="1" applyBorder="1" applyAlignment="1">
      <alignment horizontal="left" vertical="center" indent="1"/>
    </xf>
    <xf numFmtId="179" fontId="99" fillId="22" borderId="3" xfId="0" applyNumberFormat="1" applyFont="1" applyFill="1" applyBorder="1" applyAlignment="1">
      <alignment vertical="center"/>
    </xf>
    <xf numFmtId="179" fontId="2" fillId="22" borderId="3" xfId="0" applyNumberFormat="1" applyFont="1" applyFill="1" applyBorder="1" applyAlignment="1">
      <alignment vertical="center"/>
    </xf>
    <xf numFmtId="179" fontId="45" fillId="0" borderId="3" xfId="0" applyNumberFormat="1" applyFont="1" applyFill="1" applyBorder="1" applyAlignment="1">
      <alignment vertical="center"/>
    </xf>
    <xf numFmtId="0" fontId="8" fillId="0" borderId="18" xfId="0" applyFont="1" applyFill="1" applyBorder="1" applyAlignment="1">
      <alignment vertical="center"/>
    </xf>
    <xf numFmtId="168" fontId="8" fillId="0" borderId="3" xfId="0" applyNumberFormat="1" applyFont="1" applyFill="1" applyBorder="1" applyAlignment="1">
      <alignment vertical="center"/>
    </xf>
    <xf numFmtId="179" fontId="6" fillId="0" borderId="18" xfId="0" applyNumberFormat="1" applyFont="1" applyFill="1" applyBorder="1" applyAlignment="1">
      <alignment horizontal="right" vertical="center"/>
    </xf>
    <xf numFmtId="179" fontId="6" fillId="0" borderId="3" xfId="0" applyNumberFormat="1" applyFont="1" applyFill="1" applyBorder="1" applyAlignment="1">
      <alignment vertical="center"/>
    </xf>
    <xf numFmtId="166" fontId="2" fillId="0" borderId="3" xfId="0" applyNumberFormat="1" applyFont="1" applyFill="1" applyBorder="1" applyAlignment="1">
      <alignment vertical="center"/>
    </xf>
    <xf numFmtId="0" fontId="6" fillId="0" borderId="18" xfId="0" applyFont="1" applyFill="1" applyBorder="1" applyAlignment="1">
      <alignment horizontal="left" vertical="center"/>
    </xf>
    <xf numFmtId="179" fontId="2" fillId="0" borderId="3" xfId="0" applyNumberFormat="1" applyFont="1" applyFill="1" applyBorder="1" applyAlignment="1">
      <alignment vertical="center"/>
    </xf>
    <xf numFmtId="168" fontId="8" fillId="0" borderId="18" xfId="0" applyNumberFormat="1" applyFont="1" applyFill="1" applyBorder="1" applyAlignment="1">
      <alignment vertical="center"/>
    </xf>
    <xf numFmtId="179" fontId="3" fillId="0" borderId="3" xfId="0" applyNumberFormat="1" applyFont="1" applyFill="1" applyBorder="1" applyAlignment="1">
      <alignment vertical="center"/>
    </xf>
    <xf numFmtId="168" fontId="6" fillId="0" borderId="18" xfId="0" applyNumberFormat="1" applyFont="1" applyFill="1" applyBorder="1" applyAlignment="1">
      <alignment vertical="center"/>
    </xf>
    <xf numFmtId="0" fontId="6" fillId="0" borderId="18" xfId="0" applyFont="1" applyFill="1" applyBorder="1" applyAlignment="1">
      <alignment vertical="center"/>
    </xf>
    <xf numFmtId="168" fontId="33" fillId="0" borderId="18" xfId="0" applyNumberFormat="1" applyFont="1" applyFill="1" applyBorder="1" applyAlignment="1">
      <alignment vertical="center"/>
    </xf>
    <xf numFmtId="179" fontId="33" fillId="0" borderId="3" xfId="0" applyNumberFormat="1" applyFont="1" applyFill="1" applyBorder="1" applyAlignment="1">
      <alignment vertical="center"/>
    </xf>
    <xf numFmtId="170" fontId="6" fillId="0" borderId="3" xfId="0" applyNumberFormat="1" applyFont="1" applyFill="1" applyBorder="1" applyAlignment="1">
      <alignment horizontal="right" vertical="center"/>
    </xf>
    <xf numFmtId="179" fontId="70" fillId="0" borderId="3" xfId="0" applyNumberFormat="1" applyFont="1" applyFill="1" applyBorder="1" applyAlignment="1">
      <alignment vertical="center"/>
    </xf>
    <xf numFmtId="0" fontId="2" fillId="0" borderId="18" xfId="0" applyFont="1" applyFill="1" applyBorder="1" applyAlignment="1">
      <alignment horizontal="left" vertical="center"/>
    </xf>
    <xf numFmtId="179" fontId="30" fillId="0" borderId="3" xfId="0" applyNumberFormat="1" applyFont="1" applyFill="1" applyBorder="1" applyAlignment="1">
      <alignment vertical="center"/>
    </xf>
    <xf numFmtId="168" fontId="26" fillId="0" borderId="18" xfId="0" applyNumberFormat="1" applyFont="1" applyFill="1" applyBorder="1" applyAlignment="1">
      <alignment vertical="center"/>
    </xf>
    <xf numFmtId="179" fontId="26" fillId="0" borderId="3" xfId="0" applyNumberFormat="1" applyFont="1" applyFill="1" applyBorder="1" applyAlignment="1">
      <alignment vertical="center"/>
    </xf>
    <xf numFmtId="0" fontId="3" fillId="0" borderId="18" xfId="0" applyFont="1" applyFill="1" applyBorder="1" applyAlignment="1">
      <alignment vertical="center"/>
    </xf>
    <xf numFmtId="0" fontId="23" fillId="0" borderId="18" xfId="0" applyFont="1" applyFill="1" applyBorder="1" applyAlignment="1">
      <alignment vertical="center"/>
    </xf>
    <xf numFmtId="179" fontId="10" fillId="0" borderId="3" xfId="0" applyNumberFormat="1" applyFont="1" applyFill="1" applyBorder="1" applyAlignment="1">
      <alignment vertical="center"/>
    </xf>
    <xf numFmtId="0" fontId="23" fillId="0" borderId="18" xfId="0" applyFont="1" applyFill="1" applyBorder="1" applyAlignment="1">
      <alignment horizontal="left" vertical="center" indent="1"/>
    </xf>
    <xf numFmtId="170" fontId="99" fillId="22" borderId="3" xfId="0" applyNumberFormat="1" applyFont="1" applyFill="1" applyBorder="1" applyAlignment="1">
      <alignment vertical="center"/>
    </xf>
    <xf numFmtId="170" fontId="2" fillId="22" borderId="3" xfId="0" applyNumberFormat="1" applyFont="1" applyFill="1" applyBorder="1" applyAlignment="1">
      <alignment vertical="center"/>
    </xf>
    <xf numFmtId="179" fontId="24" fillId="0" borderId="3" xfId="0" applyNumberFormat="1" applyFont="1" applyFill="1" applyBorder="1" applyAlignment="1">
      <alignment vertical="center"/>
    </xf>
    <xf numFmtId="0" fontId="33" fillId="0" borderId="18" xfId="0" applyFont="1" applyFill="1" applyBorder="1" applyAlignment="1">
      <alignment horizontal="left" vertical="center"/>
    </xf>
    <xf numFmtId="7" fontId="33" fillId="0" borderId="3" xfId="0" applyNumberFormat="1" applyFont="1" applyFill="1" applyBorder="1" applyAlignment="1">
      <alignment horizontal="right" vertical="center"/>
    </xf>
    <xf numFmtId="7" fontId="26" fillId="0" borderId="3" xfId="0" applyNumberFormat="1" applyFont="1" applyFill="1" applyBorder="1" applyAlignment="1">
      <alignment horizontal="right" vertical="center"/>
    </xf>
    <xf numFmtId="0" fontId="2" fillId="17" borderId="3" xfId="0" applyFont="1" applyFill="1" applyBorder="1" applyAlignment="1">
      <alignment vertical="center"/>
    </xf>
    <xf numFmtId="0" fontId="2" fillId="17" borderId="19" xfId="0" applyFont="1" applyFill="1" applyBorder="1" applyAlignment="1">
      <alignment vertical="center"/>
    </xf>
    <xf numFmtId="0" fontId="2" fillId="17" borderId="13" xfId="0" applyFont="1" applyFill="1" applyBorder="1" applyAlignment="1">
      <alignment vertical="center"/>
    </xf>
    <xf numFmtId="9" fontId="2" fillId="17" borderId="13" xfId="0" applyNumberFormat="1" applyFont="1" applyFill="1" applyBorder="1" applyAlignment="1">
      <alignment vertical="center"/>
    </xf>
    <xf numFmtId="0" fontId="2" fillId="17" borderId="15" xfId="0" applyFont="1" applyFill="1" applyBorder="1" applyAlignment="1">
      <alignment vertical="center"/>
    </xf>
    <xf numFmtId="0" fontId="2" fillId="17" borderId="21" xfId="0" applyFont="1" applyFill="1" applyBorder="1" applyAlignment="1">
      <alignment vertical="center"/>
    </xf>
    <xf numFmtId="0" fontId="2" fillId="17" borderId="12" xfId="0" applyFont="1" applyFill="1" applyBorder="1" applyAlignment="1">
      <alignment vertical="center"/>
    </xf>
    <xf numFmtId="179" fontId="96" fillId="22" borderId="18" xfId="0" applyNumberFormat="1" applyFont="1" applyFill="1" applyBorder="1" applyAlignment="1">
      <alignment vertical="center"/>
    </xf>
    <xf numFmtId="179" fontId="99" fillId="22" borderId="18" xfId="0" applyNumberFormat="1" applyFont="1" applyFill="1" applyBorder="1" applyAlignment="1">
      <alignment vertical="center"/>
    </xf>
    <xf numFmtId="179" fontId="2" fillId="22" borderId="18" xfId="0" applyNumberFormat="1" applyFont="1" applyFill="1" applyBorder="1" applyAlignment="1">
      <alignment vertical="center"/>
    </xf>
    <xf numFmtId="179" fontId="45" fillId="0" borderId="18" xfId="0" applyNumberFormat="1" applyFont="1" applyFill="1" applyBorder="1" applyAlignment="1">
      <alignment vertical="center"/>
    </xf>
    <xf numFmtId="179" fontId="6" fillId="0" borderId="18" xfId="0" applyNumberFormat="1" applyFont="1" applyFill="1" applyBorder="1" applyAlignment="1">
      <alignment vertical="center"/>
    </xf>
    <xf numFmtId="166" fontId="2" fillId="0" borderId="18" xfId="0" applyNumberFormat="1" applyFont="1" applyFill="1" applyBorder="1" applyAlignment="1">
      <alignment vertical="center"/>
    </xf>
    <xf numFmtId="179" fontId="2" fillId="0" borderId="18" xfId="0" applyNumberFormat="1" applyFont="1" applyFill="1" applyBorder="1" applyAlignment="1">
      <alignment vertical="center"/>
    </xf>
    <xf numFmtId="179" fontId="3" fillId="0" borderId="18" xfId="0" applyNumberFormat="1" applyFont="1" applyFill="1" applyBorder="1" applyAlignment="1">
      <alignment vertical="center"/>
    </xf>
    <xf numFmtId="179" fontId="33" fillId="0" borderId="18" xfId="0" applyNumberFormat="1" applyFont="1" applyFill="1" applyBorder="1" applyAlignment="1">
      <alignment vertical="center"/>
    </xf>
    <xf numFmtId="170" fontId="6" fillId="0" borderId="18" xfId="0" applyNumberFormat="1" applyFont="1" applyFill="1" applyBorder="1" applyAlignment="1">
      <alignment horizontal="right" vertical="center"/>
    </xf>
    <xf numFmtId="179" fontId="70" fillId="0" borderId="18" xfId="0" applyNumberFormat="1" applyFont="1" applyFill="1" applyBorder="1" applyAlignment="1">
      <alignment vertical="center"/>
    </xf>
    <xf numFmtId="179" fontId="30" fillId="0" borderId="18" xfId="0" applyNumberFormat="1" applyFont="1" applyFill="1" applyBorder="1" applyAlignment="1">
      <alignment vertical="center"/>
    </xf>
    <xf numFmtId="179" fontId="26" fillId="0" borderId="18" xfId="0" applyNumberFormat="1" applyFont="1" applyFill="1" applyBorder="1" applyAlignment="1">
      <alignment vertical="center"/>
    </xf>
    <xf numFmtId="179" fontId="10" fillId="0" borderId="18" xfId="0" applyNumberFormat="1" applyFont="1" applyFill="1" applyBorder="1" applyAlignment="1">
      <alignment vertical="center"/>
    </xf>
    <xf numFmtId="170" fontId="99" fillId="22" borderId="18" xfId="0" applyNumberFormat="1" applyFont="1" applyFill="1" applyBorder="1" applyAlignment="1">
      <alignment vertical="center"/>
    </xf>
    <xf numFmtId="170" fontId="2" fillId="22" borderId="18" xfId="0" applyNumberFormat="1" applyFont="1" applyFill="1" applyBorder="1" applyAlignment="1">
      <alignment vertical="center"/>
    </xf>
    <xf numFmtId="179" fontId="24" fillId="0" borderId="18" xfId="0" applyNumberFormat="1" applyFont="1" applyFill="1" applyBorder="1" applyAlignment="1">
      <alignment vertical="center"/>
    </xf>
    <xf numFmtId="7" fontId="33" fillId="0" borderId="18" xfId="0" applyNumberFormat="1" applyFont="1" applyFill="1" applyBorder="1" applyAlignment="1">
      <alignment horizontal="right" vertical="center"/>
    </xf>
    <xf numFmtId="7" fontId="26" fillId="0" borderId="18" xfId="0" applyNumberFormat="1" applyFont="1" applyFill="1" applyBorder="1" applyAlignment="1">
      <alignment horizontal="right" vertical="center"/>
    </xf>
    <xf numFmtId="179" fontId="96" fillId="0" borderId="18" xfId="0" applyNumberFormat="1" applyFont="1" applyFill="1" applyBorder="1" applyAlignment="1">
      <alignment vertical="center"/>
    </xf>
    <xf numFmtId="179" fontId="99" fillId="0" borderId="18" xfId="0" applyNumberFormat="1" applyFont="1" applyFill="1" applyBorder="1" applyAlignment="1">
      <alignment vertical="center"/>
    </xf>
    <xf numFmtId="170" fontId="99" fillId="0" borderId="18" xfId="0" applyNumberFormat="1" applyFont="1" applyFill="1" applyBorder="1" applyAlignment="1">
      <alignment vertical="center"/>
    </xf>
    <xf numFmtId="170" fontId="23" fillId="0" borderId="18" xfId="0" applyNumberFormat="1" applyFont="1" applyFill="1" applyBorder="1" applyAlignment="1">
      <alignment horizontal="right" vertical="center"/>
    </xf>
    <xf numFmtId="179" fontId="23" fillId="0" borderId="18" xfId="0" applyNumberFormat="1" applyFont="1" applyFill="1" applyBorder="1" applyAlignment="1">
      <alignment vertical="center"/>
    </xf>
    <xf numFmtId="179" fontId="96" fillId="0" borderId="3" xfId="0" applyNumberFormat="1" applyFont="1" applyFill="1" applyBorder="1" applyAlignment="1">
      <alignment vertical="center"/>
    </xf>
    <xf numFmtId="179" fontId="99" fillId="0" borderId="3" xfId="0" applyNumberFormat="1" applyFont="1" applyFill="1" applyBorder="1" applyAlignment="1">
      <alignment vertical="center"/>
    </xf>
    <xf numFmtId="170" fontId="99" fillId="0" borderId="3" xfId="0" applyNumberFormat="1" applyFont="1" applyFill="1" applyBorder="1" applyAlignment="1">
      <alignment vertical="center"/>
    </xf>
    <xf numFmtId="170" fontId="23" fillId="0" borderId="3" xfId="0" applyNumberFormat="1" applyFont="1" applyFill="1" applyBorder="1" applyAlignment="1">
      <alignment horizontal="right" vertical="center"/>
    </xf>
    <xf numFmtId="179" fontId="23" fillId="0" borderId="3" xfId="0" applyNumberFormat="1" applyFont="1" applyFill="1" applyBorder="1" applyAlignment="1">
      <alignment vertical="center"/>
    </xf>
    <xf numFmtId="0" fontId="2" fillId="25" borderId="0" xfId="0" applyFont="1" applyFill="1"/>
    <xf numFmtId="0" fontId="94" fillId="23" borderId="45" xfId="0" applyFont="1" applyFill="1" applyBorder="1" applyAlignment="1">
      <alignment vertical="center"/>
    </xf>
    <xf numFmtId="0" fontId="94" fillId="23" borderId="46" xfId="0" applyFont="1" applyFill="1" applyBorder="1" applyAlignment="1">
      <alignment vertical="center"/>
    </xf>
    <xf numFmtId="198" fontId="94" fillId="23" borderId="46" xfId="0" applyNumberFormat="1" applyFont="1" applyFill="1" applyBorder="1" applyAlignment="1">
      <alignment vertical="center"/>
    </xf>
    <xf numFmtId="0" fontId="94" fillId="23" borderId="47" xfId="0" applyFont="1" applyFill="1" applyBorder="1" applyAlignment="1">
      <alignment vertical="center"/>
    </xf>
    <xf numFmtId="0" fontId="3" fillId="17" borderId="43" xfId="0" applyFont="1" applyFill="1" applyBorder="1" applyAlignment="1">
      <alignment vertical="center"/>
    </xf>
    <xf numFmtId="0" fontId="26" fillId="17" borderId="44" xfId="0" applyFont="1" applyFill="1" applyBorder="1" applyAlignment="1">
      <alignment vertical="center"/>
    </xf>
    <xf numFmtId="0" fontId="3" fillId="26" borderId="43" xfId="0" applyFont="1" applyFill="1" applyBorder="1" applyAlignment="1">
      <alignment vertical="center"/>
    </xf>
    <xf numFmtId="0" fontId="3" fillId="26" borderId="0" xfId="0" applyFont="1" applyFill="1" applyBorder="1" applyAlignment="1">
      <alignment vertical="center"/>
    </xf>
    <xf numFmtId="0" fontId="2" fillId="26" borderId="0" xfId="0" applyFont="1" applyFill="1" applyBorder="1"/>
    <xf numFmtId="179" fontId="2" fillId="26" borderId="0" xfId="0" applyNumberFormat="1" applyFont="1" applyFill="1" applyBorder="1"/>
    <xf numFmtId="198" fontId="3" fillId="26" borderId="0" xfId="0" applyNumberFormat="1" applyFont="1" applyFill="1" applyBorder="1" applyAlignment="1">
      <alignment vertical="center"/>
    </xf>
    <xf numFmtId="0" fontId="2" fillId="26" borderId="44" xfId="0" applyFont="1" applyFill="1" applyBorder="1"/>
    <xf numFmtId="179" fontId="2" fillId="0" borderId="44" xfId="0" applyNumberFormat="1" applyFont="1" applyFill="1" applyBorder="1" applyAlignment="1">
      <alignment vertical="center"/>
    </xf>
    <xf numFmtId="0" fontId="36" fillId="17" borderId="43" xfId="0" applyFont="1" applyFill="1" applyBorder="1" applyAlignment="1">
      <alignment vertical="center"/>
    </xf>
    <xf numFmtId="0" fontId="36" fillId="17" borderId="0" xfId="0" applyFont="1" applyFill="1" applyBorder="1" applyAlignment="1">
      <alignment vertical="center"/>
    </xf>
    <xf numFmtId="179" fontId="34" fillId="17" borderId="0" xfId="0" applyNumberFormat="1" applyFont="1" applyFill="1" applyBorder="1" applyAlignment="1">
      <alignment vertical="center"/>
    </xf>
    <xf numFmtId="179" fontId="36" fillId="0" borderId="0" xfId="0" applyNumberFormat="1" applyFont="1" applyFill="1" applyBorder="1" applyAlignment="1">
      <alignment vertical="center"/>
    </xf>
    <xf numFmtId="0" fontId="21" fillId="17" borderId="43" xfId="0" applyFont="1" applyFill="1" applyBorder="1" applyAlignment="1">
      <alignment vertical="center"/>
    </xf>
    <xf numFmtId="0" fontId="21" fillId="17" borderId="0" xfId="0" applyFont="1" applyFill="1" applyBorder="1" applyAlignment="1">
      <alignment vertical="center"/>
    </xf>
    <xf numFmtId="179" fontId="21" fillId="17" borderId="0" xfId="0" applyNumberFormat="1" applyFont="1" applyFill="1" applyBorder="1" applyAlignment="1">
      <alignment horizontal="right" vertical="center"/>
    </xf>
    <xf numFmtId="198" fontId="21" fillId="17" borderId="0" xfId="0" applyNumberFormat="1" applyFont="1" applyFill="1" applyBorder="1" applyAlignment="1">
      <alignment horizontal="right" vertical="center"/>
    </xf>
    <xf numFmtId="198" fontId="21" fillId="17" borderId="44" xfId="0" applyNumberFormat="1" applyFont="1" applyFill="1" applyBorder="1" applyAlignment="1">
      <alignment horizontal="right" vertical="center"/>
    </xf>
    <xf numFmtId="0" fontId="2" fillId="17" borderId="44" xfId="0" applyFont="1" applyFill="1" applyBorder="1"/>
    <xf numFmtId="181" fontId="6" fillId="0" borderId="0" xfId="74" applyNumberFormat="1" applyFont="1" applyFill="1" applyBorder="1" applyAlignment="1">
      <alignment horizontal="right" vertical="center"/>
    </xf>
    <xf numFmtId="170" fontId="10" fillId="0" borderId="0" xfId="0" applyNumberFormat="1" applyFont="1" applyFill="1" applyBorder="1" applyAlignment="1">
      <alignment horizontal="right" vertical="center"/>
    </xf>
    <xf numFmtId="181" fontId="10" fillId="0" borderId="0" xfId="0" applyNumberFormat="1" applyFont="1" applyFill="1" applyBorder="1" applyAlignment="1">
      <alignment horizontal="right" vertical="center"/>
    </xf>
    <xf numFmtId="181" fontId="10" fillId="17" borderId="0" xfId="0" applyNumberFormat="1" applyFont="1" applyFill="1" applyBorder="1" applyAlignment="1">
      <alignment horizontal="right" vertical="center"/>
    </xf>
    <xf numFmtId="168" fontId="2" fillId="17" borderId="0" xfId="0" applyNumberFormat="1" applyFont="1" applyFill="1" applyBorder="1" applyAlignment="1">
      <alignment horizontal="right" vertical="center"/>
    </xf>
    <xf numFmtId="0" fontId="2" fillId="17" borderId="48" xfId="0" applyFont="1" applyFill="1" applyBorder="1" applyAlignment="1">
      <alignment vertical="center"/>
    </xf>
    <xf numFmtId="0" fontId="2" fillId="17" borderId="40" xfId="0" applyFont="1" applyFill="1" applyBorder="1" applyAlignment="1">
      <alignment vertical="center"/>
    </xf>
    <xf numFmtId="168" fontId="2" fillId="17" borderId="40" xfId="0" applyNumberFormat="1" applyFont="1" applyFill="1" applyBorder="1" applyAlignment="1">
      <alignment horizontal="right" vertical="center"/>
    </xf>
    <xf numFmtId="170" fontId="2" fillId="17" borderId="40" xfId="0" applyNumberFormat="1" applyFont="1" applyFill="1" applyBorder="1" applyAlignment="1">
      <alignment horizontal="right" vertical="center"/>
    </xf>
    <xf numFmtId="170" fontId="21" fillId="17" borderId="40" xfId="0" applyNumberFormat="1" applyFont="1" applyFill="1" applyBorder="1" applyAlignment="1">
      <alignment horizontal="right" vertical="center"/>
    </xf>
    <xf numFmtId="168" fontId="2" fillId="17" borderId="49" xfId="0" applyNumberFormat="1" applyFont="1" applyFill="1" applyBorder="1" applyAlignment="1">
      <alignment horizontal="right" vertical="center"/>
    </xf>
    <xf numFmtId="179" fontId="26" fillId="0" borderId="44" xfId="0" applyNumberFormat="1" applyFont="1" applyFill="1" applyBorder="1" applyAlignment="1">
      <alignment vertical="center"/>
    </xf>
    <xf numFmtId="179" fontId="26" fillId="17" borderId="44" xfId="0" applyNumberFormat="1" applyFont="1" applyFill="1" applyBorder="1" applyAlignment="1">
      <alignment vertical="center"/>
    </xf>
    <xf numFmtId="179" fontId="8" fillId="17" borderId="44" xfId="0" applyNumberFormat="1" applyFont="1" applyFill="1" applyBorder="1" applyAlignment="1">
      <alignment vertical="center"/>
    </xf>
    <xf numFmtId="0" fontId="3" fillId="0" borderId="43" xfId="0" applyFont="1" applyFill="1" applyBorder="1" applyAlignment="1">
      <alignment vertical="center"/>
    </xf>
    <xf numFmtId="198" fontId="3" fillId="0" borderId="0" xfId="0" applyNumberFormat="1" applyFont="1" applyFill="1" applyBorder="1" applyAlignment="1">
      <alignment vertical="center"/>
    </xf>
    <xf numFmtId="0" fontId="2" fillId="0" borderId="44" xfId="0" applyFont="1" applyFill="1" applyBorder="1"/>
    <xf numFmtId="198" fontId="26" fillId="23" borderId="0" xfId="0" applyNumberFormat="1" applyFont="1" applyFill="1" applyBorder="1" applyAlignment="1">
      <alignment vertical="center"/>
    </xf>
    <xf numFmtId="43" fontId="6" fillId="17" borderId="0" xfId="46" applyFont="1" applyFill="1" applyBorder="1" applyAlignment="1">
      <alignment vertical="center"/>
    </xf>
    <xf numFmtId="0" fontId="26" fillId="17" borderId="0" xfId="0" applyFont="1" applyFill="1" applyBorder="1"/>
    <xf numFmtId="198" fontId="6" fillId="17" borderId="0" xfId="0" applyNumberFormat="1" applyFont="1" applyFill="1" applyBorder="1" applyAlignment="1">
      <alignment vertical="center"/>
    </xf>
    <xf numFmtId="43" fontId="6" fillId="17" borderId="0" xfId="46" applyFont="1" applyFill="1" applyBorder="1" applyAlignment="1">
      <alignment horizontal="right" vertical="center"/>
    </xf>
    <xf numFmtId="168" fontId="21" fillId="17" borderId="0" xfId="0" applyNumberFormat="1" applyFont="1" applyFill="1" applyBorder="1" applyAlignment="1">
      <alignment horizontal="right" vertical="center"/>
    </xf>
    <xf numFmtId="179" fontId="36" fillId="17" borderId="0" xfId="0" applyNumberFormat="1" applyFont="1" applyFill="1" applyBorder="1" applyAlignment="1">
      <alignment vertical="center"/>
    </xf>
    <xf numFmtId="179" fontId="77" fillId="0" borderId="0" xfId="0" applyNumberFormat="1" applyFont="1" applyBorder="1"/>
    <xf numFmtId="198" fontId="36" fillId="17" borderId="0" xfId="0" applyNumberFormat="1" applyFont="1" applyFill="1" applyBorder="1" applyAlignment="1">
      <alignment vertical="center"/>
    </xf>
    <xf numFmtId="198" fontId="36" fillId="0" borderId="0" xfId="0" applyNumberFormat="1" applyFont="1" applyFill="1" applyBorder="1" applyAlignment="1">
      <alignment vertical="center"/>
    </xf>
    <xf numFmtId="179" fontId="2" fillId="17" borderId="44" xfId="0" applyNumberFormat="1" applyFont="1" applyFill="1" applyBorder="1" applyAlignment="1">
      <alignment vertical="center"/>
    </xf>
    <xf numFmtId="179" fontId="2" fillId="22" borderId="44" xfId="0" applyNumberFormat="1" applyFont="1" applyFill="1" applyBorder="1" applyAlignment="1">
      <alignment vertical="center"/>
    </xf>
    <xf numFmtId="179" fontId="6" fillId="17" borderId="3" xfId="0" applyNumberFormat="1" applyFont="1" applyFill="1" applyBorder="1" applyAlignment="1">
      <alignment vertical="center"/>
    </xf>
    <xf numFmtId="179" fontId="6" fillId="22" borderId="0" xfId="0" applyNumberFormat="1" applyFont="1" applyFill="1" applyBorder="1" applyAlignment="1">
      <alignment vertical="center"/>
    </xf>
    <xf numFmtId="179" fontId="6" fillId="22" borderId="3" xfId="0" applyNumberFormat="1" applyFont="1" applyFill="1" applyBorder="1" applyAlignment="1">
      <alignment vertical="center"/>
    </xf>
    <xf numFmtId="179" fontId="2" fillId="22" borderId="0" xfId="0" applyNumberFormat="1" applyFont="1" applyFill="1" applyBorder="1" applyAlignment="1">
      <alignment horizontal="right" vertical="center"/>
    </xf>
    <xf numFmtId="181" fontId="2" fillId="22" borderId="0" xfId="0" applyNumberFormat="1" applyFont="1" applyFill="1" applyBorder="1" applyAlignment="1">
      <alignment horizontal="right" vertical="center"/>
    </xf>
    <xf numFmtId="181" fontId="2" fillId="22" borderId="44" xfId="0" applyNumberFormat="1" applyFont="1" applyFill="1" applyBorder="1" applyAlignment="1">
      <alignment horizontal="right" vertical="center"/>
    </xf>
    <xf numFmtId="179" fontId="99" fillId="22" borderId="0" xfId="0" applyNumberFormat="1" applyFont="1" applyFill="1" applyBorder="1" applyAlignment="1">
      <alignment horizontal="right" vertical="center"/>
    </xf>
    <xf numFmtId="179" fontId="99" fillId="0" borderId="0" xfId="0" applyNumberFormat="1" applyFont="1" applyFill="1" applyBorder="1" applyAlignment="1">
      <alignment horizontal="right" vertical="center"/>
    </xf>
    <xf numFmtId="179" fontId="99" fillId="17" borderId="0" xfId="0" applyNumberFormat="1" applyFont="1" applyFill="1" applyBorder="1" applyAlignment="1">
      <alignment horizontal="right" vertical="center"/>
    </xf>
    <xf numFmtId="0" fontId="26" fillId="23" borderId="38" xfId="0" applyFont="1" applyFill="1" applyBorder="1" applyAlignment="1">
      <alignment vertical="center"/>
    </xf>
    <xf numFmtId="0" fontId="26" fillId="23" borderId="39" xfId="0" applyFont="1" applyFill="1" applyBorder="1" applyAlignment="1">
      <alignment vertical="center"/>
    </xf>
    <xf numFmtId="198" fontId="26" fillId="23" borderId="39" xfId="0" applyNumberFormat="1" applyFont="1" applyFill="1" applyBorder="1" applyAlignment="1">
      <alignment vertical="center"/>
    </xf>
    <xf numFmtId="0" fontId="2" fillId="26" borderId="43" xfId="0" applyFont="1" applyFill="1" applyBorder="1"/>
    <xf numFmtId="0" fontId="2" fillId="0" borderId="43" xfId="0" applyFont="1" applyFill="1" applyBorder="1"/>
    <xf numFmtId="179" fontId="6" fillId="17" borderId="43" xfId="0" applyNumberFormat="1" applyFont="1" applyFill="1" applyBorder="1" applyAlignment="1">
      <alignment vertical="center"/>
    </xf>
    <xf numFmtId="179" fontId="6" fillId="17" borderId="43" xfId="0" applyNumberFormat="1" applyFont="1" applyFill="1" applyBorder="1" applyAlignment="1">
      <alignment horizontal="right" vertical="center"/>
    </xf>
    <xf numFmtId="43" fontId="6" fillId="17" borderId="43" xfId="46" applyFont="1" applyFill="1" applyBorder="1" applyAlignment="1">
      <alignment vertical="center"/>
    </xf>
    <xf numFmtId="179" fontId="8" fillId="17" borderId="43" xfId="0" applyNumberFormat="1" applyFont="1" applyFill="1" applyBorder="1" applyAlignment="1">
      <alignment vertical="center"/>
    </xf>
    <xf numFmtId="43" fontId="6" fillId="17" borderId="43" xfId="46" applyFont="1" applyFill="1" applyBorder="1" applyAlignment="1">
      <alignment horizontal="right" vertical="center"/>
    </xf>
    <xf numFmtId="168" fontId="21" fillId="17" borderId="43" xfId="0" applyNumberFormat="1" applyFont="1" applyFill="1" applyBorder="1" applyAlignment="1">
      <alignment horizontal="right" vertical="center"/>
    </xf>
    <xf numFmtId="0" fontId="2" fillId="17" borderId="43" xfId="0" applyFont="1" applyFill="1" applyBorder="1"/>
    <xf numFmtId="168" fontId="2" fillId="17" borderId="43" xfId="0" applyNumberFormat="1" applyFont="1" applyFill="1" applyBorder="1" applyAlignment="1">
      <alignment horizontal="right" vertical="center"/>
    </xf>
    <xf numFmtId="168" fontId="2" fillId="17" borderId="48" xfId="0" applyNumberFormat="1" applyFont="1" applyFill="1" applyBorder="1" applyAlignment="1">
      <alignment horizontal="right" vertical="center"/>
    </xf>
    <xf numFmtId="198" fontId="2" fillId="0" borderId="0" xfId="0" applyNumberFormat="1" applyFont="1" applyFill="1" applyBorder="1" applyAlignment="1">
      <alignment vertical="center"/>
    </xf>
    <xf numFmtId="200" fontId="2" fillId="0" borderId="0" xfId="0" applyNumberFormat="1" applyFont="1" applyFill="1" applyBorder="1" applyAlignment="1">
      <alignment vertical="center"/>
    </xf>
    <xf numFmtId="170" fontId="2" fillId="17" borderId="0" xfId="0" applyNumberFormat="1" applyFont="1" applyFill="1" applyBorder="1"/>
    <xf numFmtId="0" fontId="28" fillId="17" borderId="0" xfId="0" applyFont="1" applyFill="1" applyBorder="1" applyAlignment="1">
      <alignment horizontal="left" vertical="center" indent="1"/>
    </xf>
    <xf numFmtId="182" fontId="2" fillId="17" borderId="0" xfId="0" applyNumberFormat="1" applyFont="1" applyFill="1" applyBorder="1" applyAlignment="1">
      <alignment horizontal="right" vertical="center"/>
    </xf>
    <xf numFmtId="0" fontId="26" fillId="17" borderId="3" xfId="0" applyFont="1" applyFill="1" applyBorder="1" applyAlignment="1">
      <alignment vertical="center"/>
    </xf>
    <xf numFmtId="0" fontId="2" fillId="26" borderId="3" xfId="0" applyFont="1" applyFill="1" applyBorder="1"/>
    <xf numFmtId="0" fontId="36" fillId="17" borderId="3" xfId="0" applyFont="1" applyFill="1" applyBorder="1" applyAlignment="1">
      <alignment vertical="center"/>
    </xf>
    <xf numFmtId="179" fontId="2" fillId="17" borderId="3" xfId="0" applyNumberFormat="1" applyFont="1" applyFill="1" applyBorder="1" applyAlignment="1">
      <alignment horizontal="right" vertical="center"/>
    </xf>
    <xf numFmtId="179" fontId="2" fillId="17" borderId="3" xfId="0" applyNumberFormat="1" applyFont="1" applyFill="1" applyBorder="1" applyAlignment="1">
      <alignment vertical="center"/>
    </xf>
    <xf numFmtId="179" fontId="26" fillId="17" borderId="3" xfId="0" applyNumberFormat="1" applyFont="1" applyFill="1" applyBorder="1" applyAlignment="1">
      <alignment vertical="center"/>
    </xf>
    <xf numFmtId="179" fontId="36" fillId="0" borderId="3" xfId="0" applyNumberFormat="1" applyFont="1" applyFill="1" applyBorder="1" applyAlignment="1">
      <alignment vertical="center"/>
    </xf>
    <xf numFmtId="179" fontId="2" fillId="22" borderId="3" xfId="0" applyNumberFormat="1" applyFont="1" applyFill="1" applyBorder="1" applyAlignment="1">
      <alignment horizontal="right" vertical="center"/>
    </xf>
    <xf numFmtId="179" fontId="99" fillId="22" borderId="3" xfId="0" applyNumberFormat="1" applyFont="1" applyFill="1" applyBorder="1" applyAlignment="1">
      <alignment horizontal="right" vertical="center"/>
    </xf>
    <xf numFmtId="179" fontId="21" fillId="17" borderId="3" xfId="0" applyNumberFormat="1" applyFont="1" applyFill="1" applyBorder="1" applyAlignment="1">
      <alignment horizontal="right" vertical="center"/>
    </xf>
    <xf numFmtId="0" fontId="2" fillId="17" borderId="3" xfId="0" applyFont="1" applyFill="1" applyBorder="1"/>
    <xf numFmtId="170" fontId="2" fillId="17" borderId="3" xfId="0" applyNumberFormat="1" applyFont="1" applyFill="1" applyBorder="1" applyAlignment="1">
      <alignment horizontal="right" vertical="center"/>
    </xf>
    <xf numFmtId="170" fontId="3" fillId="17" borderId="3" xfId="0" applyNumberFormat="1" applyFont="1" applyFill="1" applyBorder="1" applyAlignment="1">
      <alignment horizontal="right" vertical="center"/>
    </xf>
    <xf numFmtId="0" fontId="26" fillId="17" borderId="18" xfId="0" applyFont="1" applyFill="1" applyBorder="1" applyAlignment="1">
      <alignment vertical="center"/>
    </xf>
    <xf numFmtId="0" fontId="2" fillId="26" borderId="18" xfId="0" applyFont="1" applyFill="1" applyBorder="1"/>
    <xf numFmtId="0" fontId="36" fillId="17" borderId="18" xfId="0" applyFont="1" applyFill="1" applyBorder="1" applyAlignment="1">
      <alignment vertical="center"/>
    </xf>
    <xf numFmtId="179" fontId="2" fillId="17" borderId="18" xfId="0" applyNumberFormat="1" applyFont="1" applyFill="1" applyBorder="1" applyAlignment="1">
      <alignment horizontal="right" vertical="center"/>
    </xf>
    <xf numFmtId="179" fontId="2" fillId="17" borderId="18" xfId="0" applyNumberFormat="1" applyFont="1" applyFill="1" applyBorder="1" applyAlignment="1">
      <alignment vertical="center"/>
    </xf>
    <xf numFmtId="179" fontId="26" fillId="17" borderId="18" xfId="0" applyNumberFormat="1" applyFont="1" applyFill="1" applyBorder="1" applyAlignment="1">
      <alignment vertical="center"/>
    </xf>
    <xf numFmtId="179" fontId="36" fillId="0" borderId="18" xfId="0" applyNumberFormat="1" applyFont="1" applyFill="1" applyBorder="1" applyAlignment="1">
      <alignment vertical="center"/>
    </xf>
    <xf numFmtId="179" fontId="2" fillId="22" borderId="18" xfId="0" applyNumberFormat="1" applyFont="1" applyFill="1" applyBorder="1" applyAlignment="1">
      <alignment horizontal="right" vertical="center"/>
    </xf>
    <xf numFmtId="179" fontId="99" fillId="22" borderId="18" xfId="0" applyNumberFormat="1" applyFont="1" applyFill="1" applyBorder="1" applyAlignment="1">
      <alignment horizontal="right" vertical="center"/>
    </xf>
    <xf numFmtId="179" fontId="6" fillId="17" borderId="18" xfId="0" applyNumberFormat="1" applyFont="1" applyFill="1" applyBorder="1" applyAlignment="1">
      <alignment vertical="center"/>
    </xf>
    <xf numFmtId="179" fontId="21" fillId="17" borderId="18" xfId="0" applyNumberFormat="1" applyFont="1" applyFill="1" applyBorder="1" applyAlignment="1">
      <alignment horizontal="right" vertical="center"/>
    </xf>
    <xf numFmtId="0" fontId="2" fillId="17" borderId="18" xfId="0" applyFont="1" applyFill="1" applyBorder="1"/>
    <xf numFmtId="170" fontId="3" fillId="17" borderId="18" xfId="0" applyNumberFormat="1" applyFont="1" applyFill="1" applyBorder="1" applyAlignment="1">
      <alignment horizontal="right" vertical="center"/>
    </xf>
    <xf numFmtId="179" fontId="2" fillId="0" borderId="43" xfId="0" applyNumberFormat="1" applyFont="1" applyFill="1" applyBorder="1" applyAlignment="1">
      <alignment horizontal="right" vertical="center"/>
    </xf>
    <xf numFmtId="179" fontId="2" fillId="17" borderId="43" xfId="0" applyNumberFormat="1" applyFont="1" applyFill="1" applyBorder="1" applyAlignment="1">
      <alignment horizontal="right" vertical="center"/>
    </xf>
    <xf numFmtId="179" fontId="2" fillId="17" borderId="44" xfId="0" applyNumberFormat="1" applyFont="1" applyFill="1" applyBorder="1" applyAlignment="1">
      <alignment horizontal="right" vertical="center"/>
    </xf>
    <xf numFmtId="179" fontId="99" fillId="17" borderId="43" xfId="0" applyNumberFormat="1" applyFont="1" applyFill="1" applyBorder="1" applyAlignment="1">
      <alignment vertical="center"/>
    </xf>
    <xf numFmtId="179" fontId="2" fillId="17" borderId="43" xfId="0" applyNumberFormat="1" applyFont="1" applyFill="1" applyBorder="1" applyAlignment="1">
      <alignment vertical="center"/>
    </xf>
    <xf numFmtId="179" fontId="26" fillId="17" borderId="43" xfId="0" applyNumberFormat="1" applyFont="1" applyFill="1" applyBorder="1" applyAlignment="1">
      <alignment vertical="center"/>
    </xf>
    <xf numFmtId="179" fontId="2" fillId="0" borderId="43" xfId="0" applyNumberFormat="1" applyFont="1" applyFill="1" applyBorder="1" applyAlignment="1">
      <alignment vertical="center"/>
    </xf>
    <xf numFmtId="179" fontId="36" fillId="0" borderId="43" xfId="0" applyNumberFormat="1" applyFont="1" applyFill="1" applyBorder="1" applyAlignment="1">
      <alignment vertical="center"/>
    </xf>
    <xf numFmtId="179" fontId="99" fillId="17" borderId="43" xfId="0" applyNumberFormat="1" applyFont="1" applyFill="1" applyBorder="1" applyAlignment="1">
      <alignment horizontal="right" vertical="center"/>
    </xf>
    <xf numFmtId="179" fontId="26" fillId="0" borderId="43" xfId="0" applyNumberFormat="1" applyFont="1" applyFill="1" applyBorder="1" applyAlignment="1">
      <alignment vertical="center"/>
    </xf>
    <xf numFmtId="179" fontId="21" fillId="17" borderId="43" xfId="0" applyNumberFormat="1" applyFont="1" applyFill="1" applyBorder="1" applyAlignment="1">
      <alignment horizontal="right" vertical="center"/>
    </xf>
    <xf numFmtId="179" fontId="2" fillId="17" borderId="44" xfId="0" applyNumberFormat="1" applyFont="1" applyFill="1" applyBorder="1"/>
    <xf numFmtId="170" fontId="3" fillId="17" borderId="43" xfId="0" applyNumberFormat="1" applyFont="1" applyFill="1" applyBorder="1" applyAlignment="1">
      <alignment horizontal="right" vertical="center"/>
    </xf>
    <xf numFmtId="198" fontId="94" fillId="23" borderId="20" xfId="0" applyNumberFormat="1" applyFont="1" applyFill="1" applyBorder="1" applyAlignment="1">
      <alignment vertical="center"/>
    </xf>
    <xf numFmtId="0" fontId="94" fillId="23" borderId="50" xfId="0" applyFont="1" applyFill="1" applyBorder="1" applyAlignment="1">
      <alignment vertical="center"/>
    </xf>
    <xf numFmtId="0" fontId="3" fillId="26" borderId="18" xfId="0" applyFont="1" applyFill="1" applyBorder="1" applyAlignment="1">
      <alignment vertical="center"/>
    </xf>
    <xf numFmtId="0" fontId="2" fillId="17" borderId="18" xfId="0" applyFont="1" applyFill="1" applyBorder="1" applyAlignment="1">
      <alignment horizontal="left" vertical="center"/>
    </xf>
    <xf numFmtId="0" fontId="21" fillId="17" borderId="18" xfId="0" applyFont="1" applyFill="1" applyBorder="1" applyAlignment="1">
      <alignment vertical="center"/>
    </xf>
    <xf numFmtId="0" fontId="2" fillId="17" borderId="18" xfId="0" applyFont="1" applyFill="1" applyBorder="1" applyAlignment="1">
      <alignment horizontal="left" vertical="center" indent="1"/>
    </xf>
    <xf numFmtId="0" fontId="2" fillId="17" borderId="51" xfId="0" applyFont="1" applyFill="1" applyBorder="1" applyAlignment="1">
      <alignment vertical="center"/>
    </xf>
    <xf numFmtId="0" fontId="94" fillId="23" borderId="52" xfId="0" applyFont="1" applyFill="1" applyBorder="1" applyAlignment="1">
      <alignment vertical="center"/>
    </xf>
    <xf numFmtId="0" fontId="2" fillId="0" borderId="18" xfId="0" applyFont="1" applyFill="1" applyBorder="1"/>
    <xf numFmtId="179" fontId="6" fillId="22" borderId="18" xfId="0" applyNumberFormat="1" applyFont="1" applyFill="1" applyBorder="1" applyAlignment="1">
      <alignment vertical="center"/>
    </xf>
    <xf numFmtId="179" fontId="8" fillId="17" borderId="18" xfId="0" applyNumberFormat="1" applyFont="1" applyFill="1" applyBorder="1" applyAlignment="1">
      <alignment vertical="center"/>
    </xf>
    <xf numFmtId="198" fontId="21" fillId="17" borderId="18" xfId="0" applyNumberFormat="1" applyFont="1" applyFill="1" applyBorder="1" applyAlignment="1">
      <alignment horizontal="right" vertical="center"/>
    </xf>
    <xf numFmtId="181" fontId="2" fillId="22" borderId="18" xfId="0" applyNumberFormat="1" applyFont="1" applyFill="1" applyBorder="1" applyAlignment="1">
      <alignment horizontal="right" vertical="center"/>
    </xf>
    <xf numFmtId="168" fontId="2" fillId="17" borderId="41" xfId="0" applyNumberFormat="1" applyFont="1" applyFill="1" applyBorder="1" applyAlignment="1">
      <alignment horizontal="right" vertical="center"/>
    </xf>
    <xf numFmtId="179" fontId="33" fillId="17" borderId="43" xfId="0" applyNumberFormat="1" applyFont="1" applyFill="1" applyBorder="1" applyAlignment="1">
      <alignment vertical="center"/>
    </xf>
    <xf numFmtId="198" fontId="21" fillId="17" borderId="43" xfId="0" applyNumberFormat="1" applyFont="1" applyFill="1" applyBorder="1" applyAlignment="1">
      <alignment horizontal="right" vertical="center"/>
    </xf>
    <xf numFmtId="179" fontId="6" fillId="0" borderId="43" xfId="0" applyNumberFormat="1" applyFont="1" applyFill="1" applyBorder="1" applyAlignment="1">
      <alignment horizontal="right" vertical="center"/>
    </xf>
    <xf numFmtId="181" fontId="10" fillId="0" borderId="43" xfId="0" applyNumberFormat="1" applyFont="1" applyFill="1" applyBorder="1" applyAlignment="1">
      <alignment horizontal="right" vertical="center"/>
    </xf>
    <xf numFmtId="181" fontId="10" fillId="17" borderId="43" xfId="0" applyNumberFormat="1" applyFont="1" applyFill="1" applyBorder="1" applyAlignment="1">
      <alignment horizontal="right" vertical="center"/>
    </xf>
    <xf numFmtId="0" fontId="10" fillId="17" borderId="43" xfId="0" applyFont="1" applyFill="1" applyBorder="1" applyAlignment="1">
      <alignment horizontal="left" vertical="center" indent="1"/>
    </xf>
    <xf numFmtId="0" fontId="28" fillId="17" borderId="43" xfId="0" applyFont="1" applyFill="1" applyBorder="1" applyAlignment="1">
      <alignment horizontal="left" vertical="center" indent="1"/>
    </xf>
    <xf numFmtId="0" fontId="33" fillId="19" borderId="43" xfId="0" applyFont="1" applyFill="1" applyBorder="1" applyAlignment="1">
      <alignment vertical="center"/>
    </xf>
    <xf numFmtId="179" fontId="33" fillId="19" borderId="44" xfId="0" applyNumberFormat="1" applyFont="1" applyFill="1" applyBorder="1" applyAlignment="1">
      <alignment vertical="center"/>
    </xf>
    <xf numFmtId="0" fontId="33" fillId="0" borderId="43" xfId="0" applyFont="1" applyFill="1" applyBorder="1" applyAlignment="1">
      <alignment vertical="center"/>
    </xf>
    <xf numFmtId="179" fontId="33" fillId="0" borderId="44" xfId="0" applyNumberFormat="1" applyFont="1" applyFill="1" applyBorder="1" applyAlignment="1">
      <alignment vertical="center"/>
    </xf>
    <xf numFmtId="0" fontId="2" fillId="17" borderId="40" xfId="0" applyFont="1" applyFill="1" applyBorder="1"/>
    <xf numFmtId="179" fontId="3" fillId="17" borderId="43" xfId="0" applyNumberFormat="1" applyFont="1" applyFill="1" applyBorder="1" applyAlignment="1">
      <alignment vertical="center"/>
    </xf>
    <xf numFmtId="170" fontId="10" fillId="17" borderId="43" xfId="0" applyNumberFormat="1" applyFont="1" applyFill="1" applyBorder="1" applyAlignment="1">
      <alignment horizontal="right" vertical="center"/>
    </xf>
    <xf numFmtId="179" fontId="33" fillId="19" borderId="43" xfId="0" applyNumberFormat="1" applyFont="1" applyFill="1" applyBorder="1" applyAlignment="1">
      <alignment vertical="center"/>
    </xf>
    <xf numFmtId="179" fontId="33" fillId="0" borderId="43" xfId="0" applyNumberFormat="1" applyFont="1" applyFill="1" applyBorder="1" applyAlignment="1">
      <alignment vertical="center"/>
    </xf>
    <xf numFmtId="179" fontId="2" fillId="17" borderId="43" xfId="0" applyNumberFormat="1" applyFont="1" applyFill="1" applyBorder="1"/>
    <xf numFmtId="179" fontId="3" fillId="17" borderId="44" xfId="0" applyNumberFormat="1" applyFont="1" applyFill="1" applyBorder="1" applyAlignment="1">
      <alignment vertical="center"/>
    </xf>
    <xf numFmtId="170" fontId="10" fillId="17" borderId="44" xfId="0" applyNumberFormat="1" applyFont="1" applyFill="1" applyBorder="1" applyAlignment="1">
      <alignment horizontal="right" vertical="center"/>
    </xf>
    <xf numFmtId="179" fontId="3" fillId="22" borderId="44" xfId="0" applyNumberFormat="1" applyFont="1" applyFill="1" applyBorder="1" applyAlignment="1">
      <alignment vertical="center"/>
    </xf>
    <xf numFmtId="170" fontId="96" fillId="22" borderId="44" xfId="0" applyNumberFormat="1" applyFont="1" applyFill="1" applyBorder="1" applyAlignment="1">
      <alignment horizontal="right" vertical="center"/>
    </xf>
    <xf numFmtId="170" fontId="96" fillId="22" borderId="0" xfId="0" applyNumberFormat="1" applyFont="1" applyFill="1" applyBorder="1" applyAlignment="1">
      <alignment horizontal="right" vertical="center"/>
    </xf>
    <xf numFmtId="198" fontId="99" fillId="17" borderId="0" xfId="0" applyNumberFormat="1" applyFont="1" applyFill="1" applyBorder="1"/>
    <xf numFmtId="198" fontId="99" fillId="17" borderId="43" xfId="0" applyNumberFormat="1" applyFont="1" applyFill="1" applyBorder="1"/>
    <xf numFmtId="198" fontId="99" fillId="17" borderId="44" xfId="0" applyNumberFormat="1" applyFont="1" applyFill="1" applyBorder="1"/>
    <xf numFmtId="198" fontId="97" fillId="22" borderId="44" xfId="0" applyNumberFormat="1" applyFont="1" applyFill="1" applyBorder="1"/>
    <xf numFmtId="198" fontId="97" fillId="22" borderId="0" xfId="0" applyNumberFormat="1" applyFont="1" applyFill="1" applyBorder="1"/>
    <xf numFmtId="0" fontId="26" fillId="23" borderId="18" xfId="0" applyFont="1" applyFill="1" applyBorder="1" applyAlignment="1">
      <alignment vertical="center"/>
    </xf>
    <xf numFmtId="179" fontId="10" fillId="17" borderId="18" xfId="0" applyNumberFormat="1" applyFont="1" applyFill="1" applyBorder="1" applyAlignment="1">
      <alignment vertical="center"/>
    </xf>
    <xf numFmtId="170" fontId="10" fillId="17" borderId="3" xfId="0" applyNumberFormat="1" applyFont="1" applyFill="1" applyBorder="1" applyAlignment="1">
      <alignment horizontal="right" vertical="center"/>
    </xf>
    <xf numFmtId="170" fontId="2" fillId="17" borderId="18" xfId="0" applyNumberFormat="1" applyFont="1" applyFill="1" applyBorder="1"/>
    <xf numFmtId="170" fontId="2" fillId="17" borderId="3" xfId="0" applyNumberFormat="1" applyFont="1" applyFill="1" applyBorder="1"/>
    <xf numFmtId="179" fontId="8" fillId="17" borderId="3" xfId="0" applyNumberFormat="1" applyFont="1" applyFill="1" applyBorder="1" applyAlignment="1">
      <alignment vertical="center"/>
    </xf>
    <xf numFmtId="179" fontId="33" fillId="19" borderId="18" xfId="0" applyNumberFormat="1" applyFont="1" applyFill="1" applyBorder="1" applyAlignment="1">
      <alignment vertical="center"/>
    </xf>
    <xf numFmtId="179" fontId="33" fillId="19" borderId="3" xfId="0" applyNumberFormat="1" applyFont="1" applyFill="1" applyBorder="1" applyAlignment="1">
      <alignment vertical="center"/>
    </xf>
    <xf numFmtId="179" fontId="2" fillId="17" borderId="3" xfId="0" applyNumberFormat="1" applyFont="1" applyFill="1" applyBorder="1"/>
    <xf numFmtId="170" fontId="2" fillId="17" borderId="19" xfId="0" applyNumberFormat="1" applyFont="1" applyFill="1" applyBorder="1"/>
    <xf numFmtId="170" fontId="2" fillId="17" borderId="13" xfId="0" applyNumberFormat="1" applyFont="1" applyFill="1" applyBorder="1"/>
    <xf numFmtId="170" fontId="2" fillId="17" borderId="15" xfId="0" applyNumberFormat="1" applyFont="1" applyFill="1" applyBorder="1"/>
    <xf numFmtId="182" fontId="2" fillId="17" borderId="43" xfId="0" applyNumberFormat="1" applyFont="1" applyFill="1" applyBorder="1" applyAlignment="1">
      <alignment horizontal="right" vertical="center"/>
    </xf>
    <xf numFmtId="182" fontId="2" fillId="17" borderId="44" xfId="0" applyNumberFormat="1" applyFont="1" applyFill="1" applyBorder="1" applyAlignment="1">
      <alignment horizontal="right" vertical="center"/>
    </xf>
    <xf numFmtId="182" fontId="97" fillId="22" borderId="44" xfId="0" applyNumberFormat="1" applyFont="1" applyFill="1" applyBorder="1" applyAlignment="1">
      <alignment horizontal="right" vertical="center"/>
    </xf>
    <xf numFmtId="182" fontId="97" fillId="22" borderId="0" xfId="0" applyNumberFormat="1" applyFont="1" applyFill="1" applyBorder="1" applyAlignment="1">
      <alignment horizontal="right" vertical="center"/>
    </xf>
    <xf numFmtId="0" fontId="2" fillId="17" borderId="48" xfId="0" applyFont="1" applyFill="1" applyBorder="1"/>
    <xf numFmtId="198" fontId="2" fillId="17" borderId="40" xfId="0" applyNumberFormat="1" applyFont="1" applyFill="1" applyBorder="1"/>
    <xf numFmtId="0" fontId="2" fillId="17" borderId="49" xfId="0" applyFont="1" applyFill="1" applyBorder="1"/>
    <xf numFmtId="198" fontId="26" fillId="17" borderId="18" xfId="0" applyNumberFormat="1" applyFont="1" applyFill="1" applyBorder="1" applyAlignment="1">
      <alignment vertical="center"/>
    </xf>
    <xf numFmtId="179" fontId="3" fillId="17" borderId="18" xfId="0" applyNumberFormat="1" applyFont="1" applyFill="1" applyBorder="1" applyAlignment="1">
      <alignment vertical="center"/>
    </xf>
    <xf numFmtId="179" fontId="34" fillId="17" borderId="43" xfId="0" applyNumberFormat="1" applyFont="1" applyFill="1" applyBorder="1" applyAlignment="1">
      <alignment vertical="center"/>
    </xf>
    <xf numFmtId="0" fontId="26" fillId="17" borderId="19" xfId="0" applyFont="1" applyFill="1" applyBorder="1" applyAlignment="1">
      <alignment vertical="center"/>
    </xf>
    <xf numFmtId="168" fontId="96" fillId="0" borderId="18" xfId="0" applyNumberFormat="1" applyFont="1" applyFill="1" applyBorder="1" applyAlignment="1">
      <alignment vertical="center"/>
    </xf>
    <xf numFmtId="168" fontId="96" fillId="0" borderId="3" xfId="0" applyNumberFormat="1" applyFont="1" applyFill="1" applyBorder="1" applyAlignment="1">
      <alignment vertical="center"/>
    </xf>
    <xf numFmtId="168" fontId="33" fillId="0" borderId="3" xfId="0" applyNumberFormat="1" applyFont="1" applyFill="1" applyBorder="1" applyAlignment="1">
      <alignment vertical="center"/>
    </xf>
    <xf numFmtId="168" fontId="6" fillId="0" borderId="3" xfId="0" applyNumberFormat="1" applyFont="1" applyFill="1" applyBorder="1" applyAlignment="1">
      <alignment vertical="center"/>
    </xf>
    <xf numFmtId="172" fontId="6" fillId="0" borderId="18" xfId="0" applyNumberFormat="1" applyFont="1" applyFill="1" applyBorder="1" applyAlignment="1">
      <alignment vertical="center"/>
    </xf>
    <xf numFmtId="172" fontId="6" fillId="0" borderId="3" xfId="0" applyNumberFormat="1" applyFont="1" applyFill="1" applyBorder="1" applyAlignment="1">
      <alignment vertical="center"/>
    </xf>
    <xf numFmtId="166" fontId="6" fillId="0" borderId="18" xfId="0" applyNumberFormat="1" applyFont="1" applyFill="1" applyBorder="1" applyAlignment="1">
      <alignment vertical="center"/>
    </xf>
    <xf numFmtId="166" fontId="6" fillId="0" borderId="3" xfId="0" applyNumberFormat="1" applyFont="1" applyFill="1" applyBorder="1" applyAlignment="1">
      <alignment vertical="center"/>
    </xf>
    <xf numFmtId="198" fontId="6" fillId="0" borderId="18" xfId="0" applyNumberFormat="1" applyFont="1" applyFill="1" applyBorder="1" applyAlignment="1">
      <alignment vertical="center"/>
    </xf>
    <xf numFmtId="198" fontId="6" fillId="0" borderId="3" xfId="0" applyNumberFormat="1" applyFont="1" applyFill="1" applyBorder="1" applyAlignment="1">
      <alignment vertical="center"/>
    </xf>
    <xf numFmtId="0" fontId="6" fillId="0" borderId="3" xfId="0" applyFont="1" applyFill="1" applyBorder="1" applyAlignment="1">
      <alignment vertical="center"/>
    </xf>
    <xf numFmtId="49" fontId="4" fillId="0" borderId="21" xfId="0" applyNumberFormat="1" applyFont="1" applyBorder="1" applyAlignment="1">
      <alignment horizontal="centerContinuous" vertical="center"/>
    </xf>
    <xf numFmtId="49" fontId="4" fillId="0" borderId="12" xfId="0" applyNumberFormat="1" applyFont="1" applyBorder="1" applyAlignment="1">
      <alignment horizontal="centerContinuous" vertical="center"/>
    </xf>
    <xf numFmtId="49" fontId="4" fillId="0" borderId="22" xfId="0" applyNumberFormat="1" applyFont="1" applyBorder="1" applyAlignment="1">
      <alignment horizontal="centerContinuous" vertical="center"/>
    </xf>
    <xf numFmtId="0" fontId="26" fillId="23" borderId="19" xfId="0" applyFont="1" applyFill="1" applyBorder="1" applyAlignment="1">
      <alignment vertical="center"/>
    </xf>
    <xf numFmtId="0" fontId="26" fillId="23" borderId="15" xfId="0" applyFont="1" applyFill="1" applyBorder="1" applyAlignment="1">
      <alignment vertical="center"/>
    </xf>
    <xf numFmtId="0" fontId="26" fillId="0" borderId="18" xfId="0" applyFont="1" applyFill="1" applyBorder="1" applyAlignment="1">
      <alignment vertical="center"/>
    </xf>
    <xf numFmtId="0" fontId="26" fillId="0" borderId="3" xfId="0" applyFont="1" applyFill="1" applyBorder="1" applyAlignment="1">
      <alignment vertical="center"/>
    </xf>
    <xf numFmtId="179" fontId="8" fillId="0" borderId="3" xfId="0" applyNumberFormat="1" applyFont="1" applyFill="1" applyBorder="1" applyAlignment="1">
      <alignment vertical="center"/>
    </xf>
    <xf numFmtId="179" fontId="21" fillId="0" borderId="3" xfId="0" applyNumberFormat="1" applyFont="1" applyFill="1" applyBorder="1" applyAlignment="1">
      <alignment vertical="center"/>
    </xf>
    <xf numFmtId="179" fontId="98" fillId="22" borderId="3" xfId="0" applyNumberFormat="1" applyFont="1" applyFill="1" applyBorder="1" applyAlignment="1">
      <alignment vertical="center"/>
    </xf>
    <xf numFmtId="170" fontId="23" fillId="0" borderId="18" xfId="0" applyNumberFormat="1" applyFont="1" applyFill="1" applyBorder="1" applyAlignment="1">
      <alignment vertical="center"/>
    </xf>
    <xf numFmtId="179" fontId="3" fillId="22" borderId="3" xfId="0" applyNumberFormat="1" applyFont="1" applyFill="1" applyBorder="1" applyAlignment="1">
      <alignment vertical="center"/>
    </xf>
    <xf numFmtId="179" fontId="97" fillId="22" borderId="0" xfId="0" applyNumberFormat="1" applyFont="1" applyFill="1" applyBorder="1" applyAlignment="1">
      <alignment vertical="center"/>
    </xf>
    <xf numFmtId="179" fontId="97" fillId="22" borderId="3" xfId="0" applyNumberFormat="1" applyFont="1" applyFill="1" applyBorder="1" applyAlignment="1">
      <alignment vertical="center"/>
    </xf>
    <xf numFmtId="182" fontId="2" fillId="22" borderId="0" xfId="0" applyNumberFormat="1" applyFont="1" applyFill="1" applyBorder="1" applyAlignment="1">
      <alignment horizontal="right" vertical="center"/>
    </xf>
    <xf numFmtId="182" fontId="2" fillId="22" borderId="3" xfId="0" applyNumberFormat="1" applyFont="1" applyFill="1" applyBorder="1" applyAlignment="1">
      <alignment horizontal="right" vertical="center"/>
    </xf>
    <xf numFmtId="179" fontId="2" fillId="22" borderId="0" xfId="0" applyNumberFormat="1" applyFont="1" applyFill="1" applyBorder="1"/>
    <xf numFmtId="179" fontId="2" fillId="22" borderId="3" xfId="0" applyNumberFormat="1" applyFont="1" applyFill="1" applyBorder="1"/>
    <xf numFmtId="0" fontId="26" fillId="17" borderId="21" xfId="0" applyFont="1" applyFill="1" applyBorder="1" applyAlignment="1">
      <alignment vertical="center"/>
    </xf>
    <xf numFmtId="0" fontId="26" fillId="17" borderId="12" xfId="0" applyFont="1" applyFill="1" applyBorder="1" applyAlignment="1">
      <alignment vertical="center"/>
    </xf>
    <xf numFmtId="0" fontId="26" fillId="17" borderId="29" xfId="0" applyFont="1" applyFill="1" applyBorder="1" applyAlignment="1">
      <alignment vertical="center"/>
    </xf>
    <xf numFmtId="165" fontId="3" fillId="0" borderId="21" xfId="0" applyNumberFormat="1" applyFont="1" applyFill="1" applyBorder="1" applyAlignment="1">
      <alignment horizontal="right" vertical="center"/>
    </xf>
    <xf numFmtId="165" fontId="3" fillId="0" borderId="22" xfId="0" applyNumberFormat="1" applyFont="1" applyFill="1" applyBorder="1" applyAlignment="1">
      <alignment horizontal="right" vertical="center"/>
    </xf>
    <xf numFmtId="179" fontId="94" fillId="23" borderId="21" xfId="0" applyNumberFormat="1" applyFont="1" applyFill="1" applyBorder="1" applyAlignment="1">
      <alignment vertical="center"/>
    </xf>
    <xf numFmtId="179" fontId="94" fillId="23" borderId="22" xfId="0" applyNumberFormat="1" applyFont="1" applyFill="1" applyBorder="1" applyAlignment="1">
      <alignment vertical="center"/>
    </xf>
    <xf numFmtId="179" fontId="94" fillId="0" borderId="18" xfId="0" applyNumberFormat="1" applyFont="1" applyFill="1" applyBorder="1" applyAlignment="1">
      <alignment vertical="center"/>
    </xf>
    <xf numFmtId="179" fontId="94" fillId="0" borderId="3" xfId="0" applyNumberFormat="1" applyFont="1" applyFill="1" applyBorder="1" applyAlignment="1">
      <alignment vertical="center"/>
    </xf>
    <xf numFmtId="179" fontId="3" fillId="22" borderId="18" xfId="0" applyNumberFormat="1" applyFont="1" applyFill="1" applyBorder="1" applyAlignment="1">
      <alignment vertical="center"/>
    </xf>
    <xf numFmtId="181" fontId="2" fillId="17" borderId="18" xfId="0" applyNumberFormat="1" applyFont="1" applyFill="1" applyBorder="1" applyAlignment="1">
      <alignment horizontal="right" vertical="center"/>
    </xf>
    <xf numFmtId="181" fontId="2" fillId="17" borderId="3" xfId="0" applyNumberFormat="1" applyFont="1" applyFill="1" applyBorder="1" applyAlignment="1">
      <alignment horizontal="right" vertical="center"/>
    </xf>
    <xf numFmtId="179" fontId="21" fillId="17" borderId="3" xfId="0" applyNumberFormat="1" applyFont="1" applyFill="1" applyBorder="1" applyAlignment="1">
      <alignment vertical="center"/>
    </xf>
    <xf numFmtId="179" fontId="21" fillId="17" borderId="18" xfId="0" applyNumberFormat="1" applyFont="1" applyFill="1" applyBorder="1" applyAlignment="1">
      <alignment vertical="center"/>
    </xf>
    <xf numFmtId="179" fontId="39" fillId="17" borderId="18" xfId="0" applyNumberFormat="1" applyFont="1" applyFill="1" applyBorder="1" applyAlignment="1">
      <alignment vertical="center"/>
    </xf>
    <xf numFmtId="179" fontId="39" fillId="17" borderId="3" xfId="0" applyNumberFormat="1" applyFont="1" applyFill="1" applyBorder="1" applyAlignment="1">
      <alignment vertical="center"/>
    </xf>
    <xf numFmtId="0" fontId="26" fillId="24" borderId="18" xfId="0" applyFont="1" applyFill="1" applyBorder="1" applyAlignment="1">
      <alignment vertical="center"/>
    </xf>
    <xf numFmtId="0" fontId="26" fillId="24" borderId="3" xfId="0" applyFont="1" applyFill="1" applyBorder="1" applyAlignment="1">
      <alignment vertical="center"/>
    </xf>
    <xf numFmtId="181" fontId="8" fillId="17" borderId="18" xfId="0" applyNumberFormat="1" applyFont="1" applyFill="1" applyBorder="1" applyAlignment="1">
      <alignment horizontal="right" vertical="center"/>
    </xf>
    <xf numFmtId="181" fontId="8" fillId="17" borderId="3" xfId="0" applyNumberFormat="1" applyFont="1" applyFill="1" applyBorder="1" applyAlignment="1">
      <alignment horizontal="right" vertical="center"/>
    </xf>
    <xf numFmtId="181" fontId="96" fillId="22" borderId="3" xfId="0" applyNumberFormat="1" applyFont="1" applyFill="1" applyBorder="1" applyAlignment="1">
      <alignment horizontal="right" vertical="center"/>
    </xf>
    <xf numFmtId="179" fontId="39" fillId="17" borderId="19" xfId="0" applyNumberFormat="1" applyFont="1" applyFill="1" applyBorder="1" applyAlignment="1">
      <alignment vertical="center"/>
    </xf>
    <xf numFmtId="179" fontId="39" fillId="17" borderId="13" xfId="0" applyNumberFormat="1" applyFont="1" applyFill="1" applyBorder="1" applyAlignment="1">
      <alignment vertical="center"/>
    </xf>
    <xf numFmtId="179" fontId="39" fillId="17" borderId="15" xfId="0" applyNumberFormat="1" applyFont="1" applyFill="1" applyBorder="1" applyAlignment="1">
      <alignment vertical="center"/>
    </xf>
    <xf numFmtId="165" fontId="22" fillId="0" borderId="18" xfId="0" applyNumberFormat="1" applyFont="1" applyFill="1" applyBorder="1" applyAlignment="1">
      <alignment horizontal="right" vertical="center"/>
    </xf>
    <xf numFmtId="165" fontId="22" fillId="0" borderId="3" xfId="0" applyNumberFormat="1" applyFont="1" applyFill="1" applyBorder="1" applyAlignment="1">
      <alignment horizontal="right" vertical="center"/>
    </xf>
    <xf numFmtId="9" fontId="8" fillId="17" borderId="18" xfId="0" applyNumberFormat="1" applyFont="1" applyFill="1" applyBorder="1" applyAlignment="1">
      <alignment horizontal="right" vertical="center"/>
    </xf>
    <xf numFmtId="9" fontId="72" fillId="17" borderId="18" xfId="0" applyNumberFormat="1" applyFont="1" applyFill="1" applyBorder="1" applyAlignment="1">
      <alignment horizontal="right" vertical="center"/>
    </xf>
    <xf numFmtId="0" fontId="94" fillId="23" borderId="21" xfId="0" applyFont="1" applyFill="1" applyBorder="1" applyAlignment="1">
      <alignment vertical="center"/>
    </xf>
    <xf numFmtId="0" fontId="2" fillId="0" borderId="18" xfId="0" applyFont="1" applyBorder="1" applyAlignment="1">
      <alignment horizontal="left" vertical="center" indent="1"/>
    </xf>
    <xf numFmtId="0" fontId="3" fillId="24" borderId="18" xfId="0" applyFont="1" applyFill="1" applyBorder="1" applyAlignment="1">
      <alignment horizontal="left"/>
    </xf>
    <xf numFmtId="0" fontId="3" fillId="0" borderId="18" xfId="0" applyFont="1" applyFill="1" applyBorder="1" applyAlignment="1">
      <alignment horizontal="left"/>
    </xf>
    <xf numFmtId="0" fontId="3" fillId="0" borderId="18" xfId="0" applyFont="1" applyBorder="1" applyAlignment="1">
      <alignment horizontal="left" vertical="center" indent="1"/>
    </xf>
    <xf numFmtId="9" fontId="8" fillId="17" borderId="3" xfId="0" applyNumberFormat="1" applyFont="1" applyFill="1" applyBorder="1" applyAlignment="1">
      <alignment horizontal="right" vertical="center"/>
    </xf>
    <xf numFmtId="9" fontId="72" fillId="17" borderId="3" xfId="0" applyNumberFormat="1" applyFont="1" applyFill="1" applyBorder="1" applyAlignment="1">
      <alignment horizontal="right" vertical="center"/>
    </xf>
    <xf numFmtId="0" fontId="2" fillId="0" borderId="19" xfId="0" applyFont="1" applyBorder="1" applyAlignment="1">
      <alignment horizontal="left" vertical="center" indent="1"/>
    </xf>
    <xf numFmtId="179" fontId="6" fillId="17" borderId="13" xfId="0" applyNumberFormat="1" applyFont="1" applyFill="1" applyBorder="1" applyAlignment="1">
      <alignment horizontal="left" vertical="center" indent="1"/>
    </xf>
    <xf numFmtId="179" fontId="21" fillId="17" borderId="13" xfId="0" applyNumberFormat="1" applyFont="1" applyFill="1" applyBorder="1" applyAlignment="1">
      <alignment vertical="center"/>
    </xf>
    <xf numFmtId="164" fontId="22" fillId="0" borderId="18" xfId="0" applyNumberFormat="1" applyFont="1" applyFill="1" applyBorder="1" applyAlignment="1">
      <alignment horizontal="right" vertical="center"/>
    </xf>
    <xf numFmtId="176" fontId="3" fillId="0" borderId="22" xfId="0" applyNumberFormat="1" applyFont="1" applyFill="1" applyBorder="1" applyAlignment="1">
      <alignment horizontal="right" vertical="center"/>
    </xf>
    <xf numFmtId="179" fontId="33" fillId="23" borderId="21" xfId="0" applyNumberFormat="1" applyFont="1" applyFill="1" applyBorder="1" applyAlignment="1">
      <alignment vertical="center"/>
    </xf>
    <xf numFmtId="179" fontId="33" fillId="23" borderId="22" xfId="0" applyNumberFormat="1" applyFont="1" applyFill="1" applyBorder="1" applyAlignment="1">
      <alignment vertical="center"/>
    </xf>
    <xf numFmtId="179" fontId="8" fillId="17" borderId="18" xfId="0" applyNumberFormat="1" applyFont="1" applyFill="1" applyBorder="1" applyAlignment="1">
      <alignment horizontal="left" vertical="center"/>
    </xf>
    <xf numFmtId="170" fontId="21" fillId="17" borderId="3" xfId="0" applyNumberFormat="1" applyFont="1" applyFill="1" applyBorder="1" applyAlignment="1">
      <alignment vertical="center"/>
    </xf>
    <xf numFmtId="0" fontId="71" fillId="17" borderId="18" xfId="0" applyFont="1" applyFill="1" applyBorder="1" applyAlignment="1">
      <alignment horizontal="left" vertical="center" indent="1"/>
    </xf>
    <xf numFmtId="187" fontId="96" fillId="18" borderId="3" xfId="46" applyNumberFormat="1" applyFont="1" applyFill="1" applyBorder="1" applyAlignment="1">
      <alignment horizontal="right" vertical="center"/>
    </xf>
    <xf numFmtId="179" fontId="8" fillId="17" borderId="18" xfId="0" applyNumberFormat="1" applyFont="1" applyFill="1" applyBorder="1" applyAlignment="1">
      <alignment horizontal="left" vertical="center" indent="1"/>
    </xf>
    <xf numFmtId="179" fontId="95" fillId="23" borderId="21" xfId="0" applyNumberFormat="1" applyFont="1" applyFill="1" applyBorder="1" applyAlignment="1">
      <alignment vertical="center"/>
    </xf>
    <xf numFmtId="179" fontId="95" fillId="0" borderId="18" xfId="0" applyNumberFormat="1" applyFont="1" applyFill="1" applyBorder="1" applyAlignment="1">
      <alignment vertical="center"/>
    </xf>
    <xf numFmtId="179" fontId="49" fillId="17" borderId="18" xfId="0" applyNumberFormat="1" applyFont="1" applyFill="1" applyBorder="1" applyAlignment="1">
      <alignment vertical="center"/>
    </xf>
    <xf numFmtId="170" fontId="21" fillId="17" borderId="18" xfId="0" applyNumberFormat="1" applyFont="1" applyFill="1" applyBorder="1" applyAlignment="1">
      <alignment vertical="center"/>
    </xf>
    <xf numFmtId="205" fontId="3" fillId="17" borderId="18" xfId="49" applyNumberFormat="1" applyFont="1" applyFill="1" applyBorder="1"/>
    <xf numFmtId="205" fontId="3" fillId="17" borderId="3" xfId="49" applyNumberFormat="1" applyFont="1" applyFill="1" applyBorder="1"/>
    <xf numFmtId="9" fontId="96" fillId="17" borderId="18" xfId="0" applyNumberFormat="1" applyFont="1" applyFill="1" applyBorder="1" applyAlignment="1">
      <alignment horizontal="right" vertical="center"/>
    </xf>
    <xf numFmtId="9" fontId="96" fillId="17" borderId="3" xfId="0" applyNumberFormat="1" applyFont="1" applyFill="1" applyBorder="1" applyAlignment="1">
      <alignment horizontal="right" vertical="center"/>
    </xf>
    <xf numFmtId="0" fontId="2" fillId="17" borderId="18" xfId="0" applyFont="1" applyFill="1" applyBorder="1" applyAlignment="1">
      <alignment horizontal="left" indent="1"/>
    </xf>
    <xf numFmtId="187" fontId="8" fillId="17" borderId="3" xfId="46" applyNumberFormat="1" applyFont="1" applyFill="1" applyBorder="1"/>
    <xf numFmtId="0" fontId="2" fillId="17" borderId="18" xfId="0" applyFont="1" applyFill="1" applyBorder="1" applyAlignment="1">
      <alignment horizontal="left" vertical="center" indent="2"/>
    </xf>
    <xf numFmtId="179" fontId="8" fillId="17" borderId="19" xfId="0" applyNumberFormat="1" applyFont="1" applyFill="1" applyBorder="1" applyAlignment="1">
      <alignment horizontal="left" vertical="center" indent="1"/>
    </xf>
    <xf numFmtId="179" fontId="21" fillId="17" borderId="15" xfId="0" applyNumberFormat="1" applyFont="1" applyFill="1" applyBorder="1" applyAlignment="1">
      <alignment vertical="center"/>
    </xf>
    <xf numFmtId="187" fontId="96" fillId="17" borderId="18" xfId="46" applyNumberFormat="1" applyFont="1" applyFill="1" applyBorder="1"/>
    <xf numFmtId="181" fontId="81" fillId="17" borderId="18" xfId="0" applyNumberFormat="1" applyFont="1" applyFill="1" applyBorder="1" applyAlignment="1">
      <alignment horizontal="right" vertical="center"/>
    </xf>
    <xf numFmtId="179" fontId="98" fillId="17" borderId="18" xfId="0" applyNumberFormat="1" applyFont="1" applyFill="1" applyBorder="1" applyAlignment="1">
      <alignment vertical="center"/>
    </xf>
    <xf numFmtId="179" fontId="21" fillId="17" borderId="19" xfId="0" applyNumberFormat="1" applyFont="1" applyFill="1" applyBorder="1" applyAlignment="1">
      <alignment vertical="center"/>
    </xf>
    <xf numFmtId="170" fontId="2" fillId="17" borderId="18" xfId="0" applyNumberFormat="1" applyFont="1" applyFill="1" applyBorder="1" applyAlignment="1">
      <alignment vertical="center"/>
    </xf>
    <xf numFmtId="181" fontId="47" fillId="17" borderId="18" xfId="0" applyNumberFormat="1" applyFont="1" applyFill="1" applyBorder="1" applyAlignment="1">
      <alignment horizontal="right" vertical="center"/>
    </xf>
    <xf numFmtId="181" fontId="96" fillId="17" borderId="3" xfId="0" applyNumberFormat="1" applyFont="1" applyFill="1" applyBorder="1" applyAlignment="1">
      <alignment horizontal="right" vertical="center"/>
    </xf>
    <xf numFmtId="179" fontId="98" fillId="17" borderId="3" xfId="0" applyNumberFormat="1" applyFont="1" applyFill="1" applyBorder="1" applyAlignment="1">
      <alignment vertical="center"/>
    </xf>
    <xf numFmtId="179" fontId="30" fillId="17" borderId="3" xfId="0" applyNumberFormat="1" applyFont="1" applyFill="1" applyBorder="1" applyAlignment="1">
      <alignment vertical="center"/>
    </xf>
    <xf numFmtId="187" fontId="72" fillId="17" borderId="18" xfId="46" applyNumberFormat="1" applyFont="1" applyFill="1" applyBorder="1"/>
    <xf numFmtId="187" fontId="97" fillId="22" borderId="3" xfId="46" applyNumberFormat="1" applyFont="1" applyFill="1" applyBorder="1" applyAlignment="1">
      <alignment vertical="center"/>
    </xf>
    <xf numFmtId="179" fontId="6" fillId="17" borderId="19" xfId="0" applyNumberFormat="1" applyFont="1" applyFill="1" applyBorder="1" applyAlignment="1">
      <alignment vertical="center"/>
    </xf>
    <xf numFmtId="0" fontId="72" fillId="17" borderId="18" xfId="0" applyFont="1" applyFill="1" applyBorder="1" applyAlignment="1">
      <alignment horizontal="left" vertical="center" indent="1"/>
    </xf>
    <xf numFmtId="0" fontId="2" fillId="0" borderId="18" xfId="0" applyFont="1" applyBorder="1"/>
    <xf numFmtId="37" fontId="3" fillId="22" borderId="3" xfId="0" applyNumberFormat="1" applyFont="1" applyFill="1" applyBorder="1" applyAlignment="1">
      <alignment vertical="center"/>
    </xf>
    <xf numFmtId="37" fontId="96" fillId="18" borderId="3" xfId="46" applyNumberFormat="1" applyFont="1" applyFill="1" applyBorder="1" applyAlignment="1">
      <alignment horizontal="right" vertical="center"/>
    </xf>
    <xf numFmtId="199" fontId="2" fillId="17" borderId="3" xfId="0" applyNumberFormat="1" applyFont="1" applyFill="1" applyBorder="1"/>
    <xf numFmtId="37" fontId="96" fillId="22" borderId="3" xfId="0" applyNumberFormat="1" applyFont="1" applyFill="1" applyBorder="1" applyAlignment="1">
      <alignment vertical="center"/>
    </xf>
    <xf numFmtId="37" fontId="3" fillId="17" borderId="18" xfId="0" applyNumberFormat="1" applyFont="1" applyFill="1" applyBorder="1" applyAlignment="1">
      <alignment vertical="center"/>
    </xf>
    <xf numFmtId="37" fontId="2" fillId="17" borderId="18" xfId="0" applyNumberFormat="1" applyFont="1" applyFill="1" applyBorder="1" applyAlignment="1">
      <alignment vertical="center"/>
    </xf>
    <xf numFmtId="37" fontId="2" fillId="17" borderId="3" xfId="0" applyNumberFormat="1" applyFont="1" applyFill="1" applyBorder="1" applyAlignment="1">
      <alignment vertical="center"/>
    </xf>
    <xf numFmtId="199" fontId="2" fillId="17" borderId="18" xfId="0" applyNumberFormat="1" applyFont="1" applyFill="1" applyBorder="1"/>
    <xf numFmtId="37" fontId="96" fillId="17" borderId="18" xfId="0" applyNumberFormat="1" applyFont="1" applyFill="1" applyBorder="1" applyAlignment="1">
      <alignment vertical="center"/>
    </xf>
    <xf numFmtId="37" fontId="96" fillId="17" borderId="3" xfId="0" applyNumberFormat="1" applyFont="1" applyFill="1" applyBorder="1" applyAlignment="1">
      <alignment vertical="center"/>
    </xf>
    <xf numFmtId="37" fontId="49" fillId="17" borderId="18" xfId="0" applyNumberFormat="1" applyFont="1" applyFill="1" applyBorder="1" applyAlignment="1">
      <alignment vertical="center"/>
    </xf>
    <xf numFmtId="181" fontId="72" fillId="17" borderId="3" xfId="74" applyNumberFormat="1" applyFont="1" applyFill="1" applyBorder="1" applyAlignment="1">
      <alignment horizontal="right" vertical="center"/>
    </xf>
    <xf numFmtId="181" fontId="72" fillId="17" borderId="18" xfId="74" applyNumberFormat="1" applyFont="1" applyFill="1" applyBorder="1" applyAlignment="1">
      <alignment horizontal="right" vertical="center"/>
    </xf>
    <xf numFmtId="179" fontId="96" fillId="18" borderId="3" xfId="46" applyNumberFormat="1" applyFont="1" applyFill="1" applyBorder="1" applyAlignment="1">
      <alignment horizontal="right" vertical="center"/>
    </xf>
    <xf numFmtId="0" fontId="2" fillId="0" borderId="18" xfId="0" applyFont="1" applyBorder="1" applyAlignment="1">
      <alignment horizontal="left" vertical="center" indent="2"/>
    </xf>
    <xf numFmtId="0" fontId="2" fillId="0" borderId="3" xfId="0" applyFont="1" applyBorder="1"/>
    <xf numFmtId="181" fontId="96" fillId="18" borderId="3" xfId="74" applyNumberFormat="1" applyFont="1" applyFill="1" applyBorder="1" applyAlignment="1">
      <alignment horizontal="right" vertical="center"/>
    </xf>
    <xf numFmtId="198" fontId="8" fillId="17" borderId="18" xfId="0" applyNumberFormat="1" applyFont="1" applyFill="1" applyBorder="1" applyAlignment="1">
      <alignment horizontal="left" vertical="center"/>
    </xf>
    <xf numFmtId="198" fontId="8" fillId="17" borderId="3" xfId="0" applyNumberFormat="1" applyFont="1" applyFill="1" applyBorder="1" applyAlignment="1">
      <alignment vertical="center"/>
    </xf>
    <xf numFmtId="1" fontId="3" fillId="17" borderId="3" xfId="0" applyNumberFormat="1" applyFont="1" applyFill="1" applyBorder="1"/>
    <xf numFmtId="37" fontId="96" fillId="22" borderId="18" xfId="0" applyNumberFormat="1" applyFont="1" applyFill="1" applyBorder="1" applyAlignment="1">
      <alignment vertical="center"/>
    </xf>
    <xf numFmtId="179" fontId="96" fillId="18" borderId="18" xfId="46" applyNumberFormat="1" applyFont="1" applyFill="1" applyBorder="1" applyAlignment="1">
      <alignment horizontal="right" vertical="center"/>
    </xf>
    <xf numFmtId="181" fontId="96" fillId="18" borderId="18" xfId="74" applyNumberFormat="1" applyFont="1" applyFill="1" applyBorder="1" applyAlignment="1">
      <alignment horizontal="right" vertical="center"/>
    </xf>
    <xf numFmtId="198" fontId="8" fillId="17" borderId="18" xfId="0" applyNumberFormat="1" applyFont="1" applyFill="1" applyBorder="1" applyAlignment="1">
      <alignment vertical="center"/>
    </xf>
    <xf numFmtId="1" fontId="3" fillId="17" borderId="18" xfId="0" applyNumberFormat="1" applyFont="1" applyFill="1" applyBorder="1"/>
    <xf numFmtId="179" fontId="96" fillId="17" borderId="18" xfId="0" applyNumberFormat="1" applyFont="1" applyFill="1" applyBorder="1" applyAlignment="1">
      <alignment vertical="center"/>
    </xf>
    <xf numFmtId="179" fontId="96" fillId="17" borderId="3" xfId="0" applyNumberFormat="1" applyFont="1" applyFill="1" applyBorder="1" applyAlignment="1">
      <alignment vertical="center"/>
    </xf>
    <xf numFmtId="179" fontId="72" fillId="17" borderId="18" xfId="0" applyNumberFormat="1" applyFont="1" applyFill="1" applyBorder="1" applyAlignment="1">
      <alignment vertical="center"/>
    </xf>
    <xf numFmtId="181" fontId="3" fillId="17" borderId="3" xfId="0" applyNumberFormat="1" applyFont="1" applyFill="1" applyBorder="1" applyAlignment="1">
      <alignment horizontal="right" vertical="center"/>
    </xf>
    <xf numFmtId="198" fontId="3" fillId="22" borderId="3" xfId="0" applyNumberFormat="1" applyFont="1" applyFill="1" applyBorder="1"/>
    <xf numFmtId="198" fontId="96" fillId="18" borderId="3" xfId="46" applyNumberFormat="1" applyFont="1" applyFill="1" applyBorder="1" applyAlignment="1">
      <alignment horizontal="right" vertical="center"/>
    </xf>
    <xf numFmtId="0" fontId="2" fillId="0" borderId="13" xfId="0" applyFont="1" applyBorder="1"/>
    <xf numFmtId="0" fontId="2" fillId="0" borderId="15" xfId="0" applyFont="1" applyBorder="1"/>
    <xf numFmtId="198" fontId="96" fillId="17" borderId="18" xfId="0" applyNumberFormat="1" applyFont="1" applyFill="1" applyBorder="1" applyAlignment="1">
      <alignment vertical="center"/>
    </xf>
    <xf numFmtId="198" fontId="96" fillId="17" borderId="3" xfId="0" applyNumberFormat="1" applyFont="1" applyFill="1" applyBorder="1" applyAlignment="1">
      <alignment vertical="center"/>
    </xf>
    <xf numFmtId="198" fontId="2" fillId="17" borderId="18" xfId="0" applyNumberFormat="1" applyFont="1" applyFill="1" applyBorder="1" applyAlignment="1">
      <alignment vertical="center"/>
    </xf>
    <xf numFmtId="198" fontId="2" fillId="17" borderId="3" xfId="0" applyNumberFormat="1" applyFont="1" applyFill="1" applyBorder="1" applyAlignment="1">
      <alignment vertical="center"/>
    </xf>
    <xf numFmtId="181" fontId="3" fillId="17" borderId="18" xfId="0" applyNumberFormat="1" applyFont="1" applyFill="1" applyBorder="1" applyAlignment="1">
      <alignment horizontal="right" vertical="center"/>
    </xf>
    <xf numFmtId="0" fontId="2" fillId="0" borderId="19" xfId="0" applyFont="1" applyBorder="1"/>
    <xf numFmtId="198" fontId="2" fillId="0" borderId="18" xfId="0" applyNumberFormat="1" applyFont="1" applyBorder="1"/>
    <xf numFmtId="198" fontId="3" fillId="22" borderId="3" xfId="0" applyNumberFormat="1" applyFont="1" applyFill="1" applyBorder="1" applyAlignment="1">
      <alignment vertical="center"/>
    </xf>
    <xf numFmtId="198" fontId="49" fillId="17" borderId="18" xfId="0" applyNumberFormat="1" applyFont="1" applyFill="1" applyBorder="1" applyAlignment="1">
      <alignment vertical="center"/>
    </xf>
    <xf numFmtId="0" fontId="3" fillId="0" borderId="18" xfId="0" applyFont="1" applyBorder="1"/>
    <xf numFmtId="199" fontId="26" fillId="24" borderId="3" xfId="0" applyNumberFormat="1" applyFont="1" applyFill="1" applyBorder="1" applyAlignment="1">
      <alignment vertical="center"/>
    </xf>
    <xf numFmtId="179" fontId="33" fillId="17" borderId="18" xfId="0" applyNumberFormat="1" applyFont="1" applyFill="1" applyBorder="1" applyAlignment="1">
      <alignment horizontal="left" vertical="center"/>
    </xf>
    <xf numFmtId="179" fontId="33" fillId="17" borderId="0" xfId="0" applyNumberFormat="1" applyFont="1" applyFill="1" applyBorder="1" applyAlignment="1">
      <alignment horizontal="right" vertical="center"/>
    </xf>
    <xf numFmtId="179" fontId="33" fillId="17" borderId="3" xfId="0" applyNumberFormat="1" applyFont="1" applyFill="1" applyBorder="1" applyAlignment="1">
      <alignment horizontal="right" vertical="center"/>
    </xf>
    <xf numFmtId="0" fontId="3" fillId="0" borderId="18" xfId="0" applyFont="1" applyBorder="1" applyAlignment="1">
      <alignment horizontal="left" vertical="center"/>
    </xf>
    <xf numFmtId="0" fontId="2" fillId="0" borderId="18" xfId="0" applyFont="1" applyBorder="1" applyAlignment="1">
      <alignment horizontal="left" vertical="center"/>
    </xf>
    <xf numFmtId="199" fontId="26" fillId="24" borderId="18" xfId="0" applyNumberFormat="1" applyFont="1" applyFill="1" applyBorder="1" applyAlignment="1">
      <alignment vertical="center"/>
    </xf>
    <xf numFmtId="179" fontId="33" fillId="17" borderId="18" xfId="0" applyNumberFormat="1" applyFont="1" applyFill="1" applyBorder="1" applyAlignment="1">
      <alignment horizontal="right" vertical="center"/>
    </xf>
    <xf numFmtId="181" fontId="2" fillId="17" borderId="43" xfId="0" applyNumberFormat="1" applyFont="1" applyFill="1" applyBorder="1" applyAlignment="1">
      <alignment horizontal="right" vertical="center"/>
    </xf>
    <xf numFmtId="181" fontId="2" fillId="17" borderId="44" xfId="0" applyNumberFormat="1" applyFont="1" applyFill="1" applyBorder="1" applyAlignment="1">
      <alignment horizontal="right" vertical="center"/>
    </xf>
    <xf numFmtId="181" fontId="6" fillId="17" borderId="0" xfId="0" applyNumberFormat="1" applyFont="1" applyFill="1" applyBorder="1" applyAlignment="1">
      <alignment horizontal="right" vertical="center"/>
    </xf>
    <xf numFmtId="181" fontId="21" fillId="17" borderId="0" xfId="0" applyNumberFormat="1" applyFont="1" applyFill="1" applyBorder="1" applyAlignment="1">
      <alignment horizontal="right" vertical="center"/>
    </xf>
    <xf numFmtId="199" fontId="26" fillId="0" borderId="18" xfId="0" applyNumberFormat="1" applyFont="1" applyFill="1" applyBorder="1" applyAlignment="1">
      <alignment horizontal="right" vertical="center"/>
    </xf>
    <xf numFmtId="199" fontId="26" fillId="22" borderId="3" xfId="0" applyNumberFormat="1" applyFont="1" applyFill="1" applyBorder="1" applyAlignment="1">
      <alignment horizontal="right" vertical="center"/>
    </xf>
    <xf numFmtId="181" fontId="2" fillId="17" borderId="3" xfId="0" applyNumberFormat="1" applyFont="1" applyFill="1" applyBorder="1" applyAlignment="1">
      <alignment horizontal="right"/>
    </xf>
    <xf numFmtId="172" fontId="26" fillId="17" borderId="18" xfId="0" applyNumberFormat="1" applyFont="1" applyFill="1" applyBorder="1" applyAlignment="1">
      <alignment horizontal="right" vertical="center"/>
    </xf>
    <xf numFmtId="172" fontId="26" fillId="17" borderId="3" xfId="0" applyNumberFormat="1" applyFont="1" applyFill="1" applyBorder="1" applyAlignment="1">
      <alignment horizontal="right" vertical="center"/>
    </xf>
    <xf numFmtId="170" fontId="96" fillId="18" borderId="0" xfId="0" applyNumberFormat="1" applyFont="1" applyFill="1" applyBorder="1" applyAlignment="1">
      <alignment horizontal="right" vertical="center"/>
    </xf>
    <xf numFmtId="181" fontId="2" fillId="17" borderId="18" xfId="0" applyNumberFormat="1" applyFont="1" applyFill="1" applyBorder="1"/>
    <xf numFmtId="181" fontId="2" fillId="17" borderId="3" xfId="0" applyNumberFormat="1" applyFont="1" applyFill="1" applyBorder="1"/>
    <xf numFmtId="172" fontId="26" fillId="17" borderId="19" xfId="0" applyNumberFormat="1" applyFont="1" applyFill="1" applyBorder="1" applyAlignment="1">
      <alignment horizontal="right" vertical="center"/>
    </xf>
    <xf numFmtId="172" fontId="26" fillId="17" borderId="13" xfId="0" applyNumberFormat="1" applyFont="1" applyFill="1" applyBorder="1" applyAlignment="1">
      <alignment horizontal="right" vertical="center"/>
    </xf>
    <xf numFmtId="172" fontId="26" fillId="17" borderId="15" xfId="0" applyNumberFormat="1" applyFont="1" applyFill="1" applyBorder="1" applyAlignment="1">
      <alignment horizontal="right" vertical="center"/>
    </xf>
    <xf numFmtId="199" fontId="26" fillId="0" borderId="3" xfId="0" applyNumberFormat="1" applyFont="1" applyFill="1" applyBorder="1" applyAlignment="1">
      <alignment horizontal="right" vertical="center"/>
    </xf>
    <xf numFmtId="0" fontId="3" fillId="17" borderId="18" xfId="0" applyFont="1" applyFill="1" applyBorder="1" applyAlignment="1">
      <alignment horizontal="left"/>
    </xf>
    <xf numFmtId="0" fontId="2" fillId="0" borderId="3" xfId="0" applyFont="1" applyFill="1" applyBorder="1"/>
    <xf numFmtId="199" fontId="96" fillId="22" borderId="3" xfId="0" applyNumberFormat="1" applyFont="1" applyFill="1" applyBorder="1" applyAlignment="1">
      <alignment horizontal="right" vertical="center"/>
    </xf>
    <xf numFmtId="199" fontId="26" fillId="22" borderId="18" xfId="0" applyNumberFormat="1" applyFont="1" applyFill="1" applyBorder="1" applyAlignment="1">
      <alignment horizontal="right" vertical="center"/>
    </xf>
    <xf numFmtId="179" fontId="26" fillId="17" borderId="21" xfId="0" applyNumberFormat="1" applyFont="1" applyFill="1" applyBorder="1" applyAlignment="1">
      <alignment vertical="center"/>
    </xf>
    <xf numFmtId="179" fontId="26" fillId="17" borderId="22" xfId="0" applyNumberFormat="1" applyFont="1" applyFill="1" applyBorder="1" applyAlignment="1">
      <alignment vertical="center"/>
    </xf>
    <xf numFmtId="167" fontId="26" fillId="17" borderId="18" xfId="0" applyNumberFormat="1" applyFont="1" applyFill="1" applyBorder="1" applyAlignment="1">
      <alignment vertical="center"/>
    </xf>
    <xf numFmtId="167" fontId="26" fillId="17" borderId="3" xfId="0" applyNumberFormat="1" applyFont="1" applyFill="1" applyBorder="1" applyAlignment="1">
      <alignment vertical="center"/>
    </xf>
    <xf numFmtId="203" fontId="3" fillId="0" borderId="18" xfId="46" applyNumberFormat="1" applyFont="1" applyBorder="1"/>
    <xf numFmtId="203" fontId="3" fillId="0" borderId="3" xfId="46" applyNumberFormat="1" applyFont="1" applyBorder="1"/>
    <xf numFmtId="203" fontId="96" fillId="0" borderId="0" xfId="46" applyNumberFormat="1" applyFont="1" applyBorder="1"/>
    <xf numFmtId="179" fontId="99" fillId="17" borderId="18" xfId="0" applyNumberFormat="1" applyFont="1" applyFill="1" applyBorder="1" applyAlignment="1">
      <alignment vertical="center"/>
    </xf>
    <xf numFmtId="179" fontId="99" fillId="17" borderId="3" xfId="0" applyNumberFormat="1" applyFont="1" applyFill="1" applyBorder="1" applyAlignment="1">
      <alignment vertical="center"/>
    </xf>
    <xf numFmtId="198" fontId="26" fillId="17" borderId="3" xfId="0" applyNumberFormat="1" applyFont="1" applyFill="1" applyBorder="1" applyAlignment="1">
      <alignment vertical="center"/>
    </xf>
    <xf numFmtId="179" fontId="33" fillId="17" borderId="18" xfId="0" applyNumberFormat="1" applyFont="1" applyFill="1" applyBorder="1" applyAlignment="1">
      <alignment vertical="center"/>
    </xf>
    <xf numFmtId="179" fontId="33" fillId="17" borderId="3" xfId="0" applyNumberFormat="1" applyFont="1" applyFill="1" applyBorder="1" applyAlignment="1">
      <alignment vertical="center"/>
    </xf>
    <xf numFmtId="0" fontId="2" fillId="17" borderId="12" xfId="0" applyFont="1" applyFill="1" applyBorder="1"/>
    <xf numFmtId="214" fontId="2" fillId="0" borderId="0" xfId="46" applyNumberFormat="1" applyFont="1" applyFill="1"/>
    <xf numFmtId="199" fontId="2" fillId="0" borderId="18" xfId="0" applyNumberFormat="1" applyFont="1" applyFill="1" applyBorder="1" applyAlignment="1">
      <alignment horizontal="right" vertical="center"/>
    </xf>
    <xf numFmtId="199" fontId="2" fillId="0" borderId="0" xfId="0" applyNumberFormat="1" applyFont="1" applyFill="1" applyBorder="1" applyAlignment="1">
      <alignment horizontal="right" vertical="center"/>
    </xf>
    <xf numFmtId="199" fontId="2" fillId="0" borderId="3" xfId="0" applyNumberFormat="1" applyFont="1" applyFill="1" applyBorder="1" applyAlignment="1">
      <alignment horizontal="right" vertical="center"/>
    </xf>
    <xf numFmtId="0" fontId="2" fillId="17" borderId="21" xfId="0" applyFont="1" applyFill="1" applyBorder="1"/>
    <xf numFmtId="0" fontId="2" fillId="17" borderId="22" xfId="0" applyFont="1" applyFill="1" applyBorder="1"/>
    <xf numFmtId="198" fontId="37" fillId="17" borderId="18" xfId="0" applyNumberFormat="1" applyFont="1" applyFill="1" applyBorder="1" applyAlignment="1">
      <alignment vertical="center"/>
    </xf>
    <xf numFmtId="203" fontId="96" fillId="0" borderId="18" xfId="46" applyNumberFormat="1" applyFont="1" applyBorder="1"/>
    <xf numFmtId="214" fontId="2" fillId="0" borderId="18" xfId="46" applyNumberFormat="1" applyFont="1" applyFill="1" applyBorder="1"/>
    <xf numFmtId="214" fontId="2" fillId="0" borderId="0" xfId="46" applyNumberFormat="1" applyFont="1" applyFill="1" applyBorder="1"/>
    <xf numFmtId="214" fontId="2" fillId="0" borderId="3" xfId="46" applyNumberFormat="1" applyFont="1" applyFill="1" applyBorder="1"/>
    <xf numFmtId="199" fontId="8" fillId="17" borderId="0" xfId="0" applyNumberFormat="1" applyFont="1" applyFill="1" applyBorder="1" applyAlignment="1">
      <alignment vertical="center"/>
    </xf>
    <xf numFmtId="199" fontId="2" fillId="17" borderId="0" xfId="0" applyNumberFormat="1" applyFont="1" applyFill="1" applyBorder="1" applyAlignment="1">
      <alignment horizontal="right" vertical="center"/>
    </xf>
    <xf numFmtId="199" fontId="2" fillId="17" borderId="18" xfId="0" applyNumberFormat="1" applyFont="1" applyFill="1" applyBorder="1" applyAlignment="1">
      <alignment horizontal="right" vertical="center"/>
    </xf>
    <xf numFmtId="199" fontId="2" fillId="17" borderId="3" xfId="0" applyNumberFormat="1" applyFont="1" applyFill="1" applyBorder="1" applyAlignment="1">
      <alignment horizontal="right" vertical="center"/>
    </xf>
    <xf numFmtId="199" fontId="6" fillId="17" borderId="0" xfId="0" applyNumberFormat="1" applyFont="1" applyFill="1" applyBorder="1" applyAlignment="1">
      <alignment vertical="center"/>
    </xf>
    <xf numFmtId="199" fontId="8" fillId="17" borderId="18" xfId="0" applyNumberFormat="1" applyFont="1" applyFill="1" applyBorder="1" applyAlignment="1">
      <alignment vertical="center"/>
    </xf>
    <xf numFmtId="199" fontId="8" fillId="17" borderId="3" xfId="0" applyNumberFormat="1" applyFont="1" applyFill="1" applyBorder="1" applyAlignment="1">
      <alignment vertical="center"/>
    </xf>
    <xf numFmtId="199" fontId="97" fillId="22" borderId="3" xfId="0" applyNumberFormat="1" applyFont="1" applyFill="1" applyBorder="1"/>
    <xf numFmtId="199" fontId="97" fillId="22" borderId="0" xfId="0" applyNumberFormat="1" applyFont="1" applyFill="1" applyBorder="1"/>
    <xf numFmtId="199" fontId="98" fillId="17" borderId="0" xfId="0" applyNumberFormat="1" applyFont="1" applyFill="1" applyBorder="1" applyAlignment="1">
      <alignment vertical="center"/>
    </xf>
    <xf numFmtId="199" fontId="98" fillId="17" borderId="18" xfId="0" applyNumberFormat="1" applyFont="1" applyFill="1" applyBorder="1" applyAlignment="1">
      <alignment vertical="center"/>
    </xf>
    <xf numFmtId="199" fontId="98" fillId="17" borderId="3" xfId="0" applyNumberFormat="1" applyFont="1" applyFill="1" applyBorder="1" applyAlignment="1">
      <alignment vertical="center"/>
    </xf>
    <xf numFmtId="199" fontId="96" fillId="18" borderId="3" xfId="46" applyNumberFormat="1" applyFont="1" applyFill="1" applyBorder="1" applyAlignment="1">
      <alignment horizontal="right" vertical="center"/>
    </xf>
    <xf numFmtId="199" fontId="96" fillId="18" borderId="0" xfId="46" applyNumberFormat="1" applyFont="1" applyFill="1" applyBorder="1" applyAlignment="1">
      <alignment horizontal="right" vertical="center"/>
    </xf>
    <xf numFmtId="199" fontId="2" fillId="17" borderId="0" xfId="0" applyNumberFormat="1" applyFont="1" applyFill="1" applyBorder="1" applyAlignment="1">
      <alignment vertical="center"/>
    </xf>
    <xf numFmtId="199" fontId="3" fillId="17" borderId="0" xfId="46" applyNumberFormat="1" applyFont="1" applyFill="1" applyBorder="1" applyAlignment="1">
      <alignment vertical="center"/>
    </xf>
    <xf numFmtId="199" fontId="96" fillId="17" borderId="0" xfId="46" applyNumberFormat="1" applyFont="1" applyFill="1" applyBorder="1" applyAlignment="1">
      <alignment vertical="center"/>
    </xf>
    <xf numFmtId="199" fontId="96" fillId="17" borderId="18" xfId="46" applyNumberFormat="1" applyFont="1" applyFill="1" applyBorder="1"/>
    <xf numFmtId="199" fontId="96" fillId="17" borderId="0" xfId="46" applyNumberFormat="1" applyFont="1" applyFill="1" applyBorder="1"/>
    <xf numFmtId="199" fontId="96" fillId="17" borderId="3" xfId="46" applyNumberFormat="1" applyFont="1" applyFill="1" applyBorder="1"/>
    <xf numFmtId="199" fontId="49" fillId="17" borderId="0" xfId="0" applyNumberFormat="1" applyFont="1" applyFill="1" applyBorder="1" applyAlignment="1">
      <alignment vertical="center"/>
    </xf>
    <xf numFmtId="179" fontId="72" fillId="17" borderId="0" xfId="46" applyNumberFormat="1" applyFont="1" applyFill="1" applyBorder="1" applyAlignment="1">
      <alignment vertical="center"/>
    </xf>
    <xf numFmtId="179" fontId="96" fillId="17" borderId="0" xfId="46" applyNumberFormat="1" applyFont="1" applyFill="1" applyBorder="1"/>
    <xf numFmtId="179" fontId="96" fillId="17" borderId="18" xfId="46" applyNumberFormat="1" applyFont="1" applyFill="1" applyBorder="1"/>
    <xf numFmtId="179" fontId="96" fillId="17" borderId="3" xfId="46" applyNumberFormat="1" applyFont="1" applyFill="1" applyBorder="1"/>
    <xf numFmtId="179" fontId="3" fillId="22" borderId="3" xfId="46" applyNumberFormat="1" applyFont="1" applyFill="1" applyBorder="1" applyAlignment="1">
      <alignment vertical="center"/>
    </xf>
    <xf numFmtId="179" fontId="3" fillId="22" borderId="0" xfId="46" applyNumberFormat="1" applyFont="1" applyFill="1" applyBorder="1" applyAlignment="1">
      <alignment vertical="center"/>
    </xf>
    <xf numFmtId="179" fontId="3" fillId="17" borderId="0" xfId="46" applyNumberFormat="1" applyFont="1" applyFill="1" applyBorder="1"/>
    <xf numFmtId="179" fontId="3" fillId="17" borderId="18" xfId="46" applyNumberFormat="1" applyFont="1" applyFill="1" applyBorder="1"/>
    <xf numFmtId="179" fontId="3" fillId="17" borderId="3" xfId="46" applyNumberFormat="1" applyFont="1" applyFill="1" applyBorder="1"/>
    <xf numFmtId="199" fontId="2" fillId="17" borderId="18" xfId="0" applyNumberFormat="1" applyFont="1" applyFill="1" applyBorder="1" applyAlignment="1">
      <alignment vertical="center"/>
    </xf>
    <xf numFmtId="199" fontId="2" fillId="17" borderId="3" xfId="0" applyNumberFormat="1" applyFont="1" applyFill="1" applyBorder="1" applyAlignment="1">
      <alignment vertical="center"/>
    </xf>
    <xf numFmtId="179" fontId="96" fillId="17" borderId="0" xfId="46" applyNumberFormat="1" applyFont="1" applyFill="1" applyBorder="1" applyAlignment="1">
      <alignment vertical="center"/>
    </xf>
    <xf numFmtId="179" fontId="3" fillId="22" borderId="3" xfId="46" applyNumberFormat="1" applyFont="1" applyFill="1" applyBorder="1"/>
    <xf numFmtId="179" fontId="3" fillId="22" borderId="0" xfId="46" applyNumberFormat="1" applyFont="1" applyFill="1" applyBorder="1"/>
    <xf numFmtId="37" fontId="96" fillId="0" borderId="0" xfId="46" applyNumberFormat="1" applyFont="1" applyFill="1" applyBorder="1" applyAlignment="1">
      <alignment horizontal="right" vertical="center"/>
    </xf>
    <xf numFmtId="37" fontId="96" fillId="0" borderId="3" xfId="46" applyNumberFormat="1" applyFont="1" applyFill="1" applyBorder="1" applyAlignment="1">
      <alignment horizontal="right" vertical="center"/>
    </xf>
    <xf numFmtId="37" fontId="98" fillId="0" borderId="0" xfId="0" applyNumberFormat="1" applyFont="1" applyFill="1" applyBorder="1" applyAlignment="1">
      <alignment vertical="center"/>
    </xf>
    <xf numFmtId="205" fontId="2" fillId="17" borderId="0" xfId="0" applyNumberFormat="1" applyFont="1" applyFill="1" applyBorder="1" applyAlignment="1">
      <alignment horizontal="right" vertical="center"/>
    </xf>
    <xf numFmtId="205" fontId="2" fillId="17" borderId="18" xfId="0" applyNumberFormat="1" applyFont="1" applyFill="1" applyBorder="1" applyAlignment="1">
      <alignment horizontal="right" vertical="center"/>
    </xf>
    <xf numFmtId="205" fontId="2" fillId="0" borderId="0" xfId="0" applyNumberFormat="1" applyFont="1" applyFill="1" applyBorder="1" applyAlignment="1">
      <alignment horizontal="right" vertical="center"/>
    </xf>
    <xf numFmtId="205" fontId="2" fillId="0" borderId="18" xfId="0" applyNumberFormat="1" applyFont="1" applyFill="1" applyBorder="1" applyAlignment="1">
      <alignment horizontal="right" vertical="center"/>
    </xf>
    <xf numFmtId="205" fontId="2" fillId="0" borderId="3" xfId="0" applyNumberFormat="1" applyFont="1" applyFill="1" applyBorder="1" applyAlignment="1">
      <alignment horizontal="right" vertical="center"/>
    </xf>
    <xf numFmtId="205" fontId="2" fillId="17" borderId="3" xfId="0" applyNumberFormat="1" applyFont="1" applyFill="1" applyBorder="1" applyAlignment="1">
      <alignment horizontal="right" vertical="center"/>
    </xf>
    <xf numFmtId="0" fontId="2" fillId="17" borderId="22" xfId="0" applyFont="1" applyFill="1" applyBorder="1" applyAlignment="1">
      <alignment vertical="center"/>
    </xf>
    <xf numFmtId="199" fontId="2" fillId="0" borderId="0" xfId="0" applyNumberFormat="1" applyFont="1" applyFill="1" applyBorder="1" applyAlignment="1">
      <alignment vertical="center"/>
    </xf>
    <xf numFmtId="181" fontId="2" fillId="17" borderId="0" xfId="0" applyNumberFormat="1" applyFont="1" applyFill="1" applyBorder="1" applyAlignment="1">
      <alignment vertical="center"/>
    </xf>
    <xf numFmtId="199" fontId="2" fillId="0" borderId="0" xfId="0" applyNumberFormat="1" applyFont="1" applyBorder="1"/>
    <xf numFmtId="181" fontId="2" fillId="0" borderId="0" xfId="0" applyNumberFormat="1" applyFont="1" applyBorder="1"/>
    <xf numFmtId="199" fontId="99" fillId="17" borderId="18" xfId="0" applyNumberFormat="1" applyFont="1" applyFill="1" applyBorder="1" applyAlignment="1">
      <alignment vertical="center"/>
    </xf>
    <xf numFmtId="199" fontId="99" fillId="17" borderId="0" xfId="0" applyNumberFormat="1" applyFont="1" applyFill="1" applyBorder="1" applyAlignment="1">
      <alignment vertical="center"/>
    </xf>
    <xf numFmtId="199" fontId="99" fillId="0" borderId="0" xfId="0" applyNumberFormat="1" applyFont="1" applyFill="1" applyBorder="1" applyAlignment="1">
      <alignment vertical="center"/>
    </xf>
    <xf numFmtId="181" fontId="99" fillId="17" borderId="0" xfId="0" applyNumberFormat="1" applyFont="1" applyFill="1" applyBorder="1" applyAlignment="1">
      <alignment vertical="center"/>
    </xf>
    <xf numFmtId="181" fontId="99" fillId="17" borderId="18" xfId="0" applyNumberFormat="1" applyFont="1" applyFill="1" applyBorder="1" applyAlignment="1">
      <alignment vertical="center"/>
    </xf>
    <xf numFmtId="181" fontId="99" fillId="0" borderId="0" xfId="0" applyNumberFormat="1" applyFont="1" applyFill="1" applyBorder="1" applyAlignment="1">
      <alignment vertical="center"/>
    </xf>
    <xf numFmtId="37" fontId="99" fillId="17" borderId="0" xfId="0" applyNumberFormat="1" applyFont="1" applyFill="1" applyBorder="1" applyAlignment="1">
      <alignment vertical="center"/>
    </xf>
    <xf numFmtId="37" fontId="99" fillId="17" borderId="18" xfId="0" applyNumberFormat="1" applyFont="1" applyFill="1" applyBorder="1" applyAlignment="1">
      <alignment vertical="center"/>
    </xf>
    <xf numFmtId="0" fontId="99" fillId="0" borderId="0" xfId="0" applyFont="1" applyBorder="1"/>
    <xf numFmtId="0" fontId="99" fillId="0" borderId="18" xfId="0" applyFont="1" applyBorder="1"/>
    <xf numFmtId="1" fontId="99" fillId="0" borderId="0" xfId="0" applyNumberFormat="1" applyFont="1" applyFill="1" applyBorder="1" applyAlignment="1">
      <alignment vertical="center"/>
    </xf>
    <xf numFmtId="199" fontId="99" fillId="0" borderId="0" xfId="0" applyNumberFormat="1" applyFont="1" applyBorder="1"/>
    <xf numFmtId="199" fontId="99" fillId="0" borderId="18" xfId="0" applyNumberFormat="1" applyFont="1" applyBorder="1"/>
    <xf numFmtId="181" fontId="99" fillId="0" borderId="0" xfId="0" applyNumberFormat="1" applyFont="1" applyBorder="1"/>
    <xf numFmtId="181" fontId="99" fillId="0" borderId="18" xfId="0" applyNumberFormat="1" applyFont="1" applyBorder="1"/>
    <xf numFmtId="0" fontId="99" fillId="0" borderId="3" xfId="0" applyFont="1" applyBorder="1"/>
    <xf numFmtId="199" fontId="2" fillId="0" borderId="3" xfId="0" applyNumberFormat="1" applyFont="1" applyFill="1" applyBorder="1" applyAlignment="1">
      <alignment vertical="center"/>
    </xf>
    <xf numFmtId="9" fontId="2" fillId="0" borderId="0" xfId="0" applyNumberFormat="1" applyFont="1" applyBorder="1"/>
    <xf numFmtId="9" fontId="2" fillId="0" borderId="18" xfId="0" applyNumberFormat="1" applyFont="1" applyBorder="1"/>
    <xf numFmtId="9" fontId="99" fillId="0" borderId="18" xfId="0" applyNumberFormat="1" applyFont="1" applyBorder="1"/>
    <xf numFmtId="9" fontId="99" fillId="0" borderId="0" xfId="0" applyNumberFormat="1" applyFont="1" applyBorder="1"/>
    <xf numFmtId="199" fontId="99" fillId="0" borderId="3" xfId="0" applyNumberFormat="1" applyFont="1" applyFill="1" applyBorder="1" applyAlignment="1">
      <alignment vertical="center"/>
    </xf>
    <xf numFmtId="199" fontId="99" fillId="0" borderId="3" xfId="0" applyNumberFormat="1" applyFont="1" applyBorder="1"/>
    <xf numFmtId="9" fontId="96" fillId="22" borderId="0" xfId="0" applyNumberFormat="1" applyFont="1" applyFill="1" applyBorder="1" applyAlignment="1">
      <alignment horizontal="right" vertical="center"/>
    </xf>
    <xf numFmtId="0" fontId="10" fillId="27" borderId="0" xfId="0" applyFont="1" applyFill="1"/>
    <xf numFmtId="0" fontId="94" fillId="23" borderId="18" xfId="0" applyFont="1" applyFill="1" applyBorder="1" applyAlignment="1">
      <alignment horizontal="left"/>
    </xf>
    <xf numFmtId="0" fontId="94" fillId="23" borderId="0" xfId="0" applyFont="1" applyFill="1" applyBorder="1" applyAlignment="1">
      <alignment vertical="center"/>
    </xf>
    <xf numFmtId="0" fontId="94" fillId="23" borderId="18" xfId="0" applyFont="1" applyFill="1" applyBorder="1" applyAlignment="1">
      <alignment vertical="center"/>
    </xf>
    <xf numFmtId="0" fontId="94" fillId="23" borderId="3" xfId="0" applyFont="1" applyFill="1" applyBorder="1" applyAlignment="1">
      <alignment vertical="center"/>
    </xf>
    <xf numFmtId="179" fontId="95" fillId="23" borderId="0" xfId="0" applyNumberFormat="1" applyFont="1" applyFill="1" applyBorder="1"/>
    <xf numFmtId="179" fontId="95" fillId="23" borderId="0" xfId="0" applyNumberFormat="1" applyFont="1" applyFill="1" applyBorder="1" applyAlignment="1">
      <alignment horizontal="right" vertical="center"/>
    </xf>
    <xf numFmtId="0" fontId="95" fillId="23" borderId="0" xfId="0" applyFont="1" applyFill="1" applyBorder="1"/>
    <xf numFmtId="179" fontId="3" fillId="22" borderId="0" xfId="0" applyNumberFormat="1" applyFont="1" applyFill="1" applyBorder="1"/>
    <xf numFmtId="179" fontId="3" fillId="22" borderId="18" xfId="0" applyNumberFormat="1" applyFont="1" applyFill="1" applyBorder="1"/>
    <xf numFmtId="179" fontId="3" fillId="22" borderId="3" xfId="0" applyNumberFormat="1" applyFont="1" applyFill="1" applyBorder="1"/>
    <xf numFmtId="0" fontId="2" fillId="0" borderId="18" xfId="0" applyFont="1" applyFill="1" applyBorder="1" applyAlignment="1">
      <alignment horizontal="left" indent="1"/>
    </xf>
    <xf numFmtId="199" fontId="8" fillId="17" borderId="0" xfId="0" applyNumberFormat="1" applyFont="1" applyFill="1" applyBorder="1" applyAlignment="1">
      <alignment horizontal="right" vertical="center"/>
    </xf>
    <xf numFmtId="199" fontId="6" fillId="17" borderId="0" xfId="0" applyNumberFormat="1" applyFont="1" applyFill="1" applyBorder="1" applyAlignment="1">
      <alignment horizontal="right" vertical="center"/>
    </xf>
    <xf numFmtId="199" fontId="6" fillId="17" borderId="3" xfId="0" applyNumberFormat="1" applyFont="1" applyFill="1" applyBorder="1" applyAlignment="1">
      <alignment horizontal="right" vertical="center"/>
    </xf>
    <xf numFmtId="199" fontId="6" fillId="17" borderId="18" xfId="0" applyNumberFormat="1" applyFont="1" applyFill="1" applyBorder="1" applyAlignment="1">
      <alignment horizontal="right" vertical="center"/>
    </xf>
    <xf numFmtId="181" fontId="96" fillId="0" borderId="3" xfId="0" applyNumberFormat="1" applyFont="1" applyFill="1" applyBorder="1" applyAlignment="1">
      <alignment horizontal="right" vertical="center"/>
    </xf>
    <xf numFmtId="181" fontId="96" fillId="0" borderId="0" xfId="0" applyNumberFormat="1" applyFont="1" applyFill="1" applyBorder="1" applyAlignment="1">
      <alignment horizontal="right" vertical="center"/>
    </xf>
    <xf numFmtId="181" fontId="2" fillId="17" borderId="18" xfId="0" applyNumberFormat="1" applyFont="1" applyFill="1" applyBorder="1" applyAlignment="1">
      <alignment vertical="center"/>
    </xf>
    <xf numFmtId="181" fontId="2" fillId="17" borderId="3" xfId="0" applyNumberFormat="1" applyFont="1" applyFill="1" applyBorder="1" applyAlignment="1">
      <alignment vertical="center"/>
    </xf>
    <xf numFmtId="179" fontId="2" fillId="17" borderId="0" xfId="46" applyNumberFormat="1" applyFont="1" applyFill="1" applyBorder="1"/>
    <xf numFmtId="179" fontId="2" fillId="17" borderId="18" xfId="46" applyNumberFormat="1" applyFont="1" applyFill="1" applyBorder="1"/>
    <xf numFmtId="179" fontId="2" fillId="17" borderId="3" xfId="46" applyNumberFormat="1" applyFont="1" applyFill="1" applyBorder="1"/>
    <xf numFmtId="199" fontId="98" fillId="17" borderId="0" xfId="0" applyNumberFormat="1" applyFont="1" applyFill="1" applyBorder="1" applyAlignment="1">
      <alignment horizontal="right" vertical="center"/>
    </xf>
    <xf numFmtId="199" fontId="98" fillId="17" borderId="18" xfId="0" applyNumberFormat="1" applyFont="1" applyFill="1" applyBorder="1" applyAlignment="1">
      <alignment horizontal="right" vertical="center"/>
    </xf>
    <xf numFmtId="199" fontId="98" fillId="17" borderId="3" xfId="0" applyNumberFormat="1" applyFont="1" applyFill="1" applyBorder="1" applyAlignment="1">
      <alignment horizontal="right" vertical="center"/>
    </xf>
    <xf numFmtId="181" fontId="81" fillId="17" borderId="3" xfId="0" applyNumberFormat="1" applyFont="1" applyFill="1" applyBorder="1" applyAlignment="1">
      <alignment horizontal="right" vertical="center"/>
    </xf>
    <xf numFmtId="43" fontId="2" fillId="17" borderId="0" xfId="0" applyNumberFormat="1" applyFont="1" applyFill="1" applyBorder="1"/>
    <xf numFmtId="43" fontId="2" fillId="17" borderId="3" xfId="0" applyNumberFormat="1" applyFont="1" applyFill="1" applyBorder="1"/>
    <xf numFmtId="0" fontId="2" fillId="0" borderId="18" xfId="0" applyFont="1" applyFill="1" applyBorder="1" applyAlignment="1">
      <alignment horizontal="left" indent="2"/>
    </xf>
    <xf numFmtId="187" fontId="6" fillId="17" borderId="0" xfId="46" applyNumberFormat="1" applyFont="1" applyFill="1" applyBorder="1"/>
    <xf numFmtId="187" fontId="6" fillId="17" borderId="18" xfId="46" applyNumberFormat="1" applyFont="1" applyFill="1" applyBorder="1"/>
    <xf numFmtId="187" fontId="6" fillId="17" borderId="3" xfId="46" applyNumberFormat="1" applyFont="1" applyFill="1" applyBorder="1"/>
    <xf numFmtId="187" fontId="2" fillId="17" borderId="0" xfId="46" applyNumberFormat="1" applyFont="1" applyFill="1" applyBorder="1"/>
    <xf numFmtId="187" fontId="2" fillId="17" borderId="3" xfId="46" applyNumberFormat="1" applyFont="1" applyFill="1" applyBorder="1"/>
    <xf numFmtId="217" fontId="2" fillId="17" borderId="13" xfId="0" applyNumberFormat="1" applyFont="1" applyFill="1" applyBorder="1" applyAlignment="1">
      <alignment vertical="center"/>
    </xf>
    <xf numFmtId="199" fontId="99" fillId="0" borderId="18" xfId="0" applyNumberFormat="1" applyFont="1" applyFill="1" applyBorder="1" applyAlignment="1">
      <alignment vertical="center"/>
    </xf>
    <xf numFmtId="199" fontId="2" fillId="0" borderId="18" xfId="0" applyNumberFormat="1" applyFont="1" applyFill="1" applyBorder="1" applyAlignment="1">
      <alignment vertical="center"/>
    </xf>
    <xf numFmtId="199" fontId="6" fillId="0" borderId="0" xfId="0" applyNumberFormat="1" applyFont="1" applyFill="1" applyBorder="1" applyAlignment="1">
      <alignment vertical="center"/>
    </xf>
    <xf numFmtId="199" fontId="6" fillId="0" borderId="18" xfId="0" applyNumberFormat="1" applyFont="1" applyFill="1" applyBorder="1" applyAlignment="1">
      <alignment vertical="center"/>
    </xf>
    <xf numFmtId="199" fontId="6" fillId="0" borderId="3" xfId="0" applyNumberFormat="1" applyFont="1" applyFill="1" applyBorder="1" applyAlignment="1">
      <alignment vertical="center"/>
    </xf>
    <xf numFmtId="168" fontId="99" fillId="0" borderId="18" xfId="0" applyNumberFormat="1" applyFont="1" applyFill="1" applyBorder="1" applyAlignment="1">
      <alignment vertical="center"/>
    </xf>
    <xf numFmtId="168" fontId="99" fillId="0" borderId="0" xfId="0" applyNumberFormat="1" applyFont="1" applyFill="1" applyBorder="1" applyAlignment="1">
      <alignment vertical="center"/>
    </xf>
    <xf numFmtId="199" fontId="0" fillId="0" borderId="0" xfId="0" applyNumberFormat="1" applyFill="1" applyBorder="1"/>
    <xf numFmtId="204" fontId="2" fillId="0" borderId="0" xfId="0" applyNumberFormat="1" applyFont="1" applyFill="1" applyBorder="1" applyAlignment="1">
      <alignment vertical="center"/>
    </xf>
    <xf numFmtId="204" fontId="2" fillId="0" borderId="18" xfId="0" applyNumberFormat="1" applyFont="1" applyFill="1" applyBorder="1" applyAlignment="1">
      <alignment vertical="center"/>
    </xf>
    <xf numFmtId="204" fontId="2" fillId="0" borderId="0" xfId="0" applyNumberFormat="1" applyFont="1" applyFill="1" applyBorder="1"/>
    <xf numFmtId="204" fontId="2" fillId="0" borderId="3" xfId="0" applyNumberFormat="1" applyFont="1" applyFill="1" applyBorder="1" applyAlignment="1">
      <alignment vertical="center"/>
    </xf>
    <xf numFmtId="204" fontId="6" fillId="0" borderId="0" xfId="0" applyNumberFormat="1" applyFont="1" applyFill="1" applyBorder="1" applyAlignment="1">
      <alignment vertical="center"/>
    </xf>
    <xf numFmtId="204" fontId="6" fillId="0" borderId="3" xfId="0" applyNumberFormat="1" applyFont="1" applyFill="1" applyBorder="1" applyAlignment="1">
      <alignment vertical="center"/>
    </xf>
    <xf numFmtId="204" fontId="6" fillId="0" borderId="18" xfId="0" applyNumberFormat="1" applyFont="1" applyFill="1" applyBorder="1" applyAlignment="1">
      <alignment vertical="center"/>
    </xf>
    <xf numFmtId="204" fontId="0" fillId="0" borderId="0" xfId="0" applyNumberFormat="1" applyFill="1" applyBorder="1"/>
    <xf numFmtId="204" fontId="99" fillId="0" borderId="0" xfId="0" applyNumberFormat="1" applyFont="1" applyFill="1" applyBorder="1" applyAlignment="1">
      <alignment vertical="center"/>
    </xf>
    <xf numFmtId="204" fontId="99" fillId="0" borderId="18" xfId="0" applyNumberFormat="1" applyFont="1" applyFill="1" applyBorder="1" applyAlignment="1">
      <alignment vertical="center"/>
    </xf>
    <xf numFmtId="204" fontId="99" fillId="0" borderId="3" xfId="0" applyNumberFormat="1" applyFont="1" applyFill="1" applyBorder="1" applyAlignment="1">
      <alignment vertical="center"/>
    </xf>
    <xf numFmtId="199" fontId="99" fillId="22" borderId="3" xfId="0" applyNumberFormat="1" applyFont="1" applyFill="1" applyBorder="1" applyAlignment="1">
      <alignment vertical="center"/>
    </xf>
    <xf numFmtId="199" fontId="99" fillId="22" borderId="18" xfId="0" applyNumberFormat="1" applyFont="1" applyFill="1" applyBorder="1" applyAlignment="1">
      <alignment vertical="center"/>
    </xf>
    <xf numFmtId="199" fontId="99" fillId="22" borderId="0" xfId="0" applyNumberFormat="1" applyFont="1" applyFill="1" applyBorder="1" applyAlignment="1">
      <alignment vertical="center"/>
    </xf>
    <xf numFmtId="204" fontId="99" fillId="22" borderId="3" xfId="0" applyNumberFormat="1" applyFont="1" applyFill="1" applyBorder="1" applyAlignment="1">
      <alignment vertical="center"/>
    </xf>
    <xf numFmtId="204" fontId="99" fillId="22" borderId="18" xfId="0" applyNumberFormat="1" applyFont="1" applyFill="1" applyBorder="1" applyAlignment="1">
      <alignment vertical="center"/>
    </xf>
    <xf numFmtId="204" fontId="99" fillId="22" borderId="0" xfId="0" applyNumberFormat="1" applyFont="1" applyFill="1" applyBorder="1" applyAlignment="1">
      <alignment vertical="center"/>
    </xf>
    <xf numFmtId="0" fontId="8" fillId="0" borderId="18" xfId="0" applyFont="1" applyFill="1" applyBorder="1"/>
    <xf numFmtId="0" fontId="6" fillId="0" borderId="18" xfId="0" applyFont="1" applyFill="1" applyBorder="1" applyAlignment="1">
      <alignment horizontal="left" indent="1"/>
    </xf>
    <xf numFmtId="0" fontId="6" fillId="0" borderId="18" xfId="0" applyFont="1" applyFill="1" applyBorder="1"/>
    <xf numFmtId="0" fontId="82" fillId="0" borderId="18" xfId="0" applyFont="1" applyFill="1" applyBorder="1"/>
    <xf numFmtId="216" fontId="2" fillId="0" borderId="18" xfId="0" applyNumberFormat="1" applyFont="1" applyFill="1" applyBorder="1" applyAlignment="1">
      <alignment horizontal="left" indent="1"/>
    </xf>
    <xf numFmtId="214" fontId="2" fillId="0" borderId="18" xfId="0" applyNumberFormat="1" applyFont="1" applyFill="1" applyBorder="1" applyAlignment="1">
      <alignment horizontal="right" vertical="center"/>
    </xf>
    <xf numFmtId="214" fontId="2" fillId="0" borderId="0" xfId="0" applyNumberFormat="1" applyFont="1" applyFill="1" applyBorder="1" applyAlignment="1">
      <alignment horizontal="right" vertical="center"/>
    </xf>
    <xf numFmtId="214" fontId="2" fillId="0" borderId="3" xfId="0" applyNumberFormat="1" applyFont="1" applyFill="1" applyBorder="1" applyAlignment="1">
      <alignment horizontal="right" vertical="center"/>
    </xf>
    <xf numFmtId="179" fontId="8" fillId="0" borderId="18" xfId="0" applyNumberFormat="1" applyFont="1" applyFill="1" applyBorder="1" applyAlignment="1">
      <alignment horizontal="left" vertical="center"/>
    </xf>
    <xf numFmtId="179" fontId="2" fillId="0" borderId="18" xfId="0" applyNumberFormat="1" applyFont="1" applyFill="1" applyBorder="1" applyAlignment="1">
      <alignment horizontal="left" indent="1"/>
    </xf>
    <xf numFmtId="0" fontId="3" fillId="0" borderId="18" xfId="0" applyFont="1" applyFill="1" applyBorder="1"/>
    <xf numFmtId="179" fontId="3" fillId="17" borderId="3" xfId="0" applyNumberFormat="1" applyFont="1" applyFill="1" applyBorder="1" applyAlignment="1">
      <alignment vertical="center"/>
    </xf>
    <xf numFmtId="215" fontId="8" fillId="0" borderId="0" xfId="0" applyNumberFormat="1" applyFont="1" applyFill="1" applyBorder="1"/>
    <xf numFmtId="215" fontId="8" fillId="0" borderId="3" xfId="0" applyNumberFormat="1" applyFont="1" applyFill="1" applyBorder="1"/>
    <xf numFmtId="215" fontId="8" fillId="0" borderId="18" xfId="0" applyNumberFormat="1" applyFont="1" applyFill="1" applyBorder="1"/>
    <xf numFmtId="0" fontId="3" fillId="0" borderId="18" xfId="0" applyFont="1" applyFill="1" applyBorder="1" applyAlignment="1">
      <alignment horizontal="left" indent="1"/>
    </xf>
    <xf numFmtId="0" fontId="3" fillId="0" borderId="18" xfId="0" applyFont="1" applyFill="1" applyBorder="1" applyAlignment="1"/>
    <xf numFmtId="7" fontId="3" fillId="17" borderId="18" xfId="0" applyNumberFormat="1" applyFont="1" applyFill="1" applyBorder="1" applyAlignment="1">
      <alignment horizontal="right" vertical="center"/>
    </xf>
    <xf numFmtId="7" fontId="3" fillId="17" borderId="0" xfId="0" applyNumberFormat="1" applyFont="1" applyFill="1" applyBorder="1" applyAlignment="1">
      <alignment horizontal="right" vertical="center"/>
    </xf>
    <xf numFmtId="7" fontId="3" fillId="17" borderId="3" xfId="0" applyNumberFormat="1" applyFont="1" applyFill="1" applyBorder="1" applyAlignment="1">
      <alignment horizontal="right" vertical="center"/>
    </xf>
    <xf numFmtId="0" fontId="2" fillId="0" borderId="18" xfId="0" applyFont="1" applyFill="1" applyBorder="1" applyAlignment="1"/>
    <xf numFmtId="215" fontId="6" fillId="0" borderId="0" xfId="0" applyNumberFormat="1" applyFont="1" applyFill="1" applyBorder="1"/>
    <xf numFmtId="215" fontId="6" fillId="0" borderId="3" xfId="0" applyNumberFormat="1" applyFont="1" applyFill="1" applyBorder="1"/>
    <xf numFmtId="215" fontId="6" fillId="0" borderId="18" xfId="0" applyNumberFormat="1" applyFont="1" applyFill="1" applyBorder="1"/>
    <xf numFmtId="0" fontId="95" fillId="23" borderId="0" xfId="0" applyFont="1" applyFill="1" applyBorder="1" applyAlignment="1">
      <alignment vertical="center"/>
    </xf>
    <xf numFmtId="0" fontId="95" fillId="23" borderId="18" xfId="0" applyFont="1" applyFill="1" applyBorder="1" applyAlignment="1">
      <alignment vertical="center"/>
    </xf>
    <xf numFmtId="0" fontId="95" fillId="23" borderId="3" xfId="0" applyFont="1" applyFill="1" applyBorder="1" applyAlignment="1">
      <alignment vertical="center"/>
    </xf>
    <xf numFmtId="0" fontId="94" fillId="0" borderId="18" xfId="0" applyFont="1" applyFill="1" applyBorder="1" applyAlignment="1">
      <alignment horizontal="left"/>
    </xf>
    <xf numFmtId="0" fontId="95" fillId="0" borderId="0" xfId="0" applyFont="1" applyFill="1" applyBorder="1" applyAlignment="1">
      <alignment vertical="center"/>
    </xf>
    <xf numFmtId="0" fontId="95" fillId="0" borderId="18" xfId="0" applyFont="1" applyFill="1" applyBorder="1" applyAlignment="1">
      <alignment vertical="center"/>
    </xf>
    <xf numFmtId="0" fontId="95" fillId="0" borderId="3" xfId="0" applyFont="1" applyFill="1" applyBorder="1" applyAlignment="1">
      <alignment vertical="center"/>
    </xf>
    <xf numFmtId="0" fontId="74" fillId="0" borderId="0" xfId="0" applyFont="1" applyFill="1"/>
    <xf numFmtId="0" fontId="11" fillId="0" borderId="0" xfId="0" applyFont="1" applyFill="1"/>
    <xf numFmtId="215" fontId="100" fillId="0" borderId="0" xfId="0" applyNumberFormat="1" applyFont="1" applyFill="1"/>
    <xf numFmtId="0" fontId="77" fillId="0" borderId="0" xfId="0" applyFont="1" applyFill="1"/>
    <xf numFmtId="215" fontId="8" fillId="0" borderId="0" xfId="0" applyNumberFormat="1" applyFont="1" applyFill="1" applyBorder="1" applyAlignment="1">
      <alignment horizontal="right"/>
    </xf>
    <xf numFmtId="180" fontId="2" fillId="23" borderId="21" xfId="0" applyNumberFormat="1" applyFont="1" applyFill="1" applyBorder="1" applyAlignment="1">
      <alignment vertical="center"/>
    </xf>
    <xf numFmtId="180" fontId="2" fillId="23" borderId="12" xfId="0" applyNumberFormat="1" applyFont="1" applyFill="1" applyBorder="1" applyAlignment="1">
      <alignment vertical="center"/>
    </xf>
    <xf numFmtId="180" fontId="2" fillId="23" borderId="22" xfId="0" applyNumberFormat="1" applyFont="1" applyFill="1" applyBorder="1" applyAlignment="1">
      <alignment vertical="center"/>
    </xf>
    <xf numFmtId="215" fontId="8" fillId="0" borderId="3" xfId="0" applyNumberFormat="1" applyFont="1" applyFill="1" applyBorder="1" applyAlignment="1">
      <alignment horizontal="right"/>
    </xf>
    <xf numFmtId="215" fontId="8" fillId="0" borderId="18" xfId="0" applyNumberFormat="1" applyFont="1" applyFill="1" applyBorder="1" applyAlignment="1">
      <alignment horizontal="right"/>
    </xf>
    <xf numFmtId="179" fontId="3" fillId="17" borderId="0" xfId="0" applyNumberFormat="1" applyFont="1" applyFill="1" applyBorder="1" applyAlignment="1">
      <alignment horizontal="right" vertical="center"/>
    </xf>
    <xf numFmtId="0" fontId="2" fillId="17" borderId="0" xfId="0" applyFont="1" applyFill="1" applyBorder="1" applyAlignment="1">
      <alignment horizontal="right" vertical="center"/>
    </xf>
    <xf numFmtId="215" fontId="6" fillId="0" borderId="0" xfId="0" applyNumberFormat="1" applyFont="1" applyFill="1" applyBorder="1" applyAlignment="1">
      <alignment horizontal="right"/>
    </xf>
    <xf numFmtId="179" fontId="3" fillId="17" borderId="18" xfId="0" applyNumberFormat="1" applyFont="1" applyFill="1" applyBorder="1" applyAlignment="1">
      <alignment horizontal="right" vertical="center"/>
    </xf>
    <xf numFmtId="0" fontId="2" fillId="17" borderId="18" xfId="0" applyFont="1" applyFill="1" applyBorder="1" applyAlignment="1">
      <alignment horizontal="right" vertical="center"/>
    </xf>
    <xf numFmtId="179" fontId="99" fillId="17" borderId="18" xfId="0" applyNumberFormat="1" applyFont="1" applyFill="1" applyBorder="1" applyAlignment="1">
      <alignment horizontal="right" vertical="center"/>
    </xf>
    <xf numFmtId="215" fontId="6" fillId="0" borderId="18" xfId="0" applyNumberFormat="1" applyFont="1" applyFill="1" applyBorder="1" applyAlignment="1">
      <alignment horizontal="right"/>
    </xf>
    <xf numFmtId="215" fontId="6" fillId="0" borderId="3" xfId="0" applyNumberFormat="1" applyFont="1" applyFill="1" applyBorder="1" applyAlignment="1">
      <alignment horizontal="right"/>
    </xf>
    <xf numFmtId="199" fontId="26" fillId="0" borderId="0" xfId="0" applyNumberFormat="1" applyFont="1" applyFill="1" applyBorder="1" applyAlignment="1">
      <alignment vertical="center"/>
    </xf>
    <xf numFmtId="168" fontId="2" fillId="0" borderId="0" xfId="0" applyNumberFormat="1" applyFont="1" applyFill="1" applyBorder="1" applyAlignment="1">
      <alignment vertical="center"/>
    </xf>
    <xf numFmtId="180" fontId="2" fillId="0" borderId="0" xfId="0" applyNumberFormat="1" applyFont="1" applyFill="1" applyBorder="1" applyAlignment="1">
      <alignment vertical="center"/>
    </xf>
    <xf numFmtId="180" fontId="2" fillId="0" borderId="3" xfId="0" applyNumberFormat="1" applyFont="1" applyFill="1" applyBorder="1" applyAlignment="1">
      <alignment vertical="center"/>
    </xf>
    <xf numFmtId="0" fontId="22" fillId="21" borderId="20" xfId="0" applyNumberFormat="1" applyFont="1" applyFill="1" applyBorder="1" applyAlignment="1">
      <alignment horizontal="centerContinuous" vertical="center"/>
    </xf>
    <xf numFmtId="168" fontId="2" fillId="0" borderId="18" xfId="0" applyNumberFormat="1" applyFont="1" applyFill="1" applyBorder="1" applyAlignment="1">
      <alignment vertical="center"/>
    </xf>
    <xf numFmtId="204" fontId="6" fillId="0" borderId="0" xfId="0" applyNumberFormat="1" applyFont="1" applyFill="1" applyBorder="1" applyAlignment="1">
      <alignment horizontal="right" vertical="center"/>
    </xf>
    <xf numFmtId="204" fontId="2" fillId="0" borderId="18" xfId="0" applyNumberFormat="1" applyFont="1" applyFill="1" applyBorder="1" applyAlignment="1">
      <alignment horizontal="right" vertical="center"/>
    </xf>
    <xf numFmtId="204" fontId="2" fillId="0" borderId="0" xfId="0" applyNumberFormat="1" applyFont="1" applyFill="1" applyBorder="1" applyAlignment="1">
      <alignment horizontal="right" vertical="center"/>
    </xf>
    <xf numFmtId="180" fontId="99" fillId="22" borderId="0" xfId="0" applyNumberFormat="1" applyFont="1" applyFill="1" applyBorder="1" applyAlignment="1">
      <alignment vertical="center"/>
    </xf>
    <xf numFmtId="180" fontId="99" fillId="22" borderId="3" xfId="0" applyNumberFormat="1" applyFont="1" applyFill="1" applyBorder="1" applyAlignment="1">
      <alignment vertical="center"/>
    </xf>
    <xf numFmtId="218" fontId="2" fillId="17" borderId="0" xfId="0" applyNumberFormat="1" applyFont="1" applyFill="1" applyBorder="1" applyAlignment="1">
      <alignment vertical="center"/>
    </xf>
    <xf numFmtId="218" fontId="99" fillId="17" borderId="0" xfId="0" applyNumberFormat="1" applyFont="1" applyFill="1" applyBorder="1" applyAlignment="1">
      <alignment vertical="center"/>
    </xf>
    <xf numFmtId="218" fontId="99" fillId="17" borderId="18" xfId="0" applyNumberFormat="1" applyFont="1" applyFill="1" applyBorder="1" applyAlignment="1">
      <alignment vertical="center"/>
    </xf>
    <xf numFmtId="218" fontId="2" fillId="17" borderId="3" xfId="0" applyNumberFormat="1" applyFont="1" applyFill="1" applyBorder="1" applyAlignment="1">
      <alignment vertical="center"/>
    </xf>
    <xf numFmtId="204" fontId="99" fillId="22" borderId="0" xfId="0" applyNumberFormat="1" applyFont="1" applyFill="1" applyBorder="1" applyAlignment="1">
      <alignment horizontal="right" vertical="center"/>
    </xf>
    <xf numFmtId="204" fontId="99" fillId="22" borderId="3" xfId="0" applyNumberFormat="1" applyFont="1" applyFill="1" applyBorder="1" applyAlignment="1">
      <alignment horizontal="right" vertical="center"/>
    </xf>
    <xf numFmtId="180" fontId="6" fillId="17" borderId="0" xfId="0" applyNumberFormat="1" applyFont="1" applyFill="1" applyBorder="1" applyAlignment="1">
      <alignment vertical="center"/>
    </xf>
    <xf numFmtId="180" fontId="6" fillId="17" borderId="3" xfId="0" applyNumberFormat="1" applyFont="1" applyFill="1" applyBorder="1" applyAlignment="1">
      <alignment vertical="center"/>
    </xf>
    <xf numFmtId="0" fontId="8" fillId="0" borderId="18" xfId="0" applyFont="1" applyFill="1" applyBorder="1" applyAlignment="1">
      <alignment horizontal="left" vertical="center"/>
    </xf>
    <xf numFmtId="203" fontId="3" fillId="0" borderId="18" xfId="48" applyNumberFormat="1" applyFont="1" applyFill="1" applyBorder="1"/>
    <xf numFmtId="0" fontId="76" fillId="0" borderId="18" xfId="0" applyFont="1" applyFill="1" applyBorder="1" applyAlignment="1">
      <alignment horizontal="left" indent="1"/>
    </xf>
    <xf numFmtId="1" fontId="99" fillId="0" borderId="3" xfId="0" applyNumberFormat="1" applyFont="1" applyFill="1" applyBorder="1" applyAlignment="1">
      <alignment vertical="center"/>
    </xf>
    <xf numFmtId="1" fontId="99" fillId="0" borderId="18" xfId="0" applyNumberFormat="1" applyFont="1" applyFill="1" applyBorder="1" applyAlignment="1">
      <alignment vertical="center"/>
    </xf>
    <xf numFmtId="181" fontId="99" fillId="22" borderId="3" xfId="0" applyNumberFormat="1" applyFont="1" applyFill="1" applyBorder="1" applyAlignment="1">
      <alignment vertical="center"/>
    </xf>
    <xf numFmtId="181" fontId="99" fillId="22" borderId="0" xfId="0" applyNumberFormat="1" applyFont="1" applyFill="1" applyBorder="1" applyAlignment="1">
      <alignment vertical="center"/>
    </xf>
    <xf numFmtId="181" fontId="2" fillId="0" borderId="3" xfId="0" applyNumberFormat="1" applyFont="1" applyFill="1" applyBorder="1"/>
    <xf numFmtId="181" fontId="99" fillId="22" borderId="0" xfId="0" applyNumberFormat="1" applyFont="1" applyFill="1" applyBorder="1"/>
    <xf numFmtId="181" fontId="99" fillId="22" borderId="3" xfId="0" applyNumberFormat="1" applyFont="1" applyFill="1" applyBorder="1"/>
    <xf numFmtId="179" fontId="2" fillId="0" borderId="3" xfId="0" applyNumberFormat="1" applyFont="1" applyFill="1" applyBorder="1"/>
    <xf numFmtId="181" fontId="99" fillId="0" borderId="0" xfId="0" applyNumberFormat="1" applyFont="1" applyFill="1" applyBorder="1"/>
    <xf numFmtId="181" fontId="99" fillId="0" borderId="3" xfId="0" applyNumberFormat="1" applyFont="1" applyFill="1" applyBorder="1"/>
    <xf numFmtId="199" fontId="3" fillId="0" borderId="0" xfId="0" applyNumberFormat="1" applyFont="1" applyFill="1" applyBorder="1"/>
    <xf numFmtId="199" fontId="3" fillId="0" borderId="3" xfId="0" applyNumberFormat="1" applyFont="1" applyFill="1" applyBorder="1"/>
    <xf numFmtId="0" fontId="2" fillId="0" borderId="18" xfId="0" applyFont="1" applyFill="1" applyBorder="1" applyAlignment="1">
      <alignment horizontal="left" vertical="center" indent="1"/>
    </xf>
    <xf numFmtId="9" fontId="2" fillId="0" borderId="0" xfId="0" applyNumberFormat="1" applyFont="1" applyFill="1" applyBorder="1"/>
    <xf numFmtId="9" fontId="2" fillId="0" borderId="3" xfId="0" applyNumberFormat="1" applyFont="1" applyFill="1" applyBorder="1"/>
    <xf numFmtId="9" fontId="2" fillId="0" borderId="3" xfId="0" applyNumberFormat="1" applyFont="1" applyBorder="1"/>
    <xf numFmtId="187" fontId="2" fillId="0" borderId="0" xfId="46" applyNumberFormat="1" applyFont="1" applyFill="1" applyBorder="1"/>
    <xf numFmtId="187" fontId="2" fillId="0" borderId="0" xfId="46" applyNumberFormat="1" applyFont="1" applyBorder="1"/>
    <xf numFmtId="187" fontId="2" fillId="0" borderId="3" xfId="46" applyNumberFormat="1" applyFont="1" applyBorder="1"/>
    <xf numFmtId="43" fontId="3" fillId="0" borderId="0" xfId="46" applyFont="1" applyFill="1" applyBorder="1"/>
    <xf numFmtId="43" fontId="3" fillId="0" borderId="3" xfId="46" applyFont="1" applyFill="1" applyBorder="1"/>
    <xf numFmtId="0" fontId="2" fillId="0" borderId="19" xfId="0" applyFont="1" applyFill="1" applyBorder="1" applyAlignment="1">
      <alignment horizontal="left" vertical="center" indent="1"/>
    </xf>
    <xf numFmtId="0" fontId="2" fillId="0" borderId="13" xfId="0" applyFont="1" applyFill="1" applyBorder="1"/>
    <xf numFmtId="9" fontId="2" fillId="0" borderId="13" xfId="0" applyNumberFormat="1" applyFont="1" applyBorder="1"/>
    <xf numFmtId="9" fontId="2" fillId="0" borderId="15" xfId="0" applyNumberFormat="1" applyFont="1" applyBorder="1"/>
    <xf numFmtId="199" fontId="3" fillId="0" borderId="18" xfId="0" applyNumberFormat="1" applyFont="1" applyFill="1" applyBorder="1"/>
    <xf numFmtId="9" fontId="2" fillId="0" borderId="18" xfId="0" applyNumberFormat="1" applyFont="1" applyFill="1" applyBorder="1"/>
    <xf numFmtId="43" fontId="3" fillId="0" borderId="18" xfId="46" applyFont="1" applyFill="1" applyBorder="1"/>
    <xf numFmtId="9" fontId="2" fillId="0" borderId="19" xfId="0" applyNumberFormat="1" applyFont="1" applyBorder="1"/>
    <xf numFmtId="181" fontId="99" fillId="0" borderId="3" xfId="0" applyNumberFormat="1" applyFont="1" applyBorder="1"/>
    <xf numFmtId="0" fontId="99" fillId="0" borderId="0" xfId="0" applyFont="1" applyFill="1" applyBorder="1"/>
    <xf numFmtId="181" fontId="2" fillId="0" borderId="18" xfId="0" applyNumberFormat="1" applyFont="1" applyBorder="1"/>
    <xf numFmtId="187" fontId="2" fillId="0" borderId="18" xfId="46" applyNumberFormat="1" applyFont="1" applyFill="1" applyBorder="1"/>
    <xf numFmtId="187" fontId="2" fillId="0" borderId="3" xfId="46" applyNumberFormat="1" applyFont="1" applyFill="1" applyBorder="1"/>
    <xf numFmtId="0" fontId="2" fillId="0" borderId="19" xfId="0" applyFont="1" applyFill="1" applyBorder="1"/>
    <xf numFmtId="0" fontId="2" fillId="0" borderId="15" xfId="0" applyFont="1" applyFill="1" applyBorder="1"/>
    <xf numFmtId="0" fontId="3" fillId="0" borderId="3" xfId="0" applyFont="1" applyBorder="1"/>
    <xf numFmtId="181" fontId="2" fillId="0" borderId="3" xfId="0" applyNumberFormat="1" applyFont="1" applyBorder="1"/>
    <xf numFmtId="0" fontId="97" fillId="0" borderId="0" xfId="67" applyFont="1" applyFill="1"/>
    <xf numFmtId="0" fontId="99" fillId="29" borderId="30" xfId="67" applyFont="1" applyFill="1" applyBorder="1" applyAlignment="1">
      <alignment horizontal="right"/>
    </xf>
    <xf numFmtId="0" fontId="98" fillId="0" borderId="0" xfId="67" applyFont="1" applyFill="1"/>
    <xf numFmtId="14" fontId="99" fillId="29" borderId="30" xfId="0" applyNumberFormat="1" applyFont="1" applyFill="1" applyBorder="1"/>
    <xf numFmtId="14" fontId="2" fillId="0" borderId="0" xfId="0" applyNumberFormat="1" applyFont="1" applyAlignment="1">
      <alignment horizontal="right"/>
    </xf>
    <xf numFmtId="14" fontId="98" fillId="0" borderId="0" xfId="67" applyNumberFormat="1" applyFont="1" applyFill="1"/>
    <xf numFmtId="0" fontId="98" fillId="0" borderId="0" xfId="67" applyFont="1" applyFill="1" applyBorder="1"/>
    <xf numFmtId="204" fontId="98" fillId="0" borderId="0" xfId="67" applyNumberFormat="1" applyFont="1" applyFill="1"/>
    <xf numFmtId="0" fontId="98" fillId="0" borderId="0" xfId="67" applyFont="1" applyFill="1" applyAlignment="1"/>
    <xf numFmtId="9" fontId="33" fillId="0" borderId="0" xfId="0" applyNumberFormat="1" applyFont="1" applyFill="1" applyBorder="1" applyAlignment="1">
      <alignment vertical="center"/>
    </xf>
    <xf numFmtId="179" fontId="6" fillId="0" borderId="0" xfId="0" applyNumberFormat="1" applyFont="1" applyFill="1" applyBorder="1"/>
    <xf numFmtId="0" fontId="10" fillId="0" borderId="18" xfId="0" applyFont="1" applyFill="1" applyBorder="1" applyAlignment="1">
      <alignment vertical="center"/>
    </xf>
    <xf numFmtId="179" fontId="6" fillId="0" borderId="0" xfId="0" applyNumberFormat="1" applyFont="1" applyFill="1" applyBorder="1" applyAlignment="1">
      <alignment horizontal="left" vertical="center" indent="1"/>
    </xf>
    <xf numFmtId="199" fontId="23" fillId="0" borderId="18" xfId="0" applyNumberFormat="1" applyFont="1" applyFill="1" applyBorder="1"/>
    <xf numFmtId="199" fontId="23" fillId="0" borderId="3" xfId="0" applyNumberFormat="1" applyFont="1" applyFill="1" applyBorder="1"/>
    <xf numFmtId="197" fontId="6" fillId="0" borderId="0" xfId="0" applyNumberFormat="1" applyFont="1" applyFill="1" applyBorder="1" applyAlignment="1">
      <alignment vertical="center"/>
    </xf>
    <xf numFmtId="43" fontId="2" fillId="0" borderId="0" xfId="46" applyFont="1" applyBorder="1"/>
    <xf numFmtId="164" fontId="22" fillId="21" borderId="13" xfId="0" applyNumberFormat="1" applyFont="1" applyFill="1" applyBorder="1" applyAlignment="1">
      <alignment horizontal="right" vertical="center"/>
    </xf>
    <xf numFmtId="179" fontId="26" fillId="22" borderId="0" xfId="0" applyNumberFormat="1" applyFont="1" applyFill="1" applyBorder="1" applyAlignment="1">
      <alignment vertical="center"/>
    </xf>
    <xf numFmtId="179" fontId="26" fillId="22" borderId="3" xfId="0" applyNumberFormat="1" applyFont="1" applyFill="1" applyBorder="1" applyAlignment="1">
      <alignment vertical="center"/>
    </xf>
    <xf numFmtId="179" fontId="26" fillId="22" borderId="18" xfId="0" applyNumberFormat="1" applyFont="1" applyFill="1" applyBorder="1" applyAlignment="1">
      <alignment vertical="center"/>
    </xf>
    <xf numFmtId="0" fontId="10" fillId="0" borderId="0" xfId="0" applyFont="1" applyFill="1" applyAlignment="1">
      <alignment horizontal="center"/>
    </xf>
    <xf numFmtId="0" fontId="3" fillId="0" borderId="0" xfId="0" applyFont="1" applyFill="1" applyAlignment="1">
      <alignment horizontal="center"/>
    </xf>
    <xf numFmtId="179" fontId="33" fillId="0" borderId="0" xfId="0" applyNumberFormat="1" applyFont="1" applyFill="1" applyBorder="1" applyAlignment="1">
      <alignment horizontal="center" vertical="center"/>
    </xf>
    <xf numFmtId="9" fontId="2" fillId="0" borderId="0" xfId="0" applyNumberFormat="1" applyFont="1" applyFill="1" applyAlignment="1">
      <alignment horizontal="center"/>
    </xf>
    <xf numFmtId="179" fontId="33" fillId="0" borderId="20" xfId="0" applyNumberFormat="1" applyFont="1" applyFill="1" applyBorder="1" applyAlignment="1">
      <alignment horizontal="center" vertical="center"/>
    </xf>
    <xf numFmtId="0" fontId="10" fillId="0" borderId="0" xfId="0" applyFont="1" applyFill="1" applyAlignment="1">
      <alignment horizontal="center" vertical="center"/>
    </xf>
    <xf numFmtId="203" fontId="23" fillId="0" borderId="3" xfId="46" applyNumberFormat="1" applyFont="1" applyFill="1" applyBorder="1"/>
    <xf numFmtId="203" fontId="23" fillId="0" borderId="0" xfId="46" applyNumberFormat="1" applyFont="1" applyFill="1" applyBorder="1"/>
    <xf numFmtId="179" fontId="96" fillId="0" borderId="3" xfId="46" applyNumberFormat="1" applyFont="1" applyFill="1" applyBorder="1"/>
    <xf numFmtId="180" fontId="2" fillId="0" borderId="0" xfId="0" applyNumberFormat="1" applyFont="1" applyBorder="1"/>
    <xf numFmtId="180" fontId="2" fillId="0" borderId="18" xfId="0" applyNumberFormat="1" applyFont="1" applyBorder="1"/>
    <xf numFmtId="180" fontId="2" fillId="17" borderId="0" xfId="74" applyNumberFormat="1" applyFont="1" applyFill="1" applyBorder="1"/>
    <xf numFmtId="180" fontId="2" fillId="17" borderId="3" xfId="74" applyNumberFormat="1" applyFont="1" applyFill="1" applyBorder="1"/>
    <xf numFmtId="180" fontId="2" fillId="0" borderId="3" xfId="0" applyNumberFormat="1" applyFont="1" applyBorder="1"/>
    <xf numFmtId="180" fontId="2" fillId="0" borderId="0" xfId="0" applyNumberFormat="1" applyFont="1"/>
    <xf numFmtId="165" fontId="3" fillId="0" borderId="0" xfId="0" applyNumberFormat="1" applyFont="1" applyFill="1" applyBorder="1" applyAlignment="1">
      <alignment horizontal="right" vertical="center"/>
    </xf>
    <xf numFmtId="0" fontId="94" fillId="23" borderId="22" xfId="0" applyFont="1" applyFill="1" applyBorder="1" applyAlignment="1">
      <alignment vertical="center"/>
    </xf>
    <xf numFmtId="0" fontId="8" fillId="0" borderId="0" xfId="0" applyNumberFormat="1" applyFont="1" applyFill="1" applyAlignment="1">
      <alignment horizontal="right" vertical="center"/>
    </xf>
    <xf numFmtId="174" fontId="7" fillId="0" borderId="0" xfId="0" applyNumberFormat="1" applyFont="1" applyFill="1" applyAlignment="1">
      <alignment vertical="center"/>
    </xf>
    <xf numFmtId="167" fontId="2" fillId="0" borderId="0" xfId="0" applyNumberFormat="1" applyFont="1" applyFill="1" applyAlignment="1">
      <alignment horizontal="right" vertical="center"/>
    </xf>
    <xf numFmtId="175" fontId="2" fillId="0" borderId="0" xfId="0" applyNumberFormat="1" applyFont="1" applyFill="1" applyAlignment="1">
      <alignment vertical="center"/>
    </xf>
    <xf numFmtId="49" fontId="3" fillId="0" borderId="0" xfId="0" applyNumberFormat="1" applyFont="1" applyFill="1" applyBorder="1" applyAlignment="1">
      <alignment horizontal="center" vertical="center"/>
    </xf>
    <xf numFmtId="199" fontId="6" fillId="0" borderId="0" xfId="0" applyNumberFormat="1" applyFont="1" applyFill="1" applyBorder="1" applyAlignment="1">
      <alignment horizontal="right" vertical="center"/>
    </xf>
    <xf numFmtId="179" fontId="39" fillId="0" borderId="0" xfId="0" applyNumberFormat="1" applyFont="1" applyFill="1" applyAlignment="1">
      <alignment vertical="center"/>
    </xf>
    <xf numFmtId="187" fontId="96" fillId="0" borderId="0" xfId="46" applyNumberFormat="1" applyFont="1" applyFill="1" applyBorder="1" applyAlignment="1">
      <alignment horizontal="right" vertical="center"/>
    </xf>
    <xf numFmtId="37" fontId="3" fillId="0" borderId="0" xfId="0" applyNumberFormat="1" applyFont="1" applyFill="1" applyBorder="1" applyAlignment="1">
      <alignment vertical="center"/>
    </xf>
    <xf numFmtId="179" fontId="21" fillId="0" borderId="0" xfId="0" applyNumberFormat="1" applyFont="1" applyFill="1" applyAlignment="1">
      <alignment vertical="center"/>
    </xf>
    <xf numFmtId="179" fontId="3" fillId="0" borderId="0" xfId="46" applyNumberFormat="1" applyFont="1" applyFill="1" applyBorder="1"/>
    <xf numFmtId="199" fontId="96" fillId="0" borderId="0" xfId="0" applyNumberFormat="1" applyFont="1" applyFill="1" applyBorder="1" applyAlignment="1">
      <alignment horizontal="right" vertical="center"/>
    </xf>
    <xf numFmtId="179" fontId="3" fillId="0" borderId="0" xfId="46" applyNumberFormat="1" applyFont="1" applyFill="1" applyBorder="1" applyAlignment="1">
      <alignment vertical="center"/>
    </xf>
    <xf numFmtId="181" fontId="81" fillId="0" borderId="0" xfId="0" applyNumberFormat="1" applyFont="1" applyFill="1" applyBorder="1" applyAlignment="1">
      <alignment horizontal="right" vertical="center"/>
    </xf>
    <xf numFmtId="187" fontId="8" fillId="0" borderId="0" xfId="46" applyNumberFormat="1" applyFont="1" applyFill="1" applyBorder="1"/>
    <xf numFmtId="187" fontId="6" fillId="0" borderId="0" xfId="46" applyNumberFormat="1" applyFont="1" applyFill="1" applyBorder="1"/>
    <xf numFmtId="199" fontId="96" fillId="0" borderId="0" xfId="46" applyNumberFormat="1" applyFont="1" applyFill="1" applyBorder="1" applyAlignment="1">
      <alignment vertical="center"/>
    </xf>
    <xf numFmtId="199" fontId="96" fillId="0" borderId="0" xfId="46" applyNumberFormat="1" applyFont="1" applyFill="1" applyBorder="1" applyAlignment="1">
      <alignment horizontal="right" vertical="center"/>
    </xf>
    <xf numFmtId="199" fontId="97" fillId="0" borderId="0" xfId="0" applyNumberFormat="1" applyFont="1" applyFill="1" applyBorder="1"/>
    <xf numFmtId="179" fontId="96" fillId="0" borderId="0" xfId="46" applyNumberFormat="1" applyFont="1" applyFill="1" applyBorder="1" applyAlignment="1">
      <alignment horizontal="right" vertical="center"/>
    </xf>
    <xf numFmtId="181" fontId="96" fillId="0" borderId="0" xfId="74" applyNumberFormat="1" applyFont="1" applyFill="1" applyBorder="1" applyAlignment="1">
      <alignment horizontal="right" vertical="center"/>
    </xf>
    <xf numFmtId="198" fontId="3" fillId="0" borderId="0" xfId="0" applyNumberFormat="1" applyFont="1" applyFill="1" applyBorder="1"/>
    <xf numFmtId="198" fontId="96" fillId="0" borderId="0" xfId="46" applyNumberFormat="1" applyFont="1" applyFill="1" applyBorder="1" applyAlignment="1">
      <alignment horizontal="right" vertical="center"/>
    </xf>
    <xf numFmtId="198" fontId="26" fillId="23" borderId="12" xfId="0" applyNumberFormat="1" applyFont="1" applyFill="1" applyBorder="1" applyAlignment="1">
      <alignment vertical="center"/>
    </xf>
    <xf numFmtId="0" fontId="26" fillId="23" borderId="12" xfId="0" applyFont="1" applyFill="1" applyBorder="1" applyAlignment="1">
      <alignment vertical="center"/>
    </xf>
    <xf numFmtId="0" fontId="26" fillId="23" borderId="22" xfId="0" applyFont="1" applyFill="1" applyBorder="1" applyAlignment="1">
      <alignment vertical="center"/>
    </xf>
    <xf numFmtId="199" fontId="99" fillId="0" borderId="0" xfId="0" applyNumberFormat="1" applyFont="1" applyFill="1" applyBorder="1"/>
    <xf numFmtId="9" fontId="99" fillId="0" borderId="0" xfId="0" applyNumberFormat="1" applyFont="1" applyFill="1" applyBorder="1"/>
    <xf numFmtId="174" fontId="7" fillId="17" borderId="0" xfId="0" applyNumberFormat="1" applyFont="1" applyFill="1" applyBorder="1" applyAlignment="1">
      <alignment vertical="center"/>
    </xf>
    <xf numFmtId="167" fontId="2" fillId="18" borderId="0" xfId="0" applyNumberFormat="1" applyFont="1" applyFill="1" applyBorder="1" applyAlignment="1">
      <alignment horizontal="right" vertical="center"/>
    </xf>
    <xf numFmtId="177" fontId="2" fillId="18" borderId="0" xfId="0" applyNumberFormat="1" applyFont="1" applyFill="1" applyBorder="1" applyAlignment="1">
      <alignment vertical="center"/>
    </xf>
    <xf numFmtId="0" fontId="2" fillId="0" borderId="31" xfId="0" applyFont="1" applyFill="1" applyBorder="1"/>
    <xf numFmtId="37" fontId="3" fillId="22" borderId="18" xfId="0" applyNumberFormat="1" applyFont="1" applyFill="1" applyBorder="1" applyAlignment="1">
      <alignment vertical="center"/>
    </xf>
    <xf numFmtId="37" fontId="96" fillId="18" borderId="18" xfId="46" applyNumberFormat="1" applyFont="1" applyFill="1" applyBorder="1" applyAlignment="1">
      <alignment horizontal="right" vertical="center"/>
    </xf>
    <xf numFmtId="37" fontId="96" fillId="0" borderId="18" xfId="46" applyNumberFormat="1" applyFont="1" applyFill="1" applyBorder="1" applyAlignment="1">
      <alignment horizontal="right" vertical="center"/>
    </xf>
    <xf numFmtId="181" fontId="99" fillId="22" borderId="18" xfId="0" applyNumberFormat="1" applyFont="1" applyFill="1" applyBorder="1" applyAlignment="1">
      <alignment vertical="center"/>
    </xf>
    <xf numFmtId="181" fontId="99" fillId="0" borderId="0" xfId="0" applyNumberFormat="1" applyFont="1" applyFill="1" applyBorder="1" applyAlignment="1">
      <alignment horizontal="right" vertical="center"/>
    </xf>
    <xf numFmtId="181" fontId="24" fillId="0" borderId="0" xfId="0" applyNumberFormat="1" applyFont="1" applyFill="1" applyBorder="1" applyAlignment="1">
      <alignment horizontal="right" vertical="center"/>
    </xf>
    <xf numFmtId="181" fontId="99" fillId="0" borderId="3" xfId="0" applyNumberFormat="1" applyFont="1" applyFill="1" applyBorder="1" applyAlignment="1">
      <alignment horizontal="right" vertical="center"/>
    </xf>
    <xf numFmtId="181" fontId="99" fillId="22" borderId="0" xfId="0" applyNumberFormat="1" applyFont="1" applyFill="1" applyBorder="1" applyAlignment="1">
      <alignment horizontal="right" vertical="center"/>
    </xf>
    <xf numFmtId="181" fontId="99" fillId="22" borderId="3" xfId="0" applyNumberFormat="1" applyFont="1" applyFill="1" applyBorder="1" applyAlignment="1">
      <alignment horizontal="right" vertical="center"/>
    </xf>
    <xf numFmtId="220" fontId="3" fillId="0" borderId="18" xfId="0" applyNumberFormat="1" applyFont="1" applyBorder="1"/>
    <xf numFmtId="220" fontId="3" fillId="0" borderId="0" xfId="0" applyNumberFormat="1" applyFont="1" applyBorder="1"/>
    <xf numFmtId="181" fontId="3" fillId="0" borderId="3" xfId="0" applyNumberFormat="1" applyFont="1" applyFill="1" applyBorder="1" applyAlignment="1">
      <alignment horizontal="right" vertical="center"/>
    </xf>
    <xf numFmtId="172" fontId="3" fillId="17" borderId="0" xfId="0" applyNumberFormat="1" applyFont="1" applyFill="1" applyBorder="1" applyAlignment="1">
      <alignment horizontal="right" vertical="center"/>
    </xf>
    <xf numFmtId="172" fontId="3" fillId="17" borderId="18" xfId="0" applyNumberFormat="1" applyFont="1" applyFill="1" applyBorder="1" applyAlignment="1">
      <alignment horizontal="right" vertical="center"/>
    </xf>
    <xf numFmtId="172" fontId="3" fillId="17" borderId="3" xfId="0" applyNumberFormat="1" applyFont="1" applyFill="1" applyBorder="1" applyAlignment="1">
      <alignment horizontal="right" vertical="center"/>
    </xf>
    <xf numFmtId="172" fontId="3" fillId="0" borderId="0" xfId="0" applyNumberFormat="1" applyFont="1" applyFill="1" applyBorder="1" applyAlignment="1">
      <alignment horizontal="right" vertical="center"/>
    </xf>
    <xf numFmtId="203" fontId="96" fillId="18" borderId="0" xfId="46" applyNumberFormat="1" applyFont="1" applyFill="1" applyBorder="1" applyAlignment="1">
      <alignment horizontal="right" vertical="center"/>
    </xf>
    <xf numFmtId="180" fontId="98" fillId="0" borderId="0" xfId="67" applyNumberFormat="1" applyFont="1" applyFill="1"/>
    <xf numFmtId="187" fontId="26" fillId="17" borderId="3" xfId="46" applyNumberFormat="1" applyFont="1" applyFill="1" applyBorder="1"/>
    <xf numFmtId="181" fontId="2" fillId="0" borderId="3" xfId="0" applyNumberFormat="1" applyFont="1" applyFill="1" applyBorder="1" applyAlignment="1">
      <alignment horizontal="right" vertical="center"/>
    </xf>
    <xf numFmtId="9" fontId="6" fillId="0" borderId="0" xfId="0" applyNumberFormat="1" applyFont="1" applyFill="1" applyBorder="1" applyAlignment="1">
      <alignment vertical="center"/>
    </xf>
    <xf numFmtId="9" fontId="6" fillId="0" borderId="3" xfId="0" applyNumberFormat="1" applyFont="1" applyFill="1" applyBorder="1" applyAlignment="1">
      <alignment vertical="center"/>
    </xf>
    <xf numFmtId="9" fontId="98" fillId="17" borderId="0" xfId="0" applyNumberFormat="1" applyFont="1" applyFill="1" applyBorder="1" applyAlignment="1">
      <alignment vertical="center"/>
    </xf>
    <xf numFmtId="181" fontId="2" fillId="22" borderId="3" xfId="0" applyNumberFormat="1" applyFont="1" applyFill="1" applyBorder="1" applyAlignment="1">
      <alignment horizontal="right" vertical="center"/>
    </xf>
    <xf numFmtId="214" fontId="3" fillId="0" borderId="0" xfId="0" applyNumberFormat="1" applyFont="1" applyFill="1" applyBorder="1" applyAlignment="1">
      <alignment horizontal="right" vertical="center"/>
    </xf>
    <xf numFmtId="3" fontId="2" fillId="17" borderId="0" xfId="0" applyNumberFormat="1" applyFont="1" applyFill="1" applyBorder="1" applyAlignment="1">
      <alignment horizontal="right" vertical="center"/>
    </xf>
    <xf numFmtId="3" fontId="2" fillId="17" borderId="18" xfId="0" applyNumberFormat="1" applyFont="1" applyFill="1" applyBorder="1" applyAlignment="1">
      <alignment horizontal="right" vertical="center"/>
    </xf>
    <xf numFmtId="3" fontId="2" fillId="17" borderId="3" xfId="0" applyNumberFormat="1" applyFont="1" applyFill="1" applyBorder="1" applyAlignment="1">
      <alignment horizontal="right" vertical="center"/>
    </xf>
    <xf numFmtId="199" fontId="3" fillId="0" borderId="0" xfId="0" applyNumberFormat="1" applyFont="1" applyFill="1" applyBorder="1" applyAlignment="1">
      <alignment horizontal="right" vertical="center"/>
    </xf>
    <xf numFmtId="221" fontId="26" fillId="0" borderId="0" xfId="0" applyNumberFormat="1" applyFont="1" applyFill="1" applyBorder="1" applyAlignment="1">
      <alignment horizontal="right" vertical="center"/>
    </xf>
    <xf numFmtId="221" fontId="26" fillId="0" borderId="18" xfId="0" applyNumberFormat="1" applyFont="1" applyFill="1" applyBorder="1" applyAlignment="1">
      <alignment horizontal="right" vertical="center"/>
    </xf>
    <xf numFmtId="221" fontId="26" fillId="0" borderId="3" xfId="0" applyNumberFormat="1" applyFont="1" applyFill="1" applyBorder="1" applyAlignment="1">
      <alignment horizontal="right" vertical="center"/>
    </xf>
    <xf numFmtId="179" fontId="96" fillId="22" borderId="0" xfId="0" applyNumberFormat="1" applyFont="1" applyFill="1" applyBorder="1" applyAlignment="1">
      <alignment horizontal="right" vertical="center"/>
    </xf>
    <xf numFmtId="9" fontId="99" fillId="17" borderId="0" xfId="74" applyNumberFormat="1" applyFont="1" applyFill="1" applyBorder="1"/>
    <xf numFmtId="181" fontId="3" fillId="0" borderId="18" xfId="0" applyNumberFormat="1" applyFont="1" applyFill="1" applyBorder="1" applyAlignment="1">
      <alignment horizontal="right" vertical="center"/>
    </xf>
    <xf numFmtId="199" fontId="3" fillId="0" borderId="3" xfId="0" applyNumberFormat="1" applyFont="1" applyFill="1" applyBorder="1" applyAlignment="1">
      <alignment horizontal="right" vertical="center"/>
    </xf>
    <xf numFmtId="179" fontId="96" fillId="0" borderId="0" xfId="0" applyNumberFormat="1" applyFont="1" applyFill="1" applyBorder="1" applyAlignment="1">
      <alignment horizontal="right" vertical="center"/>
    </xf>
    <xf numFmtId="9" fontId="2" fillId="0" borderId="18" xfId="0" applyNumberFormat="1" applyFont="1" applyFill="1" applyBorder="1" applyAlignment="1">
      <alignment horizontal="right" vertical="center"/>
    </xf>
    <xf numFmtId="9" fontId="2" fillId="0" borderId="3" xfId="0" applyNumberFormat="1" applyFont="1" applyFill="1" applyBorder="1" applyAlignment="1">
      <alignment horizontal="right" vertical="center"/>
    </xf>
    <xf numFmtId="203" fontId="96" fillId="0" borderId="0" xfId="46" applyNumberFormat="1" applyFont="1" applyFill="1" applyBorder="1" applyAlignment="1">
      <alignment horizontal="right" vertical="center"/>
    </xf>
    <xf numFmtId="172" fontId="2" fillId="17" borderId="0" xfId="0" applyNumberFormat="1" applyFont="1" applyFill="1" applyBorder="1" applyAlignment="1">
      <alignment horizontal="right" vertical="center"/>
    </xf>
    <xf numFmtId="172" fontId="2" fillId="17" borderId="18" xfId="0" applyNumberFormat="1" applyFont="1" applyFill="1" applyBorder="1" applyAlignment="1">
      <alignment horizontal="right" vertical="center"/>
    </xf>
    <xf numFmtId="172" fontId="2" fillId="17" borderId="3" xfId="0" applyNumberFormat="1" applyFont="1" applyFill="1" applyBorder="1" applyAlignment="1">
      <alignment horizontal="right" vertical="center"/>
    </xf>
    <xf numFmtId="179" fontId="2" fillId="0" borderId="18" xfId="0" applyNumberFormat="1" applyFont="1" applyFill="1" applyBorder="1" applyAlignment="1">
      <alignment horizontal="right" vertical="center"/>
    </xf>
    <xf numFmtId="179" fontId="2" fillId="0" borderId="3" xfId="0" applyNumberFormat="1" applyFont="1" applyFill="1" applyBorder="1" applyAlignment="1">
      <alignment horizontal="right" vertical="center"/>
    </xf>
    <xf numFmtId="172" fontId="2" fillId="0" borderId="0" xfId="0" applyNumberFormat="1" applyFont="1" applyFill="1" applyBorder="1" applyAlignment="1">
      <alignment horizontal="right" vertical="center"/>
    </xf>
    <xf numFmtId="172" fontId="3" fillId="0" borderId="18" xfId="0" applyNumberFormat="1" applyFont="1" applyFill="1" applyBorder="1" applyAlignment="1">
      <alignment horizontal="right" vertical="center"/>
    </xf>
    <xf numFmtId="172" fontId="3" fillId="0" borderId="3" xfId="0" applyNumberFormat="1" applyFont="1" applyFill="1" applyBorder="1" applyAlignment="1">
      <alignment horizontal="right" vertical="center"/>
    </xf>
    <xf numFmtId="179" fontId="96" fillId="22" borderId="18" xfId="0" applyNumberFormat="1" applyFont="1" applyFill="1" applyBorder="1" applyAlignment="1">
      <alignment horizontal="right" vertical="center"/>
    </xf>
    <xf numFmtId="179" fontId="96" fillId="22" borderId="3" xfId="0" applyNumberFormat="1" applyFont="1" applyFill="1" applyBorder="1" applyAlignment="1">
      <alignment horizontal="right" vertical="center"/>
    </xf>
    <xf numFmtId="203" fontId="96" fillId="0" borderId="3" xfId="46" applyNumberFormat="1" applyFont="1" applyFill="1" applyBorder="1" applyAlignment="1">
      <alignment horizontal="right" vertical="center"/>
    </xf>
    <xf numFmtId="0" fontId="2" fillId="17" borderId="18" xfId="0" applyFont="1" applyFill="1" applyBorder="1" applyAlignment="1">
      <alignment horizontal="left" indent="2"/>
    </xf>
    <xf numFmtId="1" fontId="2" fillId="0" borderId="0" xfId="0" applyNumberFormat="1" applyFont="1" applyFill="1" applyBorder="1" applyAlignment="1">
      <alignment horizontal="right" vertical="center"/>
    </xf>
    <xf numFmtId="221" fontId="2" fillId="0" borderId="0" xfId="0" applyNumberFormat="1" applyFont="1" applyFill="1" applyBorder="1" applyAlignment="1">
      <alignment horizontal="right" vertical="center"/>
    </xf>
    <xf numFmtId="203" fontId="3" fillId="0" borderId="0" xfId="46" applyNumberFormat="1" applyFont="1" applyFill="1" applyBorder="1" applyAlignment="1">
      <alignment horizontal="right" vertical="center"/>
    </xf>
    <xf numFmtId="187" fontId="26" fillId="0" borderId="0" xfId="46" applyNumberFormat="1" applyFont="1" applyFill="1" applyBorder="1" applyAlignment="1">
      <alignment horizontal="right" vertical="center"/>
    </xf>
    <xf numFmtId="187" fontId="26" fillId="0" borderId="18" xfId="46" applyNumberFormat="1" applyFont="1" applyFill="1" applyBorder="1" applyAlignment="1">
      <alignment horizontal="right" vertical="center"/>
    </xf>
    <xf numFmtId="187" fontId="26" fillId="0" borderId="3" xfId="46" applyNumberFormat="1" applyFont="1" applyFill="1" applyBorder="1" applyAlignment="1">
      <alignment horizontal="right" vertical="center"/>
    </xf>
    <xf numFmtId="203" fontId="3" fillId="0" borderId="18" xfId="46" applyNumberFormat="1" applyFont="1" applyFill="1" applyBorder="1" applyAlignment="1">
      <alignment horizontal="right" vertical="center"/>
    </xf>
    <xf numFmtId="203" fontId="3" fillId="0" borderId="3" xfId="46" applyNumberFormat="1" applyFont="1" applyFill="1" applyBorder="1" applyAlignment="1">
      <alignment horizontal="right" vertical="center"/>
    </xf>
    <xf numFmtId="203" fontId="2" fillId="0" borderId="0" xfId="0" applyNumberFormat="1" applyFont="1" applyBorder="1"/>
    <xf numFmtId="0" fontId="3" fillId="23" borderId="0" xfId="0" applyFont="1" applyFill="1" applyBorder="1" applyAlignment="1">
      <alignment vertical="center"/>
    </xf>
    <xf numFmtId="172" fontId="3" fillId="23" borderId="0" xfId="0" applyNumberFormat="1" applyFont="1" applyFill="1" applyBorder="1" applyAlignment="1">
      <alignment horizontal="right" vertical="center"/>
    </xf>
    <xf numFmtId="172" fontId="3" fillId="23" borderId="18" xfId="0" applyNumberFormat="1" applyFont="1" applyFill="1" applyBorder="1" applyAlignment="1">
      <alignment horizontal="right" vertical="center"/>
    </xf>
    <xf numFmtId="172" fontId="3" fillId="23" borderId="3" xfId="0" applyNumberFormat="1" applyFont="1" applyFill="1" applyBorder="1" applyAlignment="1">
      <alignment horizontal="right" vertical="center"/>
    </xf>
    <xf numFmtId="179" fontId="96" fillId="23" borderId="0" xfId="0" applyNumberFormat="1" applyFont="1" applyFill="1" applyBorder="1" applyAlignment="1">
      <alignment horizontal="right" vertical="center"/>
    </xf>
    <xf numFmtId="179" fontId="3" fillId="23" borderId="0" xfId="0" applyNumberFormat="1" applyFont="1" applyFill="1" applyBorder="1" applyAlignment="1">
      <alignment horizontal="right" vertical="center"/>
    </xf>
    <xf numFmtId="179" fontId="3" fillId="23" borderId="18" xfId="0" applyNumberFormat="1" applyFont="1" applyFill="1" applyBorder="1" applyAlignment="1">
      <alignment horizontal="right" vertical="center"/>
    </xf>
    <xf numFmtId="179" fontId="3" fillId="23" borderId="3" xfId="0" applyNumberFormat="1" applyFont="1" applyFill="1" applyBorder="1" applyAlignment="1">
      <alignment horizontal="right" vertical="center"/>
    </xf>
    <xf numFmtId="172" fontId="26" fillId="23" borderId="0" xfId="0" applyNumberFormat="1" applyFont="1" applyFill="1" applyBorder="1" applyAlignment="1">
      <alignment horizontal="right" vertical="center"/>
    </xf>
    <xf numFmtId="199" fontId="3" fillId="23" borderId="0" xfId="0" applyNumberFormat="1" applyFont="1" applyFill="1" applyBorder="1" applyAlignment="1">
      <alignment horizontal="right" vertical="center"/>
    </xf>
    <xf numFmtId="203" fontId="96" fillId="23" borderId="0" xfId="46" applyNumberFormat="1" applyFont="1" applyFill="1" applyBorder="1" applyAlignment="1">
      <alignment horizontal="right" vertical="center"/>
    </xf>
    <xf numFmtId="203" fontId="96" fillId="23" borderId="3" xfId="46" applyNumberFormat="1" applyFont="1" applyFill="1" applyBorder="1" applyAlignment="1">
      <alignment horizontal="right" vertical="center"/>
    </xf>
    <xf numFmtId="203" fontId="26" fillId="17" borderId="18" xfId="46" applyNumberFormat="1" applyFont="1" applyFill="1" applyBorder="1" applyAlignment="1">
      <alignment horizontal="right" vertical="center"/>
    </xf>
    <xf numFmtId="203" fontId="26" fillId="17" borderId="0" xfId="46" applyNumberFormat="1" applyFont="1" applyFill="1" applyBorder="1" applyAlignment="1">
      <alignment horizontal="right" vertical="center"/>
    </xf>
    <xf numFmtId="203" fontId="26" fillId="17" borderId="3" xfId="46" applyNumberFormat="1" applyFont="1" applyFill="1" applyBorder="1" applyAlignment="1">
      <alignment horizontal="right" vertical="center"/>
    </xf>
    <xf numFmtId="203" fontId="26" fillId="0" borderId="0" xfId="46" applyNumberFormat="1" applyFont="1" applyFill="1" applyBorder="1" applyAlignment="1">
      <alignment horizontal="right" vertical="center"/>
    </xf>
    <xf numFmtId="203" fontId="26" fillId="0" borderId="18" xfId="46" applyNumberFormat="1" applyFont="1" applyFill="1" applyBorder="1" applyAlignment="1">
      <alignment horizontal="right" vertical="center"/>
    </xf>
    <xf numFmtId="203" fontId="26" fillId="0" borderId="3" xfId="46" applyNumberFormat="1" applyFont="1" applyFill="1" applyBorder="1" applyAlignment="1">
      <alignment horizontal="right" vertical="center"/>
    </xf>
    <xf numFmtId="199" fontId="2" fillId="25" borderId="0" xfId="0" applyNumberFormat="1" applyFont="1" applyFill="1" applyBorder="1" applyAlignment="1">
      <alignment horizontal="right" vertical="center"/>
    </xf>
    <xf numFmtId="6" fontId="3" fillId="0" borderId="0" xfId="46" applyNumberFormat="1" applyFont="1" applyFill="1" applyBorder="1" applyAlignment="1">
      <alignment horizontal="right" vertical="center"/>
    </xf>
    <xf numFmtId="203" fontId="2" fillId="0" borderId="0" xfId="46" applyNumberFormat="1" applyFont="1" applyBorder="1"/>
    <xf numFmtId="203" fontId="2" fillId="0" borderId="18" xfId="46" applyNumberFormat="1" applyFont="1" applyBorder="1"/>
    <xf numFmtId="203" fontId="2" fillId="0" borderId="3" xfId="46" applyNumberFormat="1" applyFont="1" applyBorder="1"/>
    <xf numFmtId="203" fontId="3" fillId="0" borderId="0" xfId="0" applyNumberFormat="1" applyFont="1" applyBorder="1"/>
    <xf numFmtId="179" fontId="3" fillId="0" borderId="18" xfId="0" applyNumberFormat="1" applyFont="1" applyFill="1" applyBorder="1"/>
    <xf numFmtId="179" fontId="3" fillId="0" borderId="3" xfId="0" applyNumberFormat="1" applyFont="1" applyFill="1" applyBorder="1"/>
    <xf numFmtId="203" fontId="2" fillId="0" borderId="18" xfId="0" applyNumberFormat="1" applyFont="1" applyBorder="1"/>
    <xf numFmtId="0" fontId="3" fillId="0" borderId="18" xfId="0" applyFont="1" applyFill="1" applyBorder="1" applyAlignment="1">
      <alignment horizontal="left" vertical="center" indent="1"/>
    </xf>
    <xf numFmtId="9" fontId="3" fillId="0" borderId="0" xfId="0" applyNumberFormat="1" applyFont="1" applyFill="1" applyBorder="1"/>
    <xf numFmtId="9" fontId="3" fillId="0" borderId="0" xfId="46" applyNumberFormat="1" applyFont="1" applyBorder="1"/>
    <xf numFmtId="10" fontId="2" fillId="0" borderId="0" xfId="0" applyNumberFormat="1" applyFont="1" applyFill="1" applyBorder="1" applyAlignment="1">
      <alignment horizontal="right" vertical="center"/>
    </xf>
    <xf numFmtId="10" fontId="26" fillId="17" borderId="0" xfId="0" applyNumberFormat="1" applyFont="1" applyFill="1" applyBorder="1" applyAlignment="1">
      <alignment horizontal="right" vertical="center"/>
    </xf>
    <xf numFmtId="0" fontId="3" fillId="17" borderId="18" xfId="0" applyFont="1" applyFill="1" applyBorder="1" applyAlignment="1">
      <alignment horizontal="left" indent="1"/>
    </xf>
    <xf numFmtId="6" fontId="3" fillId="17" borderId="0" xfId="0" applyNumberFormat="1" applyFont="1" applyFill="1"/>
    <xf numFmtId="6" fontId="3" fillId="17" borderId="18" xfId="0" applyNumberFormat="1" applyFont="1" applyFill="1" applyBorder="1" applyAlignment="1">
      <alignment horizontal="left" vertical="center"/>
    </xf>
    <xf numFmtId="6" fontId="3" fillId="17" borderId="0" xfId="0" applyNumberFormat="1" applyFont="1" applyFill="1" applyBorder="1" applyAlignment="1">
      <alignment vertical="center"/>
    </xf>
    <xf numFmtId="6" fontId="3" fillId="17" borderId="0" xfId="0" applyNumberFormat="1" applyFont="1" applyFill="1" applyBorder="1" applyAlignment="1">
      <alignment horizontal="right" vertical="center"/>
    </xf>
    <xf numFmtId="6" fontId="3" fillId="17" borderId="18" xfId="0" applyNumberFormat="1" applyFont="1" applyFill="1" applyBorder="1" applyAlignment="1">
      <alignment horizontal="right" vertical="center"/>
    </xf>
    <xf numFmtId="6" fontId="3" fillId="17" borderId="3" xfId="0" applyNumberFormat="1" applyFont="1" applyFill="1" applyBorder="1" applyAlignment="1">
      <alignment horizontal="right" vertical="center"/>
    </xf>
    <xf numFmtId="6" fontId="3" fillId="0" borderId="0" xfId="0" applyNumberFormat="1" applyFont="1" applyFill="1" applyBorder="1" applyAlignment="1">
      <alignment horizontal="right" vertical="center"/>
    </xf>
    <xf numFmtId="6" fontId="3" fillId="0" borderId="0" xfId="0" applyNumberFormat="1" applyFont="1"/>
    <xf numFmtId="0" fontId="101" fillId="0" borderId="0" xfId="67" applyFont="1" applyFill="1" applyBorder="1" applyAlignment="1">
      <alignment vertical="center"/>
    </xf>
    <xf numFmtId="0" fontId="87" fillId="19" borderId="0" xfId="0" applyFont="1" applyFill="1" applyBorder="1" applyAlignment="1">
      <alignment vertical="center"/>
    </xf>
    <xf numFmtId="0" fontId="101" fillId="0" borderId="0" xfId="67" applyFont="1" applyFill="1" applyBorder="1"/>
    <xf numFmtId="180" fontId="101" fillId="0" borderId="0" xfId="67" applyNumberFormat="1" applyFont="1" applyFill="1" applyBorder="1" applyAlignment="1">
      <alignment horizontal="center" vertical="center"/>
    </xf>
    <xf numFmtId="181" fontId="101" fillId="0" borderId="0" xfId="67" applyNumberFormat="1" applyFont="1" applyFill="1" applyBorder="1" applyAlignment="1">
      <alignment horizontal="center" vertical="center"/>
    </xf>
    <xf numFmtId="204" fontId="101" fillId="0" borderId="0" xfId="67" applyNumberFormat="1" applyFont="1" applyFill="1" applyBorder="1"/>
    <xf numFmtId="0" fontId="102" fillId="30" borderId="0" xfId="67" applyFont="1" applyFill="1" applyBorder="1" applyAlignment="1">
      <alignment horizontal="center"/>
    </xf>
    <xf numFmtId="8" fontId="101" fillId="0" borderId="0" xfId="67" applyNumberFormat="1" applyFont="1" applyFill="1" applyBorder="1"/>
    <xf numFmtId="0" fontId="2" fillId="0" borderId="0" xfId="0" applyFont="1" applyFill="1" applyBorder="1" applyAlignment="1">
      <alignment horizontal="right" vertical="center"/>
    </xf>
    <xf numFmtId="0" fontId="85" fillId="22" borderId="54" xfId="0" applyFont="1" applyFill="1" applyBorder="1"/>
    <xf numFmtId="5" fontId="86" fillId="22" borderId="55" xfId="46" applyNumberFormat="1" applyFont="1" applyFill="1" applyBorder="1" applyAlignment="1">
      <alignment horizontal="center"/>
    </xf>
    <xf numFmtId="0" fontId="86" fillId="0" borderId="56" xfId="0" applyFont="1" applyFill="1" applyBorder="1"/>
    <xf numFmtId="0" fontId="86" fillId="0" borderId="57" xfId="0" applyFont="1" applyFill="1" applyBorder="1"/>
    <xf numFmtId="0" fontId="86" fillId="0" borderId="58" xfId="0" applyFont="1" applyFill="1" applyBorder="1" applyAlignment="1">
      <alignment horizontal="center"/>
    </xf>
    <xf numFmtId="0" fontId="86" fillId="0" borderId="59" xfId="0" applyFont="1" applyFill="1" applyBorder="1"/>
    <xf numFmtId="0" fontId="103" fillId="30" borderId="60" xfId="0" applyFont="1" applyFill="1" applyBorder="1"/>
    <xf numFmtId="219" fontId="103" fillId="30" borderId="61" xfId="0" applyNumberFormat="1" applyFont="1" applyFill="1" applyBorder="1" applyAlignment="1">
      <alignment horizontal="center"/>
    </xf>
    <xf numFmtId="183" fontId="85" fillId="0" borderId="62" xfId="0" applyNumberFormat="1" applyFont="1" applyFill="1" applyBorder="1" applyAlignment="1">
      <alignment horizontal="center"/>
    </xf>
    <xf numFmtId="5" fontId="86" fillId="0" borderId="58" xfId="46" applyNumberFormat="1" applyFont="1" applyFill="1" applyBorder="1" applyAlignment="1">
      <alignment horizontal="center"/>
    </xf>
    <xf numFmtId="5" fontId="86" fillId="0" borderId="63" xfId="46" applyNumberFormat="1" applyFont="1" applyFill="1" applyBorder="1" applyAlignment="1">
      <alignment horizontal="center"/>
    </xf>
    <xf numFmtId="9" fontId="0" fillId="0" borderId="0" xfId="0" applyNumberFormat="1"/>
    <xf numFmtId="9" fontId="3" fillId="0" borderId="0" xfId="0" applyNumberFormat="1" applyFont="1"/>
    <xf numFmtId="199" fontId="23" fillId="0" borderId="31" xfId="0" applyNumberFormat="1" applyFont="1" applyFill="1" applyBorder="1"/>
    <xf numFmtId="179" fontId="3" fillId="23" borderId="18" xfId="0" applyNumberFormat="1" applyFont="1" applyFill="1" applyBorder="1" applyAlignment="1">
      <alignment horizontal="right" vertical="center"/>
    </xf>
    <xf numFmtId="179" fontId="8" fillId="0" borderId="0" xfId="0" applyNumberFormat="1" applyFont="1" applyFill="1"/>
    <xf numFmtId="179" fontId="3" fillId="0" borderId="0" xfId="0" applyNumberFormat="1" applyFont="1" applyFill="1"/>
    <xf numFmtId="6" fontId="3" fillId="0" borderId="3" xfId="46" applyNumberFormat="1" applyFont="1" applyFill="1" applyBorder="1" applyAlignment="1">
      <alignment horizontal="right" vertical="center"/>
    </xf>
    <xf numFmtId="9" fontId="96" fillId="0" borderId="31" xfId="0" applyNumberFormat="1" applyFont="1" applyFill="1" applyBorder="1" applyAlignment="1">
      <alignment horizontal="right" vertical="center"/>
    </xf>
    <xf numFmtId="9" fontId="99" fillId="22" borderId="0" xfId="74" applyFont="1" applyFill="1"/>
    <xf numFmtId="179" fontId="10" fillId="22" borderId="0" xfId="0" applyNumberFormat="1" applyFont="1" applyFill="1" applyAlignment="1">
      <alignment vertical="center"/>
    </xf>
    <xf numFmtId="179" fontId="10" fillId="22" borderId="13" xfId="0" applyNumberFormat="1" applyFont="1" applyFill="1" applyBorder="1" applyAlignment="1">
      <alignment vertical="center"/>
    </xf>
    <xf numFmtId="9" fontId="6" fillId="0" borderId="18" xfId="0" applyNumberFormat="1" applyFont="1" applyFill="1" applyBorder="1" applyAlignment="1">
      <alignment vertical="center"/>
    </xf>
    <xf numFmtId="176" fontId="3" fillId="0" borderId="20" xfId="0" applyNumberFormat="1" applyFont="1" applyBorder="1" applyAlignment="1">
      <alignment horizontal="right" vertical="center"/>
    </xf>
    <xf numFmtId="176" fontId="3" fillId="0" borderId="17" xfId="0" applyNumberFormat="1" applyFont="1" applyBorder="1" applyAlignment="1">
      <alignment horizontal="right" vertical="center"/>
    </xf>
    <xf numFmtId="170" fontId="21" fillId="17" borderId="0" xfId="0" applyNumberFormat="1" applyFont="1" applyFill="1" applyBorder="1" applyAlignment="1">
      <alignment horizontal="right" vertical="center"/>
    </xf>
    <xf numFmtId="0" fontId="2" fillId="17" borderId="0" xfId="0" applyFont="1" applyFill="1" applyAlignment="1">
      <alignment horizontal="center"/>
    </xf>
    <xf numFmtId="9" fontId="3" fillId="0" borderId="18" xfId="46" applyNumberFormat="1" applyFont="1" applyBorder="1"/>
    <xf numFmtId="43" fontId="2" fillId="0" borderId="18" xfId="46" applyFont="1" applyBorder="1"/>
    <xf numFmtId="9" fontId="2" fillId="0" borderId="0" xfId="0" applyNumberFormat="1" applyFont="1" applyFill="1" applyBorder="1" applyAlignment="1">
      <alignment horizontal="center"/>
    </xf>
    <xf numFmtId="9" fontId="2" fillId="0" borderId="0" xfId="0" applyNumberFormat="1" applyFont="1" applyFill="1" applyBorder="1" applyAlignment="1">
      <alignment horizontal="center" vertical="center"/>
    </xf>
    <xf numFmtId="0" fontId="2" fillId="0" borderId="0" xfId="0" applyFont="1" applyFill="1" applyBorder="1" applyAlignment="1">
      <alignment horizontal="center"/>
    </xf>
    <xf numFmtId="0" fontId="4" fillId="17" borderId="0" xfId="0" applyFont="1" applyFill="1" applyAlignment="1">
      <alignment horizontal="center" vertical="center"/>
    </xf>
    <xf numFmtId="199" fontId="26" fillId="0" borderId="12" xfId="0" applyNumberFormat="1" applyFont="1" applyFill="1" applyBorder="1" applyAlignment="1">
      <alignment vertical="center"/>
    </xf>
    <xf numFmtId="171" fontId="2" fillId="17" borderId="0" xfId="0" applyNumberFormat="1" applyFont="1" applyFill="1" applyBorder="1" applyAlignment="1">
      <alignment horizontal="right" vertical="center"/>
    </xf>
    <xf numFmtId="167" fontId="7" fillId="17" borderId="0" xfId="0" applyNumberFormat="1" applyFont="1" applyFill="1" applyBorder="1" applyAlignment="1">
      <alignment horizontal="right" vertical="center"/>
    </xf>
    <xf numFmtId="171" fontId="7" fillId="17" borderId="0" xfId="0" applyNumberFormat="1" applyFont="1" applyFill="1" applyBorder="1" applyAlignment="1">
      <alignment horizontal="right" vertical="center"/>
    </xf>
    <xf numFmtId="167" fontId="2" fillId="17" borderId="0" xfId="0" applyNumberFormat="1" applyFont="1" applyFill="1" applyBorder="1" applyAlignment="1">
      <alignment vertical="center"/>
    </xf>
    <xf numFmtId="170" fontId="24" fillId="17" borderId="0" xfId="0" applyNumberFormat="1" applyFont="1" applyFill="1" applyBorder="1" applyAlignment="1">
      <alignment horizontal="right" vertical="center"/>
    </xf>
    <xf numFmtId="181" fontId="2" fillId="0" borderId="18" xfId="0" applyNumberFormat="1" applyFont="1" applyFill="1" applyBorder="1" applyAlignment="1">
      <alignment horizontal="right" vertical="center"/>
    </xf>
    <xf numFmtId="0" fontId="86" fillId="0" borderId="57" xfId="0" quotePrefix="1" applyFont="1" applyFill="1" applyBorder="1"/>
    <xf numFmtId="9" fontId="86" fillId="0" borderId="58" xfId="46" applyNumberFormat="1" applyFont="1" applyFill="1" applyBorder="1" applyAlignment="1">
      <alignment horizontal="center"/>
    </xf>
    <xf numFmtId="0" fontId="86" fillId="0" borderId="64" xfId="0" applyFont="1" applyFill="1" applyBorder="1"/>
    <xf numFmtId="5" fontId="86" fillId="0" borderId="65" xfId="0" applyNumberFormat="1" applyFont="1" applyFill="1" applyBorder="1" applyAlignment="1">
      <alignment horizontal="center"/>
    </xf>
    <xf numFmtId="0" fontId="10" fillId="0" borderId="0" xfId="0" applyFont="1" applyFill="1"/>
    <xf numFmtId="0" fontId="10" fillId="0" borderId="0" xfId="0" applyFont="1" applyFill="1" applyAlignment="1">
      <alignment horizontal="left" vertical="center" indent="1"/>
    </xf>
    <xf numFmtId="0" fontId="10" fillId="0" borderId="0" xfId="0" applyFont="1" applyFill="1" applyAlignment="1">
      <alignment vertical="center"/>
    </xf>
    <xf numFmtId="166" fontId="51" fillId="0" borderId="0" xfId="0" applyNumberFormat="1" applyFont="1" applyFill="1" applyAlignment="1">
      <alignment vertical="center"/>
    </xf>
    <xf numFmtId="170" fontId="10" fillId="0" borderId="0" xfId="0" applyNumberFormat="1" applyFont="1" applyFill="1" applyAlignment="1">
      <alignment horizontal="right" vertical="center"/>
    </xf>
    <xf numFmtId="199" fontId="99" fillId="0" borderId="0" xfId="0" applyNumberFormat="1" applyFont="1" applyFill="1" applyBorder="1" applyAlignment="1">
      <alignment horizontal="right" vertical="center"/>
    </xf>
    <xf numFmtId="199" fontId="99" fillId="0" borderId="3" xfId="0" applyNumberFormat="1" applyFont="1" applyFill="1" applyBorder="1" applyAlignment="1">
      <alignment horizontal="right" vertical="center"/>
    </xf>
    <xf numFmtId="179" fontId="8" fillId="0" borderId="18" xfId="0" applyNumberFormat="1" applyFont="1" applyFill="1" applyBorder="1" applyAlignment="1">
      <alignment vertical="center"/>
    </xf>
    <xf numFmtId="198" fontId="21" fillId="0" borderId="0" xfId="0" applyNumberFormat="1" applyFont="1" applyFill="1" applyBorder="1" applyAlignment="1">
      <alignment horizontal="right" vertical="center"/>
    </xf>
    <xf numFmtId="179" fontId="21" fillId="0" borderId="0" xfId="0" applyNumberFormat="1" applyFont="1" applyFill="1" applyBorder="1" applyAlignment="1">
      <alignment horizontal="right" vertical="center"/>
    </xf>
    <xf numFmtId="198" fontId="33" fillId="0" borderId="3" xfId="0" applyNumberFormat="1" applyFont="1" applyFill="1" applyBorder="1" applyAlignment="1">
      <alignment vertical="center"/>
    </xf>
    <xf numFmtId="9" fontId="44" fillId="0" borderId="0" xfId="0" applyNumberFormat="1" applyFont="1" applyFill="1" applyBorder="1" applyAlignment="1">
      <alignment vertical="center"/>
    </xf>
    <xf numFmtId="203" fontId="2" fillId="0" borderId="3" xfId="0" applyNumberFormat="1" applyFont="1" applyBorder="1"/>
    <xf numFmtId="9" fontId="3" fillId="0" borderId="3" xfId="46" applyNumberFormat="1" applyFont="1" applyBorder="1"/>
    <xf numFmtId="179" fontId="96" fillId="23" borderId="18" xfId="0" applyNumberFormat="1" applyFont="1" applyFill="1" applyBorder="1" applyAlignment="1">
      <alignment horizontal="right" vertical="center"/>
    </xf>
    <xf numFmtId="179" fontId="96" fillId="23" borderId="3" xfId="0" applyNumberFormat="1" applyFont="1" applyFill="1" applyBorder="1" applyAlignment="1">
      <alignment horizontal="right" vertical="center"/>
    </xf>
    <xf numFmtId="219" fontId="6" fillId="0" borderId="3" xfId="0" applyNumberFormat="1" applyFont="1" applyFill="1" applyBorder="1"/>
    <xf numFmtId="181" fontId="99" fillId="0" borderId="3" xfId="0" applyNumberFormat="1" applyFont="1" applyFill="1" applyBorder="1" applyAlignment="1">
      <alignment vertical="center"/>
    </xf>
    <xf numFmtId="181" fontId="99" fillId="17" borderId="3" xfId="0" applyNumberFormat="1" applyFont="1" applyFill="1" applyBorder="1" applyAlignment="1">
      <alignment vertical="center"/>
    </xf>
    <xf numFmtId="37" fontId="99" fillId="17" borderId="3" xfId="0" applyNumberFormat="1" applyFont="1" applyFill="1" applyBorder="1" applyAlignment="1">
      <alignment vertical="center"/>
    </xf>
    <xf numFmtId="1" fontId="2" fillId="0" borderId="18" xfId="0" applyNumberFormat="1" applyFont="1" applyFill="1" applyBorder="1" applyAlignment="1">
      <alignment horizontal="right" vertical="center"/>
    </xf>
    <xf numFmtId="221" fontId="2" fillId="0" borderId="3" xfId="0" applyNumberFormat="1" applyFont="1" applyFill="1" applyBorder="1" applyAlignment="1">
      <alignment horizontal="right" vertical="center"/>
    </xf>
    <xf numFmtId="43" fontId="2" fillId="0" borderId="3" xfId="46" applyFont="1" applyBorder="1"/>
    <xf numFmtId="4" fontId="21" fillId="17" borderId="3" xfId="0" applyNumberFormat="1" applyFont="1" applyFill="1" applyBorder="1" applyAlignment="1">
      <alignment vertical="center"/>
    </xf>
    <xf numFmtId="9" fontId="21" fillId="17" borderId="3" xfId="0" applyNumberFormat="1" applyFont="1" applyFill="1" applyBorder="1" applyAlignment="1">
      <alignment vertical="center"/>
    </xf>
    <xf numFmtId="9" fontId="98" fillId="17" borderId="3" xfId="0" applyNumberFormat="1" applyFont="1" applyFill="1" applyBorder="1" applyAlignment="1">
      <alignment vertical="center"/>
    </xf>
    <xf numFmtId="4" fontId="21" fillId="17" borderId="18" xfId="0" applyNumberFormat="1" applyFont="1" applyFill="1" applyBorder="1" applyAlignment="1">
      <alignment vertical="center"/>
    </xf>
    <xf numFmtId="187" fontId="26" fillId="17" borderId="18" xfId="46" applyNumberFormat="1" applyFont="1" applyFill="1" applyBorder="1"/>
    <xf numFmtId="187" fontId="2" fillId="17" borderId="18" xfId="46" applyNumberFormat="1" applyFont="1" applyFill="1" applyBorder="1"/>
    <xf numFmtId="9" fontId="21" fillId="17" borderId="18" xfId="0" applyNumberFormat="1" applyFont="1" applyFill="1" applyBorder="1" applyAlignment="1">
      <alignment vertical="center"/>
    </xf>
    <xf numFmtId="6" fontId="3" fillId="0" borderId="18" xfId="46" applyNumberFormat="1" applyFont="1" applyFill="1" applyBorder="1" applyAlignment="1">
      <alignment horizontal="right" vertical="center"/>
    </xf>
    <xf numFmtId="164" fontId="22" fillId="21" borderId="19" xfId="0" applyNumberFormat="1" applyFont="1" applyFill="1" applyBorder="1" applyAlignment="1">
      <alignment horizontal="right" vertical="center"/>
    </xf>
    <xf numFmtId="176" fontId="3" fillId="0" borderId="21" xfId="0" applyNumberFormat="1" applyFont="1" applyFill="1" applyBorder="1" applyAlignment="1">
      <alignment horizontal="right" vertical="center"/>
    </xf>
    <xf numFmtId="179" fontId="95" fillId="0" borderId="0" xfId="0" applyNumberFormat="1" applyFont="1" applyFill="1" applyBorder="1" applyAlignment="1">
      <alignment vertical="center"/>
    </xf>
    <xf numFmtId="203" fontId="2" fillId="0" borderId="0" xfId="0" applyNumberFormat="1" applyFont="1" applyFill="1" applyBorder="1" applyAlignment="1">
      <alignment horizontal="right" vertical="center"/>
    </xf>
    <xf numFmtId="2" fontId="26" fillId="17" borderId="0" xfId="0" applyNumberFormat="1" applyFont="1" applyFill="1" applyBorder="1" applyAlignment="1">
      <alignment horizontal="right" vertical="center"/>
    </xf>
    <xf numFmtId="43" fontId="21" fillId="17" borderId="0" xfId="46" applyFont="1" applyFill="1" applyBorder="1" applyAlignment="1">
      <alignment vertical="center"/>
    </xf>
    <xf numFmtId="43" fontId="21" fillId="17" borderId="18" xfId="46" applyFont="1" applyFill="1" applyBorder="1" applyAlignment="1">
      <alignment vertical="center"/>
    </xf>
    <xf numFmtId="43" fontId="21" fillId="17" borderId="3" xfId="46" applyFont="1" applyFill="1" applyBorder="1" applyAlignment="1">
      <alignment vertical="center"/>
    </xf>
    <xf numFmtId="37" fontId="72" fillId="17" borderId="18" xfId="0" applyNumberFormat="1" applyFont="1" applyFill="1" applyBorder="1" applyAlignment="1">
      <alignment vertical="center"/>
    </xf>
    <xf numFmtId="179" fontId="33" fillId="23" borderId="21" xfId="0" applyNumberFormat="1" applyFont="1" applyFill="1" applyBorder="1" applyAlignment="1">
      <alignment vertical="center"/>
    </xf>
    <xf numFmtId="181" fontId="104" fillId="0" borderId="18" xfId="0" applyNumberFormat="1" applyFont="1" applyFill="1" applyBorder="1" applyAlignment="1">
      <alignment vertical="center"/>
    </xf>
    <xf numFmtId="181" fontId="104" fillId="0" borderId="0" xfId="0" applyNumberFormat="1" applyFont="1" applyFill="1" applyBorder="1" applyAlignment="1">
      <alignment vertical="center"/>
    </xf>
    <xf numFmtId="199" fontId="3" fillId="22" borderId="0" xfId="46" applyNumberFormat="1" applyFont="1" applyFill="1" applyBorder="1" applyAlignment="1">
      <alignment vertical="center"/>
    </xf>
    <xf numFmtId="198" fontId="2" fillId="17" borderId="0" xfId="0" applyNumberFormat="1" applyFont="1" applyFill="1"/>
    <xf numFmtId="179" fontId="99" fillId="17" borderId="18" xfId="0" applyNumberFormat="1" applyFont="1" applyFill="1" applyBorder="1" applyAlignment="1">
      <alignment vertical="center"/>
    </xf>
    <xf numFmtId="199" fontId="3" fillId="22" borderId="3" xfId="46" applyNumberFormat="1" applyFont="1" applyFill="1" applyBorder="1" applyAlignment="1">
      <alignment vertical="center"/>
    </xf>
    <xf numFmtId="0" fontId="5" fillId="0" borderId="0" xfId="0" applyFont="1" applyFill="1"/>
    <xf numFmtId="0" fontId="5" fillId="0" borderId="0" xfId="0" applyFont="1" applyFill="1" applyBorder="1"/>
    <xf numFmtId="181" fontId="5" fillId="0" borderId="0" xfId="0" applyNumberFormat="1" applyFont="1" applyFill="1" applyBorder="1" applyAlignment="1">
      <alignment horizontal="right" vertical="center"/>
    </xf>
    <xf numFmtId="181" fontId="5" fillId="0" borderId="18" xfId="0" applyNumberFormat="1" applyFont="1" applyFill="1" applyBorder="1" applyAlignment="1">
      <alignment horizontal="right" vertical="center"/>
    </xf>
    <xf numFmtId="181" fontId="105" fillId="0" borderId="0" xfId="0" applyNumberFormat="1" applyFont="1" applyFill="1" applyBorder="1" applyAlignment="1">
      <alignment horizontal="right" vertical="center"/>
    </xf>
    <xf numFmtId="181" fontId="105" fillId="0" borderId="3" xfId="0" applyNumberFormat="1" applyFont="1" applyFill="1" applyBorder="1" applyAlignment="1">
      <alignment horizontal="right" vertical="center"/>
    </xf>
    <xf numFmtId="181" fontId="75" fillId="0" borderId="0" xfId="0" applyNumberFormat="1" applyFont="1" applyFill="1" applyBorder="1" applyAlignment="1">
      <alignment horizontal="right" vertical="center"/>
    </xf>
    <xf numFmtId="187" fontId="3" fillId="0" borderId="0" xfId="46" applyNumberFormat="1" applyFont="1" applyFill="1" applyBorder="1" applyAlignment="1">
      <alignment horizontal="right" vertical="center"/>
    </xf>
    <xf numFmtId="187" fontId="2" fillId="0" borderId="0" xfId="46" applyNumberFormat="1" applyFont="1" applyFill="1" applyBorder="1" applyAlignment="1">
      <alignment horizontal="right" vertical="center"/>
    </xf>
    <xf numFmtId="187" fontId="82" fillId="0" borderId="0" xfId="46" applyNumberFormat="1" applyFont="1" applyFill="1" applyBorder="1" applyAlignment="1">
      <alignment horizontal="right" vertical="center"/>
    </xf>
    <xf numFmtId="0" fontId="88" fillId="0" borderId="0" xfId="0" applyFont="1"/>
    <xf numFmtId="0" fontId="88" fillId="0" borderId="0" xfId="0" applyFont="1" applyBorder="1"/>
    <xf numFmtId="0" fontId="88" fillId="0" borderId="0" xfId="0" applyFont="1" applyFill="1" applyBorder="1"/>
    <xf numFmtId="0" fontId="82" fillId="0" borderId="0" xfId="0" applyFont="1"/>
    <xf numFmtId="181" fontId="82" fillId="0" borderId="0" xfId="0" applyNumberFormat="1" applyFont="1" applyFill="1" applyBorder="1" applyAlignment="1">
      <alignment horizontal="right" vertical="center"/>
    </xf>
    <xf numFmtId="0" fontId="82" fillId="0" borderId="0" xfId="0" applyFont="1" applyBorder="1"/>
    <xf numFmtId="0" fontId="82" fillId="0" borderId="0" xfId="0" applyFont="1" applyFill="1" applyBorder="1"/>
    <xf numFmtId="222" fontId="2" fillId="17" borderId="0" xfId="49" applyNumberFormat="1" applyFont="1" applyFill="1" applyBorder="1" applyAlignment="1">
      <alignment horizontal="right" vertical="center"/>
    </xf>
    <xf numFmtId="222" fontId="2" fillId="17" borderId="3" xfId="49" applyNumberFormat="1" applyFont="1" applyFill="1" applyBorder="1" applyAlignment="1">
      <alignment horizontal="right" vertical="center"/>
    </xf>
    <xf numFmtId="6" fontId="2" fillId="17" borderId="0" xfId="0" applyNumberFormat="1" applyFont="1" applyFill="1"/>
    <xf numFmtId="6" fontId="2" fillId="0" borderId="0" xfId="0" applyNumberFormat="1" applyFont="1" applyFill="1"/>
    <xf numFmtId="6" fontId="3" fillId="17" borderId="18" xfId="0" applyNumberFormat="1" applyFont="1" applyFill="1" applyBorder="1" applyAlignment="1">
      <alignment vertical="center"/>
    </xf>
    <xf numFmtId="6" fontId="26" fillId="17" borderId="0" xfId="0" applyNumberFormat="1" applyFont="1" applyFill="1" applyBorder="1" applyAlignment="1">
      <alignment vertical="center"/>
    </xf>
    <xf numFmtId="6" fontId="26" fillId="17" borderId="0" xfId="0" applyNumberFormat="1" applyFont="1" applyFill="1" applyBorder="1" applyAlignment="1">
      <alignment horizontal="right" vertical="center"/>
    </xf>
    <xf numFmtId="6" fontId="26" fillId="17" borderId="3" xfId="0" applyNumberFormat="1" applyFont="1" applyFill="1" applyBorder="1" applyAlignment="1">
      <alignment horizontal="right" vertical="center"/>
    </xf>
    <xf numFmtId="6" fontId="26" fillId="17" borderId="18" xfId="0" applyNumberFormat="1" applyFont="1" applyFill="1" applyBorder="1" applyAlignment="1">
      <alignment horizontal="right" vertical="center"/>
    </xf>
    <xf numFmtId="6" fontId="2" fillId="0" borderId="0" xfId="0" applyNumberFormat="1" applyFont="1" applyFill="1" applyBorder="1" applyAlignment="1">
      <alignment horizontal="right" vertical="center"/>
    </xf>
    <xf numFmtId="6" fontId="3" fillId="0" borderId="0" xfId="49" applyNumberFormat="1" applyFont="1" applyFill="1" applyBorder="1" applyAlignment="1">
      <alignment horizontal="right" vertical="center"/>
    </xf>
    <xf numFmtId="6" fontId="3" fillId="0" borderId="3" xfId="49" applyNumberFormat="1" applyFont="1" applyFill="1" applyBorder="1" applyAlignment="1">
      <alignment horizontal="right" vertical="center"/>
    </xf>
    <xf numFmtId="6" fontId="26" fillId="0" borderId="0" xfId="0" applyNumberFormat="1" applyFont="1" applyFill="1" applyBorder="1" applyAlignment="1">
      <alignment horizontal="right" vertical="center"/>
    </xf>
    <xf numFmtId="6" fontId="2" fillId="0" borderId="0" xfId="0" applyNumberFormat="1" applyFont="1"/>
    <xf numFmtId="6" fontId="2" fillId="17" borderId="18" xfId="0" applyNumberFormat="1" applyFont="1" applyFill="1" applyBorder="1" applyAlignment="1">
      <alignment horizontal="right" vertical="center"/>
    </xf>
    <xf numFmtId="6" fontId="2" fillId="17" borderId="0" xfId="0" applyNumberFormat="1" applyFont="1" applyFill="1" applyBorder="1" applyAlignment="1">
      <alignment horizontal="right" vertical="center"/>
    </xf>
    <xf numFmtId="203" fontId="2" fillId="0" borderId="18" xfId="0" applyNumberFormat="1" applyFont="1" applyFill="1" applyBorder="1" applyAlignment="1">
      <alignment horizontal="right" vertical="center"/>
    </xf>
    <xf numFmtId="187" fontId="2" fillId="0" borderId="18" xfId="46" applyNumberFormat="1" applyFont="1" applyFill="1" applyBorder="1" applyAlignment="1">
      <alignment horizontal="right" vertical="center"/>
    </xf>
    <xf numFmtId="187" fontId="2" fillId="0" borderId="3" xfId="46" applyNumberFormat="1" applyFont="1" applyFill="1" applyBorder="1" applyAlignment="1">
      <alignment horizontal="right" vertical="center"/>
    </xf>
    <xf numFmtId="187" fontId="3" fillId="0" borderId="18" xfId="46" applyNumberFormat="1" applyFont="1" applyFill="1" applyBorder="1" applyAlignment="1">
      <alignment horizontal="right" vertical="center"/>
    </xf>
    <xf numFmtId="187" fontId="3" fillId="0" borderId="3" xfId="46" applyNumberFormat="1" applyFont="1" applyFill="1" applyBorder="1" applyAlignment="1">
      <alignment horizontal="right" vertical="center"/>
    </xf>
    <xf numFmtId="9" fontId="82" fillId="0" borderId="18" xfId="0" applyNumberFormat="1" applyFont="1" applyFill="1" applyBorder="1"/>
    <xf numFmtId="9" fontId="82" fillId="0" borderId="0" xfId="0" applyNumberFormat="1" applyFont="1" applyFill="1" applyBorder="1"/>
    <xf numFmtId="9" fontId="82" fillId="0" borderId="3" xfId="0" applyNumberFormat="1" applyFont="1" applyFill="1" applyBorder="1"/>
    <xf numFmtId="9" fontId="3" fillId="0" borderId="18" xfId="0" applyNumberFormat="1" applyFont="1" applyFill="1" applyBorder="1"/>
    <xf numFmtId="9" fontId="3" fillId="0" borderId="3" xfId="0" applyNumberFormat="1" applyFont="1" applyFill="1" applyBorder="1"/>
    <xf numFmtId="181" fontId="82" fillId="0" borderId="18" xfId="0" applyNumberFormat="1" applyFont="1" applyFill="1" applyBorder="1" applyAlignment="1">
      <alignment horizontal="right" vertical="center"/>
    </xf>
    <xf numFmtId="181" fontId="82" fillId="0" borderId="3" xfId="0" applyNumberFormat="1" applyFont="1" applyFill="1" applyBorder="1" applyAlignment="1">
      <alignment horizontal="right" vertical="center"/>
    </xf>
    <xf numFmtId="43" fontId="2" fillId="0" borderId="18" xfId="0" applyNumberFormat="1" applyFont="1" applyBorder="1"/>
    <xf numFmtId="43" fontId="2" fillId="0" borderId="0" xfId="0" applyNumberFormat="1" applyFont="1" applyBorder="1"/>
    <xf numFmtId="43" fontId="2" fillId="0" borderId="3" xfId="0" applyNumberFormat="1" applyFont="1" applyBorder="1"/>
    <xf numFmtId="43" fontId="88" fillId="0" borderId="18" xfId="0" applyNumberFormat="1" applyFont="1" applyBorder="1"/>
    <xf numFmtId="43" fontId="88" fillId="0" borderId="0" xfId="0" applyNumberFormat="1" applyFont="1" applyBorder="1"/>
    <xf numFmtId="43" fontId="88" fillId="0" borderId="3" xfId="0" applyNumberFormat="1" applyFont="1" applyBorder="1"/>
    <xf numFmtId="43" fontId="3" fillId="0" borderId="18" xfId="0" applyNumberFormat="1" applyFont="1" applyBorder="1"/>
    <xf numFmtId="43" fontId="3" fillId="0" borderId="0" xfId="0" applyNumberFormat="1" applyFont="1" applyBorder="1"/>
    <xf numFmtId="43" fontId="3" fillId="0" borderId="3" xfId="0" applyNumberFormat="1" applyFont="1" applyBorder="1"/>
    <xf numFmtId="0" fontId="26" fillId="24" borderId="18" xfId="0" applyFont="1" applyFill="1" applyBorder="1" applyAlignment="1">
      <alignment vertical="center"/>
    </xf>
    <xf numFmtId="179" fontId="94" fillId="0" borderId="18" xfId="0" applyNumberFormat="1" applyFont="1" applyFill="1" applyBorder="1" applyAlignment="1">
      <alignment vertical="center"/>
    </xf>
    <xf numFmtId="179" fontId="96" fillId="17" borderId="18" xfId="0" applyNumberFormat="1" applyFont="1" applyFill="1" applyBorder="1" applyAlignment="1">
      <alignment vertical="center"/>
    </xf>
    <xf numFmtId="179" fontId="98" fillId="17" borderId="18" xfId="0" applyNumberFormat="1" applyFont="1" applyFill="1" applyBorder="1" applyAlignment="1">
      <alignment vertical="center"/>
    </xf>
    <xf numFmtId="181" fontId="96" fillId="22" borderId="18" xfId="0" applyNumberFormat="1" applyFont="1" applyFill="1" applyBorder="1" applyAlignment="1">
      <alignment horizontal="right" vertical="center"/>
    </xf>
    <xf numFmtId="198" fontId="96" fillId="17" borderId="18" xfId="0" applyNumberFormat="1" applyFont="1" applyFill="1" applyBorder="1" applyAlignment="1">
      <alignment vertical="center"/>
    </xf>
    <xf numFmtId="187" fontId="82" fillId="0" borderId="18" xfId="46" applyNumberFormat="1" applyFont="1" applyFill="1" applyBorder="1" applyAlignment="1">
      <alignment horizontal="right" vertical="center"/>
    </xf>
    <xf numFmtId="187" fontId="82" fillId="0" borderId="3" xfId="46" applyNumberFormat="1" applyFont="1" applyFill="1" applyBorder="1" applyAlignment="1">
      <alignment horizontal="right" vertical="center"/>
    </xf>
    <xf numFmtId="9" fontId="82" fillId="0" borderId="18" xfId="0" applyNumberFormat="1" applyFont="1" applyBorder="1"/>
    <xf numFmtId="9" fontId="82" fillId="0" borderId="0" xfId="0" applyNumberFormat="1" applyFont="1" applyBorder="1"/>
    <xf numFmtId="9" fontId="82" fillId="0" borderId="3" xfId="0" applyNumberFormat="1" applyFont="1" applyBorder="1"/>
    <xf numFmtId="9" fontId="3" fillId="0" borderId="18" xfId="0" applyNumberFormat="1" applyFont="1" applyBorder="1"/>
    <xf numFmtId="9" fontId="3" fillId="0" borderId="0" xfId="0" applyNumberFormat="1" applyFont="1" applyBorder="1"/>
    <xf numFmtId="9" fontId="3" fillId="0" borderId="3" xfId="0" applyNumberFormat="1" applyFont="1" applyBorder="1"/>
    <xf numFmtId="0" fontId="82" fillId="0" borderId="18" xfId="0" applyFont="1" applyBorder="1"/>
    <xf numFmtId="0" fontId="82" fillId="0" borderId="3" xfId="0" applyFont="1" applyBorder="1"/>
    <xf numFmtId="0" fontId="88" fillId="0" borderId="18" xfId="0" applyFont="1" applyBorder="1"/>
    <xf numFmtId="0" fontId="88" fillId="0" borderId="3" xfId="0" applyFont="1" applyBorder="1"/>
    <xf numFmtId="0" fontId="3" fillId="24" borderId="18" xfId="0" applyFont="1" applyFill="1" applyBorder="1" applyAlignment="1">
      <alignment horizontal="left"/>
    </xf>
    <xf numFmtId="198" fontId="8" fillId="17" borderId="0" xfId="0" applyNumberFormat="1" applyFont="1" applyFill="1" applyBorder="1"/>
    <xf numFmtId="198" fontId="8" fillId="0" borderId="0" xfId="0" applyNumberFormat="1" applyFont="1" applyFill="1" applyBorder="1"/>
    <xf numFmtId="0" fontId="3" fillId="0" borderId="18" xfId="0" applyFont="1" applyFill="1" applyBorder="1" applyAlignment="1">
      <alignment horizontal="left" vertical="center"/>
    </xf>
    <xf numFmtId="0" fontId="82" fillId="0" borderId="18" xfId="0" applyFont="1" applyBorder="1" applyAlignment="1">
      <alignment horizontal="left" vertical="center"/>
    </xf>
    <xf numFmtId="181" fontId="5" fillId="0" borderId="3" xfId="0" applyNumberFormat="1" applyFont="1" applyFill="1" applyBorder="1" applyAlignment="1">
      <alignment horizontal="right" vertical="center"/>
    </xf>
    <xf numFmtId="0" fontId="5" fillId="0" borderId="18" xfId="0" applyFont="1" applyFill="1" applyBorder="1" applyAlignment="1">
      <alignment horizontal="left" vertical="center"/>
    </xf>
    <xf numFmtId="0" fontId="88" fillId="0" borderId="18" xfId="0" applyFont="1" applyBorder="1" applyAlignment="1">
      <alignment horizontal="left" vertical="center"/>
    </xf>
    <xf numFmtId="181" fontId="99" fillId="0" borderId="18" xfId="0" applyNumberFormat="1" applyFont="1" applyFill="1" applyBorder="1" applyAlignment="1">
      <alignment horizontal="right" vertical="center"/>
    </xf>
    <xf numFmtId="181" fontId="99" fillId="17" borderId="18" xfId="0" applyNumberFormat="1" applyFont="1" applyFill="1" applyBorder="1" applyAlignment="1">
      <alignment horizontal="right" vertical="center"/>
    </xf>
    <xf numFmtId="181" fontId="99" fillId="17" borderId="0" xfId="0" applyNumberFormat="1" applyFont="1" applyFill="1" applyBorder="1" applyAlignment="1">
      <alignment horizontal="right" vertical="center"/>
    </xf>
    <xf numFmtId="181" fontId="99" fillId="17" borderId="3" xfId="0" applyNumberFormat="1" applyFont="1" applyFill="1" applyBorder="1" applyAlignment="1">
      <alignment horizontal="right" vertical="center"/>
    </xf>
    <xf numFmtId="187" fontId="2" fillId="22" borderId="18" xfId="46" applyNumberFormat="1" applyFont="1" applyFill="1" applyBorder="1" applyAlignment="1">
      <alignment horizontal="right" vertical="center"/>
    </xf>
    <xf numFmtId="187" fontId="2" fillId="22" borderId="0" xfId="46" applyNumberFormat="1" applyFont="1" applyFill="1" applyBorder="1" applyAlignment="1">
      <alignment horizontal="right" vertical="center"/>
    </xf>
    <xf numFmtId="187" fontId="2" fillId="22" borderId="3" xfId="46" applyNumberFormat="1" applyFont="1" applyFill="1" applyBorder="1" applyAlignment="1">
      <alignment horizontal="right" vertical="center"/>
    </xf>
    <xf numFmtId="187" fontId="88" fillId="22" borderId="18" xfId="46" applyNumberFormat="1" applyFont="1" applyFill="1" applyBorder="1" applyAlignment="1">
      <alignment horizontal="right" vertical="center"/>
    </xf>
    <xf numFmtId="187" fontId="88" fillId="22" borderId="0" xfId="46" applyNumberFormat="1" applyFont="1" applyFill="1" applyBorder="1" applyAlignment="1">
      <alignment horizontal="right" vertical="center"/>
    </xf>
    <xf numFmtId="187" fontId="88" fillId="22" borderId="3" xfId="46" applyNumberFormat="1" applyFont="1" applyFill="1" applyBorder="1" applyAlignment="1">
      <alignment horizontal="right" vertical="center"/>
    </xf>
    <xf numFmtId="181" fontId="99" fillId="22" borderId="18" xfId="0" applyNumberFormat="1" applyFont="1" applyFill="1" applyBorder="1" applyAlignment="1">
      <alignment horizontal="right" vertical="center"/>
    </xf>
    <xf numFmtId="0" fontId="2" fillId="0" borderId="12" xfId="0" applyFont="1" applyBorder="1"/>
    <xf numFmtId="0" fontId="2" fillId="22" borderId="0" xfId="0" applyFont="1" applyFill="1" applyBorder="1"/>
    <xf numFmtId="179" fontId="2" fillId="0" borderId="0" xfId="0" applyNumberFormat="1" applyFont="1"/>
    <xf numFmtId="181" fontId="2" fillId="0" borderId="18" xfId="0" applyNumberFormat="1" applyFont="1" applyFill="1" applyBorder="1"/>
    <xf numFmtId="0" fontId="2" fillId="0" borderId="18" xfId="0" applyFont="1" applyFill="1" applyBorder="1" applyAlignment="1">
      <alignment horizontal="left"/>
    </xf>
    <xf numFmtId="181" fontId="2" fillId="0" borderId="3" xfId="74" applyNumberFormat="1" applyFont="1" applyFill="1" applyBorder="1"/>
    <xf numFmtId="199" fontId="98" fillId="17" borderId="18" xfId="0" applyNumberFormat="1" applyFont="1" applyFill="1" applyBorder="1" applyAlignment="1">
      <alignment vertical="center"/>
    </xf>
    <xf numFmtId="199" fontId="99" fillId="0" borderId="18" xfId="0" applyNumberFormat="1" applyFont="1" applyFill="1" applyBorder="1" applyAlignment="1">
      <alignment horizontal="right" vertical="center"/>
    </xf>
    <xf numFmtId="0" fontId="2" fillId="31" borderId="0" xfId="0" applyFont="1" applyFill="1" applyBorder="1"/>
    <xf numFmtId="0" fontId="26" fillId="31" borderId="18" xfId="0" applyFont="1" applyFill="1" applyBorder="1" applyAlignment="1">
      <alignment vertical="center"/>
    </xf>
    <xf numFmtId="0" fontId="26" fillId="31" borderId="0" xfId="0" applyFont="1" applyFill="1" applyBorder="1" applyAlignment="1">
      <alignment vertical="center"/>
    </xf>
    <xf numFmtId="199" fontId="96" fillId="31" borderId="0" xfId="0" applyNumberFormat="1" applyFont="1" applyFill="1" applyBorder="1"/>
    <xf numFmtId="199" fontId="96" fillId="31" borderId="18" xfId="0" applyNumberFormat="1" applyFont="1" applyFill="1" applyBorder="1"/>
    <xf numFmtId="199" fontId="96" fillId="31" borderId="3" xfId="0" applyNumberFormat="1" applyFont="1" applyFill="1" applyBorder="1"/>
    <xf numFmtId="199" fontId="3" fillId="31" borderId="18" xfId="0" applyNumberFormat="1" applyFont="1" applyFill="1" applyBorder="1"/>
    <xf numFmtId="199" fontId="3" fillId="31" borderId="0" xfId="0" applyNumberFormat="1" applyFont="1" applyFill="1" applyBorder="1"/>
    <xf numFmtId="199" fontId="3" fillId="31" borderId="3" xfId="0" applyNumberFormat="1" applyFont="1" applyFill="1" applyBorder="1"/>
    <xf numFmtId="170" fontId="2" fillId="31" borderId="18" xfId="0" applyNumberFormat="1" applyFont="1" applyFill="1" applyBorder="1" applyAlignment="1">
      <alignment vertical="center"/>
    </xf>
    <xf numFmtId="199" fontId="26" fillId="31" borderId="0" xfId="0" applyNumberFormat="1" applyFont="1" applyFill="1" applyBorder="1"/>
    <xf numFmtId="179" fontId="8" fillId="31" borderId="0" xfId="0" applyNumberFormat="1" applyFont="1" applyFill="1" applyBorder="1" applyAlignment="1">
      <alignment vertical="center"/>
    </xf>
    <xf numFmtId="179" fontId="3" fillId="31" borderId="0" xfId="0" applyNumberFormat="1" applyFont="1" applyFill="1" applyBorder="1" applyAlignment="1">
      <alignment vertical="center"/>
    </xf>
    <xf numFmtId="179" fontId="3" fillId="31" borderId="3" xfId="0" applyNumberFormat="1" applyFont="1" applyFill="1" applyBorder="1" applyAlignment="1">
      <alignment vertical="center"/>
    </xf>
    <xf numFmtId="199" fontId="38" fillId="31" borderId="0" xfId="0" applyNumberFormat="1" applyFont="1" applyFill="1" applyBorder="1"/>
    <xf numFmtId="181" fontId="2" fillId="31" borderId="0" xfId="74" applyNumberFormat="1" applyFont="1" applyFill="1" applyBorder="1"/>
    <xf numFmtId="179" fontId="6" fillId="31" borderId="0" xfId="0" applyNumberFormat="1" applyFont="1" applyFill="1"/>
    <xf numFmtId="0" fontId="71" fillId="31" borderId="18" xfId="0" applyFont="1" applyFill="1" applyBorder="1" applyAlignment="1">
      <alignment horizontal="left" vertical="center" indent="1"/>
    </xf>
    <xf numFmtId="179" fontId="2" fillId="31" borderId="0" xfId="0" applyNumberFormat="1" applyFont="1" applyFill="1" applyBorder="1" applyAlignment="1">
      <alignment horizontal="left" vertical="center" indent="1"/>
    </xf>
    <xf numFmtId="179" fontId="2" fillId="31" borderId="0" xfId="0" applyNumberFormat="1" applyFont="1" applyFill="1" applyBorder="1" applyAlignment="1">
      <alignment vertical="center"/>
    </xf>
    <xf numFmtId="170" fontId="2" fillId="31" borderId="0" xfId="0" applyNumberFormat="1" applyFont="1" applyFill="1" applyBorder="1" applyAlignment="1">
      <alignment horizontal="right" vertical="center"/>
    </xf>
    <xf numFmtId="179" fontId="2" fillId="31" borderId="18" xfId="0" applyNumberFormat="1" applyFont="1" applyFill="1" applyBorder="1" applyAlignment="1">
      <alignment vertical="center"/>
    </xf>
    <xf numFmtId="179" fontId="2" fillId="31" borderId="3" xfId="0" applyNumberFormat="1" applyFont="1" applyFill="1" applyBorder="1" applyAlignment="1">
      <alignment vertical="center"/>
    </xf>
    <xf numFmtId="187" fontId="96" fillId="31" borderId="18" xfId="46" applyNumberFormat="1" applyFont="1" applyFill="1" applyBorder="1" applyAlignment="1">
      <alignment horizontal="right" vertical="center"/>
    </xf>
    <xf numFmtId="187" fontId="96" fillId="31" borderId="0" xfId="46" applyNumberFormat="1" applyFont="1" applyFill="1" applyBorder="1" applyAlignment="1">
      <alignment horizontal="right" vertical="center"/>
    </xf>
    <xf numFmtId="187" fontId="96" fillId="31" borderId="3" xfId="46" applyNumberFormat="1" applyFont="1" applyFill="1" applyBorder="1" applyAlignment="1">
      <alignment horizontal="right" vertical="center"/>
    </xf>
    <xf numFmtId="179" fontId="49" fillId="31" borderId="18" xfId="0" applyNumberFormat="1" applyFont="1" applyFill="1" applyBorder="1" applyAlignment="1">
      <alignment vertical="center"/>
    </xf>
    <xf numFmtId="179" fontId="49" fillId="31" borderId="0" xfId="0" applyNumberFormat="1" applyFont="1" applyFill="1" applyBorder="1" applyAlignment="1">
      <alignment vertical="center"/>
    </xf>
    <xf numFmtId="0" fontId="2" fillId="31" borderId="0" xfId="0" applyFont="1" applyFill="1"/>
    <xf numFmtId="0" fontId="2" fillId="31" borderId="31" xfId="0" applyFont="1" applyFill="1" applyBorder="1"/>
    <xf numFmtId="0" fontId="2" fillId="31" borderId="3" xfId="0" applyFont="1" applyFill="1" applyBorder="1"/>
    <xf numFmtId="179" fontId="2" fillId="31" borderId="0" xfId="0" applyNumberFormat="1" applyFont="1" applyFill="1"/>
    <xf numFmtId="179" fontId="2" fillId="31" borderId="0" xfId="0" applyNumberFormat="1" applyFont="1" applyFill="1" applyAlignment="1">
      <alignment horizontal="right" vertical="center"/>
    </xf>
    <xf numFmtId="0" fontId="2" fillId="31" borderId="18" xfId="0" applyFont="1" applyFill="1" applyBorder="1" applyAlignment="1">
      <alignment horizontal="left" indent="1"/>
    </xf>
    <xf numFmtId="199" fontId="6" fillId="31" borderId="0" xfId="0" applyNumberFormat="1" applyFont="1" applyFill="1" applyBorder="1" applyAlignment="1">
      <alignment vertical="center"/>
    </xf>
    <xf numFmtId="199" fontId="2" fillId="31" borderId="0" xfId="0" applyNumberFormat="1" applyFont="1" applyFill="1" applyBorder="1" applyAlignment="1">
      <alignment horizontal="right" vertical="center"/>
    </xf>
    <xf numFmtId="199" fontId="2" fillId="31" borderId="18" xfId="0" applyNumberFormat="1" applyFont="1" applyFill="1" applyBorder="1" applyAlignment="1">
      <alignment horizontal="right" vertical="center"/>
    </xf>
    <xf numFmtId="199" fontId="2" fillId="31" borderId="3" xfId="0" applyNumberFormat="1" applyFont="1" applyFill="1" applyBorder="1" applyAlignment="1">
      <alignment horizontal="right" vertical="center"/>
    </xf>
    <xf numFmtId="179" fontId="98" fillId="31" borderId="0" xfId="0" applyNumberFormat="1" applyFont="1" applyFill="1" applyBorder="1" applyAlignment="1">
      <alignment vertical="center"/>
    </xf>
    <xf numFmtId="0" fontId="2" fillId="31" borderId="18" xfId="0" applyFont="1" applyFill="1" applyBorder="1" applyAlignment="1">
      <alignment horizontal="left" vertical="center" indent="1"/>
    </xf>
    <xf numFmtId="181" fontId="2" fillId="31" borderId="0" xfId="0" applyNumberFormat="1" applyFont="1" applyFill="1" applyBorder="1" applyAlignment="1">
      <alignment horizontal="right" vertical="center"/>
    </xf>
    <xf numFmtId="181" fontId="2" fillId="31" borderId="18" xfId="0" applyNumberFormat="1" applyFont="1" applyFill="1" applyBorder="1" applyAlignment="1">
      <alignment horizontal="right" vertical="center"/>
    </xf>
    <xf numFmtId="181" fontId="2" fillId="31" borderId="3" xfId="0" applyNumberFormat="1" applyFont="1" applyFill="1" applyBorder="1" applyAlignment="1">
      <alignment horizontal="right" vertical="center"/>
    </xf>
    <xf numFmtId="0" fontId="2" fillId="31" borderId="18" xfId="0" applyFont="1" applyFill="1" applyBorder="1"/>
    <xf numFmtId="181" fontId="2" fillId="31" borderId="0" xfId="0" applyNumberFormat="1" applyFont="1" applyFill="1" applyBorder="1"/>
    <xf numFmtId="179" fontId="2" fillId="31" borderId="0" xfId="0" applyNumberFormat="1" applyFont="1" applyFill="1" applyBorder="1"/>
    <xf numFmtId="170" fontId="2" fillId="31" borderId="3" xfId="0" applyNumberFormat="1" applyFont="1" applyFill="1" applyBorder="1" applyAlignment="1">
      <alignment horizontal="right" vertical="center"/>
    </xf>
    <xf numFmtId="179" fontId="6" fillId="31" borderId="0" xfId="0" applyNumberFormat="1" applyFont="1" applyFill="1" applyBorder="1"/>
    <xf numFmtId="179" fontId="8" fillId="31" borderId="18" xfId="0" applyNumberFormat="1" applyFont="1" applyFill="1" applyBorder="1" applyAlignment="1">
      <alignment horizontal="left" vertical="center" indent="1"/>
    </xf>
    <xf numFmtId="179" fontId="6" fillId="31" borderId="0" xfId="0" applyNumberFormat="1" applyFont="1" applyFill="1" applyBorder="1" applyAlignment="1">
      <alignment horizontal="left" vertical="center" indent="1"/>
    </xf>
    <xf numFmtId="179" fontId="6" fillId="31" borderId="0" xfId="0" applyNumberFormat="1" applyFont="1" applyFill="1" applyBorder="1" applyAlignment="1">
      <alignment vertical="center"/>
    </xf>
    <xf numFmtId="197" fontId="6" fillId="31" borderId="0" xfId="0" applyNumberFormat="1" applyFont="1" applyFill="1" applyBorder="1" applyAlignment="1">
      <alignment vertical="center"/>
    </xf>
    <xf numFmtId="179" fontId="21" fillId="31" borderId="18" xfId="0" applyNumberFormat="1" applyFont="1" applyFill="1" applyBorder="1" applyAlignment="1">
      <alignment vertical="center"/>
    </xf>
    <xf numFmtId="179" fontId="21" fillId="31" borderId="0" xfId="0" applyNumberFormat="1" applyFont="1" applyFill="1" applyBorder="1" applyAlignment="1">
      <alignment vertical="center"/>
    </xf>
    <xf numFmtId="179" fontId="21" fillId="31" borderId="3" xfId="0" applyNumberFormat="1" applyFont="1" applyFill="1" applyBorder="1" applyAlignment="1">
      <alignment vertical="center"/>
    </xf>
    <xf numFmtId="179" fontId="6" fillId="31" borderId="18" xfId="0" applyNumberFormat="1" applyFont="1" applyFill="1" applyBorder="1" applyAlignment="1">
      <alignment vertical="center"/>
    </xf>
    <xf numFmtId="205" fontId="3" fillId="31" borderId="0" xfId="49" applyNumberFormat="1" applyFont="1" applyFill="1" applyBorder="1"/>
    <xf numFmtId="205" fontId="3" fillId="31" borderId="18" xfId="49" applyNumberFormat="1" applyFont="1" applyFill="1" applyBorder="1"/>
    <xf numFmtId="205" fontId="3" fillId="31" borderId="3" xfId="49" applyNumberFormat="1" applyFont="1" applyFill="1" applyBorder="1"/>
    <xf numFmtId="187" fontId="26" fillId="31" borderId="18" xfId="46" applyNumberFormat="1" applyFont="1" applyFill="1" applyBorder="1" applyAlignment="1">
      <alignment vertical="center"/>
    </xf>
    <xf numFmtId="187" fontId="26" fillId="31" borderId="0" xfId="46" applyNumberFormat="1" applyFont="1" applyFill="1" applyBorder="1" applyAlignment="1">
      <alignment vertical="center"/>
    </xf>
    <xf numFmtId="205" fontId="44" fillId="31" borderId="0" xfId="49" applyNumberFormat="1" applyFont="1" applyFill="1" applyBorder="1"/>
    <xf numFmtId="205" fontId="2" fillId="31" borderId="0" xfId="49" applyNumberFormat="1" applyFont="1" applyFill="1" applyBorder="1"/>
    <xf numFmtId="205" fontId="2" fillId="31" borderId="0" xfId="0" applyNumberFormat="1" applyFont="1" applyFill="1" applyBorder="1" applyAlignment="1">
      <alignment horizontal="right" vertical="center"/>
    </xf>
    <xf numFmtId="205" fontId="2" fillId="31" borderId="18" xfId="49" applyNumberFormat="1" applyFont="1" applyFill="1" applyBorder="1"/>
    <xf numFmtId="205" fontId="2" fillId="31" borderId="3" xfId="0" applyNumberFormat="1" applyFont="1" applyFill="1" applyBorder="1" applyAlignment="1">
      <alignment horizontal="right" vertical="center"/>
    </xf>
    <xf numFmtId="205" fontId="2" fillId="31" borderId="18" xfId="0" applyNumberFormat="1" applyFont="1" applyFill="1" applyBorder="1" applyAlignment="1">
      <alignment horizontal="right" vertical="center"/>
    </xf>
    <xf numFmtId="205" fontId="2" fillId="31" borderId="0" xfId="0" applyNumberFormat="1" applyFont="1" applyFill="1" applyBorder="1"/>
    <xf numFmtId="179" fontId="3" fillId="17" borderId="0" xfId="0" applyNumberFormat="1" applyFont="1" applyFill="1" applyBorder="1" applyAlignment="1">
      <alignment horizontal="left" vertical="center" indent="1"/>
    </xf>
    <xf numFmtId="0" fontId="2" fillId="31" borderId="18" xfId="0" applyFont="1" applyFill="1" applyBorder="1" applyAlignment="1">
      <alignment vertical="center"/>
    </xf>
    <xf numFmtId="0" fontId="2" fillId="31" borderId="0" xfId="0" applyFont="1" applyFill="1" applyBorder="1" applyAlignment="1">
      <alignment vertical="center"/>
    </xf>
    <xf numFmtId="172" fontId="2" fillId="31" borderId="0" xfId="0" applyNumberFormat="1" applyFont="1" applyFill="1" applyBorder="1" applyAlignment="1">
      <alignment horizontal="right" vertical="center"/>
    </xf>
    <xf numFmtId="172" fontId="2" fillId="31" borderId="3" xfId="0" applyNumberFormat="1" applyFont="1" applyFill="1" applyBorder="1" applyAlignment="1">
      <alignment horizontal="right" vertical="center"/>
    </xf>
    <xf numFmtId="203" fontId="2" fillId="31" borderId="0" xfId="46" applyNumberFormat="1" applyFont="1" applyFill="1" applyBorder="1" applyAlignment="1">
      <alignment horizontal="right" vertical="center"/>
    </xf>
    <xf numFmtId="203" fontId="2" fillId="31" borderId="18" xfId="46" applyNumberFormat="1" applyFont="1" applyFill="1" applyBorder="1" applyAlignment="1">
      <alignment horizontal="right" vertical="center"/>
    </xf>
    <xf numFmtId="203" fontId="2" fillId="31" borderId="3" xfId="46" applyNumberFormat="1" applyFont="1" applyFill="1" applyBorder="1" applyAlignment="1">
      <alignment horizontal="right" vertical="center"/>
    </xf>
    <xf numFmtId="172" fontId="2" fillId="31" borderId="18" xfId="0" applyNumberFormat="1" applyFont="1" applyFill="1" applyBorder="1" applyAlignment="1">
      <alignment horizontal="right" vertical="center"/>
    </xf>
    <xf numFmtId="0" fontId="3" fillId="31" borderId="18" xfId="0" applyFont="1" applyFill="1" applyBorder="1" applyAlignment="1">
      <alignment vertical="center"/>
    </xf>
    <xf numFmtId="172" fontId="26" fillId="31" borderId="0" xfId="0" applyNumberFormat="1" applyFont="1" applyFill="1" applyBorder="1" applyAlignment="1">
      <alignment horizontal="right" vertical="center"/>
    </xf>
    <xf numFmtId="172" fontId="26" fillId="31" borderId="3" xfId="0" applyNumberFormat="1" applyFont="1" applyFill="1" applyBorder="1" applyAlignment="1">
      <alignment horizontal="right" vertical="center"/>
    </xf>
    <xf numFmtId="203" fontId="26" fillId="31" borderId="18" xfId="46" applyNumberFormat="1" applyFont="1" applyFill="1" applyBorder="1" applyAlignment="1">
      <alignment horizontal="right" vertical="center"/>
    </xf>
    <xf numFmtId="203" fontId="26" fillId="31" borderId="0" xfId="46" applyNumberFormat="1" applyFont="1" applyFill="1" applyBorder="1" applyAlignment="1">
      <alignment horizontal="right" vertical="center"/>
    </xf>
    <xf numFmtId="203" fontId="26" fillId="31" borderId="3" xfId="46" applyNumberFormat="1" applyFont="1" applyFill="1" applyBorder="1" applyAlignment="1">
      <alignment horizontal="right" vertical="center"/>
    </xf>
    <xf numFmtId="172" fontId="26" fillId="31" borderId="18" xfId="0" applyNumberFormat="1" applyFont="1" applyFill="1" applyBorder="1" applyAlignment="1">
      <alignment horizontal="right" vertical="center"/>
    </xf>
    <xf numFmtId="0" fontId="2" fillId="31" borderId="18" xfId="0" applyFont="1" applyFill="1" applyBorder="1" applyAlignment="1">
      <alignment horizontal="left" indent="2"/>
    </xf>
    <xf numFmtId="9" fontId="2" fillId="31" borderId="0" xfId="0" applyNumberFormat="1" applyFont="1" applyFill="1" applyBorder="1" applyAlignment="1">
      <alignment horizontal="right" vertical="center"/>
    </xf>
    <xf numFmtId="203" fontId="2" fillId="31" borderId="0" xfId="0" applyNumberFormat="1" applyFont="1" applyFill="1" applyBorder="1" applyAlignment="1">
      <alignment horizontal="right" vertical="center"/>
    </xf>
    <xf numFmtId="179" fontId="99" fillId="0" borderId="18" xfId="0" applyNumberFormat="1" applyFont="1" applyFill="1" applyBorder="1" applyAlignment="1">
      <alignment horizontal="right" vertical="center"/>
    </xf>
    <xf numFmtId="179" fontId="97" fillId="0" borderId="18" xfId="0" applyNumberFormat="1" applyFont="1" applyFill="1" applyBorder="1" applyAlignment="1">
      <alignment vertical="center"/>
    </xf>
    <xf numFmtId="9" fontId="45" fillId="0" borderId="18" xfId="0" applyNumberFormat="1" applyFont="1" applyFill="1" applyBorder="1" applyAlignment="1">
      <alignment vertical="center"/>
    </xf>
    <xf numFmtId="0" fontId="2" fillId="17" borderId="19" xfId="0" applyFont="1" applyFill="1" applyBorder="1" applyAlignment="1">
      <alignment horizontal="left" vertical="center" indent="1"/>
    </xf>
    <xf numFmtId="0" fontId="2" fillId="17" borderId="13" xfId="0" applyFont="1" applyFill="1" applyBorder="1"/>
    <xf numFmtId="181" fontId="2" fillId="17" borderId="13" xfId="0" applyNumberFormat="1" applyFont="1" applyFill="1" applyBorder="1" applyAlignment="1">
      <alignment horizontal="right" vertical="center"/>
    </xf>
    <xf numFmtId="205" fontId="2" fillId="17" borderId="13" xfId="49" applyNumberFormat="1" applyFont="1" applyFill="1" applyBorder="1"/>
    <xf numFmtId="205" fontId="2" fillId="17" borderId="13" xfId="0" applyNumberFormat="1" applyFont="1" applyFill="1" applyBorder="1" applyAlignment="1">
      <alignment horizontal="right" vertical="center"/>
    </xf>
    <xf numFmtId="205" fontId="2" fillId="17" borderId="19" xfId="0" applyNumberFormat="1" applyFont="1" applyFill="1" applyBorder="1" applyAlignment="1">
      <alignment horizontal="right" vertical="center"/>
    </xf>
    <xf numFmtId="205" fontId="2" fillId="17" borderId="15" xfId="0" applyNumberFormat="1" applyFont="1" applyFill="1" applyBorder="1" applyAlignment="1">
      <alignment horizontal="right" vertical="center"/>
    </xf>
    <xf numFmtId="181" fontId="2" fillId="17" borderId="19" xfId="0" applyNumberFormat="1" applyFont="1" applyFill="1" applyBorder="1" applyAlignment="1">
      <alignment horizontal="right" vertical="center"/>
    </xf>
    <xf numFmtId="181" fontId="2" fillId="17" borderId="15" xfId="0" applyNumberFormat="1" applyFont="1" applyFill="1" applyBorder="1" applyAlignment="1">
      <alignment horizontal="right" vertical="center"/>
    </xf>
    <xf numFmtId="205" fontId="2" fillId="0" borderId="19" xfId="0" applyNumberFormat="1" applyFont="1" applyFill="1" applyBorder="1" applyAlignment="1">
      <alignment horizontal="right" vertical="center"/>
    </xf>
    <xf numFmtId="205" fontId="2" fillId="0" borderId="13" xfId="0" applyNumberFormat="1" applyFont="1" applyFill="1" applyBorder="1" applyAlignment="1">
      <alignment horizontal="right" vertical="center"/>
    </xf>
    <xf numFmtId="205" fontId="2" fillId="0" borderId="15" xfId="0" applyNumberFormat="1" applyFont="1" applyFill="1" applyBorder="1" applyAlignment="1">
      <alignment horizontal="right" vertical="center"/>
    </xf>
    <xf numFmtId="0" fontId="2" fillId="17" borderId="19" xfId="0" applyFont="1" applyFill="1" applyBorder="1"/>
    <xf numFmtId="179" fontId="2" fillId="17" borderId="13" xfId="0" applyNumberFormat="1" applyFont="1" applyFill="1" applyBorder="1"/>
    <xf numFmtId="0" fontId="2" fillId="17" borderId="15" xfId="0" applyFont="1" applyFill="1" applyBorder="1"/>
    <xf numFmtId="170" fontId="2" fillId="17" borderId="13" xfId="0" applyNumberFormat="1" applyFont="1" applyFill="1" applyBorder="1" applyAlignment="1">
      <alignment horizontal="right" vertical="center"/>
    </xf>
    <xf numFmtId="170" fontId="2" fillId="17" borderId="15" xfId="0" applyNumberFormat="1" applyFont="1" applyFill="1" applyBorder="1" applyAlignment="1">
      <alignment horizontal="right" vertical="center"/>
    </xf>
    <xf numFmtId="0" fontId="5" fillId="0" borderId="18" xfId="0" applyFont="1" applyFill="1" applyBorder="1"/>
    <xf numFmtId="179" fontId="8" fillId="0" borderId="0" xfId="0" applyNumberFormat="1" applyFont="1" applyFill="1" applyBorder="1"/>
    <xf numFmtId="179" fontId="8" fillId="17" borderId="0" xfId="0" applyNumberFormat="1" applyFont="1" applyFill="1" applyBorder="1"/>
    <xf numFmtId="203" fontId="2" fillId="0" borderId="3" xfId="0" applyNumberFormat="1" applyFont="1" applyFill="1" applyBorder="1" applyAlignment="1">
      <alignment horizontal="right" vertical="center"/>
    </xf>
    <xf numFmtId="203" fontId="2" fillId="31" borderId="3" xfId="0" applyNumberFormat="1" applyFont="1" applyFill="1" applyBorder="1" applyAlignment="1">
      <alignment horizontal="right" vertical="center"/>
    </xf>
    <xf numFmtId="0" fontId="2" fillId="0" borderId="0" xfId="0" quotePrefix="1" applyFont="1" applyFill="1" applyBorder="1"/>
    <xf numFmtId="0" fontId="2" fillId="0" borderId="0" xfId="0" applyFont="1" applyFill="1" applyBorder="1" applyAlignment="1">
      <alignment horizontal="right"/>
    </xf>
    <xf numFmtId="6" fontId="3" fillId="0" borderId="0" xfId="0" applyNumberFormat="1" applyFont="1" applyFill="1"/>
    <xf numFmtId="181" fontId="3" fillId="0" borderId="0" xfId="0" applyNumberFormat="1" applyFont="1" applyFill="1" applyBorder="1"/>
    <xf numFmtId="9" fontId="51" fillId="0" borderId="0" xfId="0" applyNumberFormat="1" applyFont="1" applyFill="1" applyAlignment="1">
      <alignment vertical="center"/>
    </xf>
    <xf numFmtId="0" fontId="96" fillId="0" borderId="18" xfId="0" applyFont="1" applyFill="1" applyBorder="1" applyAlignment="1">
      <alignment vertical="center"/>
    </xf>
    <xf numFmtId="0" fontId="29" fillId="17" borderId="0" xfId="0" applyFont="1" applyFill="1" applyBorder="1" applyAlignment="1">
      <alignment vertical="center"/>
    </xf>
    <xf numFmtId="179" fontId="33" fillId="23" borderId="0" xfId="0" applyNumberFormat="1" applyFont="1" applyFill="1" applyBorder="1" applyAlignment="1">
      <alignment vertical="center"/>
    </xf>
    <xf numFmtId="179" fontId="94" fillId="23" borderId="0" xfId="0" applyNumberFormat="1" applyFont="1" applyFill="1" applyBorder="1" applyAlignment="1">
      <alignment vertical="center"/>
    </xf>
    <xf numFmtId="179" fontId="33" fillId="23" borderId="3" xfId="0" applyNumberFormat="1" applyFont="1" applyFill="1" applyBorder="1" applyAlignment="1">
      <alignment vertical="center"/>
    </xf>
    <xf numFmtId="0" fontId="26" fillId="24" borderId="18" xfId="0" applyFont="1" applyFill="1" applyBorder="1" applyAlignment="1">
      <alignment vertical="center"/>
    </xf>
    <xf numFmtId="181" fontId="96" fillId="22" borderId="18" xfId="0" applyNumberFormat="1" applyFont="1" applyFill="1" applyBorder="1" applyAlignment="1">
      <alignment horizontal="right" vertical="center"/>
    </xf>
    <xf numFmtId="181" fontId="96" fillId="0" borderId="18" xfId="0" applyNumberFormat="1" applyFont="1" applyFill="1" applyBorder="1" applyAlignment="1">
      <alignment horizontal="right" vertical="center"/>
    </xf>
    <xf numFmtId="6" fontId="3" fillId="0" borderId="18" xfId="49" applyNumberFormat="1" applyFont="1" applyFill="1" applyBorder="1" applyAlignment="1">
      <alignment horizontal="right" vertical="center"/>
    </xf>
    <xf numFmtId="222" fontId="2" fillId="17" borderId="18" xfId="49" applyNumberFormat="1" applyFont="1" applyFill="1" applyBorder="1" applyAlignment="1">
      <alignment horizontal="right" vertical="center"/>
    </xf>
    <xf numFmtId="0" fontId="2" fillId="31" borderId="18" xfId="0" applyFont="1" applyFill="1" applyBorder="1"/>
    <xf numFmtId="181" fontId="2" fillId="31" borderId="18" xfId="0" applyNumberFormat="1" applyFont="1" applyFill="1" applyBorder="1" applyAlignment="1">
      <alignment horizontal="right" vertical="center"/>
    </xf>
    <xf numFmtId="170" fontId="2" fillId="31" borderId="18" xfId="0" applyNumberFormat="1" applyFont="1" applyFill="1" applyBorder="1" applyAlignment="1">
      <alignment horizontal="right" vertical="center"/>
    </xf>
    <xf numFmtId="203" fontId="2" fillId="31" borderId="18" xfId="46" applyNumberFormat="1" applyFont="1" applyFill="1" applyBorder="1" applyAlignment="1">
      <alignment horizontal="right" vertical="center"/>
    </xf>
    <xf numFmtId="203" fontId="26" fillId="31" borderId="18" xfId="46" applyNumberFormat="1" applyFont="1" applyFill="1" applyBorder="1" applyAlignment="1">
      <alignment horizontal="right" vertical="center"/>
    </xf>
    <xf numFmtId="203" fontId="2" fillId="31" borderId="18" xfId="0" applyNumberFormat="1" applyFont="1" applyFill="1" applyBorder="1" applyAlignment="1">
      <alignment horizontal="right" vertical="center"/>
    </xf>
    <xf numFmtId="179" fontId="94" fillId="23" borderId="3" xfId="0" applyNumberFormat="1" applyFont="1" applyFill="1" applyBorder="1" applyAlignment="1">
      <alignment vertical="center"/>
    </xf>
    <xf numFmtId="0" fontId="99" fillId="0" borderId="18" xfId="0" applyFont="1" applyBorder="1"/>
    <xf numFmtId="187" fontId="2" fillId="0" borderId="18" xfId="46" applyNumberFormat="1" applyFont="1" applyBorder="1"/>
    <xf numFmtId="43" fontId="2" fillId="17" borderId="18" xfId="0" applyNumberFormat="1" applyFont="1" applyFill="1" applyBorder="1"/>
    <xf numFmtId="176" fontId="26" fillId="0" borderId="22" xfId="0" applyNumberFormat="1" applyFont="1" applyFill="1" applyBorder="1" applyAlignment="1">
      <alignment horizontal="right" vertical="center"/>
    </xf>
    <xf numFmtId="181" fontId="21" fillId="17" borderId="3" xfId="0" applyNumberFormat="1" applyFont="1" applyFill="1" applyBorder="1" applyAlignment="1">
      <alignment horizontal="right" vertical="center"/>
    </xf>
    <xf numFmtId="172" fontId="26" fillId="0" borderId="13" xfId="0" applyNumberFormat="1" applyFont="1" applyFill="1" applyBorder="1" applyAlignment="1">
      <alignment horizontal="right" vertical="center"/>
    </xf>
    <xf numFmtId="172" fontId="26" fillId="0" borderId="15" xfId="0" applyNumberFormat="1" applyFont="1" applyFill="1" applyBorder="1" applyAlignment="1">
      <alignment horizontal="right" vertical="center"/>
    </xf>
    <xf numFmtId="179" fontId="99" fillId="22" borderId="18" xfId="0" applyNumberFormat="1" applyFont="1" applyFill="1" applyBorder="1" applyAlignment="1">
      <alignment vertical="center"/>
    </xf>
    <xf numFmtId="0" fontId="26" fillId="23" borderId="3" xfId="0" applyFont="1" applyFill="1" applyBorder="1" applyAlignment="1">
      <alignment vertical="center"/>
    </xf>
    <xf numFmtId="179" fontId="99" fillId="17" borderId="18" xfId="0" applyNumberFormat="1" applyFont="1" applyFill="1" applyBorder="1" applyAlignment="1">
      <alignment vertical="center"/>
    </xf>
    <xf numFmtId="168" fontId="2" fillId="17" borderId="13" xfId="0" applyNumberFormat="1" applyFont="1" applyFill="1" applyBorder="1" applyAlignment="1">
      <alignment horizontal="right" vertical="center"/>
    </xf>
    <xf numFmtId="168" fontId="2" fillId="17" borderId="15" xfId="0" applyNumberFormat="1" applyFont="1" applyFill="1" applyBorder="1" applyAlignment="1">
      <alignment horizontal="right" vertical="center"/>
    </xf>
    <xf numFmtId="179" fontId="36" fillId="17" borderId="3" xfId="0" applyNumberFormat="1" applyFont="1" applyFill="1" applyBorder="1" applyAlignment="1">
      <alignment vertical="center"/>
    </xf>
    <xf numFmtId="198" fontId="36" fillId="17" borderId="3" xfId="0" applyNumberFormat="1" applyFont="1" applyFill="1" applyBorder="1" applyAlignment="1">
      <alignment vertical="center"/>
    </xf>
    <xf numFmtId="0" fontId="26" fillId="17" borderId="22" xfId="0" applyFont="1" applyFill="1" applyBorder="1" applyAlignment="1">
      <alignment vertical="center"/>
    </xf>
    <xf numFmtId="0" fontId="10" fillId="17" borderId="13" xfId="0" applyFont="1" applyFill="1" applyBorder="1" applyAlignment="1">
      <alignment horizontal="left" vertical="center"/>
    </xf>
    <xf numFmtId="4" fontId="23" fillId="17" borderId="0" xfId="0" applyNumberFormat="1" applyFont="1" applyFill="1" applyBorder="1" applyAlignment="1">
      <alignment horizontal="right" vertical="center"/>
    </xf>
    <xf numFmtId="37" fontId="10" fillId="17" borderId="0" xfId="0" applyNumberFormat="1" applyFont="1" applyFill="1" applyAlignment="1">
      <alignment horizontal="right" vertical="center"/>
    </xf>
    <xf numFmtId="0" fontId="2" fillId="0" borderId="0" xfId="65" applyFont="1" applyAlignment="1">
      <alignment vertical="center"/>
    </xf>
    <xf numFmtId="169" fontId="2" fillId="0" borderId="0" xfId="65" applyNumberFormat="1" applyFont="1" applyAlignment="1">
      <alignment vertical="center"/>
    </xf>
    <xf numFmtId="169" fontId="10" fillId="17" borderId="15" xfId="0" applyNumberFormat="1" applyFont="1" applyFill="1" applyBorder="1" applyAlignment="1">
      <alignment horizontal="right"/>
    </xf>
    <xf numFmtId="170" fontId="99" fillId="17" borderId="3" xfId="0" applyNumberFormat="1" applyFont="1" applyFill="1" applyBorder="1" applyAlignment="1">
      <alignment horizontal="right" vertical="center"/>
    </xf>
    <xf numFmtId="4" fontId="107" fillId="17" borderId="0" xfId="0" applyNumberFormat="1" applyFont="1" applyFill="1" applyBorder="1" applyAlignment="1">
      <alignment horizontal="right" vertical="center"/>
    </xf>
    <xf numFmtId="170" fontId="2" fillId="0" borderId="0" xfId="65" applyNumberFormat="1" applyFont="1" applyAlignment="1">
      <alignment vertical="center"/>
    </xf>
    <xf numFmtId="9" fontId="24" fillId="29" borderId="0" xfId="0" applyNumberFormat="1" applyFont="1" applyFill="1" applyAlignment="1">
      <alignment vertical="center"/>
    </xf>
    <xf numFmtId="0" fontId="3" fillId="17" borderId="16" xfId="65" applyFont="1" applyFill="1" applyBorder="1" applyAlignment="1">
      <alignment horizontal="centerContinuous" vertical="center"/>
    </xf>
    <xf numFmtId="0" fontId="3" fillId="17" borderId="20" xfId="65" applyFont="1" applyFill="1" applyBorder="1" applyAlignment="1">
      <alignment horizontal="centerContinuous" vertical="center"/>
    </xf>
    <xf numFmtId="0" fontId="3" fillId="17" borderId="17" xfId="65" applyFont="1" applyFill="1" applyBorder="1" applyAlignment="1">
      <alignment horizontal="centerContinuous" vertical="center"/>
    </xf>
    <xf numFmtId="166" fontId="22" fillId="17" borderId="18" xfId="65" applyNumberFormat="1" applyFont="1" applyFill="1" applyBorder="1" applyAlignment="1">
      <alignment vertical="center"/>
    </xf>
    <xf numFmtId="170" fontId="3" fillId="17" borderId="0" xfId="65" applyNumberFormat="1" applyFont="1" applyFill="1" applyBorder="1" applyAlignment="1">
      <alignment vertical="center"/>
    </xf>
    <xf numFmtId="170" fontId="8" fillId="22" borderId="32" xfId="65" applyNumberFormat="1" applyFont="1" applyFill="1" applyBorder="1" applyAlignment="1">
      <alignment vertical="center"/>
    </xf>
    <xf numFmtId="170" fontId="3" fillId="17" borderId="3" xfId="65" applyNumberFormat="1" applyFont="1" applyFill="1" applyBorder="1" applyAlignment="1">
      <alignment vertical="center"/>
    </xf>
    <xf numFmtId="182" fontId="3" fillId="17" borderId="18" xfId="65" applyNumberFormat="1" applyFont="1" applyFill="1" applyBorder="1" applyAlignment="1">
      <alignment vertical="center"/>
    </xf>
    <xf numFmtId="167" fontId="2" fillId="17" borderId="21" xfId="65" applyNumberFormat="1" applyFont="1" applyFill="1" applyBorder="1" applyAlignment="1">
      <alignment vertical="center"/>
    </xf>
    <xf numFmtId="167" fontId="2" fillId="17" borderId="12" xfId="65" applyNumberFormat="1" applyFont="1" applyFill="1" applyBorder="1" applyAlignment="1">
      <alignment vertical="center"/>
    </xf>
    <xf numFmtId="167" fontId="2" fillId="22" borderId="33" xfId="65" applyNumberFormat="1" applyFont="1" applyFill="1" applyBorder="1" applyAlignment="1">
      <alignment vertical="center"/>
    </xf>
    <xf numFmtId="167" fontId="2" fillId="17" borderId="22" xfId="65" applyNumberFormat="1" applyFont="1" applyFill="1" applyBorder="1" applyAlignment="1">
      <alignment vertical="center"/>
    </xf>
    <xf numFmtId="182" fontId="8" fillId="22" borderId="34" xfId="65" applyNumberFormat="1" applyFont="1" applyFill="1" applyBorder="1" applyAlignment="1">
      <alignment vertical="center"/>
    </xf>
    <xf numFmtId="167" fontId="2" fillId="22" borderId="34" xfId="65" applyNumberFormat="1" applyFont="1" applyFill="1" applyBorder="1" applyAlignment="1">
      <alignment vertical="center"/>
    </xf>
    <xf numFmtId="167" fontId="2" fillId="22" borderId="35" xfId="65" applyNumberFormat="1" applyFont="1" applyFill="1" applyBorder="1" applyAlignment="1">
      <alignment vertical="center"/>
    </xf>
    <xf numFmtId="166" fontId="3" fillId="22" borderId="30" xfId="65" applyNumberFormat="1" applyFont="1" applyFill="1" applyBorder="1" applyAlignment="1">
      <alignment vertical="center"/>
    </xf>
    <xf numFmtId="167" fontId="2" fillId="22" borderId="36" xfId="65" applyNumberFormat="1" applyFont="1" applyFill="1" applyBorder="1" applyAlignment="1">
      <alignment vertical="center"/>
    </xf>
    <xf numFmtId="182" fontId="3" fillId="17" borderId="19" xfId="65" applyNumberFormat="1" applyFont="1" applyFill="1" applyBorder="1" applyAlignment="1">
      <alignment vertical="center"/>
    </xf>
    <xf numFmtId="167" fontId="2" fillId="17" borderId="19" xfId="65" applyNumberFormat="1" applyFont="1" applyFill="1" applyBorder="1" applyAlignment="1">
      <alignment vertical="center"/>
    </xf>
    <xf numFmtId="167" fontId="2" fillId="17" borderId="13" xfId="65" applyNumberFormat="1" applyFont="1" applyFill="1" applyBorder="1" applyAlignment="1">
      <alignment vertical="center"/>
    </xf>
    <xf numFmtId="167" fontId="2" fillId="22" borderId="37" xfId="65" applyNumberFormat="1" applyFont="1" applyFill="1" applyBorder="1" applyAlignment="1">
      <alignment vertical="center"/>
    </xf>
    <xf numFmtId="167" fontId="2" fillId="17" borderId="15" xfId="65" applyNumberFormat="1" applyFont="1" applyFill="1" applyBorder="1" applyAlignment="1">
      <alignment vertical="center"/>
    </xf>
    <xf numFmtId="0" fontId="2" fillId="17" borderId="0" xfId="65" applyFont="1" applyFill="1" applyAlignment="1">
      <alignment vertical="center"/>
    </xf>
    <xf numFmtId="170" fontId="3" fillId="22" borderId="32" xfId="65" applyNumberFormat="1" applyFont="1" applyFill="1" applyBorder="1" applyAlignment="1">
      <alignment vertical="center"/>
    </xf>
    <xf numFmtId="182" fontId="3" fillId="22" borderId="34" xfId="65" applyNumberFormat="1" applyFont="1" applyFill="1" applyBorder="1" applyAlignment="1">
      <alignment vertical="center"/>
    </xf>
    <xf numFmtId="9" fontId="7" fillId="17" borderId="0" xfId="46" applyNumberFormat="1" applyFont="1" applyFill="1" applyAlignment="1">
      <alignment vertical="center"/>
    </xf>
    <xf numFmtId="203" fontId="7" fillId="17" borderId="0" xfId="46" applyNumberFormat="1" applyFont="1" applyFill="1" applyAlignment="1">
      <alignment vertical="center"/>
    </xf>
    <xf numFmtId="168" fontId="8" fillId="0" borderId="22" xfId="0" applyNumberFormat="1" applyFont="1" applyFill="1" applyBorder="1" applyAlignment="1">
      <alignment vertical="center"/>
    </xf>
    <xf numFmtId="9" fontId="2" fillId="0" borderId="0" xfId="74" applyFont="1" applyFill="1" applyBorder="1" applyAlignment="1">
      <alignment horizontal="right" vertical="center"/>
    </xf>
    <xf numFmtId="9" fontId="2" fillId="0" borderId="18" xfId="74" applyFont="1" applyFill="1" applyBorder="1" applyAlignment="1">
      <alignment horizontal="right" vertical="center"/>
    </xf>
    <xf numFmtId="186" fontId="2" fillId="17" borderId="0" xfId="0" applyNumberFormat="1" applyFont="1" applyFill="1" applyBorder="1" applyAlignment="1">
      <alignment horizontal="right" vertical="center"/>
    </xf>
    <xf numFmtId="186" fontId="2" fillId="17" borderId="18" xfId="0" applyNumberFormat="1" applyFont="1" applyFill="1" applyBorder="1" applyAlignment="1">
      <alignment horizontal="right" vertical="center"/>
    </xf>
    <xf numFmtId="181" fontId="8" fillId="0" borderId="0" xfId="74" applyNumberFormat="1" applyFont="1" applyAlignment="1">
      <alignment horizontal="right" vertical="center"/>
    </xf>
    <xf numFmtId="0" fontId="2" fillId="25" borderId="18" xfId="0" applyFont="1" applyFill="1" applyBorder="1" applyAlignment="1">
      <alignment horizontal="left" indent="2"/>
    </xf>
    <xf numFmtId="0" fontId="2" fillId="25" borderId="0" xfId="0" applyFont="1" applyFill="1" applyBorder="1" applyAlignment="1">
      <alignment vertical="center"/>
    </xf>
    <xf numFmtId="172" fontId="2" fillId="25" borderId="0" xfId="0" applyNumberFormat="1" applyFont="1" applyFill="1" applyBorder="1" applyAlignment="1">
      <alignment horizontal="right" vertical="center"/>
    </xf>
    <xf numFmtId="172" fontId="2" fillId="25" borderId="3" xfId="0" applyNumberFormat="1" applyFont="1" applyFill="1" applyBorder="1" applyAlignment="1">
      <alignment horizontal="right" vertical="center"/>
    </xf>
    <xf numFmtId="0" fontId="2" fillId="25" borderId="31" xfId="0" applyFont="1" applyFill="1" applyBorder="1"/>
    <xf numFmtId="172" fontId="2" fillId="25" borderId="18" xfId="0" applyNumberFormat="1" applyFont="1" applyFill="1" applyBorder="1" applyAlignment="1">
      <alignment horizontal="right" vertical="center"/>
    </xf>
    <xf numFmtId="1" fontId="2" fillId="25" borderId="0" xfId="0" applyNumberFormat="1" applyFont="1" applyFill="1" applyBorder="1" applyAlignment="1">
      <alignment horizontal="right" vertical="center"/>
    </xf>
    <xf numFmtId="221" fontId="2" fillId="25" borderId="0" xfId="0" applyNumberFormat="1" applyFont="1" applyFill="1" applyBorder="1" applyAlignment="1">
      <alignment horizontal="right" vertical="center"/>
    </xf>
    <xf numFmtId="9" fontId="2" fillId="25" borderId="18" xfId="0" applyNumberFormat="1" applyFont="1" applyFill="1" applyBorder="1" applyAlignment="1">
      <alignment horizontal="right" vertical="center"/>
    </xf>
    <xf numFmtId="9" fontId="2" fillId="25" borderId="0" xfId="0" applyNumberFormat="1" applyFont="1" applyFill="1" applyBorder="1" applyAlignment="1">
      <alignment horizontal="right" vertical="center"/>
    </xf>
    <xf numFmtId="9" fontId="2" fillId="25" borderId="3" xfId="0" applyNumberFormat="1" applyFont="1" applyFill="1" applyBorder="1" applyAlignment="1">
      <alignment horizontal="right" vertical="center"/>
    </xf>
    <xf numFmtId="203" fontId="10" fillId="17" borderId="0" xfId="46" applyNumberFormat="1" applyFont="1" applyFill="1"/>
    <xf numFmtId="183" fontId="10" fillId="17" borderId="0" xfId="0" applyNumberFormat="1" applyFont="1" applyFill="1"/>
    <xf numFmtId="9" fontId="10" fillId="17" borderId="0" xfId="74" applyFont="1" applyFill="1"/>
    <xf numFmtId="179" fontId="96" fillId="25" borderId="0" xfId="0" applyNumberFormat="1" applyFont="1" applyFill="1" applyBorder="1" applyAlignment="1">
      <alignment vertical="center"/>
    </xf>
    <xf numFmtId="179" fontId="99" fillId="25" borderId="0" xfId="0" applyNumberFormat="1" applyFont="1" applyFill="1" applyBorder="1" applyAlignment="1">
      <alignment vertical="center"/>
    </xf>
    <xf numFmtId="179" fontId="2" fillId="25" borderId="0" xfId="0" applyNumberFormat="1" applyFont="1" applyFill="1" applyBorder="1" applyAlignment="1">
      <alignment vertical="center"/>
    </xf>
    <xf numFmtId="179" fontId="3" fillId="25" borderId="0" xfId="0" applyNumberFormat="1" applyFont="1" applyFill="1" applyBorder="1" applyAlignment="1">
      <alignment vertical="center"/>
    </xf>
    <xf numFmtId="203" fontId="96" fillId="25" borderId="0" xfId="46" applyNumberFormat="1" applyFont="1" applyFill="1" applyBorder="1"/>
    <xf numFmtId="9" fontId="2" fillId="25" borderId="0" xfId="74" applyNumberFormat="1" applyFont="1" applyFill="1" applyBorder="1"/>
    <xf numFmtId="199" fontId="3" fillId="25" borderId="0" xfId="0" applyNumberFormat="1" applyFont="1" applyFill="1" applyBorder="1" applyAlignment="1">
      <alignment horizontal="right" vertical="center"/>
    </xf>
    <xf numFmtId="199" fontId="26" fillId="25" borderId="0" xfId="0" applyNumberFormat="1" applyFont="1" applyFill="1" applyBorder="1" applyAlignment="1">
      <alignment horizontal="right" vertical="center"/>
    </xf>
    <xf numFmtId="181" fontId="3" fillId="25" borderId="0" xfId="0" applyNumberFormat="1" applyFont="1" applyFill="1" applyBorder="1" applyAlignment="1">
      <alignment horizontal="right" vertical="center"/>
    </xf>
    <xf numFmtId="181" fontId="3" fillId="25" borderId="18" xfId="0" applyNumberFormat="1" applyFont="1" applyFill="1" applyBorder="1" applyAlignment="1">
      <alignment horizontal="right" vertical="center"/>
    </xf>
    <xf numFmtId="181" fontId="2" fillId="25" borderId="0" xfId="0" applyNumberFormat="1" applyFont="1" applyFill="1" applyBorder="1" applyAlignment="1">
      <alignment horizontal="right" vertical="center"/>
    </xf>
    <xf numFmtId="9" fontId="96" fillId="25" borderId="0" xfId="0" applyNumberFormat="1" applyFont="1" applyFill="1" applyBorder="1" applyAlignment="1">
      <alignment horizontal="right" vertical="center"/>
    </xf>
    <xf numFmtId="187" fontId="3" fillId="25" borderId="0" xfId="46" applyNumberFormat="1" applyFont="1" applyFill="1" applyBorder="1" applyAlignment="1">
      <alignment horizontal="right" vertical="center"/>
    </xf>
    <xf numFmtId="187" fontId="2" fillId="25" borderId="0" xfId="46" applyNumberFormat="1" applyFont="1" applyFill="1" applyBorder="1" applyAlignment="1">
      <alignment horizontal="right" vertical="center"/>
    </xf>
    <xf numFmtId="179" fontId="96" fillId="25" borderId="0" xfId="46" applyNumberFormat="1" applyFont="1" applyFill="1" applyBorder="1" applyAlignment="1">
      <alignment vertical="center"/>
    </xf>
    <xf numFmtId="179" fontId="96" fillId="25" borderId="18" xfId="0" applyNumberFormat="1" applyFont="1" applyFill="1" applyBorder="1" applyAlignment="1">
      <alignment vertical="center"/>
    </xf>
    <xf numFmtId="187" fontId="88" fillId="25" borderId="0" xfId="46" applyNumberFormat="1" applyFont="1" applyFill="1" applyBorder="1" applyAlignment="1">
      <alignment horizontal="right" vertical="center"/>
    </xf>
    <xf numFmtId="181" fontId="2" fillId="0" borderId="0" xfId="74" applyNumberFormat="1" applyFont="1" applyFill="1" applyBorder="1" applyAlignment="1">
      <alignment vertical="center"/>
    </xf>
    <xf numFmtId="179" fontId="99" fillId="25" borderId="0" xfId="0" applyNumberFormat="1" applyFont="1" applyFill="1" applyBorder="1" applyAlignment="1">
      <alignment horizontal="right" vertical="center"/>
    </xf>
    <xf numFmtId="170" fontId="2" fillId="25" borderId="0" xfId="0" applyNumberFormat="1" applyFont="1" applyFill="1" applyBorder="1" applyAlignment="1">
      <alignment horizontal="right" vertical="center"/>
    </xf>
    <xf numFmtId="9" fontId="10" fillId="17" borderId="0" xfId="74" applyFont="1" applyFill="1" applyAlignment="1">
      <alignment vertical="center"/>
    </xf>
    <xf numFmtId="9" fontId="23" fillId="0" borderId="0" xfId="74" applyFont="1" applyFill="1" applyBorder="1"/>
    <xf numFmtId="9" fontId="2" fillId="0" borderId="0" xfId="74" applyFont="1" applyFill="1" applyBorder="1" applyAlignment="1">
      <alignment vertical="center"/>
    </xf>
    <xf numFmtId="179" fontId="0" fillId="0" borderId="0" xfId="0" applyNumberFormat="1"/>
    <xf numFmtId="199" fontId="2" fillId="25" borderId="18" xfId="0" applyNumberFormat="1" applyFont="1" applyFill="1" applyBorder="1" applyAlignment="1">
      <alignment vertical="center"/>
    </xf>
    <xf numFmtId="9" fontId="10" fillId="0" borderId="0" xfId="74" applyFont="1" applyFill="1"/>
    <xf numFmtId="0" fontId="97" fillId="25" borderId="0" xfId="67" applyFont="1" applyFill="1"/>
    <xf numFmtId="0" fontId="98" fillId="25" borderId="0" xfId="67" applyFont="1" applyFill="1"/>
    <xf numFmtId="199" fontId="99" fillId="25" borderId="0" xfId="0" applyNumberFormat="1" applyFont="1" applyFill="1" applyBorder="1" applyAlignment="1">
      <alignment vertical="center"/>
    </xf>
    <xf numFmtId="198" fontId="26" fillId="25" borderId="0" xfId="0" applyNumberFormat="1" applyFont="1" applyFill="1" applyBorder="1" applyAlignment="1">
      <alignment vertical="center"/>
    </xf>
    <xf numFmtId="170" fontId="99" fillId="25" borderId="0" xfId="0" applyNumberFormat="1" applyFont="1" applyFill="1" applyBorder="1" applyAlignment="1">
      <alignment vertical="center"/>
    </xf>
    <xf numFmtId="170" fontId="2" fillId="25" borderId="0" xfId="0" applyNumberFormat="1" applyFont="1" applyFill="1" applyBorder="1" applyAlignment="1">
      <alignment vertical="center"/>
    </xf>
    <xf numFmtId="199" fontId="6" fillId="0" borderId="0" xfId="0" applyNumberFormat="1" applyFont="1" applyBorder="1" applyAlignment="1">
      <alignment horizontal="right" vertical="center"/>
    </xf>
    <xf numFmtId="9" fontId="2" fillId="0" borderId="0" xfId="74" applyFont="1"/>
    <xf numFmtId="181" fontId="2" fillId="0" borderId="3" xfId="74" applyNumberFormat="1" applyFont="1" applyFill="1" applyBorder="1" applyAlignment="1">
      <alignment vertical="center"/>
    </xf>
    <xf numFmtId="43" fontId="2" fillId="17" borderId="0" xfId="46" applyFont="1" applyFill="1"/>
    <xf numFmtId="43" fontId="2" fillId="18" borderId="0" xfId="46" applyFont="1" applyFill="1"/>
    <xf numFmtId="43" fontId="8" fillId="0" borderId="0" xfId="46" applyFont="1" applyFill="1" applyBorder="1" applyAlignment="1">
      <alignment vertical="center"/>
    </xf>
    <xf numFmtId="43" fontId="2" fillId="0" borderId="0" xfId="46" applyFont="1" applyFill="1"/>
    <xf numFmtId="43" fontId="2" fillId="0" borderId="0" xfId="46" applyFont="1" applyFill="1" applyBorder="1"/>
    <xf numFmtId="43" fontId="10" fillId="0" borderId="0" xfId="46" applyFont="1" applyFill="1" applyBorder="1"/>
    <xf numFmtId="43" fontId="11" fillId="0" borderId="0" xfId="46" applyFont="1" applyFill="1"/>
    <xf numFmtId="43" fontId="2" fillId="17" borderId="0" xfId="46" applyFont="1" applyFill="1" applyBorder="1"/>
    <xf numFmtId="43" fontId="0" fillId="0" borderId="0" xfId="46" applyFont="1" applyBorder="1"/>
    <xf numFmtId="43" fontId="26" fillId="17" borderId="0" xfId="46" applyFont="1" applyFill="1" applyBorder="1"/>
    <xf numFmtId="43" fontId="10" fillId="17" borderId="0" xfId="46" applyFont="1" applyFill="1" applyBorder="1"/>
    <xf numFmtId="43" fontId="0" fillId="17" borderId="0" xfId="46" applyFont="1" applyFill="1"/>
    <xf numFmtId="43" fontId="0" fillId="0" borderId="0" xfId="46" applyFont="1"/>
    <xf numFmtId="221" fontId="99" fillId="0" borderId="0" xfId="0" applyNumberFormat="1" applyFont="1" applyFill="1" applyBorder="1" applyAlignment="1">
      <alignment vertical="center"/>
    </xf>
    <xf numFmtId="181" fontId="10" fillId="0" borderId="18" xfId="0" applyNumberFormat="1" applyFont="1" applyFill="1" applyBorder="1" applyAlignment="1">
      <alignment horizontal="right" vertical="center"/>
    </xf>
    <xf numFmtId="181" fontId="10" fillId="17" borderId="18" xfId="0" applyNumberFormat="1" applyFont="1" applyFill="1" applyBorder="1" applyAlignment="1">
      <alignment horizontal="right" vertical="center"/>
    </xf>
    <xf numFmtId="198" fontId="2" fillId="0" borderId="18" xfId="0" applyNumberFormat="1" applyFont="1" applyFill="1" applyBorder="1" applyAlignment="1">
      <alignment vertical="center"/>
    </xf>
    <xf numFmtId="200" fontId="2" fillId="0" borderId="18" xfId="0" applyNumberFormat="1" applyFont="1" applyFill="1" applyBorder="1" applyAlignment="1">
      <alignment vertical="center"/>
    </xf>
    <xf numFmtId="1" fontId="2" fillId="0" borderId="0" xfId="0" applyNumberFormat="1" applyFont="1" applyFill="1"/>
    <xf numFmtId="9" fontId="10" fillId="0" borderId="0" xfId="0" applyNumberFormat="1" applyFont="1"/>
    <xf numFmtId="170" fontId="2" fillId="0" borderId="3" xfId="0" applyNumberFormat="1" applyFont="1" applyFill="1" applyBorder="1" applyAlignment="1">
      <alignment horizontal="right" vertical="center"/>
    </xf>
    <xf numFmtId="180" fontId="96" fillId="17" borderId="18" xfId="0" applyNumberFormat="1" applyFont="1" applyFill="1" applyBorder="1" applyAlignment="1">
      <alignment horizontal="right" vertical="center"/>
    </xf>
    <xf numFmtId="180" fontId="96" fillId="17" borderId="0" xfId="0" applyNumberFormat="1" applyFont="1" applyFill="1" applyBorder="1" applyAlignment="1">
      <alignment horizontal="right" vertical="center"/>
    </xf>
    <xf numFmtId="220" fontId="96" fillId="0" borderId="0" xfId="0" applyNumberFormat="1" applyFont="1" applyBorder="1"/>
    <xf numFmtId="198" fontId="24" fillId="0" borderId="3" xfId="0" applyNumberFormat="1" applyFont="1" applyFill="1" applyBorder="1" applyAlignment="1">
      <alignment vertical="center"/>
    </xf>
    <xf numFmtId="179" fontId="3" fillId="0" borderId="44" xfId="0" applyNumberFormat="1" applyFont="1" applyFill="1" applyBorder="1" applyAlignment="1">
      <alignment vertical="center"/>
    </xf>
    <xf numFmtId="181" fontId="2" fillId="0" borderId="44" xfId="0" applyNumberFormat="1" applyFont="1" applyFill="1" applyBorder="1" applyAlignment="1">
      <alignment horizontal="right" vertical="center"/>
    </xf>
    <xf numFmtId="170" fontId="2" fillId="0" borderId="44" xfId="0" applyNumberFormat="1" applyFont="1" applyFill="1" applyBorder="1" applyAlignment="1">
      <alignment horizontal="right" vertical="center"/>
    </xf>
    <xf numFmtId="179" fontId="2" fillId="0" borderId="44" xfId="0" applyNumberFormat="1" applyFont="1" applyFill="1" applyBorder="1" applyAlignment="1">
      <alignment horizontal="right" vertical="center"/>
    </xf>
    <xf numFmtId="199" fontId="7" fillId="17" borderId="0" xfId="0" applyNumberFormat="1" applyFont="1" applyFill="1" applyAlignment="1">
      <alignment vertical="center"/>
    </xf>
    <xf numFmtId="199" fontId="0" fillId="0" borderId="0" xfId="0" applyNumberFormat="1"/>
    <xf numFmtId="198" fontId="33" fillId="17" borderId="0" xfId="0" applyNumberFormat="1" applyFont="1" applyFill="1" applyBorder="1" applyAlignment="1">
      <alignment vertical="center"/>
    </xf>
    <xf numFmtId="9" fontId="2" fillId="25" borderId="3" xfId="74" applyNumberFormat="1" applyFont="1" applyFill="1" applyBorder="1"/>
    <xf numFmtId="179" fontId="8" fillId="31" borderId="18" xfId="0" applyNumberFormat="1" applyFont="1" applyFill="1" applyBorder="1" applyAlignment="1">
      <alignment vertical="center"/>
    </xf>
    <xf numFmtId="179" fontId="98" fillId="31" borderId="18" xfId="0" applyNumberFormat="1" applyFont="1" applyFill="1" applyBorder="1" applyAlignment="1">
      <alignment vertical="center"/>
    </xf>
    <xf numFmtId="205" fontId="2" fillId="31" borderId="18" xfId="0" applyNumberFormat="1" applyFont="1" applyFill="1" applyBorder="1"/>
    <xf numFmtId="199" fontId="2" fillId="0" borderId="18" xfId="0" applyNumberFormat="1" applyFont="1" applyFill="1" applyBorder="1"/>
    <xf numFmtId="203" fontId="3" fillId="0" borderId="18" xfId="0" applyNumberFormat="1" applyFont="1" applyBorder="1"/>
    <xf numFmtId="187" fontId="8" fillId="17" borderId="18" xfId="46" applyNumberFormat="1" applyFont="1" applyFill="1" applyBorder="1" applyAlignment="1">
      <alignment vertical="center"/>
    </xf>
    <xf numFmtId="9" fontId="98" fillId="17" borderId="18" xfId="0" applyNumberFormat="1" applyFont="1" applyFill="1" applyBorder="1" applyAlignment="1">
      <alignment vertical="center"/>
    </xf>
    <xf numFmtId="198" fontId="3" fillId="17" borderId="18" xfId="0" applyNumberFormat="1" applyFont="1" applyFill="1" applyBorder="1" applyAlignment="1">
      <alignment vertical="center"/>
    </xf>
    <xf numFmtId="37" fontId="98" fillId="0" borderId="18" xfId="0" applyNumberFormat="1" applyFont="1" applyFill="1" applyBorder="1" applyAlignment="1">
      <alignment vertical="center"/>
    </xf>
    <xf numFmtId="9" fontId="21" fillId="17" borderId="0" xfId="0" applyNumberFormat="1" applyFont="1" applyFill="1" applyBorder="1" applyAlignment="1">
      <alignment vertical="center"/>
    </xf>
    <xf numFmtId="0" fontId="94" fillId="31" borderId="21" xfId="0" applyFont="1" applyFill="1" applyBorder="1" applyAlignment="1">
      <alignment vertical="center"/>
    </xf>
    <xf numFmtId="0" fontId="94" fillId="31" borderId="12" xfId="0" applyFont="1" applyFill="1" applyBorder="1" applyAlignment="1">
      <alignment vertical="center"/>
    </xf>
    <xf numFmtId="179" fontId="94" fillId="31" borderId="12" xfId="0" applyNumberFormat="1" applyFont="1" applyFill="1" applyBorder="1" applyAlignment="1">
      <alignment vertical="center"/>
    </xf>
    <xf numFmtId="179" fontId="95" fillId="31" borderId="21" xfId="0" applyNumberFormat="1" applyFont="1" applyFill="1" applyBorder="1" applyAlignment="1">
      <alignment vertical="center"/>
    </xf>
    <xf numFmtId="179" fontId="94" fillId="31" borderId="22" xfId="0" applyNumberFormat="1" applyFont="1" applyFill="1" applyBorder="1" applyAlignment="1">
      <alignment vertical="center"/>
    </xf>
    <xf numFmtId="179" fontId="94" fillId="31" borderId="21" xfId="0" applyNumberFormat="1" applyFont="1" applyFill="1" applyBorder="1" applyAlignment="1">
      <alignment vertical="center"/>
    </xf>
    <xf numFmtId="179" fontId="94" fillId="31" borderId="0" xfId="0" applyNumberFormat="1" applyFont="1" applyFill="1" applyBorder="1" applyAlignment="1">
      <alignment vertical="center"/>
    </xf>
    <xf numFmtId="179" fontId="33" fillId="31" borderId="21" xfId="0" applyNumberFormat="1" applyFont="1" applyFill="1" applyBorder="1" applyAlignment="1">
      <alignment vertical="center"/>
    </xf>
    <xf numFmtId="179" fontId="33" fillId="31" borderId="12" xfId="0" applyNumberFormat="1" applyFont="1" applyFill="1" applyBorder="1" applyAlignment="1">
      <alignment vertical="center"/>
    </xf>
    <xf numFmtId="179" fontId="33" fillId="31" borderId="22" xfId="0" applyNumberFormat="1" applyFont="1" applyFill="1" applyBorder="1" applyAlignment="1">
      <alignment vertical="center"/>
    </xf>
    <xf numFmtId="179" fontId="33" fillId="31" borderId="0" xfId="0" applyNumberFormat="1" applyFont="1" applyFill="1" applyBorder="1" applyAlignment="1">
      <alignment vertical="center"/>
    </xf>
    <xf numFmtId="0" fontId="33" fillId="31" borderId="18" xfId="0" applyFont="1" applyFill="1" applyBorder="1" applyAlignment="1">
      <alignment vertical="center"/>
    </xf>
    <xf numFmtId="0" fontId="33" fillId="31" borderId="0" xfId="0" applyFont="1" applyFill="1" applyBorder="1" applyAlignment="1">
      <alignment vertical="center"/>
    </xf>
    <xf numFmtId="179" fontId="33" fillId="31" borderId="18" xfId="0" applyNumberFormat="1" applyFont="1" applyFill="1" applyBorder="1" applyAlignment="1">
      <alignment vertical="center"/>
    </xf>
    <xf numFmtId="179" fontId="33" fillId="31" borderId="3" xfId="0" applyNumberFormat="1" applyFont="1" applyFill="1" applyBorder="1" applyAlignment="1">
      <alignment vertical="center"/>
    </xf>
    <xf numFmtId="179" fontId="8" fillId="31" borderId="0" xfId="0" applyNumberFormat="1" applyFont="1" applyFill="1"/>
    <xf numFmtId="179" fontId="8" fillId="31" borderId="18" xfId="0" applyNumberFormat="1" applyFont="1" applyFill="1" applyBorder="1" applyAlignment="1">
      <alignment horizontal="left" vertical="center"/>
    </xf>
    <xf numFmtId="179" fontId="8" fillId="31" borderId="0" xfId="0" applyNumberFormat="1" applyFont="1" applyFill="1" applyBorder="1" applyAlignment="1">
      <alignment horizontal="left" vertical="center" indent="2"/>
    </xf>
    <xf numFmtId="179" fontId="8" fillId="31" borderId="3" xfId="0" applyNumberFormat="1" applyFont="1" applyFill="1" applyBorder="1" applyAlignment="1">
      <alignment vertical="center"/>
    </xf>
    <xf numFmtId="179" fontId="96" fillId="31" borderId="18" xfId="0" applyNumberFormat="1" applyFont="1" applyFill="1" applyBorder="1" applyAlignment="1">
      <alignment vertical="center"/>
    </xf>
    <xf numFmtId="179" fontId="96" fillId="31" borderId="0" xfId="0" applyNumberFormat="1" applyFont="1" applyFill="1" applyBorder="1" applyAlignment="1">
      <alignment vertical="center"/>
    </xf>
    <xf numFmtId="179" fontId="96" fillId="31" borderId="3" xfId="0" applyNumberFormat="1" applyFont="1" applyFill="1" applyBorder="1" applyAlignment="1">
      <alignment vertical="center"/>
    </xf>
    <xf numFmtId="179" fontId="44" fillId="31" borderId="0" xfId="0" applyNumberFormat="1" applyFont="1" applyFill="1" applyBorder="1" applyAlignment="1">
      <alignment vertical="center"/>
    </xf>
    <xf numFmtId="170" fontId="3" fillId="31" borderId="0" xfId="0" applyNumberFormat="1" applyFont="1" applyFill="1" applyAlignment="1">
      <alignment horizontal="right" vertical="center"/>
    </xf>
    <xf numFmtId="0" fontId="3" fillId="31" borderId="0" xfId="0" applyFont="1" applyFill="1"/>
    <xf numFmtId="179" fontId="6" fillId="31" borderId="0" xfId="0" applyNumberFormat="1" applyFont="1" applyFill="1" applyBorder="1" applyAlignment="1">
      <alignment horizontal="left" vertical="center" indent="2"/>
    </xf>
    <xf numFmtId="9" fontId="2" fillId="31" borderId="18" xfId="0" applyNumberFormat="1" applyFont="1" applyFill="1" applyBorder="1"/>
    <xf numFmtId="9" fontId="2" fillId="31" borderId="0" xfId="0" applyNumberFormat="1" applyFont="1" applyFill="1" applyBorder="1"/>
    <xf numFmtId="9" fontId="2" fillId="31" borderId="3" xfId="0" applyNumberFormat="1" applyFont="1" applyFill="1" applyBorder="1"/>
    <xf numFmtId="9" fontId="2" fillId="31" borderId="18" xfId="0" applyNumberFormat="1" applyFont="1" applyFill="1" applyBorder="1" applyAlignment="1">
      <alignment horizontal="right"/>
    </xf>
    <xf numFmtId="9" fontId="2" fillId="31" borderId="0" xfId="0" applyNumberFormat="1" applyFont="1" applyFill="1" applyBorder="1" applyAlignment="1">
      <alignment horizontal="right"/>
    </xf>
    <xf numFmtId="9" fontId="2" fillId="31" borderId="3" xfId="0" applyNumberFormat="1" applyFont="1" applyFill="1" applyBorder="1" applyAlignment="1">
      <alignment horizontal="right"/>
    </xf>
    <xf numFmtId="181" fontId="2" fillId="31" borderId="0" xfId="0" applyNumberFormat="1" applyFont="1" applyFill="1" applyBorder="1" applyAlignment="1">
      <alignment horizontal="right"/>
    </xf>
    <xf numFmtId="181" fontId="2" fillId="31" borderId="3" xfId="0" applyNumberFormat="1" applyFont="1" applyFill="1" applyBorder="1"/>
    <xf numFmtId="179" fontId="30" fillId="31" borderId="0" xfId="0" applyNumberFormat="1" applyFont="1" applyFill="1" applyBorder="1" applyAlignment="1">
      <alignment vertical="center"/>
    </xf>
    <xf numFmtId="179" fontId="30" fillId="31" borderId="3" xfId="0" applyNumberFormat="1" applyFont="1" applyFill="1" applyBorder="1" applyAlignment="1">
      <alignment vertical="center"/>
    </xf>
    <xf numFmtId="179" fontId="6" fillId="31" borderId="3" xfId="0" applyNumberFormat="1" applyFont="1" applyFill="1" applyBorder="1" applyAlignment="1">
      <alignment vertical="center"/>
    </xf>
    <xf numFmtId="37" fontId="96" fillId="31" borderId="0" xfId="46" applyNumberFormat="1" applyFont="1" applyFill="1" applyBorder="1" applyAlignment="1">
      <alignment horizontal="right" vertical="center"/>
    </xf>
    <xf numFmtId="37" fontId="96" fillId="31" borderId="3" xfId="46" applyNumberFormat="1" applyFont="1" applyFill="1" applyBorder="1" applyAlignment="1">
      <alignment horizontal="right" vertical="center"/>
    </xf>
    <xf numFmtId="187" fontId="2" fillId="31" borderId="0" xfId="46" applyNumberFormat="1" applyFont="1" applyFill="1" applyBorder="1" applyAlignment="1">
      <alignment horizontal="right" vertical="center"/>
    </xf>
    <xf numFmtId="187" fontId="2" fillId="31" borderId="3" xfId="46" applyNumberFormat="1" applyFont="1" applyFill="1" applyBorder="1" applyAlignment="1">
      <alignment horizontal="right" vertical="center"/>
    </xf>
    <xf numFmtId="0" fontId="2" fillId="31" borderId="18" xfId="0" applyFont="1" applyFill="1" applyBorder="1" applyAlignment="1">
      <alignment horizontal="left" vertical="center"/>
    </xf>
    <xf numFmtId="0" fontId="2" fillId="31" borderId="0" xfId="0" applyFont="1" applyFill="1" applyBorder="1" applyAlignment="1">
      <alignment horizontal="left" vertical="center" indent="1"/>
    </xf>
    <xf numFmtId="170" fontId="2" fillId="31" borderId="0" xfId="0" applyNumberFormat="1" applyFont="1" applyFill="1" applyBorder="1" applyAlignment="1">
      <alignment vertical="center"/>
    </xf>
    <xf numFmtId="170" fontId="21" fillId="31" borderId="3" xfId="0" applyNumberFormat="1" applyFont="1" applyFill="1" applyBorder="1" applyAlignment="1">
      <alignment vertical="center"/>
    </xf>
    <xf numFmtId="170" fontId="21" fillId="31" borderId="0" xfId="0" applyNumberFormat="1" applyFont="1" applyFill="1" applyBorder="1" applyAlignment="1">
      <alignment vertical="center"/>
    </xf>
    <xf numFmtId="170" fontId="21" fillId="31" borderId="18" xfId="0" applyNumberFormat="1" applyFont="1" applyFill="1" applyBorder="1" applyAlignment="1">
      <alignment vertical="center"/>
    </xf>
    <xf numFmtId="180" fontId="39" fillId="31" borderId="0" xfId="0" applyNumberFormat="1" applyFont="1" applyFill="1" applyBorder="1" applyAlignment="1">
      <alignment vertical="center"/>
    </xf>
    <xf numFmtId="180" fontId="39" fillId="31" borderId="18" xfId="0" applyNumberFormat="1" applyFont="1" applyFill="1" applyBorder="1" applyAlignment="1">
      <alignment vertical="center"/>
    </xf>
    <xf numFmtId="180" fontId="39" fillId="31" borderId="3" xfId="0" applyNumberFormat="1" applyFont="1" applyFill="1" applyBorder="1" applyAlignment="1">
      <alignment vertical="center"/>
    </xf>
    <xf numFmtId="204" fontId="3" fillId="31" borderId="0" xfId="49" applyNumberFormat="1" applyFont="1" applyFill="1" applyBorder="1"/>
    <xf numFmtId="204" fontId="3" fillId="31" borderId="18" xfId="49" applyNumberFormat="1" applyFont="1" applyFill="1" applyBorder="1"/>
    <xf numFmtId="204" fontId="3" fillId="31" borderId="3" xfId="49" applyNumberFormat="1" applyFont="1" applyFill="1" applyBorder="1"/>
    <xf numFmtId="2" fontId="26" fillId="31" borderId="18" xfId="0" applyNumberFormat="1" applyFont="1" applyFill="1" applyBorder="1" applyAlignment="1">
      <alignment vertical="center"/>
    </xf>
    <xf numFmtId="2" fontId="26" fillId="31" borderId="0" xfId="0" applyNumberFormat="1" applyFont="1" applyFill="1" applyBorder="1" applyAlignment="1">
      <alignment vertical="center"/>
    </xf>
    <xf numFmtId="204" fontId="44" fillId="31" borderId="0" xfId="49" applyNumberFormat="1" applyFont="1" applyFill="1" applyBorder="1"/>
    <xf numFmtId="2" fontId="6" fillId="31" borderId="0" xfId="0" applyNumberFormat="1" applyFont="1" applyFill="1" applyBorder="1" applyAlignment="1">
      <alignment vertical="center"/>
    </xf>
    <xf numFmtId="2" fontId="2" fillId="31" borderId="0" xfId="0" applyNumberFormat="1" applyFont="1" applyFill="1" applyBorder="1" applyAlignment="1">
      <alignment horizontal="right" vertical="center"/>
    </xf>
    <xf numFmtId="2" fontId="2" fillId="31" borderId="18" xfId="0" applyNumberFormat="1" applyFont="1" applyFill="1" applyBorder="1" applyAlignment="1">
      <alignment horizontal="right" vertical="center"/>
    </xf>
    <xf numFmtId="2" fontId="2" fillId="31" borderId="3" xfId="0" applyNumberFormat="1" applyFont="1" applyFill="1" applyBorder="1" applyAlignment="1">
      <alignment horizontal="right" vertical="center"/>
    </xf>
    <xf numFmtId="0" fontId="108" fillId="0" borderId="0" xfId="0" applyFont="1" applyFill="1" applyBorder="1" applyAlignment="1">
      <alignment horizontal="right"/>
    </xf>
    <xf numFmtId="0" fontId="108" fillId="0" borderId="0" xfId="0" applyFont="1" applyFill="1" applyBorder="1" applyAlignment="1">
      <alignment horizontal="right" vertical="center"/>
    </xf>
    <xf numFmtId="0" fontId="108" fillId="0" borderId="18" xfId="0" applyFont="1" applyFill="1" applyBorder="1" applyAlignment="1">
      <alignment horizontal="left" vertical="center" indent="1"/>
    </xf>
    <xf numFmtId="0" fontId="108" fillId="0" borderId="0" xfId="0" applyFont="1" applyFill="1" applyBorder="1" applyAlignment="1">
      <alignment horizontal="right" vertical="center" indent="1"/>
    </xf>
    <xf numFmtId="170" fontId="108" fillId="0" borderId="0" xfId="0" applyNumberFormat="1" applyFont="1" applyFill="1" applyBorder="1" applyAlignment="1">
      <alignment horizontal="right" vertical="center"/>
    </xf>
    <xf numFmtId="170" fontId="108" fillId="0" borderId="3" xfId="0" applyNumberFormat="1" applyFont="1" applyFill="1" applyBorder="1" applyAlignment="1">
      <alignment horizontal="right" vertical="center"/>
    </xf>
    <xf numFmtId="170" fontId="108" fillId="0" borderId="18" xfId="0" applyNumberFormat="1" applyFont="1" applyFill="1" applyBorder="1" applyAlignment="1">
      <alignment horizontal="right" vertical="center"/>
    </xf>
    <xf numFmtId="43" fontId="108" fillId="0" borderId="0" xfId="46" applyFont="1" applyFill="1" applyBorder="1" applyAlignment="1">
      <alignment horizontal="right"/>
    </xf>
    <xf numFmtId="0" fontId="109" fillId="0" borderId="0" xfId="0" applyFont="1" applyFill="1" applyBorder="1" applyAlignment="1">
      <alignment horizontal="right"/>
    </xf>
    <xf numFmtId="0" fontId="108" fillId="0" borderId="0" xfId="0" applyFont="1" applyFill="1" applyBorder="1" applyAlignment="1">
      <alignment horizontal="center"/>
    </xf>
    <xf numFmtId="198" fontId="96" fillId="18" borderId="66" xfId="46" applyNumberFormat="1" applyFont="1" applyFill="1" applyBorder="1" applyAlignment="1">
      <alignment horizontal="right" vertical="center"/>
    </xf>
    <xf numFmtId="164" fontId="22" fillId="21" borderId="20" xfId="0" applyNumberFormat="1" applyFont="1" applyFill="1" applyBorder="1" applyAlignment="1">
      <alignment horizontal="right" vertical="center"/>
    </xf>
    <xf numFmtId="220" fontId="3" fillId="0" borderId="0" xfId="0" applyNumberFormat="1" applyFont="1" applyFill="1" applyBorder="1"/>
    <xf numFmtId="220" fontId="3" fillId="0" borderId="3" xfId="0" applyNumberFormat="1" applyFont="1" applyFill="1" applyBorder="1"/>
    <xf numFmtId="43" fontId="7" fillId="17" borderId="0" xfId="46" applyFont="1" applyFill="1" applyBorder="1" applyAlignment="1">
      <alignment vertical="center"/>
    </xf>
    <xf numFmtId="202" fontId="7" fillId="17" borderId="0" xfId="46" applyNumberFormat="1" applyFont="1" applyFill="1" applyBorder="1" applyAlignment="1">
      <alignment vertical="center"/>
    </xf>
    <xf numFmtId="43" fontId="6" fillId="0" borderId="0" xfId="46" applyFont="1" applyAlignment="1">
      <alignment horizontal="right" vertical="center"/>
    </xf>
    <xf numFmtId="0" fontId="2" fillId="0" borderId="0" xfId="0" applyFont="1" applyFill="1" applyBorder="1" applyAlignment="1">
      <alignment horizontal="right" vertical="center" indent="1"/>
    </xf>
    <xf numFmtId="170" fontId="2" fillId="0" borderId="18" xfId="0" applyNumberFormat="1" applyFont="1" applyFill="1" applyBorder="1" applyAlignment="1">
      <alignment horizontal="right" vertical="center"/>
    </xf>
    <xf numFmtId="43" fontId="2" fillId="0" borderId="0" xfId="46" applyFont="1" applyFill="1" applyBorder="1" applyAlignment="1">
      <alignment horizontal="right"/>
    </xf>
    <xf numFmtId="0" fontId="11" fillId="0" borderId="0" xfId="0" applyFont="1" applyFill="1" applyBorder="1" applyAlignment="1">
      <alignment horizontal="right"/>
    </xf>
    <xf numFmtId="214" fontId="2" fillId="0" borderId="0" xfId="46" applyNumberFormat="1" applyFont="1" applyFill="1" applyBorder="1" applyAlignment="1">
      <alignment horizontal="right" vertical="center"/>
    </xf>
    <xf numFmtId="214" fontId="2" fillId="0" borderId="18" xfId="46" applyNumberFormat="1" applyFont="1" applyFill="1" applyBorder="1" applyAlignment="1">
      <alignment horizontal="right" vertical="center"/>
    </xf>
    <xf numFmtId="214" fontId="2" fillId="0" borderId="3" xfId="46" applyNumberFormat="1" applyFont="1" applyFill="1" applyBorder="1" applyAlignment="1">
      <alignment horizontal="right" vertical="center"/>
    </xf>
    <xf numFmtId="9" fontId="6" fillId="0" borderId="0" xfId="0" applyNumberFormat="1" applyFont="1" applyAlignment="1">
      <alignment horizontal="right" vertical="center"/>
    </xf>
    <xf numFmtId="180" fontId="6" fillId="0" borderId="0" xfId="0" applyNumberFormat="1" applyFont="1" applyFill="1" applyBorder="1" applyAlignment="1">
      <alignment vertical="center"/>
    </xf>
    <xf numFmtId="179" fontId="10" fillId="0" borderId="0" xfId="0" applyNumberFormat="1" applyFont="1" applyFill="1" applyAlignment="1">
      <alignment vertical="center"/>
    </xf>
    <xf numFmtId="179" fontId="3" fillId="0" borderId="18" xfId="46" applyNumberFormat="1" applyFont="1" applyFill="1" applyBorder="1"/>
    <xf numFmtId="179" fontId="3" fillId="0" borderId="3" xfId="46" applyNumberFormat="1" applyFont="1" applyFill="1" applyBorder="1"/>
    <xf numFmtId="187" fontId="8" fillId="0" borderId="18" xfId="46" applyNumberFormat="1" applyFont="1" applyFill="1" applyBorder="1"/>
    <xf numFmtId="187" fontId="8" fillId="0" borderId="3" xfId="46" applyNumberFormat="1" applyFont="1" applyFill="1" applyBorder="1"/>
    <xf numFmtId="199" fontId="96" fillId="0" borderId="0" xfId="46" applyNumberFormat="1" applyFont="1" applyFill="1" applyBorder="1"/>
    <xf numFmtId="199" fontId="96" fillId="0" borderId="18" xfId="46" applyNumberFormat="1" applyFont="1" applyFill="1" applyBorder="1"/>
    <xf numFmtId="199" fontId="96" fillId="0" borderId="3" xfId="46" applyNumberFormat="1" applyFont="1" applyFill="1" applyBorder="1" applyAlignment="1">
      <alignment vertical="center"/>
    </xf>
    <xf numFmtId="198" fontId="24" fillId="0" borderId="0" xfId="0" applyNumberFormat="1" applyFont="1" applyFill="1" applyBorder="1" applyAlignment="1">
      <alignment vertical="center"/>
    </xf>
    <xf numFmtId="198" fontId="23" fillId="0" borderId="0" xfId="0" applyNumberFormat="1" applyFont="1" applyFill="1" applyBorder="1" applyAlignment="1">
      <alignment vertical="center"/>
    </xf>
    <xf numFmtId="198" fontId="24" fillId="0" borderId="18" xfId="0" applyNumberFormat="1" applyFont="1" applyFill="1" applyBorder="1" applyAlignment="1">
      <alignment vertical="center"/>
    </xf>
    <xf numFmtId="198" fontId="23" fillId="0" borderId="18" xfId="0" applyNumberFormat="1" applyFont="1" applyFill="1" applyBorder="1" applyAlignment="1">
      <alignment vertical="center"/>
    </xf>
    <xf numFmtId="9" fontId="10" fillId="0" borderId="0" xfId="74" applyFont="1"/>
    <xf numFmtId="199" fontId="10" fillId="0" borderId="0" xfId="0" applyNumberFormat="1" applyFont="1" applyFill="1" applyAlignment="1">
      <alignment horizontal="center"/>
    </xf>
    <xf numFmtId="198" fontId="97" fillId="0" borderId="0" xfId="0" applyNumberFormat="1" applyFont="1" applyFill="1" applyBorder="1"/>
    <xf numFmtId="182" fontId="97" fillId="0" borderId="0" xfId="0" applyNumberFormat="1" applyFont="1" applyFill="1" applyBorder="1" applyAlignment="1">
      <alignment horizontal="right" vertical="center"/>
    </xf>
    <xf numFmtId="164" fontId="3" fillId="17" borderId="0" xfId="0" applyNumberFormat="1" applyFont="1" applyFill="1" applyBorder="1" applyAlignment="1">
      <alignment horizontal="right" vertical="center"/>
    </xf>
    <xf numFmtId="0" fontId="3" fillId="17" borderId="18" xfId="0" applyFont="1" applyFill="1" applyBorder="1" applyAlignment="1">
      <alignment horizontal="left" vertical="center"/>
    </xf>
    <xf numFmtId="43" fontId="26" fillId="17" borderId="0" xfId="0" applyNumberFormat="1" applyFont="1" applyFill="1" applyBorder="1" applyAlignment="1">
      <alignment horizontal="right" vertical="center"/>
    </xf>
    <xf numFmtId="187" fontId="26" fillId="17" borderId="0" xfId="46" applyNumberFormat="1" applyFont="1" applyFill="1" applyBorder="1" applyAlignment="1">
      <alignment horizontal="right" vertical="center"/>
    </xf>
    <xf numFmtId="0" fontId="5" fillId="17" borderId="18" xfId="0" applyFont="1" applyFill="1" applyBorder="1" applyAlignment="1">
      <alignment horizontal="left" vertical="center" indent="1"/>
    </xf>
    <xf numFmtId="187" fontId="99" fillId="17" borderId="0" xfId="46" applyNumberFormat="1" applyFont="1" applyFill="1" applyBorder="1" applyAlignment="1">
      <alignment horizontal="right" vertical="center"/>
    </xf>
    <xf numFmtId="171" fontId="26" fillId="17" borderId="0" xfId="0" applyNumberFormat="1" applyFont="1" applyFill="1" applyBorder="1" applyAlignment="1">
      <alignment horizontal="right" vertical="center"/>
    </xf>
    <xf numFmtId="179" fontId="2" fillId="0" borderId="0" xfId="0" applyNumberFormat="1" applyFont="1" applyFill="1"/>
    <xf numFmtId="179" fontId="2" fillId="0" borderId="0" xfId="0" applyNumberFormat="1" applyFont="1" applyFill="1" applyAlignment="1">
      <alignment horizontal="right" vertical="center"/>
    </xf>
    <xf numFmtId="179" fontId="6" fillId="32" borderId="0" xfId="0" applyNumberFormat="1" applyFont="1" applyFill="1"/>
    <xf numFmtId="0" fontId="2" fillId="32" borderId="18" xfId="0" applyFont="1" applyFill="1" applyBorder="1" applyAlignment="1">
      <alignment horizontal="left" vertical="center" indent="1"/>
    </xf>
    <xf numFmtId="179" fontId="6" fillId="32" borderId="0" xfId="0" applyNumberFormat="1" applyFont="1" applyFill="1" applyBorder="1" applyAlignment="1">
      <alignment horizontal="left" vertical="center" indent="1"/>
    </xf>
    <xf numFmtId="179" fontId="6" fillId="32" borderId="0" xfId="0" applyNumberFormat="1" applyFont="1" applyFill="1" applyBorder="1" applyAlignment="1">
      <alignment vertical="center"/>
    </xf>
    <xf numFmtId="181" fontId="2" fillId="32" borderId="0" xfId="0" applyNumberFormat="1" applyFont="1" applyFill="1" applyBorder="1" applyAlignment="1">
      <alignment horizontal="right" vertical="center"/>
    </xf>
    <xf numFmtId="181" fontId="2" fillId="32" borderId="18" xfId="0" applyNumberFormat="1" applyFont="1" applyFill="1" applyBorder="1" applyAlignment="1">
      <alignment horizontal="right" vertical="center"/>
    </xf>
    <xf numFmtId="181" fontId="2" fillId="32" borderId="3" xfId="0" applyNumberFormat="1" applyFont="1" applyFill="1" applyBorder="1" applyAlignment="1">
      <alignment horizontal="right" vertical="center"/>
    </xf>
    <xf numFmtId="199" fontId="26" fillId="32" borderId="0" xfId="0" applyNumberFormat="1" applyFont="1" applyFill="1" applyBorder="1" applyAlignment="1">
      <alignment vertical="center"/>
    </xf>
    <xf numFmtId="199" fontId="26" fillId="32" borderId="3" xfId="0" applyNumberFormat="1" applyFont="1" applyFill="1" applyBorder="1" applyAlignment="1">
      <alignment vertical="center"/>
    </xf>
    <xf numFmtId="181" fontId="6" fillId="32" borderId="0" xfId="0" applyNumberFormat="1" applyFont="1" applyFill="1" applyBorder="1" applyAlignment="1">
      <alignment horizontal="right" vertical="center"/>
    </xf>
    <xf numFmtId="199" fontId="21" fillId="0" borderId="0" xfId="0" applyNumberFormat="1" applyFont="1" applyFill="1" applyBorder="1" applyAlignment="1">
      <alignment horizontal="right" vertical="center"/>
    </xf>
    <xf numFmtId="187" fontId="26" fillId="32" borderId="0" xfId="46" applyNumberFormat="1" applyFont="1" applyFill="1" applyBorder="1" applyAlignment="1">
      <alignment horizontal="right" vertical="center"/>
    </xf>
    <xf numFmtId="199" fontId="3" fillId="32" borderId="0" xfId="0" applyNumberFormat="1" applyFont="1" applyFill="1" applyBorder="1" applyAlignment="1">
      <alignment horizontal="right" vertical="center"/>
    </xf>
    <xf numFmtId="171" fontId="26" fillId="32" borderId="0" xfId="0" applyNumberFormat="1" applyFont="1" applyFill="1" applyBorder="1" applyAlignment="1">
      <alignment horizontal="right" vertical="center"/>
    </xf>
    <xf numFmtId="171" fontId="26" fillId="32" borderId="3" xfId="0" applyNumberFormat="1" applyFont="1" applyFill="1" applyBorder="1" applyAlignment="1">
      <alignment horizontal="right" vertical="center"/>
    </xf>
    <xf numFmtId="199" fontId="82" fillId="0" borderId="0" xfId="0" applyNumberFormat="1" applyFont="1" applyFill="1" applyBorder="1" applyAlignment="1">
      <alignment horizontal="right" vertical="center"/>
    </xf>
    <xf numFmtId="199" fontId="82" fillId="0" borderId="18" xfId="0" applyNumberFormat="1" applyFont="1" applyFill="1" applyBorder="1" applyAlignment="1">
      <alignment horizontal="right" vertical="center"/>
    </xf>
    <xf numFmtId="199" fontId="3" fillId="0" borderId="18" xfId="0" applyNumberFormat="1" applyFont="1" applyFill="1" applyBorder="1" applyAlignment="1">
      <alignment horizontal="right" vertical="center"/>
    </xf>
    <xf numFmtId="181" fontId="2" fillId="0" borderId="0" xfId="74" applyNumberFormat="1" applyFont="1" applyBorder="1"/>
    <xf numFmtId="181" fontId="2" fillId="0" borderId="18" xfId="74" applyNumberFormat="1" applyFont="1" applyBorder="1"/>
    <xf numFmtId="181" fontId="82" fillId="0" borderId="0" xfId="74" applyNumberFormat="1" applyFont="1" applyBorder="1"/>
    <xf numFmtId="181" fontId="82" fillId="0" borderId="18" xfId="74" applyNumberFormat="1" applyFont="1" applyBorder="1"/>
    <xf numFmtId="181" fontId="3" fillId="0" borderId="0" xfId="74" applyNumberFormat="1" applyFont="1" applyBorder="1"/>
    <xf numFmtId="181" fontId="3" fillId="0" borderId="18" xfId="74" applyNumberFormat="1" applyFont="1" applyBorder="1"/>
    <xf numFmtId="199" fontId="2" fillId="0" borderId="18" xfId="0" applyNumberFormat="1" applyFont="1" applyBorder="1"/>
    <xf numFmtId="199" fontId="88" fillId="0" borderId="18" xfId="0" applyNumberFormat="1" applyFont="1" applyBorder="1"/>
    <xf numFmtId="199" fontId="88" fillId="0" borderId="0" xfId="0" applyNumberFormat="1" applyFont="1" applyBorder="1"/>
    <xf numFmtId="199" fontId="3" fillId="0" borderId="18" xfId="0" applyNumberFormat="1" applyFont="1" applyBorder="1"/>
    <xf numFmtId="199" fontId="3" fillId="0" borderId="0" xfId="0" applyNumberFormat="1" applyFont="1" applyBorder="1"/>
    <xf numFmtId="187" fontId="99" fillId="0" borderId="0" xfId="46" applyNumberFormat="1" applyFont="1" applyFill="1" applyBorder="1" applyAlignment="1">
      <alignment horizontal="right" vertical="center"/>
    </xf>
    <xf numFmtId="181" fontId="2" fillId="0" borderId="0" xfId="74" applyNumberFormat="1" applyFont="1" applyFill="1" applyBorder="1" applyAlignment="1">
      <alignment horizontal="right" vertical="center"/>
    </xf>
    <xf numFmtId="187" fontId="110" fillId="0" borderId="0" xfId="46" applyNumberFormat="1" applyFont="1" applyFill="1" applyBorder="1" applyAlignment="1">
      <alignment horizontal="right" vertical="center"/>
    </xf>
    <xf numFmtId="187" fontId="99" fillId="22" borderId="0" xfId="46" applyNumberFormat="1" applyFont="1" applyFill="1" applyBorder="1" applyAlignment="1">
      <alignment horizontal="right" vertical="center"/>
    </xf>
    <xf numFmtId="187" fontId="2" fillId="17" borderId="18" xfId="46" applyNumberFormat="1" applyFont="1" applyFill="1" applyBorder="1" applyAlignment="1">
      <alignment horizontal="right" vertical="center"/>
    </xf>
    <xf numFmtId="203" fontId="3" fillId="17" borderId="18" xfId="46" applyNumberFormat="1" applyFont="1" applyFill="1" applyBorder="1" applyAlignment="1">
      <alignment vertical="center"/>
    </xf>
    <xf numFmtId="203" fontId="3" fillId="17" borderId="0" xfId="46" applyNumberFormat="1" applyFont="1" applyFill="1"/>
    <xf numFmtId="203" fontId="3" fillId="0" borderId="0" xfId="46" applyNumberFormat="1" applyFont="1" applyFill="1"/>
    <xf numFmtId="203" fontId="3" fillId="17" borderId="0" xfId="46" applyNumberFormat="1" applyFont="1" applyFill="1" applyBorder="1" applyAlignment="1">
      <alignment vertical="center"/>
    </xf>
    <xf numFmtId="203" fontId="3" fillId="17" borderId="0" xfId="46" applyNumberFormat="1" applyFont="1" applyFill="1" applyBorder="1" applyAlignment="1">
      <alignment horizontal="right" vertical="center"/>
    </xf>
    <xf numFmtId="203" fontId="3" fillId="17" borderId="3" xfId="46" applyNumberFormat="1" applyFont="1" applyFill="1" applyBorder="1" applyAlignment="1">
      <alignment horizontal="right" vertical="center"/>
    </xf>
    <xf numFmtId="203" fontId="3" fillId="17" borderId="18" xfId="46" applyNumberFormat="1" applyFont="1" applyFill="1" applyBorder="1" applyAlignment="1">
      <alignment horizontal="right" vertical="center"/>
    </xf>
    <xf numFmtId="203" fontId="3" fillId="28" borderId="0" xfId="46" applyNumberFormat="1" applyFont="1" applyFill="1" applyBorder="1" applyAlignment="1">
      <alignment horizontal="right" vertical="center"/>
    </xf>
    <xf numFmtId="6" fontId="3" fillId="28" borderId="0" xfId="49" applyNumberFormat="1" applyFont="1" applyFill="1" applyBorder="1" applyAlignment="1">
      <alignment horizontal="right" vertical="center"/>
    </xf>
    <xf numFmtId="6" fontId="3" fillId="28" borderId="0" xfId="46" applyNumberFormat="1" applyFont="1" applyFill="1" applyBorder="1" applyAlignment="1">
      <alignment horizontal="right" vertical="center"/>
    </xf>
    <xf numFmtId="203" fontId="3" fillId="28" borderId="3" xfId="46" applyNumberFormat="1" applyFont="1" applyFill="1" applyBorder="1" applyAlignment="1">
      <alignment horizontal="right" vertical="center"/>
    </xf>
    <xf numFmtId="187" fontId="2" fillId="17" borderId="0" xfId="0" applyNumberFormat="1" applyFont="1" applyFill="1"/>
    <xf numFmtId="187" fontId="2" fillId="0" borderId="0" xfId="0" applyNumberFormat="1" applyFont="1" applyFill="1"/>
    <xf numFmtId="187" fontId="2" fillId="17" borderId="0" xfId="0" applyNumberFormat="1" applyFont="1" applyFill="1" applyBorder="1" applyAlignment="1">
      <alignment vertical="center"/>
    </xf>
    <xf numFmtId="187" fontId="2" fillId="17" borderId="0" xfId="0" applyNumberFormat="1" applyFont="1" applyFill="1" applyBorder="1" applyAlignment="1">
      <alignment horizontal="right" vertical="center"/>
    </xf>
    <xf numFmtId="187" fontId="2" fillId="17" borderId="3" xfId="0" applyNumberFormat="1" applyFont="1" applyFill="1" applyBorder="1" applyAlignment="1">
      <alignment horizontal="right" vertical="center"/>
    </xf>
    <xf numFmtId="187" fontId="2" fillId="17" borderId="18" xfId="0" applyNumberFormat="1" applyFont="1" applyFill="1" applyBorder="1" applyAlignment="1">
      <alignment horizontal="right" vertical="center"/>
    </xf>
    <xf numFmtId="187" fontId="2" fillId="0" borderId="0" xfId="0" applyNumberFormat="1" applyFont="1" applyFill="1" applyBorder="1" applyAlignment="1">
      <alignment horizontal="right" vertical="center"/>
    </xf>
    <xf numFmtId="187" fontId="2" fillId="0" borderId="18" xfId="0" applyNumberFormat="1" applyFont="1" applyFill="1" applyBorder="1" applyAlignment="1">
      <alignment horizontal="right" vertical="center"/>
    </xf>
    <xf numFmtId="187" fontId="2" fillId="0" borderId="3" xfId="0" applyNumberFormat="1" applyFont="1" applyFill="1" applyBorder="1" applyAlignment="1">
      <alignment horizontal="right" vertical="center"/>
    </xf>
    <xf numFmtId="187" fontId="2" fillId="0" borderId="0" xfId="0" applyNumberFormat="1" applyFont="1"/>
    <xf numFmtId="187" fontId="26" fillId="17" borderId="0" xfId="0" applyNumberFormat="1" applyFont="1" applyFill="1" applyBorder="1" applyAlignment="1">
      <alignment vertical="center"/>
    </xf>
    <xf numFmtId="187" fontId="26" fillId="17" borderId="0" xfId="0" applyNumberFormat="1" applyFont="1" applyFill="1" applyBorder="1" applyAlignment="1">
      <alignment horizontal="right" vertical="center"/>
    </xf>
    <xf numFmtId="187" fontId="26" fillId="17" borderId="18" xfId="0" applyNumberFormat="1" applyFont="1" applyFill="1" applyBorder="1" applyAlignment="1">
      <alignment horizontal="right" vertical="center"/>
    </xf>
    <xf numFmtId="187" fontId="26" fillId="17" borderId="3" xfId="0" applyNumberFormat="1" applyFont="1" applyFill="1" applyBorder="1" applyAlignment="1">
      <alignment horizontal="right" vertical="center"/>
    </xf>
    <xf numFmtId="181" fontId="2" fillId="25" borderId="18" xfId="0" applyNumberFormat="1" applyFont="1" applyFill="1" applyBorder="1" applyAlignment="1">
      <alignment horizontal="right" vertical="center"/>
    </xf>
    <xf numFmtId="187" fontId="3" fillId="0" borderId="0" xfId="0" applyNumberFormat="1" applyFont="1" applyFill="1" applyBorder="1" applyAlignment="1">
      <alignment horizontal="right" vertical="center"/>
    </xf>
    <xf numFmtId="187" fontId="3" fillId="0" borderId="18" xfId="0" applyNumberFormat="1" applyFont="1" applyFill="1" applyBorder="1" applyAlignment="1">
      <alignment horizontal="right" vertical="center"/>
    </xf>
    <xf numFmtId="187" fontId="3" fillId="0" borderId="3" xfId="0" applyNumberFormat="1" applyFont="1" applyFill="1" applyBorder="1" applyAlignment="1">
      <alignment horizontal="right" vertical="center"/>
    </xf>
    <xf numFmtId="9" fontId="2" fillId="0" borderId="0" xfId="74" applyNumberFormat="1" applyFont="1" applyFill="1" applyBorder="1"/>
    <xf numFmtId="203" fontId="2" fillId="0" borderId="18" xfId="46" applyNumberFormat="1" applyFont="1" applyFill="1" applyBorder="1" applyAlignment="1">
      <alignment horizontal="right" vertical="center"/>
    </xf>
    <xf numFmtId="203" fontId="2" fillId="0" borderId="0" xfId="46" applyNumberFormat="1" applyFont="1" applyFill="1" applyBorder="1" applyAlignment="1">
      <alignment horizontal="right" vertical="center"/>
    </xf>
    <xf numFmtId="203" fontId="2" fillId="0" borderId="3" xfId="46" applyNumberFormat="1" applyFont="1" applyFill="1" applyBorder="1" applyAlignment="1">
      <alignment horizontal="right" vertical="center"/>
    </xf>
    <xf numFmtId="187" fontId="2" fillId="0" borderId="0" xfId="0" applyNumberFormat="1" applyFont="1" applyFill="1" applyBorder="1" applyAlignment="1">
      <alignment vertical="center"/>
    </xf>
    <xf numFmtId="187" fontId="3" fillId="0" borderId="18" xfId="0" applyNumberFormat="1" applyFont="1" applyFill="1" applyBorder="1" applyAlignment="1">
      <alignment horizontal="left"/>
    </xf>
    <xf numFmtId="187" fontId="3" fillId="0" borderId="0" xfId="0" applyNumberFormat="1" applyFont="1" applyFill="1" applyBorder="1" applyAlignment="1">
      <alignment vertical="center"/>
    </xf>
    <xf numFmtId="187" fontId="3" fillId="0" borderId="0" xfId="0" applyNumberFormat="1" applyFont="1" applyFill="1" applyBorder="1"/>
    <xf numFmtId="187" fontId="2" fillId="0" borderId="0" xfId="0" applyNumberFormat="1" applyFont="1" applyFill="1" applyBorder="1"/>
    <xf numFmtId="199" fontId="3" fillId="33" borderId="0" xfId="0" applyNumberFormat="1" applyFont="1" applyFill="1" applyBorder="1" applyAlignment="1">
      <alignment horizontal="right" vertical="center"/>
    </xf>
    <xf numFmtId="3" fontId="2" fillId="0" borderId="0" xfId="0" applyNumberFormat="1" applyFont="1"/>
    <xf numFmtId="3" fontId="3" fillId="17" borderId="18" xfId="0" applyNumberFormat="1" applyFont="1" applyFill="1" applyBorder="1" applyAlignment="1">
      <alignment vertical="center"/>
    </xf>
    <xf numFmtId="3" fontId="2" fillId="0" borderId="0" xfId="0" applyNumberFormat="1" applyFont="1" applyBorder="1"/>
    <xf numFmtId="3" fontId="2" fillId="0" borderId="18" xfId="0" applyNumberFormat="1" applyFont="1" applyBorder="1"/>
    <xf numFmtId="3" fontId="2" fillId="17" borderId="0" xfId="74" applyNumberFormat="1" applyFont="1" applyFill="1" applyBorder="1"/>
    <xf numFmtId="3" fontId="2" fillId="17" borderId="3" xfId="74" applyNumberFormat="1" applyFont="1" applyFill="1" applyBorder="1"/>
    <xf numFmtId="3" fontId="2" fillId="17" borderId="18" xfId="0" applyNumberFormat="1" applyFont="1" applyFill="1" applyBorder="1" applyAlignment="1">
      <alignment horizontal="left" indent="1"/>
    </xf>
    <xf numFmtId="3" fontId="96" fillId="22" borderId="0" xfId="74" applyNumberFormat="1" applyFont="1" applyFill="1" applyBorder="1"/>
    <xf numFmtId="199" fontId="111" fillId="22" borderId="0" xfId="0" applyNumberFormat="1" applyFont="1" applyFill="1" applyBorder="1" applyAlignment="1">
      <alignment horizontal="right" vertical="center"/>
    </xf>
    <xf numFmtId="3" fontId="96" fillId="17" borderId="0" xfId="0" applyNumberFormat="1" applyFont="1" applyFill="1" applyBorder="1" applyAlignment="1">
      <alignment horizontal="right" vertical="center"/>
    </xf>
    <xf numFmtId="3" fontId="96" fillId="0" borderId="0" xfId="74" applyNumberFormat="1" applyFont="1" applyFill="1" applyBorder="1"/>
    <xf numFmtId="187" fontId="2" fillId="25" borderId="3" xfId="46" applyNumberFormat="1" applyFont="1" applyFill="1" applyBorder="1" applyAlignment="1">
      <alignment horizontal="right" vertical="center"/>
    </xf>
    <xf numFmtId="3" fontId="96" fillId="22" borderId="3" xfId="74" applyNumberFormat="1" applyFont="1" applyFill="1" applyBorder="1"/>
    <xf numFmtId="9" fontId="2" fillId="0" borderId="3" xfId="74" applyNumberFormat="1" applyFont="1" applyFill="1" applyBorder="1"/>
    <xf numFmtId="199" fontId="111" fillId="22" borderId="3" xfId="0" applyNumberFormat="1" applyFont="1" applyFill="1" applyBorder="1" applyAlignment="1">
      <alignment horizontal="right" vertical="center"/>
    </xf>
    <xf numFmtId="3" fontId="3" fillId="0" borderId="0" xfId="0" applyNumberFormat="1" applyFont="1" applyFill="1" applyBorder="1"/>
    <xf numFmtId="180" fontId="3" fillId="0" borderId="0" xfId="0" applyNumberFormat="1" applyFont="1" applyFill="1" applyBorder="1"/>
    <xf numFmtId="3" fontId="3" fillId="17" borderId="0" xfId="74" applyNumberFormat="1" applyFont="1" applyFill="1" applyBorder="1"/>
    <xf numFmtId="3" fontId="3" fillId="0" borderId="0" xfId="0" applyNumberFormat="1" applyFont="1" applyBorder="1"/>
    <xf numFmtId="3" fontId="3" fillId="0" borderId="3" xfId="0" applyNumberFormat="1" applyFont="1" applyBorder="1"/>
    <xf numFmtId="3" fontId="96" fillId="22" borderId="0" xfId="0" applyNumberFormat="1" applyFont="1" applyFill="1" applyBorder="1" applyAlignment="1">
      <alignment vertical="center"/>
    </xf>
    <xf numFmtId="220" fontId="2" fillId="0" borderId="18" xfId="0" applyNumberFormat="1" applyFont="1" applyBorder="1"/>
    <xf numFmtId="220" fontId="2" fillId="0" borderId="0" xfId="0" applyNumberFormat="1" applyFont="1" applyBorder="1"/>
    <xf numFmtId="187" fontId="33" fillId="0" borderId="0" xfId="46" applyNumberFormat="1" applyFont="1" applyFill="1" applyBorder="1" applyAlignment="1">
      <alignment vertical="center"/>
    </xf>
    <xf numFmtId="3" fontId="3" fillId="0" borderId="18" xfId="0" applyNumberFormat="1" applyFont="1" applyBorder="1"/>
    <xf numFmtId="3" fontId="3" fillId="17" borderId="3" xfId="74" applyNumberFormat="1" applyFont="1" applyFill="1" applyBorder="1"/>
    <xf numFmtId="187" fontId="2" fillId="17" borderId="18" xfId="0" applyNumberFormat="1" applyFont="1" applyFill="1" applyBorder="1" applyAlignment="1">
      <alignment horizontal="left" indent="1"/>
    </xf>
    <xf numFmtId="187" fontId="2" fillId="0" borderId="18" xfId="0" applyNumberFormat="1" applyFont="1" applyFill="1" applyBorder="1" applyAlignment="1">
      <alignment horizontal="left" indent="1"/>
    </xf>
    <xf numFmtId="3" fontId="96" fillId="17" borderId="18" xfId="0" applyNumberFormat="1" applyFont="1" applyFill="1" applyBorder="1" applyAlignment="1">
      <alignment horizontal="right" vertical="center"/>
    </xf>
    <xf numFmtId="3" fontId="96" fillId="0" borderId="3" xfId="0" applyNumberFormat="1" applyFont="1" applyFill="1" applyBorder="1" applyAlignment="1">
      <alignment vertical="center"/>
    </xf>
    <xf numFmtId="180" fontId="96" fillId="17" borderId="3" xfId="0" applyNumberFormat="1" applyFont="1" applyFill="1" applyBorder="1" applyAlignment="1">
      <alignment horizontal="right" vertical="center"/>
    </xf>
    <xf numFmtId="181" fontId="2" fillId="0" borderId="18" xfId="74" applyNumberFormat="1" applyFont="1" applyFill="1" applyBorder="1" applyAlignment="1">
      <alignment horizontal="right" vertical="center"/>
    </xf>
    <xf numFmtId="181" fontId="2" fillId="0" borderId="3" xfId="74" applyNumberFormat="1" applyFont="1" applyFill="1" applyBorder="1" applyAlignment="1">
      <alignment horizontal="right" vertical="center"/>
    </xf>
    <xf numFmtId="0" fontId="2" fillId="33" borderId="0" xfId="0" applyFont="1" applyFill="1"/>
    <xf numFmtId="0" fontId="2" fillId="33" borderId="0" xfId="0" applyFont="1" applyFill="1" applyAlignment="1">
      <alignment vertical="center"/>
    </xf>
    <xf numFmtId="0" fontId="26" fillId="33" borderId="21" xfId="0" applyFont="1" applyFill="1" applyBorder="1" applyAlignment="1">
      <alignment vertical="center"/>
    </xf>
    <xf numFmtId="0" fontId="26" fillId="33" borderId="12" xfId="0" applyFont="1" applyFill="1" applyBorder="1" applyAlignment="1">
      <alignment vertical="center"/>
    </xf>
    <xf numFmtId="0" fontId="22" fillId="33" borderId="16" xfId="0" applyNumberFormat="1" applyFont="1" applyFill="1" applyBorder="1" applyAlignment="1">
      <alignment horizontal="centerContinuous" vertical="center"/>
    </xf>
    <xf numFmtId="49" fontId="22" fillId="33" borderId="20" xfId="0" applyNumberFormat="1" applyFont="1" applyFill="1" applyBorder="1" applyAlignment="1">
      <alignment horizontal="centerContinuous" vertical="center"/>
    </xf>
    <xf numFmtId="49" fontId="22" fillId="33" borderId="17" xfId="0" applyNumberFormat="1" applyFont="1" applyFill="1" applyBorder="1" applyAlignment="1">
      <alignment horizontal="centerContinuous" vertical="center"/>
    </xf>
    <xf numFmtId="0" fontId="22" fillId="33" borderId="20" xfId="0" applyNumberFormat="1" applyFont="1" applyFill="1" applyBorder="1" applyAlignment="1">
      <alignment horizontal="centerContinuous" vertical="center"/>
    </xf>
    <xf numFmtId="168" fontId="22" fillId="33" borderId="20" xfId="0" applyNumberFormat="1" applyFont="1" applyFill="1" applyBorder="1" applyAlignment="1">
      <alignment horizontal="centerContinuous" vertical="center"/>
    </xf>
    <xf numFmtId="49" fontId="22" fillId="33" borderId="16" xfId="0" applyNumberFormat="1" applyFont="1" applyFill="1" applyBorder="1" applyAlignment="1">
      <alignment horizontal="centerContinuous" vertical="center"/>
    </xf>
    <xf numFmtId="168" fontId="22" fillId="33" borderId="17" xfId="0" applyNumberFormat="1" applyFont="1" applyFill="1" applyBorder="1" applyAlignment="1">
      <alignment horizontal="centerContinuous" vertical="center"/>
    </xf>
    <xf numFmtId="49" fontId="3" fillId="33" borderId="21" xfId="0" applyNumberFormat="1" applyFont="1" applyFill="1" applyBorder="1" applyAlignment="1">
      <alignment horizontal="centerContinuous" vertical="center"/>
    </xf>
    <xf numFmtId="168" fontId="3" fillId="33" borderId="12" xfId="0" applyNumberFormat="1" applyFont="1" applyFill="1" applyBorder="1" applyAlignment="1">
      <alignment horizontal="centerContinuous" vertical="center"/>
    </xf>
    <xf numFmtId="168" fontId="3" fillId="33" borderId="22" xfId="0" applyNumberFormat="1" applyFont="1" applyFill="1" applyBorder="1" applyAlignment="1">
      <alignment horizontal="centerContinuous" vertical="center"/>
    </xf>
    <xf numFmtId="49" fontId="4" fillId="33" borderId="21" xfId="0" applyNumberFormat="1" applyFont="1" applyFill="1" applyBorder="1" applyAlignment="1">
      <alignment horizontal="centerContinuous" vertical="center"/>
    </xf>
    <xf numFmtId="49" fontId="4" fillId="33" borderId="12" xfId="0" applyNumberFormat="1" applyFont="1" applyFill="1" applyBorder="1" applyAlignment="1">
      <alignment horizontal="centerContinuous" vertical="center"/>
    </xf>
    <xf numFmtId="49" fontId="4" fillId="33" borderId="22" xfId="0" applyNumberFormat="1" applyFont="1" applyFill="1" applyBorder="1" applyAlignment="1">
      <alignment horizontal="centerContinuous" vertical="center"/>
    </xf>
    <xf numFmtId="0" fontId="26" fillId="33" borderId="13" xfId="0" applyFont="1" applyFill="1" applyBorder="1" applyAlignment="1">
      <alignment horizontal="centerContinuous" vertical="center"/>
    </xf>
    <xf numFmtId="0" fontId="0" fillId="33" borderId="0" xfId="0" applyFill="1"/>
    <xf numFmtId="0" fontId="26" fillId="33" borderId="29" xfId="0" applyFont="1" applyFill="1" applyBorder="1" applyAlignment="1">
      <alignment vertical="center"/>
    </xf>
    <xf numFmtId="0" fontId="26" fillId="33" borderId="14" xfId="0" applyFont="1" applyFill="1" applyBorder="1" applyAlignment="1">
      <alignment vertical="center"/>
    </xf>
    <xf numFmtId="165" fontId="22" fillId="33" borderId="19" xfId="0" applyNumberFormat="1" applyFont="1" applyFill="1" applyBorder="1" applyAlignment="1">
      <alignment horizontal="right" vertical="center"/>
    </xf>
    <xf numFmtId="165" fontId="22" fillId="33" borderId="13" xfId="0" applyNumberFormat="1" applyFont="1" applyFill="1" applyBorder="1" applyAlignment="1">
      <alignment horizontal="right" vertical="center"/>
    </xf>
    <xf numFmtId="165" fontId="22" fillId="33" borderId="15" xfId="0" applyNumberFormat="1" applyFont="1" applyFill="1" applyBorder="1" applyAlignment="1">
      <alignment horizontal="right" vertical="center"/>
    </xf>
    <xf numFmtId="165" fontId="3" fillId="33" borderId="17" xfId="0" applyNumberFormat="1" applyFont="1" applyFill="1" applyBorder="1" applyAlignment="1">
      <alignment horizontal="right" vertical="center"/>
    </xf>
    <xf numFmtId="165" fontId="3" fillId="33" borderId="16" xfId="0" applyNumberFormat="1" applyFont="1" applyFill="1" applyBorder="1" applyAlignment="1">
      <alignment horizontal="right" vertical="center"/>
    </xf>
    <xf numFmtId="165" fontId="3" fillId="33" borderId="20" xfId="0" applyNumberFormat="1" applyFont="1" applyFill="1" applyBorder="1" applyAlignment="1">
      <alignment horizontal="right" vertical="center"/>
    </xf>
    <xf numFmtId="164" fontId="22" fillId="33" borderId="41" xfId="0" applyNumberFormat="1" applyFont="1" applyFill="1" applyBorder="1" applyAlignment="1">
      <alignment horizontal="right" vertical="center"/>
    </xf>
    <xf numFmtId="164" fontId="22" fillId="33" borderId="40" xfId="0" applyNumberFormat="1" applyFont="1" applyFill="1" applyBorder="1" applyAlignment="1">
      <alignment horizontal="right" vertical="center"/>
    </xf>
    <xf numFmtId="176" fontId="3" fillId="33" borderId="42" xfId="0" applyNumberFormat="1" applyFont="1" applyFill="1" applyBorder="1" applyAlignment="1">
      <alignment horizontal="right" vertical="center"/>
    </xf>
    <xf numFmtId="176" fontId="3" fillId="33" borderId="67" xfId="0" applyNumberFormat="1" applyFont="1" applyFill="1" applyBorder="1" applyAlignment="1">
      <alignment horizontal="right" vertical="center"/>
    </xf>
    <xf numFmtId="0" fontId="26" fillId="33" borderId="0" xfId="0" applyFont="1" applyFill="1" applyAlignment="1">
      <alignment horizontal="center" vertical="center"/>
    </xf>
    <xf numFmtId="0" fontId="2" fillId="33" borderId="19" xfId="0" applyFont="1" applyFill="1" applyBorder="1" applyAlignment="1">
      <alignment vertical="center"/>
    </xf>
    <xf numFmtId="0" fontId="2" fillId="33" borderId="13" xfId="0" applyFont="1" applyFill="1" applyBorder="1" applyAlignment="1">
      <alignment vertical="center"/>
    </xf>
    <xf numFmtId="0" fontId="2" fillId="33" borderId="0" xfId="0" applyFont="1" applyFill="1" applyBorder="1" applyAlignment="1">
      <alignment vertical="center"/>
    </xf>
    <xf numFmtId="0" fontId="2" fillId="33" borderId="3" xfId="0" applyFont="1" applyFill="1" applyBorder="1" applyAlignment="1">
      <alignment vertical="center"/>
    </xf>
    <xf numFmtId="0" fontId="2" fillId="33" borderId="16" xfId="0" applyFont="1" applyFill="1" applyBorder="1" applyAlignment="1">
      <alignment vertical="center"/>
    </xf>
    <xf numFmtId="0" fontId="2" fillId="33" borderId="18" xfId="0" applyFont="1" applyFill="1" applyBorder="1" applyAlignment="1">
      <alignment vertical="center"/>
    </xf>
    <xf numFmtId="0" fontId="2" fillId="33" borderId="21" xfId="0" applyFont="1" applyFill="1" applyBorder="1" applyAlignment="1">
      <alignment vertical="center"/>
    </xf>
    <xf numFmtId="0" fontId="2" fillId="33" borderId="12" xfId="0" applyFont="1" applyFill="1" applyBorder="1" applyAlignment="1">
      <alignment vertical="center"/>
    </xf>
    <xf numFmtId="0" fontId="2" fillId="33" borderId="17" xfId="0" applyFont="1" applyFill="1" applyBorder="1" applyAlignment="1">
      <alignment vertical="center"/>
    </xf>
    <xf numFmtId="203" fontId="96" fillId="0" borderId="0" xfId="46" applyNumberFormat="1" applyFont="1" applyFill="1" applyBorder="1"/>
    <xf numFmtId="37" fontId="2" fillId="0" borderId="0" xfId="0" applyNumberFormat="1" applyFont="1" applyFill="1" applyBorder="1" applyAlignment="1">
      <alignment vertical="center"/>
    </xf>
    <xf numFmtId="181" fontId="2" fillId="17" borderId="0" xfId="74" applyNumberFormat="1" applyFont="1" applyFill="1" applyBorder="1" applyAlignment="1">
      <alignment vertical="center"/>
    </xf>
    <xf numFmtId="9" fontId="3" fillId="0" borderId="0" xfId="0" applyNumberFormat="1" applyFont="1" applyFill="1" applyBorder="1" applyAlignment="1">
      <alignment vertical="center"/>
    </xf>
    <xf numFmtId="170" fontId="3" fillId="0" borderId="0" xfId="0" applyNumberFormat="1" applyFont="1" applyFill="1" applyBorder="1" applyAlignment="1">
      <alignment horizontal="right" vertical="center"/>
    </xf>
    <xf numFmtId="187" fontId="97" fillId="0" borderId="0" xfId="46" applyNumberFormat="1" applyFont="1" applyFill="1" applyBorder="1" applyAlignment="1">
      <alignment vertical="center"/>
    </xf>
    <xf numFmtId="0" fontId="2" fillId="33" borderId="0" xfId="0" applyFont="1" applyFill="1" applyBorder="1"/>
    <xf numFmtId="0" fontId="3" fillId="33" borderId="18" xfId="0" applyFont="1" applyFill="1" applyBorder="1" applyAlignment="1">
      <alignment horizontal="left"/>
    </xf>
    <xf numFmtId="181" fontId="2" fillId="33" borderId="0" xfId="0" applyNumberFormat="1" applyFont="1" applyFill="1" applyBorder="1" applyAlignment="1">
      <alignment horizontal="right" vertical="center"/>
    </xf>
    <xf numFmtId="205" fontId="2" fillId="33" borderId="0" xfId="49" applyNumberFormat="1" applyFont="1" applyFill="1" applyBorder="1"/>
    <xf numFmtId="205" fontId="2" fillId="33" borderId="0" xfId="0" applyNumberFormat="1" applyFont="1" applyFill="1" applyBorder="1" applyAlignment="1">
      <alignment horizontal="right" vertical="center"/>
    </xf>
    <xf numFmtId="205" fontId="2" fillId="33" borderId="18" xfId="0" applyNumberFormat="1" applyFont="1" applyFill="1" applyBorder="1" applyAlignment="1">
      <alignment horizontal="right" vertical="center"/>
    </xf>
    <xf numFmtId="180" fontId="3" fillId="33" borderId="18" xfId="0" applyNumberFormat="1" applyFont="1" applyFill="1" applyBorder="1" applyAlignment="1">
      <alignment horizontal="right" vertical="center"/>
    </xf>
    <xf numFmtId="180" fontId="3" fillId="33" borderId="0" xfId="0" applyNumberFormat="1" applyFont="1" applyFill="1" applyBorder="1" applyAlignment="1">
      <alignment horizontal="right" vertical="center"/>
    </xf>
    <xf numFmtId="180" fontId="3" fillId="33" borderId="3" xfId="0" applyNumberFormat="1" applyFont="1" applyFill="1" applyBorder="1" applyAlignment="1">
      <alignment horizontal="right" vertical="center"/>
    </xf>
    <xf numFmtId="0" fontId="2" fillId="33" borderId="18" xfId="0" applyFont="1" applyFill="1" applyBorder="1"/>
    <xf numFmtId="179" fontId="2" fillId="33" borderId="0" xfId="0" applyNumberFormat="1" applyFont="1" applyFill="1" applyBorder="1"/>
    <xf numFmtId="170" fontId="2" fillId="33" borderId="0" xfId="0" applyNumberFormat="1" applyFont="1" applyFill="1" applyBorder="1" applyAlignment="1">
      <alignment horizontal="right" vertical="center"/>
    </xf>
    <xf numFmtId="0" fontId="2" fillId="33" borderId="18" xfId="0" applyFont="1" applyFill="1" applyBorder="1" applyAlignment="1">
      <alignment horizontal="left" vertical="center" indent="1"/>
    </xf>
    <xf numFmtId="205" fontId="2" fillId="33" borderId="3" xfId="0" applyNumberFormat="1" applyFont="1" applyFill="1" applyBorder="1" applyAlignment="1">
      <alignment horizontal="right" vertical="center"/>
    </xf>
    <xf numFmtId="181" fontId="2" fillId="33" borderId="18" xfId="0" applyNumberFormat="1" applyFont="1" applyFill="1" applyBorder="1" applyAlignment="1">
      <alignment horizontal="right" vertical="center"/>
    </xf>
    <xf numFmtId="181" fontId="2" fillId="33" borderId="3" xfId="0" applyNumberFormat="1" applyFont="1" applyFill="1" applyBorder="1" applyAlignment="1">
      <alignment horizontal="right" vertical="center"/>
    </xf>
    <xf numFmtId="171" fontId="26" fillId="0" borderId="0" xfId="0" applyNumberFormat="1" applyFont="1" applyFill="1" applyBorder="1" applyAlignment="1">
      <alignment horizontal="right" vertical="center"/>
    </xf>
    <xf numFmtId="171" fontId="3" fillId="0" borderId="0" xfId="0" applyNumberFormat="1" applyFont="1" applyFill="1" applyBorder="1" applyAlignment="1">
      <alignment horizontal="right" vertical="center"/>
    </xf>
    <xf numFmtId="187" fontId="26" fillId="34" borderId="0" xfId="46" applyNumberFormat="1" applyFont="1" applyFill="1" applyBorder="1" applyAlignment="1">
      <alignment horizontal="right" vertical="center"/>
    </xf>
    <xf numFmtId="179" fontId="98" fillId="0" borderId="0" xfId="0" applyNumberFormat="1" applyFont="1" applyFill="1" applyBorder="1" applyAlignment="1">
      <alignment vertical="center"/>
    </xf>
    <xf numFmtId="179" fontId="97" fillId="0" borderId="0" xfId="0" applyNumberFormat="1" applyFont="1" applyFill="1" applyBorder="1" applyAlignment="1">
      <alignment vertical="center"/>
    </xf>
    <xf numFmtId="179" fontId="8" fillId="22" borderId="0" xfId="0" applyNumberFormat="1" applyFont="1" applyFill="1" applyBorder="1" applyAlignment="1">
      <alignment horizontal="right" vertical="center"/>
    </xf>
    <xf numFmtId="179" fontId="8" fillId="22" borderId="3" xfId="0" applyNumberFormat="1" applyFont="1" applyFill="1" applyBorder="1" applyAlignment="1">
      <alignment horizontal="right" vertical="center"/>
    </xf>
    <xf numFmtId="181" fontId="2" fillId="17" borderId="3" xfId="74" applyNumberFormat="1" applyFont="1" applyFill="1" applyBorder="1" applyAlignment="1">
      <alignment vertical="center"/>
    </xf>
    <xf numFmtId="181" fontId="6" fillId="0" borderId="0" xfId="0" applyNumberFormat="1" applyFont="1" applyFill="1"/>
    <xf numFmtId="181" fontId="2" fillId="0" borderId="18" xfId="0" applyNumberFormat="1" applyFont="1" applyFill="1" applyBorder="1" applyAlignment="1">
      <alignment horizontal="left"/>
    </xf>
    <xf numFmtId="225" fontId="2" fillId="0" borderId="0" xfId="0" applyNumberFormat="1" applyFont="1" applyFill="1" applyBorder="1" applyAlignment="1">
      <alignment horizontal="right" vertical="center"/>
    </xf>
    <xf numFmtId="225" fontId="2" fillId="0" borderId="18" xfId="0" applyNumberFormat="1" applyFont="1" applyFill="1" applyBorder="1" applyAlignment="1">
      <alignment horizontal="right" vertical="center"/>
    </xf>
    <xf numFmtId="225" fontId="2" fillId="0" borderId="3" xfId="0" applyNumberFormat="1" applyFont="1" applyFill="1" applyBorder="1" applyAlignment="1">
      <alignment horizontal="right" vertical="center"/>
    </xf>
    <xf numFmtId="225" fontId="2" fillId="0" borderId="0" xfId="0" applyNumberFormat="1" applyFont="1"/>
    <xf numFmtId="220" fontId="2" fillId="0" borderId="0" xfId="0" applyNumberFormat="1" applyFont="1" applyFill="1" applyBorder="1"/>
    <xf numFmtId="225" fontId="2" fillId="0" borderId="0" xfId="0" applyNumberFormat="1" applyFont="1" applyFill="1"/>
    <xf numFmtId="214" fontId="3" fillId="0" borderId="18" xfId="0" applyNumberFormat="1" applyFont="1" applyFill="1" applyBorder="1" applyAlignment="1">
      <alignment horizontal="right" vertical="center"/>
    </xf>
    <xf numFmtId="214" fontId="3" fillId="0" borderId="3" xfId="0" applyNumberFormat="1" applyFont="1" applyFill="1" applyBorder="1" applyAlignment="1">
      <alignment horizontal="right" vertical="center"/>
    </xf>
    <xf numFmtId="172" fontId="2" fillId="0" borderId="18" xfId="0" applyNumberFormat="1" applyFont="1" applyFill="1" applyBorder="1" applyAlignment="1">
      <alignment horizontal="right" vertical="center"/>
    </xf>
    <xf numFmtId="172" fontId="2" fillId="0" borderId="3" xfId="0" applyNumberFormat="1" applyFont="1" applyFill="1" applyBorder="1" applyAlignment="1">
      <alignment horizontal="right" vertical="center"/>
    </xf>
    <xf numFmtId="203" fontId="2" fillId="17" borderId="0" xfId="46" applyNumberFormat="1" applyFont="1" applyFill="1" applyBorder="1" applyAlignment="1">
      <alignment horizontal="right" vertical="center"/>
    </xf>
    <xf numFmtId="199" fontId="26" fillId="0" borderId="18" xfId="0" applyNumberFormat="1" applyFont="1" applyFill="1" applyBorder="1" applyAlignment="1">
      <alignment vertical="center"/>
    </xf>
    <xf numFmtId="199" fontId="26" fillId="0" borderId="3" xfId="0" applyNumberFormat="1" applyFont="1" applyFill="1" applyBorder="1" applyAlignment="1">
      <alignment vertical="center"/>
    </xf>
    <xf numFmtId="203" fontId="26" fillId="0" borderId="18" xfId="46" applyNumberFormat="1" applyFont="1" applyFill="1" applyBorder="1" applyAlignment="1">
      <alignment vertical="center"/>
    </xf>
    <xf numFmtId="203" fontId="26" fillId="0" borderId="0" xfId="46" applyNumberFormat="1" applyFont="1" applyFill="1" applyBorder="1" applyAlignment="1">
      <alignment vertical="center"/>
    </xf>
    <xf numFmtId="203" fontId="26" fillId="0" borderId="3" xfId="46" applyNumberFormat="1" applyFont="1" applyFill="1" applyBorder="1" applyAlignment="1">
      <alignment vertical="center"/>
    </xf>
    <xf numFmtId="1" fontId="2" fillId="0" borderId="0" xfId="0" applyNumberFormat="1" applyFont="1" applyFill="1" applyBorder="1" applyAlignment="1">
      <alignment vertical="center"/>
    </xf>
    <xf numFmtId="1" fontId="2" fillId="0" borderId="3" xfId="0" applyNumberFormat="1" applyFont="1" applyFill="1" applyBorder="1" applyAlignment="1">
      <alignment vertical="center"/>
    </xf>
    <xf numFmtId="1" fontId="2" fillId="0" borderId="18" xfId="0" applyNumberFormat="1" applyFont="1" applyFill="1" applyBorder="1" applyAlignment="1">
      <alignment vertical="center"/>
    </xf>
    <xf numFmtId="1" fontId="96" fillId="22" borderId="0" xfId="0" applyNumberFormat="1" applyFont="1" applyFill="1" applyBorder="1" applyAlignment="1">
      <alignment vertical="center"/>
    </xf>
    <xf numFmtId="1" fontId="96" fillId="22" borderId="3" xfId="0" applyNumberFormat="1" applyFont="1" applyFill="1" applyBorder="1" applyAlignment="1">
      <alignment vertical="center"/>
    </xf>
    <xf numFmtId="203" fontId="3" fillId="0" borderId="3" xfId="46" applyNumberFormat="1" applyFont="1" applyFill="1" applyBorder="1"/>
    <xf numFmtId="172" fontId="26" fillId="0" borderId="18" xfId="0" applyNumberFormat="1" applyFont="1" applyFill="1" applyBorder="1" applyAlignment="1">
      <alignment horizontal="right" vertical="center"/>
    </xf>
    <xf numFmtId="172" fontId="26" fillId="0" borderId="3" xfId="0" applyNumberFormat="1" applyFont="1" applyFill="1" applyBorder="1" applyAlignment="1">
      <alignment horizontal="right" vertical="center"/>
    </xf>
    <xf numFmtId="1" fontId="2" fillId="17" borderId="18" xfId="0" applyNumberFormat="1" applyFont="1" applyFill="1" applyBorder="1" applyAlignment="1">
      <alignment horizontal="left" indent="2"/>
    </xf>
    <xf numFmtId="1" fontId="2" fillId="0" borderId="3" xfId="0" applyNumberFormat="1" applyFont="1" applyFill="1" applyBorder="1" applyAlignment="1">
      <alignment horizontal="right" vertical="center"/>
    </xf>
    <xf numFmtId="166" fontId="26" fillId="0" borderId="0" xfId="0" applyNumberFormat="1" applyFont="1" applyFill="1" applyBorder="1" applyAlignment="1">
      <alignment horizontal="right" vertical="center"/>
    </xf>
    <xf numFmtId="166" fontId="26" fillId="17" borderId="0" xfId="0" applyNumberFormat="1" applyFont="1" applyFill="1" applyBorder="1" applyAlignment="1">
      <alignment horizontal="right" vertical="center"/>
    </xf>
    <xf numFmtId="166" fontId="26" fillId="17" borderId="3" xfId="0" applyNumberFormat="1" applyFont="1" applyFill="1" applyBorder="1" applyAlignment="1">
      <alignment horizontal="right" vertical="center"/>
    </xf>
    <xf numFmtId="181" fontId="110" fillId="17" borderId="3" xfId="0" applyNumberFormat="1" applyFont="1" applyFill="1" applyBorder="1" applyAlignment="1">
      <alignment horizontal="right" vertical="center"/>
    </xf>
    <xf numFmtId="0" fontId="99" fillId="17" borderId="3" xfId="0" applyFont="1" applyFill="1" applyBorder="1" applyAlignment="1">
      <alignment vertical="center"/>
    </xf>
    <xf numFmtId="9" fontId="26" fillId="17" borderId="0" xfId="74" applyFont="1" applyFill="1" applyBorder="1" applyAlignment="1">
      <alignment horizontal="right" vertical="center"/>
    </xf>
    <xf numFmtId="187" fontId="96" fillId="22" borderId="18" xfId="46" applyNumberFormat="1" applyFont="1" applyFill="1" applyBorder="1" applyAlignment="1">
      <alignment horizontal="right" vertical="center"/>
    </xf>
    <xf numFmtId="187" fontId="96" fillId="22" borderId="0" xfId="46" applyNumberFormat="1" applyFont="1" applyFill="1" applyBorder="1" applyAlignment="1">
      <alignment horizontal="right" vertical="center"/>
    </xf>
    <xf numFmtId="187" fontId="96" fillId="22" borderId="3" xfId="46" applyNumberFormat="1" applyFont="1" applyFill="1" applyBorder="1" applyAlignment="1">
      <alignment horizontal="right" vertical="center"/>
    </xf>
    <xf numFmtId="1" fontId="96" fillId="22" borderId="18" xfId="0" applyNumberFormat="1" applyFont="1" applyFill="1" applyBorder="1" applyAlignment="1">
      <alignment vertical="center"/>
    </xf>
    <xf numFmtId="37" fontId="2" fillId="0" borderId="18" xfId="0" applyNumberFormat="1" applyFont="1" applyFill="1" applyBorder="1" applyAlignment="1">
      <alignment vertical="center"/>
    </xf>
    <xf numFmtId="37" fontId="2" fillId="0" borderId="3" xfId="0" applyNumberFormat="1" applyFont="1" applyFill="1" applyBorder="1" applyAlignment="1">
      <alignment vertical="center"/>
    </xf>
    <xf numFmtId="203" fontId="3" fillId="0" borderId="18" xfId="46" applyNumberFormat="1" applyFont="1" applyFill="1" applyBorder="1"/>
    <xf numFmtId="0" fontId="3" fillId="17" borderId="18" xfId="0" applyFont="1" applyFill="1" applyBorder="1" applyAlignment="1">
      <alignment horizontal="left" indent="2"/>
    </xf>
    <xf numFmtId="0" fontId="3" fillId="17" borderId="18" xfId="0" applyFont="1" applyFill="1" applyBorder="1" applyAlignment="1">
      <alignment horizontal="left" vertical="center" indent="2"/>
    </xf>
    <xf numFmtId="199" fontId="3" fillId="0" borderId="0" xfId="0" applyNumberFormat="1" applyFont="1" applyFill="1"/>
    <xf numFmtId="9" fontId="26" fillId="17" borderId="0" xfId="0" applyNumberFormat="1" applyFont="1" applyFill="1" applyBorder="1" applyAlignment="1">
      <alignment horizontal="right" vertical="center"/>
    </xf>
    <xf numFmtId="187" fontId="3" fillId="17" borderId="18" xfId="0" applyNumberFormat="1" applyFont="1" applyFill="1" applyBorder="1" applyAlignment="1">
      <alignment horizontal="left" indent="1"/>
    </xf>
    <xf numFmtId="179" fontId="3" fillId="0" borderId="0" xfId="0" applyNumberFormat="1" applyFont="1" applyFill="1" applyBorder="1" applyAlignment="1">
      <alignment horizontal="right" vertical="center"/>
    </xf>
    <xf numFmtId="0" fontId="3" fillId="28" borderId="0" xfId="0" applyFont="1" applyFill="1"/>
    <xf numFmtId="9" fontId="96" fillId="22" borderId="0" xfId="0" applyNumberFormat="1" applyFont="1" applyFill="1" applyBorder="1" applyAlignment="1">
      <alignment vertical="center"/>
    </xf>
    <xf numFmtId="9" fontId="96" fillId="22" borderId="3" xfId="0" applyNumberFormat="1" applyFont="1" applyFill="1" applyBorder="1" applyAlignment="1">
      <alignment vertical="center"/>
    </xf>
    <xf numFmtId="179" fontId="112" fillId="17" borderId="0" xfId="0" applyNumberFormat="1" applyFont="1" applyFill="1" applyAlignment="1">
      <alignment vertical="center"/>
    </xf>
    <xf numFmtId="9" fontId="2" fillId="17" borderId="0" xfId="0" applyNumberFormat="1" applyFont="1" applyFill="1" applyBorder="1"/>
    <xf numFmtId="43" fontId="2" fillId="17" borderId="0" xfId="46" applyFont="1" applyFill="1" applyBorder="1" applyAlignment="1">
      <alignment horizontal="right" vertical="center"/>
    </xf>
    <xf numFmtId="0" fontId="3" fillId="33" borderId="0" xfId="0" applyFont="1" applyFill="1"/>
    <xf numFmtId="0" fontId="3" fillId="33" borderId="0" xfId="0" applyFont="1" applyFill="1" applyBorder="1"/>
    <xf numFmtId="43" fontId="2" fillId="0" borderId="0" xfId="46" applyNumberFormat="1" applyFont="1" applyBorder="1"/>
    <xf numFmtId="179" fontId="99" fillId="22" borderId="44" xfId="0" applyNumberFormat="1" applyFont="1" applyFill="1" applyBorder="1" applyAlignment="1">
      <alignment horizontal="right" vertical="center"/>
    </xf>
    <xf numFmtId="170" fontId="96" fillId="22" borderId="3" xfId="0" applyNumberFormat="1" applyFont="1" applyFill="1" applyBorder="1" applyAlignment="1">
      <alignment horizontal="right" vertical="center"/>
    </xf>
    <xf numFmtId="2" fontId="2" fillId="0" borderId="0" xfId="0" applyNumberFormat="1" applyFont="1" applyFill="1" applyBorder="1"/>
    <xf numFmtId="2" fontId="2" fillId="0" borderId="3" xfId="0" applyNumberFormat="1" applyFont="1" applyFill="1" applyBorder="1"/>
    <xf numFmtId="199" fontId="2" fillId="0" borderId="0" xfId="0" applyNumberFormat="1" applyFont="1"/>
    <xf numFmtId="181" fontId="2" fillId="0" borderId="0" xfId="74" applyNumberFormat="1" applyFont="1"/>
    <xf numFmtId="221" fontId="3" fillId="0" borderId="0" xfId="0" applyNumberFormat="1" applyFont="1" applyFill="1" applyBorder="1" applyAlignment="1">
      <alignment horizontal="right" vertical="center"/>
    </xf>
    <xf numFmtId="198" fontId="33" fillId="0" borderId="18" xfId="0" applyNumberFormat="1" applyFont="1" applyFill="1" applyBorder="1" applyAlignment="1">
      <alignment vertical="center"/>
    </xf>
    <xf numFmtId="203" fontId="111" fillId="0" borderId="0" xfId="46" applyNumberFormat="1" applyFont="1" applyFill="1" applyBorder="1"/>
    <xf numFmtId="225" fontId="2" fillId="0" borderId="3" xfId="0" applyNumberFormat="1" applyFont="1" applyBorder="1"/>
    <xf numFmtId="0" fontId="3" fillId="31" borderId="18" xfId="0" applyFont="1" applyFill="1" applyBorder="1" applyAlignment="1">
      <alignment horizontal="left" indent="2"/>
    </xf>
    <xf numFmtId="0" fontId="3" fillId="31" borderId="0" xfId="0" applyFont="1" applyFill="1" applyBorder="1" applyAlignment="1">
      <alignment vertical="center"/>
    </xf>
    <xf numFmtId="172" fontId="3" fillId="31" borderId="0" xfId="0" applyNumberFormat="1" applyFont="1" applyFill="1" applyBorder="1" applyAlignment="1">
      <alignment horizontal="right" vertical="center"/>
    </xf>
    <xf numFmtId="172" fontId="3" fillId="31" borderId="3" xfId="0" applyNumberFormat="1" applyFont="1" applyFill="1" applyBorder="1" applyAlignment="1">
      <alignment horizontal="right" vertical="center"/>
    </xf>
    <xf numFmtId="172" fontId="3" fillId="31" borderId="18" xfId="0" applyNumberFormat="1" applyFont="1" applyFill="1" applyBorder="1" applyAlignment="1">
      <alignment horizontal="right" vertical="center"/>
    </xf>
    <xf numFmtId="203" fontId="3" fillId="31" borderId="18" xfId="46" applyNumberFormat="1" applyFont="1" applyFill="1" applyBorder="1" applyAlignment="1">
      <alignment horizontal="right" vertical="center"/>
    </xf>
    <xf numFmtId="203" fontId="3" fillId="31" borderId="0" xfId="46" applyNumberFormat="1" applyFont="1" applyFill="1" applyBorder="1" applyAlignment="1">
      <alignment horizontal="right" vertical="center"/>
    </xf>
    <xf numFmtId="0" fontId="3" fillId="31" borderId="31" xfId="0" applyFont="1" applyFill="1" applyBorder="1"/>
    <xf numFmtId="9" fontId="3" fillId="31" borderId="0" xfId="0" applyNumberFormat="1" applyFont="1" applyFill="1" applyBorder="1" applyAlignment="1">
      <alignment horizontal="right" vertical="center"/>
    </xf>
    <xf numFmtId="203" fontId="3" fillId="31" borderId="0" xfId="0" applyNumberFormat="1" applyFont="1" applyFill="1" applyBorder="1" applyAlignment="1">
      <alignment horizontal="right" vertical="center"/>
    </xf>
    <xf numFmtId="203" fontId="3" fillId="31" borderId="18" xfId="0" applyNumberFormat="1" applyFont="1" applyFill="1" applyBorder="1" applyAlignment="1">
      <alignment horizontal="right" vertical="center"/>
    </xf>
    <xf numFmtId="203" fontId="3" fillId="31" borderId="3" xfId="0" applyNumberFormat="1" applyFont="1" applyFill="1" applyBorder="1" applyAlignment="1">
      <alignment horizontal="right" vertical="center"/>
    </xf>
    <xf numFmtId="1" fontId="26" fillId="31" borderId="0" xfId="0" applyNumberFormat="1" applyFont="1" applyFill="1" applyBorder="1" applyAlignment="1">
      <alignment horizontal="right" vertical="center"/>
    </xf>
    <xf numFmtId="1" fontId="3" fillId="31" borderId="0" xfId="0" applyNumberFormat="1" applyFont="1" applyFill="1" applyBorder="1" applyAlignment="1">
      <alignment horizontal="right" vertical="center"/>
    </xf>
    <xf numFmtId="1" fontId="3" fillId="31" borderId="3" xfId="0" applyNumberFormat="1" applyFont="1" applyFill="1" applyBorder="1" applyAlignment="1">
      <alignment horizontal="right" vertical="center"/>
    </xf>
    <xf numFmtId="1" fontId="3" fillId="31" borderId="18" xfId="0" applyNumberFormat="1" applyFont="1" applyFill="1" applyBorder="1" applyAlignment="1">
      <alignment horizontal="right" vertical="center"/>
    </xf>
    <xf numFmtId="1" fontId="3" fillId="31" borderId="18" xfId="46" applyNumberFormat="1" applyFont="1" applyFill="1" applyBorder="1" applyAlignment="1">
      <alignment horizontal="right" vertical="center"/>
    </xf>
    <xf numFmtId="1" fontId="3" fillId="31" borderId="0" xfId="46" applyNumberFormat="1" applyFont="1" applyFill="1" applyBorder="1" applyAlignment="1">
      <alignment horizontal="right" vertical="center"/>
    </xf>
    <xf numFmtId="1" fontId="3" fillId="31" borderId="31" xfId="0" applyNumberFormat="1" applyFont="1" applyFill="1" applyBorder="1"/>
    <xf numFmtId="181" fontId="2" fillId="31" borderId="0" xfId="74" applyNumberFormat="1" applyFont="1" applyFill="1" applyBorder="1" applyAlignment="1">
      <alignment horizontal="right" vertical="center"/>
    </xf>
    <xf numFmtId="181" fontId="2" fillId="31" borderId="3" xfId="74" applyNumberFormat="1" applyFont="1" applyFill="1" applyBorder="1" applyAlignment="1">
      <alignment horizontal="right" vertical="center"/>
    </xf>
    <xf numFmtId="199" fontId="2" fillId="31" borderId="18" xfId="46" applyNumberFormat="1" applyFont="1" applyFill="1" applyBorder="1" applyAlignment="1">
      <alignment horizontal="right" vertical="center"/>
    </xf>
    <xf numFmtId="199" fontId="2" fillId="31" borderId="0" xfId="46" applyNumberFormat="1" applyFont="1" applyFill="1" applyBorder="1" applyAlignment="1">
      <alignment horizontal="right" vertical="center"/>
    </xf>
    <xf numFmtId="181" fontId="2" fillId="31" borderId="18" xfId="74" applyNumberFormat="1" applyFont="1" applyFill="1" applyBorder="1" applyAlignment="1">
      <alignment horizontal="right" vertical="center"/>
    </xf>
    <xf numFmtId="187" fontId="3" fillId="31" borderId="18" xfId="46" applyNumberFormat="1" applyFont="1" applyFill="1" applyBorder="1" applyAlignment="1">
      <alignment horizontal="right" vertical="center"/>
    </xf>
    <xf numFmtId="187" fontId="3" fillId="31" borderId="0" xfId="46" applyNumberFormat="1" applyFont="1" applyFill="1" applyBorder="1" applyAlignment="1">
      <alignment horizontal="right" vertical="center"/>
    </xf>
    <xf numFmtId="187" fontId="3" fillId="0" borderId="0" xfId="0" applyNumberFormat="1" applyFont="1" applyBorder="1"/>
    <xf numFmtId="179" fontId="38" fillId="17" borderId="0" xfId="0" applyNumberFormat="1" applyFont="1" applyFill="1" applyBorder="1" applyAlignment="1">
      <alignment vertical="center"/>
    </xf>
    <xf numFmtId="179" fontId="38" fillId="17" borderId="3" xfId="0" applyNumberFormat="1" applyFont="1" applyFill="1" applyBorder="1" applyAlignment="1">
      <alignment vertical="center"/>
    </xf>
    <xf numFmtId="179" fontId="8" fillId="0" borderId="18" xfId="0" applyNumberFormat="1" applyFont="1" applyBorder="1" applyAlignment="1">
      <alignment horizontal="right" vertical="center"/>
    </xf>
    <xf numFmtId="179" fontId="8" fillId="0" borderId="0" xfId="0" applyNumberFormat="1" applyFont="1" applyBorder="1" applyAlignment="1">
      <alignment horizontal="right" vertical="center"/>
    </xf>
    <xf numFmtId="179" fontId="8" fillId="0" borderId="3" xfId="0" applyNumberFormat="1" applyFont="1" applyBorder="1" applyAlignment="1">
      <alignment horizontal="right" vertical="center"/>
    </xf>
    <xf numFmtId="199" fontId="111" fillId="0" borderId="0" xfId="0" applyNumberFormat="1" applyFont="1" applyFill="1" applyBorder="1"/>
    <xf numFmtId="181" fontId="2" fillId="0" borderId="0" xfId="74" applyNumberFormat="1" applyFont="1" applyFill="1" applyBorder="1"/>
    <xf numFmtId="181" fontId="96" fillId="0" borderId="0" xfId="74" applyNumberFormat="1" applyFont="1" applyFill="1" applyBorder="1"/>
    <xf numFmtId="226" fontId="3" fillId="0" borderId="0" xfId="49" applyNumberFormat="1" applyFont="1" applyFill="1" applyBorder="1" applyAlignment="1">
      <alignment horizontal="right" vertical="center"/>
    </xf>
    <xf numFmtId="0" fontId="26" fillId="33" borderId="18" xfId="0" applyFont="1" applyFill="1" applyBorder="1" applyAlignment="1">
      <alignment vertical="center"/>
    </xf>
    <xf numFmtId="203" fontId="3" fillId="33" borderId="18" xfId="46" applyNumberFormat="1" applyFont="1" applyFill="1" applyBorder="1"/>
    <xf numFmtId="203" fontId="3" fillId="33" borderId="0" xfId="46" applyNumberFormat="1" applyFont="1" applyFill="1" applyBorder="1"/>
    <xf numFmtId="203" fontId="3" fillId="33" borderId="3" xfId="46" applyNumberFormat="1" applyFont="1" applyFill="1" applyBorder="1"/>
    <xf numFmtId="0" fontId="2" fillId="33" borderId="3" xfId="0" applyFont="1" applyFill="1" applyBorder="1"/>
    <xf numFmtId="0" fontId="2" fillId="33" borderId="18" xfId="0" applyFont="1" applyFill="1" applyBorder="1" applyAlignment="1">
      <alignment horizontal="left" indent="1"/>
    </xf>
    <xf numFmtId="170" fontId="2" fillId="33" borderId="18" xfId="0" applyNumberFormat="1" applyFont="1" applyFill="1" applyBorder="1" applyAlignment="1">
      <alignment horizontal="right" vertical="center"/>
    </xf>
    <xf numFmtId="170" fontId="2" fillId="33" borderId="3" xfId="0" applyNumberFormat="1" applyFont="1" applyFill="1" applyBorder="1" applyAlignment="1">
      <alignment horizontal="right" vertical="center"/>
    </xf>
    <xf numFmtId="181" fontId="26" fillId="0" borderId="0" xfId="46" applyNumberFormat="1" applyFont="1" applyFill="1" applyBorder="1" applyAlignment="1">
      <alignment horizontal="right" vertical="center"/>
    </xf>
    <xf numFmtId="203" fontId="2" fillId="17" borderId="18" xfId="46" applyNumberFormat="1" applyFont="1" applyFill="1" applyBorder="1" applyAlignment="1">
      <alignment horizontal="right" vertical="center"/>
    </xf>
    <xf numFmtId="203" fontId="2" fillId="17" borderId="3" xfId="46" applyNumberFormat="1" applyFont="1" applyFill="1" applyBorder="1" applyAlignment="1">
      <alignment horizontal="right" vertical="center"/>
    </xf>
    <xf numFmtId="199" fontId="3" fillId="32" borderId="18" xfId="0" applyNumberFormat="1" applyFont="1" applyFill="1" applyBorder="1" applyAlignment="1">
      <alignment horizontal="right" vertical="center"/>
    </xf>
    <xf numFmtId="187" fontId="26" fillId="17" borderId="18" xfId="46" applyNumberFormat="1" applyFont="1" applyFill="1" applyBorder="1" applyAlignment="1">
      <alignment horizontal="right" vertical="center"/>
    </xf>
    <xf numFmtId="199" fontId="3" fillId="32" borderId="3" xfId="0" applyNumberFormat="1" applyFont="1" applyFill="1" applyBorder="1" applyAlignment="1">
      <alignment horizontal="right" vertical="center"/>
    </xf>
    <xf numFmtId="187" fontId="26" fillId="17" borderId="3" xfId="46" applyNumberFormat="1" applyFont="1" applyFill="1" applyBorder="1" applyAlignment="1">
      <alignment horizontal="right" vertical="center"/>
    </xf>
    <xf numFmtId="187" fontId="26" fillId="24" borderId="0" xfId="46" applyNumberFormat="1" applyFont="1" applyFill="1" applyBorder="1" applyAlignment="1">
      <alignment vertical="center"/>
    </xf>
    <xf numFmtId="187" fontId="26" fillId="24" borderId="3" xfId="46" applyNumberFormat="1" applyFont="1" applyFill="1" applyBorder="1" applyAlignment="1">
      <alignment vertical="center"/>
    </xf>
    <xf numFmtId="203" fontId="96" fillId="18" borderId="3" xfId="46" applyNumberFormat="1" applyFont="1" applyFill="1" applyBorder="1" applyAlignment="1">
      <alignment horizontal="right" vertical="center"/>
    </xf>
    <xf numFmtId="171" fontId="26" fillId="17" borderId="3" xfId="0" applyNumberFormat="1" applyFont="1" applyFill="1" applyBorder="1" applyAlignment="1">
      <alignment horizontal="right" vertical="center"/>
    </xf>
    <xf numFmtId="187" fontId="110" fillId="0" borderId="3" xfId="46" applyNumberFormat="1" applyFont="1" applyFill="1" applyBorder="1" applyAlignment="1">
      <alignment horizontal="right" vertical="center"/>
    </xf>
    <xf numFmtId="187" fontId="99" fillId="22" borderId="3" xfId="46" applyNumberFormat="1" applyFont="1" applyFill="1" applyBorder="1" applyAlignment="1">
      <alignment horizontal="right" vertical="center"/>
    </xf>
    <xf numFmtId="226" fontId="3" fillId="0" borderId="3" xfId="49" applyNumberFormat="1" applyFont="1" applyFill="1" applyBorder="1" applyAlignment="1">
      <alignment horizontal="right" vertical="center"/>
    </xf>
    <xf numFmtId="187" fontId="3" fillId="25" borderId="3" xfId="46" applyNumberFormat="1" applyFont="1" applyFill="1" applyBorder="1" applyAlignment="1">
      <alignment horizontal="right" vertical="center"/>
    </xf>
    <xf numFmtId="187" fontId="99" fillId="17" borderId="3" xfId="46" applyNumberFormat="1" applyFont="1" applyFill="1" applyBorder="1" applyAlignment="1">
      <alignment horizontal="right" vertical="center"/>
    </xf>
    <xf numFmtId="9" fontId="3" fillId="0" borderId="3" xfId="0" applyNumberFormat="1" applyFont="1" applyFill="1" applyBorder="1" applyAlignment="1">
      <alignment horizontal="right" vertical="center"/>
    </xf>
    <xf numFmtId="187" fontId="26" fillId="34" borderId="18" xfId="46" applyNumberFormat="1" applyFont="1" applyFill="1" applyBorder="1" applyAlignment="1">
      <alignment horizontal="right" vertical="center"/>
    </xf>
    <xf numFmtId="187" fontId="26" fillId="34" borderId="3" xfId="46" applyNumberFormat="1" applyFont="1" applyFill="1" applyBorder="1" applyAlignment="1">
      <alignment horizontal="right" vertical="center"/>
    </xf>
    <xf numFmtId="171" fontId="26" fillId="32" borderId="18" xfId="0" applyNumberFormat="1" applyFont="1" applyFill="1" applyBorder="1" applyAlignment="1">
      <alignment horizontal="right" vertical="center"/>
    </xf>
    <xf numFmtId="171" fontId="26" fillId="0" borderId="18" xfId="0" applyNumberFormat="1" applyFont="1" applyFill="1" applyBorder="1" applyAlignment="1">
      <alignment horizontal="right" vertical="center"/>
    </xf>
    <xf numFmtId="171" fontId="26" fillId="0" borderId="3" xfId="0" applyNumberFormat="1" applyFont="1" applyFill="1" applyBorder="1" applyAlignment="1">
      <alignment horizontal="right" vertical="center"/>
    </xf>
    <xf numFmtId="199" fontId="6" fillId="0" borderId="18" xfId="0" applyNumberFormat="1" applyFont="1" applyBorder="1" applyAlignment="1">
      <alignment horizontal="right" vertical="center"/>
    </xf>
    <xf numFmtId="199" fontId="6" fillId="0" borderId="3" xfId="0" applyNumberFormat="1" applyFont="1" applyBorder="1" applyAlignment="1">
      <alignment horizontal="right" vertical="center"/>
    </xf>
    <xf numFmtId="6" fontId="3" fillId="0" borderId="3" xfId="0" applyNumberFormat="1" applyFont="1" applyFill="1" applyBorder="1" applyAlignment="1">
      <alignment horizontal="right" vertical="center"/>
    </xf>
    <xf numFmtId="214" fontId="96" fillId="22" borderId="0" xfId="46" applyNumberFormat="1" applyFont="1" applyFill="1"/>
    <xf numFmtId="214" fontId="96" fillId="22" borderId="0" xfId="46" applyNumberFormat="1" applyFont="1" applyFill="1" applyBorder="1"/>
    <xf numFmtId="214" fontId="96" fillId="22" borderId="3" xfId="46" applyNumberFormat="1" applyFont="1" applyFill="1" applyBorder="1"/>
    <xf numFmtId="4" fontId="96" fillId="22" borderId="0" xfId="0" applyNumberFormat="1" applyFont="1" applyFill="1" applyBorder="1" applyAlignment="1">
      <alignment horizontal="right" vertical="center"/>
    </xf>
    <xf numFmtId="37" fontId="10" fillId="29" borderId="0" xfId="0" applyNumberFormat="1" applyFont="1" applyFill="1" applyAlignment="1">
      <alignment vertical="center"/>
    </xf>
    <xf numFmtId="179" fontId="10" fillId="29" borderId="0" xfId="0" applyNumberFormat="1" applyFont="1" applyFill="1" applyAlignment="1">
      <alignment vertical="center"/>
    </xf>
    <xf numFmtId="9" fontId="10" fillId="29" borderId="0" xfId="0" applyNumberFormat="1" applyFont="1" applyFill="1" applyAlignment="1">
      <alignment horizontal="right" vertical="center"/>
    </xf>
    <xf numFmtId="179" fontId="2" fillId="0" borderId="0" xfId="0" applyNumberFormat="1" applyFont="1" applyFill="1" applyAlignment="1">
      <alignment vertical="center"/>
    </xf>
    <xf numFmtId="179" fontId="8" fillId="0" borderId="0" xfId="0" applyNumberFormat="1" applyFont="1" applyFill="1" applyBorder="1" applyAlignment="1">
      <alignment horizontal="left" vertical="center" indent="1"/>
    </xf>
    <xf numFmtId="197" fontId="8" fillId="0" borderId="0" xfId="0" applyNumberFormat="1" applyFont="1" applyFill="1" applyBorder="1" applyAlignment="1">
      <alignment vertical="center"/>
    </xf>
    <xf numFmtId="199" fontId="8" fillId="0" borderId="0" xfId="0" applyNumberFormat="1" applyFont="1" applyFill="1" applyBorder="1"/>
    <xf numFmtId="199" fontId="8" fillId="0" borderId="3" xfId="0" applyNumberFormat="1" applyFont="1" applyFill="1" applyBorder="1"/>
    <xf numFmtId="179" fontId="8" fillId="0" borderId="0" xfId="0" applyNumberFormat="1" applyFont="1" applyFill="1" applyBorder="1" applyAlignment="1">
      <alignment horizontal="right" vertical="center"/>
    </xf>
    <xf numFmtId="199" fontId="3" fillId="0" borderId="0" xfId="0" applyNumberFormat="1" applyFont="1" applyFill="1" applyBorder="1" applyAlignment="1">
      <alignment vertical="center"/>
    </xf>
    <xf numFmtId="181" fontId="39" fillId="17" borderId="0" xfId="74" applyNumberFormat="1" applyFont="1" applyFill="1" applyAlignment="1">
      <alignment vertical="center"/>
    </xf>
    <xf numFmtId="181" fontId="3" fillId="0" borderId="0" xfId="74" applyNumberFormat="1" applyFont="1" applyFill="1" applyBorder="1" applyAlignment="1">
      <alignment vertical="center"/>
    </xf>
    <xf numFmtId="203" fontId="7" fillId="17" borderId="0" xfId="46" applyNumberFormat="1" applyFont="1" applyFill="1" applyBorder="1" applyAlignment="1">
      <alignment vertical="center"/>
    </xf>
    <xf numFmtId="9" fontId="7" fillId="17" borderId="0" xfId="46" applyNumberFormat="1" applyFont="1" applyFill="1" applyBorder="1" applyAlignment="1">
      <alignment vertical="center"/>
    </xf>
    <xf numFmtId="49" fontId="4" fillId="0" borderId="20" xfId="0" applyNumberFormat="1" applyFont="1" applyBorder="1" applyAlignment="1">
      <alignment horizontal="centerContinuous" vertical="center"/>
    </xf>
    <xf numFmtId="0" fontId="2" fillId="17" borderId="0" xfId="0" applyFont="1" applyFill="1" applyAlignment="1">
      <alignment horizontal="left" vertical="center"/>
    </xf>
    <xf numFmtId="9" fontId="10" fillId="0" borderId="0" xfId="0" applyNumberFormat="1" applyFont="1" applyFill="1" applyAlignment="1">
      <alignment horizontal="right" vertical="center"/>
    </xf>
    <xf numFmtId="2" fontId="50" fillId="17" borderId="0" xfId="0" applyNumberFormat="1" applyFont="1" applyFill="1" applyAlignment="1">
      <alignment vertical="center"/>
    </xf>
    <xf numFmtId="2" fontId="10" fillId="0" borderId="0" xfId="0" applyNumberFormat="1" applyFont="1" applyFill="1" applyAlignment="1">
      <alignment horizontal="center"/>
    </xf>
    <xf numFmtId="2" fontId="10" fillId="17" borderId="0" xfId="0" applyNumberFormat="1" applyFont="1" applyFill="1"/>
    <xf numFmtId="187" fontId="10" fillId="17" borderId="0" xfId="46" applyNumberFormat="1" applyFont="1" applyFill="1"/>
    <xf numFmtId="187" fontId="10" fillId="0" borderId="0" xfId="46" applyNumberFormat="1" applyFont="1" applyFill="1" applyAlignment="1">
      <alignment horizontal="center"/>
    </xf>
    <xf numFmtId="187" fontId="10" fillId="0" borderId="0" xfId="46" applyNumberFormat="1" applyFont="1"/>
    <xf numFmtId="205" fontId="98" fillId="0" borderId="0" xfId="67" applyNumberFormat="1" applyFont="1" applyFill="1" applyAlignment="1">
      <alignment horizontal="center"/>
    </xf>
    <xf numFmtId="9" fontId="98" fillId="0" borderId="0" xfId="74" applyNumberFormat="1" applyFont="1" applyFill="1" applyAlignment="1">
      <alignment horizontal="center"/>
    </xf>
    <xf numFmtId="204" fontId="98" fillId="0" borderId="0" xfId="67" applyNumberFormat="1" applyFont="1" applyFill="1" applyAlignment="1">
      <alignment horizontal="center"/>
    </xf>
    <xf numFmtId="9" fontId="3" fillId="0" borderId="0" xfId="0" applyNumberFormat="1" applyFont="1" applyFill="1" applyBorder="1" applyAlignment="1">
      <alignment horizontal="center"/>
    </xf>
    <xf numFmtId="0" fontId="113" fillId="35" borderId="12" xfId="67" applyFont="1" applyFill="1" applyBorder="1"/>
    <xf numFmtId="0" fontId="94" fillId="35" borderId="13" xfId="67" applyFont="1" applyFill="1" applyBorder="1" applyAlignment="1">
      <alignment horizontal="left"/>
    </xf>
    <xf numFmtId="0" fontId="94" fillId="35" borderId="13" xfId="67" applyFont="1" applyFill="1" applyBorder="1" applyAlignment="1">
      <alignment horizontal="center"/>
    </xf>
    <xf numFmtId="0" fontId="94" fillId="35" borderId="12" xfId="67" applyFont="1" applyFill="1" applyBorder="1" applyAlignment="1">
      <alignment horizontal="center"/>
    </xf>
    <xf numFmtId="2" fontId="8" fillId="0" borderId="0" xfId="74" applyNumberFormat="1" applyFont="1" applyAlignment="1">
      <alignment horizontal="right" vertical="center"/>
    </xf>
    <xf numFmtId="43" fontId="10" fillId="17" borderId="0" xfId="0" applyNumberFormat="1" applyFont="1" applyFill="1" applyAlignment="1">
      <alignment vertical="center"/>
    </xf>
    <xf numFmtId="199" fontId="50" fillId="17" borderId="0" xfId="0" applyNumberFormat="1" applyFont="1" applyFill="1" applyAlignment="1">
      <alignment vertical="center"/>
    </xf>
    <xf numFmtId="181" fontId="2" fillId="0" borderId="0" xfId="74" applyNumberFormat="1" applyFont="1" applyFill="1"/>
    <xf numFmtId="203" fontId="23" fillId="0" borderId="18" xfId="46" applyNumberFormat="1" applyFont="1" applyFill="1" applyBorder="1"/>
    <xf numFmtId="9" fontId="23" fillId="0" borderId="18" xfId="0" applyNumberFormat="1" applyFont="1" applyFill="1" applyBorder="1"/>
    <xf numFmtId="9" fontId="23" fillId="0" borderId="0" xfId="0" applyNumberFormat="1" applyFont="1" applyFill="1" applyBorder="1"/>
    <xf numFmtId="9" fontId="23" fillId="0" borderId="3" xfId="0" applyNumberFormat="1" applyFont="1" applyFill="1" applyBorder="1"/>
    <xf numFmtId="199" fontId="23" fillId="0" borderId="15" xfId="0" applyNumberFormat="1" applyFont="1" applyFill="1" applyBorder="1"/>
    <xf numFmtId="6" fontId="8" fillId="0" borderId="0" xfId="46" applyNumberFormat="1" applyFont="1" applyFill="1" applyBorder="1"/>
    <xf numFmtId="198" fontId="97" fillId="0" borderId="44" xfId="0" applyNumberFormat="1" applyFont="1" applyFill="1" applyBorder="1"/>
    <xf numFmtId="182" fontId="97" fillId="0" borderId="44" xfId="0" applyNumberFormat="1" applyFont="1" applyFill="1" applyBorder="1" applyAlignment="1">
      <alignment horizontal="right" vertical="center"/>
    </xf>
    <xf numFmtId="179" fontId="3" fillId="0" borderId="0" xfId="0" applyNumberFormat="1" applyFont="1"/>
    <xf numFmtId="181" fontId="2" fillId="0" borderId="3" xfId="74" applyNumberFormat="1" applyFont="1" applyBorder="1"/>
    <xf numFmtId="198" fontId="2" fillId="0" borderId="3" xfId="0" applyNumberFormat="1" applyFont="1" applyFill="1" applyBorder="1" applyAlignment="1">
      <alignment vertical="center"/>
    </xf>
    <xf numFmtId="198" fontId="10" fillId="0" borderId="3" xfId="0" applyNumberFormat="1" applyFont="1" applyFill="1" applyBorder="1" applyAlignment="1">
      <alignment vertical="center"/>
    </xf>
    <xf numFmtId="179" fontId="3" fillId="25" borderId="18" xfId="0" applyNumberFormat="1" applyFont="1" applyFill="1" applyBorder="1" applyAlignment="1">
      <alignment vertical="center"/>
    </xf>
    <xf numFmtId="170" fontId="2" fillId="0" borderId="18" xfId="0" applyNumberFormat="1" applyFont="1" applyFill="1" applyBorder="1" applyAlignment="1">
      <alignment vertical="center"/>
    </xf>
    <xf numFmtId="0" fontId="8" fillId="0" borderId="0" xfId="0" applyNumberFormat="1" applyFont="1" applyBorder="1" applyAlignment="1">
      <alignment horizontal="right" vertical="center"/>
    </xf>
    <xf numFmtId="0" fontId="6" fillId="0" borderId="0" xfId="0" applyNumberFormat="1" applyFont="1" applyBorder="1" applyAlignment="1">
      <alignment horizontal="right" vertical="center"/>
    </xf>
    <xf numFmtId="175" fontId="2" fillId="18" borderId="0" xfId="0" applyNumberFormat="1" applyFont="1" applyFill="1" applyBorder="1" applyAlignment="1">
      <alignment vertical="center"/>
    </xf>
    <xf numFmtId="179" fontId="3" fillId="25" borderId="0" xfId="46" applyNumberFormat="1" applyFont="1" applyFill="1" applyBorder="1" applyAlignment="1">
      <alignment vertical="center"/>
    </xf>
    <xf numFmtId="198" fontId="115" fillId="17" borderId="3" xfId="0" applyNumberFormat="1" applyFont="1" applyFill="1" applyBorder="1" applyAlignment="1">
      <alignment vertical="center"/>
    </xf>
    <xf numFmtId="199" fontId="26" fillId="32" borderId="18" xfId="0" applyNumberFormat="1" applyFont="1" applyFill="1" applyBorder="1" applyAlignment="1">
      <alignment vertical="center"/>
    </xf>
    <xf numFmtId="181" fontId="8" fillId="0" borderId="3" xfId="0" applyNumberFormat="1" applyFont="1" applyFill="1" applyBorder="1" applyAlignment="1">
      <alignment horizontal="right" vertical="center"/>
    </xf>
    <xf numFmtId="179" fontId="3" fillId="25" borderId="3" xfId="46" applyNumberFormat="1" applyFont="1" applyFill="1" applyBorder="1" applyAlignment="1">
      <alignment vertical="center"/>
    </xf>
    <xf numFmtId="198" fontId="115" fillId="17" borderId="0" xfId="0" applyNumberFormat="1" applyFont="1" applyFill="1" applyBorder="1" applyAlignment="1">
      <alignment vertical="center"/>
    </xf>
    <xf numFmtId="9" fontId="2" fillId="17" borderId="0" xfId="74" applyFont="1" applyFill="1" applyBorder="1" applyAlignment="1">
      <alignment horizontal="right" vertical="center"/>
    </xf>
    <xf numFmtId="179" fontId="111" fillId="0" borderId="0" xfId="0" applyNumberFormat="1" applyFont="1" applyFill="1" applyBorder="1" applyAlignment="1">
      <alignment vertical="center"/>
    </xf>
    <xf numFmtId="179" fontId="111" fillId="0" borderId="3" xfId="0" applyNumberFormat="1" applyFont="1" applyFill="1" applyBorder="1" applyAlignment="1">
      <alignment vertical="center"/>
    </xf>
    <xf numFmtId="199" fontId="8" fillId="0" borderId="0" xfId="0" applyNumberFormat="1" applyFont="1" applyFill="1" applyBorder="1" applyAlignment="1">
      <alignment vertical="center"/>
    </xf>
    <xf numFmtId="199" fontId="98" fillId="0" borderId="0" xfId="0" applyNumberFormat="1" applyFont="1" applyFill="1" applyBorder="1" applyAlignment="1">
      <alignment vertical="center"/>
    </xf>
    <xf numFmtId="7" fontId="2" fillId="0" borderId="0" xfId="0" applyNumberFormat="1" applyFont="1" applyFill="1" applyBorder="1" applyAlignment="1">
      <alignment horizontal="right" vertical="center"/>
    </xf>
    <xf numFmtId="7" fontId="2" fillId="0" borderId="3" xfId="0" applyNumberFormat="1" applyFont="1" applyFill="1" applyBorder="1" applyAlignment="1">
      <alignment horizontal="right" vertical="center"/>
    </xf>
    <xf numFmtId="7" fontId="2" fillId="0" borderId="18" xfId="0" applyNumberFormat="1" applyFont="1" applyFill="1" applyBorder="1" applyAlignment="1">
      <alignment horizontal="right" vertical="center"/>
    </xf>
    <xf numFmtId="0" fontId="8" fillId="0" borderId="0" xfId="0" applyFont="1" applyFill="1" applyBorder="1" applyAlignment="1">
      <alignment horizontal="left" vertical="center" indent="1"/>
    </xf>
    <xf numFmtId="7" fontId="3" fillId="0" borderId="0" xfId="0" applyNumberFormat="1" applyFont="1" applyFill="1" applyBorder="1" applyAlignment="1">
      <alignment horizontal="right" vertical="center"/>
    </xf>
    <xf numFmtId="7" fontId="3" fillId="0" borderId="3" xfId="0" applyNumberFormat="1" applyFont="1" applyFill="1" applyBorder="1" applyAlignment="1">
      <alignment horizontal="right" vertical="center"/>
    </xf>
    <xf numFmtId="7" fontId="3" fillId="0" borderId="18" xfId="0" applyNumberFormat="1" applyFont="1" applyFill="1" applyBorder="1" applyAlignment="1">
      <alignment horizontal="right" vertical="center"/>
    </xf>
    <xf numFmtId="8" fontId="3" fillId="0" borderId="0" xfId="0" applyNumberFormat="1" applyFont="1" applyFill="1" applyBorder="1"/>
    <xf numFmtId="199" fontId="96" fillId="0" borderId="18" xfId="0" applyNumberFormat="1" applyFont="1" applyFill="1" applyBorder="1" applyAlignment="1">
      <alignment horizontal="right" vertical="center"/>
    </xf>
    <xf numFmtId="2" fontId="2" fillId="0" borderId="0" xfId="0" applyNumberFormat="1" applyFont="1" applyFill="1" applyBorder="1" applyAlignment="1">
      <alignment horizontal="right" vertical="center"/>
    </xf>
    <xf numFmtId="199" fontId="3" fillId="25" borderId="18" xfId="46" applyNumberFormat="1" applyFont="1" applyFill="1" applyBorder="1" applyAlignment="1">
      <alignment horizontal="right" vertical="center"/>
    </xf>
    <xf numFmtId="218" fontId="96" fillId="17" borderId="18" xfId="0" applyNumberFormat="1" applyFont="1" applyFill="1" applyBorder="1" applyAlignment="1">
      <alignment horizontal="right" vertical="center"/>
    </xf>
    <xf numFmtId="218" fontId="96" fillId="17" borderId="0" xfId="0" applyNumberFormat="1" applyFont="1" applyFill="1" applyBorder="1" applyAlignment="1">
      <alignment horizontal="right" vertical="center"/>
    </xf>
    <xf numFmtId="218" fontId="96" fillId="17" borderId="3" xfId="0" applyNumberFormat="1" applyFont="1" applyFill="1" applyBorder="1" applyAlignment="1">
      <alignment horizontal="right" vertical="center"/>
    </xf>
    <xf numFmtId="218" fontId="3" fillId="17" borderId="3" xfId="0" applyNumberFormat="1" applyFont="1" applyFill="1" applyBorder="1" applyAlignment="1">
      <alignment horizontal="right" vertical="center"/>
    </xf>
    <xf numFmtId="199" fontId="96" fillId="17" borderId="18" xfId="0" applyNumberFormat="1" applyFont="1" applyFill="1" applyBorder="1" applyAlignment="1">
      <alignment horizontal="right" vertical="center"/>
    </xf>
    <xf numFmtId="199" fontId="96" fillId="17" borderId="3" xfId="0" applyNumberFormat="1" applyFont="1" applyFill="1" applyBorder="1" applyAlignment="1">
      <alignment horizontal="right" vertical="center"/>
    </xf>
    <xf numFmtId="199" fontId="26" fillId="17" borderId="18" xfId="0" applyNumberFormat="1" applyFont="1" applyFill="1" applyBorder="1" applyAlignment="1">
      <alignment horizontal="right" vertical="center"/>
    </xf>
    <xf numFmtId="199" fontId="26" fillId="17" borderId="3" xfId="0" applyNumberFormat="1" applyFont="1" applyFill="1" applyBorder="1" applyAlignment="1">
      <alignment horizontal="right" vertical="center"/>
    </xf>
    <xf numFmtId="187" fontId="2" fillId="25" borderId="18" xfId="46" applyNumberFormat="1" applyFont="1" applyFill="1" applyBorder="1" applyAlignment="1">
      <alignment horizontal="right" vertical="center"/>
    </xf>
    <xf numFmtId="199" fontId="26" fillId="17" borderId="18" xfId="46" applyNumberFormat="1" applyFont="1" applyFill="1" applyBorder="1" applyAlignment="1">
      <alignment horizontal="right" vertical="center"/>
    </xf>
    <xf numFmtId="199" fontId="99" fillId="17" borderId="0" xfId="46" applyNumberFormat="1" applyFont="1" applyFill="1" applyBorder="1" applyAlignment="1">
      <alignment horizontal="right" vertical="center"/>
    </xf>
    <xf numFmtId="199" fontId="3" fillId="17" borderId="18" xfId="0" applyNumberFormat="1" applyFont="1" applyFill="1" applyBorder="1" applyAlignment="1">
      <alignment horizontal="right" vertical="center"/>
    </xf>
    <xf numFmtId="199" fontId="3" fillId="17" borderId="3" xfId="0" applyNumberFormat="1" applyFont="1" applyFill="1" applyBorder="1" applyAlignment="1">
      <alignment horizontal="right" vertical="center"/>
    </xf>
    <xf numFmtId="218" fontId="3" fillId="0" borderId="0" xfId="0" applyNumberFormat="1" applyFont="1" applyFill="1" applyBorder="1" applyAlignment="1">
      <alignment horizontal="right" vertical="center"/>
    </xf>
    <xf numFmtId="187" fontId="99" fillId="17" borderId="18" xfId="46" applyNumberFormat="1" applyFont="1" applyFill="1" applyBorder="1" applyAlignment="1">
      <alignment horizontal="right" vertical="center"/>
    </xf>
    <xf numFmtId="187" fontId="99" fillId="17" borderId="18" xfId="0" applyNumberFormat="1" applyFont="1" applyFill="1" applyBorder="1" applyAlignment="1">
      <alignment horizontal="right" vertical="center"/>
    </xf>
    <xf numFmtId="199" fontId="99" fillId="17" borderId="0" xfId="0" applyNumberFormat="1" applyFont="1" applyFill="1" applyBorder="1" applyAlignment="1">
      <alignment horizontal="right" vertical="center"/>
    </xf>
    <xf numFmtId="199" fontId="99" fillId="17" borderId="18" xfId="46" applyNumberFormat="1" applyFont="1" applyFill="1" applyBorder="1" applyAlignment="1">
      <alignment horizontal="right" vertical="center"/>
    </xf>
    <xf numFmtId="199" fontId="99" fillId="17" borderId="18" xfId="0" applyNumberFormat="1" applyFont="1" applyFill="1" applyBorder="1" applyAlignment="1">
      <alignment horizontal="right" vertical="center"/>
    </xf>
    <xf numFmtId="187" fontId="99" fillId="17" borderId="0" xfId="0" applyNumberFormat="1" applyFont="1" applyFill="1" applyBorder="1" applyAlignment="1">
      <alignment horizontal="right" vertical="center"/>
    </xf>
    <xf numFmtId="181" fontId="26" fillId="17" borderId="0" xfId="0" applyNumberFormat="1" applyFont="1" applyFill="1" applyBorder="1" applyAlignment="1">
      <alignment horizontal="right" vertical="center"/>
    </xf>
    <xf numFmtId="181" fontId="2" fillId="17" borderId="18" xfId="74" applyNumberFormat="1" applyFont="1" applyFill="1" applyBorder="1" applyAlignment="1">
      <alignment horizontal="right" vertical="center"/>
    </xf>
    <xf numFmtId="181" fontId="2" fillId="17" borderId="0" xfId="74" applyNumberFormat="1" applyFont="1" applyFill="1" applyBorder="1" applyAlignment="1">
      <alignment horizontal="right" vertical="center"/>
    </xf>
    <xf numFmtId="181" fontId="2" fillId="0" borderId="18" xfId="46" applyNumberFormat="1" applyFont="1" applyFill="1" applyBorder="1" applyAlignment="1">
      <alignment horizontal="right" vertical="center"/>
    </xf>
    <xf numFmtId="181" fontId="2" fillId="0" borderId="0" xfId="46" applyNumberFormat="1" applyFont="1" applyFill="1" applyBorder="1" applyAlignment="1">
      <alignment horizontal="right" vertical="center"/>
    </xf>
    <xf numFmtId="187" fontId="99" fillId="25" borderId="0" xfId="46" applyNumberFormat="1" applyFont="1" applyFill="1" applyBorder="1" applyAlignment="1">
      <alignment horizontal="right" vertical="center"/>
    </xf>
    <xf numFmtId="199" fontId="3" fillId="25" borderId="0" xfId="46" applyNumberFormat="1" applyFont="1" applyFill="1" applyBorder="1" applyAlignment="1">
      <alignment horizontal="right" vertical="center"/>
    </xf>
    <xf numFmtId="199" fontId="105" fillId="0" borderId="18" xfId="0" applyNumberFormat="1" applyFont="1" applyFill="1" applyBorder="1" applyAlignment="1">
      <alignment horizontal="right" vertical="center"/>
    </xf>
    <xf numFmtId="199" fontId="105" fillId="0" borderId="0" xfId="0" applyNumberFormat="1" applyFont="1" applyFill="1" applyBorder="1" applyAlignment="1">
      <alignment horizontal="right" vertical="center"/>
    </xf>
    <xf numFmtId="199" fontId="26" fillId="17" borderId="0" xfId="46" applyNumberFormat="1" applyFont="1" applyFill="1" applyBorder="1" applyAlignment="1">
      <alignment horizontal="right" vertical="center"/>
    </xf>
    <xf numFmtId="199" fontId="3" fillId="17" borderId="18" xfId="0" applyNumberFormat="1" applyFont="1" applyFill="1" applyBorder="1" applyAlignment="1">
      <alignment horizontal="left" indent="1"/>
    </xf>
    <xf numFmtId="199" fontId="3" fillId="0" borderId="0" xfId="46" applyNumberFormat="1" applyFont="1" applyFill="1" applyBorder="1" applyAlignment="1">
      <alignment horizontal="right" vertical="center"/>
    </xf>
    <xf numFmtId="166" fontId="26" fillId="0" borderId="3" xfId="0" applyNumberFormat="1" applyFont="1" applyFill="1" applyBorder="1" applyAlignment="1">
      <alignment horizontal="right" vertical="center"/>
    </xf>
    <xf numFmtId="9" fontId="2" fillId="17" borderId="18" xfId="0" applyNumberFormat="1" applyFont="1" applyFill="1" applyBorder="1"/>
    <xf numFmtId="9" fontId="2" fillId="17" borderId="3" xfId="0" applyNumberFormat="1" applyFont="1" applyFill="1" applyBorder="1"/>
    <xf numFmtId="0" fontId="3" fillId="17" borderId="3" xfId="0" applyFont="1" applyFill="1" applyBorder="1"/>
    <xf numFmtId="187" fontId="3" fillId="25" borderId="18" xfId="46" applyNumberFormat="1" applyFont="1" applyFill="1" applyBorder="1" applyAlignment="1">
      <alignment horizontal="right" vertical="center"/>
    </xf>
    <xf numFmtId="181" fontId="2" fillId="0" borderId="18" xfId="74" applyNumberFormat="1" applyFont="1" applyFill="1" applyBorder="1" applyAlignment="1">
      <alignment horizontal="left" indent="2"/>
    </xf>
    <xf numFmtId="181" fontId="99" fillId="0" borderId="0" xfId="74" applyNumberFormat="1" applyFont="1" applyFill="1" applyBorder="1" applyAlignment="1">
      <alignment horizontal="right" vertical="center"/>
    </xf>
    <xf numFmtId="181" fontId="96" fillId="22" borderId="0" xfId="74" applyNumberFormat="1" applyFont="1" applyFill="1" applyBorder="1" applyAlignment="1">
      <alignment horizontal="right" vertical="center"/>
    </xf>
    <xf numFmtId="166" fontId="26" fillId="0" borderId="18" xfId="0" applyNumberFormat="1" applyFont="1" applyFill="1" applyBorder="1" applyAlignment="1">
      <alignment horizontal="right" vertical="center"/>
    </xf>
    <xf numFmtId="166" fontId="26" fillId="17" borderId="18" xfId="0" applyNumberFormat="1" applyFont="1" applyFill="1" applyBorder="1" applyAlignment="1">
      <alignment horizontal="right" vertical="center"/>
    </xf>
    <xf numFmtId="165" fontId="94" fillId="35" borderId="16" xfId="0" applyNumberFormat="1" applyFont="1" applyFill="1" applyBorder="1" applyAlignment="1">
      <alignment horizontal="right" vertical="center"/>
    </xf>
    <xf numFmtId="10" fontId="26" fillId="0" borderId="0" xfId="0" applyNumberFormat="1" applyFont="1" applyFill="1" applyBorder="1" applyAlignment="1">
      <alignment horizontal="right" vertical="center"/>
    </xf>
    <xf numFmtId="199" fontId="5" fillId="0" borderId="3" xfId="0" applyNumberFormat="1" applyFont="1" applyFill="1" applyBorder="1" applyAlignment="1">
      <alignment horizontal="right" vertical="center"/>
    </xf>
    <xf numFmtId="0" fontId="3" fillId="0" borderId="3" xfId="0" applyFont="1" applyFill="1" applyBorder="1"/>
    <xf numFmtId="9" fontId="2" fillId="0" borderId="3" xfId="74" applyFont="1" applyFill="1" applyBorder="1" applyAlignment="1">
      <alignment horizontal="right" vertical="center"/>
    </xf>
    <xf numFmtId="186" fontId="2" fillId="17" borderId="3" xfId="0" applyNumberFormat="1" applyFont="1" applyFill="1" applyBorder="1" applyAlignment="1">
      <alignment horizontal="right" vertical="center"/>
    </xf>
    <xf numFmtId="6" fontId="2" fillId="17" borderId="3" xfId="0" applyNumberFormat="1" applyFont="1" applyFill="1" applyBorder="1" applyAlignment="1">
      <alignment horizontal="right" vertical="center"/>
    </xf>
    <xf numFmtId="9" fontId="2" fillId="17" borderId="3" xfId="74" applyFont="1" applyFill="1" applyBorder="1" applyAlignment="1">
      <alignment horizontal="right" vertical="center"/>
    </xf>
    <xf numFmtId="9" fontId="2" fillId="0" borderId="0" xfId="74" applyFont="1" applyBorder="1"/>
    <xf numFmtId="9" fontId="2" fillId="0" borderId="18" xfId="74" applyFont="1" applyBorder="1" applyAlignment="1">
      <alignment horizontal="left" vertical="center" indent="1"/>
    </xf>
    <xf numFmtId="9" fontId="2" fillId="0" borderId="3" xfId="74" applyFont="1" applyBorder="1"/>
    <xf numFmtId="9" fontId="2" fillId="0" borderId="18" xfId="74" applyFont="1" applyBorder="1"/>
    <xf numFmtId="9" fontId="96" fillId="0" borderId="18" xfId="74" applyFont="1" applyBorder="1"/>
    <xf numFmtId="187" fontId="3" fillId="0" borderId="18" xfId="0" applyNumberFormat="1" applyFont="1" applyBorder="1"/>
    <xf numFmtId="187" fontId="3" fillId="0" borderId="18" xfId="46" applyNumberFormat="1" applyFont="1" applyBorder="1"/>
    <xf numFmtId="187" fontId="3" fillId="0" borderId="0" xfId="46" applyNumberFormat="1" applyFont="1" applyBorder="1"/>
    <xf numFmtId="187" fontId="3" fillId="0" borderId="3" xfId="46" applyNumberFormat="1" applyFont="1" applyBorder="1"/>
    <xf numFmtId="187" fontId="2" fillId="0" borderId="18" xfId="0" applyNumberFormat="1" applyFont="1" applyBorder="1"/>
    <xf numFmtId="6" fontId="8" fillId="0" borderId="3" xfId="46" applyNumberFormat="1" applyFont="1" applyFill="1" applyBorder="1"/>
    <xf numFmtId="181" fontId="3" fillId="25" borderId="3" xfId="0" applyNumberFormat="1" applyFont="1" applyFill="1" applyBorder="1" applyAlignment="1">
      <alignment horizontal="right" vertical="center"/>
    </xf>
    <xf numFmtId="181" fontId="82" fillId="17" borderId="0" xfId="0" applyNumberFormat="1" applyFont="1" applyFill="1" applyBorder="1" applyAlignment="1">
      <alignment horizontal="right" vertical="center"/>
    </xf>
    <xf numFmtId="181" fontId="82" fillId="17" borderId="3" xfId="0" applyNumberFormat="1" applyFont="1" applyFill="1" applyBorder="1" applyAlignment="1">
      <alignment horizontal="right" vertical="center"/>
    </xf>
    <xf numFmtId="181" fontId="82" fillId="17" borderId="18" xfId="0" applyNumberFormat="1" applyFont="1" applyFill="1" applyBorder="1" applyAlignment="1">
      <alignment horizontal="right" vertical="center"/>
    </xf>
    <xf numFmtId="181" fontId="114" fillId="17" borderId="18" xfId="0" applyNumberFormat="1" applyFont="1" applyFill="1" applyBorder="1" applyAlignment="1">
      <alignment horizontal="right" vertical="center"/>
    </xf>
    <xf numFmtId="181" fontId="114" fillId="17" borderId="0" xfId="0" applyNumberFormat="1" applyFont="1" applyFill="1" applyBorder="1" applyAlignment="1">
      <alignment horizontal="right" vertical="center"/>
    </xf>
    <xf numFmtId="181" fontId="114" fillId="17" borderId="3" xfId="0" applyNumberFormat="1" applyFont="1" applyFill="1" applyBorder="1" applyAlignment="1">
      <alignment horizontal="right" vertical="center"/>
    </xf>
    <xf numFmtId="181" fontId="114" fillId="0" borderId="0" xfId="0" applyNumberFormat="1" applyFont="1" applyFill="1" applyBorder="1" applyAlignment="1">
      <alignment horizontal="right" vertical="center"/>
    </xf>
    <xf numFmtId="181" fontId="114" fillId="0" borderId="3" xfId="0" applyNumberFormat="1" applyFont="1" applyFill="1" applyBorder="1" applyAlignment="1">
      <alignment horizontal="right" vertical="center"/>
    </xf>
    <xf numFmtId="181" fontId="90" fillId="0" borderId="0" xfId="0" applyNumberFormat="1" applyFont="1" applyFill="1" applyBorder="1" applyAlignment="1">
      <alignment horizontal="right" vertical="center"/>
    </xf>
    <xf numFmtId="9" fontId="2" fillId="17" borderId="18" xfId="74" applyFont="1" applyFill="1" applyBorder="1" applyAlignment="1">
      <alignment horizontal="right" vertical="center"/>
    </xf>
    <xf numFmtId="3" fontId="96" fillId="0" borderId="0" xfId="0" applyNumberFormat="1" applyFont="1" applyFill="1" applyBorder="1" applyAlignment="1">
      <alignment vertical="center"/>
    </xf>
    <xf numFmtId="3" fontId="96" fillId="0" borderId="18" xfId="74" applyNumberFormat="1" applyFont="1" applyFill="1" applyBorder="1"/>
    <xf numFmtId="165" fontId="94" fillId="35" borderId="20" xfId="0" applyNumberFormat="1" applyFont="1" applyFill="1" applyBorder="1" applyAlignment="1">
      <alignment horizontal="right" vertical="center"/>
    </xf>
    <xf numFmtId="0" fontId="3" fillId="17" borderId="0" xfId="0" applyFont="1" applyFill="1" applyBorder="1" applyAlignment="1">
      <alignment horizontal="left" vertical="center" indent="1"/>
    </xf>
    <xf numFmtId="170" fontId="3" fillId="17" borderId="0" xfId="0" applyNumberFormat="1" applyFont="1" applyFill="1" applyBorder="1" applyAlignment="1">
      <alignment vertical="center"/>
    </xf>
    <xf numFmtId="170" fontId="3" fillId="17" borderId="18" xfId="0" applyNumberFormat="1" applyFont="1" applyFill="1" applyBorder="1" applyAlignment="1">
      <alignment vertical="center"/>
    </xf>
    <xf numFmtId="170" fontId="38" fillId="0" borderId="0" xfId="0" applyNumberFormat="1" applyFont="1" applyFill="1" applyBorder="1" applyAlignment="1">
      <alignment vertical="center"/>
    </xf>
    <xf numFmtId="204" fontId="3" fillId="17" borderId="0" xfId="0" applyNumberFormat="1" applyFont="1" applyFill="1" applyBorder="1" applyAlignment="1">
      <alignment vertical="center"/>
    </xf>
    <xf numFmtId="204" fontId="3" fillId="17" borderId="18" xfId="0" applyNumberFormat="1" applyFont="1" applyFill="1" applyBorder="1" applyAlignment="1">
      <alignment vertical="center"/>
    </xf>
    <xf numFmtId="204" fontId="3" fillId="17" borderId="3" xfId="0" applyNumberFormat="1" applyFont="1" applyFill="1" applyBorder="1" applyAlignment="1">
      <alignment vertical="center"/>
    </xf>
    <xf numFmtId="204" fontId="2" fillId="17" borderId="18" xfId="0" applyNumberFormat="1" applyFont="1" applyFill="1" applyBorder="1" applyAlignment="1">
      <alignment vertical="center"/>
    </xf>
    <xf numFmtId="204" fontId="2" fillId="17" borderId="0" xfId="0" applyNumberFormat="1" applyFont="1" applyFill="1" applyBorder="1" applyAlignment="1">
      <alignment vertical="center"/>
    </xf>
    <xf numFmtId="204" fontId="2" fillId="17" borderId="3" xfId="0" applyNumberFormat="1" applyFont="1" applyFill="1" applyBorder="1" applyAlignment="1">
      <alignment vertical="center"/>
    </xf>
    <xf numFmtId="181" fontId="2" fillId="17" borderId="18" xfId="74" applyNumberFormat="1" applyFont="1" applyFill="1" applyBorder="1" applyAlignment="1">
      <alignment vertical="center"/>
    </xf>
    <xf numFmtId="199" fontId="2" fillId="0" borderId="31" xfId="0" applyNumberFormat="1" applyFont="1" applyFill="1" applyBorder="1" applyAlignment="1">
      <alignment vertical="center"/>
    </xf>
    <xf numFmtId="4" fontId="2" fillId="17" borderId="18" xfId="0" applyNumberFormat="1" applyFont="1" applyFill="1" applyBorder="1" applyAlignment="1">
      <alignment horizontal="right" vertical="center"/>
    </xf>
    <xf numFmtId="179" fontId="96" fillId="17" borderId="18" xfId="46" applyNumberFormat="1" applyFont="1" applyFill="1" applyBorder="1" applyAlignment="1">
      <alignment vertical="center"/>
    </xf>
    <xf numFmtId="0" fontId="3" fillId="17" borderId="18" xfId="0" applyFont="1" applyFill="1" applyBorder="1" applyAlignment="1">
      <alignment horizontal="left" vertical="center" indent="1"/>
    </xf>
    <xf numFmtId="0" fontId="2" fillId="0" borderId="18" xfId="0" applyFont="1" applyFill="1" applyBorder="1" applyAlignment="1">
      <alignment horizontal="left" vertical="center" indent="2"/>
    </xf>
    <xf numFmtId="199" fontId="111" fillId="0" borderId="0" xfId="0" applyNumberFormat="1" applyFont="1" applyFill="1" applyBorder="1" applyAlignment="1">
      <alignment horizontal="right" vertical="center"/>
    </xf>
    <xf numFmtId="199" fontId="111" fillId="0" borderId="3" xfId="0" applyNumberFormat="1" applyFont="1" applyFill="1" applyBorder="1" applyAlignment="1">
      <alignment horizontal="right" vertical="center"/>
    </xf>
    <xf numFmtId="199" fontId="111" fillId="0" borderId="18" xfId="0" applyNumberFormat="1" applyFont="1" applyFill="1" applyBorder="1" applyAlignment="1">
      <alignment horizontal="right" vertical="center"/>
    </xf>
    <xf numFmtId="9" fontId="6" fillId="0" borderId="0" xfId="46" applyNumberFormat="1" applyFont="1" applyAlignment="1">
      <alignment horizontal="right" vertical="center"/>
    </xf>
    <xf numFmtId="182" fontId="110" fillId="17" borderId="15" xfId="0" applyNumberFormat="1" applyFont="1" applyFill="1" applyBorder="1" applyAlignment="1">
      <alignment vertical="center"/>
    </xf>
    <xf numFmtId="9" fontId="2" fillId="17" borderId="0" xfId="0" applyNumberFormat="1" applyFont="1" applyFill="1"/>
    <xf numFmtId="182" fontId="99" fillId="17" borderId="15" xfId="0" applyNumberFormat="1" applyFont="1" applyFill="1" applyBorder="1" applyAlignment="1">
      <alignment vertical="center"/>
    </xf>
    <xf numFmtId="203" fontId="2" fillId="0" borderId="0" xfId="46" applyNumberFormat="1" applyFont="1" applyFill="1" applyBorder="1"/>
    <xf numFmtId="170" fontId="99" fillId="17" borderId="17" xfId="0" applyNumberFormat="1" applyFont="1" applyFill="1" applyBorder="1" applyAlignment="1">
      <alignment horizontal="right" vertical="center"/>
    </xf>
    <xf numFmtId="199" fontId="23" fillId="0" borderId="0" xfId="46" applyNumberFormat="1" applyFont="1" applyFill="1" applyBorder="1"/>
    <xf numFmtId="199" fontId="23" fillId="0" borderId="3" xfId="46" applyNumberFormat="1" applyFont="1" applyFill="1" applyBorder="1"/>
    <xf numFmtId="170" fontId="2" fillId="0" borderId="0" xfId="0" applyNumberFormat="1" applyFont="1" applyFill="1" applyBorder="1" applyAlignment="1">
      <alignment vertical="center"/>
    </xf>
    <xf numFmtId="198" fontId="99" fillId="17" borderId="0" xfId="0" applyNumberFormat="1" applyFont="1" applyFill="1" applyBorder="1" applyAlignment="1">
      <alignment vertical="center"/>
    </xf>
    <xf numFmtId="181" fontId="99" fillId="0" borderId="18" xfId="0" applyNumberFormat="1" applyFont="1" applyFill="1" applyBorder="1" applyAlignment="1">
      <alignment vertical="center"/>
    </xf>
    <xf numFmtId="221" fontId="99" fillId="0" borderId="18" xfId="0" applyNumberFormat="1" applyFont="1" applyFill="1" applyBorder="1" applyAlignment="1">
      <alignment vertical="center"/>
    </xf>
    <xf numFmtId="187" fontId="26" fillId="32" borderId="3" xfId="46" applyNumberFormat="1" applyFont="1" applyFill="1" applyBorder="1" applyAlignment="1">
      <alignment horizontal="right" vertical="center"/>
    </xf>
    <xf numFmtId="170" fontId="96" fillId="18" borderId="3" xfId="0" applyNumberFormat="1" applyFont="1" applyFill="1" applyBorder="1" applyAlignment="1">
      <alignment horizontal="right" vertical="center"/>
    </xf>
    <xf numFmtId="187" fontId="88" fillId="25" borderId="3" xfId="46" applyNumberFormat="1" applyFont="1" applyFill="1" applyBorder="1" applyAlignment="1">
      <alignment horizontal="right" vertical="center"/>
    </xf>
    <xf numFmtId="3" fontId="3" fillId="0" borderId="0" xfId="0" applyNumberFormat="1" applyFont="1" applyFill="1" applyBorder="1" applyAlignment="1">
      <alignment horizontal="right" vertical="center"/>
    </xf>
    <xf numFmtId="9" fontId="3" fillId="17" borderId="0" xfId="0" applyNumberFormat="1" applyFont="1" applyFill="1" applyBorder="1" applyAlignment="1">
      <alignment horizontal="right"/>
    </xf>
    <xf numFmtId="202" fontId="8" fillId="0" borderId="18" xfId="46" applyNumberFormat="1" applyFont="1" applyFill="1" applyBorder="1"/>
    <xf numFmtId="9" fontId="2" fillId="17" borderId="0" xfId="0" applyNumberFormat="1" applyFont="1" applyFill="1" applyBorder="1" applyAlignment="1">
      <alignment vertical="center"/>
    </xf>
    <xf numFmtId="9" fontId="2" fillId="17" borderId="18" xfId="0" applyNumberFormat="1" applyFont="1" applyFill="1" applyBorder="1" applyAlignment="1">
      <alignment vertical="center"/>
    </xf>
    <xf numFmtId="9" fontId="2" fillId="17" borderId="3" xfId="0" applyNumberFormat="1" applyFont="1" applyFill="1" applyBorder="1" applyAlignment="1">
      <alignment vertical="center"/>
    </xf>
    <xf numFmtId="179" fontId="116" fillId="17" borderId="0" xfId="0" applyNumberFormat="1" applyFont="1" applyFill="1" applyBorder="1" applyAlignment="1">
      <alignment vertical="center"/>
    </xf>
    <xf numFmtId="179" fontId="116" fillId="17" borderId="3" xfId="0" applyNumberFormat="1" applyFont="1" applyFill="1" applyBorder="1" applyAlignment="1">
      <alignment vertical="center"/>
    </xf>
    <xf numFmtId="9" fontId="3" fillId="17" borderId="0" xfId="74" applyFont="1" applyFill="1" applyBorder="1" applyAlignment="1">
      <alignment vertical="center"/>
    </xf>
    <xf numFmtId="0" fontId="104" fillId="0" borderId="18" xfId="0" applyFont="1" applyBorder="1" applyAlignment="1">
      <alignment horizontal="left" vertical="center" indent="1"/>
    </xf>
    <xf numFmtId="9" fontId="96" fillId="17" borderId="0" xfId="74" applyFont="1" applyFill="1" applyBorder="1" applyAlignment="1">
      <alignment vertical="center"/>
    </xf>
    <xf numFmtId="9" fontId="96" fillId="17" borderId="18" xfId="74" applyFont="1" applyFill="1" applyBorder="1" applyAlignment="1">
      <alignment vertical="center"/>
    </xf>
    <xf numFmtId="39" fontId="3" fillId="17" borderId="0" xfId="0" applyNumberFormat="1" applyFont="1" applyFill="1" applyBorder="1" applyAlignment="1">
      <alignment vertical="center"/>
    </xf>
    <xf numFmtId="39" fontId="96" fillId="22" borderId="0" xfId="0" applyNumberFormat="1" applyFont="1" applyFill="1" applyBorder="1" applyAlignment="1">
      <alignment vertical="center"/>
    </xf>
    <xf numFmtId="179" fontId="2" fillId="0" borderId="3" xfId="0" applyNumberFormat="1" applyFont="1" applyBorder="1"/>
    <xf numFmtId="2" fontId="2" fillId="17" borderId="0" xfId="74" applyNumberFormat="1" applyFont="1" applyFill="1" applyBorder="1" applyAlignment="1">
      <alignment vertical="center"/>
    </xf>
    <xf numFmtId="2" fontId="2" fillId="17" borderId="3" xfId="74" applyNumberFormat="1" applyFont="1" applyFill="1" applyBorder="1" applyAlignment="1">
      <alignment vertical="center"/>
    </xf>
    <xf numFmtId="199" fontId="3" fillId="17" borderId="0" xfId="0" applyNumberFormat="1" applyFont="1" applyFill="1" applyBorder="1" applyAlignment="1">
      <alignment vertical="center"/>
    </xf>
    <xf numFmtId="39" fontId="2" fillId="17" borderId="0" xfId="0" applyNumberFormat="1" applyFont="1" applyFill="1" applyBorder="1" applyAlignment="1">
      <alignment vertical="center"/>
    </xf>
    <xf numFmtId="39" fontId="96" fillId="22" borderId="3" xfId="0" applyNumberFormat="1" applyFont="1" applyFill="1" applyBorder="1" applyAlignment="1">
      <alignment vertical="center"/>
    </xf>
    <xf numFmtId="39" fontId="2" fillId="17" borderId="3" xfId="0" applyNumberFormat="1" applyFont="1" applyFill="1" applyBorder="1" applyAlignment="1">
      <alignment vertical="center"/>
    </xf>
    <xf numFmtId="9" fontId="96" fillId="22" borderId="0" xfId="74" applyFont="1" applyFill="1" applyBorder="1" applyAlignment="1">
      <alignment vertical="center"/>
    </xf>
    <xf numFmtId="9" fontId="96" fillId="22" borderId="3" xfId="74" applyFont="1" applyFill="1" applyBorder="1" applyAlignment="1">
      <alignment vertical="center"/>
    </xf>
    <xf numFmtId="181" fontId="96" fillId="22" borderId="0" xfId="74" applyNumberFormat="1" applyFont="1" applyFill="1" applyBorder="1" applyAlignment="1">
      <alignment vertical="center"/>
    </xf>
    <xf numFmtId="181" fontId="96" fillId="22" borderId="3" xfId="74" applyNumberFormat="1" applyFont="1" applyFill="1" applyBorder="1" applyAlignment="1">
      <alignment vertical="center"/>
    </xf>
    <xf numFmtId="179" fontId="96" fillId="22" borderId="0" xfId="0" applyNumberFormat="1" applyFont="1" applyFill="1"/>
    <xf numFmtId="179" fontId="96" fillId="22" borderId="3" xfId="0" applyNumberFormat="1" applyFont="1" applyFill="1" applyBorder="1"/>
    <xf numFmtId="9" fontId="3" fillId="17" borderId="0" xfId="74" applyFont="1" applyFill="1" applyBorder="1" applyAlignment="1">
      <alignment horizontal="right" vertical="center"/>
    </xf>
    <xf numFmtId="199" fontId="3" fillId="25" borderId="3" xfId="0" applyNumberFormat="1" applyFont="1" applyFill="1" applyBorder="1" applyAlignment="1">
      <alignment horizontal="right" vertical="center"/>
    </xf>
    <xf numFmtId="9" fontId="2" fillId="17" borderId="18" xfId="46" applyNumberFormat="1" applyFont="1" applyFill="1" applyBorder="1" applyAlignment="1">
      <alignment horizontal="right" vertical="center"/>
    </xf>
    <xf numFmtId="9" fontId="2" fillId="17" borderId="0" xfId="46" applyNumberFormat="1" applyFont="1" applyFill="1" applyBorder="1" applyAlignment="1">
      <alignment horizontal="right" vertical="center"/>
    </xf>
    <xf numFmtId="9" fontId="2" fillId="17" borderId="3" xfId="46" applyNumberFormat="1" applyFont="1" applyFill="1" applyBorder="1" applyAlignment="1">
      <alignment horizontal="right" vertical="center"/>
    </xf>
    <xf numFmtId="205" fontId="3" fillId="0" borderId="0" xfId="49" applyNumberFormat="1" applyFont="1" applyFill="1" applyBorder="1"/>
    <xf numFmtId="205" fontId="3" fillId="0" borderId="3" xfId="49" applyNumberFormat="1" applyFont="1" applyFill="1" applyBorder="1"/>
    <xf numFmtId="220" fontId="96" fillId="22" borderId="0" xfId="0" applyNumberFormat="1" applyFont="1" applyFill="1" applyBorder="1"/>
    <xf numFmtId="0" fontId="3" fillId="0" borderId="18" xfId="0" applyFont="1" applyFill="1" applyBorder="1" applyAlignment="1">
      <alignment horizontal="left" indent="2"/>
    </xf>
    <xf numFmtId="179" fontId="38" fillId="0" borderId="3" xfId="0" applyNumberFormat="1" applyFont="1" applyFill="1" applyBorder="1" applyAlignment="1">
      <alignment vertical="center"/>
    </xf>
    <xf numFmtId="220" fontId="2" fillId="0" borderId="0" xfId="0" applyNumberFormat="1" applyFont="1"/>
    <xf numFmtId="220" fontId="2" fillId="0" borderId="3" xfId="0" applyNumberFormat="1" applyFont="1" applyBorder="1"/>
    <xf numFmtId="10" fontId="2" fillId="0" borderId="18" xfId="46" applyNumberFormat="1" applyFont="1" applyFill="1" applyBorder="1"/>
    <xf numFmtId="181" fontId="2" fillId="0" borderId="0" xfId="46" applyNumberFormat="1" applyFont="1" applyFill="1" applyBorder="1"/>
    <xf numFmtId="187" fontId="6" fillId="0" borderId="0" xfId="0" applyNumberFormat="1" applyFont="1" applyAlignment="1">
      <alignment horizontal="right" vertical="center"/>
    </xf>
    <xf numFmtId="203" fontId="50" fillId="17" borderId="0" xfId="46" applyNumberFormat="1" applyFont="1" applyFill="1" applyAlignment="1">
      <alignment vertical="center"/>
    </xf>
    <xf numFmtId="203" fontId="8" fillId="0" borderId="0" xfId="46" applyNumberFormat="1" applyFont="1" applyAlignment="1">
      <alignment horizontal="right" vertical="center"/>
    </xf>
    <xf numFmtId="203" fontId="10" fillId="0" borderId="0" xfId="46" applyNumberFormat="1" applyFont="1" applyFill="1" applyAlignment="1">
      <alignment horizontal="center"/>
    </xf>
    <xf numFmtId="180" fontId="117" fillId="0" borderId="3" xfId="0" applyNumberFormat="1" applyFont="1" applyFill="1" applyBorder="1" applyAlignment="1">
      <alignment horizontal="right" vertical="center"/>
    </xf>
    <xf numFmtId="180" fontId="117" fillId="0" borderId="0" xfId="0" applyNumberFormat="1" applyFont="1" applyFill="1" applyBorder="1" applyAlignment="1">
      <alignment horizontal="right" vertical="center"/>
    </xf>
    <xf numFmtId="3" fontId="117" fillId="0" borderId="0" xfId="74" applyNumberFormat="1" applyFont="1" applyFill="1" applyBorder="1"/>
    <xf numFmtId="3" fontId="117" fillId="0" borderId="18" xfId="74" applyNumberFormat="1" applyFont="1" applyFill="1" applyBorder="1"/>
    <xf numFmtId="179" fontId="117" fillId="17" borderId="0" xfId="0" applyNumberFormat="1" applyFont="1" applyFill="1" applyBorder="1" applyAlignment="1">
      <alignment vertical="center"/>
    </xf>
    <xf numFmtId="9" fontId="117" fillId="0" borderId="3" xfId="0" applyNumberFormat="1" applyFont="1" applyFill="1" applyBorder="1" applyAlignment="1">
      <alignment horizontal="right" vertical="center"/>
    </xf>
    <xf numFmtId="9" fontId="117" fillId="0" borderId="0" xfId="0" applyNumberFormat="1" applyFont="1" applyFill="1" applyBorder="1" applyAlignment="1">
      <alignment horizontal="right" vertical="center"/>
    </xf>
    <xf numFmtId="179" fontId="117" fillId="25" borderId="3" xfId="0" applyNumberFormat="1" applyFont="1" applyFill="1" applyBorder="1" applyAlignment="1">
      <alignment vertical="center"/>
    </xf>
    <xf numFmtId="179" fontId="117" fillId="25" borderId="0" xfId="0" applyNumberFormat="1" applyFont="1" applyFill="1" applyBorder="1" applyAlignment="1">
      <alignment vertical="center"/>
    </xf>
    <xf numFmtId="179" fontId="117" fillId="17" borderId="3" xfId="46" applyNumberFormat="1" applyFont="1" applyFill="1" applyBorder="1"/>
    <xf numFmtId="179" fontId="117" fillId="17" borderId="0" xfId="46" applyNumberFormat="1" applyFont="1" applyFill="1" applyBorder="1"/>
    <xf numFmtId="187" fontId="117" fillId="0" borderId="3" xfId="46" applyNumberFormat="1" applyFont="1" applyFill="1" applyBorder="1"/>
    <xf numFmtId="187" fontId="117" fillId="0" borderId="0" xfId="46" applyNumberFormat="1" applyFont="1" applyFill="1" applyBorder="1"/>
    <xf numFmtId="199" fontId="117" fillId="0" borderId="3" xfId="46" applyNumberFormat="1" applyFont="1" applyFill="1" applyBorder="1" applyAlignment="1">
      <alignment vertical="center"/>
    </xf>
    <xf numFmtId="199" fontId="117" fillId="0" borderId="0" xfId="46" applyNumberFormat="1" applyFont="1" applyFill="1" applyBorder="1" applyAlignment="1">
      <alignment vertical="center"/>
    </xf>
    <xf numFmtId="179" fontId="117" fillId="0" borderId="3" xfId="0" applyNumberFormat="1" applyFont="1" applyFill="1" applyBorder="1" applyAlignment="1">
      <alignment vertical="center"/>
    </xf>
    <xf numFmtId="179" fontId="117" fillId="0" borderId="0" xfId="0" applyNumberFormat="1" applyFont="1" applyFill="1" applyBorder="1" applyAlignment="1">
      <alignment vertical="center"/>
    </xf>
    <xf numFmtId="181" fontId="118" fillId="0" borderId="3" xfId="0" applyNumberFormat="1" applyFont="1" applyFill="1" applyBorder="1" applyAlignment="1">
      <alignment horizontal="right" vertical="center"/>
    </xf>
    <xf numFmtId="181" fontId="118" fillId="0" borderId="0" xfId="0" applyNumberFormat="1" applyFont="1" applyFill="1" applyBorder="1" applyAlignment="1">
      <alignment horizontal="right" vertical="center"/>
    </xf>
    <xf numFmtId="181" fontId="119" fillId="0" borderId="3" xfId="0" applyNumberFormat="1" applyFont="1" applyFill="1" applyBorder="1" applyAlignment="1">
      <alignment horizontal="right" vertical="center"/>
    </xf>
    <xf numFmtId="181" fontId="119" fillId="0" borderId="0" xfId="0" applyNumberFormat="1" applyFont="1" applyFill="1" applyBorder="1" applyAlignment="1">
      <alignment horizontal="right" vertical="center"/>
    </xf>
    <xf numFmtId="179" fontId="33" fillId="0" borderId="31" xfId="0" applyNumberFormat="1" applyFont="1" applyFill="1" applyBorder="1" applyAlignment="1">
      <alignment vertical="center"/>
    </xf>
    <xf numFmtId="0" fontId="0" fillId="0" borderId="31" xfId="0" applyBorder="1" applyAlignment="1">
      <alignment horizontal="center"/>
    </xf>
    <xf numFmtId="0" fontId="0" fillId="0" borderId="0" xfId="0" applyBorder="1" applyAlignment="1">
      <alignment horizontal="center"/>
    </xf>
    <xf numFmtId="0" fontId="0" fillId="0" borderId="0" xfId="0" applyAlignment="1">
      <alignment horizontal="center"/>
    </xf>
    <xf numFmtId="0" fontId="0" fillId="0" borderId="18" xfId="0" applyBorder="1" applyAlignment="1">
      <alignment horizontal="center"/>
    </xf>
    <xf numFmtId="187" fontId="2" fillId="0" borderId="3" xfId="0" applyNumberFormat="1" applyFont="1" applyFill="1" applyBorder="1"/>
    <xf numFmtId="205" fontId="3" fillId="0" borderId="3" xfId="0" applyNumberFormat="1" applyFont="1" applyFill="1" applyBorder="1" applyAlignment="1">
      <alignment horizontal="right" vertical="center"/>
    </xf>
    <xf numFmtId="181" fontId="2" fillId="0" borderId="3" xfId="0" applyNumberFormat="1" applyFont="1" applyFill="1" applyBorder="1" applyAlignment="1">
      <alignment vertical="center"/>
    </xf>
    <xf numFmtId="9" fontId="96" fillId="0" borderId="0" xfId="74" applyFont="1" applyFill="1" applyBorder="1"/>
    <xf numFmtId="9" fontId="2" fillId="0" borderId="0" xfId="0" applyNumberFormat="1" applyFont="1" applyFill="1" applyBorder="1" applyAlignment="1">
      <alignment horizontal="right"/>
    </xf>
    <xf numFmtId="3" fontId="96" fillId="22" borderId="3" xfId="0" applyNumberFormat="1" applyFont="1" applyFill="1" applyBorder="1" applyAlignment="1">
      <alignment vertical="center"/>
    </xf>
    <xf numFmtId="220" fontId="3" fillId="0" borderId="3" xfId="0" applyNumberFormat="1" applyFont="1" applyBorder="1"/>
    <xf numFmtId="220" fontId="96" fillId="22" borderId="3" xfId="0" applyNumberFormat="1" applyFont="1" applyFill="1" applyBorder="1"/>
    <xf numFmtId="221" fontId="2" fillId="25" borderId="3" xfId="0" applyNumberFormat="1" applyFont="1" applyFill="1" applyBorder="1" applyAlignment="1">
      <alignment horizontal="right" vertical="center"/>
    </xf>
    <xf numFmtId="220" fontId="2" fillId="0" borderId="3" xfId="0" applyNumberFormat="1" applyFont="1" applyFill="1" applyBorder="1"/>
    <xf numFmtId="198" fontId="96" fillId="22" borderId="3" xfId="46" applyNumberFormat="1" applyFont="1" applyFill="1" applyBorder="1" applyAlignment="1">
      <alignment horizontal="right" vertical="center"/>
    </xf>
    <xf numFmtId="198" fontId="96" fillId="22" borderId="0" xfId="46" applyNumberFormat="1" applyFont="1" applyFill="1" applyBorder="1" applyAlignment="1">
      <alignment horizontal="right" vertical="center"/>
    </xf>
    <xf numFmtId="9" fontId="99" fillId="17" borderId="3" xfId="74" applyNumberFormat="1" applyFont="1" applyFill="1" applyBorder="1"/>
    <xf numFmtId="180" fontId="96" fillId="28" borderId="31" xfId="0" applyNumberFormat="1" applyFont="1" applyFill="1" applyBorder="1" applyAlignment="1">
      <alignment horizontal="right" vertical="center"/>
    </xf>
    <xf numFmtId="0" fontId="82" fillId="0" borderId="3" xfId="0" applyFont="1" applyFill="1" applyBorder="1"/>
    <xf numFmtId="0" fontId="88" fillId="0" borderId="3" xfId="0" applyFont="1" applyFill="1" applyBorder="1"/>
    <xf numFmtId="9" fontId="2" fillId="0" borderId="3" xfId="74" applyFont="1" applyFill="1" applyBorder="1"/>
    <xf numFmtId="9" fontId="3" fillId="0" borderId="0" xfId="74" applyFont="1" applyBorder="1"/>
    <xf numFmtId="9" fontId="96" fillId="0" borderId="0" xfId="74" applyFont="1" applyBorder="1"/>
    <xf numFmtId="187" fontId="3" fillId="0" borderId="3" xfId="0" applyNumberFormat="1" applyFont="1" applyFill="1" applyBorder="1"/>
    <xf numFmtId="9" fontId="96" fillId="0" borderId="3" xfId="74" applyFont="1" applyFill="1" applyBorder="1"/>
    <xf numFmtId="187" fontId="3" fillId="0" borderId="3" xfId="0" applyNumberFormat="1" applyFont="1" applyBorder="1"/>
    <xf numFmtId="9" fontId="3" fillId="0" borderId="3" xfId="74" applyFont="1" applyBorder="1"/>
    <xf numFmtId="179" fontId="10" fillId="0" borderId="0" xfId="0" applyNumberFormat="1" applyFont="1" applyFill="1" applyAlignment="1">
      <alignment horizontal="center"/>
    </xf>
    <xf numFmtId="228" fontId="98" fillId="0" borderId="0" xfId="74" applyNumberFormat="1" applyFont="1" applyFill="1" applyAlignment="1">
      <alignment horizontal="center"/>
    </xf>
    <xf numFmtId="181" fontId="98" fillId="0" borderId="0" xfId="74" applyNumberFormat="1" applyFont="1" applyFill="1" applyAlignment="1">
      <alignment horizontal="center"/>
    </xf>
    <xf numFmtId="0" fontId="6" fillId="0" borderId="0" xfId="0" applyFont="1" applyFill="1" applyBorder="1" applyAlignment="1">
      <alignment horizontal="left" indent="1"/>
    </xf>
    <xf numFmtId="204" fontId="6" fillId="0" borderId="0" xfId="0" applyNumberFormat="1" applyFont="1" applyFill="1" applyBorder="1"/>
    <xf numFmtId="180" fontId="6" fillId="0" borderId="0" xfId="0" applyNumberFormat="1" applyFont="1" applyFill="1" applyBorder="1" applyAlignment="1">
      <alignment horizontal="center"/>
    </xf>
    <xf numFmtId="181" fontId="2" fillId="0" borderId="0" xfId="0" applyNumberFormat="1" applyFont="1" applyAlignment="1">
      <alignment horizontal="center"/>
    </xf>
    <xf numFmtId="204" fontId="6" fillId="0" borderId="0" xfId="0" applyNumberFormat="1" applyFont="1" applyFill="1" applyBorder="1" applyAlignment="1">
      <alignment horizontal="center"/>
    </xf>
    <xf numFmtId="9" fontId="98" fillId="0" borderId="0" xfId="67" applyNumberFormat="1" applyFont="1" applyFill="1"/>
    <xf numFmtId="181" fontId="101" fillId="0" borderId="69" xfId="76" applyNumberFormat="1" applyFont="1" applyFill="1" applyBorder="1" applyAlignment="1">
      <alignment horizontal="center"/>
    </xf>
    <xf numFmtId="181" fontId="101" fillId="0" borderId="0" xfId="76" applyNumberFormat="1" applyFont="1" applyFill="1" applyBorder="1" applyAlignment="1">
      <alignment horizontal="center"/>
    </xf>
    <xf numFmtId="228" fontId="101" fillId="0" borderId="0" xfId="76" applyNumberFormat="1" applyFont="1" applyFill="1" applyBorder="1" applyAlignment="1">
      <alignment horizontal="center"/>
    </xf>
    <xf numFmtId="9" fontId="101" fillId="0" borderId="70" xfId="74" applyFont="1" applyFill="1" applyBorder="1" applyAlignment="1">
      <alignment horizontal="center"/>
    </xf>
    <xf numFmtId="0" fontId="91" fillId="19" borderId="0" xfId="0" applyFont="1" applyFill="1" applyBorder="1" applyAlignment="1">
      <alignment vertical="center"/>
    </xf>
    <xf numFmtId="181" fontId="101" fillId="0" borderId="71" xfId="76" applyNumberFormat="1" applyFont="1" applyFill="1" applyBorder="1" applyAlignment="1">
      <alignment horizontal="left"/>
    </xf>
    <xf numFmtId="181" fontId="101" fillId="0" borderId="69" xfId="67" applyNumberFormat="1" applyFont="1" applyFill="1" applyBorder="1"/>
    <xf numFmtId="181" fontId="101" fillId="0" borderId="68" xfId="76" applyNumberFormat="1" applyFont="1" applyFill="1" applyBorder="1" applyAlignment="1">
      <alignment horizontal="left"/>
    </xf>
    <xf numFmtId="181" fontId="101" fillId="0" borderId="0" xfId="67" applyNumberFormat="1" applyFont="1" applyFill="1" applyBorder="1"/>
    <xf numFmtId="181" fontId="101" fillId="0" borderId="68" xfId="76" applyNumberFormat="1" applyFont="1" applyFill="1" applyBorder="1" applyAlignment="1">
      <alignment horizontal="left" indent="1"/>
    </xf>
    <xf numFmtId="228" fontId="101" fillId="0" borderId="0" xfId="67" applyNumberFormat="1" applyFont="1" applyFill="1" applyBorder="1"/>
    <xf numFmtId="228" fontId="101" fillId="0" borderId="72" xfId="76" applyNumberFormat="1" applyFont="1" applyFill="1" applyBorder="1" applyAlignment="1">
      <alignment horizontal="left"/>
    </xf>
    <xf numFmtId="9" fontId="101" fillId="0" borderId="70" xfId="74" applyFont="1" applyFill="1" applyBorder="1"/>
    <xf numFmtId="204" fontId="101" fillId="0" borderId="0" xfId="67" applyNumberFormat="1" applyFont="1" applyFill="1" applyBorder="1" applyAlignment="1">
      <alignment horizontal="center"/>
    </xf>
    <xf numFmtId="0" fontId="3" fillId="17" borderId="13" xfId="0" applyFont="1" applyFill="1" applyBorder="1" applyAlignment="1">
      <alignment horizontal="center"/>
    </xf>
    <xf numFmtId="0" fontId="3" fillId="17" borderId="26" xfId="0" applyFont="1" applyFill="1" applyBorder="1" applyAlignment="1">
      <alignment horizontal="center"/>
    </xf>
    <xf numFmtId="0" fontId="3" fillId="17" borderId="18" xfId="0" applyFont="1" applyFill="1" applyBorder="1" applyAlignment="1">
      <alignment horizontal="center"/>
    </xf>
    <xf numFmtId="168" fontId="23" fillId="17" borderId="0" xfId="0" applyNumberFormat="1" applyFont="1" applyFill="1" applyAlignment="1">
      <alignment horizontal="center" vertical="center"/>
    </xf>
    <xf numFmtId="168" fontId="23" fillId="17" borderId="0" xfId="0" applyNumberFormat="1" applyFont="1" applyFill="1" applyBorder="1" applyAlignment="1">
      <alignment horizontal="center" vertical="center"/>
    </xf>
    <xf numFmtId="168" fontId="23" fillId="17" borderId="31" xfId="0" applyNumberFormat="1" applyFont="1" applyFill="1" applyBorder="1" applyAlignment="1">
      <alignment horizontal="center" vertical="center"/>
    </xf>
    <xf numFmtId="168" fontId="23" fillId="17" borderId="18" xfId="0" applyNumberFormat="1" applyFont="1" applyFill="1" applyBorder="1" applyAlignment="1">
      <alignment horizontal="center" vertical="center"/>
    </xf>
    <xf numFmtId="183" fontId="3" fillId="17" borderId="0" xfId="0" applyNumberFormat="1" applyFont="1" applyFill="1" applyAlignment="1">
      <alignment horizontal="center"/>
    </xf>
    <xf numFmtId="183" fontId="3" fillId="17" borderId="0" xfId="0" applyNumberFormat="1" applyFont="1" applyFill="1" applyBorder="1" applyAlignment="1">
      <alignment horizontal="center"/>
    </xf>
    <xf numFmtId="183" fontId="3" fillId="17" borderId="31" xfId="0" applyNumberFormat="1" applyFont="1" applyFill="1" applyBorder="1" applyAlignment="1">
      <alignment horizontal="center"/>
    </xf>
    <xf numFmtId="183" fontId="3" fillId="17" borderId="18" xfId="0" applyNumberFormat="1" applyFont="1" applyFill="1" applyBorder="1" applyAlignment="1">
      <alignment horizontal="center"/>
    </xf>
    <xf numFmtId="9" fontId="6" fillId="17" borderId="0" xfId="0" applyNumberFormat="1" applyFont="1" applyFill="1" applyBorder="1" applyAlignment="1">
      <alignment horizontal="center" vertical="center"/>
    </xf>
    <xf numFmtId="9" fontId="6" fillId="17" borderId="31" xfId="0" applyNumberFormat="1" applyFont="1" applyFill="1" applyBorder="1" applyAlignment="1">
      <alignment horizontal="center" vertical="center"/>
    </xf>
    <xf numFmtId="9" fontId="6" fillId="17" borderId="18" xfId="0" applyNumberFormat="1" applyFont="1" applyFill="1" applyBorder="1" applyAlignment="1">
      <alignment horizontal="center" vertical="center"/>
    </xf>
    <xf numFmtId="0" fontId="3" fillId="17" borderId="0" xfId="0" applyFont="1" applyFill="1" applyBorder="1" applyAlignment="1">
      <alignment horizontal="center"/>
    </xf>
    <xf numFmtId="0" fontId="3" fillId="17" borderId="31" xfId="0" applyFont="1" applyFill="1" applyBorder="1" applyAlignment="1">
      <alignment horizontal="center"/>
    </xf>
    <xf numFmtId="172" fontId="10" fillId="17" borderId="0" xfId="0" applyNumberFormat="1" applyFont="1" applyFill="1" applyBorder="1" applyAlignment="1">
      <alignment horizontal="center" vertical="center"/>
    </xf>
    <xf numFmtId="172" fontId="10" fillId="17" borderId="31" xfId="0" applyNumberFormat="1" applyFont="1" applyFill="1" applyBorder="1" applyAlignment="1">
      <alignment horizontal="center" vertical="center"/>
    </xf>
    <xf numFmtId="172" fontId="10" fillId="17" borderId="18" xfId="0" applyNumberFormat="1" applyFont="1" applyFill="1" applyBorder="1" applyAlignment="1">
      <alignment horizontal="center" vertical="center"/>
    </xf>
    <xf numFmtId="0" fontId="10" fillId="17" borderId="0" xfId="0" applyFont="1" applyFill="1" applyBorder="1" applyAlignment="1">
      <alignment horizontal="center"/>
    </xf>
    <xf numFmtId="0" fontId="10" fillId="17" borderId="31" xfId="0" applyFont="1" applyFill="1" applyBorder="1" applyAlignment="1">
      <alignment horizontal="center"/>
    </xf>
    <xf numFmtId="0" fontId="10" fillId="17" borderId="18" xfId="0" applyFont="1" applyFill="1" applyBorder="1" applyAlignment="1">
      <alignment horizontal="center"/>
    </xf>
    <xf numFmtId="183" fontId="10" fillId="17" borderId="0" xfId="0" applyNumberFormat="1" applyFont="1" applyFill="1" applyAlignment="1">
      <alignment horizontal="center"/>
    </xf>
    <xf numFmtId="183" fontId="10" fillId="17" borderId="0" xfId="0" applyNumberFormat="1" applyFont="1" applyFill="1" applyBorder="1" applyAlignment="1">
      <alignment horizontal="center"/>
    </xf>
    <xf numFmtId="183" fontId="10" fillId="17" borderId="31" xfId="0" applyNumberFormat="1" applyFont="1" applyFill="1" applyBorder="1" applyAlignment="1">
      <alignment horizontal="center"/>
    </xf>
    <xf numFmtId="183" fontId="10" fillId="17" borderId="18" xfId="0" applyNumberFormat="1" applyFont="1" applyFill="1" applyBorder="1" applyAlignment="1">
      <alignment horizontal="center"/>
    </xf>
    <xf numFmtId="9" fontId="8" fillId="17" borderId="0" xfId="0" applyNumberFormat="1" applyFont="1" applyFill="1" applyBorder="1" applyAlignment="1">
      <alignment horizontal="center" vertical="center"/>
    </xf>
    <xf numFmtId="9" fontId="8" fillId="17" borderId="23" xfId="0" applyNumberFormat="1" applyFont="1" applyFill="1" applyBorder="1" applyAlignment="1">
      <alignment horizontal="center" vertical="center"/>
    </xf>
    <xf numFmtId="9" fontId="8" fillId="17" borderId="18" xfId="0" applyNumberFormat="1" applyFont="1" applyFill="1" applyBorder="1" applyAlignment="1">
      <alignment horizontal="center" vertical="center"/>
    </xf>
    <xf numFmtId="198" fontId="97" fillId="0" borderId="3" xfId="0" applyNumberFormat="1" applyFont="1" applyFill="1" applyBorder="1"/>
    <xf numFmtId="182" fontId="97" fillId="0" borderId="3" xfId="0" applyNumberFormat="1" applyFont="1" applyFill="1" applyBorder="1" applyAlignment="1">
      <alignment horizontal="right" vertical="center"/>
    </xf>
    <xf numFmtId="199" fontId="8" fillId="0" borderId="3" xfId="0" applyNumberFormat="1" applyFont="1" applyFill="1" applyBorder="1" applyAlignment="1">
      <alignment vertical="center"/>
    </xf>
    <xf numFmtId="199" fontId="98" fillId="0" borderId="3" xfId="0" applyNumberFormat="1" applyFont="1" applyFill="1" applyBorder="1" applyAlignment="1">
      <alignment vertical="center"/>
    </xf>
    <xf numFmtId="214" fontId="96" fillId="22" borderId="18" xfId="46" applyNumberFormat="1" applyFont="1" applyFill="1" applyBorder="1"/>
    <xf numFmtId="179" fontId="96" fillId="22" borderId="18" xfId="0" applyNumberFormat="1" applyFont="1" applyFill="1" applyBorder="1" applyAlignment="1">
      <alignment horizontal="right" vertical="center"/>
    </xf>
    <xf numFmtId="181" fontId="21" fillId="0" borderId="0" xfId="74" applyNumberFormat="1" applyFont="1" applyFill="1" applyBorder="1" applyAlignment="1">
      <alignment vertical="center"/>
    </xf>
    <xf numFmtId="181" fontId="2" fillId="17" borderId="3" xfId="74" applyNumberFormat="1" applyFont="1" applyFill="1" applyBorder="1" applyAlignment="1">
      <alignment horizontal="right" vertical="center"/>
    </xf>
    <xf numFmtId="9" fontId="26" fillId="0" borderId="0" xfId="74" applyFont="1" applyFill="1" applyBorder="1" applyAlignment="1">
      <alignment horizontal="right" vertical="center"/>
    </xf>
    <xf numFmtId="199" fontId="26" fillId="17" borderId="3" xfId="46" applyNumberFormat="1" applyFont="1" applyFill="1" applyBorder="1" applyAlignment="1">
      <alignment horizontal="right" vertical="center"/>
    </xf>
    <xf numFmtId="181" fontId="3" fillId="17" borderId="0" xfId="0" applyNumberFormat="1" applyFont="1" applyFill="1" applyBorder="1" applyAlignment="1">
      <alignment vertical="center"/>
    </xf>
    <xf numFmtId="179" fontId="39" fillId="0" borderId="3" xfId="0" applyNumberFormat="1" applyFont="1" applyFill="1" applyBorder="1" applyAlignment="1"/>
    <xf numFmtId="181" fontId="2" fillId="0" borderId="3" xfId="0" applyNumberFormat="1" applyFont="1" applyFill="1" applyBorder="1" applyAlignment="1">
      <alignment horizontal="right"/>
    </xf>
    <xf numFmtId="168" fontId="2" fillId="0" borderId="3" xfId="0" applyNumberFormat="1" applyFont="1" applyFill="1" applyBorder="1"/>
    <xf numFmtId="0" fontId="2" fillId="0" borderId="3" xfId="0" applyFont="1" applyFill="1" applyBorder="1" applyAlignment="1">
      <alignment horizontal="right"/>
    </xf>
    <xf numFmtId="181" fontId="3" fillId="0" borderId="3" xfId="0" applyNumberFormat="1" applyFont="1" applyFill="1" applyBorder="1" applyAlignment="1">
      <alignment horizontal="right"/>
    </xf>
    <xf numFmtId="179" fontId="39" fillId="0" borderId="3" xfId="0" applyNumberFormat="1" applyFont="1" applyFill="1" applyBorder="1" applyAlignment="1">
      <alignment horizontal="right"/>
    </xf>
    <xf numFmtId="181" fontId="39" fillId="0" borderId="3" xfId="0" applyNumberFormat="1" applyFont="1" applyFill="1" applyBorder="1" applyAlignment="1">
      <alignment horizontal="right"/>
    </xf>
    <xf numFmtId="199" fontId="2" fillId="0" borderId="3" xfId="0" applyNumberFormat="1" applyFont="1" applyFill="1" applyBorder="1"/>
    <xf numFmtId="181" fontId="3" fillId="0" borderId="3" xfId="0" applyNumberFormat="1" applyFont="1" applyFill="1" applyBorder="1"/>
    <xf numFmtId="1" fontId="2" fillId="0" borderId="3" xfId="0" applyNumberFormat="1" applyFont="1" applyFill="1" applyBorder="1"/>
    <xf numFmtId="171" fontId="2" fillId="0" borderId="3" xfId="0" applyNumberFormat="1" applyFont="1" applyFill="1" applyBorder="1"/>
    <xf numFmtId="179" fontId="39" fillId="0" borderId="3" xfId="0" applyNumberFormat="1" applyFont="1" applyFill="1" applyBorder="1"/>
    <xf numFmtId="203" fontId="39" fillId="0" borderId="3" xfId="46" applyNumberFormat="1" applyFont="1" applyFill="1" applyBorder="1"/>
    <xf numFmtId="6" fontId="2" fillId="0" borderId="3" xfId="0" applyNumberFormat="1" applyFont="1" applyFill="1" applyBorder="1"/>
    <xf numFmtId="0" fontId="2" fillId="25" borderId="3" xfId="0" applyFont="1" applyFill="1" applyBorder="1"/>
    <xf numFmtId="225" fontId="2" fillId="0" borderId="0" xfId="0" applyNumberFormat="1" applyFont="1" applyBorder="1"/>
    <xf numFmtId="181" fontId="2" fillId="17" borderId="0" xfId="46" applyNumberFormat="1" applyFont="1" applyFill="1" applyBorder="1" applyAlignment="1">
      <alignment horizontal="right" vertical="center"/>
    </xf>
    <xf numFmtId="9" fontId="96" fillId="22" borderId="3" xfId="0" applyNumberFormat="1" applyFont="1" applyFill="1" applyBorder="1" applyAlignment="1">
      <alignment horizontal="right" vertical="center"/>
    </xf>
    <xf numFmtId="1" fontId="3" fillId="31" borderId="3" xfId="46" applyNumberFormat="1" applyFont="1" applyFill="1" applyBorder="1" applyAlignment="1">
      <alignment horizontal="right" vertical="center"/>
    </xf>
    <xf numFmtId="203" fontId="3" fillId="31" borderId="3" xfId="46" applyNumberFormat="1" applyFont="1" applyFill="1" applyBorder="1" applyAlignment="1">
      <alignment horizontal="right" vertical="center"/>
    </xf>
    <xf numFmtId="199" fontId="3" fillId="0" borderId="3" xfId="46" applyNumberFormat="1" applyFont="1" applyFill="1" applyBorder="1" applyAlignment="1">
      <alignment horizontal="right" vertical="center"/>
    </xf>
    <xf numFmtId="229" fontId="3" fillId="33" borderId="42" xfId="0" applyNumberFormat="1" applyFont="1" applyFill="1" applyBorder="1" applyAlignment="1">
      <alignment horizontal="right" vertical="center"/>
    </xf>
    <xf numFmtId="0" fontId="0" fillId="28" borderId="0" xfId="0" applyFill="1"/>
    <xf numFmtId="179" fontId="111" fillId="0" borderId="18" xfId="0" applyNumberFormat="1" applyFont="1" applyFill="1" applyBorder="1" applyAlignment="1">
      <alignment vertical="center"/>
    </xf>
    <xf numFmtId="179" fontId="111" fillId="25" borderId="0" xfId="0" applyNumberFormat="1" applyFont="1" applyFill="1" applyBorder="1" applyAlignment="1">
      <alignment vertical="center"/>
    </xf>
    <xf numFmtId="179" fontId="110" fillId="0" borderId="18" xfId="0" applyNumberFormat="1" applyFont="1" applyFill="1" applyBorder="1" applyAlignment="1">
      <alignment vertical="center"/>
    </xf>
    <xf numFmtId="179" fontId="110" fillId="25" borderId="0" xfId="0" applyNumberFormat="1" applyFont="1" applyFill="1" applyBorder="1" applyAlignment="1">
      <alignment vertical="center"/>
    </xf>
    <xf numFmtId="179" fontId="110" fillId="0" borderId="0" xfId="0" applyNumberFormat="1" applyFont="1" applyFill="1" applyBorder="1" applyAlignment="1">
      <alignment vertical="center"/>
    </xf>
    <xf numFmtId="168" fontId="111" fillId="0" borderId="18" xfId="0" applyNumberFormat="1" applyFont="1" applyFill="1" applyBorder="1" applyAlignment="1">
      <alignment vertical="center"/>
    </xf>
    <xf numFmtId="168" fontId="111" fillId="0" borderId="0" xfId="0" applyNumberFormat="1" applyFont="1" applyFill="1" applyBorder="1" applyAlignment="1">
      <alignment vertical="center"/>
    </xf>
    <xf numFmtId="168" fontId="111" fillId="0" borderId="3" xfId="0" applyNumberFormat="1" applyFont="1" applyFill="1" applyBorder="1" applyAlignment="1">
      <alignment vertical="center"/>
    </xf>
    <xf numFmtId="179" fontId="110" fillId="0" borderId="3" xfId="0" applyNumberFormat="1" applyFont="1" applyFill="1" applyBorder="1" applyAlignment="1">
      <alignment vertical="center"/>
    </xf>
    <xf numFmtId="198" fontId="110" fillId="0" borderId="0" xfId="0" applyNumberFormat="1" applyFont="1" applyFill="1" applyBorder="1" applyAlignment="1">
      <alignment vertical="center"/>
    </xf>
    <xf numFmtId="198" fontId="110" fillId="0" borderId="3" xfId="0" applyNumberFormat="1" applyFont="1" applyFill="1" applyBorder="1" applyAlignment="1">
      <alignment vertical="center"/>
    </xf>
    <xf numFmtId="170" fontId="2" fillId="0" borderId="3" xfId="0" applyNumberFormat="1" applyFont="1" applyFill="1" applyBorder="1" applyAlignment="1">
      <alignment vertical="center"/>
    </xf>
    <xf numFmtId="0" fontId="94" fillId="23" borderId="73" xfId="0" applyFont="1" applyFill="1" applyBorder="1" applyAlignment="1">
      <alignment vertical="center"/>
    </xf>
    <xf numFmtId="0" fontId="2" fillId="17" borderId="53" xfId="0" applyFont="1" applyFill="1" applyBorder="1"/>
    <xf numFmtId="0" fontId="29" fillId="17" borderId="15" xfId="0" applyFont="1" applyFill="1" applyBorder="1" applyAlignment="1">
      <alignment vertical="center"/>
    </xf>
    <xf numFmtId="171" fontId="2" fillId="17" borderId="3" xfId="0" applyNumberFormat="1" applyFont="1" applyFill="1" applyBorder="1" applyAlignment="1">
      <alignment horizontal="right" vertical="center"/>
    </xf>
    <xf numFmtId="167" fontId="7" fillId="17" borderId="3" xfId="0" applyNumberFormat="1" applyFont="1" applyFill="1" applyBorder="1" applyAlignment="1">
      <alignment horizontal="right" vertical="center"/>
    </xf>
    <xf numFmtId="171" fontId="7" fillId="17" borderId="3" xfId="0" applyNumberFormat="1" applyFont="1" applyFill="1" applyBorder="1" applyAlignment="1">
      <alignment horizontal="right" vertical="center"/>
    </xf>
    <xf numFmtId="167" fontId="2" fillId="17" borderId="3" xfId="0" applyNumberFormat="1" applyFont="1" applyFill="1" applyBorder="1" applyAlignment="1">
      <alignment vertical="center"/>
    </xf>
    <xf numFmtId="170" fontId="24" fillId="17" borderId="3" xfId="0" applyNumberFormat="1" applyFont="1" applyFill="1" applyBorder="1" applyAlignment="1">
      <alignment horizontal="right" vertical="center"/>
    </xf>
    <xf numFmtId="179" fontId="110" fillId="17" borderId="0" xfId="0" applyNumberFormat="1" applyFont="1" applyFill="1" applyBorder="1" applyAlignment="1">
      <alignment vertical="center"/>
    </xf>
    <xf numFmtId="179" fontId="110" fillId="17" borderId="18" xfId="0" applyNumberFormat="1" applyFont="1" applyFill="1" applyBorder="1" applyAlignment="1">
      <alignment vertical="center"/>
    </xf>
    <xf numFmtId="179" fontId="110" fillId="25" borderId="18" xfId="0" applyNumberFormat="1" applyFont="1" applyFill="1" applyBorder="1" applyAlignment="1">
      <alignment vertical="center"/>
    </xf>
    <xf numFmtId="203" fontId="111" fillId="0" borderId="18" xfId="46" applyNumberFormat="1" applyFont="1" applyFill="1" applyBorder="1" applyAlignment="1">
      <alignment vertical="center"/>
    </xf>
    <xf numFmtId="203" fontId="111" fillId="0" borderId="0" xfId="46" applyNumberFormat="1" applyFont="1" applyFill="1" applyBorder="1" applyAlignment="1">
      <alignment vertical="center"/>
    </xf>
    <xf numFmtId="203" fontId="111" fillId="0" borderId="18" xfId="46" applyNumberFormat="1" applyFont="1" applyFill="1" applyBorder="1"/>
    <xf numFmtId="181" fontId="2" fillId="0" borderId="3" xfId="46" applyNumberFormat="1" applyFont="1" applyFill="1" applyBorder="1" applyAlignment="1">
      <alignment horizontal="right" vertical="center"/>
    </xf>
    <xf numFmtId="9" fontId="2" fillId="25" borderId="18" xfId="74" applyNumberFormat="1" applyFont="1" applyFill="1" applyBorder="1"/>
    <xf numFmtId="180" fontId="117" fillId="0" borderId="18" xfId="0" applyNumberFormat="1" applyFont="1" applyFill="1" applyBorder="1" applyAlignment="1">
      <alignment horizontal="right" vertical="center"/>
    </xf>
    <xf numFmtId="225" fontId="2" fillId="0" borderId="18" xfId="0" applyNumberFormat="1" applyFont="1" applyBorder="1"/>
    <xf numFmtId="6" fontId="8" fillId="0" borderId="18" xfId="46" applyNumberFormat="1" applyFont="1" applyFill="1" applyBorder="1"/>
    <xf numFmtId="9" fontId="117" fillId="0" borderId="18" xfId="0" applyNumberFormat="1" applyFont="1" applyFill="1" applyBorder="1" applyAlignment="1">
      <alignment horizontal="right" vertical="center"/>
    </xf>
    <xf numFmtId="179" fontId="110" fillId="0" borderId="3" xfId="0" applyNumberFormat="1" applyFont="1" applyFill="1" applyBorder="1" applyAlignment="1">
      <alignment horizontal="right" vertical="center"/>
    </xf>
    <xf numFmtId="179" fontId="110" fillId="0" borderId="0" xfId="0" applyNumberFormat="1" applyFont="1" applyFill="1" applyBorder="1" applyAlignment="1">
      <alignment horizontal="right" vertical="center"/>
    </xf>
    <xf numFmtId="179" fontId="110" fillId="17" borderId="3" xfId="0" applyNumberFormat="1" applyFont="1" applyFill="1" applyBorder="1" applyAlignment="1">
      <alignment horizontal="right" vertical="center"/>
    </xf>
    <xf numFmtId="179" fontId="110" fillId="17" borderId="0" xfId="0" applyNumberFormat="1" applyFont="1" applyFill="1" applyBorder="1" applyAlignment="1">
      <alignment horizontal="right" vertical="center"/>
    </xf>
    <xf numFmtId="179" fontId="110" fillId="17" borderId="3" xfId="0" applyNumberFormat="1" applyFont="1" applyFill="1" applyBorder="1" applyAlignment="1">
      <alignment vertical="center"/>
    </xf>
    <xf numFmtId="199" fontId="110" fillId="0" borderId="0" xfId="0" applyNumberFormat="1" applyFont="1" applyFill="1" applyBorder="1" applyAlignment="1">
      <alignment vertical="center"/>
    </xf>
    <xf numFmtId="199" fontId="110" fillId="0" borderId="18" xfId="0" applyNumberFormat="1" applyFont="1" applyFill="1" applyBorder="1" applyAlignment="1">
      <alignment vertical="center"/>
    </xf>
    <xf numFmtId="199" fontId="110" fillId="0" borderId="3" xfId="0" applyNumberFormat="1" applyFont="1" applyFill="1" applyBorder="1" applyAlignment="1">
      <alignment vertical="center"/>
    </xf>
    <xf numFmtId="198" fontId="110" fillId="0" borderId="18" xfId="0" applyNumberFormat="1" applyFont="1" applyFill="1" applyBorder="1" applyAlignment="1">
      <alignment vertical="center"/>
    </xf>
    <xf numFmtId="179" fontId="111" fillId="22" borderId="0" xfId="0" applyNumberFormat="1" applyFont="1" applyFill="1" applyBorder="1" applyAlignment="1">
      <alignment vertical="center"/>
    </xf>
    <xf numFmtId="179" fontId="111" fillId="22" borderId="3" xfId="0" applyNumberFormat="1" applyFont="1" applyFill="1" applyBorder="1" applyAlignment="1">
      <alignment vertical="center"/>
    </xf>
    <xf numFmtId="179" fontId="111" fillId="17" borderId="18" xfId="0" applyNumberFormat="1" applyFont="1" applyFill="1" applyBorder="1" applyAlignment="1">
      <alignment vertical="center"/>
    </xf>
    <xf numFmtId="179" fontId="111" fillId="17" borderId="0" xfId="0" applyNumberFormat="1" applyFont="1" applyFill="1" applyBorder="1" applyAlignment="1">
      <alignment vertical="center"/>
    </xf>
    <xf numFmtId="179" fontId="111" fillId="17" borderId="3" xfId="0" applyNumberFormat="1" applyFont="1" applyFill="1" applyBorder="1" applyAlignment="1">
      <alignment vertical="center"/>
    </xf>
    <xf numFmtId="179" fontId="6" fillId="0" borderId="0" xfId="0" applyNumberFormat="1" applyFont="1" applyAlignment="1">
      <alignment horizontal="right" vertical="center"/>
    </xf>
    <xf numFmtId="199" fontId="8" fillId="28" borderId="0" xfId="0" applyNumberFormat="1" applyFont="1" applyFill="1" applyBorder="1" applyAlignment="1">
      <alignment vertical="center"/>
    </xf>
    <xf numFmtId="3" fontId="2" fillId="17" borderId="0" xfId="0" applyNumberFormat="1" applyFont="1" applyFill="1" applyBorder="1"/>
    <xf numFmtId="3" fontId="2" fillId="17" borderId="0" xfId="0" applyNumberFormat="1" applyFont="1" applyFill="1" applyAlignment="1">
      <alignment horizontal="right" vertical="center"/>
    </xf>
    <xf numFmtId="0" fontId="2" fillId="0" borderId="0" xfId="0" applyFont="1" applyBorder="1" applyAlignment="1">
      <alignment horizontal="right"/>
    </xf>
    <xf numFmtId="3" fontId="2" fillId="0" borderId="0" xfId="0" applyNumberFormat="1" applyFont="1" applyBorder="1" applyAlignment="1">
      <alignment horizontal="right"/>
    </xf>
    <xf numFmtId="181" fontId="2" fillId="17" borderId="0" xfId="0" applyNumberFormat="1" applyFont="1" applyFill="1" applyAlignment="1">
      <alignment horizontal="right" vertical="center"/>
    </xf>
    <xf numFmtId="0" fontId="95" fillId="35" borderId="0" xfId="0" applyFont="1" applyFill="1" applyBorder="1"/>
    <xf numFmtId="0" fontId="94" fillId="35" borderId="0" xfId="0" applyFont="1" applyFill="1" applyBorder="1"/>
    <xf numFmtId="6" fontId="3" fillId="0" borderId="0" xfId="0" applyNumberFormat="1" applyFont="1" applyBorder="1" applyAlignment="1">
      <alignment horizontal="right"/>
    </xf>
    <xf numFmtId="0" fontId="3" fillId="36" borderId="12" xfId="0" applyFont="1" applyFill="1" applyBorder="1"/>
    <xf numFmtId="0" fontId="3" fillId="36" borderId="12" xfId="0" applyFont="1" applyFill="1" applyBorder="1" applyAlignment="1">
      <alignment horizontal="right"/>
    </xf>
    <xf numFmtId="180" fontId="2" fillId="17" borderId="0" xfId="0" applyNumberFormat="1" applyFont="1" applyFill="1" applyAlignment="1">
      <alignment horizontal="right" vertical="center"/>
    </xf>
    <xf numFmtId="9" fontId="3" fillId="0" borderId="12" xfId="0" applyNumberFormat="1" applyFont="1" applyFill="1" applyBorder="1" applyAlignment="1">
      <alignment horizontal="right" vertical="center"/>
    </xf>
    <xf numFmtId="3" fontId="10" fillId="17" borderId="0" xfId="0" applyNumberFormat="1" applyFont="1" applyFill="1"/>
    <xf numFmtId="0" fontId="2" fillId="0" borderId="0" xfId="0" applyFont="1" applyAlignment="1">
      <alignment horizontal="right"/>
    </xf>
    <xf numFmtId="3" fontId="2" fillId="0" borderId="0" xfId="0" applyNumberFormat="1" applyFont="1" applyFill="1" applyBorder="1"/>
    <xf numFmtId="3" fontId="2" fillId="0" borderId="0" xfId="74" applyNumberFormat="1" applyFont="1" applyFill="1" applyBorder="1"/>
    <xf numFmtId="3" fontId="2" fillId="0" borderId="3" xfId="74" applyNumberFormat="1" applyFont="1" applyFill="1" applyBorder="1"/>
    <xf numFmtId="3" fontId="2" fillId="0" borderId="0" xfId="0" applyNumberFormat="1" applyFont="1" applyFill="1" applyBorder="1" applyAlignment="1">
      <alignment horizontal="right" vertical="center"/>
    </xf>
    <xf numFmtId="3" fontId="96" fillId="0" borderId="0" xfId="0" applyNumberFormat="1" applyFont="1" applyFill="1" applyBorder="1" applyAlignment="1">
      <alignment horizontal="right" vertical="center"/>
    </xf>
    <xf numFmtId="180" fontId="2" fillId="0" borderId="0" xfId="0" applyNumberFormat="1" applyFont="1" applyFill="1" applyBorder="1"/>
    <xf numFmtId="180" fontId="2" fillId="0" borderId="0" xfId="74" applyNumberFormat="1" applyFont="1" applyFill="1" applyBorder="1"/>
    <xf numFmtId="180" fontId="2" fillId="0" borderId="3" xfId="74" applyNumberFormat="1" applyFont="1" applyFill="1" applyBorder="1"/>
    <xf numFmtId="180" fontId="96" fillId="0" borderId="31" xfId="0" applyNumberFormat="1" applyFont="1" applyFill="1" applyBorder="1" applyAlignment="1">
      <alignment horizontal="right" vertical="center"/>
    </xf>
    <xf numFmtId="180" fontId="96" fillId="0" borderId="0" xfId="0" applyNumberFormat="1" applyFont="1" applyFill="1" applyBorder="1" applyAlignment="1">
      <alignment horizontal="right" vertical="center"/>
    </xf>
    <xf numFmtId="180" fontId="96" fillId="0" borderId="3" xfId="0" applyNumberFormat="1" applyFont="1" applyFill="1" applyBorder="1" applyAlignment="1">
      <alignment horizontal="right" vertical="center"/>
    </xf>
    <xf numFmtId="180" fontId="2" fillId="0" borderId="0" xfId="0" applyNumberFormat="1" applyFont="1" applyFill="1"/>
    <xf numFmtId="180" fontId="2" fillId="0" borderId="3" xfId="0" applyNumberFormat="1" applyFont="1" applyFill="1" applyBorder="1"/>
    <xf numFmtId="225" fontId="2" fillId="0" borderId="3" xfId="0" applyNumberFormat="1" applyFont="1" applyFill="1" applyBorder="1"/>
    <xf numFmtId="179" fontId="110" fillId="22" borderId="0" xfId="0" applyNumberFormat="1" applyFont="1" applyFill="1" applyBorder="1" applyAlignment="1">
      <alignment vertical="center"/>
    </xf>
    <xf numFmtId="179" fontId="110" fillId="22" borderId="3" xfId="0" applyNumberFormat="1" applyFont="1" applyFill="1" applyBorder="1" applyAlignment="1">
      <alignment vertical="center"/>
    </xf>
    <xf numFmtId="220" fontId="111" fillId="0" borderId="0" xfId="0" applyNumberFormat="1" applyFont="1" applyBorder="1"/>
    <xf numFmtId="220" fontId="111" fillId="0" borderId="3" xfId="0" applyNumberFormat="1" applyFont="1" applyBorder="1"/>
    <xf numFmtId="3" fontId="111" fillId="0" borderId="18" xfId="74" applyNumberFormat="1" applyFont="1" applyFill="1" applyBorder="1"/>
    <xf numFmtId="3" fontId="111" fillId="0" borderId="0" xfId="74" applyNumberFormat="1" applyFont="1" applyFill="1" applyBorder="1"/>
    <xf numFmtId="3" fontId="96" fillId="0" borderId="3" xfId="0" applyNumberFormat="1" applyFont="1" applyFill="1" applyBorder="1" applyAlignment="1">
      <alignment horizontal="right" vertical="center"/>
    </xf>
    <xf numFmtId="4" fontId="2" fillId="17" borderId="0" xfId="0" applyNumberFormat="1" applyFont="1" applyFill="1" applyBorder="1" applyAlignment="1">
      <alignment horizontal="right" vertical="center"/>
    </xf>
    <xf numFmtId="4" fontId="2" fillId="17" borderId="3" xfId="0" applyNumberFormat="1" applyFont="1" applyFill="1" applyBorder="1" applyAlignment="1">
      <alignment horizontal="right" vertical="center"/>
    </xf>
    <xf numFmtId="180" fontId="33" fillId="0" borderId="0" xfId="0" applyNumberFormat="1" applyFont="1" applyFill="1" applyBorder="1" applyAlignment="1">
      <alignment vertical="center"/>
    </xf>
    <xf numFmtId="180" fontId="3" fillId="0" borderId="0" xfId="0" applyNumberFormat="1" applyFont="1" applyFill="1" applyBorder="1" applyAlignment="1">
      <alignment vertical="center"/>
    </xf>
    <xf numFmtId="180" fontId="3" fillId="0" borderId="3" xfId="0" applyNumberFormat="1" applyFont="1" applyFill="1" applyBorder="1" applyAlignment="1">
      <alignment vertical="center"/>
    </xf>
    <xf numFmtId="181" fontId="2" fillId="0" borderId="18" xfId="74" applyNumberFormat="1" applyFont="1" applyFill="1" applyBorder="1" applyAlignment="1">
      <alignment vertical="center"/>
    </xf>
    <xf numFmtId="9" fontId="2" fillId="0" borderId="18" xfId="0" applyNumberFormat="1" applyFont="1" applyFill="1" applyBorder="1" applyAlignment="1">
      <alignment vertical="center"/>
    </xf>
    <xf numFmtId="0" fontId="10" fillId="0" borderId="19" xfId="0" applyFont="1" applyFill="1" applyBorder="1" applyAlignment="1">
      <alignment vertical="center"/>
    </xf>
    <xf numFmtId="179" fontId="6" fillId="0" borderId="13" xfId="0" applyNumberFormat="1" applyFont="1" applyFill="1" applyBorder="1" applyAlignment="1">
      <alignment horizontal="left" vertical="center" indent="1"/>
    </xf>
    <xf numFmtId="179" fontId="6" fillId="0" borderId="13" xfId="0" applyNumberFormat="1" applyFont="1" applyFill="1" applyBorder="1" applyAlignment="1">
      <alignment vertical="center"/>
    </xf>
    <xf numFmtId="197" fontId="6" fillId="0" borderId="13" xfId="0" applyNumberFormat="1" applyFont="1" applyFill="1" applyBorder="1" applyAlignment="1">
      <alignment vertical="center"/>
    </xf>
    <xf numFmtId="199" fontId="23" fillId="0" borderId="13" xfId="0" applyNumberFormat="1" applyFont="1" applyFill="1" applyBorder="1"/>
    <xf numFmtId="199" fontId="23" fillId="0" borderId="19" xfId="0" applyNumberFormat="1" applyFont="1" applyFill="1" applyBorder="1"/>
    <xf numFmtId="9" fontId="23" fillId="0" borderId="13" xfId="74" applyFont="1" applyFill="1" applyBorder="1"/>
    <xf numFmtId="199" fontId="8" fillId="17" borderId="3" xfId="0" applyNumberFormat="1" applyFont="1" applyFill="1" applyBorder="1" applyAlignment="1">
      <alignment horizontal="right" vertical="center"/>
    </xf>
    <xf numFmtId="180" fontId="2" fillId="17" borderId="0" xfId="0" applyNumberFormat="1" applyFont="1" applyFill="1" applyBorder="1" applyAlignment="1">
      <alignment horizontal="right" vertical="center"/>
    </xf>
    <xf numFmtId="180" fontId="2" fillId="17" borderId="3" xfId="0" applyNumberFormat="1" applyFont="1" applyFill="1" applyBorder="1" applyAlignment="1">
      <alignment horizontal="right" vertical="center"/>
    </xf>
    <xf numFmtId="9" fontId="96" fillId="0" borderId="3" xfId="74" applyFont="1" applyFill="1" applyBorder="1" applyAlignment="1">
      <alignment vertical="center"/>
    </xf>
    <xf numFmtId="9" fontId="96" fillId="0" borderId="0" xfId="74" applyFont="1" applyFill="1" applyBorder="1" applyAlignment="1">
      <alignment vertical="center"/>
    </xf>
    <xf numFmtId="179" fontId="3" fillId="22" borderId="0" xfId="0" applyNumberFormat="1" applyFont="1" applyFill="1" applyBorder="1" applyAlignment="1">
      <alignment horizontal="left" vertical="center" indent="1"/>
    </xf>
    <xf numFmtId="199" fontId="96" fillId="22" borderId="0" xfId="46" applyNumberFormat="1" applyFont="1" applyFill="1" applyBorder="1" applyAlignment="1">
      <alignment horizontal="right" vertical="center"/>
    </xf>
    <xf numFmtId="179" fontId="3" fillId="22" borderId="0" xfId="0" applyNumberFormat="1" applyFont="1" applyFill="1" applyBorder="1" applyAlignment="1">
      <alignment horizontal="right" vertical="center"/>
    </xf>
    <xf numFmtId="0" fontId="3" fillId="22" borderId="0" xfId="0" applyFont="1" applyFill="1" applyBorder="1"/>
    <xf numFmtId="199" fontId="2" fillId="22" borderId="0" xfId="46" applyNumberFormat="1" applyFont="1" applyFill="1" applyBorder="1" applyAlignment="1">
      <alignment horizontal="right" vertical="center"/>
    </xf>
    <xf numFmtId="199" fontId="96" fillId="22" borderId="18" xfId="46" applyNumberFormat="1" applyFont="1" applyFill="1" applyBorder="1" applyAlignment="1">
      <alignment horizontal="right" vertical="center"/>
    </xf>
    <xf numFmtId="9" fontId="3" fillId="22" borderId="18" xfId="0" applyNumberFormat="1" applyFont="1" applyFill="1" applyBorder="1" applyAlignment="1">
      <alignment vertical="center"/>
    </xf>
    <xf numFmtId="9" fontId="96" fillId="22" borderId="0" xfId="46" applyNumberFormat="1" applyFont="1" applyFill="1" applyBorder="1" applyAlignment="1">
      <alignment horizontal="right" vertical="center"/>
    </xf>
    <xf numFmtId="9" fontId="96" fillId="22" borderId="3" xfId="46" applyNumberFormat="1" applyFont="1" applyFill="1" applyBorder="1" applyAlignment="1">
      <alignment horizontal="right" vertical="center"/>
    </xf>
    <xf numFmtId="181" fontId="96" fillId="22" borderId="0" xfId="46" applyNumberFormat="1" applyFont="1" applyFill="1" applyBorder="1" applyAlignment="1">
      <alignment horizontal="right" vertical="center"/>
    </xf>
    <xf numFmtId="9" fontId="3" fillId="22" borderId="0" xfId="0" applyNumberFormat="1" applyFont="1" applyFill="1" applyBorder="1" applyAlignment="1">
      <alignment vertical="center"/>
    </xf>
    <xf numFmtId="179" fontId="2" fillId="22" borderId="0" xfId="0" applyNumberFormat="1" applyFont="1" applyFill="1" applyBorder="1" applyAlignment="1">
      <alignment horizontal="left" vertical="center" indent="1"/>
    </xf>
    <xf numFmtId="9" fontId="2" fillId="22" borderId="0" xfId="0" applyNumberFormat="1" applyFont="1" applyFill="1" applyBorder="1" applyAlignment="1">
      <alignment vertical="center"/>
    </xf>
    <xf numFmtId="9" fontId="2" fillId="22" borderId="18" xfId="0" applyNumberFormat="1" applyFont="1" applyFill="1" applyBorder="1" applyAlignment="1">
      <alignment vertical="center"/>
    </xf>
    <xf numFmtId="9" fontId="2" fillId="22" borderId="3" xfId="0" applyNumberFormat="1" applyFont="1" applyFill="1" applyBorder="1" applyAlignment="1">
      <alignment vertical="center"/>
    </xf>
    <xf numFmtId="179" fontId="3" fillId="22" borderId="0" xfId="0" applyNumberFormat="1" applyFont="1" applyFill="1"/>
    <xf numFmtId="179" fontId="8" fillId="22" borderId="0" xfId="0" applyNumberFormat="1" applyFont="1" applyFill="1" applyBorder="1" applyAlignment="1">
      <alignment vertical="center"/>
    </xf>
    <xf numFmtId="179" fontId="3" fillId="22" borderId="0" xfId="0" applyNumberFormat="1" applyFont="1" applyFill="1" applyAlignment="1">
      <alignment horizontal="right" vertical="center"/>
    </xf>
    <xf numFmtId="0" fontId="3" fillId="22" borderId="0" xfId="0" applyFont="1" applyFill="1"/>
    <xf numFmtId="199" fontId="2" fillId="22" borderId="18" xfId="46" applyNumberFormat="1" applyFont="1" applyFill="1" applyBorder="1" applyAlignment="1">
      <alignment horizontal="right" vertical="center"/>
    </xf>
    <xf numFmtId="179" fontId="2" fillId="22" borderId="0" xfId="0" applyNumberFormat="1" applyFont="1" applyFill="1"/>
    <xf numFmtId="181" fontId="2" fillId="22" borderId="3" xfId="74" applyNumberFormat="1" applyFont="1" applyFill="1" applyBorder="1" applyAlignment="1">
      <alignment vertical="center"/>
    </xf>
    <xf numFmtId="181" fontId="2" fillId="22" borderId="0" xfId="74" applyNumberFormat="1" applyFont="1" applyFill="1" applyBorder="1" applyAlignment="1">
      <alignment vertical="center"/>
    </xf>
    <xf numFmtId="9" fontId="2" fillId="22" borderId="3" xfId="74" applyFont="1" applyFill="1" applyBorder="1" applyAlignment="1">
      <alignment vertical="center"/>
    </xf>
    <xf numFmtId="9" fontId="2" fillId="22" borderId="0" xfId="74" applyFont="1" applyFill="1" applyBorder="1" applyAlignment="1">
      <alignment vertical="center"/>
    </xf>
    <xf numFmtId="0" fontId="2" fillId="22" borderId="18" xfId="0" applyFont="1" applyFill="1" applyBorder="1" applyAlignment="1">
      <alignment horizontal="left" vertical="center" indent="2"/>
    </xf>
    <xf numFmtId="0" fontId="3" fillId="22" borderId="18" xfId="0" applyFont="1" applyFill="1" applyBorder="1" applyAlignment="1">
      <alignment horizontal="left" vertical="center" indent="1"/>
    </xf>
    <xf numFmtId="179" fontId="116" fillId="22" borderId="0" xfId="0" applyNumberFormat="1" applyFont="1" applyFill="1" applyBorder="1" applyAlignment="1">
      <alignment vertical="center"/>
    </xf>
    <xf numFmtId="179" fontId="116" fillId="22" borderId="3" xfId="0" applyNumberFormat="1" applyFont="1" applyFill="1" applyBorder="1" applyAlignment="1">
      <alignment vertical="center"/>
    </xf>
    <xf numFmtId="199" fontId="116" fillId="22" borderId="0" xfId="0" applyNumberFormat="1" applyFont="1" applyFill="1" applyBorder="1" applyAlignment="1">
      <alignment vertical="center"/>
    </xf>
    <xf numFmtId="199" fontId="116" fillId="22" borderId="18" xfId="0" applyNumberFormat="1" applyFont="1" applyFill="1" applyBorder="1" applyAlignment="1">
      <alignment vertical="center"/>
    </xf>
    <xf numFmtId="179" fontId="2" fillId="22" borderId="0" xfId="0" applyNumberFormat="1" applyFont="1" applyFill="1" applyAlignment="1">
      <alignment horizontal="right" vertical="center"/>
    </xf>
    <xf numFmtId="0" fontId="2" fillId="22" borderId="0" xfId="0" applyFont="1" applyFill="1"/>
    <xf numFmtId="0" fontId="2" fillId="22" borderId="18" xfId="0" applyFont="1" applyFill="1" applyBorder="1" applyAlignment="1">
      <alignment horizontal="left" indent="2"/>
    </xf>
    <xf numFmtId="181" fontId="2" fillId="22" borderId="18" xfId="74" applyNumberFormat="1" applyFont="1" applyFill="1" applyBorder="1" applyAlignment="1">
      <alignment vertical="center"/>
    </xf>
    <xf numFmtId="187" fontId="111" fillId="0" borderId="0" xfId="46" applyNumberFormat="1" applyFont="1" applyFill="1" applyBorder="1" applyAlignment="1">
      <alignment horizontal="right" vertical="center"/>
    </xf>
    <xf numFmtId="203" fontId="8" fillId="0" borderId="0" xfId="46" applyNumberFormat="1" applyFont="1" applyFill="1" applyBorder="1"/>
    <xf numFmtId="203" fontId="8" fillId="0" borderId="3" xfId="46" applyNumberFormat="1" applyFont="1" applyFill="1" applyBorder="1"/>
    <xf numFmtId="203" fontId="8" fillId="0" borderId="18" xfId="46" applyNumberFormat="1" applyFont="1" applyFill="1" applyBorder="1"/>
    <xf numFmtId="39" fontId="3" fillId="17" borderId="18" xfId="0" applyNumberFormat="1" applyFont="1" applyFill="1" applyBorder="1" applyAlignment="1">
      <alignment vertical="center"/>
    </xf>
    <xf numFmtId="0" fontId="96" fillId="0" borderId="18" xfId="0" applyFont="1" applyFill="1" applyBorder="1" applyAlignment="1">
      <alignment horizontal="left" indent="1"/>
    </xf>
    <xf numFmtId="187" fontId="26" fillId="0" borderId="0" xfId="0" applyNumberFormat="1" applyFont="1" applyFill="1" applyBorder="1" applyAlignment="1">
      <alignment horizontal="right" vertical="center"/>
    </xf>
    <xf numFmtId="199" fontId="3" fillId="0" borderId="18" xfId="46" applyNumberFormat="1" applyFont="1" applyFill="1" applyBorder="1" applyAlignment="1">
      <alignment horizontal="right" vertical="center"/>
    </xf>
    <xf numFmtId="9" fontId="2" fillId="0" borderId="0" xfId="46" applyNumberFormat="1" applyFont="1" applyFill="1" applyBorder="1" applyAlignment="1">
      <alignment horizontal="right" vertical="center"/>
    </xf>
    <xf numFmtId="187" fontId="96" fillId="0" borderId="3" xfId="46" applyNumberFormat="1" applyFont="1" applyFill="1" applyBorder="1" applyAlignment="1">
      <alignment horizontal="right" vertical="center"/>
    </xf>
    <xf numFmtId="179" fontId="6" fillId="0" borderId="19" xfId="0" applyNumberFormat="1" applyFont="1" applyFill="1" applyBorder="1" applyAlignment="1">
      <alignment vertical="center"/>
    </xf>
    <xf numFmtId="179" fontId="6" fillId="0" borderId="13" xfId="0" applyNumberFormat="1" applyFont="1" applyFill="1" applyBorder="1" applyAlignment="1">
      <alignment horizontal="right" vertical="center"/>
    </xf>
    <xf numFmtId="3" fontId="2" fillId="0" borderId="3" xfId="0" applyNumberFormat="1" applyFont="1" applyBorder="1"/>
    <xf numFmtId="3" fontId="3" fillId="0" borderId="18" xfId="49" applyNumberFormat="1" applyFont="1" applyFill="1" applyBorder="1" applyAlignment="1">
      <alignment horizontal="right" vertical="center"/>
    </xf>
    <xf numFmtId="3" fontId="3" fillId="0" borderId="0" xfId="49" applyNumberFormat="1" applyFont="1" applyFill="1" applyBorder="1" applyAlignment="1">
      <alignment horizontal="right" vertical="center"/>
    </xf>
    <xf numFmtId="3" fontId="3" fillId="0" borderId="3" xfId="49" applyNumberFormat="1" applyFont="1" applyFill="1" applyBorder="1" applyAlignment="1">
      <alignment horizontal="right" vertical="center"/>
    </xf>
    <xf numFmtId="37" fontId="8" fillId="17" borderId="18" xfId="0" applyNumberFormat="1" applyFont="1" applyFill="1" applyBorder="1" applyAlignment="1">
      <alignment vertical="center"/>
    </xf>
    <xf numFmtId="37" fontId="8" fillId="17" borderId="0" xfId="0" applyNumberFormat="1" applyFont="1" applyFill="1" applyBorder="1" applyAlignment="1">
      <alignment vertical="center"/>
    </xf>
    <xf numFmtId="0" fontId="2" fillId="17" borderId="19" xfId="0" applyFont="1" applyFill="1" applyBorder="1" applyAlignment="1">
      <alignment horizontal="left" indent="2"/>
    </xf>
    <xf numFmtId="172" fontId="2" fillId="17" borderId="13" xfId="0" applyNumberFormat="1" applyFont="1" applyFill="1" applyBorder="1" applyAlignment="1">
      <alignment horizontal="right" vertical="center"/>
    </xf>
    <xf numFmtId="1" fontId="2" fillId="0" borderId="13" xfId="0" applyNumberFormat="1" applyFont="1" applyFill="1" applyBorder="1" applyAlignment="1">
      <alignment horizontal="right" vertical="center"/>
    </xf>
    <xf numFmtId="221" fontId="2" fillId="0" borderId="13" xfId="0" applyNumberFormat="1" applyFont="1" applyFill="1" applyBorder="1" applyAlignment="1">
      <alignment horizontal="right" vertical="center"/>
    </xf>
    <xf numFmtId="9" fontId="2" fillId="0" borderId="19" xfId="0" applyNumberFormat="1" applyFont="1" applyFill="1" applyBorder="1" applyAlignment="1">
      <alignment horizontal="right" vertical="center"/>
    </xf>
    <xf numFmtId="203" fontId="2" fillId="0" borderId="13" xfId="0" applyNumberFormat="1" applyFont="1" applyFill="1" applyBorder="1" applyAlignment="1">
      <alignment horizontal="right" vertical="center"/>
    </xf>
    <xf numFmtId="203" fontId="2" fillId="0" borderId="19" xfId="0" applyNumberFormat="1" applyFont="1" applyFill="1" applyBorder="1" applyAlignment="1">
      <alignment horizontal="right" vertical="center"/>
    </xf>
    <xf numFmtId="203" fontId="2" fillId="0" borderId="15" xfId="0" applyNumberFormat="1" applyFont="1" applyFill="1" applyBorder="1" applyAlignment="1">
      <alignment horizontal="right" vertical="center"/>
    </xf>
    <xf numFmtId="9" fontId="2" fillId="0" borderId="13" xfId="0" applyNumberFormat="1" applyFont="1" applyFill="1" applyBorder="1" applyAlignment="1">
      <alignment horizontal="right" vertical="center"/>
    </xf>
    <xf numFmtId="9" fontId="2" fillId="0" borderId="15" xfId="0" applyNumberFormat="1" applyFont="1" applyFill="1" applyBorder="1" applyAlignment="1">
      <alignment horizontal="right" vertical="center"/>
    </xf>
    <xf numFmtId="43" fontId="111" fillId="17" borderId="0" xfId="46" applyNumberFormat="1" applyFont="1" applyFill="1" applyBorder="1" applyAlignment="1">
      <alignment vertical="center"/>
    </xf>
    <xf numFmtId="202" fontId="111" fillId="17" borderId="3" xfId="46" applyNumberFormat="1" applyFont="1" applyFill="1" applyBorder="1" applyAlignment="1">
      <alignment vertical="center"/>
    </xf>
    <xf numFmtId="43" fontId="111" fillId="17" borderId="3" xfId="46" applyNumberFormat="1" applyFont="1" applyFill="1" applyBorder="1" applyAlignment="1">
      <alignment vertical="center"/>
    </xf>
    <xf numFmtId="9" fontId="2" fillId="0" borderId="18" xfId="74" applyFont="1" applyFill="1" applyBorder="1" applyAlignment="1">
      <alignment horizontal="left" vertical="center" indent="1"/>
    </xf>
    <xf numFmtId="165" fontId="22" fillId="0" borderId="22" xfId="0" applyNumberFormat="1" applyFont="1" applyFill="1" applyBorder="1" applyAlignment="1">
      <alignment horizontal="right" vertical="center"/>
    </xf>
    <xf numFmtId="179" fontId="6" fillId="17" borderId="15" xfId="0" applyNumberFormat="1" applyFont="1" applyFill="1" applyBorder="1" applyAlignment="1">
      <alignment vertical="center"/>
    </xf>
    <xf numFmtId="180" fontId="2" fillId="0" borderId="0" xfId="0" applyNumberFormat="1" applyFont="1" applyFill="1" applyBorder="1" applyAlignment="1">
      <alignment horizontal="right" vertical="center"/>
    </xf>
    <xf numFmtId="180" fontId="2" fillId="0" borderId="3" xfId="0" applyNumberFormat="1" applyFont="1" applyFill="1" applyBorder="1" applyAlignment="1">
      <alignment horizontal="right" vertical="center"/>
    </xf>
    <xf numFmtId="179" fontId="21" fillId="0" borderId="18" xfId="0" applyNumberFormat="1" applyFont="1" applyFill="1" applyBorder="1" applyAlignment="1">
      <alignment vertical="center"/>
    </xf>
    <xf numFmtId="179" fontId="117" fillId="17" borderId="3" xfId="0" applyNumberFormat="1" applyFont="1" applyFill="1" applyBorder="1" applyAlignment="1">
      <alignment vertical="center"/>
    </xf>
    <xf numFmtId="181" fontId="2" fillId="0" borderId="31" xfId="0" applyNumberFormat="1" applyFont="1" applyFill="1" applyBorder="1" applyAlignment="1">
      <alignment horizontal="right" vertical="center"/>
    </xf>
    <xf numFmtId="179" fontId="38" fillId="0" borderId="31" xfId="0" applyNumberFormat="1" applyFont="1" applyFill="1" applyBorder="1" applyAlignment="1">
      <alignment vertical="center"/>
    </xf>
    <xf numFmtId="179" fontId="21" fillId="0" borderId="31" xfId="0" applyNumberFormat="1" applyFont="1" applyFill="1" applyBorder="1" applyAlignment="1">
      <alignment vertical="center"/>
    </xf>
    <xf numFmtId="179" fontId="39" fillId="0" borderId="31" xfId="0" applyNumberFormat="1" applyFont="1" applyFill="1" applyBorder="1" applyAlignment="1">
      <alignment vertical="center"/>
    </xf>
    <xf numFmtId="180" fontId="33" fillId="0" borderId="3" xfId="0" applyNumberFormat="1" applyFont="1" applyFill="1" applyBorder="1" applyAlignment="1">
      <alignment vertical="center"/>
    </xf>
    <xf numFmtId="0" fontId="3" fillId="0" borderId="18" xfId="0" applyFont="1" applyFill="1" applyBorder="1" applyAlignment="1">
      <alignment horizontal="left" vertical="center" indent="2"/>
    </xf>
    <xf numFmtId="0" fontId="2" fillId="0" borderId="18" xfId="0" applyFont="1" applyFill="1" applyBorder="1" applyAlignment="1">
      <alignment horizontal="left" vertical="center" indent="3"/>
    </xf>
    <xf numFmtId="0" fontId="2" fillId="0" borderId="18" xfId="0" applyFont="1" applyFill="1" applyBorder="1" applyAlignment="1">
      <alignment horizontal="left" indent="3"/>
    </xf>
    <xf numFmtId="0" fontId="2" fillId="0" borderId="18" xfId="0" applyFont="1" applyFill="1" applyBorder="1" applyAlignment="1">
      <alignment horizontal="left" vertical="center" indent="4"/>
    </xf>
    <xf numFmtId="0" fontId="3" fillId="22" borderId="18" xfId="0" applyFont="1" applyFill="1" applyBorder="1" applyAlignment="1">
      <alignment horizontal="left" vertical="center" indent="3"/>
    </xf>
    <xf numFmtId="0" fontId="2" fillId="22" borderId="18" xfId="0" applyFont="1" applyFill="1" applyBorder="1" applyAlignment="1">
      <alignment horizontal="left" vertical="center" indent="4"/>
    </xf>
    <xf numFmtId="0" fontId="2" fillId="22" borderId="18" xfId="0" applyFont="1" applyFill="1" applyBorder="1" applyAlignment="1">
      <alignment horizontal="left" indent="4"/>
    </xf>
    <xf numFmtId="6" fontId="26" fillId="0" borderId="3" xfId="0" applyNumberFormat="1" applyFont="1" applyFill="1" applyBorder="1" applyAlignment="1">
      <alignment horizontal="right" vertical="center"/>
    </xf>
    <xf numFmtId="199" fontId="2" fillId="0" borderId="31" xfId="0" applyNumberFormat="1" applyFont="1" applyFill="1" applyBorder="1" applyAlignment="1">
      <alignment horizontal="right" vertical="center"/>
    </xf>
    <xf numFmtId="3" fontId="3" fillId="0" borderId="31" xfId="0" applyNumberFormat="1" applyFont="1" applyFill="1" applyBorder="1"/>
    <xf numFmtId="180" fontId="3" fillId="0" borderId="31" xfId="0" applyNumberFormat="1" applyFont="1" applyFill="1" applyBorder="1"/>
    <xf numFmtId="205" fontId="2" fillId="0" borderId="31" xfId="0" applyNumberFormat="1" applyFont="1" applyFill="1" applyBorder="1" applyAlignment="1">
      <alignment horizontal="right" vertical="center"/>
    </xf>
    <xf numFmtId="187" fontId="3" fillId="0" borderId="31" xfId="0" applyNumberFormat="1" applyFont="1" applyFill="1" applyBorder="1"/>
    <xf numFmtId="187" fontId="2" fillId="0" borderId="31" xfId="0" applyNumberFormat="1" applyFont="1" applyFill="1" applyBorder="1"/>
    <xf numFmtId="9" fontId="2" fillId="22" borderId="3" xfId="74" applyNumberFormat="1" applyFont="1" applyFill="1" applyBorder="1" applyAlignment="1">
      <alignment vertical="center"/>
    </xf>
    <xf numFmtId="9" fontId="2" fillId="22" borderId="0" xfId="74" applyNumberFormat="1" applyFont="1" applyFill="1" applyBorder="1" applyAlignment="1">
      <alignment vertical="center"/>
    </xf>
    <xf numFmtId="9" fontId="2" fillId="22" borderId="18" xfId="0" applyNumberFormat="1" applyFont="1" applyFill="1" applyBorder="1" applyAlignment="1">
      <alignment horizontal="center" vertical="center"/>
    </xf>
    <xf numFmtId="179" fontId="111" fillId="22" borderId="18" xfId="0" applyNumberFormat="1" applyFont="1" applyFill="1" applyBorder="1" applyAlignment="1">
      <alignment vertical="center"/>
    </xf>
    <xf numFmtId="187" fontId="50" fillId="17" borderId="0" xfId="46" applyNumberFormat="1" applyFont="1" applyFill="1" applyAlignment="1">
      <alignment vertical="center"/>
    </xf>
    <xf numFmtId="0" fontId="104" fillId="0" borderId="18" xfId="0" applyFont="1" applyFill="1" applyBorder="1" applyAlignment="1">
      <alignment vertical="center"/>
    </xf>
    <xf numFmtId="43" fontId="26" fillId="17" borderId="0" xfId="46" applyFont="1" applyFill="1" applyBorder="1" applyAlignment="1">
      <alignment horizontal="right" vertical="center"/>
    </xf>
    <xf numFmtId="43" fontId="26" fillId="17" borderId="3" xfId="46" applyFont="1" applyFill="1" applyBorder="1" applyAlignment="1">
      <alignment horizontal="right" vertical="center"/>
    </xf>
    <xf numFmtId="43" fontId="26" fillId="17" borderId="18" xfId="46" applyFont="1" applyFill="1" applyBorder="1" applyAlignment="1">
      <alignment horizontal="right" vertical="center"/>
    </xf>
    <xf numFmtId="180" fontId="111" fillId="0" borderId="0" xfId="0" applyNumberFormat="1" applyFont="1" applyFill="1" applyBorder="1" applyAlignment="1">
      <alignment vertical="center"/>
    </xf>
    <xf numFmtId="180" fontId="111" fillId="0" borderId="3" xfId="0" applyNumberFormat="1" applyFont="1" applyFill="1" applyBorder="1" applyAlignment="1">
      <alignment vertical="center"/>
    </xf>
    <xf numFmtId="180" fontId="3" fillId="0" borderId="0" xfId="0" applyNumberFormat="1" applyFont="1" applyFill="1" applyBorder="1" applyAlignment="1">
      <alignment horizontal="right" vertical="center"/>
    </xf>
    <xf numFmtId="180" fontId="3" fillId="0" borderId="3" xfId="0" applyNumberFormat="1" applyFont="1" applyFill="1" applyBorder="1" applyAlignment="1">
      <alignment horizontal="right" vertical="center"/>
    </xf>
    <xf numFmtId="181" fontId="3" fillId="0" borderId="31" xfId="0" applyNumberFormat="1" applyFont="1" applyFill="1" applyBorder="1" applyAlignment="1">
      <alignment horizontal="right" vertical="center"/>
    </xf>
    <xf numFmtId="0" fontId="94" fillId="23" borderId="0" xfId="0" applyFont="1" applyFill="1"/>
    <xf numFmtId="172" fontId="94" fillId="23" borderId="0" xfId="0" applyNumberFormat="1" applyFont="1" applyFill="1" applyBorder="1" applyAlignment="1">
      <alignment horizontal="right" vertical="center"/>
    </xf>
    <xf numFmtId="172" fontId="94" fillId="23" borderId="3" xfId="0" applyNumberFormat="1" applyFont="1" applyFill="1" applyBorder="1" applyAlignment="1">
      <alignment horizontal="right" vertical="center"/>
    </xf>
    <xf numFmtId="181" fontId="94" fillId="23" borderId="0" xfId="74" applyNumberFormat="1" applyFont="1" applyFill="1" applyBorder="1" applyAlignment="1">
      <alignment horizontal="right" vertical="center"/>
    </xf>
    <xf numFmtId="181" fontId="94" fillId="23" borderId="18" xfId="74" applyNumberFormat="1" applyFont="1" applyFill="1" applyBorder="1" applyAlignment="1">
      <alignment horizontal="right" vertical="center"/>
    </xf>
    <xf numFmtId="181" fontId="94" fillId="23" borderId="3" xfId="74" applyNumberFormat="1" applyFont="1" applyFill="1" applyBorder="1" applyAlignment="1">
      <alignment horizontal="right" vertical="center"/>
    </xf>
    <xf numFmtId="203" fontId="94" fillId="23" borderId="18" xfId="46" applyNumberFormat="1" applyFont="1" applyFill="1" applyBorder="1" applyAlignment="1">
      <alignment horizontal="right" vertical="center"/>
    </xf>
    <xf numFmtId="203" fontId="94" fillId="23" borderId="0" xfId="46" applyNumberFormat="1" applyFont="1" applyFill="1" applyBorder="1" applyAlignment="1">
      <alignment horizontal="right" vertical="center"/>
    </xf>
    <xf numFmtId="0" fontId="94" fillId="23" borderId="0" xfId="0" applyFont="1" applyFill="1" applyBorder="1"/>
    <xf numFmtId="172" fontId="94" fillId="23" borderId="18" xfId="0" applyNumberFormat="1" applyFont="1" applyFill="1" applyBorder="1" applyAlignment="1">
      <alignment horizontal="right" vertical="center"/>
    </xf>
    <xf numFmtId="9" fontId="94" fillId="23" borderId="0" xfId="0" applyNumberFormat="1" applyFont="1" applyFill="1" applyBorder="1" applyAlignment="1">
      <alignment horizontal="right" vertical="center"/>
    </xf>
    <xf numFmtId="203" fontId="94" fillId="23" borderId="0" xfId="0" applyNumberFormat="1" applyFont="1" applyFill="1" applyBorder="1" applyAlignment="1">
      <alignment horizontal="right" vertical="center"/>
    </xf>
    <xf numFmtId="203" fontId="94" fillId="23" borderId="18" xfId="0" applyNumberFormat="1" applyFont="1" applyFill="1" applyBorder="1" applyAlignment="1">
      <alignment horizontal="right" vertical="center"/>
    </xf>
    <xf numFmtId="203" fontId="94" fillId="23" borderId="3" xfId="0" applyNumberFormat="1" applyFont="1" applyFill="1" applyBorder="1" applyAlignment="1">
      <alignment horizontal="right" vertical="center"/>
    </xf>
    <xf numFmtId="9" fontId="3" fillId="0" borderId="0" xfId="74" applyFont="1" applyFill="1" applyBorder="1"/>
    <xf numFmtId="9" fontId="3" fillId="0" borderId="18" xfId="74" applyFont="1" applyFill="1" applyBorder="1" applyAlignment="1">
      <alignment horizontal="left" vertical="center" indent="1"/>
    </xf>
    <xf numFmtId="9" fontId="3" fillId="0" borderId="18" xfId="74" applyFont="1" applyBorder="1"/>
    <xf numFmtId="9" fontId="3" fillId="0" borderId="3" xfId="74" applyFont="1" applyFill="1" applyBorder="1"/>
    <xf numFmtId="9" fontId="3" fillId="0" borderId="0" xfId="74" applyFont="1"/>
    <xf numFmtId="9" fontId="3" fillId="0" borderId="18" xfId="74" applyFont="1" applyBorder="1" applyAlignment="1">
      <alignment horizontal="left" vertical="center" indent="1"/>
    </xf>
    <xf numFmtId="9" fontId="97" fillId="0" borderId="0" xfId="74" applyFont="1" applyFill="1" applyBorder="1"/>
    <xf numFmtId="9" fontId="97" fillId="0" borderId="3" xfId="74" applyFont="1" applyFill="1" applyBorder="1"/>
    <xf numFmtId="0" fontId="94" fillId="0" borderId="0" xfId="0" applyFont="1" applyFill="1"/>
    <xf numFmtId="179" fontId="8" fillId="22" borderId="0" xfId="0" applyNumberFormat="1" applyFont="1" applyFill="1" applyBorder="1" applyAlignment="1">
      <alignment horizontal="left" vertical="center" indent="1"/>
    </xf>
    <xf numFmtId="0" fontId="3" fillId="22" borderId="18" xfId="0" applyFont="1" applyFill="1" applyBorder="1" applyAlignment="1">
      <alignment horizontal="left" vertical="center"/>
    </xf>
    <xf numFmtId="9" fontId="3" fillId="22" borderId="18" xfId="74" applyFont="1" applyFill="1" applyBorder="1" applyAlignment="1">
      <alignment horizontal="left" vertical="center"/>
    </xf>
    <xf numFmtId="9" fontId="2" fillId="22" borderId="0" xfId="74" applyFont="1" applyFill="1" applyBorder="1"/>
    <xf numFmtId="180" fontId="3" fillId="0" borderId="18" xfId="0" applyNumberFormat="1" applyFont="1" applyFill="1" applyBorder="1" applyAlignment="1">
      <alignment horizontal="right" vertical="center"/>
    </xf>
    <xf numFmtId="9" fontId="2" fillId="0" borderId="18" xfId="74" applyFont="1" applyBorder="1" applyAlignment="1">
      <alignment horizontal="left" vertical="center"/>
    </xf>
    <xf numFmtId="43" fontId="2" fillId="0" borderId="13" xfId="0" applyNumberFormat="1" applyFont="1" applyBorder="1"/>
    <xf numFmtId="43" fontId="2" fillId="0" borderId="15" xfId="0" applyNumberFormat="1" applyFont="1" applyBorder="1"/>
    <xf numFmtId="187" fontId="2" fillId="0" borderId="19" xfId="0" applyNumberFormat="1" applyFont="1" applyBorder="1"/>
    <xf numFmtId="199" fontId="2" fillId="0" borderId="19" xfId="0" applyNumberFormat="1" applyFont="1" applyBorder="1"/>
    <xf numFmtId="199" fontId="2" fillId="0" borderId="13" xfId="0" applyNumberFormat="1" applyFont="1" applyBorder="1"/>
    <xf numFmtId="10" fontId="121" fillId="17" borderId="3" xfId="74" applyNumberFormat="1" applyFont="1" applyFill="1" applyBorder="1" applyAlignment="1">
      <alignment vertical="center"/>
    </xf>
    <xf numFmtId="199" fontId="6" fillId="0" borderId="0" xfId="0" applyNumberFormat="1" applyFont="1" applyAlignment="1">
      <alignment horizontal="right" vertical="center"/>
    </xf>
    <xf numFmtId="203" fontId="23" fillId="0" borderId="13" xfId="46" applyNumberFormat="1" applyFont="1" applyFill="1" applyBorder="1"/>
    <xf numFmtId="180" fontId="2" fillId="17" borderId="18" xfId="0" applyNumberFormat="1" applyFont="1" applyFill="1" applyBorder="1" applyAlignment="1">
      <alignment horizontal="right" vertical="center"/>
    </xf>
    <xf numFmtId="9" fontId="2" fillId="0" borderId="0" xfId="0" applyNumberFormat="1" applyFont="1" applyFill="1" applyBorder="1" applyAlignment="1">
      <alignment vertical="center"/>
    </xf>
    <xf numFmtId="203" fontId="111" fillId="0" borderId="18" xfId="46" applyNumberFormat="1" applyFont="1" applyFill="1" applyBorder="1" applyAlignment="1">
      <alignment horizontal="right" vertical="center"/>
    </xf>
    <xf numFmtId="203" fontId="111" fillId="0" borderId="0" xfId="46" applyNumberFormat="1" applyFont="1" applyFill="1" applyBorder="1" applyAlignment="1">
      <alignment horizontal="right" vertical="center"/>
    </xf>
    <xf numFmtId="203" fontId="111" fillId="0" borderId="3" xfId="46" applyNumberFormat="1" applyFont="1" applyFill="1" applyBorder="1" applyAlignment="1">
      <alignment horizontal="right" vertical="center"/>
    </xf>
    <xf numFmtId="179" fontId="3" fillId="0" borderId="18" xfId="0" applyNumberFormat="1" applyFont="1" applyFill="1" applyBorder="1" applyAlignment="1">
      <alignment horizontal="right" vertical="center"/>
    </xf>
    <xf numFmtId="179" fontId="3" fillId="0" borderId="3" xfId="0" applyNumberFormat="1" applyFont="1" applyFill="1" applyBorder="1" applyAlignment="1">
      <alignment horizontal="right" vertical="center"/>
    </xf>
    <xf numFmtId="220" fontId="2" fillId="0" borderId="0" xfId="0" applyNumberFormat="1" applyFont="1" applyFill="1" applyBorder="1" applyAlignment="1">
      <alignment horizontal="right" vertical="center"/>
    </xf>
    <xf numFmtId="180" fontId="50" fillId="17" borderId="0" xfId="0" applyNumberFormat="1" applyFont="1" applyFill="1" applyAlignment="1">
      <alignment vertical="center"/>
    </xf>
    <xf numFmtId="181" fontId="10" fillId="29" borderId="0" xfId="0" applyNumberFormat="1" applyFont="1" applyFill="1" applyAlignment="1">
      <alignment horizontal="right" vertical="center"/>
    </xf>
    <xf numFmtId="181" fontId="96" fillId="0" borderId="3" xfId="74" applyNumberFormat="1" applyFont="1" applyFill="1" applyBorder="1"/>
    <xf numFmtId="181" fontId="96" fillId="0" borderId="0" xfId="74" applyNumberFormat="1" applyFont="1" applyBorder="1"/>
    <xf numFmtId="180" fontId="2" fillId="0" borderId="3" xfId="74" applyNumberFormat="1" applyFont="1" applyBorder="1"/>
    <xf numFmtId="180" fontId="2" fillId="0" borderId="0" xfId="74" applyNumberFormat="1" applyFont="1" applyBorder="1"/>
    <xf numFmtId="0" fontId="3" fillId="17" borderId="19" xfId="0" applyFont="1" applyFill="1" applyBorder="1" applyAlignment="1">
      <alignment horizontal="center"/>
    </xf>
    <xf numFmtId="0" fontId="1" fillId="0" borderId="0" xfId="0" applyFont="1"/>
    <xf numFmtId="0" fontId="1" fillId="0" borderId="0" xfId="0" applyFont="1" applyFill="1" applyBorder="1"/>
    <xf numFmtId="9" fontId="2" fillId="0" borderId="0" xfId="46" applyNumberFormat="1" applyFont="1" applyFill="1" applyBorder="1"/>
    <xf numFmtId="9" fontId="96" fillId="22" borderId="18" xfId="0" applyNumberFormat="1" applyFont="1" applyFill="1" applyBorder="1" applyAlignment="1">
      <alignment horizontal="right" vertical="center"/>
    </xf>
    <xf numFmtId="187" fontId="3" fillId="17" borderId="3" xfId="46" applyNumberFormat="1" applyFont="1" applyFill="1" applyBorder="1" applyAlignment="1">
      <alignment horizontal="right" vertical="center"/>
    </xf>
    <xf numFmtId="187" fontId="3" fillId="17" borderId="0" xfId="46" applyNumberFormat="1" applyFont="1" applyFill="1" applyBorder="1" applyAlignment="1">
      <alignment horizontal="right" vertical="center"/>
    </xf>
    <xf numFmtId="179" fontId="110" fillId="17" borderId="0" xfId="0" applyNumberFormat="1" applyFont="1" applyFill="1" applyAlignment="1">
      <alignment vertical="center"/>
    </xf>
    <xf numFmtId="168" fontId="23" fillId="17" borderId="12" xfId="0" applyNumberFormat="1" applyFont="1" applyFill="1" applyBorder="1" applyAlignment="1">
      <alignment horizontal="center" vertical="center"/>
    </xf>
    <xf numFmtId="179" fontId="8" fillId="0" borderId="0" xfId="0" applyNumberFormat="1" applyFont="1" applyAlignment="1">
      <alignment horizontal="right" vertical="center"/>
    </xf>
    <xf numFmtId="4" fontId="8" fillId="0" borderId="0" xfId="0" applyNumberFormat="1" applyFont="1" applyAlignment="1">
      <alignment horizontal="right" vertical="center"/>
    </xf>
    <xf numFmtId="179" fontId="33" fillId="0" borderId="0" xfId="0" applyNumberFormat="1" applyFont="1" applyFill="1" applyBorder="1" applyAlignment="1">
      <alignment horizontal="right" vertical="center"/>
    </xf>
    <xf numFmtId="9" fontId="2" fillId="0" borderId="3" xfId="46" applyNumberFormat="1" applyFont="1" applyFill="1" applyBorder="1" applyAlignment="1">
      <alignment horizontal="right" vertical="center"/>
    </xf>
    <xf numFmtId="180" fontId="7" fillId="17" borderId="0" xfId="0" applyNumberFormat="1" applyFont="1" applyFill="1" applyAlignment="1">
      <alignment vertical="center"/>
    </xf>
    <xf numFmtId="4" fontId="26" fillId="0" borderId="3" xfId="0" applyNumberFormat="1" applyFont="1" applyFill="1" applyBorder="1" applyAlignment="1">
      <alignment horizontal="right" vertical="center"/>
    </xf>
    <xf numFmtId="4" fontId="26" fillId="0" borderId="0" xfId="0" applyNumberFormat="1" applyFont="1" applyFill="1" applyBorder="1" applyAlignment="1">
      <alignment horizontal="right" vertical="center"/>
    </xf>
    <xf numFmtId="180" fontId="26" fillId="0" borderId="0" xfId="0" applyNumberFormat="1" applyFont="1" applyFill="1" applyBorder="1" applyAlignment="1">
      <alignment horizontal="right" vertical="center"/>
    </xf>
    <xf numFmtId="174" fontId="96" fillId="22" borderId="0" xfId="0" applyNumberFormat="1" applyFont="1" applyFill="1" applyBorder="1" applyAlignment="1">
      <alignment horizontal="right" vertical="center"/>
    </xf>
    <xf numFmtId="174" fontId="96" fillId="22" borderId="44" xfId="0" applyNumberFormat="1" applyFont="1" applyFill="1" applyBorder="1" applyAlignment="1">
      <alignment horizontal="right" vertical="center"/>
    </xf>
    <xf numFmtId="0" fontId="106" fillId="0" borderId="0" xfId="0" applyFont="1" applyFill="1" applyBorder="1" applyAlignment="1">
      <alignment horizontal="left" indent="1"/>
    </xf>
    <xf numFmtId="179" fontId="106" fillId="17" borderId="0" xfId="0" applyNumberFormat="1" applyFont="1" applyFill="1" applyBorder="1" applyAlignment="1">
      <alignment vertical="center"/>
    </xf>
    <xf numFmtId="179" fontId="106" fillId="17" borderId="3" xfId="0" applyNumberFormat="1" applyFont="1" applyFill="1" applyBorder="1" applyAlignment="1">
      <alignment vertical="center"/>
    </xf>
    <xf numFmtId="181" fontId="97" fillId="0" borderId="3" xfId="74" applyNumberFormat="1" applyFont="1" applyFill="1" applyBorder="1"/>
    <xf numFmtId="181" fontId="97" fillId="0" borderId="0" xfId="74" applyNumberFormat="1" applyFont="1" applyFill="1" applyBorder="1"/>
    <xf numFmtId="170" fontId="3" fillId="0" borderId="0" xfId="0" applyNumberFormat="1" applyFont="1" applyFill="1" applyAlignment="1">
      <alignment horizontal="right" vertical="center"/>
    </xf>
    <xf numFmtId="181" fontId="123" fillId="0" borderId="0" xfId="0" applyNumberFormat="1" applyFont="1" applyFill="1" applyBorder="1" applyAlignment="1">
      <alignment vertical="center"/>
    </xf>
    <xf numFmtId="181" fontId="123" fillId="0" borderId="3" xfId="0" applyNumberFormat="1" applyFont="1" applyFill="1" applyBorder="1" applyAlignment="1">
      <alignment vertical="center"/>
    </xf>
    <xf numFmtId="181" fontId="123" fillId="17" borderId="0" xfId="0" applyNumberFormat="1" applyFont="1" applyFill="1" applyBorder="1" applyAlignment="1">
      <alignment horizontal="right" vertical="center"/>
    </xf>
    <xf numFmtId="181" fontId="123" fillId="17" borderId="3" xfId="0" applyNumberFormat="1" applyFont="1" applyFill="1" applyBorder="1" applyAlignment="1">
      <alignment horizontal="right" vertical="center"/>
    </xf>
    <xf numFmtId="0" fontId="123" fillId="0" borderId="18" xfId="0" applyFont="1" applyFill="1" applyBorder="1" applyAlignment="1">
      <alignment horizontal="left" indent="1"/>
    </xf>
    <xf numFmtId="187" fontId="10" fillId="0" borderId="0" xfId="46" applyNumberFormat="1" applyFont="1" applyFill="1" applyAlignment="1">
      <alignment vertical="center"/>
    </xf>
    <xf numFmtId="187" fontId="10" fillId="0" borderId="0" xfId="46" applyNumberFormat="1" applyFont="1" applyFill="1"/>
    <xf numFmtId="199" fontId="99" fillId="0" borderId="0" xfId="0" applyNumberFormat="1" applyFont="1" applyFill="1"/>
    <xf numFmtId="187" fontId="88" fillId="0" borderId="0" xfId="46" applyNumberFormat="1" applyFont="1" applyFill="1" applyAlignment="1">
      <alignment vertical="center"/>
    </xf>
    <xf numFmtId="0" fontId="3" fillId="0" borderId="0" xfId="0" applyFont="1" applyFill="1" applyAlignment="1">
      <alignment vertical="center"/>
    </xf>
    <xf numFmtId="187" fontId="3" fillId="0" borderId="0" xfId="0" applyNumberFormat="1" applyFont="1" applyFill="1" applyAlignment="1">
      <alignment vertical="center"/>
    </xf>
    <xf numFmtId="203" fontId="94" fillId="23" borderId="3" xfId="46" applyNumberFormat="1" applyFont="1" applyFill="1" applyBorder="1" applyAlignment="1">
      <alignment horizontal="right" vertical="center"/>
    </xf>
    <xf numFmtId="3" fontId="111" fillId="0" borderId="3" xfId="74" applyNumberFormat="1" applyFont="1" applyFill="1" applyBorder="1"/>
    <xf numFmtId="179" fontId="39" fillId="17" borderId="12" xfId="0" applyNumberFormat="1" applyFont="1" applyFill="1" applyBorder="1" applyAlignment="1">
      <alignment vertical="center"/>
    </xf>
    <xf numFmtId="204" fontId="120" fillId="0" borderId="0" xfId="0" applyNumberFormat="1" applyFont="1" applyFill="1" applyBorder="1" applyAlignment="1">
      <alignment vertical="center"/>
    </xf>
    <xf numFmtId="187" fontId="88" fillId="33" borderId="0" xfId="46" applyNumberFormat="1" applyFont="1" applyFill="1" applyBorder="1" applyAlignment="1">
      <alignment horizontal="right" vertical="center"/>
    </xf>
    <xf numFmtId="187" fontId="3" fillId="33" borderId="0" xfId="46" applyNumberFormat="1" applyFont="1" applyFill="1" applyBorder="1" applyAlignment="1">
      <alignment horizontal="right" vertical="center"/>
    </xf>
    <xf numFmtId="187" fontId="99" fillId="33" borderId="0" xfId="46" applyNumberFormat="1" applyFont="1" applyFill="1" applyBorder="1" applyAlignment="1">
      <alignment horizontal="right" vertical="center"/>
    </xf>
    <xf numFmtId="187" fontId="110" fillId="33" borderId="0" xfId="46" applyNumberFormat="1" applyFont="1" applyFill="1" applyBorder="1" applyAlignment="1">
      <alignment horizontal="right" vertical="center"/>
    </xf>
    <xf numFmtId="187" fontId="2" fillId="33" borderId="0" xfId="46" applyNumberFormat="1" applyFont="1" applyFill="1" applyBorder="1" applyAlignment="1">
      <alignment horizontal="right" vertical="center"/>
    </xf>
    <xf numFmtId="187" fontId="26" fillId="33" borderId="0" xfId="46" applyNumberFormat="1" applyFont="1" applyFill="1" applyBorder="1" applyAlignment="1">
      <alignment horizontal="right" vertical="center"/>
    </xf>
    <xf numFmtId="199" fontId="2" fillId="33" borderId="3" xfId="0" applyNumberFormat="1" applyFont="1" applyFill="1" applyBorder="1" applyAlignment="1">
      <alignment horizontal="right" vertical="center"/>
    </xf>
    <xf numFmtId="199" fontId="3" fillId="33" borderId="3" xfId="0" applyNumberFormat="1" applyFont="1" applyFill="1" applyBorder="1" applyAlignment="1">
      <alignment horizontal="right" vertical="center"/>
    </xf>
    <xf numFmtId="187" fontId="96" fillId="33" borderId="3" xfId="46" applyNumberFormat="1" applyFont="1" applyFill="1" applyBorder="1" applyAlignment="1">
      <alignment horizontal="right" vertical="center"/>
    </xf>
    <xf numFmtId="187" fontId="96" fillId="33" borderId="3" xfId="0" applyNumberFormat="1" applyFont="1" applyFill="1" applyBorder="1" applyAlignment="1">
      <alignment horizontal="right" vertical="center"/>
    </xf>
    <xf numFmtId="172" fontId="3" fillId="33" borderId="3" xfId="0" applyNumberFormat="1" applyFont="1" applyFill="1" applyBorder="1" applyAlignment="1">
      <alignment horizontal="right" vertical="center"/>
    </xf>
    <xf numFmtId="43" fontId="37" fillId="17" borderId="0" xfId="46" applyFont="1" applyFill="1" applyAlignment="1">
      <alignment vertical="center"/>
    </xf>
    <xf numFmtId="180" fontId="3" fillId="0" borderId="12" xfId="0" applyNumberFormat="1" applyFont="1" applyFill="1" applyBorder="1" applyAlignment="1">
      <alignment horizontal="right" vertical="center"/>
    </xf>
    <xf numFmtId="180" fontId="37" fillId="17" borderId="0" xfId="0" applyNumberFormat="1" applyFont="1" applyFill="1" applyAlignment="1">
      <alignment vertical="center"/>
    </xf>
    <xf numFmtId="49" fontId="3" fillId="17" borderId="16" xfId="0" applyNumberFormat="1" applyFont="1" applyFill="1" applyBorder="1" applyAlignment="1">
      <alignment horizontal="center" vertical="center"/>
    </xf>
    <xf numFmtId="49" fontId="3" fillId="17" borderId="20" xfId="0" applyNumberFormat="1" applyFont="1" applyFill="1" applyBorder="1" applyAlignment="1">
      <alignment horizontal="center" vertical="center"/>
    </xf>
    <xf numFmtId="49" fontId="3" fillId="17" borderId="17" xfId="0" applyNumberFormat="1" applyFont="1" applyFill="1" applyBorder="1" applyAlignment="1">
      <alignment horizontal="center" vertical="center"/>
    </xf>
    <xf numFmtId="0" fontId="1" fillId="0" borderId="0" xfId="91"/>
    <xf numFmtId="0" fontId="1" fillId="37" borderId="0" xfId="90" applyFont="1" applyFill="1" applyAlignment="1">
      <alignment vertical="top"/>
    </xf>
    <xf numFmtId="0" fontId="1" fillId="37" borderId="0" xfId="91" applyFill="1" applyAlignment="1">
      <alignment vertical="top"/>
    </xf>
    <xf numFmtId="0" fontId="1" fillId="37" borderId="0" xfId="91" applyFill="1"/>
    <xf numFmtId="0" fontId="31" fillId="37" borderId="0" xfId="90" applyFont="1" applyFill="1" applyAlignment="1">
      <alignment horizontal="left" vertical="top"/>
    </xf>
    <xf numFmtId="0" fontId="1" fillId="37" borderId="0" xfId="91" applyFont="1" applyFill="1" applyAlignment="1">
      <alignment vertical="top"/>
    </xf>
    <xf numFmtId="0" fontId="125" fillId="37" borderId="0" xfId="90" applyFont="1" applyFill="1" applyAlignment="1">
      <alignment vertical="top"/>
    </xf>
    <xf numFmtId="0" fontId="0" fillId="37" borderId="0" xfId="0" applyFill="1" applyAlignment="1">
      <alignment vertical="top"/>
    </xf>
    <xf numFmtId="0" fontId="126" fillId="37" borderId="0" xfId="0" applyFont="1" applyFill="1" applyAlignment="1">
      <alignment vertical="top"/>
    </xf>
    <xf numFmtId="0" fontId="127" fillId="37" borderId="0" xfId="0" applyFont="1" applyFill="1" applyAlignment="1">
      <alignment vertical="top"/>
    </xf>
    <xf numFmtId="0" fontId="127" fillId="37" borderId="0" xfId="0" applyFont="1" applyFill="1" applyAlignment="1">
      <alignment vertical="top"/>
    </xf>
    <xf numFmtId="0" fontId="126" fillId="37" borderId="0" xfId="0" applyFont="1" applyFill="1" applyAlignment="1">
      <alignment vertical="top"/>
    </xf>
    <xf numFmtId="0" fontId="0" fillId="37" borderId="0" xfId="0" applyFill="1" applyAlignment="1">
      <alignment vertical="top"/>
    </xf>
    <xf numFmtId="0" fontId="0" fillId="37" borderId="40" xfId="0" applyFill="1" applyBorder="1" applyAlignment="1">
      <alignment vertical="top"/>
    </xf>
    <xf numFmtId="0" fontId="126" fillId="37" borderId="74" xfId="0" applyFont="1" applyFill="1" applyBorder="1" applyAlignment="1">
      <alignment vertical="top"/>
    </xf>
    <xf numFmtId="0" fontId="126" fillId="37" borderId="75" xfId="0" applyFont="1" applyFill="1" applyBorder="1" applyAlignment="1">
      <alignment vertical="top"/>
    </xf>
    <xf numFmtId="0" fontId="126" fillId="37" borderId="76" xfId="0" applyFont="1" applyFill="1" applyBorder="1" applyAlignment="1">
      <alignment vertical="top"/>
    </xf>
    <xf numFmtId="0" fontId="126" fillId="37" borderId="77" xfId="0" applyFont="1" applyFill="1" applyBorder="1" applyAlignment="1">
      <alignment vertical="top"/>
    </xf>
    <xf numFmtId="9" fontId="126" fillId="37" borderId="74" xfId="0" applyNumberFormat="1" applyFont="1" applyFill="1" applyBorder="1" applyAlignment="1">
      <alignment vertical="top"/>
    </xf>
    <xf numFmtId="3" fontId="126" fillId="37" borderId="74" xfId="0" applyNumberFormat="1" applyFont="1" applyFill="1" applyBorder="1" applyAlignment="1">
      <alignment vertical="top"/>
    </xf>
    <xf numFmtId="0" fontId="0" fillId="37" borderId="39" xfId="0" applyFill="1" applyBorder="1" applyAlignment="1">
      <alignment vertical="top"/>
    </xf>
    <xf numFmtId="2" fontId="1" fillId="0" borderId="0" xfId="91" applyNumberFormat="1" applyAlignment="1">
      <alignment horizontal="left"/>
    </xf>
    <xf numFmtId="0" fontId="1" fillId="0" borderId="0" xfId="91" applyNumberFormat="1" applyAlignment="1">
      <alignment horizontal="left"/>
    </xf>
    <xf numFmtId="1" fontId="1" fillId="0" borderId="0" xfId="91" applyNumberFormat="1" applyAlignment="1">
      <alignment horizontal="left"/>
    </xf>
    <xf numFmtId="0" fontId="1" fillId="0" borderId="0" xfId="91" applyFont="1"/>
    <xf numFmtId="237" fontId="1" fillId="0" borderId="0" xfId="91" applyNumberFormat="1" applyAlignment="1">
      <alignment horizontal="left"/>
    </xf>
    <xf numFmtId="49" fontId="1" fillId="0" borderId="0" xfId="91" applyNumberFormat="1"/>
  </cellXfs>
  <cellStyles count="92">
    <cellStyle name="$_AA - BenefitsBonus " xfId="1"/>
    <cellStyle name="_AA - BenefitsBonus " xfId="2"/>
    <cellStyle name="_Comma_AA - BenefitsBonus " xfId="3"/>
    <cellStyle name="_Currency_AA - BenefitsBonus " xfId="4"/>
    <cellStyle name="_CurrencySpace_AA - BenefitsBonus " xfId="5"/>
    <cellStyle name="—_GS_Cash " xfId="6"/>
    <cellStyle name="_Multiple_AA - BenefitsBonus " xfId="7"/>
    <cellStyle name="_MultipleSpace_AA - BenefitsBonus " xfId="8"/>
    <cellStyle name="_Percent_AA - BenefitsBonus " xfId="9"/>
    <cellStyle name="_PercentSpace_AA - BenefitsBonus " xfId="10"/>
    <cellStyle name="_SUMMARY " xfId="11"/>
    <cellStyle name="_SUMMARY  2" xfId="12"/>
    <cellStyle name="_Wireline Tel Forecast " xfId="13"/>
    <cellStyle name="0_Capex &amp; Depreciation " xfId="14"/>
    <cellStyle name="0_Valuing BP " xfId="15"/>
    <cellStyle name="0_Wireline Tel Forecast " xfId="16"/>
    <cellStyle name="20% - Accent1" xfId="17" builtinId="30" customBuiltin="1"/>
    <cellStyle name="20% - Accent2" xfId="18" builtinId="34" customBuiltin="1"/>
    <cellStyle name="20% - Accent3" xfId="19" builtinId="38" customBuiltin="1"/>
    <cellStyle name="20% - Accent4" xfId="20" builtinId="42" customBuiltin="1"/>
    <cellStyle name="20% - Accent5" xfId="21" builtinId="46" customBuiltin="1"/>
    <cellStyle name="20% - Accent6" xfId="22" builtinId="50" customBuiltin="1"/>
    <cellStyle name="3232" xfId="23"/>
    <cellStyle name="40% - Accent1" xfId="24" builtinId="31" customBuiltin="1"/>
    <cellStyle name="40% - Accent2" xfId="25" builtinId="35" customBuiltin="1"/>
    <cellStyle name="40% - Accent3" xfId="26" builtinId="39" customBuiltin="1"/>
    <cellStyle name="40% - Accent4" xfId="27" builtinId="43" customBuiltin="1"/>
    <cellStyle name="40% - Accent5" xfId="28" builtinId="47" customBuiltin="1"/>
    <cellStyle name="40% - Accent6" xfId="29" builtinId="51" customBuiltin="1"/>
    <cellStyle name="60% - Accent1" xfId="30" builtinId="32" customBuiltin="1"/>
    <cellStyle name="60% - Accent2" xfId="31" builtinId="36" customBuiltin="1"/>
    <cellStyle name="60% - Accent3" xfId="32" builtinId="40" customBuiltin="1"/>
    <cellStyle name="60% - Accent4" xfId="33" builtinId="44" customBuiltin="1"/>
    <cellStyle name="60% - Accent5" xfId="34" builtinId="48" customBuiltin="1"/>
    <cellStyle name="60% - Accent6" xfId="35" builtinId="52" customBuiltin="1"/>
    <cellStyle name="Accent1" xfId="36" builtinId="29" customBuiltin="1"/>
    <cellStyle name="Accent2" xfId="37" builtinId="33" customBuiltin="1"/>
    <cellStyle name="Accent3" xfId="38" builtinId="37" customBuiltin="1"/>
    <cellStyle name="Accent4" xfId="39" builtinId="41" customBuiltin="1"/>
    <cellStyle name="Accent5" xfId="40" builtinId="45" customBuiltin="1"/>
    <cellStyle name="Accent6" xfId="41" builtinId="49" customBuiltin="1"/>
    <cellStyle name="Bad" xfId="42" builtinId="27" customBuiltin="1"/>
    <cellStyle name="c_HardInc " xfId="43"/>
    <cellStyle name="Calculation" xfId="44" builtinId="22" customBuiltin="1"/>
    <cellStyle name="Check Cell" xfId="45" builtinId="23" customBuiltin="1"/>
    <cellStyle name="Comma" xfId="46" builtinId="3"/>
    <cellStyle name="Comma 2" xfId="47"/>
    <cellStyle name="Comma 3 2" xfId="48"/>
    <cellStyle name="Currency" xfId="49" builtinId="4"/>
    <cellStyle name="Currency 2" xfId="50"/>
    <cellStyle name="Currency 3" xfId="51"/>
    <cellStyle name="Currency 4" xfId="89"/>
    <cellStyle name="d_yield_AA - BenefitsBonus " xfId="52"/>
    <cellStyle name="Explanatory Text" xfId="53" builtinId="53" customBuiltin="1"/>
    <cellStyle name="g_rate_AA - BenefitsBonus " xfId="54"/>
    <cellStyle name="Good" xfId="55" builtinId="26" customBuiltin="1"/>
    <cellStyle name="Hard Percent_2005 TDS Mgmt Summaries MASTER " xfId="56"/>
    <cellStyle name="Heading 1" xfId="57" builtinId="16" customBuiltin="1"/>
    <cellStyle name="Heading 2" xfId="58" builtinId="17" customBuiltin="1"/>
    <cellStyle name="Heading 3" xfId="59" builtinId="18" customBuiltin="1"/>
    <cellStyle name="Heading 4" xfId="60" builtinId="19" customBuiltin="1"/>
    <cellStyle name="Input" xfId="61" builtinId="20" customBuiltin="1"/>
    <cellStyle name="Linked Cell" xfId="62" builtinId="24" customBuiltin="1"/>
    <cellStyle name="m_AA - BenefitsBonus " xfId="63"/>
    <cellStyle name="Neutral" xfId="64" builtinId="28" customBuiltin="1"/>
    <cellStyle name="Normal" xfId="0" builtinId="0"/>
    <cellStyle name="Normal 16" xfId="65"/>
    <cellStyle name="Normal 2" xfId="66"/>
    <cellStyle name="Normal 3" xfId="91"/>
    <cellStyle name="Normal 4" xfId="67"/>
    <cellStyle name="Normal 5" xfId="68"/>
    <cellStyle name="Normal_DisclaimerSheet Samples" xfId="90"/>
    <cellStyle name="Note" xfId="69" builtinId="10" customBuiltin="1"/>
    <cellStyle name="Note 2" xfId="70"/>
    <cellStyle name="Onedec_FT Valuation " xfId="71"/>
    <cellStyle name="Output" xfId="72" builtinId="21" customBuiltin="1"/>
    <cellStyle name="p " xfId="73"/>
    <cellStyle name="Percent" xfId="74" builtinId="5"/>
    <cellStyle name="Percent 2" xfId="75"/>
    <cellStyle name="Percent 2 3" xfId="76"/>
    <cellStyle name="q_AA - BenefitsBonus " xfId="77"/>
    <cellStyle name="RRSInstruction" xfId="78"/>
    <cellStyle name="RRSInstruction 2" xfId="88"/>
    <cellStyle name="s_DCFLBO Code_Wireline Tel Forecast " xfId="79"/>
    <cellStyle name="s_HardInc " xfId="80"/>
    <cellStyle name="s_Valuation " xfId="81"/>
    <cellStyle name="ssp " xfId="82"/>
    <cellStyle name="Title" xfId="83" builtinId="15" customBuiltin="1"/>
    <cellStyle name="Total" xfId="84" builtinId="25" customBuiltin="1"/>
    <cellStyle name="Warning Text" xfId="85" builtinId="11" customBuiltin="1"/>
    <cellStyle name="콤마 [0]_#3이설 견적_준공내역총괄표 " xfId="86"/>
    <cellStyle name="콤마_#3이설 견적_준공내역총괄표 " xfId="87"/>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3EC65"/>
      <rgbColor rgb="00F26163"/>
      <rgbColor rgb="00F9CF49"/>
      <rgbColor rgb="00B2122B"/>
      <rgbColor rgb="00238B45"/>
      <rgbColor rgb="001B4694"/>
      <rgbColor rgb="0041A95C"/>
      <rgbColor rgb="00800080"/>
      <rgbColor rgb="00FFF9D7"/>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CAEAC3"/>
      <rgbColor rgb="00EFC49F"/>
      <rgbColor rgb="00ACD7E4"/>
      <rgbColor rgb="0097D0DD"/>
      <rgbColor rgb="00A5D981"/>
      <rgbColor rgb="00F8CD14"/>
      <rgbColor rgb="00EACC80"/>
      <rgbColor rgb="00FC7114"/>
      <rgbColor rgb="004091BF"/>
      <rgbColor rgb="00969696"/>
      <rgbColor rgb="00003366"/>
      <rgbColor rgb="00EEA58E"/>
      <rgbColor rgb="0098B187"/>
      <rgbColor rgb="00125A31"/>
      <rgbColor rgb="00DDDDDD"/>
      <rgbColor rgb="00EBEBEB"/>
      <rgbColor rgb="00002978"/>
      <rgbColor rgb="00333333"/>
    </indexedColors>
    <mruColors>
      <color rgb="FF0070C0"/>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-7.42308E-2</v>
        <stp/>
        <stp>3cbde158-cbce-4d7d-a960-ec50482da0c8</stp>
        <tr r="J26" s="35"/>
      </tp>
      <tp>
        <v>712.84500000000003</v>
        <stp/>
        <stp>77adf9fc-52ba-499d-853a-9d9c6ef4dec2</stp>
        <tr r="AB21" s="35"/>
      </tp>
      <tp>
        <v>-0.17346200000000001</v>
        <stp/>
        <stp>48c6437b-ae4c-4187-b9bc-209324b1c37f</stp>
        <tr r="AA26" s="35"/>
      </tp>
      <tp>
        <v>0.92425000000000002</v>
        <stp/>
        <stp>c10fcfcc-dafd-4006-9d74-4910765fa4fe</stp>
        <tr r="AE23" s="35"/>
      </tp>
      <tp>
        <v>21.919</v>
        <stp/>
        <stp>91652941-913f-41ad-a21b-1709d88dcb56</stp>
        <tr r="F24" s="35"/>
      </tp>
      <tp>
        <v>198.60400000000001</v>
        <stp/>
        <stp>db2838a0-1aaa-4e3e-a5bf-a2ca66e26b71</stp>
        <tr r="O21" s="35"/>
      </tp>
      <tp>
        <v>169.821</v>
        <stp/>
        <stp>b4025c2f-1a50-45ae-9f23-988df46fa758</stp>
        <tr r="J21" s="35"/>
      </tp>
      <tp>
        <v>843.55700000000002</v>
        <stp/>
        <stp>ddbb1dc6-97f6-4b96-bded-1177f0d26a19</stp>
        <tr r="AC21" s="35"/>
      </tp>
      <tp>
        <v>133.482</v>
        <stp/>
        <stp>4f7730c3-c51a-4ffb-8b89-9de1b886798d</stp>
        <tr r="D21" s="35"/>
      </tp>
      <tp>
        <v>220.8</v>
        <stp/>
        <stp>ffebfae1-8440-4c26-83e8-cac6e30e24c1</stp>
        <tr r="Q21" s="35"/>
      </tp>
      <tp>
        <v>194.48599999999999</v>
        <stp/>
        <stp>16647934-3c28-499c-b7f3-bfa415061ab0</stp>
        <tr r="L21" s="35"/>
      </tp>
      <tp>
        <v>548.36900000000003</v>
        <stp/>
        <stp>55ae9ed3-eba3-401b-ac9e-d7d0a7580ed9</stp>
        <tr r="AA21" s="35"/>
      </tp>
      <tp>
        <v>0.92076199999999997</v>
        <stp/>
        <stp>984f277f-49d6-48c5-80f5-860d4a929438</stp>
        <tr r="Q23" s="35"/>
      </tp>
      <tp>
        <v>0.92076199999999997</v>
        <stp/>
        <stp>85a7873e-25b1-4037-80e9-1f3e00673882</stp>
        <tr r="W23" s="35"/>
      </tp>
      <tp>
        <v>-1.53846E-2</v>
        <stp/>
        <stp>2b5c31ab-06e8-4b16-a50f-6e94989e25ad</stp>
        <tr r="W26" s="35"/>
      </tp>
      <tp>
        <v>11.4452</v>
        <stp/>
        <stp>b160128c-0dd2-4d34-93f3-068339d02caa</stp>
        <tr r="I24" s="35"/>
      </tp>
      <tp>
        <v>4.7391299999999997E-2</v>
        <stp/>
        <stp>96925b98-097c-41c6-9f31-ef3bd399a98b</stp>
        <tr r="R26" s="35"/>
      </tp>
      <tp>
        <v>152.351</v>
        <stp/>
        <stp>3b9daeab-3a96-4d98-8ca6-c7440d8890c9</stp>
        <tr r="F21" s="35"/>
      </tp>
      <tp>
        <v>155.56800000000001</v>
        <stp/>
        <stp>18cac75c-f6ff-45b7-9f87-138779208bbd</stp>
        <tr r="I21" s="35"/>
      </tp>
      <tp>
        <v>23.181799999999999</v>
        <stp/>
        <stp>92434b70-f666-48a0-ba10-62c879bc53fd</stp>
        <tr r="D24" s="35"/>
      </tp>
      <tp>
        <v>0.17260900000000001</v>
        <stp/>
        <stp>d8541c12-63fb-48e3-95f8-a5d49c81da21</stp>
        <tr r="AC26" s="35"/>
      </tp>
      <tp>
        <v>14.4779</v>
        <stp/>
        <stp>c6288079-1902-4877-87ac-55f699f64b61</stp>
        <tr r="E24" s="35"/>
      </tp>
      <tp>
        <v>119.96</v>
        <stp/>
        <stp>96136475-30e6-4903-9c0b-32561870d937</stp>
        <tr r="C21" s="35"/>
      </tp>
      <tp>
        <v>-0.16206899999999999</v>
        <stp/>
        <stp>fa4915ee-dc62-4c17-966d-239ed768f43f</stp>
        <tr r="I26" s="35"/>
      </tp>
      <tp>
        <v>198.60400000000001</v>
        <stp/>
        <stp>a227959f-9a47-4de1-9418-c4b09290b9d9</stp>
        <tr r="U21" s="35"/>
      </tp>
      <tp>
        <v>141.42099999999999</v>
        <stp/>
        <stp>703a7f48-fc78-46e8-9bb7-de13a7f1596f</stp>
        <tr r="E21" s="35"/>
      </tp>
      <tp>
        <v>27.6999</v>
        <stp/>
        <stp>429e4124-4b02-4301-9436-625945756004</stp>
        <tr r="K24" s="35"/>
      </tp>
      <tp>
        <v>4.7391299999999997E-2</v>
        <stp/>
        <stp>c1db84e6-9f7b-48dc-8a33-ed214214f958</stp>
        <tr r="X26" s="35"/>
      </tp>
      <tp>
        <v>0.931562</v>
        <stp/>
        <stp>4d87300c-5909-4056-8bd7-7a489a29e0dc</stp>
        <tr r="D23" s="35"/>
      </tp>
      <tp>
        <v>-8.0740699999999999E-2</v>
        <stp/>
        <stp>e3868ac3-b86e-40b2-82fa-3ef02a7c7c92</stp>
        <tr r="U26" s="35"/>
      </tp>
      <tp>
        <v>214.96299999999999</v>
        <stp/>
        <stp>6de5d138-8f90-450d-a0b7-87bc6fd1c991</stp>
        <tr r="X21" s="35"/>
      </tp>
      <tp>
        <v>-8.85185E-2</v>
        <stp/>
        <stp>be44aebd-9c1c-4d9b-a0d5-08b3445b576d</stp>
        <tr r="E26" s="35"/>
      </tp>
      <tp>
        <v>950.33500000000004</v>
        <stp/>
        <stp>eb5a45ca-b850-4bb8-a384-4bf502ebba16</stp>
        <tr r="AD21" s="35"/>
      </tp>
      <tp>
        <v>3.0800000000000001E-2</v>
        <stp/>
        <stp>49f7bbc7-85be-48ae-8030-ef93b529ecea</stp>
        <tr r="L26" s="35"/>
      </tp>
      <tp>
        <v>0.91841399999999995</v>
        <stp/>
        <stp>fa38cd5b-0781-4b53-9c66-20398d0c8a65</stp>
        <tr r="AC23" s="35"/>
      </tp>
      <tp>
        <v>-8.0740699999999999E-2</v>
        <stp/>
        <stp>00728cb1-c7d6-4f1f-bd9a-37e089514de8</stp>
        <tr r="O26" s="35"/>
      </tp>
      <tp>
        <v>26.795000000000002</v>
        <stp/>
        <stp>d0fb11b7-2017-4f8f-9815-830ba39edbc7</stp>
        <tr r="U24" s="35"/>
      </tp>
      <tp>
        <v>0.909057</v>
        <stp/>
        <stp>9490dd67-2187-4f6e-a74f-91f0e7f53356</stp>
        <tr r="K23" s="35"/>
      </tp>
      <tp>
        <v>33.255499999999998</v>
        <stp/>
        <stp>c2cc27fa-e37d-43f1-80ed-659d54042360</stp>
        <tr r="V24" s="35"/>
      </tp>
      <tp>
        <v>-1.53846E-2</v>
        <stp/>
        <stp>0bab7dd1-4d41-4d75-8aa9-27c54d9f0305</stp>
        <tr r="Q26" s="35"/>
      </tp>
      <tp>
        <v>1105.944</v>
        <stp/>
        <stp>a5264527-7a3d-4d67-98dd-fcf217f0064e</stp>
        <tr r="AE21" s="35"/>
      </tp>
      <tp>
        <v>38.625999999999998</v>
        <stp/>
        <stp>e59589b0-b983-4857-9340-68aad27f6a58</stp>
        <tr r="L24" s="35"/>
      </tp>
      <tp>
        <v>113.413</v>
        <stp/>
        <stp>04311bd0-0d0d-4225-9b06-500c3d8a818c</stp>
        <tr r="AB24" s="35"/>
      </tp>
      <tp>
        <v>34.742699999999999</v>
        <stp/>
        <stp>255d2c36-d726-41a3-817b-4f7c4353bd99</stp>
        <tr r="Q24" s="35"/>
      </tp>
      <tp>
        <v>0.90432299999999999</v>
        <stp/>
        <stp>5873fbc7-6305-4261-8995-7cb8e5f3758c</stp>
        <tr r="I23" s="35"/>
      </tp>
      <tp>
        <v>33.255499999999998</v>
        <stp/>
        <stp>d596dfc7-b89d-4711-af46-0848b0963d3c</stp>
        <tr r="P24" s="35"/>
      </tp>
      <tp>
        <v>0.91655299999999995</v>
        <stp/>
        <stp>327c80b1-bf7e-42c6-be7b-53b08925432d</stp>
        <tr r="AB23" s="35"/>
      </tp>
      <tp>
        <v>0.90314099999999997</v>
        <stp/>
        <stp>04d52c45-6864-45f4-a252-6d7a89e43e91</stp>
        <tr r="F23" s="35"/>
      </tp>
      <tp>
        <v>0.91796699999999998</v>
        <stp/>
        <stp>cb40f722-3b1c-4933-837d-b95ed74fc47f</stp>
        <tr r="V23" s="35"/>
      </tp>
      <tp>
        <v>34.742699999999999</v>
        <stp/>
        <stp>6308a55f-ca7b-4427-a639-72313336093d</stp>
        <tr r="W24" s="35"/>
      </tp>
      <tp>
        <v>-3.1153900000000002E-2</v>
        <stp/>
        <stp>c7f2899e-ba70-48b8-a098-faee609d6ed5</stp>
        <tr r="V26" s="35"/>
      </tp>
      <tp>
        <v>20.5609</v>
        <stp/>
        <stp>2fbec3e9-a203-4357-bc6a-13dca880cdbc</stp>
        <tr r="C24" s="35"/>
      </tp>
      <tp>
        <v>197.30699999999999</v>
        <stp/>
        <stp>7a38229e-acef-4ab1-9e35-b93b22a09a8b</stp>
        <tr r="AD24" s="35"/>
      </tp>
      <tp>
        <v>0.91983000000000004</v>
        <stp/>
        <stp>998e2ff7-e35b-401d-b93f-117350be5714</stp>
        <tr r="L23" s="35"/>
      </tp>
      <tp>
        <v>0.93561899999999998</v>
        <stp/>
        <stp>3495eb39-cfa6-4a6a-9e83-7af5cd22e2fb</stp>
        <tr r="C23" s="35"/>
      </tp>
      <tp>
        <v>204.92599999999999</v>
        <stp/>
        <stp>209f2f74-1044-4059-a368-5e1450f94fb1</stp>
        <tr r="P21" s="35"/>
      </tp>
      <tp>
        <v>0.377</v>
        <stp/>
        <stp>608bdfed-b4b0-418e-9e12-8ecfaf693824</stp>
        <tr r="AD26" s="35"/>
      </tp>
      <tp>
        <v>0.68100000000000005</v>
        <stp/>
        <stp>777bd70c-ced2-4bf4-b20a-42ffe9a7e031</stp>
        <tr r="AE26" s="35"/>
      </tp>
      <tp>
        <v>-3.1724099999999998E-2</v>
        <stp/>
        <stp>153f9c8e-5f68-46a9-a0e2-9049cd4977f8</stp>
        <tr r="K26" s="35"/>
      </tp>
      <tp>
        <v>0.92441000000000006</v>
        <stp/>
        <stp>ad802161-9599-4f0b-99ce-deedb51f1a77</stp>
        <tr r="AD23" s="35"/>
      </tp>
      <tp>
        <v>0.92249300000000001</v>
        <stp/>
        <stp>80d75653-28cd-42cf-a157-911188a250bd</stp>
        <tr r="X23" s="35"/>
      </tp>
      <tp>
        <v>1.11538E-2</v>
        <stp/>
        <stp>ae6de7ad-8eaf-4684-9b66-7c5d5076cdcb</stp>
        <tr r="D26" s="35"/>
      </tp>
      <tp>
        <v>183.02500000000001</v>
        <stp/>
        <stp>60866e6c-a075-491c-a6cb-98482ac4f242</stp>
        <tr r="K21" s="35"/>
      </tp>
      <tp>
        <v>-3.1153900000000002E-2</v>
        <stp/>
        <stp>47bfad98-9eb3-4a01-b445-bd93d8e47c52</stp>
        <tr r="P26" s="35"/>
      </tp>
      <tp>
        <v>248.57</v>
        <stp/>
        <stp>e8d3a7e4-e16e-4acd-ac9d-1794d5233e91</stp>
        <tr r="AE24" s="35"/>
      </tp>
      <tp>
        <v>1.29167E-2</v>
        <stp/>
        <stp>7c7f1e04-8387-4230-be53-ff42848768b6</stp>
        <tr r="C26" s="35"/>
      </tp>
      <tp>
        <v>153.048</v>
        <stp/>
        <stp>082df0ca-281f-417f-ad74-2e6acf30b96c</stp>
        <tr r="AC24" s="35"/>
      </tp>
      <tp>
        <v>73.4375</v>
        <stp/>
        <stp>46134ca8-161f-4d69-8833-a8b90d07ac55</stp>
        <tr r="AA24" s="35"/>
      </tp>
      <tp>
        <v>41.604900000000001</v>
        <stp/>
        <stp>14fc710f-2b21-446d-9cbe-e27ce29efc66</stp>
        <tr r="R24" s="35"/>
      </tp>
      <tp>
        <v>0.91796699999999998</v>
        <stp/>
        <stp>621bda15-e0de-43c3-8430-03fa35b88ce2</stp>
        <tr r="P23" s="35"/>
      </tp>
      <tp>
        <v>41.604900000000001</v>
        <stp/>
        <stp>c8e050ab-bf08-4545-ba8e-2c288fbc21f6</stp>
        <tr r="X24" s="35"/>
      </tp>
      <tp>
        <v>-3.2592599999999999E-2</v>
        <stp/>
        <stp>f1763e00-ee9c-4882-a537-cfcb13e2b6dd</stp>
        <tr r="F26" s="35"/>
      </tp>
      <tp>
        <v>0.90192499999999998</v>
        <stp/>
        <stp>55980c2d-14a0-4c40-b726-c1bfa252d22d</stp>
        <tr r="E23" s="35"/>
      </tp>
      <tp>
        <v>0.91642500000000005</v>
        <stp/>
        <stp>36732b54-cdc5-41cf-9ec0-e5d526ac0ed0</stp>
        <tr r="O23" s="35"/>
      </tp>
      <tp>
        <v>0.92249300000000001</v>
        <stp/>
        <stp>c334a410-7bb1-4391-a2b2-c30d575273a4</stp>
        <tr r="R23" s="35"/>
      </tp>
      <tp>
        <v>214.96299999999999</v>
        <stp/>
        <stp>d48fabee-3eb9-48b2-baa1-43100c31b20a</stp>
        <tr r="R21" s="35"/>
      </tp>
      <tp>
        <v>0.91642500000000005</v>
        <stp/>
        <stp>86ac57b0-eb40-49be-9b88-c91b663ddbe9</stp>
        <tr r="U23" s="35"/>
      </tp>
      <tp>
        <v>0.90856800000000004</v>
        <stp/>
        <stp>069e7fa5-ab30-48af-9f38-e7f29b5bdd52</stp>
        <tr r="AA23" s="35"/>
      </tp>
      <tp>
        <v>220.8</v>
        <stp/>
        <stp>3e2f7b80-7944-490d-80e5-54b901542aaa</stp>
        <tr r="W21" s="35"/>
      </tp>
      <tp>
        <v>26.795000000000002</v>
        <stp/>
        <stp>8eb63bbe-25e9-4c55-9041-df13f623a178</stp>
        <tr r="O24" s="35"/>
      </tp>
      <tp>
        <v>23.302900000000001</v>
        <stp/>
        <stp>21fb7219-d234-4135-a759-9cc5bfe647d7</stp>
        <tr r="J24" s="35"/>
      </tp>
      <tp>
        <v>0.90578499999999995</v>
        <stp/>
        <stp>6a943a37-1e02-46b8-8843-10163b6d1960</stp>
        <tr r="J23" s="35"/>
      </tp>
      <tp>
        <v>204.92599999999999</v>
        <stp/>
        <stp>bbb4cb72-ed7a-4ef2-8ebd-ae3012e57475</stp>
        <tr r="V21" s="35"/>
      </tp>
      <tp>
        <v>-0.13250000000000001</v>
        <stp/>
        <stp>abdce4fd-697d-4808-910b-49d50bddbee1</stp>
        <tr r="AB26" s="35"/>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externalLinks/externalLink1.xml" Type="http://schemas.openxmlformats.org/officeDocument/2006/relationships/externalLink"/>
<Relationship Id="rId15" Target="externalLinks/externalLink2.xml" Type="http://schemas.openxmlformats.org/officeDocument/2006/relationships/externalLink"/>
<Relationship Id="rId16" Target="externalLinks/externalLink3.xml" Type="http://schemas.openxmlformats.org/officeDocument/2006/relationships/externalLink"/>
<Relationship Id="rId17" Target="externalLinks/externalLink4.xml" Type="http://schemas.openxmlformats.org/officeDocument/2006/relationships/externalLink"/>
<Relationship Id="rId18" Target="externalLinks/externalLink5.xml" Type="http://schemas.openxmlformats.org/officeDocument/2006/relationships/externalLink"/>
<Relationship Id="rId19" Target="externalLinks/externalLink6.xml" Type="http://schemas.openxmlformats.org/officeDocument/2006/relationships/externalLink"/>
<Relationship Id="rId2" Target="worksheets/sheet2.xml" Type="http://schemas.openxmlformats.org/officeDocument/2006/relationships/worksheet"/>
<Relationship Id="rId20" Target="theme/theme1.xml" Type="http://schemas.openxmlformats.org/officeDocument/2006/relationships/theme"/>
<Relationship Id="rId21" Target="styles.xml" Type="http://schemas.openxmlformats.org/officeDocument/2006/relationships/styles"/>
<Relationship Id="rId22" Target="sharedStrings.xml" Type="http://schemas.openxmlformats.org/officeDocument/2006/relationships/sharedStrings"/>
<Relationship Id="rId23" Target="calcChain.xml" Type="http://schemas.openxmlformats.org/officeDocument/2006/relationships/calcChain"/>
<Relationship Id="rId24" Target="../customXml/item1.xml" Type="http://schemas.openxmlformats.org/officeDocument/2006/relationships/customXml"/>
<Relationship Id="rId25" Target="../customXml/item2.xml" Type="http://schemas.openxmlformats.org/officeDocument/2006/relationships/customXml"/>
<Relationship Id="rId26" Target="volatileDependencies.xml" Type="http://schemas.openxmlformats.org/officeDocument/2006/relationships/volatileDependencies"/>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_rels/chart6.xml.rels><?xml version="1.0" encoding="UTF-8" standalone="yes"?>
<Relationships xmlns="http://schemas.openxmlformats.org/package/2006/relationships">
<Relationship Id="rId1" Target="../drawings/drawing5.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85631574596566"/>
          <c:y val="0.13118854396074053"/>
          <c:w val="0.85926280248059972"/>
          <c:h val="0.66220170754517749"/>
        </c:manualLayout>
      </c:layout>
      <c:barChart>
        <c:barDir val="col"/>
        <c:grouping val="clustered"/>
        <c:varyColors val="0"/>
        <c:ser>
          <c:idx val="0"/>
          <c:order val="0"/>
          <c:tx>
            <c:strRef>
              <c:f>'MS v Con'!$Z$38</c:f>
              <c:strCache>
                <c:ptCount val="1"/>
                <c:pt idx="0">
                  <c:v>Revenue</c:v>
                </c:pt>
              </c:strCache>
            </c:strRef>
          </c:tx>
          <c:spPr>
            <a:solidFill>
              <a:srgbClr val="137CB1"/>
            </a:solidFill>
            <a:ln w="25400">
              <a:noFill/>
            </a:ln>
          </c:spPr>
          <c:invertIfNegative val="0"/>
          <c:dLbls>
            <c:spPr>
              <a:noFill/>
              <a:ln w="25400">
                <a:noFill/>
              </a:ln>
            </c:spPr>
            <c:dLblPos val="outEnd"/>
            <c:showLegendKey val="0"/>
            <c:showVal val="1"/>
            <c:showCatName val="0"/>
            <c:showSerName val="0"/>
            <c:showPercent val="0"/>
            <c:showBubbleSize val="0"/>
            <c:showLeaderLines val="0"/>
          </c:dLbls>
          <c:cat>
            <c:numRef>
              <c:f>'MS v Con'!$AB$37:$AD$37</c:f>
              <c:numCache>
                <c:formatCode>General</c:formatCode>
                <c:ptCount val="2"/>
                <c:pt idx="0">
                  <c:v>2018</c:v>
                </c:pt>
                <c:pt idx="1">
                  <c:v>2019</c:v>
                </c:pt>
              </c:numCache>
            </c:numRef>
          </c:cat>
          <c:val>
            <c:numRef>
              <c:f>'MS v Con'!$AB$38:$AD$38</c:f>
              <c:numCache>
                <c:formatCode>0%</c:formatCode>
                <c:ptCount val="2"/>
                <c:pt idx="0">
                  <c:v>1.0170097912841181E-2</c:v>
                </c:pt>
                <c:pt idx="1">
                  <c:v>9.4543665863733306E-3</c:v>
                </c:pt>
              </c:numCache>
            </c:numRef>
          </c:val>
        </c:ser>
        <c:ser>
          <c:idx val="6"/>
          <c:order val="1"/>
          <c:tx>
            <c:strRef>
              <c:f>'MS v Con'!$Z$39</c:f>
              <c:strCache>
                <c:ptCount val="1"/>
                <c:pt idx="0">
                  <c:v>Adj. EBITDA</c:v>
                </c:pt>
              </c:strCache>
            </c:strRef>
          </c:tx>
          <c:spPr>
            <a:solidFill>
              <a:schemeClr val="accent2"/>
            </a:solidFill>
            <a:ln w="25400">
              <a:noFill/>
            </a:ln>
          </c:spPr>
          <c:invertIfNegative val="0"/>
          <c:dLbls>
            <c:spPr>
              <a:noFill/>
              <a:ln w="25400">
                <a:noFill/>
              </a:ln>
            </c:spPr>
            <c:dLblPos val="outEnd"/>
            <c:showLegendKey val="0"/>
            <c:showVal val="1"/>
            <c:showCatName val="0"/>
            <c:showSerName val="0"/>
            <c:showPercent val="0"/>
            <c:showBubbleSize val="0"/>
            <c:showLeaderLines val="0"/>
          </c:dLbls>
          <c:cat>
            <c:numRef>
              <c:f>'MS v Con'!$AB$37:$AD$37</c:f>
              <c:numCache>
                <c:formatCode>General</c:formatCode>
                <c:ptCount val="2"/>
                <c:pt idx="0">
                  <c:v>2018</c:v>
                </c:pt>
                <c:pt idx="1">
                  <c:v>2019</c:v>
                </c:pt>
              </c:numCache>
            </c:numRef>
          </c:cat>
          <c:val>
            <c:numRef>
              <c:f>'MS v Con'!$AB$39:$AD$39</c:f>
              <c:numCache>
                <c:formatCode>0%</c:formatCode>
                <c:ptCount val="2"/>
                <c:pt idx="0">
                  <c:v>-5.4332059386189457E-2</c:v>
                </c:pt>
                <c:pt idx="1">
                  <c:v>-5.5444885429832613E-2</c:v>
                </c:pt>
              </c:numCache>
            </c:numRef>
          </c:val>
        </c:ser>
        <c:dLbls>
          <c:showLegendKey val="0"/>
          <c:showVal val="0"/>
          <c:showCatName val="0"/>
          <c:showSerName val="0"/>
          <c:showPercent val="0"/>
          <c:showBubbleSize val="0"/>
        </c:dLbls>
        <c:gapWidth val="60"/>
        <c:axId val="746246912"/>
        <c:axId val="746248448"/>
      </c:barChart>
      <c:catAx>
        <c:axId val="746246912"/>
        <c:scaling>
          <c:orientation val="minMax"/>
        </c:scaling>
        <c:delete val="0"/>
        <c:axPos val="b"/>
        <c:numFmt formatCode="General" sourceLinked="1"/>
        <c:majorTickMark val="none"/>
        <c:minorTickMark val="none"/>
        <c:tickLblPos val="low"/>
        <c:spPr>
          <a:ln w="12700">
            <a:solidFill>
              <a:srgbClr val="808080"/>
            </a:solidFill>
            <a:prstDash val="solid"/>
          </a:ln>
        </c:spPr>
        <c:txPr>
          <a:bodyPr rot="0" vert="horz"/>
          <a:lstStyle/>
          <a:p>
            <a:pPr>
              <a:defRPr>
                <a:solidFill>
                  <a:srgbClr val="808080"/>
                </a:solidFill>
              </a:defRPr>
            </a:pPr>
            <a:endParaRPr lang="en-US"/>
          </a:p>
        </c:txPr>
        <c:crossAx val="746248448"/>
        <c:crosses val="autoZero"/>
        <c:auto val="1"/>
        <c:lblAlgn val="ctr"/>
        <c:lblOffset val="100"/>
        <c:tickLblSkip val="1"/>
        <c:tickMarkSkip val="1"/>
        <c:noMultiLvlLbl val="0"/>
      </c:catAx>
      <c:valAx>
        <c:axId val="746248448"/>
        <c:scaling>
          <c:orientation val="minMax"/>
        </c:scaling>
        <c:delete val="0"/>
        <c:axPos val="l"/>
        <c:title>
          <c:tx>
            <c:rich>
              <a:bodyPr rot="-5400000" vert="horz"/>
              <a:lstStyle/>
              <a:p>
                <a:pPr>
                  <a:defRPr b="1"/>
                </a:pPr>
                <a:r>
                  <a:rPr lang="en-US" b="1"/>
                  <a:t>MS vs</a:t>
                </a:r>
                <a:r>
                  <a:rPr lang="en-US" b="1" baseline="0"/>
                  <a:t> Concensus</a:t>
                </a:r>
                <a:endParaRPr lang="en-US" b="1"/>
              </a:p>
            </c:rich>
          </c:tx>
          <c:layout/>
          <c:overlay val="0"/>
        </c:title>
        <c:numFmt formatCode="0%" sourceLinked="1"/>
        <c:majorTickMark val="none"/>
        <c:minorTickMark val="none"/>
        <c:tickLblPos val="nextTo"/>
        <c:spPr>
          <a:ln w="25400">
            <a:noFill/>
          </a:ln>
        </c:spPr>
        <c:txPr>
          <a:bodyPr rot="0" vert="horz"/>
          <a:lstStyle/>
          <a:p>
            <a:pPr>
              <a:defRPr>
                <a:solidFill>
                  <a:srgbClr val="808080"/>
                </a:solidFill>
              </a:defRPr>
            </a:pPr>
            <a:endParaRPr lang="en-US"/>
          </a:p>
        </c:txPr>
        <c:crossAx val="746246912"/>
        <c:crosses val="autoZero"/>
        <c:crossBetween val="between"/>
      </c:valAx>
      <c:spPr>
        <a:noFill/>
        <a:ln w="25400">
          <a:noFill/>
        </a:ln>
      </c:spPr>
    </c:plotArea>
    <c:legend>
      <c:legendPos val="r"/>
      <c:layout>
        <c:manualLayout>
          <c:xMode val="edge"/>
          <c:yMode val="edge"/>
          <c:x val="1.243783341613847E-2"/>
          <c:y val="0.90661483770224915"/>
          <c:w val="0.91542534238669504"/>
          <c:h val="6.6148044785541038E-2"/>
        </c:manualLayout>
      </c:layout>
      <c:overlay val="0"/>
      <c:spPr>
        <a:noFill/>
        <a:ln w="25400">
          <a:noFill/>
        </a:ln>
        <a:extLst>
          <a:ext uri="{909E8E84-426E-40DD-AFC4-6F175D3DCCD1}">
            <a14:hiddenFill xmlns:a14="http://schemas.microsoft.com/office/drawing/2010/main">
              <a:noFill/>
            </a14:hiddenFill>
          </a:ext>
        </a:extLst>
      </c:spPr>
      <c:txPr>
        <a:bodyPr/>
        <a:lstStyle/>
        <a:p>
          <a:pPr>
            <a:defRPr>
              <a:solidFill>
                <a:srgbClr val="808080"/>
              </a:solidFill>
            </a:defRPr>
          </a:pPr>
          <a:endParaRPr lang="en-US"/>
        </a:p>
      </c:txPr>
    </c:legend>
    <c:plotVisOnly val="1"/>
    <c:dispBlanksAs val="gap"/>
    <c:showDLblsOverMax val="0"/>
  </c:chart>
  <c:spPr>
    <a:solidFill>
      <a:srgbClr val="FFFFFF"/>
    </a:solidFill>
    <a:ln w="25400">
      <a:noFill/>
    </a:ln>
  </c:spPr>
  <c:txPr>
    <a:bodyPr/>
    <a:lstStyle/>
    <a:p>
      <a:pPr>
        <a:defRPr sz="1000" b="0" i="0" u="none" strike="noStrike" baseline="0">
          <a:solidFill>
            <a:srgbClr val="333333"/>
          </a:solidFill>
          <a:latin typeface="Arial"/>
          <a:ea typeface="Arial"/>
          <a:cs typeface="Arial"/>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080" b="0" i="0" u="none" strike="noStrike" baseline="0">
                <a:solidFill>
                  <a:srgbClr val="000000"/>
                </a:solidFill>
                <a:latin typeface="Segoe UI"/>
                <a:ea typeface="Segoe UI"/>
                <a:cs typeface="Segoe UI"/>
              </a:defRPr>
            </a:pPr>
            <a:r>
              <a:rPr lang="en-US"/>
              <a:t>Morgan Stanley Research vs Consensus EBITDA Estimate
in Millio</a:t>
            </a:r>
          </a:p>
        </c:rich>
      </c:tx>
      <c:layout>
        <c:manualLayout>
          <c:xMode val="edge"/>
          <c:yMode val="edge"/>
          <c:x val="8.6956521739130432E-2"/>
          <c:y val="7.05480393504428E-3"/>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2.0410753937546611E-3"/>
          <c:y val="0.10551786326031572"/>
          <c:w val="0.98642691219380463"/>
          <c:h val="0.77461569054240254"/>
        </c:manualLayout>
      </c:layout>
      <c:barChart>
        <c:barDir val="col"/>
        <c:grouping val="clustered"/>
        <c:varyColors val="0"/>
        <c:ser>
          <c:idx val="4"/>
          <c:order val="0"/>
          <c:tx>
            <c:v>#REF!</c:v>
          </c:tx>
          <c:spPr>
            <a:solidFill>
              <a:srgbClr val="EACC80"/>
            </a:solidFill>
            <a:ln w="25400">
              <a:noFill/>
            </a:ln>
          </c:spPr>
          <c:invertIfNegative val="0"/>
          <c:cat>
            <c:strLit>
              <c:ptCount val="7"/>
              <c:pt idx="0">
                <c:v>2Q2015E</c:v>
              </c:pt>
              <c:pt idx="1">
                <c:v>3Q2015E</c:v>
              </c:pt>
              <c:pt idx="2">
                <c:v>4Q2015E</c:v>
              </c:pt>
              <c:pt idx="3">
                <c:v>1Q2016E</c:v>
              </c:pt>
              <c:pt idx="4">
                <c:v>2Q2016E</c:v>
              </c:pt>
              <c:pt idx="5">
                <c:v>3Q2016E</c:v>
              </c:pt>
              <c:pt idx="6">
                <c:v>4Q2016E</c:v>
              </c:pt>
            </c:strLit>
          </c:cat>
          <c:val>
            <c:numLit>
              <c:formatCode>General</c:formatCode>
              <c:ptCount val="7"/>
              <c:pt idx="0">
                <c:v>0</c:v>
              </c:pt>
              <c:pt idx="1">
                <c:v>0</c:v>
              </c:pt>
              <c:pt idx="2">
                <c:v>0</c:v>
              </c:pt>
              <c:pt idx="3">
                <c:v>0</c:v>
              </c:pt>
              <c:pt idx="4">
                <c:v>0</c:v>
              </c:pt>
              <c:pt idx="5">
                <c:v>0</c:v>
              </c:pt>
              <c:pt idx="6">
                <c:v>0</c:v>
              </c:pt>
            </c:numLit>
          </c:val>
        </c:ser>
        <c:ser>
          <c:idx val="0"/>
          <c:order val="1"/>
          <c:tx>
            <c:v>#REF!</c:v>
          </c:tx>
          <c:spPr>
            <a:solidFill>
              <a:srgbClr val="137CB1"/>
            </a:solidFill>
            <a:ln w="25400">
              <a:noFill/>
            </a:ln>
          </c:spPr>
          <c:invertIfNegative val="0"/>
          <c:cat>
            <c:strLit>
              <c:ptCount val="7"/>
              <c:pt idx="0">
                <c:v>2Q2015E</c:v>
              </c:pt>
              <c:pt idx="1">
                <c:v>3Q2015E</c:v>
              </c:pt>
              <c:pt idx="2">
                <c:v>4Q2015E</c:v>
              </c:pt>
              <c:pt idx="3">
                <c:v>1Q2016E</c:v>
              </c:pt>
              <c:pt idx="4">
                <c:v>2Q2016E</c:v>
              </c:pt>
              <c:pt idx="5">
                <c:v>3Q2016E</c:v>
              </c:pt>
              <c:pt idx="6">
                <c:v>4Q2016E</c:v>
              </c:pt>
            </c:strLit>
          </c:cat>
          <c:val>
            <c:numLit>
              <c:formatCode>General</c:formatCode>
              <c:ptCount val="7"/>
              <c:pt idx="0">
                <c:v>14.419999999999986</c:v>
              </c:pt>
              <c:pt idx="1">
                <c:v>3.5740000000000007</c:v>
              </c:pt>
              <c:pt idx="2">
                <c:v>10.507999999999992</c:v>
              </c:pt>
              <c:pt idx="3">
                <c:v>13.026000000000018</c:v>
              </c:pt>
              <c:pt idx="4">
                <c:v>28.102999999999987</c:v>
              </c:pt>
              <c:pt idx="5">
                <c:v>33.678999999999981</c:v>
              </c:pt>
              <c:pt idx="6">
                <c:v>45.273999999999987</c:v>
              </c:pt>
            </c:numLit>
          </c:val>
        </c:ser>
        <c:dLbls>
          <c:showLegendKey val="0"/>
          <c:showVal val="0"/>
          <c:showCatName val="0"/>
          <c:showSerName val="0"/>
          <c:showPercent val="0"/>
          <c:showBubbleSize val="0"/>
        </c:dLbls>
        <c:gapWidth val="60"/>
        <c:axId val="785157504"/>
        <c:axId val="785167488"/>
      </c:barChart>
      <c:catAx>
        <c:axId val="785157504"/>
        <c:scaling>
          <c:orientation val="minMax"/>
        </c:scaling>
        <c:delete val="0"/>
        <c:axPos val="b"/>
        <c:numFmt formatCode="General" sourceLinked="1"/>
        <c:majorTickMark val="none"/>
        <c:minorTickMark val="none"/>
        <c:tickLblPos val="low"/>
        <c:spPr>
          <a:ln w="12700">
            <a:solidFill>
              <a:srgbClr val="80808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785167488"/>
        <c:crosses val="autoZero"/>
        <c:auto val="1"/>
        <c:lblAlgn val="ctr"/>
        <c:lblOffset val="100"/>
        <c:tickLblSkip val="1"/>
        <c:tickMarkSkip val="1"/>
        <c:noMultiLvlLbl val="0"/>
      </c:catAx>
      <c:valAx>
        <c:axId val="785167488"/>
        <c:scaling>
          <c:orientation val="minMax"/>
        </c:scaling>
        <c:delete val="0"/>
        <c:axPos val="l"/>
        <c:numFmt formatCode="\$#,##0" sourceLinked="0"/>
        <c:majorTickMark val="none"/>
        <c:minorTickMark val="none"/>
        <c:tickLblPos val="nextTo"/>
        <c:spPr>
          <a:ln w="12700">
            <a:solidFill>
              <a:schemeClr val="tx1"/>
            </a:solidFill>
          </a:ln>
        </c:spPr>
        <c:txPr>
          <a:bodyPr rot="0" vert="horz"/>
          <a:lstStyle/>
          <a:p>
            <a:pPr>
              <a:defRPr sz="900" b="0" i="0" u="none" strike="noStrike" baseline="0">
                <a:solidFill>
                  <a:srgbClr val="000000"/>
                </a:solidFill>
                <a:latin typeface="Arial"/>
                <a:ea typeface="Arial"/>
                <a:cs typeface="Arial"/>
              </a:defRPr>
            </a:pPr>
            <a:endParaRPr lang="en-US"/>
          </a:p>
        </c:txPr>
        <c:crossAx val="785157504"/>
        <c:crosses val="autoZero"/>
        <c:crossBetween val="between"/>
      </c:valAx>
      <c:spPr>
        <a:noFill/>
        <a:ln w="25400">
          <a:noFill/>
        </a:ln>
      </c:spPr>
    </c:plotArea>
    <c:legend>
      <c:legendPos val="r"/>
      <c:layout>
        <c:manualLayout>
          <c:xMode val="edge"/>
          <c:yMode val="edge"/>
          <c:x val="4.5454545454545456E-2"/>
          <c:y val="0.12698437632951742"/>
          <c:w val="0.70158102766798425"/>
          <c:h val="5.5555861003658835E-2"/>
        </c:manualLayout>
      </c:layout>
      <c:overlay val="0"/>
      <c:spPr>
        <a:noFill/>
        <a:ln w="25400">
          <a:noFill/>
        </a:ln>
        <a:extLst>
          <a:ext uri="{909E8E84-426E-40DD-AFC4-6F175D3DCCD1}">
            <a14:hiddenFill xmlns:a14="http://schemas.microsoft.com/office/drawing/2010/main">
              <a:noFill/>
            </a14:hiddenFill>
          </a:ext>
        </a:extLst>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noFill/>
    </a:ln>
  </c:spPr>
  <c:txPr>
    <a:bodyPr/>
    <a:lstStyle/>
    <a:p>
      <a:pPr>
        <a:defRPr sz="9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85631574596566"/>
          <c:y val="0.13118854396074053"/>
          <c:w val="0.85926280248059972"/>
          <c:h val="0.66220170754517749"/>
        </c:manualLayout>
      </c:layout>
      <c:barChart>
        <c:barDir val="col"/>
        <c:grouping val="clustered"/>
        <c:varyColors val="0"/>
        <c:ser>
          <c:idx val="0"/>
          <c:order val="0"/>
          <c:tx>
            <c:strRef>
              <c:f>'MS v Con'!$Z$38</c:f>
              <c:strCache>
                <c:ptCount val="1"/>
                <c:pt idx="0">
                  <c:v>Revenue</c:v>
                </c:pt>
              </c:strCache>
            </c:strRef>
          </c:tx>
          <c:spPr>
            <a:solidFill>
              <a:srgbClr val="137CB1"/>
            </a:solidFill>
            <a:ln w="25400">
              <a:noFill/>
            </a:ln>
          </c:spPr>
          <c:invertIfNegative val="0"/>
          <c:dLbls>
            <c:spPr>
              <a:noFill/>
              <a:ln w="25400">
                <a:noFill/>
              </a:ln>
            </c:spPr>
            <c:dLblPos val="outEnd"/>
            <c:showLegendKey val="0"/>
            <c:showVal val="1"/>
            <c:showCatName val="0"/>
            <c:showSerName val="0"/>
            <c:showPercent val="0"/>
            <c:showBubbleSize val="0"/>
            <c:showLeaderLines val="0"/>
          </c:dLbls>
          <c:cat>
            <c:numRef>
              <c:f>'MS v Con'!$AC$37:$AD$37</c:f>
              <c:numCache>
                <c:formatCode>General</c:formatCode>
                <c:ptCount val="2"/>
                <c:pt idx="0">
                  <c:v>2018</c:v>
                </c:pt>
                <c:pt idx="1">
                  <c:v>2019</c:v>
                </c:pt>
              </c:numCache>
            </c:numRef>
          </c:cat>
          <c:val>
            <c:numRef>
              <c:f>'MS v Con'!$AC$38:$AD$38</c:f>
              <c:numCache>
                <c:formatCode>0%</c:formatCode>
                <c:ptCount val="2"/>
                <c:pt idx="0">
                  <c:v>1.0170097912841181E-2</c:v>
                </c:pt>
                <c:pt idx="1">
                  <c:v>9.4543665863733306E-3</c:v>
                </c:pt>
              </c:numCache>
            </c:numRef>
          </c:val>
        </c:ser>
        <c:ser>
          <c:idx val="6"/>
          <c:order val="1"/>
          <c:tx>
            <c:strRef>
              <c:f>'MS v Con'!$Z$39</c:f>
              <c:strCache>
                <c:ptCount val="1"/>
                <c:pt idx="0">
                  <c:v>Adj. EBITDA</c:v>
                </c:pt>
              </c:strCache>
            </c:strRef>
          </c:tx>
          <c:spPr>
            <a:solidFill>
              <a:schemeClr val="accent2"/>
            </a:solidFill>
            <a:ln w="25400">
              <a:noFill/>
            </a:ln>
          </c:spPr>
          <c:invertIfNegative val="0"/>
          <c:dLbls>
            <c:spPr>
              <a:noFill/>
              <a:ln w="25400">
                <a:noFill/>
              </a:ln>
            </c:spPr>
            <c:dLblPos val="outEnd"/>
            <c:showLegendKey val="0"/>
            <c:showVal val="1"/>
            <c:showCatName val="0"/>
            <c:showSerName val="0"/>
            <c:showPercent val="0"/>
            <c:showBubbleSize val="0"/>
            <c:showLeaderLines val="0"/>
          </c:dLbls>
          <c:cat>
            <c:numRef>
              <c:f>'MS v Con'!$AC$37:$AD$37</c:f>
              <c:numCache>
                <c:formatCode>General</c:formatCode>
                <c:ptCount val="2"/>
                <c:pt idx="0">
                  <c:v>2018</c:v>
                </c:pt>
                <c:pt idx="1">
                  <c:v>2019</c:v>
                </c:pt>
              </c:numCache>
            </c:numRef>
          </c:cat>
          <c:val>
            <c:numRef>
              <c:f>'MS v Con'!$AC$39:$AD$39</c:f>
              <c:numCache>
                <c:formatCode>0%</c:formatCode>
                <c:ptCount val="2"/>
                <c:pt idx="0">
                  <c:v>-5.4332059386189457E-2</c:v>
                </c:pt>
                <c:pt idx="1">
                  <c:v>-5.5444885429832613E-2</c:v>
                </c:pt>
              </c:numCache>
            </c:numRef>
          </c:val>
        </c:ser>
        <c:dLbls>
          <c:showLegendKey val="0"/>
          <c:showVal val="0"/>
          <c:showCatName val="0"/>
          <c:showSerName val="0"/>
          <c:showPercent val="0"/>
          <c:showBubbleSize val="0"/>
        </c:dLbls>
        <c:gapWidth val="60"/>
        <c:axId val="785185792"/>
        <c:axId val="785732352"/>
      </c:barChart>
      <c:catAx>
        <c:axId val="785185792"/>
        <c:scaling>
          <c:orientation val="minMax"/>
        </c:scaling>
        <c:delete val="0"/>
        <c:axPos val="b"/>
        <c:numFmt formatCode="General" sourceLinked="1"/>
        <c:majorTickMark val="none"/>
        <c:minorTickMark val="none"/>
        <c:tickLblPos val="low"/>
        <c:spPr>
          <a:ln w="12700">
            <a:solidFill>
              <a:srgbClr val="808080"/>
            </a:solidFill>
            <a:prstDash val="solid"/>
          </a:ln>
        </c:spPr>
        <c:txPr>
          <a:bodyPr rot="0" vert="horz"/>
          <a:lstStyle/>
          <a:p>
            <a:pPr>
              <a:defRPr>
                <a:solidFill>
                  <a:srgbClr val="808080"/>
                </a:solidFill>
              </a:defRPr>
            </a:pPr>
            <a:endParaRPr lang="en-US"/>
          </a:p>
        </c:txPr>
        <c:crossAx val="785732352"/>
        <c:crosses val="autoZero"/>
        <c:auto val="1"/>
        <c:lblAlgn val="ctr"/>
        <c:lblOffset val="100"/>
        <c:tickLblSkip val="1"/>
        <c:tickMarkSkip val="1"/>
        <c:noMultiLvlLbl val="0"/>
      </c:catAx>
      <c:valAx>
        <c:axId val="785732352"/>
        <c:scaling>
          <c:orientation val="minMax"/>
        </c:scaling>
        <c:delete val="0"/>
        <c:axPos val="l"/>
        <c:title>
          <c:tx>
            <c:rich>
              <a:bodyPr rot="-5400000" vert="horz"/>
              <a:lstStyle/>
              <a:p>
                <a:pPr>
                  <a:defRPr b="1"/>
                </a:pPr>
                <a:r>
                  <a:rPr lang="en-US" b="1"/>
                  <a:t>MS vs</a:t>
                </a:r>
                <a:r>
                  <a:rPr lang="en-US" b="1" baseline="0"/>
                  <a:t> Concensus</a:t>
                </a:r>
                <a:endParaRPr lang="en-US" b="1"/>
              </a:p>
            </c:rich>
          </c:tx>
          <c:layout/>
          <c:overlay val="0"/>
        </c:title>
        <c:numFmt formatCode="0%" sourceLinked="1"/>
        <c:majorTickMark val="none"/>
        <c:minorTickMark val="none"/>
        <c:tickLblPos val="nextTo"/>
        <c:spPr>
          <a:ln w="25400">
            <a:noFill/>
          </a:ln>
        </c:spPr>
        <c:txPr>
          <a:bodyPr rot="0" vert="horz"/>
          <a:lstStyle/>
          <a:p>
            <a:pPr>
              <a:defRPr>
                <a:solidFill>
                  <a:srgbClr val="808080"/>
                </a:solidFill>
              </a:defRPr>
            </a:pPr>
            <a:endParaRPr lang="en-US"/>
          </a:p>
        </c:txPr>
        <c:crossAx val="785185792"/>
        <c:crosses val="autoZero"/>
        <c:crossBetween val="between"/>
      </c:valAx>
      <c:spPr>
        <a:noFill/>
        <a:ln w="25400">
          <a:noFill/>
        </a:ln>
      </c:spPr>
    </c:plotArea>
    <c:legend>
      <c:legendPos val="r"/>
      <c:layout>
        <c:manualLayout>
          <c:xMode val="edge"/>
          <c:yMode val="edge"/>
          <c:x val="1.243783341613847E-2"/>
          <c:y val="0.90661483770224915"/>
          <c:w val="0.91542534238669504"/>
          <c:h val="6.6148044785541038E-2"/>
        </c:manualLayout>
      </c:layout>
      <c:overlay val="0"/>
      <c:spPr>
        <a:noFill/>
        <a:ln w="25400">
          <a:noFill/>
        </a:ln>
        <a:extLst>
          <a:ext uri="{909E8E84-426E-40DD-AFC4-6F175D3DCCD1}">
            <a14:hiddenFill xmlns:a14="http://schemas.microsoft.com/office/drawing/2010/main">
              <a:noFill/>
            </a14:hiddenFill>
          </a:ext>
        </a:extLst>
      </c:spPr>
      <c:txPr>
        <a:bodyPr/>
        <a:lstStyle/>
        <a:p>
          <a:pPr>
            <a:defRPr>
              <a:solidFill>
                <a:srgbClr val="808080"/>
              </a:solidFill>
            </a:defRPr>
          </a:pPr>
          <a:endParaRPr lang="en-US"/>
        </a:p>
      </c:txPr>
    </c:legend>
    <c:plotVisOnly val="1"/>
    <c:dispBlanksAs val="gap"/>
    <c:showDLblsOverMax val="0"/>
  </c:chart>
  <c:spPr>
    <a:solidFill>
      <a:srgbClr val="FFFFFF"/>
    </a:solidFill>
    <a:ln w="25400">
      <a:noFill/>
    </a:ln>
  </c:spPr>
  <c:txPr>
    <a:bodyPr/>
    <a:lstStyle/>
    <a:p>
      <a:pPr>
        <a:defRPr sz="1000" b="0" i="0" u="none" strike="noStrike" baseline="0">
          <a:solidFill>
            <a:srgbClr val="333333"/>
          </a:solidFill>
          <a:latin typeface="Arial"/>
          <a:ea typeface="Arial"/>
          <a:cs typeface="Arial"/>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53890671354242"/>
          <c:y val="5.0925925925925923E-2"/>
          <c:w val="0.68383016194167967"/>
          <c:h val="0.73252333041703122"/>
        </c:manualLayout>
      </c:layout>
      <c:barChart>
        <c:barDir val="col"/>
        <c:grouping val="clustered"/>
        <c:varyColors val="0"/>
        <c:ser>
          <c:idx val="0"/>
          <c:order val="0"/>
          <c:tx>
            <c:strRef>
              <c:f>Model!$I$49</c:f>
              <c:strCache>
                <c:ptCount val="1"/>
                <c:pt idx="0">
                  <c:v>Adjusted EBITDA</c:v>
                </c:pt>
              </c:strCache>
            </c:strRef>
          </c:tx>
          <c:invertIfNegative val="0"/>
          <c:dLbls>
            <c:numFmt formatCode="#,##0" sourceLinked="0"/>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Model!$BP$8:$BS$8</c:f>
              <c:numCache>
                <c:formatCode>yyyy_);;;@_)</c:formatCode>
                <c:ptCount val="4"/>
                <c:pt idx="0">
                  <c:v>42369</c:v>
                </c:pt>
                <c:pt idx="1">
                  <c:v>42735</c:v>
                </c:pt>
                <c:pt idx="2">
                  <c:v>43100</c:v>
                </c:pt>
                <c:pt idx="3" formatCode="yyyy&quot;E&quot;_);;;@_)">
                  <c:v>43465</c:v>
                </c:pt>
              </c:numCache>
            </c:numRef>
          </c:cat>
          <c:val>
            <c:numRef>
              <c:f>Model!$BP$49:$BS$49</c:f>
              <c:numCache>
                <c:formatCode>#,##0.0_);\(#,##0.0\)</c:formatCode>
                <c:ptCount val="4"/>
                <c:pt idx="0">
                  <c:v>38.111000000000004</c:v>
                </c:pt>
                <c:pt idx="1">
                  <c:v>120.08199999999995</c:v>
                </c:pt>
                <c:pt idx="2">
                  <c:v>156.607</c:v>
                </c:pt>
                <c:pt idx="3">
                  <c:v>186.58690435868911</c:v>
                </c:pt>
              </c:numCache>
            </c:numRef>
          </c:val>
        </c:ser>
        <c:dLbls>
          <c:showLegendKey val="0"/>
          <c:showVal val="0"/>
          <c:showCatName val="0"/>
          <c:showSerName val="0"/>
          <c:showPercent val="0"/>
          <c:showBubbleSize val="0"/>
        </c:dLbls>
        <c:gapWidth val="150"/>
        <c:axId val="787831040"/>
        <c:axId val="787845120"/>
      </c:barChart>
      <c:lineChart>
        <c:grouping val="standard"/>
        <c:varyColors val="0"/>
        <c:ser>
          <c:idx val="1"/>
          <c:order val="1"/>
          <c:tx>
            <c:strRef>
              <c:f>Model!$I$53</c:f>
              <c:strCache>
                <c:ptCount val="1"/>
                <c:pt idx="0">
                  <c:v>Incremental EBITDA margin</c:v>
                </c:pt>
              </c:strCache>
            </c:strRef>
          </c:tx>
          <c:dLbls>
            <c:numFmt formatCode="0%" sourceLinked="0"/>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Model!$BP$53:$BS$53</c:f>
              <c:numCache>
                <c:formatCode>#,##0.0%_);\(#,##0.0%\);\-\-\%_);@_)</c:formatCode>
                <c:ptCount val="4"/>
                <c:pt idx="0">
                  <c:v>-0.23243178147403007</c:v>
                </c:pt>
                <c:pt idx="1">
                  <c:v>0.42172877362130784</c:v>
                </c:pt>
                <c:pt idx="2">
                  <c:v>0.27309636320134018</c:v>
                </c:pt>
                <c:pt idx="3">
                  <c:v>0.26487056250884916</c:v>
                </c:pt>
              </c:numCache>
            </c:numRef>
          </c:val>
          <c:smooth val="0"/>
        </c:ser>
        <c:dLbls>
          <c:showLegendKey val="0"/>
          <c:showVal val="0"/>
          <c:showCatName val="0"/>
          <c:showSerName val="0"/>
          <c:showPercent val="0"/>
          <c:showBubbleSize val="0"/>
        </c:dLbls>
        <c:marker val="1"/>
        <c:smooth val="0"/>
        <c:axId val="787847040"/>
        <c:axId val="787848576"/>
      </c:lineChart>
      <c:dateAx>
        <c:axId val="787831040"/>
        <c:scaling>
          <c:orientation val="minMax"/>
        </c:scaling>
        <c:delete val="0"/>
        <c:axPos val="b"/>
        <c:numFmt formatCode="yyyy_);;;@_)" sourceLinked="0"/>
        <c:majorTickMark val="out"/>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787845120"/>
        <c:crosses val="autoZero"/>
        <c:auto val="1"/>
        <c:lblOffset val="100"/>
        <c:baseTimeUnit val="years"/>
      </c:dateAx>
      <c:valAx>
        <c:axId val="787845120"/>
        <c:scaling>
          <c:orientation val="minMax"/>
          <c:max val="400"/>
        </c:scaling>
        <c:delete val="0"/>
        <c:axPos val="l"/>
        <c:title>
          <c:tx>
            <c:rich>
              <a:bodyPr/>
              <a:lstStyle/>
              <a:p>
                <a:pPr>
                  <a:defRPr sz="1000" b="1" i="0" u="none" strike="noStrike" baseline="0">
                    <a:solidFill>
                      <a:srgbClr val="000000"/>
                    </a:solidFill>
                    <a:latin typeface="Arial"/>
                    <a:ea typeface="Arial"/>
                    <a:cs typeface="Arial"/>
                  </a:defRPr>
                </a:pPr>
                <a:r>
                  <a:rPr lang="en-US"/>
                  <a:t>Adj. EBITDA</a:t>
                </a:r>
              </a:p>
            </c:rich>
          </c:tx>
          <c:overlay val="0"/>
        </c:title>
        <c:numFmt formatCode="#,##0_);\(#,##0\)" sourceLinked="0"/>
        <c:majorTickMark val="out"/>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787831040"/>
        <c:crosses val="autoZero"/>
        <c:crossBetween val="between"/>
      </c:valAx>
      <c:catAx>
        <c:axId val="787847040"/>
        <c:scaling>
          <c:orientation val="minMax"/>
        </c:scaling>
        <c:delete val="1"/>
        <c:axPos val="b"/>
        <c:majorTickMark val="out"/>
        <c:minorTickMark val="none"/>
        <c:tickLblPos val="nextTo"/>
        <c:crossAx val="787848576"/>
        <c:crosses val="autoZero"/>
        <c:auto val="1"/>
        <c:lblAlgn val="ctr"/>
        <c:lblOffset val="100"/>
        <c:noMultiLvlLbl val="0"/>
      </c:catAx>
      <c:valAx>
        <c:axId val="787848576"/>
        <c:scaling>
          <c:orientation val="minMax"/>
        </c:scaling>
        <c:delete val="0"/>
        <c:axPos val="r"/>
        <c:title>
          <c:tx>
            <c:rich>
              <a:bodyPr/>
              <a:lstStyle/>
              <a:p>
                <a:pPr>
                  <a:defRPr sz="1000" b="1" i="0" u="none" strike="noStrike" baseline="0">
                    <a:solidFill>
                      <a:srgbClr val="000000"/>
                    </a:solidFill>
                    <a:latin typeface="Arial"/>
                    <a:ea typeface="Arial"/>
                    <a:cs typeface="Arial"/>
                  </a:defRPr>
                </a:pPr>
                <a:r>
                  <a:rPr lang="en-US"/>
                  <a:t>Incremental EBITDA Margin</a:t>
                </a:r>
              </a:p>
            </c:rich>
          </c:tx>
          <c:overlay val="0"/>
        </c:title>
        <c:numFmt formatCode="0%" sourceLinked="0"/>
        <c:majorTickMark val="out"/>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787847040"/>
        <c:crosses val="max"/>
        <c:crossBetween val="between"/>
      </c:valAx>
    </c:plotArea>
    <c:legend>
      <c:legendPos val="b"/>
      <c:overlay val="0"/>
      <c:txPr>
        <a:bodyPr/>
        <a:lstStyle/>
        <a:p>
          <a:pPr>
            <a:defRPr sz="320" b="0" i="0" u="none" strike="noStrike" baseline="0">
              <a:solidFill>
                <a:srgbClr val="000000"/>
              </a:solidFill>
              <a:latin typeface="Arial"/>
              <a:ea typeface="Arial"/>
              <a:cs typeface="Arial"/>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'Revenue drivers'!$I$499</c:f>
              <c:strCache>
                <c:ptCount val="1"/>
                <c:pt idx="0">
                  <c:v>% change Y/Y</c:v>
                </c:pt>
              </c:strCache>
            </c:strRef>
          </c:tx>
          <c:dLbls>
            <c:dLbl>
              <c:idx val="2"/>
              <c:layout>
                <c:manualLayout>
                  <c:x val="-4.9708442694663166E-2"/>
                  <c:y val="0.10532407407407407"/>
                </c:manualLayout>
              </c:layout>
              <c:dLblPos val="r"/>
              <c:showLegendKey val="0"/>
              <c:showVal val="1"/>
              <c:showCatName val="0"/>
              <c:showSerName val="0"/>
              <c:showPercent val="0"/>
              <c:showBubbleSize val="0"/>
            </c:dLbl>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multiLvlStrRef>
              <c:f>'Revenue drivers'!$AK$7:$AR$8</c:f>
              <c:multiLvlStrCache>
                <c:ptCount val="8"/>
                <c:lvl>
                  <c:pt idx="0">
                    <c:v>Q1 </c:v>
                  </c:pt>
                  <c:pt idx="1">
                    <c:v>Q2 </c:v>
                  </c:pt>
                  <c:pt idx="2">
                    <c:v>Q3 </c:v>
                  </c:pt>
                  <c:pt idx="3">
                    <c:v>Q4 </c:v>
                  </c:pt>
                  <c:pt idx="4">
                    <c:v>Q1 </c:v>
                  </c:pt>
                  <c:pt idx="5">
                    <c:v>Q2 </c:v>
                  </c:pt>
                  <c:pt idx="6">
                    <c:v>Q3 </c:v>
                  </c:pt>
                  <c:pt idx="7">
                    <c:v>Q4 </c:v>
                  </c:pt>
                </c:lvl>
                <c:lvl>
                  <c:pt idx="0">
                    <c:v>2016</c:v>
                  </c:pt>
                  <c:pt idx="4">
                    <c:v>2017</c:v>
                  </c:pt>
                </c:lvl>
              </c:multiLvlStrCache>
            </c:multiLvlStrRef>
          </c:cat>
          <c:val>
            <c:numRef>
              <c:f>'Revenue drivers'!$AK$499:$AR$499</c:f>
            </c:numRef>
          </c:val>
          <c:smooth val="1"/>
        </c:ser>
        <c:ser>
          <c:idx val="1"/>
          <c:order val="1"/>
          <c:tx>
            <c:strRef>
              <c:f>'Revenue drivers'!$I$500</c:f>
              <c:strCache>
                <c:ptCount val="1"/>
                <c:pt idx="0">
                  <c:v>Two-year % change </c:v>
                </c:pt>
              </c:strCache>
            </c:strRef>
          </c:tx>
          <c:dLbls>
            <c:dLbl>
              <c:idx val="2"/>
              <c:layout>
                <c:manualLayout>
                  <c:x val="-6.0819772528433944E-2"/>
                  <c:y val="-0.11458369787109944"/>
                </c:manualLayout>
              </c:layout>
              <c:dLblPos val="r"/>
              <c:showLegendKey val="0"/>
              <c:showVal val="1"/>
              <c:showCatName val="0"/>
              <c:showSerName val="0"/>
              <c:showPercent val="0"/>
              <c:showBubbleSize val="0"/>
            </c:dLbl>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multiLvlStrRef>
              <c:f>'Revenue drivers'!$AK$7:$AR$8</c:f>
              <c:multiLvlStrCache>
                <c:ptCount val="8"/>
                <c:lvl>
                  <c:pt idx="0">
                    <c:v>Q1 </c:v>
                  </c:pt>
                  <c:pt idx="1">
                    <c:v>Q2 </c:v>
                  </c:pt>
                  <c:pt idx="2">
                    <c:v>Q3 </c:v>
                  </c:pt>
                  <c:pt idx="3">
                    <c:v>Q4 </c:v>
                  </c:pt>
                  <c:pt idx="4">
                    <c:v>Q1 </c:v>
                  </c:pt>
                  <c:pt idx="5">
                    <c:v>Q2 </c:v>
                  </c:pt>
                  <c:pt idx="6">
                    <c:v>Q3 </c:v>
                  </c:pt>
                  <c:pt idx="7">
                    <c:v>Q4 </c:v>
                  </c:pt>
                </c:lvl>
                <c:lvl>
                  <c:pt idx="0">
                    <c:v>2016</c:v>
                  </c:pt>
                  <c:pt idx="4">
                    <c:v>2017</c:v>
                  </c:pt>
                </c:lvl>
              </c:multiLvlStrCache>
            </c:multiLvlStrRef>
          </c:cat>
          <c:val>
            <c:numRef>
              <c:f>'Revenue drivers'!$AK$500:$AR$500</c:f>
            </c:numRef>
          </c:val>
          <c:smooth val="1"/>
        </c:ser>
        <c:dLbls>
          <c:showLegendKey val="0"/>
          <c:showVal val="0"/>
          <c:showCatName val="0"/>
          <c:showSerName val="0"/>
          <c:showPercent val="0"/>
          <c:showBubbleSize val="0"/>
        </c:dLbls>
        <c:marker val="1"/>
        <c:smooth val="0"/>
        <c:axId val="746302848"/>
        <c:axId val="746312832"/>
      </c:lineChart>
      <c:catAx>
        <c:axId val="74630284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746312832"/>
        <c:crosses val="autoZero"/>
        <c:auto val="1"/>
        <c:lblAlgn val="ctr"/>
        <c:lblOffset val="100"/>
        <c:noMultiLvlLbl val="0"/>
      </c:catAx>
      <c:valAx>
        <c:axId val="746312832"/>
        <c:scaling>
          <c:orientation val="minMax"/>
        </c:scaling>
        <c:delete val="0"/>
        <c:axPos val="l"/>
        <c:title>
          <c:tx>
            <c:rich>
              <a:bodyPr/>
              <a:lstStyle/>
              <a:p>
                <a:pPr>
                  <a:defRPr sz="1000" b="1" i="0" u="none" strike="noStrike" baseline="0">
                    <a:solidFill>
                      <a:srgbClr val="000000"/>
                    </a:solidFill>
                    <a:latin typeface="Arial"/>
                    <a:ea typeface="Arial"/>
                    <a:cs typeface="Arial"/>
                  </a:defRPr>
                </a:pPr>
                <a:r>
                  <a:rPr lang="en-US"/>
                  <a:t>Change in Revenue per Account</a:t>
                </a:r>
              </a:p>
            </c:rich>
          </c:tx>
          <c:overlay val="0"/>
        </c:title>
        <c:numFmt formatCode="0.0%" sourceLinked="1"/>
        <c:majorTickMark val="out"/>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746302848"/>
        <c:crosses val="autoZero"/>
        <c:crossBetween val="between"/>
      </c:valAx>
    </c:plotArea>
    <c:legend>
      <c:legendPos val="b"/>
      <c:overlay val="0"/>
      <c:txPr>
        <a:bodyPr/>
        <a:lstStyle/>
        <a:p>
          <a:pPr>
            <a:defRPr sz="320" b="0" i="0" u="none" strike="noStrike" baseline="0">
              <a:solidFill>
                <a:srgbClr val="000000"/>
              </a:solidFill>
              <a:latin typeface="Arial"/>
              <a:ea typeface="Arial"/>
              <a:cs typeface="Arial"/>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tx>
            <c:strRef>
              <c:f>'Revenue drivers'!$I$511</c:f>
              <c:strCache>
                <c:ptCount val="1"/>
                <c:pt idx="0">
                  <c:v>Local Acts Added/Sales Rep (W/ 2Q Lag)</c:v>
                </c:pt>
              </c:strCache>
            </c:strRef>
          </c:tx>
          <c:dLbls>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multiLvlStrRef>
              <c:f>'Revenue drivers'!$AG$7:$AR$8</c:f>
              <c:multiLvlStrCache>
                <c:ptCount val="12"/>
                <c:lvl>
                  <c:pt idx="0">
                    <c:v>Q1 </c:v>
                  </c:pt>
                  <c:pt idx="1">
                    <c:v>Q2 </c:v>
                  </c:pt>
                  <c:pt idx="2">
                    <c:v>Q3 </c:v>
                  </c:pt>
                  <c:pt idx="3">
                    <c:v>Q4 </c:v>
                  </c:pt>
                  <c:pt idx="4">
                    <c:v>Q1 </c:v>
                  </c:pt>
                  <c:pt idx="5">
                    <c:v>Q2 </c:v>
                  </c:pt>
                  <c:pt idx="6">
                    <c:v>Q3 </c:v>
                  </c:pt>
                  <c:pt idx="7">
                    <c:v>Q4 </c:v>
                  </c:pt>
                  <c:pt idx="8">
                    <c:v>Q1 </c:v>
                  </c:pt>
                  <c:pt idx="9">
                    <c:v>Q2 </c:v>
                  </c:pt>
                  <c:pt idx="10">
                    <c:v>Q3 </c:v>
                  </c:pt>
                  <c:pt idx="11">
                    <c:v>Q4 </c:v>
                  </c:pt>
                </c:lvl>
                <c:lvl>
                  <c:pt idx="0">
                    <c:v>2015</c:v>
                  </c:pt>
                  <c:pt idx="4">
                    <c:v>2016</c:v>
                  </c:pt>
                  <c:pt idx="8">
                    <c:v>2017</c:v>
                  </c:pt>
                </c:lvl>
              </c:multiLvlStrCache>
            </c:multiLvlStrRef>
          </c:cat>
          <c:val>
            <c:numRef>
              <c:f>'Revenue drivers'!$AG$511:$AR$511</c:f>
            </c:numRef>
          </c:val>
          <c:smooth val="0"/>
        </c:ser>
        <c:dLbls>
          <c:showLegendKey val="0"/>
          <c:showVal val="0"/>
          <c:showCatName val="0"/>
          <c:showSerName val="0"/>
          <c:showPercent val="0"/>
          <c:showBubbleSize val="0"/>
        </c:dLbls>
        <c:marker val="1"/>
        <c:smooth val="0"/>
        <c:axId val="785774464"/>
        <c:axId val="785776000"/>
      </c:lineChart>
      <c:catAx>
        <c:axId val="78577446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785776000"/>
        <c:crosses val="autoZero"/>
        <c:auto val="1"/>
        <c:lblAlgn val="ctr"/>
        <c:lblOffset val="100"/>
        <c:noMultiLvlLbl val="0"/>
      </c:catAx>
      <c:valAx>
        <c:axId val="785776000"/>
        <c:scaling>
          <c:orientation val="minMax"/>
        </c:scaling>
        <c:delete val="0"/>
        <c:axPos val="l"/>
        <c:title>
          <c:tx>
            <c:rich>
              <a:bodyPr/>
              <a:lstStyle/>
              <a:p>
                <a:pPr>
                  <a:defRPr sz="1000" b="1" i="0" u="none" strike="noStrike" baseline="0">
                    <a:solidFill>
                      <a:srgbClr val="000000"/>
                    </a:solidFill>
                    <a:latin typeface="Arial"/>
                    <a:ea typeface="Arial"/>
                    <a:cs typeface="Arial"/>
                  </a:defRPr>
                </a:pPr>
                <a:r>
                  <a:t>Local Accts Added/Sales Rep (2Q Lag)</a:t>
                </a:r>
              </a:p>
            </c:rich>
          </c:tx>
          <c:overlay val="0"/>
        </c:title>
        <c:numFmt formatCode="_(* #,##0.0_);_(* \(#,##0.0\);_(* &quot;-&quot;??_);_(@_)" sourceLinked="1"/>
        <c:majorTickMark val="out"/>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7857744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'Revenue drivers'!$I$499</c:f>
              <c:strCache>
                <c:ptCount val="1"/>
                <c:pt idx="0">
                  <c:v>% change Y/Y</c:v>
                </c:pt>
              </c:strCache>
            </c:strRef>
          </c:tx>
          <c:dLbls>
            <c:dLbl>
              <c:idx val="2"/>
              <c:layout>
                <c:manualLayout>
                  <c:x val="-4.9708442694663166E-2"/>
                  <c:y val="0.10532407407407407"/>
                </c:manualLayout>
              </c:layout>
              <c:dLblPos val="r"/>
              <c:showLegendKey val="0"/>
              <c:showVal val="1"/>
              <c:showCatName val="0"/>
              <c:showSerName val="0"/>
              <c:showPercent val="0"/>
              <c:showBubbleSize val="0"/>
            </c:dLbl>
            <c:txPr>
              <a:bodyPr/>
              <a:lstStyle/>
              <a:p>
                <a:pPr>
                  <a:defRPr sz="10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dLbls>
          <c:cat>
            <c:multiLvlStrRef>
              <c:f>'Revenue drivers'!$AK$7:$AR$8</c:f>
              <c:multiLvlStrCache>
                <c:ptCount val="8"/>
                <c:lvl>
                  <c:pt idx="0">
                    <c:v>Q1 </c:v>
                  </c:pt>
                  <c:pt idx="1">
                    <c:v>Q2 </c:v>
                  </c:pt>
                  <c:pt idx="2">
                    <c:v>Q3 </c:v>
                  </c:pt>
                  <c:pt idx="3">
                    <c:v>Q4 </c:v>
                  </c:pt>
                  <c:pt idx="4">
                    <c:v>Q1 </c:v>
                  </c:pt>
                  <c:pt idx="5">
                    <c:v>Q2 </c:v>
                  </c:pt>
                  <c:pt idx="6">
                    <c:v>Q3 </c:v>
                  </c:pt>
                  <c:pt idx="7">
                    <c:v>Q4 </c:v>
                  </c:pt>
                </c:lvl>
                <c:lvl>
                  <c:pt idx="0">
                    <c:v>2016</c:v>
                  </c:pt>
                  <c:pt idx="4">
                    <c:v>2017</c:v>
                  </c:pt>
                </c:lvl>
              </c:multiLvlStrCache>
            </c:multiLvlStrRef>
          </c:cat>
          <c:val>
            <c:numRef>
              <c:f>'Revenue drivers'!$AK$499:$AR$499</c:f>
            </c:numRef>
          </c:val>
          <c:smooth val="1"/>
        </c:ser>
        <c:ser>
          <c:idx val="1"/>
          <c:order val="1"/>
          <c:tx>
            <c:strRef>
              <c:f>'Revenue drivers'!$I$500</c:f>
              <c:strCache>
                <c:ptCount val="1"/>
                <c:pt idx="0">
                  <c:v>Two-year % change </c:v>
                </c:pt>
              </c:strCache>
            </c:strRef>
          </c:tx>
          <c:dLbls>
            <c:dLbl>
              <c:idx val="2"/>
              <c:layout>
                <c:manualLayout>
                  <c:x val="-6.0819772528433944E-2"/>
                  <c:y val="-0.11458369787109944"/>
                </c:manualLayout>
              </c:layout>
              <c:dLblPos val="r"/>
              <c:showLegendKey val="0"/>
              <c:showVal val="1"/>
              <c:showCatName val="0"/>
              <c:showSerName val="0"/>
              <c:showPercent val="0"/>
              <c:showBubbleSize val="0"/>
            </c:dLbl>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multiLvlStrRef>
              <c:f>'Revenue drivers'!$AK$7:$AR$8</c:f>
              <c:multiLvlStrCache>
                <c:ptCount val="8"/>
                <c:lvl>
                  <c:pt idx="0">
                    <c:v>Q1 </c:v>
                  </c:pt>
                  <c:pt idx="1">
                    <c:v>Q2 </c:v>
                  </c:pt>
                  <c:pt idx="2">
                    <c:v>Q3 </c:v>
                  </c:pt>
                  <c:pt idx="3">
                    <c:v>Q4 </c:v>
                  </c:pt>
                  <c:pt idx="4">
                    <c:v>Q1 </c:v>
                  </c:pt>
                  <c:pt idx="5">
                    <c:v>Q2 </c:v>
                  </c:pt>
                  <c:pt idx="6">
                    <c:v>Q3 </c:v>
                  </c:pt>
                  <c:pt idx="7">
                    <c:v>Q4 </c:v>
                  </c:pt>
                </c:lvl>
                <c:lvl>
                  <c:pt idx="0">
                    <c:v>2016</c:v>
                  </c:pt>
                  <c:pt idx="4">
                    <c:v>2017</c:v>
                  </c:pt>
                </c:lvl>
              </c:multiLvlStrCache>
            </c:multiLvlStrRef>
          </c:cat>
          <c:val>
            <c:numRef>
              <c:f>'Revenue drivers'!$AK$500:$AR$500</c:f>
            </c:numRef>
          </c:val>
          <c:smooth val="1"/>
        </c:ser>
        <c:dLbls>
          <c:showLegendKey val="0"/>
          <c:showVal val="0"/>
          <c:showCatName val="0"/>
          <c:showSerName val="0"/>
          <c:showPercent val="0"/>
          <c:showBubbleSize val="0"/>
        </c:dLbls>
        <c:marker val="1"/>
        <c:smooth val="0"/>
        <c:axId val="793449984"/>
        <c:axId val="793451520"/>
      </c:lineChart>
      <c:catAx>
        <c:axId val="79344998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793451520"/>
        <c:crosses val="autoZero"/>
        <c:auto val="1"/>
        <c:lblAlgn val="ctr"/>
        <c:lblOffset val="100"/>
        <c:noMultiLvlLbl val="0"/>
      </c:catAx>
      <c:valAx>
        <c:axId val="793451520"/>
        <c:scaling>
          <c:orientation val="minMax"/>
        </c:scaling>
        <c:delete val="0"/>
        <c:axPos val="l"/>
        <c:title>
          <c:tx>
            <c:rich>
              <a:bodyPr/>
              <a:lstStyle/>
              <a:p>
                <a:pPr>
                  <a:defRPr sz="1000" b="1" i="0" u="none" strike="noStrike" baseline="0">
                    <a:solidFill>
                      <a:srgbClr val="000000"/>
                    </a:solidFill>
                    <a:latin typeface="Arial"/>
                    <a:ea typeface="Arial"/>
                    <a:cs typeface="Arial"/>
                  </a:defRPr>
                </a:pPr>
                <a:r>
                  <a:rPr lang="en-US"/>
                  <a:t>Change in Revenue per Account</a:t>
                </a:r>
              </a:p>
            </c:rich>
          </c:tx>
          <c:overlay val="0"/>
        </c:title>
        <c:numFmt formatCode="0.0%" sourceLinked="1"/>
        <c:majorTickMark val="out"/>
        <c:minorTickMark val="none"/>
        <c:tickLblPos val="nextTo"/>
        <c:txPr>
          <a:bodyPr rot="0" vert="horz"/>
          <a:lstStyle/>
          <a:p>
            <a:pPr>
              <a:defRPr sz="1000" b="0" i="0" u="none" strike="noStrike" baseline="0">
                <a:solidFill>
                  <a:srgbClr val="000000"/>
                </a:solidFill>
                <a:latin typeface="Arial"/>
                <a:ea typeface="Arial"/>
                <a:cs typeface="Arial"/>
              </a:defRPr>
            </a:pPr>
            <a:endParaRPr lang="en-US"/>
          </a:p>
        </c:txPr>
        <c:crossAx val="793449984"/>
        <c:crosses val="autoZero"/>
        <c:crossBetween val="between"/>
      </c:valAx>
    </c:plotArea>
    <c:legend>
      <c:legendPos val="b"/>
      <c:overlay val="0"/>
      <c:txPr>
        <a:bodyPr/>
        <a:lstStyle/>
        <a:p>
          <a:pPr>
            <a:defRPr sz="320" b="0" i="0" u="none" strike="noStrike" baseline="0">
              <a:solidFill>
                <a:srgbClr val="000000"/>
              </a:solidFill>
              <a:latin typeface="Arial"/>
              <a:ea typeface="Arial"/>
              <a:cs typeface="Arial"/>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137CB1"/>
            </a:solidFill>
            <a:ln w="25400">
              <a:noFill/>
            </a:ln>
          </c:spPr>
          <c:invertIfNegative val="0"/>
          <c:dLbls>
            <c:txPr>
              <a:bodyPr/>
              <a:lstStyle/>
              <a:p>
                <a:pPr>
                  <a:defRPr sz="1000" b="1" i="0" u="none" strike="noStrike" baseline="0">
                    <a:solidFill>
                      <a:srgbClr val="333333"/>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multiLvlStrRef>
              <c:f>'Expense drivers'!$CT$164:$CX$164</c:f>
            </c:multiLvlStrRef>
          </c:cat>
          <c:val>
            <c:numRef>
              <c:f>'Expense drivers'!$CT$165:$CX$165</c:f>
            </c:numRef>
          </c:val>
        </c:ser>
        <c:dLbls>
          <c:showLegendKey val="0"/>
          <c:showVal val="0"/>
          <c:showCatName val="0"/>
          <c:showSerName val="0"/>
          <c:showPercent val="0"/>
          <c:showBubbleSize val="0"/>
        </c:dLbls>
        <c:gapWidth val="150"/>
        <c:axId val="793851776"/>
        <c:axId val="793853312"/>
      </c:barChart>
      <c:catAx>
        <c:axId val="793851776"/>
        <c:scaling>
          <c:orientation val="minMax"/>
        </c:scaling>
        <c:delete val="0"/>
        <c:axPos val="b"/>
        <c:numFmt formatCode="General" sourceLinked="1"/>
        <c:majorTickMark val="none"/>
        <c:minorTickMark val="none"/>
        <c:tickLblPos val="low"/>
        <c:spPr>
          <a:ln>
            <a:solidFill>
              <a:srgbClr val="808080"/>
            </a:solidFill>
            <a:prstDash val="solid"/>
          </a:ln>
        </c:spPr>
        <c:txPr>
          <a:bodyPr rot="0" vert="horz"/>
          <a:lstStyle/>
          <a:p>
            <a:pPr>
              <a:defRPr sz="1000" b="0" i="0" u="none" strike="noStrike" baseline="0">
                <a:solidFill>
                  <a:srgbClr val="808080"/>
                </a:solidFill>
                <a:latin typeface="Calibri"/>
                <a:ea typeface="Calibri"/>
                <a:cs typeface="Calibri"/>
              </a:defRPr>
            </a:pPr>
            <a:endParaRPr lang="en-US"/>
          </a:p>
        </c:txPr>
        <c:crossAx val="793853312"/>
        <c:crosses val="autoZero"/>
        <c:auto val="1"/>
        <c:lblAlgn val="ctr"/>
        <c:lblOffset val="100"/>
        <c:tickLblSkip val="1"/>
        <c:tickMarkSkip val="1"/>
        <c:noMultiLvlLbl val="0"/>
      </c:catAx>
      <c:valAx>
        <c:axId val="793853312"/>
        <c:scaling>
          <c:orientation val="minMax"/>
        </c:scaling>
        <c:delete val="0"/>
        <c:axPos val="l"/>
        <c:title>
          <c:tx>
            <c:rich>
              <a:bodyPr/>
              <a:lstStyle/>
              <a:p>
                <a:pPr>
                  <a:defRPr sz="1000" b="1" i="0" u="none" strike="noStrike" baseline="0">
                    <a:solidFill>
                      <a:srgbClr val="333333"/>
                    </a:solidFill>
                    <a:latin typeface="Calibri"/>
                    <a:ea typeface="Calibri"/>
                    <a:cs typeface="Calibri"/>
                  </a:defRPr>
                </a:pPr>
                <a:r>
                  <a:rPr lang="en-US"/>
                  <a:t>Bad Debt Expense Change Y/Y ($mn)</a:t>
                </a:r>
              </a:p>
            </c:rich>
          </c:tx>
          <c:overlay val="0"/>
        </c:title>
        <c:numFmt formatCode="0.0" sourceLinked="1"/>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793851776"/>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landscape"/>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s>

</file>

<file path=xl/drawings/_rels/drawing3.xml.rels><?xml version="1.0" encoding="UTF-8" standalone="yes"?>
<Relationships xmlns="http://schemas.openxmlformats.org/package/2006/relationships">
<Relationship Id="rId1" Target="../charts/chart4.xml" Type="http://schemas.openxmlformats.org/officeDocument/2006/relationships/chart"/>
</Relationships>

</file>

<file path=xl/drawings/_rels/drawing4.xml.rels><?xml version="1.0" encoding="UTF-8" standalone="yes"?>
<Relationships xmlns="http://schemas.openxmlformats.org/package/2006/relationships">
<Relationship Id="rId1" Target="../charts/chart5.xml" Type="http://schemas.openxmlformats.org/officeDocument/2006/relationships/chart"/>
<Relationship Id="rId2" Target="../charts/chart6.xml" Type="http://schemas.openxmlformats.org/officeDocument/2006/relationships/chart"/>
<Relationship Id="rId3" Target="../charts/chart7.xml" Type="http://schemas.openxmlformats.org/officeDocument/2006/relationships/chart"/>
</Relationships>

</file>

<file path=xl/drawings/_rels/drawing6.xml.rels><?xml version="1.0" encoding="UTF-8" standalone="yes"?>
<Relationships xmlns="http://schemas.openxmlformats.org/package/2006/relationships">
<Relationship Id="rId1" Target="../charts/chart8.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7</xdr:col>
      <xdr:colOff>390525</xdr:colOff>
      <xdr:row>190</xdr:row>
      <xdr:rowOff>104775</xdr:rowOff>
    </xdr:to>
    <xdr:pic>
      <xdr:nvPicPr>
        <xdr:cNvPr id="63742977" name="Picture 1" descr="C:\Users\brahoffm\AppData\Local\Temp\MercuryPriceRatingHistoryChart\YELP.N_2018_02_08_00_20_3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6698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19050</xdr:colOff>
      <xdr:row>7</xdr:row>
      <xdr:rowOff>66675</xdr:rowOff>
    </xdr:from>
    <xdr:to>
      <xdr:col>39</xdr:col>
      <xdr:colOff>0</xdr:colOff>
      <xdr:row>34</xdr:row>
      <xdr:rowOff>76200</xdr:rowOff>
    </xdr:to>
    <xdr:graphicFrame macro="">
      <xdr:nvGraphicFramePr>
        <xdr:cNvPr id="3040312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161925</xdr:colOff>
      <xdr:row>42</xdr:row>
      <xdr:rowOff>0</xdr:rowOff>
    </xdr:from>
    <xdr:to>
      <xdr:col>40</xdr:col>
      <xdr:colOff>695325</xdr:colOff>
      <xdr:row>70</xdr:row>
      <xdr:rowOff>104775</xdr:rowOff>
    </xdr:to>
    <xdr:graphicFrame macro="">
      <xdr:nvGraphicFramePr>
        <xdr:cNvPr id="30403126" name="2234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273844</xdr:colOff>
      <xdr:row>9</xdr:row>
      <xdr:rowOff>130969</xdr:rowOff>
    </xdr:from>
    <xdr:to>
      <xdr:col>46</xdr:col>
      <xdr:colOff>254794</xdr:colOff>
      <xdr:row>36</xdr:row>
      <xdr:rowOff>140494</xdr:rowOff>
    </xdr:to>
    <xdr:graphicFrame macro="">
      <xdr:nvGraphicFramePr>
        <xdr:cNvPr id="4" name="Chart 232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85</xdr:col>
      <xdr:colOff>219075</xdr:colOff>
      <xdr:row>52</xdr:row>
      <xdr:rowOff>104775</xdr:rowOff>
    </xdr:from>
    <xdr:to>
      <xdr:col>93</xdr:col>
      <xdr:colOff>152400</xdr:colOff>
      <xdr:row>71</xdr:row>
      <xdr:rowOff>76200</xdr:rowOff>
    </xdr:to>
    <xdr:graphicFrame macro="">
      <xdr:nvGraphicFramePr>
        <xdr:cNvPr id="815320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80</xdr:col>
      <xdr:colOff>238125</xdr:colOff>
      <xdr:row>494</xdr:row>
      <xdr:rowOff>57150</xdr:rowOff>
    </xdr:from>
    <xdr:to>
      <xdr:col>87</xdr:col>
      <xdr:colOff>542925</xdr:colOff>
      <xdr:row>513</xdr:row>
      <xdr:rowOff>85725</xdr:rowOff>
    </xdr:to>
    <xdr:graphicFrame macro="">
      <xdr:nvGraphicFramePr>
        <xdr:cNvPr id="3316784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79</xdr:col>
      <xdr:colOff>457200</xdr:colOff>
      <xdr:row>516</xdr:row>
      <xdr:rowOff>76200</xdr:rowOff>
    </xdr:from>
    <xdr:to>
      <xdr:col>88</xdr:col>
      <xdr:colOff>247650</xdr:colOff>
      <xdr:row>537</xdr:row>
      <xdr:rowOff>85725</xdr:rowOff>
    </xdr:to>
    <xdr:graphicFrame macro="">
      <xdr:nvGraphicFramePr>
        <xdr:cNvPr id="3316784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80</xdr:col>
      <xdr:colOff>238125</xdr:colOff>
      <xdr:row>71</xdr:row>
      <xdr:rowOff>57150</xdr:rowOff>
    </xdr:from>
    <xdr:to>
      <xdr:col>88</xdr:col>
      <xdr:colOff>123825</xdr:colOff>
      <xdr:row>97</xdr:row>
      <xdr:rowOff>133350</xdr:rowOff>
    </xdr:to>
    <xdr:graphicFrame macro="">
      <xdr:nvGraphicFramePr>
        <xdr:cNvPr id="331678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0.61733</cdr:x>
      <cdr:y>0.00906</cdr:y>
    </cdr:from>
    <cdr:to>
      <cdr:x>0.97653</cdr:x>
      <cdr:y>0.82779</cdr:y>
    </cdr:to>
    <cdr:sp macro="" textlink="">
      <cdr:nvSpPr>
        <cdr:cNvPr id="2" name="Rectangle 1"/>
        <cdr:cNvSpPr/>
      </cdr:nvSpPr>
      <cdr:spPr>
        <a:xfrm xmlns:a="http://schemas.openxmlformats.org/drawingml/2006/main">
          <a:off x="3257550" y="28575"/>
          <a:ext cx="1895475" cy="2581275"/>
        </a:xfrm>
        <a:prstGeom xmlns:a="http://schemas.openxmlformats.org/drawingml/2006/main" prst="rect">
          <a:avLst/>
        </a:prstGeom>
        <a:solidFill xmlns:a="http://schemas.openxmlformats.org/drawingml/2006/main">
          <a:schemeClr val="bg1">
            <a:lumMod val="85000"/>
            <a:alpha val="12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6.xml><?xml version="1.0" encoding="utf-8"?>
<xdr:wsDr xmlns:xdr="http://schemas.openxmlformats.org/drawingml/2006/spreadsheetDrawing" xmlns:a="http://schemas.openxmlformats.org/drawingml/2006/main">
  <xdr:twoCellAnchor>
    <xdr:from>
      <xdr:col>97</xdr:col>
      <xdr:colOff>295275</xdr:colOff>
      <xdr:row>167</xdr:row>
      <xdr:rowOff>28575</xdr:rowOff>
    </xdr:from>
    <xdr:to>
      <xdr:col>106</xdr:col>
      <xdr:colOff>333375</xdr:colOff>
      <xdr:row>189</xdr:row>
      <xdr:rowOff>114300</xdr:rowOff>
    </xdr:to>
    <xdr:graphicFrame macro="">
      <xdr:nvGraphicFramePr>
        <xdr:cNvPr id="622425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TECH/INTERNET/MODELS/PCLN_model%20new.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Users/alicit/AppData/Local/Research/ModelPublishing/SubmittedModels/MM.N.txt"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TECH/INTERNET/COMPANIES/AMZN/analyses/AMZN%20-%20model%20outputs.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TECH/INTERNET/COMPANIES/YELP/Exhibit%20Files/YELP%20Charts.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tr-inputs"/>
      <sheetName val="MW-Cache"/>
      <sheetName val="__FDSCACHE__"/>
      <sheetName val="ann-inputs"/>
      <sheetName val="quarterly"/>
      <sheetName val="annual"/>
      <sheetName val="DCF"/>
      <sheetName val="Marketing Pack Metrics"/>
      <sheetName val="Marketing Pack Charts"/>
      <sheetName val="mwareDates"/>
      <sheetName val="mwareSettings"/>
      <sheetName val="RR table"/>
      <sheetName val="MWA RR"/>
    </sheetNames>
    <sheetDataSet>
      <sheetData sheetId="0" refreshError="1">
        <row r="1">
          <cell r="B1" t="str">
            <v>ElementName</v>
          </cell>
          <cell r="C1" t="str">
            <v>ScaleOverride</v>
          </cell>
          <cell r="D1" t="str">
            <v>UnitOverride</v>
          </cell>
          <cell r="E1" t="str">
            <v>ReverseSign</v>
          </cell>
          <cell r="F1" t="str">
            <v>IsDrivingAssumption</v>
          </cell>
          <cell r="G1" t="str">
            <v>SegmentID</v>
          </cell>
          <cell r="I1" t="str">
            <v>Select Model Case:</v>
          </cell>
          <cell r="L1">
            <v>649.81451297948274</v>
          </cell>
          <cell r="M1">
            <v>0.25</v>
          </cell>
          <cell r="N1">
            <v>0.25</v>
          </cell>
          <cell r="O1">
            <v>0.25</v>
          </cell>
          <cell r="P1">
            <v>0.25</v>
          </cell>
          <cell r="Q1">
            <v>0.25</v>
          </cell>
          <cell r="R1">
            <v>0.25</v>
          </cell>
          <cell r="S1">
            <v>0.25</v>
          </cell>
          <cell r="T1">
            <v>0.25</v>
          </cell>
          <cell r="U1">
            <v>0.25</v>
          </cell>
          <cell r="V1">
            <v>0.25</v>
          </cell>
          <cell r="W1">
            <v>0.25</v>
          </cell>
          <cell r="X1">
            <v>0.25</v>
          </cell>
          <cell r="Y1">
            <v>0.25</v>
          </cell>
          <cell r="Z1">
            <v>0.25</v>
          </cell>
          <cell r="AA1">
            <v>0.25</v>
          </cell>
          <cell r="AB1">
            <v>0.25</v>
          </cell>
          <cell r="AC1">
            <v>0.25</v>
          </cell>
          <cell r="AD1">
            <v>0.25</v>
          </cell>
          <cell r="AE1">
            <v>0.25</v>
          </cell>
          <cell r="AF1">
            <v>0.25</v>
          </cell>
          <cell r="AG1">
            <v>0.25</v>
          </cell>
          <cell r="AH1">
            <v>0.25</v>
          </cell>
          <cell r="AI1">
            <v>0.25</v>
          </cell>
          <cell r="AJ1">
            <v>0.25</v>
          </cell>
          <cell r="AK1">
            <v>0.25</v>
          </cell>
          <cell r="AL1">
            <v>0.25</v>
          </cell>
          <cell r="AM1">
            <v>0.25</v>
          </cell>
          <cell r="AN1">
            <v>0.25</v>
          </cell>
        </row>
        <row r="3">
          <cell r="M3" t="str">
            <v>2006-Q1</v>
          </cell>
          <cell r="N3" t="str">
            <v>2006-Q2</v>
          </cell>
          <cell r="O3" t="str">
            <v>2006-Q3</v>
          </cell>
          <cell r="P3" t="str">
            <v>2006-Q4</v>
          </cell>
          <cell r="Q3" t="str">
            <v>2007-Q1</v>
          </cell>
          <cell r="R3" t="str">
            <v>2007-Q2</v>
          </cell>
          <cell r="S3" t="str">
            <v>2007-Q3</v>
          </cell>
          <cell r="T3" t="str">
            <v>2007-Q4</v>
          </cell>
          <cell r="U3" t="str">
            <v>2008-Q1</v>
          </cell>
          <cell r="V3" t="str">
            <v>2008-Q2</v>
          </cell>
          <cell r="W3" t="str">
            <v>2008-Q3</v>
          </cell>
          <cell r="X3" t="str">
            <v>2008-Q4</v>
          </cell>
          <cell r="Y3" t="str">
            <v>2009-Q1</v>
          </cell>
          <cell r="Z3" t="str">
            <v>2009-Q2</v>
          </cell>
          <cell r="AA3" t="str">
            <v>2009-Q3</v>
          </cell>
          <cell r="AB3" t="str">
            <v>2009-Q4</v>
          </cell>
          <cell r="AC3" t="str">
            <v>2010-Q1</v>
          </cell>
          <cell r="AD3" t="str">
            <v>2010-Q2</v>
          </cell>
          <cell r="AE3" t="str">
            <v>2010-Q3</v>
          </cell>
          <cell r="AF3" t="str">
            <v>2010-Q4</v>
          </cell>
          <cell r="AG3" t="str">
            <v>2011-Q1</v>
          </cell>
          <cell r="AH3" t="str">
            <v>2011-Q2</v>
          </cell>
          <cell r="AI3" t="str">
            <v>2011-Q3</v>
          </cell>
          <cell r="AJ3" t="str">
            <v>2011-Q4</v>
          </cell>
          <cell r="AK3" t="str">
            <v>2012-Q1</v>
          </cell>
          <cell r="AL3" t="str">
            <v>2012-Q2</v>
          </cell>
          <cell r="AM3" t="str">
            <v>2012-Q3</v>
          </cell>
          <cell r="AN3" t="str">
            <v>2012-Q4</v>
          </cell>
        </row>
        <row r="4">
          <cell r="I4" t="str">
            <v>Period-End Date</v>
          </cell>
          <cell r="M4">
            <v>38807</v>
          </cell>
          <cell r="N4">
            <v>38898</v>
          </cell>
          <cell r="O4">
            <v>38990</v>
          </cell>
          <cell r="P4">
            <v>39082</v>
          </cell>
          <cell r="Q4">
            <v>39172</v>
          </cell>
          <cell r="R4">
            <v>39263</v>
          </cell>
          <cell r="S4">
            <v>39355</v>
          </cell>
          <cell r="T4">
            <v>39447</v>
          </cell>
          <cell r="U4">
            <v>39538</v>
          </cell>
          <cell r="V4">
            <v>39629</v>
          </cell>
          <cell r="W4">
            <v>39721</v>
          </cell>
          <cell r="X4">
            <v>39813</v>
          </cell>
          <cell r="Y4">
            <v>39903</v>
          </cell>
          <cell r="Z4">
            <v>39994</v>
          </cell>
          <cell r="AA4">
            <v>40086</v>
          </cell>
          <cell r="AB4">
            <v>40178</v>
          </cell>
          <cell r="AC4">
            <v>40268</v>
          </cell>
          <cell r="AD4">
            <v>40359</v>
          </cell>
          <cell r="AE4">
            <v>40451</v>
          </cell>
          <cell r="AF4">
            <v>40543</v>
          </cell>
          <cell r="AG4">
            <v>40633</v>
          </cell>
          <cell r="AH4">
            <v>40724</v>
          </cell>
          <cell r="AI4">
            <v>40816</v>
          </cell>
          <cell r="AJ4">
            <v>40908</v>
          </cell>
          <cell r="AK4">
            <v>40999</v>
          </cell>
          <cell r="AL4">
            <v>41090</v>
          </cell>
          <cell r="AM4">
            <v>41182</v>
          </cell>
          <cell r="AN4">
            <v>41274</v>
          </cell>
        </row>
        <row r="5">
          <cell r="I5" t="str">
            <v>Priceline Model</v>
          </cell>
          <cell r="M5">
            <v>39082</v>
          </cell>
          <cell r="Q5">
            <v>39447</v>
          </cell>
          <cell r="U5">
            <v>39813</v>
          </cell>
          <cell r="Y5">
            <v>40178</v>
          </cell>
          <cell r="AC5">
            <v>40543</v>
          </cell>
          <cell r="AG5">
            <v>40908</v>
          </cell>
          <cell r="AK5">
            <v>41274</v>
          </cell>
        </row>
        <row r="6">
          <cell r="I6" t="str">
            <v>(USD millions)</v>
          </cell>
          <cell r="M6">
            <v>1</v>
          </cell>
          <cell r="N6">
            <v>2</v>
          </cell>
          <cell r="O6">
            <v>3</v>
          </cell>
          <cell r="P6">
            <v>4</v>
          </cell>
          <cell r="Q6">
            <v>1</v>
          </cell>
          <cell r="R6">
            <v>2</v>
          </cell>
          <cell r="S6">
            <v>3</v>
          </cell>
          <cell r="T6">
            <v>4</v>
          </cell>
          <cell r="U6">
            <v>1</v>
          </cell>
          <cell r="V6">
            <v>2</v>
          </cell>
          <cell r="W6">
            <v>3</v>
          </cell>
          <cell r="X6">
            <v>4</v>
          </cell>
          <cell r="Y6">
            <v>1</v>
          </cell>
          <cell r="Z6">
            <v>2</v>
          </cell>
          <cell r="AA6">
            <v>3</v>
          </cell>
          <cell r="AB6">
            <v>4</v>
          </cell>
          <cell r="AC6">
            <v>1</v>
          </cell>
          <cell r="AD6">
            <v>2</v>
          </cell>
          <cell r="AE6">
            <v>3</v>
          </cell>
          <cell r="AF6">
            <v>4</v>
          </cell>
          <cell r="AG6">
            <v>1</v>
          </cell>
          <cell r="AH6">
            <v>2</v>
          </cell>
          <cell r="AI6">
            <v>3</v>
          </cell>
          <cell r="AJ6">
            <v>4</v>
          </cell>
          <cell r="AK6">
            <v>1</v>
          </cell>
          <cell r="AL6">
            <v>2</v>
          </cell>
          <cell r="AM6">
            <v>3</v>
          </cell>
          <cell r="AN6">
            <v>4</v>
          </cell>
        </row>
        <row r="8">
          <cell r="I8" t="str">
            <v>Gross Bookings Build-Up</v>
          </cell>
        </row>
        <row r="9">
          <cell r="I9" t="str">
            <v xml:space="preserve">Merchant </v>
          </cell>
          <cell r="M9">
            <v>266.315</v>
          </cell>
          <cell r="N9">
            <v>318.06599999999997</v>
          </cell>
          <cell r="O9">
            <v>302.762</v>
          </cell>
          <cell r="P9">
            <v>251.34</v>
          </cell>
          <cell r="Q9">
            <v>287.96300000000002</v>
          </cell>
          <cell r="R9">
            <v>315.65100000000001</v>
          </cell>
          <cell r="S9">
            <v>348.06400000000002</v>
          </cell>
          <cell r="T9">
            <v>292.63299999999998</v>
          </cell>
          <cell r="U9">
            <v>388.49299999999999</v>
          </cell>
          <cell r="V9">
            <v>453.19</v>
          </cell>
          <cell r="W9">
            <v>446.73399999999998</v>
          </cell>
          <cell r="X9">
            <v>373.089</v>
          </cell>
          <cell r="Y9">
            <v>473.62799999999999</v>
          </cell>
          <cell r="Z9">
            <v>554.55999999999995</v>
          </cell>
          <cell r="AA9">
            <v>592.27499999999998</v>
          </cell>
          <cell r="AB9">
            <v>498.15899999999999</v>
          </cell>
          <cell r="AC9">
            <v>591.13</v>
          </cell>
          <cell r="AD9">
            <v>727.21500000000003</v>
          </cell>
          <cell r="AE9">
            <v>838</v>
          </cell>
          <cell r="AF9">
            <v>708</v>
          </cell>
          <cell r="AG9">
            <v>884</v>
          </cell>
          <cell r="AH9">
            <v>1055</v>
          </cell>
          <cell r="AI9">
            <v>1136</v>
          </cell>
          <cell r="AJ9">
            <v>949.00731524406183</v>
          </cell>
          <cell r="AK9">
            <v>1112.6233576501836</v>
          </cell>
          <cell r="AL9">
            <v>1339.0010273855592</v>
          </cell>
          <cell r="AM9">
            <v>1523.8350547593855</v>
          </cell>
          <cell r="AN9">
            <v>1263.7258347674435</v>
          </cell>
        </row>
        <row r="10">
          <cell r="I10" t="str">
            <v xml:space="preserve">Agency </v>
          </cell>
          <cell r="M10">
            <v>480.50599999999997</v>
          </cell>
          <cell r="N10">
            <v>609.28399999999999</v>
          </cell>
          <cell r="O10">
            <v>600.40599999999995</v>
          </cell>
          <cell r="P10">
            <v>491.07</v>
          </cell>
          <cell r="Q10">
            <v>710.52800000000002</v>
          </cell>
          <cell r="R10">
            <v>919.26</v>
          </cell>
          <cell r="S10">
            <v>1042.6189999999999</v>
          </cell>
          <cell r="T10">
            <v>912.69799999999998</v>
          </cell>
          <cell r="U10">
            <v>1370.1189999999999</v>
          </cell>
          <cell r="V10">
            <v>1656.7750000000001</v>
          </cell>
          <cell r="W10">
            <v>1603.693</v>
          </cell>
          <cell r="X10">
            <v>1108.0239999999999</v>
          </cell>
          <cell r="Y10">
            <v>1469.9559999999999</v>
          </cell>
          <cell r="Z10">
            <v>1824.6179999999999</v>
          </cell>
          <cell r="AA10">
            <v>2130.5709999999999</v>
          </cell>
          <cell r="AB10">
            <v>1766.2950000000001</v>
          </cell>
          <cell r="AC10">
            <v>2373.5650000000001</v>
          </cell>
          <cell r="AD10">
            <v>2682.9650000000001</v>
          </cell>
          <cell r="AE10">
            <v>3168</v>
          </cell>
          <cell r="AF10">
            <v>2557</v>
          </cell>
          <cell r="AG10">
            <v>3781</v>
          </cell>
          <cell r="AH10">
            <v>4725</v>
          </cell>
          <cell r="AI10">
            <v>5121</v>
          </cell>
          <cell r="AJ10">
            <v>3707.880058667145</v>
          </cell>
          <cell r="AK10">
            <v>4970.0361273072558</v>
          </cell>
          <cell r="AL10">
            <v>6206.6949388255107</v>
          </cell>
          <cell r="AM10">
            <v>6808.721784176314</v>
          </cell>
          <cell r="AN10">
            <v>4834.0348947752182</v>
          </cell>
        </row>
        <row r="11">
          <cell r="I11" t="str">
            <v>Total Gross Bookings</v>
          </cell>
          <cell r="M11">
            <v>746.82099999999991</v>
          </cell>
          <cell r="N11">
            <v>927.34999999999991</v>
          </cell>
          <cell r="O11">
            <v>903.16799999999989</v>
          </cell>
          <cell r="P11">
            <v>742.41</v>
          </cell>
          <cell r="Q11">
            <v>998.49099999999999</v>
          </cell>
          <cell r="R11">
            <v>1234.9110000000001</v>
          </cell>
          <cell r="S11">
            <v>1390.683</v>
          </cell>
          <cell r="T11">
            <v>1205.3309999999999</v>
          </cell>
          <cell r="U11">
            <v>1758.6119999999999</v>
          </cell>
          <cell r="V11">
            <v>2109.9650000000001</v>
          </cell>
          <cell r="W11">
            <v>2050.4270000000001</v>
          </cell>
          <cell r="X11">
            <v>1481.1129999999998</v>
          </cell>
          <cell r="Y11">
            <v>1943.5839999999998</v>
          </cell>
          <cell r="Z11">
            <v>2379.1779999999999</v>
          </cell>
          <cell r="AA11">
            <v>2722.846</v>
          </cell>
          <cell r="AB11">
            <v>2264.4540000000002</v>
          </cell>
          <cell r="AC11">
            <v>2964.6950000000002</v>
          </cell>
          <cell r="AD11">
            <v>3410.1800000000003</v>
          </cell>
          <cell r="AE11">
            <v>4006</v>
          </cell>
          <cell r="AF11">
            <v>3265</v>
          </cell>
          <cell r="AG11">
            <v>4665</v>
          </cell>
          <cell r="AH11">
            <v>5780</v>
          </cell>
          <cell r="AI11">
            <v>6257</v>
          </cell>
          <cell r="AJ11">
            <v>4656.8873739112069</v>
          </cell>
          <cell r="AK11">
            <v>6082.6594849574394</v>
          </cell>
          <cell r="AL11">
            <v>7545.6959662110694</v>
          </cell>
          <cell r="AM11">
            <v>8332.5568389356995</v>
          </cell>
          <cell r="AN11">
            <v>6097.7607295426615</v>
          </cell>
        </row>
        <row r="12">
          <cell r="I12" t="str">
            <v>y/y Growth - %</v>
          </cell>
          <cell r="Q12">
            <v>0.33698838141937637</v>
          </cell>
          <cell r="R12">
            <v>0.33165579338976681</v>
          </cell>
          <cell r="S12">
            <v>0.53978329613095255</v>
          </cell>
          <cell r="T12">
            <v>0.6235382066513111</v>
          </cell>
          <cell r="U12">
            <v>0.76126975606189728</v>
          </cell>
          <cell r="V12">
            <v>0.70859681385946027</v>
          </cell>
          <cell r="W12">
            <v>0.47440286535464948</v>
          </cell>
          <cell r="X12">
            <v>0.22880188097709264</v>
          </cell>
          <cell r="Y12">
            <v>0.1051806765790293</v>
          </cell>
          <cell r="Z12">
            <v>0.12759121596803724</v>
          </cell>
          <cell r="AA12">
            <v>0.32794096059015998</v>
          </cell>
          <cell r="AB12">
            <v>0.52888672235001688</v>
          </cell>
          <cell r="AC12">
            <v>0.52537528606944717</v>
          </cell>
          <cell r="AD12">
            <v>0.43334378512242488</v>
          </cell>
          <cell r="AE12">
            <v>0.47125470922703672</v>
          </cell>
          <cell r="AF12">
            <v>0.44184867522148807</v>
          </cell>
          <cell r="AG12">
            <v>0.57351768057085128</v>
          </cell>
          <cell r="AH12">
            <v>0.69492519456450963</v>
          </cell>
          <cell r="AI12">
            <v>0.56190713929106351</v>
          </cell>
          <cell r="AJ12">
            <v>0.42630547439853195</v>
          </cell>
          <cell r="AK12">
            <v>0.30389270845818639</v>
          </cell>
          <cell r="AL12">
            <v>0.30548373117838579</v>
          </cell>
          <cell r="AM12">
            <v>0.33171757055069517</v>
          </cell>
          <cell r="AN12">
            <v>0.30940695789713724</v>
          </cell>
        </row>
        <row r="13">
          <cell r="I13" t="str">
            <v>y/y Growth - % (ex F/X)</v>
          </cell>
          <cell r="AC13">
            <v>0.48008575909248075</v>
          </cell>
          <cell r="AD13">
            <v>0.47893306007368919</v>
          </cell>
          <cell r="AE13">
            <v>0.53872822774405904</v>
          </cell>
          <cell r="AF13">
            <v>0.4785599530836131</v>
          </cell>
          <cell r="AG13">
            <v>0.5672691457299992</v>
          </cell>
          <cell r="AH13">
            <v>0.56442181937610347</v>
          </cell>
          <cell r="AI13">
            <v>0.47887918122815765</v>
          </cell>
          <cell r="AJ13">
            <v>0.42621560697717031</v>
          </cell>
          <cell r="AK13">
            <v>0.32929079800209116</v>
          </cell>
          <cell r="AL13">
            <v>0.36280193113816694</v>
          </cell>
          <cell r="AM13">
            <v>0.38031960312090307</v>
          </cell>
          <cell r="AN13">
            <v>0.32599983877014771</v>
          </cell>
        </row>
        <row r="14">
          <cell r="I14" t="str">
            <v>Company Guidance - Bookings incl F/X Y/Y</v>
          </cell>
          <cell r="AC14" t="str">
            <v>42-48%</v>
          </cell>
          <cell r="AD14" t="str">
            <v>32.5-37.5%</v>
          </cell>
          <cell r="AE14" t="str">
            <v>33-38%</v>
          </cell>
          <cell r="AF14" t="str">
            <v>36-41%</v>
          </cell>
          <cell r="AG14" t="str">
            <v>45-50%</v>
          </cell>
          <cell r="AH14" t="str">
            <v>53-58%</v>
          </cell>
          <cell r="AI14" t="str">
            <v>47-52%</v>
          </cell>
          <cell r="AJ14" t="str">
            <v>39 - 44%</v>
          </cell>
        </row>
        <row r="16">
          <cell r="I16" t="str">
            <v>Revenue Build-Up</v>
          </cell>
        </row>
        <row r="17">
          <cell r="I17" t="str">
            <v xml:space="preserve">Merchant </v>
          </cell>
          <cell r="M17">
            <v>210.43799999999999</v>
          </cell>
          <cell r="N17">
            <v>250.524</v>
          </cell>
          <cell r="O17">
            <v>238.55799999999999</v>
          </cell>
          <cell r="P17">
            <v>204.649</v>
          </cell>
          <cell r="Q17">
            <v>230.13299999999998</v>
          </cell>
          <cell r="R17">
            <v>252.59099999999998</v>
          </cell>
          <cell r="S17">
            <v>274.81600000000003</v>
          </cell>
          <cell r="T17">
            <v>226.69300000000001</v>
          </cell>
          <cell r="U17">
            <v>289.15899999999999</v>
          </cell>
          <cell r="V17">
            <v>336.23</v>
          </cell>
          <cell r="W17">
            <v>323.95699999999999</v>
          </cell>
          <cell r="X17">
            <v>268.81599999999997</v>
          </cell>
          <cell r="Y17">
            <v>337.03399999999999</v>
          </cell>
          <cell r="Z17">
            <v>392.822</v>
          </cell>
          <cell r="AA17">
            <v>400.31400000000002</v>
          </cell>
          <cell r="AB17">
            <v>317.40699999999998</v>
          </cell>
          <cell r="AC17">
            <v>368.26499999999999</v>
          </cell>
          <cell r="AD17">
            <v>446.66899999999998</v>
          </cell>
          <cell r="AE17">
            <v>494.47300000000001</v>
          </cell>
          <cell r="AF17">
            <v>382.23399999999998</v>
          </cell>
          <cell r="AG17">
            <v>454.80399999999997</v>
          </cell>
          <cell r="AH17">
            <v>530.53</v>
          </cell>
          <cell r="AI17">
            <v>573.23</v>
          </cell>
          <cell r="AJ17">
            <v>446.6857167439311</v>
          </cell>
          <cell r="AK17">
            <v>521.26062775905655</v>
          </cell>
          <cell r="AL17">
            <v>612.71336792662964</v>
          </cell>
          <cell r="AM17">
            <v>678.42328499717064</v>
          </cell>
          <cell r="AN17">
            <v>525.88236287621567</v>
          </cell>
        </row>
        <row r="18">
          <cell r="I18" t="str">
            <v xml:space="preserve">Agency </v>
          </cell>
          <cell r="M18">
            <v>30.381</v>
          </cell>
          <cell r="N18">
            <v>55.892000000000003</v>
          </cell>
          <cell r="O18">
            <v>73.325999999999993</v>
          </cell>
          <cell r="P18">
            <v>54.301000000000002</v>
          </cell>
          <cell r="Q18">
            <v>54.511000000000003</v>
          </cell>
          <cell r="R18">
            <v>98.343999999999994</v>
          </cell>
          <cell r="S18">
            <v>139.62299999999999</v>
          </cell>
          <cell r="T18">
            <v>105.768</v>
          </cell>
          <cell r="U18">
            <v>109.932</v>
          </cell>
          <cell r="V18">
            <v>173.249</v>
          </cell>
          <cell r="W18">
            <v>232.63800000000001</v>
          </cell>
          <cell r="X18">
            <v>132.97300000000001</v>
          </cell>
          <cell r="Y18">
            <v>120.22499999999999</v>
          </cell>
          <cell r="Z18">
            <v>204.48500000000001</v>
          </cell>
          <cell r="AA18">
            <v>323.18799999999999</v>
          </cell>
          <cell r="AB18">
            <v>220.49600000000001</v>
          </cell>
          <cell r="AC18">
            <v>213.24199999999999</v>
          </cell>
          <cell r="AD18">
            <v>317.512</v>
          </cell>
          <cell r="AE18">
            <v>504.01</v>
          </cell>
          <cell r="AF18">
            <v>345.83800000000002</v>
          </cell>
          <cell r="AG18">
            <v>351.42200000000003</v>
          </cell>
          <cell r="AH18">
            <v>569.18100000000004</v>
          </cell>
          <cell r="AI18">
            <v>876.601</v>
          </cell>
          <cell r="AJ18">
            <v>516.06051599014324</v>
          </cell>
          <cell r="AK18">
            <v>479.43720354145313</v>
          </cell>
          <cell r="AL18">
            <v>758.23969826511734</v>
          </cell>
          <cell r="AM18">
            <v>1141.8719697332156</v>
          </cell>
          <cell r="AN18">
            <v>668.26935515274067</v>
          </cell>
        </row>
        <row r="19">
          <cell r="I19" t="str">
            <v>Other</v>
          </cell>
          <cell r="M19">
            <v>1.095</v>
          </cell>
          <cell r="N19">
            <v>1.2350000000000001</v>
          </cell>
          <cell r="O19">
            <v>1.583</v>
          </cell>
          <cell r="P19">
            <v>1.121</v>
          </cell>
          <cell r="Q19">
            <v>0.86699999999999999</v>
          </cell>
          <cell r="R19">
            <v>2.6269999999999998</v>
          </cell>
          <cell r="S19">
            <v>2.4529999999999998</v>
          </cell>
          <cell r="T19">
            <v>2.3919999999999999</v>
          </cell>
          <cell r="U19">
            <v>4.0890000000000004</v>
          </cell>
          <cell r="V19">
            <v>4.4969999999999999</v>
          </cell>
          <cell r="W19">
            <v>5.0140000000000002</v>
          </cell>
          <cell r="X19">
            <v>4.2519999999999998</v>
          </cell>
          <cell r="Y19">
            <v>4.7990000000000004</v>
          </cell>
          <cell r="Z19">
            <v>6.4340000000000002</v>
          </cell>
          <cell r="AA19">
            <v>7.1580000000000004</v>
          </cell>
          <cell r="AB19">
            <v>3.85</v>
          </cell>
          <cell r="AC19">
            <v>2.887</v>
          </cell>
          <cell r="AD19">
            <v>3.258</v>
          </cell>
          <cell r="AE19">
            <v>3.274</v>
          </cell>
          <cell r="AF19">
            <v>3.2440000000000002</v>
          </cell>
          <cell r="AG19">
            <v>3.0939999999999999</v>
          </cell>
          <cell r="AH19">
            <v>3.0049999999999999</v>
          </cell>
          <cell r="AI19">
            <v>2.9729999999999999</v>
          </cell>
          <cell r="AJ19">
            <v>3.2440000000000002</v>
          </cell>
          <cell r="AK19">
            <v>3.0939999999999999</v>
          </cell>
          <cell r="AL19">
            <v>3.0049999999999999</v>
          </cell>
          <cell r="AM19">
            <v>2.9729999999999999</v>
          </cell>
          <cell r="AN19">
            <v>3.2440000000000002</v>
          </cell>
        </row>
        <row r="20">
          <cell r="I20" t="str">
            <v>Total Revenue</v>
          </cell>
          <cell r="M20">
            <v>241.91399999999999</v>
          </cell>
          <cell r="N20">
            <v>307.65100000000001</v>
          </cell>
          <cell r="O20">
            <v>313.46700000000004</v>
          </cell>
          <cell r="P20">
            <v>260.07099999999997</v>
          </cell>
          <cell r="Q20">
            <v>285.51100000000002</v>
          </cell>
          <cell r="R20">
            <v>353.56199999999995</v>
          </cell>
          <cell r="S20">
            <v>416.892</v>
          </cell>
          <cell r="T20">
            <v>334.85300000000001</v>
          </cell>
          <cell r="U20">
            <v>403.18</v>
          </cell>
          <cell r="V20">
            <v>513.976</v>
          </cell>
          <cell r="W20">
            <v>561.60900000000004</v>
          </cell>
          <cell r="X20">
            <v>406.041</v>
          </cell>
          <cell r="Y20">
            <v>462.05799999999999</v>
          </cell>
          <cell r="Z20">
            <v>603.74099999999999</v>
          </cell>
          <cell r="AA20">
            <v>730.66</v>
          </cell>
          <cell r="AB20">
            <v>541.75300000000004</v>
          </cell>
          <cell r="AC20">
            <v>584.39399999999989</v>
          </cell>
          <cell r="AD20">
            <v>767.43900000000008</v>
          </cell>
          <cell r="AE20">
            <v>1001.7569999999999</v>
          </cell>
          <cell r="AF20">
            <v>731.31600000000003</v>
          </cell>
          <cell r="AG20">
            <v>809.32</v>
          </cell>
          <cell r="AH20">
            <v>1102.7160000000001</v>
          </cell>
          <cell r="AI20">
            <v>1452.8040000000001</v>
          </cell>
          <cell r="AJ20">
            <v>965.99023273407431</v>
          </cell>
          <cell r="AK20">
            <v>1003.7918313005098</v>
          </cell>
          <cell r="AL20">
            <v>1373.9580661917471</v>
          </cell>
          <cell r="AM20">
            <v>1823.2682547303862</v>
          </cell>
          <cell r="AN20">
            <v>1197.3957180289563</v>
          </cell>
        </row>
        <row r="21">
          <cell r="I21" t="str">
            <v>y/y Growth - %</v>
          </cell>
          <cell r="Q21">
            <v>0.18021693659730342</v>
          </cell>
          <cell r="R21">
            <v>0.14923078423278313</v>
          </cell>
          <cell r="S21">
            <v>0.32993903664500546</v>
          </cell>
          <cell r="T21">
            <v>0.28754455514071187</v>
          </cell>
          <cell r="U21">
            <v>0.41213473386314359</v>
          </cell>
          <cell r="V21">
            <v>0.45370826050310864</v>
          </cell>
          <cell r="W21">
            <v>0.34713307043550867</v>
          </cell>
          <cell r="X21">
            <v>0.21259478039617385</v>
          </cell>
          <cell r="Y21">
            <v>0.14603402946574717</v>
          </cell>
          <cell r="Z21">
            <v>0.17464823260230045</v>
          </cell>
          <cell r="AA21">
            <v>0.30101191398285976</v>
          </cell>
          <cell r="AB21">
            <v>0.33423225733361916</v>
          </cell>
          <cell r="AC21">
            <v>0.26476329811408927</v>
          </cell>
          <cell r="AD21">
            <v>0.27113944555695246</v>
          </cell>
          <cell r="AE21">
            <v>0.37103030137136295</v>
          </cell>
          <cell r="AF21">
            <v>0.34990669179496914</v>
          </cell>
          <cell r="AG21">
            <v>0.38488759295954478</v>
          </cell>
          <cell r="AH21">
            <v>0.43687771927149921</v>
          </cell>
          <cell r="AI21">
            <v>0.4502559003830271</v>
          </cell>
          <cell r="AJ21">
            <v>0.32089306501440462</v>
          </cell>
          <cell r="AK21">
            <v>0.24029040589693773</v>
          </cell>
          <cell r="AL21">
            <v>0.24597635854721145</v>
          </cell>
          <cell r="AM21">
            <v>0.25499947324648486</v>
          </cell>
          <cell r="AN21">
            <v>0.2395526139430284</v>
          </cell>
        </row>
        <row r="22">
          <cell r="I22" t="str">
            <v>y/y Growth - % (ex F/X)</v>
          </cell>
          <cell r="AC22">
            <v>0.24167961597894605</v>
          </cell>
          <cell r="AD22">
            <v>0.2866560329677792</v>
          </cell>
          <cell r="AE22">
            <v>0.42498152355404706</v>
          </cell>
          <cell r="AF22">
            <v>0.37791761190062623</v>
          </cell>
          <cell r="AG22">
            <v>0.38006550375260573</v>
          </cell>
          <cell r="AH22">
            <v>0.3570616035932499</v>
          </cell>
          <cell r="AI22">
            <v>0.38944274908984933</v>
          </cell>
          <cell r="AJ22">
            <v>0.32082941007493093</v>
          </cell>
          <cell r="AK22">
            <v>0.25639988136070913</v>
          </cell>
          <cell r="AL22">
            <v>0.28715239427100214</v>
          </cell>
          <cell r="AM22">
            <v>0.29498409176440044</v>
          </cell>
          <cell r="AN22">
            <v>0.25232371875882942</v>
          </cell>
        </row>
        <row r="23">
          <cell r="I23" t="str">
            <v>Company Guidance - Revenue incl F/X Y/Y</v>
          </cell>
          <cell r="AC23" t="str">
            <v>23-27%</v>
          </cell>
          <cell r="AD23" t="str">
            <v>18-23%</v>
          </cell>
          <cell r="AE23" t="str">
            <v>29-34%</v>
          </cell>
          <cell r="AF23" t="str">
            <v>31-36%</v>
          </cell>
          <cell r="AG23" t="str">
            <v>29-34%</v>
          </cell>
          <cell r="AH23" t="str">
            <v>36-41%</v>
          </cell>
          <cell r="AI23" t="str">
            <v>37-42%</v>
          </cell>
          <cell r="AJ23" t="str">
            <v>27-32%</v>
          </cell>
        </row>
        <row r="25">
          <cell r="I25" t="str">
            <v>Cost of Revenue Build-Up</v>
          </cell>
        </row>
        <row r="26">
          <cell r="I26" t="str">
            <v>Merchant</v>
          </cell>
          <cell r="M26">
            <v>169.68299999999999</v>
          </cell>
          <cell r="N26">
            <v>201.84700000000001</v>
          </cell>
          <cell r="O26">
            <v>189.92</v>
          </cell>
          <cell r="P26">
            <v>160.554</v>
          </cell>
          <cell r="Q26">
            <v>181.672</v>
          </cell>
          <cell r="R26">
            <v>198.66900000000001</v>
          </cell>
          <cell r="S26">
            <v>214.95599999999999</v>
          </cell>
          <cell r="T26">
            <v>174.70099999999999</v>
          </cell>
          <cell r="U26">
            <v>222.077</v>
          </cell>
          <cell r="V26">
            <v>260.25099999999998</v>
          </cell>
          <cell r="W26">
            <v>245.53100000000001</v>
          </cell>
          <cell r="X26">
            <v>200.976</v>
          </cell>
          <cell r="Y26">
            <v>253.72800000000001</v>
          </cell>
          <cell r="Z26">
            <v>298.50299999999999</v>
          </cell>
          <cell r="AA26">
            <v>296.654</v>
          </cell>
          <cell r="AB26">
            <v>228.56399999999999</v>
          </cell>
          <cell r="AC26">
            <v>265.27800000000002</v>
          </cell>
          <cell r="AD26">
            <v>322.18400000000003</v>
          </cell>
          <cell r="AE26">
            <v>335.56900000000002</v>
          </cell>
          <cell r="AF26">
            <v>252.90299999999999</v>
          </cell>
          <cell r="AG26">
            <v>303.512</v>
          </cell>
          <cell r="AH26">
            <v>353.48899999999998</v>
          </cell>
          <cell r="AI26">
            <v>352.65600000000001</v>
          </cell>
          <cell r="AJ26">
            <v>274.87916999999993</v>
          </cell>
          <cell r="AK26">
            <v>332.76893385599999</v>
          </cell>
          <cell r="AL26">
            <v>390.38298726400012</v>
          </cell>
          <cell r="AM26">
            <v>389.96650415000005</v>
          </cell>
          <cell r="AN26">
            <v>301.65772140000001</v>
          </cell>
        </row>
        <row r="27">
          <cell r="I27" t="str">
            <v>Agency</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row>
        <row r="28">
          <cell r="I28" t="str">
            <v>Other</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row>
        <row r="29">
          <cell r="I29" t="str">
            <v>Total Cost of Revenue</v>
          </cell>
          <cell r="M29">
            <v>169.68299999999999</v>
          </cell>
          <cell r="N29">
            <v>201.84700000000001</v>
          </cell>
          <cell r="O29">
            <v>189.92</v>
          </cell>
          <cell r="P29">
            <v>160.554</v>
          </cell>
          <cell r="Q29">
            <v>181.672</v>
          </cell>
          <cell r="R29">
            <v>198.66900000000001</v>
          </cell>
          <cell r="S29">
            <v>214.95599999999999</v>
          </cell>
          <cell r="T29">
            <v>174.70099999999999</v>
          </cell>
          <cell r="U29">
            <v>222.077</v>
          </cell>
          <cell r="V29">
            <v>260.25099999999998</v>
          </cell>
          <cell r="W29">
            <v>245.53100000000001</v>
          </cell>
          <cell r="X29">
            <v>200.976</v>
          </cell>
          <cell r="Y29">
            <v>253.72800000000001</v>
          </cell>
          <cell r="Z29">
            <v>298.50299999999999</v>
          </cell>
          <cell r="AA29">
            <v>296.654</v>
          </cell>
          <cell r="AB29">
            <v>228.56399999999999</v>
          </cell>
          <cell r="AC29">
            <v>265.27800000000002</v>
          </cell>
          <cell r="AD29">
            <v>322.18400000000003</v>
          </cell>
          <cell r="AE29">
            <v>335.56900000000002</v>
          </cell>
          <cell r="AF29">
            <v>252.90299999999999</v>
          </cell>
          <cell r="AG29">
            <v>303.512</v>
          </cell>
          <cell r="AH29">
            <v>353.48899999999998</v>
          </cell>
          <cell r="AI29">
            <v>352.65600000000001</v>
          </cell>
          <cell r="AJ29">
            <v>274.87916999999993</v>
          </cell>
          <cell r="AK29">
            <v>332.76893385599999</v>
          </cell>
          <cell r="AL29">
            <v>390.38298726400012</v>
          </cell>
          <cell r="AM29">
            <v>389.96650415000005</v>
          </cell>
          <cell r="AN29">
            <v>301.65772140000001</v>
          </cell>
        </row>
        <row r="31">
          <cell r="I31" t="str">
            <v>Gross Profit Build-Up</v>
          </cell>
        </row>
        <row r="32">
          <cell r="I32" t="str">
            <v xml:space="preserve">Merchant </v>
          </cell>
          <cell r="M32">
            <v>40.754999999999995</v>
          </cell>
          <cell r="N32">
            <v>48.676999999999992</v>
          </cell>
          <cell r="O32">
            <v>48.638000000000005</v>
          </cell>
          <cell r="P32">
            <v>44.094999999999999</v>
          </cell>
          <cell r="Q32">
            <v>48.460999999999984</v>
          </cell>
          <cell r="R32">
            <v>53.921999999999969</v>
          </cell>
          <cell r="S32">
            <v>59.860000000000042</v>
          </cell>
          <cell r="T32">
            <v>51.992000000000019</v>
          </cell>
          <cell r="U32">
            <v>67.081999999999994</v>
          </cell>
          <cell r="V32">
            <v>75.979000000000042</v>
          </cell>
          <cell r="W32">
            <v>78.425999999999988</v>
          </cell>
          <cell r="X32">
            <v>67.839999999999975</v>
          </cell>
          <cell r="Y32">
            <v>83.305999999999983</v>
          </cell>
          <cell r="Z32">
            <v>94.319000000000017</v>
          </cell>
          <cell r="AA32">
            <v>103.66000000000003</v>
          </cell>
          <cell r="AB32">
            <v>88.842999999999989</v>
          </cell>
          <cell r="AC32">
            <v>102.98699999999997</v>
          </cell>
          <cell r="AD32">
            <v>124.48499999999996</v>
          </cell>
          <cell r="AE32">
            <v>158.904</v>
          </cell>
          <cell r="AF32">
            <v>129.33099999999999</v>
          </cell>
          <cell r="AG32">
            <v>151.29199999999997</v>
          </cell>
          <cell r="AH32">
            <v>177.041</v>
          </cell>
          <cell r="AI32">
            <v>220.57400000000001</v>
          </cell>
          <cell r="AJ32">
            <v>171.80654674393114</v>
          </cell>
          <cell r="AK32">
            <v>188.49169390305656</v>
          </cell>
          <cell r="AL32">
            <v>222.33038066262949</v>
          </cell>
          <cell r="AM32">
            <v>288.45678084717059</v>
          </cell>
          <cell r="AN32">
            <v>224.22464147621568</v>
          </cell>
        </row>
        <row r="33">
          <cell r="I33" t="str">
            <v xml:space="preserve">Agency </v>
          </cell>
          <cell r="M33">
            <v>30.381</v>
          </cell>
          <cell r="N33">
            <v>55.892000000000003</v>
          </cell>
          <cell r="O33">
            <v>73.325999999999993</v>
          </cell>
          <cell r="P33">
            <v>54.301000000000002</v>
          </cell>
          <cell r="Q33">
            <v>54.511000000000003</v>
          </cell>
          <cell r="R33">
            <v>98.343999999999994</v>
          </cell>
          <cell r="S33">
            <v>139.62299999999999</v>
          </cell>
          <cell r="T33">
            <v>105.768</v>
          </cell>
          <cell r="U33">
            <v>109.932</v>
          </cell>
          <cell r="V33">
            <v>173.249</v>
          </cell>
          <cell r="W33">
            <v>232.63800000000001</v>
          </cell>
          <cell r="X33">
            <v>132.97300000000001</v>
          </cell>
          <cell r="Y33">
            <v>120.22499999999999</v>
          </cell>
          <cell r="Z33">
            <v>204.48500000000001</v>
          </cell>
          <cell r="AA33">
            <v>323.18799999999999</v>
          </cell>
          <cell r="AB33">
            <v>220.49600000000001</v>
          </cell>
          <cell r="AC33">
            <v>213.24199999999999</v>
          </cell>
          <cell r="AD33">
            <v>317.512</v>
          </cell>
          <cell r="AE33">
            <v>504.01</v>
          </cell>
          <cell r="AF33">
            <v>345.83800000000002</v>
          </cell>
          <cell r="AG33">
            <v>351.42200000000003</v>
          </cell>
          <cell r="AH33">
            <v>569.18100000000004</v>
          </cell>
          <cell r="AI33">
            <v>876.601</v>
          </cell>
          <cell r="AJ33">
            <v>516.06051599014324</v>
          </cell>
          <cell r="AK33">
            <v>479.43720354145313</v>
          </cell>
          <cell r="AL33">
            <v>758.23969826511734</v>
          </cell>
          <cell r="AM33">
            <v>1141.8719697332156</v>
          </cell>
          <cell r="AN33">
            <v>668.26935515274067</v>
          </cell>
        </row>
        <row r="34">
          <cell r="I34" t="str">
            <v>Other</v>
          </cell>
          <cell r="M34">
            <v>1.095</v>
          </cell>
          <cell r="N34">
            <v>1.2350000000000001</v>
          </cell>
          <cell r="O34">
            <v>1.583</v>
          </cell>
          <cell r="P34">
            <v>1.121</v>
          </cell>
          <cell r="Q34">
            <v>0.86699999999999999</v>
          </cell>
          <cell r="R34">
            <v>2.6269999999999998</v>
          </cell>
          <cell r="S34">
            <v>2.4529999999999998</v>
          </cell>
          <cell r="T34">
            <v>2.3919999999999999</v>
          </cell>
          <cell r="U34">
            <v>4.0890000000000004</v>
          </cell>
          <cell r="V34">
            <v>4.4969999999999999</v>
          </cell>
          <cell r="W34">
            <v>5.0140000000000002</v>
          </cell>
          <cell r="X34">
            <v>4.2519999999999998</v>
          </cell>
          <cell r="Y34">
            <v>4.7990000000000004</v>
          </cell>
          <cell r="Z34">
            <v>6.4340000000000002</v>
          </cell>
          <cell r="AA34">
            <v>7.1580000000000004</v>
          </cell>
          <cell r="AB34">
            <v>3.85</v>
          </cell>
          <cell r="AC34">
            <v>2.887</v>
          </cell>
          <cell r="AD34">
            <v>3.258</v>
          </cell>
          <cell r="AE34">
            <v>3.274</v>
          </cell>
          <cell r="AF34">
            <v>3.2440000000000002</v>
          </cell>
          <cell r="AG34">
            <v>3.0939999999999999</v>
          </cell>
          <cell r="AH34">
            <v>3.0049999999999999</v>
          </cell>
          <cell r="AI34">
            <v>2.9729999999999999</v>
          </cell>
          <cell r="AJ34">
            <v>3.2440000000000002</v>
          </cell>
          <cell r="AK34">
            <v>3.0939999999999999</v>
          </cell>
          <cell r="AL34">
            <v>3.0049999999999999</v>
          </cell>
          <cell r="AM34">
            <v>2.9729999999999999</v>
          </cell>
          <cell r="AN34">
            <v>3.2440000000000002</v>
          </cell>
        </row>
        <row r="35">
          <cell r="I35" t="str">
            <v>Total Gross Profit</v>
          </cell>
          <cell r="M35">
            <v>72.230999999999995</v>
          </cell>
          <cell r="N35">
            <v>105.80399999999999</v>
          </cell>
          <cell r="O35">
            <v>123.547</v>
          </cell>
          <cell r="P35">
            <v>99.516999999999996</v>
          </cell>
          <cell r="Q35">
            <v>103.83899999999998</v>
          </cell>
          <cell r="R35">
            <v>154.89299999999997</v>
          </cell>
          <cell r="S35">
            <v>201.93600000000004</v>
          </cell>
          <cell r="T35">
            <v>160.15200000000002</v>
          </cell>
          <cell r="U35">
            <v>181.10300000000001</v>
          </cell>
          <cell r="V35">
            <v>253.72500000000002</v>
          </cell>
          <cell r="W35">
            <v>316.07799999999997</v>
          </cell>
          <cell r="X35">
            <v>205.065</v>
          </cell>
          <cell r="Y35">
            <v>208.32999999999998</v>
          </cell>
          <cell r="Z35">
            <v>305.23800000000006</v>
          </cell>
          <cell r="AA35">
            <v>434.00600000000003</v>
          </cell>
          <cell r="AB35">
            <v>313.18900000000002</v>
          </cell>
          <cell r="AC35">
            <v>319.11599999999993</v>
          </cell>
          <cell r="AD35">
            <v>445.25499999999994</v>
          </cell>
          <cell r="AE35">
            <v>666.18799999999999</v>
          </cell>
          <cell r="AF35">
            <v>478.41300000000001</v>
          </cell>
          <cell r="AG35">
            <v>505.80799999999999</v>
          </cell>
          <cell r="AH35">
            <v>749.22699999999998</v>
          </cell>
          <cell r="AI35">
            <v>1100.1479999999999</v>
          </cell>
          <cell r="AJ35">
            <v>691.11106273407438</v>
          </cell>
          <cell r="AK35">
            <v>671.02289744450968</v>
          </cell>
          <cell r="AL35">
            <v>983.57507892774686</v>
          </cell>
          <cell r="AM35">
            <v>1433.3017505803862</v>
          </cell>
          <cell r="AN35">
            <v>895.73799662895635</v>
          </cell>
        </row>
        <row r="36">
          <cell r="I36" t="str">
            <v>y/y Growth - %</v>
          </cell>
          <cell r="Q36">
            <v>0.43759604601902224</v>
          </cell>
          <cell r="R36">
            <v>0.46396166496540769</v>
          </cell>
          <cell r="S36">
            <v>0.63448728014439881</v>
          </cell>
          <cell r="T36">
            <v>0.60929288463277653</v>
          </cell>
          <cell r="U36">
            <v>0.74407496220110003</v>
          </cell>
          <cell r="V36">
            <v>0.63806627801127269</v>
          </cell>
          <cell r="W36">
            <v>0.56523849140321647</v>
          </cell>
          <cell r="X36">
            <v>0.28043983215944834</v>
          </cell>
          <cell r="Y36">
            <v>0.15033986184657344</v>
          </cell>
          <cell r="Z36">
            <v>0.20302689920189199</v>
          </cell>
          <cell r="AA36">
            <v>0.37309777966198232</v>
          </cell>
          <cell r="AB36">
            <v>0.52726696413332363</v>
          </cell>
          <cell r="AC36">
            <v>0.53178130850093575</v>
          </cell>
          <cell r="AD36">
            <v>0.45871418368617234</v>
          </cell>
          <cell r="AE36">
            <v>0.53497417086399723</v>
          </cell>
          <cell r="AF36">
            <v>0.52755364971311236</v>
          </cell>
          <cell r="AG36">
            <v>0.58502864162248236</v>
          </cell>
          <cell r="AH36">
            <v>0.68269194057337956</v>
          </cell>
          <cell r="AI36">
            <v>0.65140771073630854</v>
          </cell>
          <cell r="AJ36">
            <v>0.44459089266820584</v>
          </cell>
          <cell r="AK36">
            <v>0.32663559580811241</v>
          </cell>
          <cell r="AL36">
            <v>0.31278648383967322</v>
          </cell>
          <cell r="AM36">
            <v>0.30282630207970773</v>
          </cell>
          <cell r="AN36">
            <v>0.29608400867635698</v>
          </cell>
        </row>
        <row r="37">
          <cell r="I37" t="str">
            <v>y/y Growth - % (ex F/X)</v>
          </cell>
          <cell r="AC37">
            <v>0.48058368933902895</v>
          </cell>
          <cell r="AD37">
            <v>0.48940498889391271</v>
          </cell>
          <cell r="AE37">
            <v>0.62580240826163691</v>
          </cell>
          <cell r="AF37">
            <v>0.57600682016290472</v>
          </cell>
          <cell r="AG37">
            <v>0.57619799696662111</v>
          </cell>
          <cell r="AH37">
            <v>0.5451213349653572</v>
          </cell>
          <cell r="AI37">
            <v>0.55996205275387778</v>
          </cell>
          <cell r="AJ37">
            <v>0.44449358787984083</v>
          </cell>
          <cell r="AK37">
            <v>0.35241162284275696</v>
          </cell>
          <cell r="AL37">
            <v>0.37338957663957983</v>
          </cell>
          <cell r="AM37">
            <v>0.35562811940001526</v>
          </cell>
          <cell r="AN37">
            <v>0.31393463092581375</v>
          </cell>
        </row>
        <row r="38">
          <cell r="I38" t="str">
            <v>Company Guidance - Gross Profit incl F/X Y/Y</v>
          </cell>
          <cell r="AC38">
            <v>0.5</v>
          </cell>
          <cell r="AD38" t="str">
            <v>34-39%</v>
          </cell>
          <cell r="AE38" t="str">
            <v>43-48%</v>
          </cell>
          <cell r="AF38" t="str">
            <v>49-54%</v>
          </cell>
          <cell r="AG38" t="str">
            <v>47-52%</v>
          </cell>
          <cell r="AH38" t="str">
            <v>57-62%</v>
          </cell>
          <cell r="AI38" t="str">
            <v>54-59%</v>
          </cell>
          <cell r="AJ38" t="str">
            <v>42-47%</v>
          </cell>
        </row>
        <row r="40">
          <cell r="I40" t="str">
            <v>Gross Bookings Scenarios</v>
          </cell>
        </row>
        <row r="41">
          <cell r="I41" t="str">
            <v>Gross bookings by brand</v>
          </cell>
        </row>
        <row r="42">
          <cell r="I42" t="str">
            <v>US</v>
          </cell>
        </row>
        <row r="43">
          <cell r="I43" t="str">
            <v>Agency (Priceline.com)</v>
          </cell>
          <cell r="M43">
            <v>207.69199999999989</v>
          </cell>
          <cell r="N43">
            <v>252.69099999999986</v>
          </cell>
          <cell r="O43">
            <v>201.9899999999999</v>
          </cell>
          <cell r="P43">
            <v>171.93399999999994</v>
          </cell>
          <cell r="Q43">
            <v>190.84899999999999</v>
          </cell>
          <cell r="R43">
            <v>232.13600000000002</v>
          </cell>
          <cell r="S43">
            <v>254.14100000000002</v>
          </cell>
          <cell r="T43">
            <v>246.33799999999991</v>
          </cell>
          <cell r="U43">
            <v>357.07499999999987</v>
          </cell>
          <cell r="V43">
            <v>443.2940000000001</v>
          </cell>
          <cell r="W43">
            <v>385.09300000000013</v>
          </cell>
          <cell r="X43">
            <v>353.52399999999983</v>
          </cell>
          <cell r="Y43">
            <v>417.31599999999986</v>
          </cell>
          <cell r="Z43">
            <v>453.41999999999996</v>
          </cell>
          <cell r="AA43">
            <v>474.61099999999999</v>
          </cell>
          <cell r="AB43">
            <v>427.04500000000019</v>
          </cell>
          <cell r="AC43">
            <v>485.1570000000001</v>
          </cell>
          <cell r="AD43">
            <v>558.46900000000005</v>
          </cell>
          <cell r="AE43">
            <v>538.9</v>
          </cell>
          <cell r="AF43">
            <v>445.875</v>
          </cell>
          <cell r="AG43">
            <v>539.86160000000007</v>
          </cell>
          <cell r="AH43">
            <v>608.48919999999998</v>
          </cell>
          <cell r="AI43">
            <v>660.58500000000004</v>
          </cell>
          <cell r="AJ43">
            <v>526.13249999999994</v>
          </cell>
          <cell r="AK43">
            <v>620.84084000000007</v>
          </cell>
          <cell r="AL43">
            <v>711.93236399999989</v>
          </cell>
          <cell r="AM43">
            <v>772.88445000000002</v>
          </cell>
          <cell r="AN43">
            <v>610.31369999999993</v>
          </cell>
        </row>
        <row r="44">
          <cell r="I44" t="str">
            <v>Base y/y Growth - %</v>
          </cell>
          <cell r="M44" t="str">
            <v>NA</v>
          </cell>
          <cell r="N44" t="str">
            <v>NA</v>
          </cell>
          <cell r="O44" t="str">
            <v>NA</v>
          </cell>
          <cell r="P44" t="str">
            <v>NA</v>
          </cell>
          <cell r="Q44">
            <v>-8.1096046068215966E-2</v>
          </cell>
          <cell r="R44">
            <v>-8.1344408783850075E-2</v>
          </cell>
          <cell r="S44">
            <v>0.25818604881429841</v>
          </cell>
          <cell r="T44">
            <v>0.43274744960275457</v>
          </cell>
          <cell r="U44">
            <v>0.87098177092884899</v>
          </cell>
          <cell r="V44">
            <v>0.90963056139504461</v>
          </cell>
          <cell r="W44">
            <v>0.51527301773425038</v>
          </cell>
          <cell r="X44">
            <v>0.43511760264352217</v>
          </cell>
          <cell r="Y44">
            <v>0.16870685430231736</v>
          </cell>
          <cell r="Z44">
            <v>2.2842628142947685E-2</v>
          </cell>
          <cell r="AA44">
            <v>0.23245813348983191</v>
          </cell>
          <cell r="AB44">
            <v>0.20796607868207073</v>
          </cell>
          <cell r="AC44">
            <v>0.16256505861265858</v>
          </cell>
          <cell r="AD44">
            <v>0.23168144325349593</v>
          </cell>
          <cell r="AE44">
            <v>0.1354561946520414</v>
          </cell>
          <cell r="AF44">
            <v>4.4093713777236143E-2</v>
          </cell>
          <cell r="AG44">
            <v>0.11275648913650627</v>
          </cell>
          <cell r="AH44">
            <v>8.9566654550207625E-2</v>
          </cell>
          <cell r="AI44">
            <v>0.22580256077194294</v>
          </cell>
          <cell r="AJ44">
            <v>0.18</v>
          </cell>
          <cell r="AK44">
            <v>0.15</v>
          </cell>
          <cell r="AL44">
            <v>0.17</v>
          </cell>
          <cell r="AM44">
            <v>0.17</v>
          </cell>
          <cell r="AN44">
            <v>0.16</v>
          </cell>
        </row>
        <row r="45">
          <cell r="I45" t="str">
            <v>Bull y/y Growth - %</v>
          </cell>
          <cell r="M45" t="str">
            <v>NA</v>
          </cell>
          <cell r="N45" t="str">
            <v>NA</v>
          </cell>
          <cell r="O45" t="str">
            <v>NA</v>
          </cell>
          <cell r="P45" t="str">
            <v>NA</v>
          </cell>
          <cell r="Q45">
            <v>-8.1096046068215966E-2</v>
          </cell>
          <cell r="R45">
            <v>-8.1344408783850075E-2</v>
          </cell>
          <cell r="S45">
            <v>0.25818604881429841</v>
          </cell>
          <cell r="T45">
            <v>0.43274744960275457</v>
          </cell>
          <cell r="U45">
            <v>0.87098177092884899</v>
          </cell>
          <cell r="V45">
            <v>0.90963056139504461</v>
          </cell>
          <cell r="W45">
            <v>0.51527301773425038</v>
          </cell>
          <cell r="X45">
            <v>0.43511760264352217</v>
          </cell>
          <cell r="Y45">
            <v>0.16870685430231736</v>
          </cell>
          <cell r="Z45">
            <v>2.2842628142947685E-2</v>
          </cell>
          <cell r="AA45">
            <v>0.23245813348983191</v>
          </cell>
          <cell r="AB45">
            <v>0.20796607868207073</v>
          </cell>
          <cell r="AC45">
            <v>0.16256505861265858</v>
          </cell>
          <cell r="AD45">
            <v>0.23168144325349593</v>
          </cell>
          <cell r="AE45">
            <v>0.1354561946520414</v>
          </cell>
          <cell r="AF45">
            <v>4.4093713777236143E-2</v>
          </cell>
          <cell r="AG45">
            <v>0.11275648913650627</v>
          </cell>
          <cell r="AH45">
            <v>8.9566654550207625E-2</v>
          </cell>
          <cell r="AI45">
            <v>0.22580256077194294</v>
          </cell>
          <cell r="AJ45">
            <v>0.19999999999999998</v>
          </cell>
          <cell r="AK45">
            <v>0.16999999999999998</v>
          </cell>
          <cell r="AL45">
            <v>0.19</v>
          </cell>
          <cell r="AM45">
            <v>0.19</v>
          </cell>
          <cell r="AN45">
            <v>0.18</v>
          </cell>
        </row>
        <row r="46">
          <cell r="I46" t="str">
            <v>Bear y/y Growth - %</v>
          </cell>
          <cell r="M46" t="str">
            <v>NA</v>
          </cell>
          <cell r="N46" t="str">
            <v>NA</v>
          </cell>
          <cell r="O46" t="str">
            <v>NA</v>
          </cell>
          <cell r="P46" t="str">
            <v>NA</v>
          </cell>
          <cell r="Q46">
            <v>-8.1096046068215966E-2</v>
          </cell>
          <cell r="R46">
            <v>-8.1344408783850075E-2</v>
          </cell>
          <cell r="S46">
            <v>0.25818604881429841</v>
          </cell>
          <cell r="T46">
            <v>0.43274744960275457</v>
          </cell>
          <cell r="U46">
            <v>0.87098177092884899</v>
          </cell>
          <cell r="V46">
            <v>0.90963056139504461</v>
          </cell>
          <cell r="W46">
            <v>0.51527301773425038</v>
          </cell>
          <cell r="X46">
            <v>0.43511760264352217</v>
          </cell>
          <cell r="Y46">
            <v>0.16870685430231736</v>
          </cell>
          <cell r="Z46">
            <v>2.2842628142947685E-2</v>
          </cell>
          <cell r="AA46">
            <v>0.23245813348983191</v>
          </cell>
          <cell r="AB46">
            <v>0.20796607868207073</v>
          </cell>
          <cell r="AC46">
            <v>0.16256505861265858</v>
          </cell>
          <cell r="AD46">
            <v>0.23168144325349593</v>
          </cell>
          <cell r="AE46">
            <v>0.1354561946520414</v>
          </cell>
          <cell r="AF46">
            <v>4.4093713777236143E-2</v>
          </cell>
          <cell r="AG46">
            <v>0.11275648913650627</v>
          </cell>
          <cell r="AH46">
            <v>8.9566654550207625E-2</v>
          </cell>
          <cell r="AI46">
            <v>0.22580256077194294</v>
          </cell>
          <cell r="AJ46">
            <v>0.12</v>
          </cell>
          <cell r="AK46">
            <v>0.09</v>
          </cell>
          <cell r="AL46">
            <v>0.09</v>
          </cell>
          <cell r="AM46">
            <v>7.0000000000000007E-2</v>
          </cell>
          <cell r="AN46">
            <v>0.09</v>
          </cell>
        </row>
        <row r="47">
          <cell r="I47" t="str">
            <v>Merchant (NYOP &amp; Priceline.com)</v>
          </cell>
          <cell r="M47">
            <v>266.315</v>
          </cell>
          <cell r="N47">
            <v>318.06599999999997</v>
          </cell>
          <cell r="O47">
            <v>302.762</v>
          </cell>
          <cell r="P47">
            <v>251.34</v>
          </cell>
          <cell r="Q47">
            <v>287.96300000000002</v>
          </cell>
          <cell r="R47">
            <v>315.65100000000001</v>
          </cell>
          <cell r="S47">
            <v>348.06400000000002</v>
          </cell>
          <cell r="T47">
            <v>279.233</v>
          </cell>
          <cell r="U47">
            <v>363.89299999999997</v>
          </cell>
          <cell r="V47">
            <v>428.99</v>
          </cell>
          <cell r="W47">
            <v>414.334</v>
          </cell>
          <cell r="X47">
            <v>335.589</v>
          </cell>
          <cell r="Y47">
            <v>434.26799999999997</v>
          </cell>
          <cell r="Z47">
            <v>510.75799999999992</v>
          </cell>
          <cell r="AA47">
            <v>524.23500000000001</v>
          </cell>
          <cell r="AB47">
            <v>404.40899999999999</v>
          </cell>
          <cell r="AC47">
            <v>504.53799999999995</v>
          </cell>
          <cell r="AD47">
            <v>595.71100000000001</v>
          </cell>
          <cell r="AE47">
            <v>582.1</v>
          </cell>
          <cell r="AF47">
            <v>456.125</v>
          </cell>
          <cell r="AG47">
            <v>589.13839999999993</v>
          </cell>
          <cell r="AH47">
            <v>699.51080000000002</v>
          </cell>
          <cell r="AI47">
            <v>607.41499999999996</v>
          </cell>
          <cell r="AJ47">
            <v>492.61500000000001</v>
          </cell>
          <cell r="AK47">
            <v>636.26947199999995</v>
          </cell>
          <cell r="AL47">
            <v>762.46677200000011</v>
          </cell>
          <cell r="AM47">
            <v>662.08235000000002</v>
          </cell>
          <cell r="AN47">
            <v>532.02420000000006</v>
          </cell>
        </row>
        <row r="48">
          <cell r="I48" t="str">
            <v>Base y/y Growth - %</v>
          </cell>
          <cell r="M48" t="str">
            <v>NA</v>
          </cell>
          <cell r="N48" t="str">
            <v>NA</v>
          </cell>
          <cell r="O48" t="str">
            <v>NA</v>
          </cell>
          <cell r="P48" t="str">
            <v>NA</v>
          </cell>
          <cell r="Q48">
            <v>8.128719749169222E-2</v>
          </cell>
          <cell r="R48">
            <v>-7.5927637660107017E-3</v>
          </cell>
          <cell r="S48">
            <v>0.14962908158883881</v>
          </cell>
          <cell r="T48">
            <v>0.11097716240948508</v>
          </cell>
          <cell r="U48">
            <v>0.26367970885148417</v>
          </cell>
          <cell r="V48">
            <v>0.35906428302143811</v>
          </cell>
          <cell r="W48">
            <v>0.19039601912291992</v>
          </cell>
          <cell r="X48">
            <v>0.20182428294649979</v>
          </cell>
          <cell r="Y48">
            <v>0.19339476164696756</v>
          </cell>
          <cell r="Z48">
            <v>0.19060584162800986</v>
          </cell>
          <cell r="AA48">
            <v>0.26524736082484179</v>
          </cell>
          <cell r="AB48">
            <v>0.2050722759089243</v>
          </cell>
          <cell r="AC48">
            <v>0.16181252130021084</v>
          </cell>
          <cell r="AD48">
            <v>0.1663273017750091</v>
          </cell>
          <cell r="AE48">
            <v>0.11037988688279121</v>
          </cell>
          <cell r="AF48">
            <v>0.12788043787353898</v>
          </cell>
          <cell r="AG48">
            <v>0.16767894588712839</v>
          </cell>
          <cell r="AH48">
            <v>0.17424522964994771</v>
          </cell>
          <cell r="AI48">
            <v>4.3489091221439402E-2</v>
          </cell>
          <cell r="AJ48">
            <v>0.08</v>
          </cell>
          <cell r="AK48">
            <v>0.08</v>
          </cell>
          <cell r="AL48">
            <v>0.09</v>
          </cell>
          <cell r="AM48">
            <v>0.09</v>
          </cell>
          <cell r="AN48">
            <v>0.08</v>
          </cell>
        </row>
        <row r="49">
          <cell r="I49" t="str">
            <v>Bull y/y Growth - %</v>
          </cell>
          <cell r="M49" t="str">
            <v>NA</v>
          </cell>
          <cell r="N49" t="str">
            <v>NA</v>
          </cell>
          <cell r="O49" t="str">
            <v>NA</v>
          </cell>
          <cell r="P49" t="str">
            <v>NA</v>
          </cell>
          <cell r="Q49">
            <v>8.128719749169222E-2</v>
          </cell>
          <cell r="R49">
            <v>-7.5927637660107017E-3</v>
          </cell>
          <cell r="S49">
            <v>0.14962908158883881</v>
          </cell>
          <cell r="T49">
            <v>0.11097716240948508</v>
          </cell>
          <cell r="U49">
            <v>0.26367970885148417</v>
          </cell>
          <cell r="V49">
            <v>0.35906428302143811</v>
          </cell>
          <cell r="W49">
            <v>0.19039601912291992</v>
          </cell>
          <cell r="X49">
            <v>0.20182428294649979</v>
          </cell>
          <cell r="Y49">
            <v>0.19339476164696756</v>
          </cell>
          <cell r="Z49">
            <v>0.19060584162800986</v>
          </cell>
          <cell r="AA49">
            <v>0.26524736082484179</v>
          </cell>
          <cell r="AB49">
            <v>0.2050722759089243</v>
          </cell>
          <cell r="AC49">
            <v>0.16181252130021084</v>
          </cell>
          <cell r="AD49">
            <v>0.1663273017750091</v>
          </cell>
          <cell r="AE49">
            <v>0.11037988688279121</v>
          </cell>
          <cell r="AF49">
            <v>0.12788043787353898</v>
          </cell>
          <cell r="AG49">
            <v>0.16767894588712839</v>
          </cell>
          <cell r="AH49">
            <v>0.17424522964994771</v>
          </cell>
          <cell r="AI49">
            <v>4.3489091221439402E-2</v>
          </cell>
          <cell r="AJ49">
            <v>0.1</v>
          </cell>
          <cell r="AK49">
            <v>0.1</v>
          </cell>
          <cell r="AL49">
            <v>0.11</v>
          </cell>
          <cell r="AM49">
            <v>0.11</v>
          </cell>
          <cell r="AN49">
            <v>0.1</v>
          </cell>
        </row>
        <row r="50">
          <cell r="I50" t="str">
            <v>Bear y/y Growth - %</v>
          </cell>
          <cell r="M50" t="str">
            <v>NA</v>
          </cell>
          <cell r="N50" t="str">
            <v>NA</v>
          </cell>
          <cell r="O50" t="str">
            <v>NA</v>
          </cell>
          <cell r="P50" t="str">
            <v>NA</v>
          </cell>
          <cell r="Q50">
            <v>8.128719749169222E-2</v>
          </cell>
          <cell r="R50">
            <v>-7.5927637660107017E-3</v>
          </cell>
          <cell r="S50">
            <v>0.14962908158883881</v>
          </cell>
          <cell r="T50">
            <v>0.11097716240948508</v>
          </cell>
          <cell r="U50">
            <v>0.26367970885148417</v>
          </cell>
          <cell r="V50">
            <v>0.35906428302143811</v>
          </cell>
          <cell r="W50">
            <v>0.19039601912291992</v>
          </cell>
          <cell r="X50">
            <v>0.20182428294649979</v>
          </cell>
          <cell r="Y50">
            <v>0.19339476164696756</v>
          </cell>
          <cell r="Z50">
            <v>0.19060584162800986</v>
          </cell>
          <cell r="AA50">
            <v>0.26524736082484179</v>
          </cell>
          <cell r="AB50">
            <v>0.2050722759089243</v>
          </cell>
          <cell r="AC50">
            <v>0.16181252130021084</v>
          </cell>
          <cell r="AD50">
            <v>0.1663273017750091</v>
          </cell>
          <cell r="AE50">
            <v>0.11037988688279121</v>
          </cell>
          <cell r="AF50">
            <v>0.12788043787353898</v>
          </cell>
          <cell r="AG50">
            <v>0.16767894588712839</v>
          </cell>
          <cell r="AH50">
            <v>0.17424522964994771</v>
          </cell>
          <cell r="AI50">
            <v>4.3489091221439402E-2</v>
          </cell>
          <cell r="AJ50">
            <v>0.1</v>
          </cell>
          <cell r="AK50">
            <v>0.08</v>
          </cell>
          <cell r="AL50">
            <v>0.09</v>
          </cell>
          <cell r="AM50">
            <v>0.09</v>
          </cell>
          <cell r="AN50">
            <v>0.09</v>
          </cell>
        </row>
        <row r="51">
          <cell r="I51" t="str">
            <v>Total US</v>
          </cell>
          <cell r="M51">
            <v>474.00699999999989</v>
          </cell>
          <cell r="N51">
            <v>570.75699999999983</v>
          </cell>
          <cell r="O51">
            <v>504.7519999999999</v>
          </cell>
          <cell r="P51">
            <v>423.27399999999994</v>
          </cell>
          <cell r="Q51">
            <v>478.81200000000001</v>
          </cell>
          <cell r="R51">
            <v>547.78700000000003</v>
          </cell>
          <cell r="S51">
            <v>602.20500000000004</v>
          </cell>
          <cell r="T51">
            <v>525.57099999999991</v>
          </cell>
          <cell r="U51">
            <v>720.96799999999985</v>
          </cell>
          <cell r="V51">
            <v>872.28400000000011</v>
          </cell>
          <cell r="W51">
            <v>799.42700000000013</v>
          </cell>
          <cell r="X51">
            <v>689.11299999999983</v>
          </cell>
          <cell r="Y51">
            <v>851.58399999999983</v>
          </cell>
          <cell r="Z51">
            <v>964.17799999999988</v>
          </cell>
          <cell r="AA51">
            <v>998.846</v>
          </cell>
          <cell r="AB51">
            <v>831.45400000000018</v>
          </cell>
          <cell r="AC51">
            <v>989.69500000000005</v>
          </cell>
          <cell r="AD51">
            <v>1154.18</v>
          </cell>
          <cell r="AE51">
            <v>1121</v>
          </cell>
          <cell r="AF51">
            <v>902</v>
          </cell>
          <cell r="AG51">
            <v>1129</v>
          </cell>
          <cell r="AH51">
            <v>1308</v>
          </cell>
          <cell r="AI51">
            <v>1268</v>
          </cell>
          <cell r="AJ51">
            <v>1018.7474999999999</v>
          </cell>
          <cell r="AK51">
            <v>1257.110312</v>
          </cell>
          <cell r="AL51">
            <v>1474.399136</v>
          </cell>
          <cell r="AM51">
            <v>1434.9668000000001</v>
          </cell>
          <cell r="AN51">
            <v>1142.3379</v>
          </cell>
        </row>
        <row r="52">
          <cell r="I52" t="str">
            <v>y/y Growth - %</v>
          </cell>
          <cell r="M52" t="str">
            <v>NA</v>
          </cell>
          <cell r="N52" t="str">
            <v>NA</v>
          </cell>
          <cell r="O52" t="str">
            <v>NA</v>
          </cell>
          <cell r="P52" t="str">
            <v>NA</v>
          </cell>
          <cell r="Q52">
            <v>1.0136981099435394E-2</v>
          </cell>
          <cell r="R52">
            <v>-4.0244797698494872E-2</v>
          </cell>
          <cell r="S52">
            <v>0.19307105271499703</v>
          </cell>
          <cell r="T52">
            <v>0.24168032999900779</v>
          </cell>
          <cell r="U52">
            <v>0.50574338153596776</v>
          </cell>
          <cell r="V52">
            <v>0.5923780593551875</v>
          </cell>
          <cell r="W52">
            <v>0.32749977167243727</v>
          </cell>
          <cell r="X52">
            <v>0.31117013686067141</v>
          </cell>
          <cell r="Y52">
            <v>0.1811675414165399</v>
          </cell>
          <cell r="Z52">
            <v>0.10534871670235813</v>
          </cell>
          <cell r="AA52">
            <v>0.24945242029603687</v>
          </cell>
          <cell r="AB52">
            <v>0.20655683465556507</v>
          </cell>
          <cell r="AC52">
            <v>0.16218129978956886</v>
          </cell>
          <cell r="AD52">
            <v>0.19706112356846983</v>
          </cell>
          <cell r="AE52">
            <v>0.12229512857837954</v>
          </cell>
          <cell r="AF52">
            <v>8.4846545930381989E-2</v>
          </cell>
          <cell r="AG52">
            <v>0.14075548527576665</v>
          </cell>
          <cell r="AH52">
            <v>0.13327210660382249</v>
          </cell>
          <cell r="AI52">
            <v>0.13113291703835861</v>
          </cell>
          <cell r="AJ52">
            <v>0.12943181818181815</v>
          </cell>
          <cell r="AK52">
            <v>0.11347237555358736</v>
          </cell>
          <cell r="AL52">
            <v>0.12721646483180438</v>
          </cell>
          <cell r="AM52">
            <v>0.13167728706624615</v>
          </cell>
          <cell r="AN52">
            <v>0.12131602776939343</v>
          </cell>
        </row>
        <row r="54">
          <cell r="I54" t="str">
            <v>Europe</v>
          </cell>
        </row>
        <row r="55">
          <cell r="I55" t="str">
            <v>Agency (Booking.com)</v>
          </cell>
          <cell r="M55">
            <v>267.26400000000007</v>
          </cell>
          <cell r="N55">
            <v>350.74300000000011</v>
          </cell>
          <cell r="O55">
            <v>392.76600000000008</v>
          </cell>
          <cell r="P55">
            <v>313.15600000000006</v>
          </cell>
          <cell r="Q55">
            <v>504.00400000000002</v>
          </cell>
          <cell r="R55">
            <v>670.29899999999998</v>
          </cell>
          <cell r="S55">
            <v>772.15299999999979</v>
          </cell>
          <cell r="T55">
            <v>649.81000000000006</v>
          </cell>
          <cell r="U55">
            <v>972.23150000000021</v>
          </cell>
          <cell r="V55">
            <v>1168.3035</v>
          </cell>
          <cell r="W55">
            <v>1173.1324999999999</v>
          </cell>
          <cell r="X55">
            <v>711.15499999999997</v>
          </cell>
          <cell r="Y55">
            <v>962.86</v>
          </cell>
          <cell r="Z55">
            <v>1262.009125</v>
          </cell>
          <cell r="AA55">
            <v>1538.44625</v>
          </cell>
          <cell r="AB55">
            <v>1228.8415</v>
          </cell>
          <cell r="AC55">
            <v>1656.6200000000001</v>
          </cell>
          <cell r="AD55">
            <v>1843.9102500000001</v>
          </cell>
          <cell r="AE55">
            <v>2305.939625</v>
          </cell>
          <cell r="AF55">
            <v>1857.9887500000002</v>
          </cell>
          <cell r="AG55">
            <v>2708.0260000000003</v>
          </cell>
          <cell r="AH55">
            <v>3431.0739750000002</v>
          </cell>
          <cell r="AI55">
            <v>3748.7228999999998</v>
          </cell>
          <cell r="AJ55">
            <v>2679.5012112589302</v>
          </cell>
          <cell r="AK55">
            <v>3449.3490420691924</v>
          </cell>
          <cell r="AL55">
            <v>4320.3888031699053</v>
          </cell>
          <cell r="AM55">
            <v>4811.7956430876802</v>
          </cell>
          <cell r="AN55">
            <v>3367.4356604679911</v>
          </cell>
        </row>
        <row r="56">
          <cell r="I56" t="str">
            <v>Base y/y Growth - %</v>
          </cell>
          <cell r="M56" t="str">
            <v>NA</v>
          </cell>
          <cell r="N56" t="str">
            <v>NA</v>
          </cell>
          <cell r="O56" t="str">
            <v>NA</v>
          </cell>
          <cell r="P56" t="str">
            <v>NA</v>
          </cell>
          <cell r="Q56">
            <v>0.88579082854406099</v>
          </cell>
          <cell r="R56">
            <v>0.91108304371006632</v>
          </cell>
          <cell r="S56">
            <v>0.96593646089529051</v>
          </cell>
          <cell r="T56">
            <v>1.0750360842519382</v>
          </cell>
          <cell r="U56">
            <v>0.92901544432187078</v>
          </cell>
          <cell r="V56">
            <v>0.74295873930887568</v>
          </cell>
          <cell r="W56">
            <v>0.51930057903032201</v>
          </cell>
          <cell r="X56">
            <v>9.4404518243794255E-2</v>
          </cell>
          <cell r="Y56">
            <v>-9.639165157681262E-3</v>
          </cell>
          <cell r="Z56">
            <v>8.0206577314884342E-2</v>
          </cell>
          <cell r="AA56">
            <v>0.31140024677519373</v>
          </cell>
          <cell r="AB56">
            <v>0.72795171235525324</v>
          </cell>
          <cell r="AC56">
            <v>0.72052011715098785</v>
          </cell>
          <cell r="AD56">
            <v>0.46109105986060128</v>
          </cell>
          <cell r="AE56">
            <v>0.49887565132678513</v>
          </cell>
          <cell r="AF56">
            <v>0.51198405164539129</v>
          </cell>
          <cell r="AG56">
            <v>0.63466938706522935</v>
          </cell>
          <cell r="AH56">
            <v>0.86075974955939416</v>
          </cell>
          <cell r="AI56">
            <v>0.62568128816468893</v>
          </cell>
          <cell r="AJ56">
            <v>0.44215147226210577</v>
          </cell>
          <cell r="AK56">
            <v>0.27375034141813703</v>
          </cell>
          <cell r="AL56">
            <v>0.25919430319770514</v>
          </cell>
          <cell r="AM56">
            <v>0.28358264172784808</v>
          </cell>
          <cell r="AN56">
            <v>0.2567397418289814</v>
          </cell>
        </row>
        <row r="57">
          <cell r="I57" t="str">
            <v>(+/-) FX y/y Growth - %</v>
          </cell>
          <cell r="M57" t="str">
            <v>NA</v>
          </cell>
          <cell r="N57" t="str">
            <v>NA</v>
          </cell>
          <cell r="O57" t="str">
            <v>NA</v>
          </cell>
          <cell r="P57" t="str">
            <v>NA</v>
          </cell>
          <cell r="Q57">
            <v>-9.1972109638473659E-2</v>
          </cell>
          <cell r="R57">
            <v>-7.3297305063479229E-2</v>
          </cell>
          <cell r="S57">
            <v>-7.896214873579005E-2</v>
          </cell>
          <cell r="T57">
            <v>-0.11721712931699564</v>
          </cell>
          <cell r="U57">
            <v>-0.13140358182497841</v>
          </cell>
          <cell r="V57">
            <v>-0.14161757392778682</v>
          </cell>
          <cell r="W57">
            <v>-7.7851551401563981E-2</v>
          </cell>
          <cell r="X57">
            <v>0.10256635929406802</v>
          </cell>
          <cell r="Y57">
            <v>0.14560563389727577</v>
          </cell>
          <cell r="Z57">
            <v>0.13692506323139333</v>
          </cell>
          <cell r="AA57">
            <v>5.799372733296853E-2</v>
          </cell>
          <cell r="AB57">
            <v>-0.11086810894296383</v>
          </cell>
          <cell r="AC57">
            <v>-6.5479792528646219E-2</v>
          </cell>
          <cell r="AD57">
            <v>6.0472143123514489E-2</v>
          </cell>
          <cell r="AE57">
            <v>9.3155893545851146E-2</v>
          </cell>
          <cell r="AF57">
            <v>7.4243104641365701E-2</v>
          </cell>
          <cell r="AG57">
            <v>9.4701139141183943E-3</v>
          </cell>
          <cell r="AH57">
            <v>-0.12422162731977604</v>
          </cell>
          <cell r="AI57">
            <v>-9.1726248536802363E-2</v>
          </cell>
          <cell r="AJ57">
            <v>7.8485277378942623E-3</v>
          </cell>
          <cell r="AK57">
            <v>4.6249658581862953E-2</v>
          </cell>
          <cell r="AL57">
            <v>9.0805696802294833E-2</v>
          </cell>
          <cell r="AM57">
            <v>7.6417358272151931E-2</v>
          </cell>
          <cell r="AN57">
            <v>3.3260258171018589E-2</v>
          </cell>
        </row>
        <row r="58">
          <cell r="I58" t="str">
            <v>Organic y/y Growth - %</v>
          </cell>
          <cell r="M58" t="str">
            <v>NA</v>
          </cell>
          <cell r="N58" t="str">
            <v>NA</v>
          </cell>
          <cell r="O58" t="str">
            <v>NA</v>
          </cell>
          <cell r="P58" t="str">
            <v>NA</v>
          </cell>
          <cell r="Q58">
            <v>0.79381871890558731</v>
          </cell>
          <cell r="R58">
            <v>0.83778573864658712</v>
          </cell>
          <cell r="S58">
            <v>0.8869743121595004</v>
          </cell>
          <cell r="T58">
            <v>0.95781895493494251</v>
          </cell>
          <cell r="U58">
            <v>0.79761186249689242</v>
          </cell>
          <cell r="V58">
            <v>0.60134116538108884</v>
          </cell>
          <cell r="W58">
            <v>0.44144902762875804</v>
          </cell>
          <cell r="X58">
            <v>0.19697087753786227</v>
          </cell>
          <cell r="Y58">
            <v>0.1359664687395945</v>
          </cell>
          <cell r="Z58">
            <v>0.21713164054627768</v>
          </cell>
          <cell r="AA58">
            <v>0.36939397410816227</v>
          </cell>
          <cell r="AB58">
            <v>0.61708360341228941</v>
          </cell>
          <cell r="AC58">
            <v>0.65504032462234163</v>
          </cell>
          <cell r="AD58">
            <v>0.52156320298411574</v>
          </cell>
          <cell r="AE58">
            <v>0.59203154487263632</v>
          </cell>
          <cell r="AF58">
            <v>0.58622715628675703</v>
          </cell>
          <cell r="AG58">
            <v>0.6441395009793478</v>
          </cell>
          <cell r="AH58">
            <v>0.73653812223961812</v>
          </cell>
          <cell r="AI58">
            <v>0.5339550396278866</v>
          </cell>
          <cell r="AJ58">
            <v>0.45</v>
          </cell>
          <cell r="AK58">
            <v>0.32</v>
          </cell>
          <cell r="AL58">
            <v>0.35</v>
          </cell>
          <cell r="AM58">
            <v>0.36</v>
          </cell>
          <cell r="AN58">
            <v>0.28999999999999998</v>
          </cell>
        </row>
        <row r="59">
          <cell r="I59" t="str">
            <v>Bull y/y Growth - %</v>
          </cell>
          <cell r="M59" t="str">
            <v>NA</v>
          </cell>
          <cell r="N59" t="str">
            <v>NA</v>
          </cell>
          <cell r="O59" t="str">
            <v>NA</v>
          </cell>
          <cell r="P59" t="str">
            <v>NA</v>
          </cell>
          <cell r="Q59">
            <v>0.88579082854406099</v>
          </cell>
          <cell r="R59">
            <v>0.91108304371006632</v>
          </cell>
          <cell r="S59">
            <v>0.96593646089529051</v>
          </cell>
          <cell r="T59">
            <v>1.0750360842519382</v>
          </cell>
          <cell r="U59">
            <v>0.92901544432187078</v>
          </cell>
          <cell r="V59">
            <v>0.74295873930887568</v>
          </cell>
          <cell r="W59">
            <v>0.51930057903032201</v>
          </cell>
          <cell r="X59">
            <v>9.4404518243794255E-2</v>
          </cell>
          <cell r="Y59">
            <v>-9.639165157681262E-3</v>
          </cell>
          <cell r="Z59">
            <v>8.0206577314884342E-2</v>
          </cell>
          <cell r="AA59">
            <v>0.31140024677519373</v>
          </cell>
          <cell r="AB59">
            <v>0.72795171235525324</v>
          </cell>
          <cell r="AC59">
            <v>0.72052011715098785</v>
          </cell>
          <cell r="AD59">
            <v>0.46109105986060128</v>
          </cell>
          <cell r="AE59">
            <v>0.49887565132678513</v>
          </cell>
          <cell r="AF59">
            <v>0.51198405164539129</v>
          </cell>
          <cell r="AG59">
            <v>0.63466938706522935</v>
          </cell>
          <cell r="AH59">
            <v>0.86075974955939416</v>
          </cell>
          <cell r="AI59">
            <v>0.62568128816468893</v>
          </cell>
          <cell r="AJ59">
            <v>0.47215147226210574</v>
          </cell>
          <cell r="AK59">
            <v>0.30375034141813706</v>
          </cell>
          <cell r="AL59">
            <v>0.28919430319770512</v>
          </cell>
          <cell r="AM59">
            <v>0.31358264172784811</v>
          </cell>
          <cell r="AN59">
            <v>0.28673974182898143</v>
          </cell>
        </row>
        <row r="60">
          <cell r="I60" t="str">
            <v>Bear y/y Growth - %</v>
          </cell>
          <cell r="M60" t="str">
            <v>NA</v>
          </cell>
          <cell r="N60" t="str">
            <v>NA</v>
          </cell>
          <cell r="O60" t="str">
            <v>NA</v>
          </cell>
          <cell r="P60" t="str">
            <v>NA</v>
          </cell>
          <cell r="Q60">
            <v>0.88579082854406099</v>
          </cell>
          <cell r="R60">
            <v>0.91108304371006632</v>
          </cell>
          <cell r="S60">
            <v>0.96593646089529051</v>
          </cell>
          <cell r="T60">
            <v>1.0750360842519382</v>
          </cell>
          <cell r="U60">
            <v>0.92901544432187078</v>
          </cell>
          <cell r="V60">
            <v>0.74295873930887568</v>
          </cell>
          <cell r="W60">
            <v>0.51930057903032201</v>
          </cell>
          <cell r="X60">
            <v>9.4404518243794255E-2</v>
          </cell>
          <cell r="Y60">
            <v>-9.639165157681262E-3</v>
          </cell>
          <cell r="Z60">
            <v>8.0206577314884342E-2</v>
          </cell>
          <cell r="AA60">
            <v>0.31140024677519373</v>
          </cell>
          <cell r="AB60">
            <v>0.72795171235525324</v>
          </cell>
          <cell r="AC60">
            <v>0.72052011715098785</v>
          </cell>
          <cell r="AD60">
            <v>0.46109105986060128</v>
          </cell>
          <cell r="AE60">
            <v>0.49887565132678513</v>
          </cell>
          <cell r="AF60">
            <v>0.51198405164539129</v>
          </cell>
          <cell r="AG60">
            <v>0.63466938706522935</v>
          </cell>
          <cell r="AH60">
            <v>0.86075974955939416</v>
          </cell>
          <cell r="AI60">
            <v>0.62568128816468893</v>
          </cell>
          <cell r="AJ60">
            <v>0.39215147226210578</v>
          </cell>
          <cell r="AK60">
            <v>0.22375034141813704</v>
          </cell>
          <cell r="AL60">
            <v>0.20919430319770516</v>
          </cell>
          <cell r="AM60">
            <v>0.23358264172784809</v>
          </cell>
          <cell r="AN60">
            <v>0.20673974182898142</v>
          </cell>
        </row>
        <row r="61">
          <cell r="I61" t="str">
            <v>Merchant (TravelJigsaw)</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43.9</v>
          </cell>
          <cell r="AE61">
            <v>85.8</v>
          </cell>
          <cell r="AF61">
            <v>55</v>
          </cell>
          <cell r="AG61">
            <v>95.7</v>
          </cell>
          <cell r="AH61">
            <v>154</v>
          </cell>
          <cell r="AI61">
            <v>145.85999999999999</v>
          </cell>
          <cell r="AJ61">
            <v>93.068330974415815</v>
          </cell>
          <cell r="AK61">
            <v>148.69390767371573</v>
          </cell>
          <cell r="AL61">
            <v>240.11592269244659</v>
          </cell>
          <cell r="AM61">
            <v>229.52276412242392</v>
          </cell>
          <cell r="AN61">
            <v>145.81385284331043</v>
          </cell>
        </row>
        <row r="62">
          <cell r="I62" t="str">
            <v>Base y/y Growth - %</v>
          </cell>
          <cell r="M62" t="str">
            <v>NA</v>
          </cell>
          <cell r="N62" t="str">
            <v>NA</v>
          </cell>
          <cell r="O62" t="str">
            <v>NA</v>
          </cell>
          <cell r="P62" t="str">
            <v>NA</v>
          </cell>
          <cell r="Q62" t="str">
            <v>NA</v>
          </cell>
          <cell r="R62" t="str">
            <v>NA</v>
          </cell>
          <cell r="S62" t="str">
            <v>NA</v>
          </cell>
          <cell r="T62" t="str">
            <v>NA</v>
          </cell>
          <cell r="U62" t="str">
            <v>NA</v>
          </cell>
          <cell r="V62" t="str">
            <v>NA</v>
          </cell>
          <cell r="W62" t="str">
            <v>NA</v>
          </cell>
          <cell r="X62" t="str">
            <v>NA</v>
          </cell>
          <cell r="Y62" t="str">
            <v>NA</v>
          </cell>
          <cell r="Z62" t="str">
            <v>NA</v>
          </cell>
          <cell r="AA62" t="str">
            <v>NA</v>
          </cell>
          <cell r="AB62" t="str">
            <v>NA</v>
          </cell>
          <cell r="AC62" t="str">
            <v>NA</v>
          </cell>
          <cell r="AD62" t="str">
            <v>NA</v>
          </cell>
          <cell r="AE62" t="str">
            <v>NA</v>
          </cell>
          <cell r="AF62" t="str">
            <v>NA</v>
          </cell>
          <cell r="AG62" t="str">
            <v>NA</v>
          </cell>
          <cell r="AH62" t="str">
            <v>NA</v>
          </cell>
          <cell r="AI62">
            <v>0.7</v>
          </cell>
          <cell r="AJ62">
            <v>0.69215147226210572</v>
          </cell>
          <cell r="AK62">
            <v>0.55375034141813706</v>
          </cell>
          <cell r="AL62">
            <v>0.55919430319770513</v>
          </cell>
          <cell r="AM62">
            <v>0.57358264172784812</v>
          </cell>
          <cell r="AN62">
            <v>0.56673974182898135</v>
          </cell>
        </row>
        <row r="63">
          <cell r="I63" t="str">
            <v>(+/-) FX y/y Growth - %</v>
          </cell>
          <cell r="M63" t="str">
            <v>NA</v>
          </cell>
          <cell r="N63" t="str">
            <v>NA</v>
          </cell>
          <cell r="O63" t="str">
            <v>NA</v>
          </cell>
          <cell r="P63" t="str">
            <v>NA</v>
          </cell>
          <cell r="Q63" t="str">
            <v>NA</v>
          </cell>
          <cell r="R63" t="str">
            <v>NA</v>
          </cell>
          <cell r="S63" t="str">
            <v>NA</v>
          </cell>
          <cell r="T63" t="str">
            <v>NA</v>
          </cell>
          <cell r="U63" t="str">
            <v>NA</v>
          </cell>
          <cell r="V63" t="str">
            <v>NA</v>
          </cell>
          <cell r="W63" t="str">
            <v>NA</v>
          </cell>
          <cell r="X63" t="str">
            <v>NA</v>
          </cell>
          <cell r="Y63" t="str">
            <v>NA</v>
          </cell>
          <cell r="Z63" t="str">
            <v>NA</v>
          </cell>
          <cell r="AA63" t="str">
            <v>NA</v>
          </cell>
          <cell r="AB63" t="str">
            <v>NA</v>
          </cell>
          <cell r="AC63" t="str">
            <v>NA</v>
          </cell>
          <cell r="AD63" t="str">
            <v>NA</v>
          </cell>
          <cell r="AE63" t="str">
            <v>NA</v>
          </cell>
          <cell r="AF63" t="str">
            <v>NA</v>
          </cell>
          <cell r="AG63" t="str">
            <v>NA</v>
          </cell>
          <cell r="AH63" t="str">
            <v>NA</v>
          </cell>
          <cell r="AI63">
            <v>-9.1726248536802363E-2</v>
          </cell>
          <cell r="AJ63">
            <v>7.8485277378942623E-3</v>
          </cell>
          <cell r="AK63">
            <v>4.6249658581862953E-2</v>
          </cell>
          <cell r="AL63">
            <v>9.0805696802294833E-2</v>
          </cell>
          <cell r="AM63">
            <v>7.6417358272151931E-2</v>
          </cell>
          <cell r="AN63">
            <v>3.3260258171018589E-2</v>
          </cell>
        </row>
        <row r="64">
          <cell r="I64" t="str">
            <v>Organic y/y Growth - %</v>
          </cell>
          <cell r="M64" t="str">
            <v>NA</v>
          </cell>
          <cell r="N64" t="str">
            <v>NA</v>
          </cell>
          <cell r="O64" t="str">
            <v>NA</v>
          </cell>
          <cell r="P64" t="str">
            <v>NA</v>
          </cell>
          <cell r="Q64" t="str">
            <v>NA</v>
          </cell>
          <cell r="R64" t="str">
            <v>NA</v>
          </cell>
          <cell r="S64" t="str">
            <v>NA</v>
          </cell>
          <cell r="T64" t="str">
            <v>NA</v>
          </cell>
          <cell r="U64" t="str">
            <v>NA</v>
          </cell>
          <cell r="V64" t="str">
            <v>NA</v>
          </cell>
          <cell r="W64" t="str">
            <v>NA</v>
          </cell>
          <cell r="X64" t="str">
            <v>NA</v>
          </cell>
          <cell r="Y64" t="str">
            <v>NA</v>
          </cell>
          <cell r="Z64" t="str">
            <v>NA</v>
          </cell>
          <cell r="AA64" t="str">
            <v>NA</v>
          </cell>
          <cell r="AB64" t="str">
            <v>NA</v>
          </cell>
          <cell r="AC64" t="str">
            <v>NA</v>
          </cell>
          <cell r="AD64" t="str">
            <v>NA</v>
          </cell>
          <cell r="AE64" t="str">
            <v>NA</v>
          </cell>
          <cell r="AF64" t="str">
            <v>NA</v>
          </cell>
          <cell r="AG64" t="str">
            <v>NA</v>
          </cell>
          <cell r="AH64" t="str">
            <v>NA</v>
          </cell>
          <cell r="AI64">
            <v>0.60827375146319762</v>
          </cell>
          <cell r="AJ64">
            <v>0.7</v>
          </cell>
          <cell r="AK64">
            <v>0.6</v>
          </cell>
          <cell r="AL64">
            <v>0.65</v>
          </cell>
          <cell r="AM64">
            <v>0.65</v>
          </cell>
          <cell r="AN64">
            <v>0.6</v>
          </cell>
        </row>
        <row r="65">
          <cell r="I65" t="str">
            <v>Bull y/y Growth - %</v>
          </cell>
          <cell r="M65" t="str">
            <v>NA</v>
          </cell>
          <cell r="N65" t="str">
            <v>NA</v>
          </cell>
          <cell r="O65" t="str">
            <v>NA</v>
          </cell>
          <cell r="P65" t="str">
            <v>NA</v>
          </cell>
          <cell r="Q65" t="str">
            <v>NA</v>
          </cell>
          <cell r="R65" t="str">
            <v>NA</v>
          </cell>
          <cell r="S65" t="str">
            <v>NA</v>
          </cell>
          <cell r="T65" t="str">
            <v>NA</v>
          </cell>
          <cell r="U65" t="str">
            <v>NA</v>
          </cell>
          <cell r="V65" t="str">
            <v>NA</v>
          </cell>
          <cell r="W65" t="str">
            <v>NA</v>
          </cell>
          <cell r="X65" t="str">
            <v>NA</v>
          </cell>
          <cell r="Y65" t="str">
            <v>NA</v>
          </cell>
          <cell r="Z65" t="str">
            <v>NA</v>
          </cell>
          <cell r="AA65" t="str">
            <v>NA</v>
          </cell>
          <cell r="AB65" t="str">
            <v>NA</v>
          </cell>
          <cell r="AC65" t="str">
            <v>NA</v>
          </cell>
          <cell r="AD65" t="str">
            <v>NA</v>
          </cell>
          <cell r="AE65" t="str">
            <v>NA</v>
          </cell>
          <cell r="AF65" t="str">
            <v>NA</v>
          </cell>
          <cell r="AG65" t="str">
            <v>NA</v>
          </cell>
          <cell r="AH65" t="str">
            <v>NA</v>
          </cell>
          <cell r="AI65">
            <v>0.7</v>
          </cell>
          <cell r="AJ65">
            <v>0.72</v>
          </cell>
          <cell r="AK65">
            <v>0.62</v>
          </cell>
          <cell r="AL65">
            <v>0.67</v>
          </cell>
          <cell r="AM65">
            <v>0.67</v>
          </cell>
          <cell r="AN65">
            <v>0.62</v>
          </cell>
        </row>
        <row r="66">
          <cell r="I66" t="str">
            <v>Bear y/y Growth - %</v>
          </cell>
          <cell r="M66" t="str">
            <v>NA</v>
          </cell>
          <cell r="N66" t="str">
            <v>NA</v>
          </cell>
          <cell r="O66" t="str">
            <v>NA</v>
          </cell>
          <cell r="P66" t="str">
            <v>NA</v>
          </cell>
          <cell r="Q66" t="str">
            <v>NA</v>
          </cell>
          <cell r="R66" t="str">
            <v>NA</v>
          </cell>
          <cell r="S66" t="str">
            <v>NA</v>
          </cell>
          <cell r="T66" t="str">
            <v>NA</v>
          </cell>
          <cell r="U66" t="str">
            <v>NA</v>
          </cell>
          <cell r="V66" t="str">
            <v>NA</v>
          </cell>
          <cell r="W66" t="str">
            <v>NA</v>
          </cell>
          <cell r="X66" t="str">
            <v>NA</v>
          </cell>
          <cell r="Y66" t="str">
            <v>NA</v>
          </cell>
          <cell r="Z66" t="str">
            <v>NA</v>
          </cell>
          <cell r="AA66" t="str">
            <v>NA</v>
          </cell>
          <cell r="AB66" t="str">
            <v>NA</v>
          </cell>
          <cell r="AC66" t="str">
            <v>NA</v>
          </cell>
          <cell r="AD66" t="str">
            <v>NA</v>
          </cell>
          <cell r="AE66" t="str">
            <v>NA</v>
          </cell>
          <cell r="AF66" t="str">
            <v>NA</v>
          </cell>
          <cell r="AG66" t="str">
            <v>NA</v>
          </cell>
          <cell r="AH66" t="str">
            <v>NA</v>
          </cell>
          <cell r="AI66">
            <v>0.7</v>
          </cell>
          <cell r="AJ66">
            <v>0.4</v>
          </cell>
          <cell r="AK66">
            <v>0.25</v>
          </cell>
          <cell r="AL66">
            <v>0.3</v>
          </cell>
          <cell r="AM66">
            <v>0.3</v>
          </cell>
          <cell r="AN66">
            <v>0.25</v>
          </cell>
        </row>
        <row r="67">
          <cell r="I67" t="str">
            <v>Total Europe</v>
          </cell>
          <cell r="M67">
            <v>267.26400000000007</v>
          </cell>
          <cell r="N67">
            <v>350.74300000000011</v>
          </cell>
          <cell r="O67">
            <v>392.76600000000008</v>
          </cell>
          <cell r="P67">
            <v>313.15600000000006</v>
          </cell>
          <cell r="Q67">
            <v>504.00400000000002</v>
          </cell>
          <cell r="R67">
            <v>670.29899999999998</v>
          </cell>
          <cell r="S67">
            <v>772.15299999999979</v>
          </cell>
          <cell r="T67">
            <v>649.81000000000006</v>
          </cell>
          <cell r="U67">
            <v>972.23150000000021</v>
          </cell>
          <cell r="V67">
            <v>1168.3035</v>
          </cell>
          <cell r="W67">
            <v>1173.1324999999999</v>
          </cell>
          <cell r="X67">
            <v>711.15499999999997</v>
          </cell>
          <cell r="Y67">
            <v>962.86</v>
          </cell>
          <cell r="Z67">
            <v>1262.009125</v>
          </cell>
          <cell r="AA67">
            <v>1538.44625</v>
          </cell>
          <cell r="AB67">
            <v>1228.8415</v>
          </cell>
          <cell r="AC67">
            <v>1656.6200000000001</v>
          </cell>
          <cell r="AD67">
            <v>1887.8102500000002</v>
          </cell>
          <cell r="AE67">
            <v>2391.7396250000002</v>
          </cell>
          <cell r="AF67">
            <v>1912.9887500000002</v>
          </cell>
          <cell r="AG67">
            <v>2803.7260000000001</v>
          </cell>
          <cell r="AH67">
            <v>3585.0739750000002</v>
          </cell>
          <cell r="AI67">
            <v>3894.5828999999999</v>
          </cell>
          <cell r="AJ67">
            <v>2772.5695422333461</v>
          </cell>
          <cell r="AK67">
            <v>3598.0429497429081</v>
          </cell>
          <cell r="AL67">
            <v>4560.5047258623517</v>
          </cell>
          <cell r="AM67">
            <v>5041.3184072101039</v>
          </cell>
          <cell r="AN67">
            <v>3513.2495133113016</v>
          </cell>
        </row>
        <row r="68">
          <cell r="I68" t="str">
            <v>y/y Growth - %</v>
          </cell>
          <cell r="M68" t="str">
            <v>NA</v>
          </cell>
          <cell r="N68" t="str">
            <v>NA</v>
          </cell>
          <cell r="O68" t="str">
            <v>NA</v>
          </cell>
          <cell r="P68" t="str">
            <v>NA</v>
          </cell>
          <cell r="Q68">
            <v>0.88579082854406099</v>
          </cell>
          <cell r="R68">
            <v>0.91108304371006632</v>
          </cell>
          <cell r="S68">
            <v>0.96593646089529051</v>
          </cell>
          <cell r="T68">
            <v>1.0750360842519382</v>
          </cell>
          <cell r="U68">
            <v>0.92901544432187078</v>
          </cell>
          <cell r="V68">
            <v>0.74295873930887568</v>
          </cell>
          <cell r="W68">
            <v>0.51930057903032201</v>
          </cell>
          <cell r="X68">
            <v>9.4404518243794255E-2</v>
          </cell>
          <cell r="Y68">
            <v>-9.639165157681262E-3</v>
          </cell>
          <cell r="Z68">
            <v>8.0206577314884342E-2</v>
          </cell>
          <cell r="AA68">
            <v>0.31140024677519373</v>
          </cell>
          <cell r="AB68">
            <v>0.72795171235525324</v>
          </cell>
          <cell r="AC68">
            <v>0.72052011715098785</v>
          </cell>
          <cell r="AD68">
            <v>0.49587686222157878</v>
          </cell>
          <cell r="AE68">
            <v>0.55464620554666766</v>
          </cell>
          <cell r="AF68">
            <v>0.55674165463975633</v>
          </cell>
          <cell r="AG68">
            <v>0.69243761393681114</v>
          </cell>
          <cell r="AH68">
            <v>0.8990647894829471</v>
          </cell>
          <cell r="AI68">
            <v>0.62834735825393184</v>
          </cell>
          <cell r="AJ68">
            <v>0.44933917788766187</v>
          </cell>
          <cell r="AK68">
            <v>0.28330762340646265</v>
          </cell>
          <cell r="AL68">
            <v>0.27208106657334774</v>
          </cell>
          <cell r="AM68">
            <v>0.29444372777636962</v>
          </cell>
          <cell r="AN68">
            <v>0.26714567833033565</v>
          </cell>
        </row>
        <row r="70">
          <cell r="I70" t="str">
            <v>Asia</v>
          </cell>
        </row>
        <row r="71">
          <cell r="I71" t="str">
            <v>Agency (Booking.com)</v>
          </cell>
          <cell r="M71">
            <v>3.55</v>
          </cell>
          <cell r="N71">
            <v>3.85</v>
          </cell>
          <cell r="O71">
            <v>3.65</v>
          </cell>
          <cell r="P71">
            <v>3.98</v>
          </cell>
          <cell r="Q71">
            <v>8.875</v>
          </cell>
          <cell r="R71">
            <v>9.625</v>
          </cell>
          <cell r="S71">
            <v>9.125</v>
          </cell>
          <cell r="T71">
            <v>9.9499999999999993</v>
          </cell>
          <cell r="U71">
            <v>20.412499999999998</v>
          </cell>
          <cell r="V71">
            <v>22.137499999999999</v>
          </cell>
          <cell r="W71">
            <v>20.987499999999997</v>
          </cell>
          <cell r="X71">
            <v>22.884999999999998</v>
          </cell>
          <cell r="Y71">
            <v>32.659999999999997</v>
          </cell>
          <cell r="Z71">
            <v>40.068874999999998</v>
          </cell>
          <cell r="AA71">
            <v>44.073749999999997</v>
          </cell>
          <cell r="AB71">
            <v>57.212499999999991</v>
          </cell>
          <cell r="AC71">
            <v>71.852000000000004</v>
          </cell>
          <cell r="AD71">
            <v>80.137749999999997</v>
          </cell>
          <cell r="AE71">
            <v>110.18437499999999</v>
          </cell>
          <cell r="AF71">
            <v>120.14624999999998</v>
          </cell>
          <cell r="AG71">
            <v>165.25960000000001</v>
          </cell>
          <cell r="AH71">
            <v>184.31682499999997</v>
          </cell>
          <cell r="AI71">
            <v>264.44249999999994</v>
          </cell>
          <cell r="AJ71">
            <v>245.75376680028927</v>
          </cell>
          <cell r="AK71">
            <v>288.41048440831901</v>
          </cell>
          <cell r="AL71">
            <v>326.177998202222</v>
          </cell>
          <cell r="AM71">
            <v>463.28131597920077</v>
          </cell>
          <cell r="AN71">
            <v>420.87216842516807</v>
          </cell>
        </row>
        <row r="72">
          <cell r="I72" t="str">
            <v>Base y/y Growth - %</v>
          </cell>
          <cell r="M72" t="str">
            <v>NA</v>
          </cell>
          <cell r="N72" t="str">
            <v>NA</v>
          </cell>
          <cell r="O72" t="str">
            <v>NA</v>
          </cell>
          <cell r="P72" t="str">
            <v>NA</v>
          </cell>
          <cell r="Q72">
            <v>1.5</v>
          </cell>
          <cell r="R72">
            <v>1.5</v>
          </cell>
          <cell r="S72">
            <v>1.5</v>
          </cell>
          <cell r="T72">
            <v>1.5</v>
          </cell>
          <cell r="U72">
            <v>1.3</v>
          </cell>
          <cell r="V72">
            <v>1.3</v>
          </cell>
          <cell r="W72">
            <v>1.3</v>
          </cell>
          <cell r="X72">
            <v>1.3</v>
          </cell>
          <cell r="Y72">
            <v>0.6</v>
          </cell>
          <cell r="Z72">
            <v>0.81</v>
          </cell>
          <cell r="AA72">
            <v>1.1000000000000001</v>
          </cell>
          <cell r="AB72">
            <v>1.5</v>
          </cell>
          <cell r="AC72">
            <v>1.2</v>
          </cell>
          <cell r="AD72">
            <v>1</v>
          </cell>
          <cell r="AE72">
            <v>1.5</v>
          </cell>
          <cell r="AF72">
            <v>1.1000000000000001</v>
          </cell>
          <cell r="AG72">
            <v>1.3</v>
          </cell>
          <cell r="AH72">
            <v>1.3</v>
          </cell>
          <cell r="AI72">
            <v>1.4</v>
          </cell>
          <cell r="AJ72">
            <v>1.0454551581950273</v>
          </cell>
          <cell r="AK72">
            <v>0.74519655383601913</v>
          </cell>
          <cell r="AL72">
            <v>0.76965937972413578</v>
          </cell>
          <cell r="AM72">
            <v>0.75191701779857967</v>
          </cell>
          <cell r="AN72">
            <v>0.71257667341143149</v>
          </cell>
        </row>
        <row r="73">
          <cell r="I73" t="str">
            <v>(+/-) FX y/y Growth - %</v>
          </cell>
          <cell r="M73" t="str">
            <v>NA</v>
          </cell>
          <cell r="N73" t="str">
            <v>NA</v>
          </cell>
          <cell r="O73" t="str">
            <v>NA</v>
          </cell>
          <cell r="P73" t="str">
            <v>NA</v>
          </cell>
          <cell r="Q73">
            <v>-2.7114964515475831E-2</v>
          </cell>
          <cell r="R73">
            <v>-3.4211541901186582E-2</v>
          </cell>
          <cell r="S73">
            <v>-5.3667030607420285E-2</v>
          </cell>
          <cell r="T73">
            <v>-8.474354363716928E-2</v>
          </cell>
          <cell r="U73">
            <v>-0.12354776741627822</v>
          </cell>
          <cell r="V73">
            <v>-0.13074681444069366</v>
          </cell>
          <cell r="W73">
            <v>-8.2310445150418632E-2</v>
          </cell>
          <cell r="X73">
            <v>-7.5301359626306005E-3</v>
          </cell>
          <cell r="Y73">
            <v>3.2330295958266086E-2</v>
          </cell>
          <cell r="Z73">
            <v>3.3462597536049597E-2</v>
          </cell>
          <cell r="AA73">
            <v>-2.9271240896782756E-2</v>
          </cell>
          <cell r="AB73">
            <v>-0.13826937592791694</v>
          </cell>
          <cell r="AC73">
            <v>-0.13063480763906371</v>
          </cell>
          <cell r="AD73">
            <v>-7.4418350796862556E-2</v>
          </cell>
          <cell r="AE73">
            <v>-5.916642356832387E-2</v>
          </cell>
          <cell r="AF73">
            <v>-6.7611718181859695E-2</v>
          </cell>
          <cell r="AG73">
            <v>-8.6538897368229367E-2</v>
          </cell>
          <cell r="AH73">
            <v>-0.12669478419858748</v>
          </cell>
          <cell r="AI73">
            <v>-0.11126439480515408</v>
          </cell>
          <cell r="AJ73">
            <v>-4.5455158195027323E-2</v>
          </cell>
          <cell r="AK73">
            <v>-4.5196553836019136E-2</v>
          </cell>
          <cell r="AL73">
            <v>-1.9659379724135749E-2</v>
          </cell>
          <cell r="AM73">
            <v>-1.9170177985796308E-3</v>
          </cell>
          <cell r="AN73">
            <v>-1.2576673411431575E-2</v>
          </cell>
        </row>
        <row r="74">
          <cell r="I74" t="str">
            <v>Organic y/y Growth - %</v>
          </cell>
          <cell r="M74" t="str">
            <v>NA</v>
          </cell>
          <cell r="N74" t="str">
            <v>NA</v>
          </cell>
          <cell r="O74" t="str">
            <v>NA</v>
          </cell>
          <cell r="P74" t="str">
            <v>NA</v>
          </cell>
          <cell r="Q74">
            <v>1.4728850354845242</v>
          </cell>
          <cell r="R74">
            <v>1.4657884580988134</v>
          </cell>
          <cell r="S74">
            <v>1.4463329693925797</v>
          </cell>
          <cell r="T74">
            <v>1.4152564563628307</v>
          </cell>
          <cell r="U74">
            <v>1.1764522325837219</v>
          </cell>
          <cell r="V74">
            <v>1.1692531855593065</v>
          </cell>
          <cell r="W74">
            <v>1.2176895548495814</v>
          </cell>
          <cell r="X74">
            <v>1.2924698640373695</v>
          </cell>
          <cell r="Y74">
            <v>0.63233029595826606</v>
          </cell>
          <cell r="Z74">
            <v>0.84346259753604969</v>
          </cell>
          <cell r="AA74">
            <v>1.0707287591032173</v>
          </cell>
          <cell r="AB74">
            <v>1.361730624072083</v>
          </cell>
          <cell r="AC74">
            <v>1.0693651923609362</v>
          </cell>
          <cell r="AD74">
            <v>0.92558164920313746</v>
          </cell>
          <cell r="AE74">
            <v>1.4408335764316762</v>
          </cell>
          <cell r="AF74">
            <v>1.0323882818181405</v>
          </cell>
          <cell r="AG74">
            <v>1.2134611026317708</v>
          </cell>
          <cell r="AH74">
            <v>1.1733052158014126</v>
          </cell>
          <cell r="AI74">
            <v>1.2887356051948458</v>
          </cell>
          <cell r="AJ74">
            <v>1</v>
          </cell>
          <cell r="AK74">
            <v>0.7</v>
          </cell>
          <cell r="AL74">
            <v>0.75</v>
          </cell>
          <cell r="AM74">
            <v>0.75</v>
          </cell>
          <cell r="AN74">
            <v>0.7</v>
          </cell>
        </row>
        <row r="75">
          <cell r="I75" t="str">
            <v>Bull y/y Growth - %</v>
          </cell>
          <cell r="M75" t="str">
            <v>NA</v>
          </cell>
          <cell r="N75" t="str">
            <v>NA</v>
          </cell>
          <cell r="O75" t="str">
            <v>NA</v>
          </cell>
          <cell r="P75" t="str">
            <v>NA</v>
          </cell>
          <cell r="Q75">
            <v>1.5</v>
          </cell>
          <cell r="R75">
            <v>1.5</v>
          </cell>
          <cell r="S75">
            <v>1.5</v>
          </cell>
          <cell r="T75">
            <v>1.5</v>
          </cell>
          <cell r="U75">
            <v>1.3</v>
          </cell>
          <cell r="V75">
            <v>1.3</v>
          </cell>
          <cell r="W75">
            <v>1.3</v>
          </cell>
          <cell r="X75">
            <v>1.3</v>
          </cell>
          <cell r="Y75">
            <v>0.6</v>
          </cell>
          <cell r="Z75">
            <v>0.81</v>
          </cell>
          <cell r="AA75">
            <v>1.1000000000000001</v>
          </cell>
          <cell r="AB75">
            <v>1.5</v>
          </cell>
          <cell r="AC75">
            <v>1.2</v>
          </cell>
          <cell r="AD75">
            <v>1</v>
          </cell>
          <cell r="AE75">
            <v>1.5</v>
          </cell>
          <cell r="AF75">
            <v>1.1000000000000001</v>
          </cell>
          <cell r="AG75">
            <v>1.3</v>
          </cell>
          <cell r="AH75">
            <v>1.3</v>
          </cell>
          <cell r="AI75">
            <v>1.4</v>
          </cell>
          <cell r="AJ75">
            <v>1.1454551581950274</v>
          </cell>
          <cell r="AK75">
            <v>0.8451965538360191</v>
          </cell>
          <cell r="AL75">
            <v>0.86965937972413576</v>
          </cell>
          <cell r="AM75">
            <v>0.85191701779857965</v>
          </cell>
          <cell r="AN75">
            <v>0.81257667341143147</v>
          </cell>
        </row>
        <row r="76">
          <cell r="I76" t="str">
            <v>Bear y/y Growth - %</v>
          </cell>
          <cell r="M76" t="str">
            <v>NA</v>
          </cell>
          <cell r="N76" t="str">
            <v>NA</v>
          </cell>
          <cell r="O76" t="str">
            <v>NA</v>
          </cell>
          <cell r="P76" t="str">
            <v>NA</v>
          </cell>
          <cell r="Q76">
            <v>1.5</v>
          </cell>
          <cell r="R76">
            <v>1.5</v>
          </cell>
          <cell r="S76">
            <v>1.5</v>
          </cell>
          <cell r="T76">
            <v>1.5</v>
          </cell>
          <cell r="U76">
            <v>1.3</v>
          </cell>
          <cell r="V76">
            <v>1.3</v>
          </cell>
          <cell r="W76">
            <v>1.3</v>
          </cell>
          <cell r="X76">
            <v>1.3</v>
          </cell>
          <cell r="Y76">
            <v>0.6</v>
          </cell>
          <cell r="Z76">
            <v>0.81</v>
          </cell>
          <cell r="AA76">
            <v>1.1000000000000001</v>
          </cell>
          <cell r="AB76">
            <v>1.5</v>
          </cell>
          <cell r="AC76">
            <v>1.2</v>
          </cell>
          <cell r="AD76">
            <v>1</v>
          </cell>
          <cell r="AE76">
            <v>1.5</v>
          </cell>
          <cell r="AF76">
            <v>1.1000000000000001</v>
          </cell>
          <cell r="AG76">
            <v>1.3</v>
          </cell>
          <cell r="AH76">
            <v>1.3</v>
          </cell>
          <cell r="AI76">
            <v>1.4</v>
          </cell>
          <cell r="AJ76">
            <v>0.94545515819502735</v>
          </cell>
          <cell r="AK76">
            <v>0.64519655383601915</v>
          </cell>
          <cell r="AL76">
            <v>0.66965937972413581</v>
          </cell>
          <cell r="AM76">
            <v>0.65191701779857969</v>
          </cell>
          <cell r="AN76">
            <v>0.61257667341143152</v>
          </cell>
        </row>
        <row r="77">
          <cell r="I77" t="str">
            <v>Merchant (Agoda)</v>
          </cell>
          <cell r="M77">
            <v>0</v>
          </cell>
          <cell r="N77">
            <v>0</v>
          </cell>
          <cell r="O77">
            <v>0</v>
          </cell>
          <cell r="P77">
            <v>0</v>
          </cell>
          <cell r="Q77">
            <v>0</v>
          </cell>
          <cell r="R77">
            <v>0</v>
          </cell>
          <cell r="S77">
            <v>0</v>
          </cell>
          <cell r="T77">
            <v>13.4</v>
          </cell>
          <cell r="U77">
            <v>24.6</v>
          </cell>
          <cell r="V77">
            <v>24.2</v>
          </cell>
          <cell r="W77">
            <v>32.4</v>
          </cell>
          <cell r="X77">
            <v>37.5</v>
          </cell>
          <cell r="Y77">
            <v>39.360000000000007</v>
          </cell>
          <cell r="Z77">
            <v>43.802</v>
          </cell>
          <cell r="AA77">
            <v>68.040000000000006</v>
          </cell>
          <cell r="AB77">
            <v>93.75</v>
          </cell>
          <cell r="AC77">
            <v>86.592000000000027</v>
          </cell>
          <cell r="AD77">
            <v>87.603999999999999</v>
          </cell>
          <cell r="AE77">
            <v>170.10000000000002</v>
          </cell>
          <cell r="AF77">
            <v>196.875</v>
          </cell>
          <cell r="AG77">
            <v>199.16160000000005</v>
          </cell>
          <cell r="AH77">
            <v>201.48919999999998</v>
          </cell>
          <cell r="AI77">
            <v>382.72500000000002</v>
          </cell>
          <cell r="AJ77">
            <v>363.32398426964602</v>
          </cell>
          <cell r="AK77">
            <v>327.65997797646781</v>
          </cell>
          <cell r="AL77">
            <v>336.41833269311235</v>
          </cell>
          <cell r="AM77">
            <v>632.22994063696137</v>
          </cell>
          <cell r="AN77">
            <v>585.88778192413304</v>
          </cell>
        </row>
        <row r="78">
          <cell r="I78" t="str">
            <v>Base y/y Growth - %</v>
          </cell>
          <cell r="M78" t="str">
            <v>NM</v>
          </cell>
          <cell r="N78" t="str">
            <v>NM</v>
          </cell>
          <cell r="O78" t="str">
            <v>NM</v>
          </cell>
          <cell r="P78" t="str">
            <v>NM</v>
          </cell>
          <cell r="Q78" t="str">
            <v>NM</v>
          </cell>
          <cell r="R78" t="str">
            <v>NM</v>
          </cell>
          <cell r="S78" t="str">
            <v>NM</v>
          </cell>
          <cell r="T78" t="str">
            <v>NM</v>
          </cell>
          <cell r="U78" t="str">
            <v>NM</v>
          </cell>
          <cell r="V78" t="str">
            <v>NM</v>
          </cell>
          <cell r="W78" t="str">
            <v>NM</v>
          </cell>
          <cell r="X78" t="str">
            <v>NM</v>
          </cell>
          <cell r="Y78">
            <v>0.6</v>
          </cell>
          <cell r="Z78">
            <v>0.81</v>
          </cell>
          <cell r="AA78">
            <v>1.1000000000000001</v>
          </cell>
          <cell r="AB78">
            <v>1.5</v>
          </cell>
          <cell r="AC78">
            <v>1.2</v>
          </cell>
          <cell r="AD78">
            <v>1</v>
          </cell>
          <cell r="AE78">
            <v>1.5</v>
          </cell>
          <cell r="AF78">
            <v>1.1000000000000001</v>
          </cell>
          <cell r="AG78">
            <v>1.3</v>
          </cell>
          <cell r="AH78">
            <v>1.3</v>
          </cell>
          <cell r="AI78">
            <v>1.25</v>
          </cell>
          <cell r="AJ78">
            <v>0.84545515819502737</v>
          </cell>
          <cell r="AK78">
            <v>0.64519655383601915</v>
          </cell>
          <cell r="AL78">
            <v>0.66965937972413581</v>
          </cell>
          <cell r="AM78">
            <v>0.65191701779857969</v>
          </cell>
          <cell r="AN78">
            <v>0.61257667341143152</v>
          </cell>
        </row>
        <row r="79">
          <cell r="I79" t="str">
            <v>(+/-) FX y/y Growth - %</v>
          </cell>
          <cell r="M79" t="str">
            <v>NA</v>
          </cell>
          <cell r="N79" t="str">
            <v>NA</v>
          </cell>
          <cell r="O79" t="str">
            <v>NA</v>
          </cell>
          <cell r="P79" t="str">
            <v>NA</v>
          </cell>
          <cell r="Q79" t="str">
            <v>NA</v>
          </cell>
          <cell r="R79" t="str">
            <v>NA</v>
          </cell>
          <cell r="S79" t="str">
            <v>NA</v>
          </cell>
          <cell r="T79" t="str">
            <v>NA</v>
          </cell>
          <cell r="U79" t="str">
            <v>NA</v>
          </cell>
          <cell r="V79" t="str">
            <v>NA</v>
          </cell>
          <cell r="W79" t="str">
            <v>NA</v>
          </cell>
          <cell r="X79" t="str">
            <v>NA</v>
          </cell>
          <cell r="Y79">
            <v>3.2330295958266086E-2</v>
          </cell>
          <cell r="Z79">
            <v>3.3462597536049597E-2</v>
          </cell>
          <cell r="AA79">
            <v>-2.9271240896782756E-2</v>
          </cell>
          <cell r="AB79">
            <v>-0.13826937592791694</v>
          </cell>
          <cell r="AC79">
            <v>-0.13063480763906371</v>
          </cell>
          <cell r="AD79">
            <v>-7.4418350796862556E-2</v>
          </cell>
          <cell r="AE79">
            <v>-5.916642356832387E-2</v>
          </cell>
          <cell r="AF79">
            <v>-6.7611718181859695E-2</v>
          </cell>
          <cell r="AG79">
            <v>-8.6538897368229367E-2</v>
          </cell>
          <cell r="AH79">
            <v>-0.12669478419858748</v>
          </cell>
          <cell r="AI79">
            <v>-0.11126439480515408</v>
          </cell>
          <cell r="AJ79">
            <v>-4.5455158195027323E-2</v>
          </cell>
          <cell r="AK79">
            <v>-4.5196553836019136E-2</v>
          </cell>
          <cell r="AL79">
            <v>-1.9659379724135749E-2</v>
          </cell>
          <cell r="AM79">
            <v>-1.9170177985796308E-3</v>
          </cell>
          <cell r="AN79">
            <v>-1.2576673411431575E-2</v>
          </cell>
        </row>
        <row r="80">
          <cell r="I80" t="str">
            <v>Organic y/y Growth - %</v>
          </cell>
          <cell r="M80" t="str">
            <v>NA</v>
          </cell>
          <cell r="N80" t="str">
            <v>NA</v>
          </cell>
          <cell r="O80" t="str">
            <v>NA</v>
          </cell>
          <cell r="P80" t="str">
            <v>NA</v>
          </cell>
          <cell r="Q80" t="str">
            <v>NA</v>
          </cell>
          <cell r="R80" t="str">
            <v>NA</v>
          </cell>
          <cell r="S80" t="str">
            <v>NA</v>
          </cell>
          <cell r="T80" t="str">
            <v>NA</v>
          </cell>
          <cell r="U80" t="str">
            <v>NA</v>
          </cell>
          <cell r="V80" t="str">
            <v>NA</v>
          </cell>
          <cell r="W80" t="str">
            <v>NA</v>
          </cell>
          <cell r="X80" t="str">
            <v>NA</v>
          </cell>
          <cell r="Y80">
            <v>0.63233029595826606</v>
          </cell>
          <cell r="Z80">
            <v>0.84346259753604969</v>
          </cell>
          <cell r="AA80">
            <v>1.0707287591032173</v>
          </cell>
          <cell r="AB80">
            <v>1.361730624072083</v>
          </cell>
          <cell r="AC80">
            <v>1.0693651923609362</v>
          </cell>
          <cell r="AD80">
            <v>0.92558164920313746</v>
          </cell>
          <cell r="AE80">
            <v>1.4408335764316762</v>
          </cell>
          <cell r="AF80">
            <v>1.0323882818181405</v>
          </cell>
          <cell r="AG80">
            <v>1.2134611026317708</v>
          </cell>
          <cell r="AH80">
            <v>1.1733052158014126</v>
          </cell>
          <cell r="AI80">
            <v>1.1387356051948458</v>
          </cell>
          <cell r="AJ80">
            <v>0.8</v>
          </cell>
          <cell r="AK80">
            <v>0.6</v>
          </cell>
          <cell r="AL80">
            <v>0.65</v>
          </cell>
          <cell r="AM80">
            <v>0.65</v>
          </cell>
          <cell r="AN80">
            <v>0.6</v>
          </cell>
        </row>
        <row r="81">
          <cell r="I81" t="str">
            <v>Bull y/y Growth - %</v>
          </cell>
          <cell r="M81" t="str">
            <v>NM</v>
          </cell>
          <cell r="N81" t="str">
            <v>NM</v>
          </cell>
          <cell r="O81" t="str">
            <v>NM</v>
          </cell>
          <cell r="P81" t="str">
            <v>NM</v>
          </cell>
          <cell r="Q81" t="str">
            <v>NM</v>
          </cell>
          <cell r="R81" t="str">
            <v>NM</v>
          </cell>
          <cell r="S81" t="str">
            <v>NM</v>
          </cell>
          <cell r="T81" t="str">
            <v>NM</v>
          </cell>
          <cell r="U81" t="str">
            <v>NM</v>
          </cell>
          <cell r="V81" t="str">
            <v>NM</v>
          </cell>
          <cell r="W81" t="str">
            <v>NM</v>
          </cell>
          <cell r="X81" t="str">
            <v>NM</v>
          </cell>
          <cell r="Y81">
            <v>0.6</v>
          </cell>
          <cell r="Z81">
            <v>0.81</v>
          </cell>
          <cell r="AA81">
            <v>1.1000000000000001</v>
          </cell>
          <cell r="AB81">
            <v>1.5</v>
          </cell>
          <cell r="AC81">
            <v>1.2</v>
          </cell>
          <cell r="AD81">
            <v>1</v>
          </cell>
          <cell r="AE81">
            <v>1.5</v>
          </cell>
          <cell r="AF81">
            <v>1.1000000000000001</v>
          </cell>
          <cell r="AG81">
            <v>1.3</v>
          </cell>
          <cell r="AH81">
            <v>1.3</v>
          </cell>
          <cell r="AI81">
            <v>1.25</v>
          </cell>
          <cell r="AJ81">
            <v>0.89545515819502741</v>
          </cell>
          <cell r="AK81">
            <v>0.69519655383601919</v>
          </cell>
          <cell r="AL81">
            <v>0.71965937972413585</v>
          </cell>
          <cell r="AM81">
            <v>0.70191701779857973</v>
          </cell>
          <cell r="AN81">
            <v>0.66257667341143156</v>
          </cell>
        </row>
        <row r="82">
          <cell r="I82" t="str">
            <v>Bear y/y Growth - %</v>
          </cell>
          <cell r="M82" t="str">
            <v>NM</v>
          </cell>
          <cell r="N82" t="str">
            <v>NM</v>
          </cell>
          <cell r="O82" t="str">
            <v>NM</v>
          </cell>
          <cell r="P82" t="str">
            <v>NM</v>
          </cell>
          <cell r="Q82" t="str">
            <v>NM</v>
          </cell>
          <cell r="R82" t="str">
            <v>NM</v>
          </cell>
          <cell r="S82" t="str">
            <v>NM</v>
          </cell>
          <cell r="T82" t="str">
            <v>NM</v>
          </cell>
          <cell r="U82" t="str">
            <v>NM</v>
          </cell>
          <cell r="V82" t="str">
            <v>NM</v>
          </cell>
          <cell r="W82" t="str">
            <v>NM</v>
          </cell>
          <cell r="X82" t="str">
            <v>NM</v>
          </cell>
          <cell r="Y82">
            <v>0.6</v>
          </cell>
          <cell r="Z82">
            <v>0.81</v>
          </cell>
          <cell r="AA82">
            <v>1.1000000000000001</v>
          </cell>
          <cell r="AB82">
            <v>1.5</v>
          </cell>
          <cell r="AC82">
            <v>1.2</v>
          </cell>
          <cell r="AD82">
            <v>1</v>
          </cell>
          <cell r="AE82">
            <v>1.5</v>
          </cell>
          <cell r="AF82">
            <v>1.1000000000000001</v>
          </cell>
          <cell r="AG82">
            <v>1.3</v>
          </cell>
          <cell r="AH82">
            <v>1.3</v>
          </cell>
          <cell r="AI82">
            <v>1.25</v>
          </cell>
          <cell r="AJ82">
            <v>0.74545515819502739</v>
          </cell>
          <cell r="AK82">
            <v>0.54519655383601917</v>
          </cell>
          <cell r="AL82">
            <v>0.56965937972413583</v>
          </cell>
          <cell r="AM82">
            <v>0.55191701779857971</v>
          </cell>
          <cell r="AN82">
            <v>0.51257667341143154</v>
          </cell>
        </row>
        <row r="83">
          <cell r="I83" t="str">
            <v>Total Asia Pacific</v>
          </cell>
          <cell r="M83">
            <v>3.55</v>
          </cell>
          <cell r="N83">
            <v>3.85</v>
          </cell>
          <cell r="O83">
            <v>3.65</v>
          </cell>
          <cell r="P83">
            <v>3.98</v>
          </cell>
          <cell r="Q83">
            <v>8.875</v>
          </cell>
          <cell r="R83">
            <v>9.625</v>
          </cell>
          <cell r="S83">
            <v>9.125</v>
          </cell>
          <cell r="T83">
            <v>23.35</v>
          </cell>
          <cell r="U83">
            <v>45.012500000000003</v>
          </cell>
          <cell r="V83">
            <v>46.337499999999999</v>
          </cell>
          <cell r="W83">
            <v>53.387499999999996</v>
          </cell>
          <cell r="X83">
            <v>60.384999999999998</v>
          </cell>
          <cell r="Y83">
            <v>72.02000000000001</v>
          </cell>
          <cell r="Z83">
            <v>83.870874999999998</v>
          </cell>
          <cell r="AA83">
            <v>112.11375000000001</v>
          </cell>
          <cell r="AB83">
            <v>150.96249999999998</v>
          </cell>
          <cell r="AC83">
            <v>158.44400000000002</v>
          </cell>
          <cell r="AD83">
            <v>167.74175</v>
          </cell>
          <cell r="AE83">
            <v>280.28437500000001</v>
          </cell>
          <cell r="AF83">
            <v>317.02125000000001</v>
          </cell>
          <cell r="AG83">
            <v>364.42120000000006</v>
          </cell>
          <cell r="AH83">
            <v>385.80602499999998</v>
          </cell>
          <cell r="AI83">
            <v>647.16750000000002</v>
          </cell>
          <cell r="AJ83">
            <v>609.07775106993529</v>
          </cell>
          <cell r="AK83">
            <v>616.07046238478688</v>
          </cell>
          <cell r="AL83">
            <v>662.5963308953344</v>
          </cell>
          <cell r="AM83">
            <v>1095.5112566161622</v>
          </cell>
          <cell r="AN83">
            <v>1006.7599503493011</v>
          </cell>
        </row>
        <row r="84">
          <cell r="I84" t="str">
            <v>y/y Growth - %</v>
          </cell>
          <cell r="M84" t="str">
            <v>NA</v>
          </cell>
          <cell r="N84" t="str">
            <v>NA</v>
          </cell>
          <cell r="O84" t="str">
            <v>NA</v>
          </cell>
          <cell r="P84" t="str">
            <v>NA</v>
          </cell>
          <cell r="Q84">
            <v>1.5</v>
          </cell>
          <cell r="R84">
            <v>1.5</v>
          </cell>
          <cell r="S84">
            <v>1.5</v>
          </cell>
          <cell r="T84">
            <v>4.8668341708542719</v>
          </cell>
          <cell r="U84">
            <v>4.0718309859154935</v>
          </cell>
          <cell r="V84">
            <v>3.8142857142857141</v>
          </cell>
          <cell r="W84">
            <v>4.8506849315068488</v>
          </cell>
          <cell r="X84">
            <v>1.5860813704496786</v>
          </cell>
          <cell r="Y84">
            <v>0.60000000000000009</v>
          </cell>
          <cell r="Z84">
            <v>0.81</v>
          </cell>
          <cell r="AA84">
            <v>1.1000000000000005</v>
          </cell>
          <cell r="AB84">
            <v>1.4999999999999996</v>
          </cell>
          <cell r="AC84">
            <v>1.1999999999999997</v>
          </cell>
          <cell r="AD84">
            <v>1</v>
          </cell>
          <cell r="AE84">
            <v>1.5</v>
          </cell>
          <cell r="AF84">
            <v>1.1000000000000005</v>
          </cell>
          <cell r="AG84">
            <v>1.3000000000000003</v>
          </cell>
          <cell r="AH84">
            <v>1.2999999999999998</v>
          </cell>
          <cell r="AI84">
            <v>1.3089674549285881</v>
          </cell>
          <cell r="AJ84">
            <v>0.92125212764108166</v>
          </cell>
          <cell r="AK84">
            <v>0.69054506813760219</v>
          </cell>
          <cell r="AL84">
            <v>0.71743386043630197</v>
          </cell>
          <cell r="AM84">
            <v>0.69277854128361227</v>
          </cell>
          <cell r="AN84">
            <v>0.65292517840419895</v>
          </cell>
        </row>
        <row r="86">
          <cell r="I86" t="str">
            <v>Latin America &amp; RoW</v>
          </cell>
        </row>
        <row r="87">
          <cell r="I87" t="str">
            <v>Agency (Booking.com)</v>
          </cell>
          <cell r="M87">
            <v>2</v>
          </cell>
          <cell r="N87">
            <v>2</v>
          </cell>
          <cell r="O87">
            <v>2</v>
          </cell>
          <cell r="P87">
            <v>2</v>
          </cell>
          <cell r="Q87">
            <v>6.8</v>
          </cell>
          <cell r="R87">
            <v>7.2</v>
          </cell>
          <cell r="S87">
            <v>7.2</v>
          </cell>
          <cell r="T87">
            <v>6.6</v>
          </cell>
          <cell r="U87">
            <v>20.399999999999999</v>
          </cell>
          <cell r="V87">
            <v>23.040000000000003</v>
          </cell>
          <cell r="W87">
            <v>24.48</v>
          </cell>
          <cell r="X87">
            <v>20.46</v>
          </cell>
          <cell r="Y87">
            <v>57.11999999999999</v>
          </cell>
          <cell r="Z87">
            <v>69.12</v>
          </cell>
          <cell r="AA87">
            <v>73.44</v>
          </cell>
          <cell r="AB87">
            <v>53.196000000000005</v>
          </cell>
          <cell r="AC87">
            <v>159.93599999999995</v>
          </cell>
          <cell r="AD87">
            <v>200.44800000000001</v>
          </cell>
          <cell r="AE87">
            <v>212.976</v>
          </cell>
          <cell r="AF87">
            <v>132.99</v>
          </cell>
          <cell r="AG87">
            <v>367.85279999999983</v>
          </cell>
          <cell r="AH87">
            <v>501.12</v>
          </cell>
          <cell r="AI87">
            <v>447.24960000000004</v>
          </cell>
          <cell r="AJ87">
            <v>256.49258060792613</v>
          </cell>
          <cell r="AK87">
            <v>611.43576082974494</v>
          </cell>
          <cell r="AL87">
            <v>848.19577345338382</v>
          </cell>
          <cell r="AM87">
            <v>760.76037510943434</v>
          </cell>
          <cell r="AN87">
            <v>435.41336588205945</v>
          </cell>
        </row>
        <row r="88">
          <cell r="I88" t="str">
            <v>Base y/y Growth - %</v>
          </cell>
          <cell r="M88" t="str">
            <v>NA</v>
          </cell>
          <cell r="N88" t="str">
            <v>NA</v>
          </cell>
          <cell r="O88" t="str">
            <v>NA</v>
          </cell>
          <cell r="P88" t="str">
            <v>NA</v>
          </cell>
          <cell r="Q88">
            <v>2.4</v>
          </cell>
          <cell r="R88">
            <v>2.6</v>
          </cell>
          <cell r="S88">
            <v>2.6</v>
          </cell>
          <cell r="T88">
            <v>2.2999999999999998</v>
          </cell>
          <cell r="U88">
            <v>2</v>
          </cell>
          <cell r="V88">
            <v>2.2000000000000002</v>
          </cell>
          <cell r="W88">
            <v>2.4</v>
          </cell>
          <cell r="X88">
            <v>2.1</v>
          </cell>
          <cell r="Y88">
            <v>1.8</v>
          </cell>
          <cell r="Z88">
            <v>2</v>
          </cell>
          <cell r="AA88">
            <v>2</v>
          </cell>
          <cell r="AB88">
            <v>1.6</v>
          </cell>
          <cell r="AC88">
            <v>1.8</v>
          </cell>
          <cell r="AD88">
            <v>1.9</v>
          </cell>
          <cell r="AE88">
            <v>1.9</v>
          </cell>
          <cell r="AF88">
            <v>1.5</v>
          </cell>
          <cell r="AG88">
            <v>1.3</v>
          </cell>
          <cell r="AH88">
            <v>1.5</v>
          </cell>
          <cell r="AI88">
            <v>1.1000000000000001</v>
          </cell>
          <cell r="AJ88">
            <v>0.92866065574799694</v>
          </cell>
          <cell r="AK88">
            <v>0.66217508968191952</v>
          </cell>
          <cell r="AL88">
            <v>0.6926001226320716</v>
          </cell>
          <cell r="AM88">
            <v>0.70097497037321943</v>
          </cell>
          <cell r="AN88">
            <v>0.69756709862743027</v>
          </cell>
        </row>
        <row r="89">
          <cell r="I89" t="str">
            <v>(+/-) FX y/y Growth - %</v>
          </cell>
          <cell r="M89" t="str">
            <v>NA</v>
          </cell>
          <cell r="N89" t="str">
            <v>NA</v>
          </cell>
          <cell r="O89" t="str">
            <v>NA</v>
          </cell>
          <cell r="P89" t="str">
            <v>NA</v>
          </cell>
          <cell r="Q89">
            <v>-8.1143406318173739E-3</v>
          </cell>
          <cell r="R89">
            <v>-4.1015659552330629E-2</v>
          </cell>
          <cell r="S89">
            <v>-6.9013045004786708E-2</v>
          </cell>
          <cell r="T89">
            <v>-0.12258214748189453</v>
          </cell>
          <cell r="U89">
            <v>-0.12642428880961254</v>
          </cell>
          <cell r="V89">
            <v>-9.4470722294937109E-2</v>
          </cell>
          <cell r="W89">
            <v>-5.4101841788178673E-2</v>
          </cell>
          <cell r="X89">
            <v>0.13525696990200167</v>
          </cell>
          <cell r="Y89">
            <v>0.14778293452233821</v>
          </cell>
          <cell r="Z89">
            <v>0.11270414437715015</v>
          </cell>
          <cell r="AA89">
            <v>5.6352893409448379E-2</v>
          </cell>
          <cell r="AB89">
            <v>-0.14942487094956314</v>
          </cell>
          <cell r="AC89">
            <v>-0.1603604817548569</v>
          </cell>
          <cell r="AD89">
            <v>-9.7680188920470007E-2</v>
          </cell>
          <cell r="AE89">
            <v>-4.1083185173079365E-2</v>
          </cell>
          <cell r="AF89">
            <v>-2.3473147635738007E-2</v>
          </cell>
          <cell r="AG89">
            <v>-4.5608038336317915E-2</v>
          </cell>
          <cell r="AH89">
            <v>-6.2689762326748763E-2</v>
          </cell>
          <cell r="AI89">
            <v>-4.8421131506136771E-2</v>
          </cell>
          <cell r="AJ89">
            <v>2.1339344252002974E-2</v>
          </cell>
          <cell r="AK89">
            <v>3.7824910318080406E-2</v>
          </cell>
          <cell r="AL89">
            <v>5.7399877367928433E-2</v>
          </cell>
          <cell r="AM89">
            <v>4.9025029626780528E-2</v>
          </cell>
          <cell r="AN89">
            <v>2.4329013725697215E-3</v>
          </cell>
        </row>
        <row r="90">
          <cell r="I90" t="str">
            <v>Organic y/y Growth - %</v>
          </cell>
          <cell r="M90" t="str">
            <v>NA</v>
          </cell>
          <cell r="N90" t="str">
            <v>NA</v>
          </cell>
          <cell r="O90" t="str">
            <v>NA</v>
          </cell>
          <cell r="P90" t="str">
            <v>NA</v>
          </cell>
          <cell r="Q90">
            <v>2.3918856593681825</v>
          </cell>
          <cell r="R90">
            <v>2.5589843404476693</v>
          </cell>
          <cell r="S90">
            <v>2.5309869549952135</v>
          </cell>
          <cell r="T90">
            <v>2.1774178525181052</v>
          </cell>
          <cell r="U90">
            <v>1.8735757111903875</v>
          </cell>
          <cell r="V90">
            <v>2.1055292777050632</v>
          </cell>
          <cell r="W90">
            <v>2.3458981582118215</v>
          </cell>
          <cell r="X90">
            <v>2.235256969902002</v>
          </cell>
          <cell r="Y90">
            <v>1.9477829345223383</v>
          </cell>
          <cell r="Z90">
            <v>2.1127041443771502</v>
          </cell>
          <cell r="AA90">
            <v>2.0563528934094482</v>
          </cell>
          <cell r="AB90">
            <v>1.450575129050437</v>
          </cell>
          <cell r="AC90">
            <v>1.6396395182451431</v>
          </cell>
          <cell r="AD90">
            <v>1.80231981107953</v>
          </cell>
          <cell r="AE90">
            <v>1.8589168148269206</v>
          </cell>
          <cell r="AF90">
            <v>1.4765268523642621</v>
          </cell>
          <cell r="AG90">
            <v>1.2543919616636821</v>
          </cell>
          <cell r="AH90">
            <v>1.4373102376732512</v>
          </cell>
          <cell r="AI90">
            <v>1.0515788684938634</v>
          </cell>
          <cell r="AJ90">
            <v>0.95</v>
          </cell>
          <cell r="AK90">
            <v>0.7</v>
          </cell>
          <cell r="AL90">
            <v>0.75</v>
          </cell>
          <cell r="AM90">
            <v>0.75</v>
          </cell>
          <cell r="AN90">
            <v>0.7</v>
          </cell>
        </row>
        <row r="91">
          <cell r="I91" t="str">
            <v>Bull y/y Growth - %</v>
          </cell>
          <cell r="M91" t="str">
            <v>NA</v>
          </cell>
          <cell r="N91" t="str">
            <v>NA</v>
          </cell>
          <cell r="O91" t="str">
            <v>NA</v>
          </cell>
          <cell r="P91" t="str">
            <v>NA</v>
          </cell>
          <cell r="Q91">
            <v>2.4</v>
          </cell>
          <cell r="R91">
            <v>2.6</v>
          </cell>
          <cell r="S91">
            <v>2.6</v>
          </cell>
          <cell r="T91">
            <v>2.2999999999999998</v>
          </cell>
          <cell r="U91">
            <v>2</v>
          </cell>
          <cell r="V91">
            <v>2.2000000000000002</v>
          </cell>
          <cell r="W91">
            <v>2.4</v>
          </cell>
          <cell r="X91">
            <v>2.1</v>
          </cell>
          <cell r="Y91">
            <v>1.8</v>
          </cell>
          <cell r="Z91">
            <v>2</v>
          </cell>
          <cell r="AA91">
            <v>2</v>
          </cell>
          <cell r="AB91">
            <v>1.6</v>
          </cell>
          <cell r="AC91">
            <v>1.8</v>
          </cell>
          <cell r="AD91">
            <v>1.9</v>
          </cell>
          <cell r="AE91">
            <v>1.9</v>
          </cell>
          <cell r="AF91">
            <v>1.5</v>
          </cell>
          <cell r="AG91">
            <v>1.3</v>
          </cell>
          <cell r="AH91">
            <v>1.5</v>
          </cell>
          <cell r="AI91">
            <v>1.1000000000000001</v>
          </cell>
          <cell r="AJ91">
            <v>0.97866065574799699</v>
          </cell>
          <cell r="AK91">
            <v>0.71217508968191956</v>
          </cell>
          <cell r="AL91">
            <v>0.74260012263207165</v>
          </cell>
          <cell r="AM91">
            <v>0.75097497037321947</v>
          </cell>
          <cell r="AN91">
            <v>0.74756709862743032</v>
          </cell>
        </row>
        <row r="92">
          <cell r="I92" t="str">
            <v>Bear y/y Growth - %</v>
          </cell>
          <cell r="M92" t="str">
            <v>NA</v>
          </cell>
          <cell r="N92" t="str">
            <v>NA</v>
          </cell>
          <cell r="O92" t="str">
            <v>NA</v>
          </cell>
          <cell r="P92" t="str">
            <v>NA</v>
          </cell>
          <cell r="Q92">
            <v>2.4</v>
          </cell>
          <cell r="R92">
            <v>2.6</v>
          </cell>
          <cell r="S92">
            <v>2.6</v>
          </cell>
          <cell r="T92">
            <v>2.2999999999999998</v>
          </cell>
          <cell r="U92">
            <v>2</v>
          </cell>
          <cell r="V92">
            <v>2.2000000000000002</v>
          </cell>
          <cell r="W92">
            <v>2.4</v>
          </cell>
          <cell r="X92">
            <v>2.1</v>
          </cell>
          <cell r="Y92">
            <v>1.8</v>
          </cell>
          <cell r="Z92">
            <v>2</v>
          </cell>
          <cell r="AA92">
            <v>2</v>
          </cell>
          <cell r="AB92">
            <v>1.6</v>
          </cell>
          <cell r="AC92">
            <v>1.8</v>
          </cell>
          <cell r="AD92">
            <v>1.9</v>
          </cell>
          <cell r="AE92">
            <v>1.9</v>
          </cell>
          <cell r="AF92">
            <v>1.5</v>
          </cell>
          <cell r="AG92">
            <v>1.3</v>
          </cell>
          <cell r="AH92">
            <v>1.5</v>
          </cell>
          <cell r="AI92">
            <v>1.1000000000000001</v>
          </cell>
          <cell r="AJ92">
            <v>0.82866065574799697</v>
          </cell>
          <cell r="AK92">
            <v>0.56217508968191954</v>
          </cell>
          <cell r="AL92">
            <v>0.59260012263207162</v>
          </cell>
          <cell r="AM92">
            <v>0.60097497037321945</v>
          </cell>
          <cell r="AN92">
            <v>0.59756709862743029</v>
          </cell>
        </row>
        <row r="94">
          <cell r="I94" t="str">
            <v>Agency Check</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row>
        <row r="95">
          <cell r="I95" t="str">
            <v>Merchant Check</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row>
        <row r="96">
          <cell r="I96" t="str">
            <v>Geography US Check</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row>
        <row r="97">
          <cell r="I97" t="str">
            <v>Geography International Check</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row>
        <row r="99">
          <cell r="I99" t="str">
            <v>Revenue Scenarios</v>
          </cell>
        </row>
        <row r="100">
          <cell r="I100" t="str">
            <v>Revenue by brand</v>
          </cell>
        </row>
        <row r="101">
          <cell r="I101" t="str">
            <v>US</v>
          </cell>
        </row>
        <row r="102">
          <cell r="I102" t="str">
            <v>Agency (Priceline.com)</v>
          </cell>
          <cell r="M102">
            <v>7.9809999999999937</v>
          </cell>
          <cell r="N102">
            <v>8.7919999999999874</v>
          </cell>
          <cell r="O102">
            <v>8.3260000000000485</v>
          </cell>
          <cell r="P102">
            <v>6.1009999999999796</v>
          </cell>
          <cell r="Q102">
            <v>6.6110000000000371</v>
          </cell>
          <cell r="R102">
            <v>7.9439999999999413</v>
          </cell>
          <cell r="S102">
            <v>7.8229999999999542</v>
          </cell>
          <cell r="T102">
            <v>5.7799999999999976</v>
          </cell>
          <cell r="U102">
            <v>10.160000000000023</v>
          </cell>
          <cell r="V102">
            <v>13.104999999999976</v>
          </cell>
          <cell r="W102">
            <v>14.770000000000049</v>
          </cell>
          <cell r="X102">
            <v>12.32299999999999</v>
          </cell>
          <cell r="Y102">
            <v>12.709799999999952</v>
          </cell>
          <cell r="Z102">
            <v>14.769359999999974</v>
          </cell>
          <cell r="AA102">
            <v>18.535199999999989</v>
          </cell>
          <cell r="AB102">
            <v>14.471000000000084</v>
          </cell>
          <cell r="AC102">
            <v>13.028559999999914</v>
          </cell>
          <cell r="AD102">
            <v>18.582720000000034</v>
          </cell>
          <cell r="AE102">
            <v>19.071999999999946</v>
          </cell>
          <cell r="AF102">
            <v>16.275500000000051</v>
          </cell>
          <cell r="AG102">
            <v>15.397088000000048</v>
          </cell>
          <cell r="AH102">
            <v>19.913566800000122</v>
          </cell>
          <cell r="AI102">
            <v>19.274885000000111</v>
          </cell>
          <cell r="AJ102">
            <v>17.362372499999999</v>
          </cell>
          <cell r="AK102">
            <v>17.383543520000003</v>
          </cell>
          <cell r="AL102">
            <v>22.781835647999998</v>
          </cell>
          <cell r="AM102">
            <v>22.41364905</v>
          </cell>
          <cell r="AN102">
            <v>18.309410999999997</v>
          </cell>
        </row>
        <row r="103">
          <cell r="I103" t="str">
            <v>y/y Growth - %</v>
          </cell>
          <cell r="M103" t="str">
            <v>NA</v>
          </cell>
          <cell r="N103" t="str">
            <v>NA</v>
          </cell>
          <cell r="O103" t="str">
            <v>NA</v>
          </cell>
          <cell r="P103" t="str">
            <v>NA</v>
          </cell>
          <cell r="Q103">
            <v>-0.17165768700663542</v>
          </cell>
          <cell r="R103">
            <v>-9.6451319381261058E-2</v>
          </cell>
          <cell r="S103">
            <v>-6.0413163583964868E-2</v>
          </cell>
          <cell r="T103">
            <v>-5.2614325520403682E-2</v>
          </cell>
          <cell r="U103">
            <v>0.53683255180758827</v>
          </cell>
          <cell r="V103">
            <v>0.64967270896274831</v>
          </cell>
          <cell r="W103">
            <v>0.88802249776302378</v>
          </cell>
          <cell r="X103">
            <v>1.1320069204152241</v>
          </cell>
          <cell r="Y103">
            <v>0.25096456692912628</v>
          </cell>
          <cell r="Z103">
            <v>0.12700190766882891</v>
          </cell>
          <cell r="AA103">
            <v>0.25492213947189768</v>
          </cell>
          <cell r="AB103">
            <v>0.17430820417106996</v>
          </cell>
          <cell r="AC103">
            <v>2.5079859635868562E-2</v>
          </cell>
          <cell r="AD103">
            <v>0.25819399080258498</v>
          </cell>
          <cell r="AE103">
            <v>2.8961111830460906E-2</v>
          </cell>
          <cell r="AF103">
            <v>0.12469767120447495</v>
          </cell>
          <cell r="AG103">
            <v>0.18179507175007448</v>
          </cell>
          <cell r="AH103">
            <v>7.1617438136079459E-2</v>
          </cell>
          <cell r="AI103">
            <v>1.0637846057055755E-2</v>
          </cell>
          <cell r="AJ103">
            <v>6.6779668827375183E-2</v>
          </cell>
          <cell r="AK103">
            <v>0.1290150137480508</v>
          </cell>
          <cell r="AL103">
            <v>0.14403591665958393</v>
          </cell>
          <cell r="AM103">
            <v>0.16284216741110891</v>
          </cell>
          <cell r="AN103">
            <v>5.4545454545454453E-2</v>
          </cell>
        </row>
        <row r="104">
          <cell r="I104" t="str">
            <v>Revenue margin</v>
          </cell>
          <cell r="M104">
            <v>3.8427093966065126E-2</v>
          </cell>
          <cell r="N104">
            <v>3.4793482949531218E-2</v>
          </cell>
          <cell r="O104">
            <v>4.1219862369424487E-2</v>
          </cell>
          <cell r="P104">
            <v>3.5484546395709873E-2</v>
          </cell>
          <cell r="Q104">
            <v>3.463995095599158E-2</v>
          </cell>
          <cell r="R104">
            <v>3.4221318537408847E-2</v>
          </cell>
          <cell r="S104">
            <v>3.078212488343067E-2</v>
          </cell>
          <cell r="T104">
            <v>2.3463696222263717E-2</v>
          </cell>
          <cell r="U104">
            <v>2.8453406147168035E-2</v>
          </cell>
          <cell r="V104">
            <v>2.9562773238527868E-2</v>
          </cell>
          <cell r="W104">
            <v>3.8354371541419977E-2</v>
          </cell>
          <cell r="X104">
            <v>3.4857605141376528E-2</v>
          </cell>
          <cell r="Y104">
            <v>3.0456057280334223E-2</v>
          </cell>
          <cell r="Z104">
            <v>3.2573243350535873E-2</v>
          </cell>
          <cell r="AA104">
            <v>3.9053456409564861E-2</v>
          </cell>
          <cell r="AB104">
            <v>3.388635858047765E-2</v>
          </cell>
          <cell r="AC104">
            <v>2.6854317262246883E-2</v>
          </cell>
          <cell r="AD104">
            <v>3.3274398399911247E-2</v>
          </cell>
          <cell r="AE104">
            <v>3.5390610502876133E-2</v>
          </cell>
          <cell r="AF104">
            <v>3.6502382954864146E-2</v>
          </cell>
          <cell r="AG104">
            <v>2.8520435607941083E-2</v>
          </cell>
          <cell r="AH104">
            <v>3.27262452645012E-2</v>
          </cell>
          <cell r="AI104">
            <v>2.917850844327393E-2</v>
          </cell>
          <cell r="AJ104">
            <v>3.3000000000000002E-2</v>
          </cell>
          <cell r="AK104">
            <v>2.8000000000000001E-2</v>
          </cell>
          <cell r="AL104">
            <v>3.2000000000000001E-2</v>
          </cell>
          <cell r="AM104">
            <v>2.9000000000000001E-2</v>
          </cell>
          <cell r="AN104">
            <v>0.03</v>
          </cell>
        </row>
        <row r="105">
          <cell r="I105" t="str">
            <v>Merchant (NYOP &amp; Priceline.com)</v>
          </cell>
          <cell r="M105">
            <v>210.43799999999999</v>
          </cell>
          <cell r="N105">
            <v>250.524</v>
          </cell>
          <cell r="O105">
            <v>238.55799999999999</v>
          </cell>
          <cell r="P105">
            <v>204.649</v>
          </cell>
          <cell r="Q105">
            <v>230.13299999999998</v>
          </cell>
          <cell r="R105">
            <v>252.59099999999998</v>
          </cell>
          <cell r="S105">
            <v>274.81600000000003</v>
          </cell>
          <cell r="T105">
            <v>224.28100000000001</v>
          </cell>
          <cell r="U105">
            <v>284.73099999999999</v>
          </cell>
          <cell r="V105">
            <v>331.87400000000002</v>
          </cell>
          <cell r="W105">
            <v>318.125</v>
          </cell>
          <cell r="X105">
            <v>262.06599999999997</v>
          </cell>
          <cell r="Y105">
            <v>329.94920000000002</v>
          </cell>
          <cell r="Z105">
            <v>384.93763999999999</v>
          </cell>
          <cell r="AA105">
            <v>388.0668</v>
          </cell>
          <cell r="AB105">
            <v>300.53199999999998</v>
          </cell>
          <cell r="AC105">
            <v>352.67843999999997</v>
          </cell>
          <cell r="AD105">
            <v>422.99828000000002</v>
          </cell>
          <cell r="AE105">
            <v>448.411</v>
          </cell>
          <cell r="AF105">
            <v>336.8965</v>
          </cell>
          <cell r="AG105">
            <v>401.72891199999998</v>
          </cell>
          <cell r="AH105">
            <v>466.89743320000002</v>
          </cell>
          <cell r="AI105">
            <v>477.55611499999998</v>
          </cell>
          <cell r="AJ105">
            <v>364.5351</v>
          </cell>
          <cell r="AK105">
            <v>435.84458832000001</v>
          </cell>
          <cell r="AL105">
            <v>510.09027046800009</v>
          </cell>
          <cell r="AM105">
            <v>525.03130355000008</v>
          </cell>
          <cell r="AN105">
            <v>394.76195640000003</v>
          </cell>
        </row>
        <row r="106">
          <cell r="I106" t="str">
            <v>y/y Growth - %</v>
          </cell>
          <cell r="M106" t="str">
            <v>NA</v>
          </cell>
          <cell r="N106" t="str">
            <v>NA</v>
          </cell>
          <cell r="O106" t="str">
            <v>NA</v>
          </cell>
          <cell r="P106" t="str">
            <v>NA</v>
          </cell>
          <cell r="Q106">
            <v>9.3590511219456607E-2</v>
          </cell>
          <cell r="R106">
            <v>8.2507065191357309E-3</v>
          </cell>
          <cell r="S106">
            <v>0.15198819574275446</v>
          </cell>
          <cell r="T106">
            <v>9.5930104715879372E-2</v>
          </cell>
          <cell r="U106">
            <v>0.23724541895338791</v>
          </cell>
          <cell r="V106">
            <v>0.31387895847437175</v>
          </cell>
          <cell r="W106">
            <v>0.15759271658127605</v>
          </cell>
          <cell r="X106">
            <v>0.16847169399102002</v>
          </cell>
          <cell r="Y106">
            <v>0.15881024545974975</v>
          </cell>
          <cell r="Z106">
            <v>0.15989092245852321</v>
          </cell>
          <cell r="AA106">
            <v>0.21985634577603141</v>
          </cell>
          <cell r="AB106">
            <v>0.14677981882426572</v>
          </cell>
          <cell r="AC106">
            <v>6.8887089285259551E-2</v>
          </cell>
          <cell r="AD106">
            <v>9.8874820347524484E-2</v>
          </cell>
          <cell r="AE106">
            <v>0.15549951709344878</v>
          </cell>
          <cell r="AF106">
            <v>0.12100042591138394</v>
          </cell>
          <cell r="AG106">
            <v>0.1390798711710306</v>
          </cell>
          <cell r="AH106">
            <v>0.10378092601227595</v>
          </cell>
          <cell r="AI106">
            <v>6.4996431844892344E-2</v>
          </cell>
          <cell r="AJ106">
            <v>8.2038845758267032E-2</v>
          </cell>
          <cell r="AK106">
            <v>8.4922133560553892E-2</v>
          </cell>
          <cell r="AL106">
            <v>9.251033352650273E-2</v>
          </cell>
          <cell r="AM106">
            <v>9.9412795813535126E-2</v>
          </cell>
          <cell r="AN106">
            <v>8.2918918918919005E-2</v>
          </cell>
        </row>
        <row r="107">
          <cell r="I107" t="str">
            <v>Revenue margin</v>
          </cell>
          <cell r="M107">
            <v>0.79018455588307079</v>
          </cell>
          <cell r="N107">
            <v>0.78764784667333199</v>
          </cell>
          <cell r="O107">
            <v>0.78793904122710245</v>
          </cell>
          <cell r="P107">
            <v>0.81423171799156524</v>
          </cell>
          <cell r="Q107">
            <v>0.79917558853047077</v>
          </cell>
          <cell r="R107">
            <v>0.80022239752131297</v>
          </cell>
          <cell r="S107">
            <v>0.78955594373448568</v>
          </cell>
          <cell r="T107">
            <v>0.80320377605798743</v>
          </cell>
          <cell r="U107">
            <v>0.78245803024515448</v>
          </cell>
          <cell r="V107">
            <v>0.7736171006317164</v>
          </cell>
          <cell r="W107">
            <v>0.76779844280218379</v>
          </cell>
          <cell r="X107">
            <v>0.78091355795332973</v>
          </cell>
          <cell r="Y107">
            <v>0.7597824384942018</v>
          </cell>
          <cell r="Z107">
            <v>0.75365954130919155</v>
          </cell>
          <cell r="AA107">
            <v>0.74025351226072278</v>
          </cell>
          <cell r="AB107">
            <v>0.74313875309402111</v>
          </cell>
          <cell r="AC107">
            <v>0.69901264126785301</v>
          </cell>
          <cell r="AD107">
            <v>0.71007297162550298</v>
          </cell>
          <cell r="AE107">
            <v>0.77033327606940383</v>
          </cell>
          <cell r="AF107">
            <v>0.73860564538229656</v>
          </cell>
          <cell r="AG107">
            <v>0.68189225485896021</v>
          </cell>
          <cell r="AH107">
            <v>0.66746279428423405</v>
          </cell>
          <cell r="AI107">
            <v>0.78621060559913736</v>
          </cell>
          <cell r="AJ107">
            <v>0.74</v>
          </cell>
          <cell r="AK107">
            <v>0.68500000000000005</v>
          </cell>
          <cell r="AL107">
            <v>0.66900000000000004</v>
          </cell>
          <cell r="AM107">
            <v>0.79300000000000004</v>
          </cell>
          <cell r="AN107">
            <v>0.74199999999999999</v>
          </cell>
        </row>
        <row r="108">
          <cell r="I108" t="str">
            <v>Other</v>
          </cell>
          <cell r="M108">
            <v>1.095</v>
          </cell>
          <cell r="N108">
            <v>1.2350000000000001</v>
          </cell>
          <cell r="O108">
            <v>1.583</v>
          </cell>
          <cell r="P108">
            <v>1.121</v>
          </cell>
          <cell r="Q108">
            <v>0.86699999999999999</v>
          </cell>
          <cell r="R108">
            <v>2.6269999999999998</v>
          </cell>
          <cell r="S108">
            <v>2.4529999999999998</v>
          </cell>
          <cell r="T108">
            <v>2.3919999999999999</v>
          </cell>
          <cell r="U108">
            <v>4.0890000000000004</v>
          </cell>
          <cell r="V108">
            <v>4.4969999999999999</v>
          </cell>
          <cell r="W108">
            <v>5.0140000000000002</v>
          </cell>
          <cell r="X108">
            <v>4.2519999999999998</v>
          </cell>
          <cell r="Y108">
            <v>4.7990000000000004</v>
          </cell>
          <cell r="Z108">
            <v>6.4340000000000002</v>
          </cell>
          <cell r="AA108">
            <v>7.1580000000000004</v>
          </cell>
          <cell r="AB108">
            <v>3.85</v>
          </cell>
          <cell r="AC108">
            <v>2.887</v>
          </cell>
          <cell r="AD108">
            <v>3.258</v>
          </cell>
          <cell r="AE108">
            <v>3.274</v>
          </cell>
          <cell r="AF108">
            <v>3.2440000000000002</v>
          </cell>
          <cell r="AG108">
            <v>3.0939999999999999</v>
          </cell>
          <cell r="AH108">
            <v>3.0049999999999999</v>
          </cell>
          <cell r="AI108">
            <v>2.9729999999999999</v>
          </cell>
          <cell r="AJ108">
            <v>3.2440000000000002</v>
          </cell>
          <cell r="AK108">
            <v>3.0939999999999999</v>
          </cell>
          <cell r="AL108">
            <v>3.0049999999999999</v>
          </cell>
          <cell r="AM108">
            <v>2.9729999999999999</v>
          </cell>
          <cell r="AN108">
            <v>3.2440000000000002</v>
          </cell>
        </row>
        <row r="109">
          <cell r="I109" t="str">
            <v>y/y Growth - %</v>
          </cell>
          <cell r="M109" t="str">
            <v>NA</v>
          </cell>
          <cell r="N109" t="str">
            <v>NA</v>
          </cell>
          <cell r="O109" t="str">
            <v>NA</v>
          </cell>
          <cell r="P109" t="str">
            <v>NA</v>
          </cell>
          <cell r="Q109">
            <v>-0.20821917808219181</v>
          </cell>
          <cell r="R109">
            <v>1.1271255060728742</v>
          </cell>
          <cell r="S109">
            <v>0.54958938723941886</v>
          </cell>
          <cell r="T109">
            <v>1.1338090990187331</v>
          </cell>
          <cell r="U109">
            <v>3.7162629757785473</v>
          </cell>
          <cell r="V109">
            <v>0.71183859916254288</v>
          </cell>
          <cell r="W109">
            <v>1.0440277211577662</v>
          </cell>
          <cell r="X109">
            <v>0.77759197324414719</v>
          </cell>
          <cell r="Y109">
            <v>0.17363658596233789</v>
          </cell>
          <cell r="Z109">
            <v>0.43073159884367374</v>
          </cell>
          <cell r="AA109">
            <v>0.42760271240526526</v>
          </cell>
          <cell r="AB109">
            <v>-9.4543744120413886E-2</v>
          </cell>
          <cell r="AC109">
            <v>-0.3984163367368202</v>
          </cell>
          <cell r="AD109">
            <v>-0.49362760335716505</v>
          </cell>
          <cell r="AE109">
            <v>-0.5426096675048897</v>
          </cell>
          <cell r="AF109">
            <v>-0.15740259740259732</v>
          </cell>
          <cell r="AG109">
            <v>7.1700727398683606E-2</v>
          </cell>
          <cell r="AH109">
            <v>-7.765500306936779E-2</v>
          </cell>
          <cell r="AI109">
            <v>-9.1936469150885824E-2</v>
          </cell>
          <cell r="AJ109">
            <v>0</v>
          </cell>
          <cell r="AK109">
            <v>0</v>
          </cell>
          <cell r="AL109">
            <v>0</v>
          </cell>
          <cell r="AM109">
            <v>0</v>
          </cell>
          <cell r="AN109">
            <v>0</v>
          </cell>
        </row>
        <row r="110">
          <cell r="I110" t="str">
            <v>Total US</v>
          </cell>
          <cell r="M110">
            <v>219.51399999999998</v>
          </cell>
          <cell r="N110">
            <v>260.55099999999999</v>
          </cell>
          <cell r="O110">
            <v>248.46700000000004</v>
          </cell>
          <cell r="P110">
            <v>211.87099999999998</v>
          </cell>
          <cell r="Q110">
            <v>237.61100000000002</v>
          </cell>
          <cell r="R110">
            <v>263.16199999999992</v>
          </cell>
          <cell r="S110">
            <v>285.09199999999998</v>
          </cell>
          <cell r="T110">
            <v>232.453</v>
          </cell>
          <cell r="U110">
            <v>298.98</v>
          </cell>
          <cell r="V110">
            <v>349.476</v>
          </cell>
          <cell r="W110">
            <v>337.90900000000005</v>
          </cell>
          <cell r="X110">
            <v>278.64099999999996</v>
          </cell>
          <cell r="Y110">
            <v>347.45799999999997</v>
          </cell>
          <cell r="Z110">
            <v>406.14099999999996</v>
          </cell>
          <cell r="AA110">
            <v>413.76</v>
          </cell>
          <cell r="AB110">
            <v>318.85300000000007</v>
          </cell>
          <cell r="AC110">
            <v>368.59399999999988</v>
          </cell>
          <cell r="AD110">
            <v>444.83900000000006</v>
          </cell>
          <cell r="AE110">
            <v>470.75699999999995</v>
          </cell>
          <cell r="AF110">
            <v>356.41600000000005</v>
          </cell>
          <cell r="AG110">
            <v>420.22</v>
          </cell>
          <cell r="AH110">
            <v>489.81600000000014</v>
          </cell>
          <cell r="AI110">
            <v>499.80400000000009</v>
          </cell>
          <cell r="AJ110">
            <v>385.14147250000002</v>
          </cell>
          <cell r="AK110">
            <v>456.32213184</v>
          </cell>
          <cell r="AL110">
            <v>535.87710611600005</v>
          </cell>
          <cell r="AM110">
            <v>550.41795260000004</v>
          </cell>
          <cell r="AN110">
            <v>416.31536740000007</v>
          </cell>
        </row>
        <row r="111">
          <cell r="I111" t="str">
            <v>y/y Growth - %</v>
          </cell>
          <cell r="M111" t="str">
            <v>NA</v>
          </cell>
          <cell r="N111" t="str">
            <v>NA</v>
          </cell>
          <cell r="O111" t="str">
            <v>NA</v>
          </cell>
          <cell r="P111" t="str">
            <v>NA</v>
          </cell>
          <cell r="Q111">
            <v>8.244121103893165E-2</v>
          </cell>
          <cell r="R111">
            <v>1.0021070730873882E-2</v>
          </cell>
          <cell r="S111">
            <v>0.14740388059581333</v>
          </cell>
          <cell r="T111">
            <v>9.7144016878194961E-2</v>
          </cell>
          <cell r="U111">
            <v>0.25827507985741405</v>
          </cell>
          <cell r="V111">
            <v>0.32798808338589946</v>
          </cell>
          <cell r="W111">
            <v>0.18526300282014252</v>
          </cell>
          <cell r="X111">
            <v>0.19869823147044752</v>
          </cell>
          <cell r="Y111">
            <v>0.16214462505853211</v>
          </cell>
          <cell r="Z111">
            <v>0.16214275086128938</v>
          </cell>
          <cell r="AA111">
            <v>0.22447167728589634</v>
          </cell>
          <cell r="AB111">
            <v>0.14431472755265773</v>
          </cell>
          <cell r="AC111">
            <v>6.0830373743013366E-2</v>
          </cell>
          <cell r="AD111">
            <v>9.5282180326537125E-2</v>
          </cell>
          <cell r="AE111">
            <v>0.13775377030162406</v>
          </cell>
          <cell r="AF111">
            <v>0.11780663816868575</v>
          </cell>
          <cell r="AG111">
            <v>0.1400619651974806</v>
          </cell>
          <cell r="AH111">
            <v>0.10110849093717067</v>
          </cell>
          <cell r="AI111">
            <v>6.1702746852410284E-2</v>
          </cell>
          <cell r="AJ111">
            <v>8.0595350657658438E-2</v>
          </cell>
          <cell r="AK111">
            <v>8.5912454999761856E-2</v>
          </cell>
          <cell r="AL111">
            <v>9.4037569446485891E-2</v>
          </cell>
          <cell r="AM111">
            <v>0.10126760210002317</v>
          </cell>
          <cell r="AN111">
            <v>8.0941412768784637E-2</v>
          </cell>
        </row>
        <row r="113">
          <cell r="I113" t="str">
            <v>Europe</v>
          </cell>
        </row>
        <row r="114">
          <cell r="I114" t="str">
            <v>Agency (Booking.com)</v>
          </cell>
          <cell r="M114">
            <v>21.567499999999999</v>
          </cell>
          <cell r="N114">
            <v>46.222500000000004</v>
          </cell>
          <cell r="O114">
            <v>64.152500000000003</v>
          </cell>
          <cell r="P114">
            <v>47.303000000000004</v>
          </cell>
          <cell r="Q114">
            <v>45.548749999999998</v>
          </cell>
          <cell r="R114">
            <v>87.876250000000013</v>
          </cell>
          <cell r="S114">
            <v>129.35124999999999</v>
          </cell>
          <cell r="T114">
            <v>97.505499999999998</v>
          </cell>
          <cell r="U114">
            <v>93.650125000000003</v>
          </cell>
          <cell r="V114">
            <v>153.36737500000001</v>
          </cell>
          <cell r="W114">
            <v>211.047875</v>
          </cell>
          <cell r="X114">
            <v>114.14825</v>
          </cell>
          <cell r="Y114">
            <v>94.048199999999994</v>
          </cell>
          <cell r="Z114">
            <v>173.33730875000001</v>
          </cell>
          <cell r="AA114">
            <v>287.02573749999993</v>
          </cell>
          <cell r="AB114">
            <v>189.46372500000001</v>
          </cell>
          <cell r="AC114">
            <v>165.44524000000001</v>
          </cell>
          <cell r="AD114">
            <v>256.84141750000003</v>
          </cell>
          <cell r="AE114">
            <v>436.46394375000006</v>
          </cell>
          <cell r="AF114">
            <v>291.5920625</v>
          </cell>
          <cell r="AG114">
            <v>256.05805200000003</v>
          </cell>
          <cell r="AH114">
            <v>446.4519094499999</v>
          </cell>
          <cell r="AI114">
            <v>751.01954959999989</v>
          </cell>
          <cell r="AJ114">
            <v>423.36119137891097</v>
          </cell>
          <cell r="AK114">
            <v>327.68815899657329</v>
          </cell>
          <cell r="AL114">
            <v>561.6505444120877</v>
          </cell>
          <cell r="AM114">
            <v>938.30015040209764</v>
          </cell>
          <cell r="AN114">
            <v>521.95252737253861</v>
          </cell>
        </row>
        <row r="115">
          <cell r="I115" t="str">
            <v>y/y Growth - %</v>
          </cell>
          <cell r="M115" t="str">
            <v>NA</v>
          </cell>
          <cell r="N115" t="str">
            <v>NA</v>
          </cell>
          <cell r="O115" t="str">
            <v>NA</v>
          </cell>
          <cell r="P115" t="str">
            <v>NA</v>
          </cell>
          <cell r="Q115">
            <v>1.1119160774313204</v>
          </cell>
          <cell r="R115">
            <v>0.9011574449672779</v>
          </cell>
          <cell r="S115">
            <v>1.0163087954483454</v>
          </cell>
          <cell r="T115">
            <v>1.0612963237003994</v>
          </cell>
          <cell r="U115">
            <v>1.056041603776174</v>
          </cell>
          <cell r="V115">
            <v>0.74526535895648705</v>
          </cell>
          <cell r="W115">
            <v>0.63158744117277577</v>
          </cell>
          <cell r="X115">
            <v>0.17068524339652646</v>
          </cell>
          <cell r="Y115">
            <v>4.2506617049362649E-3</v>
          </cell>
          <cell r="Z115">
            <v>0.13020979038077685</v>
          </cell>
          <cell r="AA115">
            <v>0.36000297325902908</v>
          </cell>
          <cell r="AB115">
            <v>0.65980402678096262</v>
          </cell>
          <cell r="AC115">
            <v>0.75915371054416791</v>
          </cell>
          <cell r="AD115">
            <v>0.48174342472592491</v>
          </cell>
          <cell r="AE115">
            <v>0.52064392396169756</v>
          </cell>
          <cell r="AF115">
            <v>0.53903900337650379</v>
          </cell>
          <cell r="AG115">
            <v>0.54769065583270948</v>
          </cell>
          <cell r="AH115">
            <v>0.73823954794985447</v>
          </cell>
          <cell r="AI115">
            <v>0.72069093072708101</v>
          </cell>
          <cell r="AJ115">
            <v>0.4518954588447035</v>
          </cell>
          <cell r="AK115">
            <v>0.27974166966080505</v>
          </cell>
          <cell r="AL115">
            <v>0.25803145316145049</v>
          </cell>
          <cell r="AM115">
            <v>0.24936847636235981</v>
          </cell>
          <cell r="AN115">
            <v>0.23287759483222858</v>
          </cell>
        </row>
        <row r="116">
          <cell r="I116" t="str">
            <v>Base revenue margin</v>
          </cell>
          <cell r="M116">
            <v>8.0697362907088094E-2</v>
          </cell>
          <cell r="N116">
            <v>0.13178452599196561</v>
          </cell>
          <cell r="O116">
            <v>0.16333516648589744</v>
          </cell>
          <cell r="P116">
            <v>0.15105251056981184</v>
          </cell>
          <cell r="Q116">
            <v>9.0373786715978441E-2</v>
          </cell>
          <cell r="R116">
            <v>0.1311000762346356</v>
          </cell>
          <cell r="S116">
            <v>0.16752023238917679</v>
          </cell>
          <cell r="T116">
            <v>0.15005232298671917</v>
          </cell>
          <cell r="U116">
            <v>9.6324923642157223E-2</v>
          </cell>
          <cell r="V116">
            <v>0.13127357317683291</v>
          </cell>
          <cell r="W116">
            <v>0.17990114074923336</v>
          </cell>
          <cell r="X116">
            <v>0.16051107001989723</v>
          </cell>
          <cell r="Y116">
            <v>9.7675882267411668E-2</v>
          </cell>
          <cell r="Z116">
            <v>0.13735028163920765</v>
          </cell>
          <cell r="AA116">
            <v>0.1865685834002975</v>
          </cell>
          <cell r="AB116">
            <v>0.15418076700697364</v>
          </cell>
          <cell r="AC116">
            <v>9.9869155267955229E-2</v>
          </cell>
          <cell r="AD116">
            <v>0.1392917130863609</v>
          </cell>
          <cell r="AE116">
            <v>0.18927813157727408</v>
          </cell>
          <cell r="AF116">
            <v>0.15693962759462346</v>
          </cell>
          <cell r="AG116">
            <v>9.4555241345540997E-2</v>
          </cell>
          <cell r="AH116">
            <v>0.1301201643284301</v>
          </cell>
          <cell r="AI116">
            <v>0.20034010772041858</v>
          </cell>
          <cell r="AJ116">
            <v>0.158</v>
          </cell>
          <cell r="AK116">
            <v>9.5000000000000001E-2</v>
          </cell>
          <cell r="AL116">
            <v>0.13</v>
          </cell>
          <cell r="AM116">
            <v>0.19500000000000001</v>
          </cell>
          <cell r="AN116">
            <v>0.155</v>
          </cell>
        </row>
        <row r="117">
          <cell r="I117" t="str">
            <v>Merchant (TravelJigsaw)</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7.9019999999999992</v>
          </cell>
          <cell r="AE117">
            <v>15.443999999999999</v>
          </cell>
          <cell r="AF117">
            <v>9.9</v>
          </cell>
          <cell r="AG117">
            <v>17.225999999999999</v>
          </cell>
          <cell r="AH117">
            <v>27.565999999999999</v>
          </cell>
          <cell r="AI117">
            <v>26.400659999999995</v>
          </cell>
          <cell r="AJ117">
            <v>16.752299575394847</v>
          </cell>
          <cell r="AK117">
            <v>26.76490338126883</v>
          </cell>
          <cell r="AL117">
            <v>42.740634239255492</v>
          </cell>
          <cell r="AM117">
            <v>40.855052013791457</v>
          </cell>
          <cell r="AN117">
            <v>26.246493511795876</v>
          </cell>
        </row>
        <row r="118">
          <cell r="I118" t="str">
            <v>y/y Growth - %</v>
          </cell>
          <cell r="M118" t="str">
            <v>NA</v>
          </cell>
          <cell r="N118" t="str">
            <v>NA</v>
          </cell>
          <cell r="O118" t="str">
            <v>NA</v>
          </cell>
          <cell r="P118" t="str">
            <v>NA</v>
          </cell>
          <cell r="Q118" t="str">
            <v>NA</v>
          </cell>
          <cell r="R118" t="str">
            <v>NA</v>
          </cell>
          <cell r="S118" t="str">
            <v>NA</v>
          </cell>
          <cell r="T118" t="str">
            <v>NA</v>
          </cell>
          <cell r="U118" t="str">
            <v>NA</v>
          </cell>
          <cell r="V118" t="str">
            <v>NA</v>
          </cell>
          <cell r="W118" t="str">
            <v>NA</v>
          </cell>
          <cell r="X118" t="str">
            <v>NA</v>
          </cell>
          <cell r="Y118" t="str">
            <v>NA</v>
          </cell>
          <cell r="Z118" t="str">
            <v>NA</v>
          </cell>
          <cell r="AA118" t="str">
            <v>NA</v>
          </cell>
          <cell r="AB118" t="str">
            <v>NA</v>
          </cell>
          <cell r="AC118" t="str">
            <v>NA</v>
          </cell>
          <cell r="AD118" t="str">
            <v>NA</v>
          </cell>
          <cell r="AE118" t="str">
            <v>NA</v>
          </cell>
          <cell r="AF118" t="str">
            <v>NA</v>
          </cell>
          <cell r="AG118" t="str">
            <v>NA</v>
          </cell>
          <cell r="AH118" t="str">
            <v>NM</v>
          </cell>
          <cell r="AI118">
            <v>0.70944444444444432</v>
          </cell>
          <cell r="AJ118">
            <v>0.6921514722621056</v>
          </cell>
          <cell r="AK118">
            <v>0.55375034141813728</v>
          </cell>
          <cell r="AL118">
            <v>0.55048372049827665</v>
          </cell>
          <cell r="AM118">
            <v>0.54750116147821548</v>
          </cell>
          <cell r="AN118">
            <v>0.56673974182898124</v>
          </cell>
        </row>
        <row r="119">
          <cell r="I119" t="str">
            <v>Revenue Margin</v>
          </cell>
          <cell r="M119" t="str">
            <v>NA</v>
          </cell>
          <cell r="N119" t="str">
            <v>NA</v>
          </cell>
          <cell r="O119" t="str">
            <v>NA</v>
          </cell>
          <cell r="P119" t="str">
            <v>NA</v>
          </cell>
          <cell r="Q119" t="str">
            <v>NA</v>
          </cell>
          <cell r="R119" t="str">
            <v>NA</v>
          </cell>
          <cell r="S119" t="str">
            <v>NA</v>
          </cell>
          <cell r="T119" t="str">
            <v>NA</v>
          </cell>
          <cell r="U119" t="str">
            <v>NA</v>
          </cell>
          <cell r="V119" t="str">
            <v>NA</v>
          </cell>
          <cell r="W119" t="str">
            <v>NA</v>
          </cell>
          <cell r="X119" t="str">
            <v>NA</v>
          </cell>
          <cell r="Y119" t="str">
            <v>NA</v>
          </cell>
          <cell r="Z119" t="str">
            <v>NA</v>
          </cell>
          <cell r="AA119" t="str">
            <v>NA</v>
          </cell>
          <cell r="AB119" t="str">
            <v>NA</v>
          </cell>
          <cell r="AC119" t="str">
            <v>NA</v>
          </cell>
          <cell r="AD119">
            <v>0.18</v>
          </cell>
          <cell r="AE119">
            <v>0.18</v>
          </cell>
          <cell r="AF119">
            <v>0.18</v>
          </cell>
          <cell r="AG119">
            <v>0.18</v>
          </cell>
          <cell r="AH119">
            <v>0.17899999999999999</v>
          </cell>
          <cell r="AI119">
            <v>0.18099999999999999</v>
          </cell>
          <cell r="AJ119">
            <v>0.18</v>
          </cell>
          <cell r="AK119">
            <v>0.18</v>
          </cell>
          <cell r="AL119">
            <v>0.17799999999999999</v>
          </cell>
          <cell r="AM119">
            <v>0.17799999999999999</v>
          </cell>
          <cell r="AN119">
            <v>0.18</v>
          </cell>
        </row>
        <row r="120">
          <cell r="I120" t="str">
            <v>Total Europe</v>
          </cell>
          <cell r="M120">
            <v>21.567499999999999</v>
          </cell>
          <cell r="N120">
            <v>46.222500000000004</v>
          </cell>
          <cell r="O120">
            <v>64.152500000000003</v>
          </cell>
          <cell r="P120">
            <v>47.303000000000004</v>
          </cell>
          <cell r="Q120">
            <v>45.548749999999998</v>
          </cell>
          <cell r="R120">
            <v>87.876250000000013</v>
          </cell>
          <cell r="S120">
            <v>129.35124999999999</v>
          </cell>
          <cell r="T120">
            <v>97.505499999999998</v>
          </cell>
          <cell r="U120">
            <v>93.650125000000003</v>
          </cell>
          <cell r="V120">
            <v>153.36737500000001</v>
          </cell>
          <cell r="W120">
            <v>211.047875</v>
          </cell>
          <cell r="X120">
            <v>114.14825</v>
          </cell>
          <cell r="Y120">
            <v>94.048199999999994</v>
          </cell>
          <cell r="Z120">
            <v>173.33730875000001</v>
          </cell>
          <cell r="AA120">
            <v>287.02573749999993</v>
          </cell>
          <cell r="AB120">
            <v>189.46372500000001</v>
          </cell>
          <cell r="AC120">
            <v>165.44524000000001</v>
          </cell>
          <cell r="AD120">
            <v>264.74341750000002</v>
          </cell>
          <cell r="AE120">
            <v>451.90794375000007</v>
          </cell>
          <cell r="AF120">
            <v>301.49206249999997</v>
          </cell>
          <cell r="AG120">
            <v>273.28405200000003</v>
          </cell>
          <cell r="AH120">
            <v>474.01790944999988</v>
          </cell>
          <cell r="AI120">
            <v>777.42020959999991</v>
          </cell>
          <cell r="AJ120">
            <v>440.1134909543058</v>
          </cell>
          <cell r="AK120">
            <v>354.45306237784212</v>
          </cell>
          <cell r="AL120">
            <v>604.39117865134324</v>
          </cell>
          <cell r="AM120">
            <v>979.15520241588911</v>
          </cell>
          <cell r="AN120">
            <v>548.19902088433446</v>
          </cell>
        </row>
        <row r="121">
          <cell r="I121" t="str">
            <v>y/y Growth - %</v>
          </cell>
          <cell r="M121" t="str">
            <v>NA</v>
          </cell>
          <cell r="N121" t="str">
            <v>NA</v>
          </cell>
          <cell r="O121" t="str">
            <v>NA</v>
          </cell>
          <cell r="P121" t="str">
            <v>NA</v>
          </cell>
          <cell r="Q121">
            <v>1.1119160774313204</v>
          </cell>
          <cell r="R121">
            <v>0.9011574449672779</v>
          </cell>
          <cell r="S121">
            <v>1.0163087954483454</v>
          </cell>
          <cell r="T121">
            <v>1.0612963237003994</v>
          </cell>
          <cell r="U121">
            <v>1.056041603776174</v>
          </cell>
          <cell r="V121">
            <v>0.74526535895648705</v>
          </cell>
          <cell r="W121">
            <v>0.63158744117277577</v>
          </cell>
          <cell r="X121">
            <v>0.17068524339652646</v>
          </cell>
          <cell r="Y121">
            <v>4.2506617049362649E-3</v>
          </cell>
          <cell r="Z121">
            <v>0.13020979038077685</v>
          </cell>
          <cell r="AA121">
            <v>0.36000297325902908</v>
          </cell>
          <cell r="AB121">
            <v>0.65980402678096262</v>
          </cell>
          <cell r="AC121">
            <v>0.75915371054416791</v>
          </cell>
          <cell r="AD121">
            <v>0.52733084071261738</v>
          </cell>
          <cell r="AE121">
            <v>0.57445094536165131</v>
          </cell>
          <cell r="AF121">
            <v>0.59129174991149336</v>
          </cell>
          <cell r="AG121">
            <v>0.65180969848392145</v>
          </cell>
          <cell r="AH121">
            <v>0.79048043545785163</v>
          </cell>
          <cell r="AI121">
            <v>0.72030658091302868</v>
          </cell>
          <cell r="AJ121">
            <v>0.45978466996724277</v>
          </cell>
          <cell r="AK121">
            <v>0.29701334484692898</v>
          </cell>
          <cell r="AL121">
            <v>0.27503869917618662</v>
          </cell>
          <cell r="AM121">
            <v>0.25949285897736862</v>
          </cell>
          <cell r="AN121">
            <v>0.2455855867895913</v>
          </cell>
        </row>
        <row r="123">
          <cell r="I123" t="str">
            <v>Asia</v>
          </cell>
        </row>
        <row r="124">
          <cell r="I124" t="str">
            <v>Agency (Booking.com)</v>
          </cell>
          <cell r="M124">
            <v>0.53249999999999997</v>
          </cell>
          <cell r="N124">
            <v>0.57750000000000001</v>
          </cell>
          <cell r="O124">
            <v>0.54749999999999999</v>
          </cell>
          <cell r="P124">
            <v>0.59699999999999998</v>
          </cell>
          <cell r="Q124">
            <v>1.33125</v>
          </cell>
          <cell r="R124">
            <v>1.4437499999999999</v>
          </cell>
          <cell r="S124">
            <v>1.3687499999999999</v>
          </cell>
          <cell r="T124">
            <v>1.4924999999999999</v>
          </cell>
          <cell r="U124">
            <v>3.0618749999999997</v>
          </cell>
          <cell r="V124">
            <v>3.3206249999999997</v>
          </cell>
          <cell r="W124">
            <v>3.1481249999999994</v>
          </cell>
          <cell r="X124">
            <v>3.4327499999999995</v>
          </cell>
          <cell r="Y124">
            <v>4.8989999999999991</v>
          </cell>
          <cell r="Z124">
            <v>6.0103312499999992</v>
          </cell>
          <cell r="AA124">
            <v>6.6110624999999992</v>
          </cell>
          <cell r="AB124">
            <v>8.5818749999999984</v>
          </cell>
          <cell r="AC124">
            <v>10.777800000000001</v>
          </cell>
          <cell r="AD124">
            <v>12.020662499999998</v>
          </cell>
          <cell r="AE124">
            <v>16.527656249999996</v>
          </cell>
          <cell r="AF124">
            <v>18.021937499999996</v>
          </cell>
          <cell r="AG124">
            <v>24.78894</v>
          </cell>
          <cell r="AH124">
            <v>27.647523749999994</v>
          </cell>
          <cell r="AI124">
            <v>39.666374999999988</v>
          </cell>
          <cell r="AJ124">
            <v>36.863065020043386</v>
          </cell>
          <cell r="AK124">
            <v>43.261572661247847</v>
          </cell>
          <cell r="AL124">
            <v>48.274343733928852</v>
          </cell>
          <cell r="AM124">
            <v>68.565634764921711</v>
          </cell>
          <cell r="AN124">
            <v>63.130825263775208</v>
          </cell>
        </row>
        <row r="125">
          <cell r="I125" t="str">
            <v>y/y Growth - %</v>
          </cell>
          <cell r="M125" t="str">
            <v>NA</v>
          </cell>
          <cell r="N125" t="str">
            <v>NA</v>
          </cell>
          <cell r="O125" t="str">
            <v>NA</v>
          </cell>
          <cell r="P125" t="str">
            <v>NA</v>
          </cell>
          <cell r="Q125">
            <v>1.5</v>
          </cell>
          <cell r="R125">
            <v>1.4999999999999996</v>
          </cell>
          <cell r="S125">
            <v>1.5</v>
          </cell>
          <cell r="T125">
            <v>1.5</v>
          </cell>
          <cell r="U125">
            <v>1.2999999999999998</v>
          </cell>
          <cell r="V125">
            <v>1.2999999999999998</v>
          </cell>
          <cell r="W125">
            <v>1.2999999999999998</v>
          </cell>
          <cell r="X125">
            <v>1.2999999999999998</v>
          </cell>
          <cell r="Y125">
            <v>0.59999999999999987</v>
          </cell>
          <cell r="Z125">
            <v>0.80999999999999983</v>
          </cell>
          <cell r="AA125">
            <v>1.1000000000000001</v>
          </cell>
          <cell r="AB125">
            <v>1.5</v>
          </cell>
          <cell r="AC125">
            <v>1.2000000000000006</v>
          </cell>
          <cell r="AD125">
            <v>1</v>
          </cell>
          <cell r="AE125">
            <v>1.4999999999999996</v>
          </cell>
          <cell r="AF125">
            <v>1.1000000000000001</v>
          </cell>
          <cell r="AG125">
            <v>1.2999999999999998</v>
          </cell>
          <cell r="AH125">
            <v>1.2999999999999998</v>
          </cell>
          <cell r="AI125">
            <v>1.4</v>
          </cell>
          <cell r="AJ125">
            <v>1.0454551581950273</v>
          </cell>
          <cell r="AK125">
            <v>0.74519655383601902</v>
          </cell>
          <cell r="AL125">
            <v>0.74606392132781374</v>
          </cell>
          <cell r="AM125">
            <v>0.72855812422793198</v>
          </cell>
          <cell r="AN125">
            <v>0.7125766734114316</v>
          </cell>
        </row>
        <row r="126">
          <cell r="I126" t="str">
            <v>Revenue Margin</v>
          </cell>
          <cell r="M126">
            <v>0.15</v>
          </cell>
          <cell r="N126">
            <v>0.15</v>
          </cell>
          <cell r="O126">
            <v>0.15</v>
          </cell>
          <cell r="P126">
            <v>0.15</v>
          </cell>
          <cell r="Q126">
            <v>0.15</v>
          </cell>
          <cell r="R126">
            <v>0.15</v>
          </cell>
          <cell r="S126">
            <v>0.15</v>
          </cell>
          <cell r="T126">
            <v>0.15</v>
          </cell>
          <cell r="U126">
            <v>0.15</v>
          </cell>
          <cell r="V126">
            <v>0.15</v>
          </cell>
          <cell r="W126">
            <v>0.15</v>
          </cell>
          <cell r="X126">
            <v>0.15</v>
          </cell>
          <cell r="Y126">
            <v>0.15</v>
          </cell>
          <cell r="Z126">
            <v>0.15</v>
          </cell>
          <cell r="AA126">
            <v>0.15</v>
          </cell>
          <cell r="AB126">
            <v>0.15</v>
          </cell>
          <cell r="AC126">
            <v>0.15</v>
          </cell>
          <cell r="AD126">
            <v>0.15</v>
          </cell>
          <cell r="AE126">
            <v>0.15</v>
          </cell>
          <cell r="AF126">
            <v>0.15</v>
          </cell>
          <cell r="AG126">
            <v>0.15</v>
          </cell>
          <cell r="AH126">
            <v>0.15</v>
          </cell>
          <cell r="AI126">
            <v>0.15</v>
          </cell>
          <cell r="AJ126">
            <v>0.15</v>
          </cell>
          <cell r="AK126">
            <v>0.15</v>
          </cell>
          <cell r="AL126">
            <v>0.14799999999999999</v>
          </cell>
          <cell r="AM126">
            <v>0.14799999999999999</v>
          </cell>
          <cell r="AN126">
            <v>0.15</v>
          </cell>
        </row>
        <row r="127">
          <cell r="I127" t="str">
            <v>Merchant (Agoda)</v>
          </cell>
          <cell r="M127">
            <v>0</v>
          </cell>
          <cell r="N127">
            <v>0</v>
          </cell>
          <cell r="O127">
            <v>0</v>
          </cell>
          <cell r="P127">
            <v>0</v>
          </cell>
          <cell r="Q127">
            <v>0</v>
          </cell>
          <cell r="R127">
            <v>0</v>
          </cell>
          <cell r="S127">
            <v>0</v>
          </cell>
          <cell r="T127">
            <v>2.4119999999999999</v>
          </cell>
          <cell r="U127">
            <v>4.4279999999999999</v>
          </cell>
          <cell r="V127">
            <v>4.3559999999999999</v>
          </cell>
          <cell r="W127">
            <v>5.8319999999999999</v>
          </cell>
          <cell r="X127">
            <v>6.75</v>
          </cell>
          <cell r="Y127">
            <v>7.0848000000000013</v>
          </cell>
          <cell r="Z127">
            <v>7.88436</v>
          </cell>
          <cell r="AA127">
            <v>12.247200000000001</v>
          </cell>
          <cell r="AB127">
            <v>16.875</v>
          </cell>
          <cell r="AC127">
            <v>15.586560000000004</v>
          </cell>
          <cell r="AD127">
            <v>15.76872</v>
          </cell>
          <cell r="AE127">
            <v>30.618000000000002</v>
          </cell>
          <cell r="AF127">
            <v>35.4375</v>
          </cell>
          <cell r="AG127">
            <v>35.849088000000009</v>
          </cell>
          <cell r="AH127">
            <v>36.066566799999997</v>
          </cell>
          <cell r="AI127">
            <v>69.273224999999996</v>
          </cell>
          <cell r="AJ127">
            <v>65.398317168536281</v>
          </cell>
          <cell r="AK127">
            <v>58.651136057787738</v>
          </cell>
          <cell r="AL127">
            <v>59.882463219373996</v>
          </cell>
          <cell r="AM127">
            <v>112.53692943337911</v>
          </cell>
          <cell r="AN127">
            <v>104.87391296441982</v>
          </cell>
        </row>
        <row r="128">
          <cell r="I128" t="str">
            <v>y/y Growth - %</v>
          </cell>
          <cell r="M128" t="str">
            <v>NM</v>
          </cell>
          <cell r="N128" t="str">
            <v>NM</v>
          </cell>
          <cell r="O128" t="str">
            <v>NM</v>
          </cell>
          <cell r="P128" t="str">
            <v>NM</v>
          </cell>
          <cell r="Q128" t="str">
            <v>NM</v>
          </cell>
          <cell r="R128" t="str">
            <v>NM</v>
          </cell>
          <cell r="S128" t="str">
            <v>NM</v>
          </cell>
          <cell r="T128" t="str">
            <v>NM</v>
          </cell>
          <cell r="U128" t="str">
            <v>NM</v>
          </cell>
          <cell r="V128" t="str">
            <v>NM</v>
          </cell>
          <cell r="W128" t="str">
            <v>NM</v>
          </cell>
          <cell r="X128" t="str">
            <v>NM</v>
          </cell>
          <cell r="Y128">
            <v>0.60000000000000031</v>
          </cell>
          <cell r="Z128">
            <v>0.81</v>
          </cell>
          <cell r="AA128">
            <v>1.1000000000000001</v>
          </cell>
          <cell r="AB128">
            <v>1.5</v>
          </cell>
          <cell r="AC128">
            <v>1.2000000000000002</v>
          </cell>
          <cell r="AD128">
            <v>1</v>
          </cell>
          <cell r="AE128">
            <v>1.5</v>
          </cell>
          <cell r="AF128">
            <v>1.1000000000000001</v>
          </cell>
          <cell r="AG128">
            <v>1.2999999999999998</v>
          </cell>
          <cell r="AH128">
            <v>1.2872222222222218</v>
          </cell>
          <cell r="AI128">
            <v>1.2624999999999997</v>
          </cell>
          <cell r="AJ128">
            <v>0.84545515819502737</v>
          </cell>
          <cell r="AK128">
            <v>0.63605657298137475</v>
          </cell>
          <cell r="AL128">
            <v>0.66033167369215739</v>
          </cell>
          <cell r="AM128">
            <v>0.62453717772456985</v>
          </cell>
          <cell r="AN128">
            <v>0.60361791411470134</v>
          </cell>
        </row>
        <row r="129">
          <cell r="I129" t="str">
            <v>Revenue Margin</v>
          </cell>
          <cell r="M129" t="str">
            <v>NA</v>
          </cell>
          <cell r="N129" t="str">
            <v>NA</v>
          </cell>
          <cell r="O129" t="str">
            <v>NA</v>
          </cell>
          <cell r="P129" t="str">
            <v>NA</v>
          </cell>
          <cell r="Q129" t="str">
            <v>NA</v>
          </cell>
          <cell r="R129" t="str">
            <v>NA</v>
          </cell>
          <cell r="S129" t="str">
            <v>NA</v>
          </cell>
          <cell r="T129">
            <v>0.18</v>
          </cell>
          <cell r="U129">
            <v>0.18</v>
          </cell>
          <cell r="V129">
            <v>0.18</v>
          </cell>
          <cell r="W129">
            <v>0.18</v>
          </cell>
          <cell r="X129">
            <v>0.18</v>
          </cell>
          <cell r="Y129">
            <v>0.18</v>
          </cell>
          <cell r="Z129">
            <v>0.18</v>
          </cell>
          <cell r="AA129">
            <v>0.18</v>
          </cell>
          <cell r="AB129">
            <v>0.18</v>
          </cell>
          <cell r="AC129">
            <v>0.18</v>
          </cell>
          <cell r="AD129">
            <v>0.18</v>
          </cell>
          <cell r="AE129">
            <v>0.18</v>
          </cell>
          <cell r="AF129">
            <v>0.18</v>
          </cell>
          <cell r="AG129">
            <v>0.18</v>
          </cell>
          <cell r="AH129">
            <v>0.17899999999999999</v>
          </cell>
          <cell r="AI129">
            <v>0.18099999999999999</v>
          </cell>
          <cell r="AJ129">
            <v>0.18</v>
          </cell>
          <cell r="AK129">
            <v>0.17899999999999999</v>
          </cell>
          <cell r="AL129">
            <v>0.17799999999999999</v>
          </cell>
          <cell r="AM129">
            <v>0.17799999999999999</v>
          </cell>
          <cell r="AN129">
            <v>0.17899999999999999</v>
          </cell>
        </row>
        <row r="130">
          <cell r="I130" t="str">
            <v>Total Asia Pacific</v>
          </cell>
          <cell r="M130">
            <v>0.53249999999999997</v>
          </cell>
          <cell r="N130">
            <v>0.57750000000000001</v>
          </cell>
          <cell r="O130">
            <v>0.54749999999999999</v>
          </cell>
          <cell r="P130">
            <v>0.59699999999999998</v>
          </cell>
          <cell r="Q130">
            <v>1.33125</v>
          </cell>
          <cell r="R130">
            <v>1.4437499999999999</v>
          </cell>
          <cell r="S130">
            <v>1.3687499999999999</v>
          </cell>
          <cell r="T130">
            <v>3.9044999999999996</v>
          </cell>
          <cell r="U130">
            <v>7.4898749999999996</v>
          </cell>
          <cell r="V130">
            <v>7.6766249999999996</v>
          </cell>
          <cell r="W130">
            <v>8.9801249999999992</v>
          </cell>
          <cell r="X130">
            <v>10.182749999999999</v>
          </cell>
          <cell r="Y130">
            <v>11.9838</v>
          </cell>
          <cell r="Z130">
            <v>13.894691249999999</v>
          </cell>
          <cell r="AA130">
            <v>18.858262500000002</v>
          </cell>
          <cell r="AB130">
            <v>25.456874999999997</v>
          </cell>
          <cell r="AC130">
            <v>26.364360000000005</v>
          </cell>
          <cell r="AD130">
            <v>27.789382499999999</v>
          </cell>
          <cell r="AE130">
            <v>47.145656250000002</v>
          </cell>
          <cell r="AF130">
            <v>53.459437499999993</v>
          </cell>
          <cell r="AG130">
            <v>60.638028000000006</v>
          </cell>
          <cell r="AH130">
            <v>63.714090549999995</v>
          </cell>
          <cell r="AI130">
            <v>108.93959999999998</v>
          </cell>
          <cell r="AJ130">
            <v>102.26138218857966</v>
          </cell>
          <cell r="AK130">
            <v>101.91270871903558</v>
          </cell>
          <cell r="AL130">
            <v>108.15680695330285</v>
          </cell>
          <cell r="AM130">
            <v>181.10256419830083</v>
          </cell>
          <cell r="AN130">
            <v>168.00473822819504</v>
          </cell>
        </row>
        <row r="131">
          <cell r="I131" t="str">
            <v>y/y Growth - %</v>
          </cell>
          <cell r="M131" t="str">
            <v>NA</v>
          </cell>
          <cell r="N131" t="str">
            <v>NA</v>
          </cell>
          <cell r="O131" t="str">
            <v>NA</v>
          </cell>
          <cell r="P131" t="str">
            <v>NA</v>
          </cell>
          <cell r="Q131">
            <v>1.5</v>
          </cell>
          <cell r="R131">
            <v>1.4999999999999996</v>
          </cell>
          <cell r="S131">
            <v>1.5</v>
          </cell>
          <cell r="T131">
            <v>5.5402010050251249</v>
          </cell>
          <cell r="U131">
            <v>4.6261971830985908</v>
          </cell>
          <cell r="V131">
            <v>4.3171428571428576</v>
          </cell>
          <cell r="W131">
            <v>5.5608219178082194</v>
          </cell>
          <cell r="X131">
            <v>1.6079523626584709</v>
          </cell>
          <cell r="Y131">
            <v>0.60000000000000009</v>
          </cell>
          <cell r="Z131">
            <v>0.81</v>
          </cell>
          <cell r="AA131">
            <v>1.1000000000000005</v>
          </cell>
          <cell r="AB131">
            <v>1.5</v>
          </cell>
          <cell r="AC131">
            <v>1.2000000000000002</v>
          </cell>
          <cell r="AD131">
            <v>1</v>
          </cell>
          <cell r="AE131">
            <v>1.5</v>
          </cell>
          <cell r="AF131">
            <v>1.1000000000000001</v>
          </cell>
          <cell r="AG131">
            <v>1.2999999999999998</v>
          </cell>
          <cell r="AH131">
            <v>1.2927494178756942</v>
          </cell>
          <cell r="AI131">
            <v>1.3107028020211295</v>
          </cell>
          <cell r="AJ131">
            <v>0.91287800565764798</v>
          </cell>
          <cell r="AK131">
            <v>0.68067320261528907</v>
          </cell>
          <cell r="AL131">
            <v>0.6975335599968453</v>
          </cell>
          <cell r="AM131">
            <v>0.66241260476723673</v>
          </cell>
          <cell r="AN131">
            <v>0.64289524190449931</v>
          </cell>
        </row>
        <row r="133">
          <cell r="I133" t="str">
            <v>Latin America &amp; RoW</v>
          </cell>
        </row>
        <row r="134">
          <cell r="I134" t="str">
            <v>Agency (Booking.com)</v>
          </cell>
          <cell r="M134">
            <v>0.3</v>
          </cell>
          <cell r="N134">
            <v>0.3</v>
          </cell>
          <cell r="O134">
            <v>0.3</v>
          </cell>
          <cell r="P134">
            <v>0.3</v>
          </cell>
          <cell r="Q134">
            <v>1.02</v>
          </cell>
          <cell r="R134">
            <v>1.08</v>
          </cell>
          <cell r="S134">
            <v>1.08</v>
          </cell>
          <cell r="T134">
            <v>0.98999999999999988</v>
          </cell>
          <cell r="U134">
            <v>3.0599999999999996</v>
          </cell>
          <cell r="V134">
            <v>3.4560000000000004</v>
          </cell>
          <cell r="W134">
            <v>3.6719999999999997</v>
          </cell>
          <cell r="X134">
            <v>3.069</v>
          </cell>
          <cell r="Y134">
            <v>8.5679999999999978</v>
          </cell>
          <cell r="Z134">
            <v>10.368</v>
          </cell>
          <cell r="AA134">
            <v>11.016</v>
          </cell>
          <cell r="AB134">
            <v>7.9794</v>
          </cell>
          <cell r="AC134">
            <v>23.99039999999999</v>
          </cell>
          <cell r="AD134">
            <v>30.0672</v>
          </cell>
          <cell r="AE134">
            <v>31.946399999999997</v>
          </cell>
          <cell r="AF134">
            <v>19.948499999999999</v>
          </cell>
          <cell r="AG134">
            <v>55.177919999999972</v>
          </cell>
          <cell r="AH134">
            <v>75.167999999999992</v>
          </cell>
          <cell r="AI134">
            <v>66.640190400000009</v>
          </cell>
          <cell r="AJ134">
            <v>38.473887091188921</v>
          </cell>
          <cell r="AK134">
            <v>91.103928363631994</v>
          </cell>
          <cell r="AL134">
            <v>125.5329744711008</v>
          </cell>
          <cell r="AM134">
            <v>112.59253551619628</v>
          </cell>
          <cell r="AN134">
            <v>64.876591516426856</v>
          </cell>
        </row>
        <row r="135">
          <cell r="I135" t="str">
            <v>y/y Growth - %</v>
          </cell>
          <cell r="M135" t="str">
            <v>NA</v>
          </cell>
          <cell r="N135" t="str">
            <v>NA</v>
          </cell>
          <cell r="O135" t="str">
            <v>NA</v>
          </cell>
          <cell r="P135" t="str">
            <v>NA</v>
          </cell>
          <cell r="Q135">
            <v>2.4000000000000004</v>
          </cell>
          <cell r="R135">
            <v>2.6000000000000005</v>
          </cell>
          <cell r="S135">
            <v>2.6000000000000005</v>
          </cell>
          <cell r="T135">
            <v>2.2999999999999998</v>
          </cell>
          <cell r="U135">
            <v>1.9999999999999996</v>
          </cell>
          <cell r="V135">
            <v>2.2000000000000002</v>
          </cell>
          <cell r="W135">
            <v>2.3999999999999995</v>
          </cell>
          <cell r="X135">
            <v>2.1000000000000005</v>
          </cell>
          <cell r="Y135">
            <v>1.7999999999999998</v>
          </cell>
          <cell r="Z135">
            <v>1.9999999999999996</v>
          </cell>
          <cell r="AA135">
            <v>2.0000000000000004</v>
          </cell>
          <cell r="AB135">
            <v>1.6</v>
          </cell>
          <cell r="AC135">
            <v>1.7999999999999994</v>
          </cell>
          <cell r="AD135">
            <v>1.9</v>
          </cell>
          <cell r="AE135">
            <v>1.9</v>
          </cell>
          <cell r="AF135">
            <v>1.5</v>
          </cell>
          <cell r="AG135">
            <v>1.2999999999999998</v>
          </cell>
          <cell r="AH135">
            <v>1.4999999999999996</v>
          </cell>
          <cell r="AI135">
            <v>1.0860000000000003</v>
          </cell>
          <cell r="AJ135">
            <v>0.92866065574799728</v>
          </cell>
          <cell r="AK135">
            <v>0.65109392241737352</v>
          </cell>
          <cell r="AL135">
            <v>0.67003212099697751</v>
          </cell>
          <cell r="AM135">
            <v>0.68955903097474147</v>
          </cell>
          <cell r="AN135">
            <v>0.6862499846365806</v>
          </cell>
        </row>
        <row r="136">
          <cell r="I136" t="str">
            <v>Revenue Margin</v>
          </cell>
          <cell r="M136">
            <v>0.15</v>
          </cell>
          <cell r="N136">
            <v>0.15</v>
          </cell>
          <cell r="O136">
            <v>0.15</v>
          </cell>
          <cell r="P136">
            <v>0.15</v>
          </cell>
          <cell r="Q136">
            <v>0.15</v>
          </cell>
          <cell r="R136">
            <v>0.15</v>
          </cell>
          <cell r="S136">
            <v>0.15</v>
          </cell>
          <cell r="T136">
            <v>0.15</v>
          </cell>
          <cell r="U136">
            <v>0.15</v>
          </cell>
          <cell r="V136">
            <v>0.15</v>
          </cell>
          <cell r="W136">
            <v>0.15</v>
          </cell>
          <cell r="X136">
            <v>0.15</v>
          </cell>
          <cell r="Y136">
            <v>0.15</v>
          </cell>
          <cell r="Z136">
            <v>0.15</v>
          </cell>
          <cell r="AA136">
            <v>0.15</v>
          </cell>
          <cell r="AB136">
            <v>0.15</v>
          </cell>
          <cell r="AC136">
            <v>0.15</v>
          </cell>
          <cell r="AD136">
            <v>0.15</v>
          </cell>
          <cell r="AE136">
            <v>0.15</v>
          </cell>
          <cell r="AF136">
            <v>0.15</v>
          </cell>
          <cell r="AG136">
            <v>0.15</v>
          </cell>
          <cell r="AH136">
            <v>0.15</v>
          </cell>
          <cell r="AI136">
            <v>0.14899999999999999</v>
          </cell>
          <cell r="AJ136">
            <v>0.15</v>
          </cell>
          <cell r="AK136">
            <v>0.14899999999999999</v>
          </cell>
          <cell r="AL136">
            <v>0.14799999999999999</v>
          </cell>
          <cell r="AM136">
            <v>0.14799999999999999</v>
          </cell>
          <cell r="AN136">
            <v>0.14899999999999999</v>
          </cell>
        </row>
        <row r="138">
          <cell r="I138" t="str">
            <v>Agency Check</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row>
        <row r="139">
          <cell r="I139" t="str">
            <v>Merchant Check</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row>
        <row r="140">
          <cell r="I140" t="str">
            <v>Geography US Check</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row>
        <row r="141">
          <cell r="I141" t="str">
            <v>Geography International Check</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row>
        <row r="143">
          <cell r="I143" t="str">
            <v>Gross Profit Scenarios</v>
          </cell>
        </row>
        <row r="144">
          <cell r="I144" t="str">
            <v>Gross Profit by brand</v>
          </cell>
        </row>
        <row r="145">
          <cell r="I145" t="str">
            <v>US</v>
          </cell>
        </row>
        <row r="146">
          <cell r="I146" t="str">
            <v>Agency (Priceline.com)</v>
          </cell>
          <cell r="M146">
            <v>7.9809999999999937</v>
          </cell>
          <cell r="N146">
            <v>8.7919999999999874</v>
          </cell>
          <cell r="O146">
            <v>8.3260000000000485</v>
          </cell>
          <cell r="P146">
            <v>6.1009999999999796</v>
          </cell>
          <cell r="Q146">
            <v>6.6110000000000371</v>
          </cell>
          <cell r="R146">
            <v>7.9439999999999413</v>
          </cell>
          <cell r="S146">
            <v>7.8229999999999542</v>
          </cell>
          <cell r="T146">
            <v>5.7799999999999976</v>
          </cell>
          <cell r="U146">
            <v>10.160000000000023</v>
          </cell>
          <cell r="V146">
            <v>13.104999999999976</v>
          </cell>
          <cell r="W146">
            <v>14.770000000000049</v>
          </cell>
          <cell r="X146">
            <v>12.32299999999999</v>
          </cell>
          <cell r="Y146">
            <v>12.709799999999952</v>
          </cell>
          <cell r="Z146">
            <v>14.769359999999974</v>
          </cell>
          <cell r="AA146">
            <v>18.535199999999989</v>
          </cell>
          <cell r="AB146">
            <v>14.471000000000084</v>
          </cell>
          <cell r="AC146">
            <v>13.028559999999914</v>
          </cell>
          <cell r="AD146">
            <v>18.582720000000034</v>
          </cell>
          <cell r="AE146">
            <v>19.071999999999946</v>
          </cell>
          <cell r="AF146">
            <v>16.275500000000051</v>
          </cell>
          <cell r="AG146">
            <v>15.397088000000048</v>
          </cell>
          <cell r="AH146">
            <v>19.913566800000122</v>
          </cell>
          <cell r="AI146">
            <v>19.274885000000111</v>
          </cell>
          <cell r="AJ146">
            <v>17.362372499999999</v>
          </cell>
          <cell r="AK146">
            <v>17.383543520000003</v>
          </cell>
          <cell r="AL146">
            <v>22.781835647999998</v>
          </cell>
          <cell r="AM146">
            <v>22.41364905</v>
          </cell>
          <cell r="AN146">
            <v>18.309410999999997</v>
          </cell>
        </row>
        <row r="147">
          <cell r="I147" t="str">
            <v>y/y Growth - %</v>
          </cell>
          <cell r="M147" t="str">
            <v>NA</v>
          </cell>
          <cell r="N147" t="str">
            <v>NA</v>
          </cell>
          <cell r="O147" t="str">
            <v>NA</v>
          </cell>
          <cell r="P147" t="str">
            <v>NA</v>
          </cell>
          <cell r="Q147">
            <v>-0.17165768700663542</v>
          </cell>
          <cell r="R147">
            <v>-9.6451319381261058E-2</v>
          </cell>
          <cell r="S147">
            <v>-6.0413163583964868E-2</v>
          </cell>
          <cell r="T147">
            <v>-5.2614325520403682E-2</v>
          </cell>
          <cell r="U147">
            <v>0.53683255180758827</v>
          </cell>
          <cell r="V147">
            <v>0.64967270896274831</v>
          </cell>
          <cell r="W147">
            <v>0.88802249776302378</v>
          </cell>
          <cell r="X147">
            <v>1.1320069204152241</v>
          </cell>
          <cell r="Y147">
            <v>0.25096456692912628</v>
          </cell>
          <cell r="Z147">
            <v>0.12700190766882891</v>
          </cell>
          <cell r="AA147">
            <v>0.25492213947189768</v>
          </cell>
          <cell r="AB147">
            <v>0.17430820417106996</v>
          </cell>
          <cell r="AC147">
            <v>2.5079859635868562E-2</v>
          </cell>
          <cell r="AD147">
            <v>0.25819399080258498</v>
          </cell>
          <cell r="AE147">
            <v>2.8961111830460906E-2</v>
          </cell>
          <cell r="AF147">
            <v>0.12469767120447495</v>
          </cell>
          <cell r="AG147">
            <v>0.18179507175007448</v>
          </cell>
          <cell r="AH147">
            <v>7.1617438136079459E-2</v>
          </cell>
          <cell r="AI147">
            <v>1.0637846057055755E-2</v>
          </cell>
          <cell r="AJ147">
            <v>6.6779668827375183E-2</v>
          </cell>
          <cell r="AK147">
            <v>0.1290150137480508</v>
          </cell>
          <cell r="AL147">
            <v>0.14403591665958393</v>
          </cell>
          <cell r="AM147">
            <v>0.16284216741110891</v>
          </cell>
          <cell r="AN147">
            <v>5.4545454545454453E-2</v>
          </cell>
        </row>
        <row r="148">
          <cell r="I148" t="str">
            <v>Merchant (NYOP &amp; Priceline.com)</v>
          </cell>
          <cell r="M148">
            <v>40.754999999999995</v>
          </cell>
          <cell r="N148">
            <v>48.676999999999992</v>
          </cell>
          <cell r="O148">
            <v>48.638000000000005</v>
          </cell>
          <cell r="P148">
            <v>44.094999999999999</v>
          </cell>
          <cell r="Q148">
            <v>48.460999999999984</v>
          </cell>
          <cell r="R148">
            <v>53.921999999999969</v>
          </cell>
          <cell r="S148">
            <v>59.860000000000042</v>
          </cell>
          <cell r="T148">
            <v>49.580000000000013</v>
          </cell>
          <cell r="U148">
            <v>62.653999999999996</v>
          </cell>
          <cell r="V148">
            <v>71.623000000000047</v>
          </cell>
          <cell r="W148">
            <v>72.593999999999994</v>
          </cell>
          <cell r="X148">
            <v>61.089999999999975</v>
          </cell>
          <cell r="Y148">
            <v>76.22120000000001</v>
          </cell>
          <cell r="Z148">
            <v>86.434640000000002</v>
          </cell>
          <cell r="AA148">
            <v>91.412800000000004</v>
          </cell>
          <cell r="AB148">
            <v>71.967999999999989</v>
          </cell>
          <cell r="AC148">
            <v>87.400439999999946</v>
          </cell>
          <cell r="AD148">
            <v>100.81428</v>
          </cell>
          <cell r="AE148">
            <v>112.84199999999998</v>
          </cell>
          <cell r="AF148">
            <v>83.993500000000012</v>
          </cell>
          <cell r="AG148">
            <v>98.216911999999979</v>
          </cell>
          <cell r="AH148">
            <v>113.40843320000005</v>
          </cell>
          <cell r="AI148">
            <v>124.90011499999997</v>
          </cell>
          <cell r="AJ148">
            <v>89.655929999999998</v>
          </cell>
          <cell r="AK148">
            <v>103.075654464</v>
          </cell>
          <cell r="AL148">
            <v>119.70728320400002</v>
          </cell>
          <cell r="AM148">
            <v>135.0647994</v>
          </cell>
          <cell r="AN148">
            <v>93.104235000000003</v>
          </cell>
        </row>
        <row r="149">
          <cell r="I149" t="str">
            <v>y/y Growth - %</v>
          </cell>
          <cell r="M149" t="str">
            <v>NA</v>
          </cell>
          <cell r="N149" t="str">
            <v>NA</v>
          </cell>
          <cell r="O149" t="str">
            <v>NA</v>
          </cell>
          <cell r="P149" t="str">
            <v>NA</v>
          </cell>
          <cell r="Q149">
            <v>0.18908109434425202</v>
          </cell>
          <cell r="R149">
            <v>0.10775109394580551</v>
          </cell>
          <cell r="S149">
            <v>0.23072494757185802</v>
          </cell>
          <cell r="T149">
            <v>0.12439052046717336</v>
          </cell>
          <cell r="U149">
            <v>0.29287468273457051</v>
          </cell>
          <cell r="V149">
            <v>0.32827046474537469</v>
          </cell>
          <cell r="W149">
            <v>0.2127297026394912</v>
          </cell>
          <cell r="X149">
            <v>0.2321500605082687</v>
          </cell>
          <cell r="Y149">
            <v>0.21654164139560139</v>
          </cell>
          <cell r="Z149">
            <v>0.20680005026318282</v>
          </cell>
          <cell r="AA149">
            <v>0.25923354547207778</v>
          </cell>
          <cell r="AB149">
            <v>0.17806514977901489</v>
          </cell>
          <cell r="AC149">
            <v>0.14666838097537083</v>
          </cell>
          <cell r="AD149">
            <v>0.16636431874998259</v>
          </cell>
          <cell r="AE149">
            <v>0.2344223128489662</v>
          </cell>
          <cell r="AF149">
            <v>0.1670950978212542</v>
          </cell>
          <cell r="AG149">
            <v>0.12375763783340266</v>
          </cell>
          <cell r="AH149">
            <v>0.12492429842280339</v>
          </cell>
          <cell r="AI149">
            <v>0.10685839492387572</v>
          </cell>
          <cell r="AJ149">
            <v>6.7415097596837725E-2</v>
          </cell>
          <cell r="AK149">
            <v>4.9469509528053734E-2</v>
          </cell>
          <cell r="AL149">
            <v>5.554128406740011E-2</v>
          </cell>
          <cell r="AM149">
            <v>8.138250633316102E-2</v>
          </cell>
          <cell r="AN149">
            <v>3.8461538461538547E-2</v>
          </cell>
        </row>
        <row r="150">
          <cell r="I150" t="str">
            <v>Base Gross Profit margin (% of total gross bookings)</v>
          </cell>
          <cell r="M150">
            <v>0.15303306235097533</v>
          </cell>
          <cell r="N150">
            <v>0.15304056390811968</v>
          </cell>
          <cell r="O150">
            <v>0.16064763741817006</v>
          </cell>
          <cell r="P150">
            <v>0.1754396435107822</v>
          </cell>
          <cell r="Q150">
            <v>0.16828898157054892</v>
          </cell>
          <cell r="R150">
            <v>0.17082790803767442</v>
          </cell>
          <cell r="S150">
            <v>0.17197986577181218</v>
          </cell>
          <cell r="T150">
            <v>0.17755781014421651</v>
          </cell>
          <cell r="U150">
            <v>0.17217698609206553</v>
          </cell>
          <cell r="V150">
            <v>0.16695727173127589</v>
          </cell>
          <cell r="W150">
            <v>0.17520647593487379</v>
          </cell>
          <cell r="X150">
            <v>0.18203814785347547</v>
          </cell>
          <cell r="Y150">
            <v>0.17551650133097538</v>
          </cell>
          <cell r="Z150">
            <v>0.16922816676390778</v>
          </cell>
          <cell r="AA150">
            <v>0.17437370644844394</v>
          </cell>
          <cell r="AB150">
            <v>0.1779584529523329</v>
          </cell>
          <cell r="AC150">
            <v>0.17322865671168466</v>
          </cell>
          <cell r="AD150">
            <v>0.16923353773893715</v>
          </cell>
          <cell r="AE150">
            <v>0.19385328981274691</v>
          </cell>
          <cell r="AF150">
            <v>0.18414579336804607</v>
          </cell>
          <cell r="AG150">
            <v>0.16671279957307145</v>
          </cell>
          <cell r="AH150">
            <v>0.16212534988737851</v>
          </cell>
          <cell r="AI150">
            <v>0.2056256677889087</v>
          </cell>
          <cell r="AJ150">
            <v>0.182</v>
          </cell>
          <cell r="AK150">
            <v>0.16200000000000001</v>
          </cell>
          <cell r="AL150">
            <v>0.157</v>
          </cell>
          <cell r="AM150">
            <v>0.20399999999999999</v>
          </cell>
          <cell r="AN150">
            <v>0.17499999999999999</v>
          </cell>
        </row>
        <row r="151">
          <cell r="I151" t="str">
            <v>Other</v>
          </cell>
          <cell r="M151">
            <v>1.095</v>
          </cell>
          <cell r="N151">
            <v>1.2350000000000001</v>
          </cell>
          <cell r="O151">
            <v>1.583</v>
          </cell>
          <cell r="P151">
            <v>1.121</v>
          </cell>
          <cell r="Q151">
            <v>0.86699999999999999</v>
          </cell>
          <cell r="R151">
            <v>2.6269999999999998</v>
          </cell>
          <cell r="S151">
            <v>2.4529999999999998</v>
          </cell>
          <cell r="T151">
            <v>2.3919999999999999</v>
          </cell>
          <cell r="U151">
            <v>4.0890000000000004</v>
          </cell>
          <cell r="V151">
            <v>4.4969999999999999</v>
          </cell>
          <cell r="W151">
            <v>5.0140000000000002</v>
          </cell>
          <cell r="X151">
            <v>4.2519999999999998</v>
          </cell>
          <cell r="Y151">
            <v>4.7990000000000004</v>
          </cell>
          <cell r="Z151">
            <v>6.4340000000000002</v>
          </cell>
          <cell r="AA151">
            <v>7.1580000000000004</v>
          </cell>
          <cell r="AB151">
            <v>3.85</v>
          </cell>
          <cell r="AC151">
            <v>2.887</v>
          </cell>
          <cell r="AD151">
            <v>3.258</v>
          </cell>
          <cell r="AE151">
            <v>3.274</v>
          </cell>
          <cell r="AF151">
            <v>3.2440000000000002</v>
          </cell>
          <cell r="AG151">
            <v>3.0939999999999999</v>
          </cell>
          <cell r="AH151">
            <v>3.0049999999999999</v>
          </cell>
          <cell r="AI151">
            <v>2.9729999999999999</v>
          </cell>
          <cell r="AJ151">
            <v>3.2440000000000002</v>
          </cell>
          <cell r="AK151">
            <v>3.0939999999999999</v>
          </cell>
          <cell r="AL151">
            <v>3.0049999999999999</v>
          </cell>
          <cell r="AM151">
            <v>2.9729999999999999</v>
          </cell>
          <cell r="AN151">
            <v>3.2440000000000002</v>
          </cell>
        </row>
        <row r="152">
          <cell r="I152" t="str">
            <v>y/y Growth - %</v>
          </cell>
          <cell r="M152" t="str">
            <v>NA</v>
          </cell>
          <cell r="N152" t="str">
            <v>NA</v>
          </cell>
          <cell r="O152" t="str">
            <v>NA</v>
          </cell>
          <cell r="P152" t="str">
            <v>NA</v>
          </cell>
          <cell r="Q152">
            <v>-0.20821917808219181</v>
          </cell>
          <cell r="R152">
            <v>1.1271255060728742</v>
          </cell>
          <cell r="S152">
            <v>0.54958938723941886</v>
          </cell>
          <cell r="T152">
            <v>1.1338090990187331</v>
          </cell>
          <cell r="U152">
            <v>3.7162629757785473</v>
          </cell>
          <cell r="V152">
            <v>0.71183859916254288</v>
          </cell>
          <cell r="W152">
            <v>1.0440277211577662</v>
          </cell>
          <cell r="X152">
            <v>0.77759197324414719</v>
          </cell>
          <cell r="Y152">
            <v>0.17363658596233789</v>
          </cell>
          <cell r="Z152">
            <v>0.43073159884367374</v>
          </cell>
          <cell r="AA152">
            <v>0.42760271240526526</v>
          </cell>
          <cell r="AB152">
            <v>-9.4543744120413886E-2</v>
          </cell>
          <cell r="AC152">
            <v>-0.3984163367368202</v>
          </cell>
          <cell r="AD152">
            <v>-0.49362760335716505</v>
          </cell>
          <cell r="AE152">
            <v>-0.5426096675048897</v>
          </cell>
          <cell r="AF152">
            <v>-0.15740259740259732</v>
          </cell>
          <cell r="AG152">
            <v>7.1700727398683606E-2</v>
          </cell>
          <cell r="AH152">
            <v>-7.765500306936779E-2</v>
          </cell>
          <cell r="AI152">
            <v>-9.1936469150885824E-2</v>
          </cell>
          <cell r="AJ152">
            <v>0</v>
          </cell>
          <cell r="AK152">
            <v>0</v>
          </cell>
          <cell r="AL152">
            <v>0</v>
          </cell>
          <cell r="AM152">
            <v>0</v>
          </cell>
          <cell r="AN152">
            <v>0</v>
          </cell>
        </row>
        <row r="153">
          <cell r="I153" t="str">
            <v>Total US</v>
          </cell>
          <cell r="M153">
            <v>49.830999999999989</v>
          </cell>
          <cell r="N153">
            <v>58.703999999999979</v>
          </cell>
          <cell r="O153">
            <v>58.547000000000054</v>
          </cell>
          <cell r="P153">
            <v>51.316999999999979</v>
          </cell>
          <cell r="Q153">
            <v>55.939000000000021</v>
          </cell>
          <cell r="R153">
            <v>64.49299999999991</v>
          </cell>
          <cell r="S153">
            <v>70.135999999999996</v>
          </cell>
          <cell r="T153">
            <v>57.752000000000017</v>
          </cell>
          <cell r="U153">
            <v>76.90300000000002</v>
          </cell>
          <cell r="V153">
            <v>89.225000000000023</v>
          </cell>
          <cell r="W153">
            <v>92.378000000000043</v>
          </cell>
          <cell r="X153">
            <v>77.664999999999964</v>
          </cell>
          <cell r="Y153">
            <v>93.729999999999961</v>
          </cell>
          <cell r="Z153">
            <v>107.63799999999998</v>
          </cell>
          <cell r="AA153">
            <v>117.10599999999999</v>
          </cell>
          <cell r="AB153">
            <v>90.289000000000073</v>
          </cell>
          <cell r="AC153">
            <v>103.31599999999986</v>
          </cell>
          <cell r="AD153">
            <v>122.65500000000003</v>
          </cell>
          <cell r="AE153">
            <v>135.18799999999993</v>
          </cell>
          <cell r="AF153">
            <v>103.51300000000006</v>
          </cell>
          <cell r="AG153">
            <v>116.70800000000003</v>
          </cell>
          <cell r="AH153">
            <v>136.32700000000017</v>
          </cell>
          <cell r="AI153">
            <v>147.14800000000008</v>
          </cell>
          <cell r="AJ153">
            <v>110.2623025</v>
          </cell>
          <cell r="AK153">
            <v>123.55319798399999</v>
          </cell>
          <cell r="AL153">
            <v>145.49411885200001</v>
          </cell>
          <cell r="AM153">
            <v>160.45144845000002</v>
          </cell>
          <cell r="AN153">
            <v>114.657646</v>
          </cell>
        </row>
        <row r="154">
          <cell r="I154" t="str">
            <v>y/y Growth - %</v>
          </cell>
          <cell r="M154" t="str">
            <v>NA</v>
          </cell>
          <cell r="N154" t="str">
            <v>NA</v>
          </cell>
          <cell r="O154" t="str">
            <v>NA</v>
          </cell>
          <cell r="P154" t="str">
            <v>NA</v>
          </cell>
          <cell r="Q154">
            <v>0.12257430113784662</v>
          </cell>
          <cell r="R154">
            <v>9.8613382393021531E-2</v>
          </cell>
          <cell r="S154">
            <v>0.19794353254649999</v>
          </cell>
          <cell r="T154">
            <v>0.12539704191593515</v>
          </cell>
          <cell r="U154">
            <v>0.37476536942026129</v>
          </cell>
          <cell r="V154">
            <v>0.38348347882716172</v>
          </cell>
          <cell r="W154">
            <v>0.31712672521957419</v>
          </cell>
          <cell r="X154">
            <v>0.34480191162210727</v>
          </cell>
          <cell r="Y154">
            <v>0.21880810891642644</v>
          </cell>
          <cell r="Z154">
            <v>0.20636592883160487</v>
          </cell>
          <cell r="AA154">
            <v>0.26768278161466941</v>
          </cell>
          <cell r="AB154">
            <v>0.16254426060645222</v>
          </cell>
          <cell r="AC154">
            <v>0.10227248479675555</v>
          </cell>
          <cell r="AD154">
            <v>0.13951392630855319</v>
          </cell>
          <cell r="AE154">
            <v>0.15440711833723242</v>
          </cell>
          <cell r="AF154">
            <v>0.14646302428867286</v>
          </cell>
          <cell r="AG154">
            <v>0.12962174300205365</v>
          </cell>
          <cell r="AH154">
            <v>0.11146712323183028</v>
          </cell>
          <cell r="AI154">
            <v>8.8469390774330137E-2</v>
          </cell>
          <cell r="AJ154">
            <v>6.5202462492633284E-2</v>
          </cell>
          <cell r="AK154">
            <v>5.8652345888884794E-2</v>
          </cell>
          <cell r="AL154">
            <v>6.7243604363037557E-2</v>
          </cell>
          <cell r="AM154">
            <v>9.0408625669393672E-2</v>
          </cell>
          <cell r="AN154">
            <v>3.9862613063063934E-2</v>
          </cell>
        </row>
        <row r="156">
          <cell r="I156" t="str">
            <v>Europe</v>
          </cell>
        </row>
        <row r="157">
          <cell r="I157" t="str">
            <v>Agency (Booking.com)</v>
          </cell>
          <cell r="M157">
            <v>21.567499999999999</v>
          </cell>
          <cell r="N157">
            <v>46.222500000000004</v>
          </cell>
          <cell r="O157">
            <v>64.152500000000003</v>
          </cell>
          <cell r="P157">
            <v>47.303000000000004</v>
          </cell>
          <cell r="Q157">
            <v>45.548749999999998</v>
          </cell>
          <cell r="R157">
            <v>87.876250000000013</v>
          </cell>
          <cell r="S157">
            <v>129.35124999999999</v>
          </cell>
          <cell r="T157">
            <v>97.505499999999998</v>
          </cell>
          <cell r="U157">
            <v>93.650125000000003</v>
          </cell>
          <cell r="V157">
            <v>153.36737500000001</v>
          </cell>
          <cell r="W157">
            <v>211.047875</v>
          </cell>
          <cell r="X157">
            <v>114.14825</v>
          </cell>
          <cell r="Y157">
            <v>94.048199999999994</v>
          </cell>
          <cell r="Z157">
            <v>173.33730875000001</v>
          </cell>
          <cell r="AA157">
            <v>287.02573749999993</v>
          </cell>
          <cell r="AB157">
            <v>189.46372500000001</v>
          </cell>
          <cell r="AC157">
            <v>165.44524000000001</v>
          </cell>
          <cell r="AD157">
            <v>256.84141750000003</v>
          </cell>
          <cell r="AE157">
            <v>436.46394375000006</v>
          </cell>
          <cell r="AF157">
            <v>291.5920625</v>
          </cell>
          <cell r="AG157">
            <v>256.05805200000003</v>
          </cell>
          <cell r="AH157">
            <v>446.4519094499999</v>
          </cell>
          <cell r="AI157">
            <v>751.01954959999989</v>
          </cell>
          <cell r="AJ157">
            <v>423.36119137891097</v>
          </cell>
          <cell r="AK157">
            <v>327.68815899657329</v>
          </cell>
          <cell r="AL157">
            <v>561.6505444120877</v>
          </cell>
          <cell r="AM157">
            <v>938.30015040209764</v>
          </cell>
          <cell r="AN157">
            <v>521.95252737253861</v>
          </cell>
        </row>
        <row r="158">
          <cell r="I158" t="str">
            <v>y/y Growth - %</v>
          </cell>
          <cell r="M158" t="str">
            <v>NA</v>
          </cell>
          <cell r="N158" t="str">
            <v>NA</v>
          </cell>
          <cell r="O158" t="str">
            <v>NA</v>
          </cell>
          <cell r="P158" t="str">
            <v>NA</v>
          </cell>
          <cell r="Q158">
            <v>1.1119160774313204</v>
          </cell>
          <cell r="R158">
            <v>0.9011574449672779</v>
          </cell>
          <cell r="S158">
            <v>1.0163087954483454</v>
          </cell>
          <cell r="T158">
            <v>1.0612963237003994</v>
          </cell>
          <cell r="U158">
            <v>1.056041603776174</v>
          </cell>
          <cell r="V158">
            <v>0.74526535895648705</v>
          </cell>
          <cell r="W158">
            <v>0.63158744117277577</v>
          </cell>
          <cell r="X158">
            <v>0.17068524339652646</v>
          </cell>
          <cell r="Y158">
            <v>4.2506617049362649E-3</v>
          </cell>
          <cell r="Z158">
            <v>0.13020979038077685</v>
          </cell>
          <cell r="AA158">
            <v>0.36000297325902908</v>
          </cell>
          <cell r="AB158">
            <v>0.65980402678096262</v>
          </cell>
          <cell r="AC158">
            <v>0.75915371054416791</v>
          </cell>
          <cell r="AD158">
            <v>0.48174342472592491</v>
          </cell>
          <cell r="AE158">
            <v>0.52064392396169756</v>
          </cell>
          <cell r="AF158">
            <v>0.53903900337650379</v>
          </cell>
          <cell r="AG158">
            <v>0.54769065583270948</v>
          </cell>
          <cell r="AH158">
            <v>0.73823954794985447</v>
          </cell>
          <cell r="AI158">
            <v>0.72069093072708101</v>
          </cell>
          <cell r="AJ158">
            <v>0.4518954588447035</v>
          </cell>
          <cell r="AK158">
            <v>0.27974166966080505</v>
          </cell>
          <cell r="AL158">
            <v>0.25803145316145049</v>
          </cell>
          <cell r="AM158">
            <v>0.24936847636235981</v>
          </cell>
          <cell r="AN158">
            <v>0.23287759483222858</v>
          </cell>
        </row>
        <row r="159">
          <cell r="I159" t="str">
            <v>Merchant (TravelJigsaw)</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7.9019999999999992</v>
          </cell>
          <cell r="AE159">
            <v>15.443999999999999</v>
          </cell>
          <cell r="AF159">
            <v>9.9</v>
          </cell>
          <cell r="AG159">
            <v>17.225999999999999</v>
          </cell>
          <cell r="AH159">
            <v>27.565999999999999</v>
          </cell>
          <cell r="AI159">
            <v>26.400659999999995</v>
          </cell>
          <cell r="AJ159">
            <v>16.752299575394847</v>
          </cell>
          <cell r="AK159">
            <v>26.76490338126883</v>
          </cell>
          <cell r="AL159">
            <v>42.740634239255492</v>
          </cell>
          <cell r="AM159">
            <v>40.855052013791457</v>
          </cell>
          <cell r="AN159">
            <v>26.246493511795876</v>
          </cell>
        </row>
        <row r="160">
          <cell r="I160" t="str">
            <v>y/y Growth - %</v>
          </cell>
          <cell r="M160" t="str">
            <v>NA</v>
          </cell>
          <cell r="N160" t="str">
            <v>NA</v>
          </cell>
          <cell r="O160" t="str">
            <v>NA</v>
          </cell>
          <cell r="P160" t="str">
            <v>NA</v>
          </cell>
          <cell r="Q160" t="str">
            <v>NA</v>
          </cell>
          <cell r="R160" t="str">
            <v>NA</v>
          </cell>
          <cell r="S160" t="str">
            <v>NA</v>
          </cell>
          <cell r="T160" t="str">
            <v>NA</v>
          </cell>
          <cell r="U160" t="str">
            <v>NA</v>
          </cell>
          <cell r="V160" t="str">
            <v>NA</v>
          </cell>
          <cell r="W160" t="str">
            <v>NA</v>
          </cell>
          <cell r="X160" t="str">
            <v>NA</v>
          </cell>
          <cell r="Y160" t="str">
            <v>NA</v>
          </cell>
          <cell r="Z160" t="str">
            <v>NA</v>
          </cell>
          <cell r="AA160" t="str">
            <v>NA</v>
          </cell>
          <cell r="AB160" t="str">
            <v>NA</v>
          </cell>
          <cell r="AC160" t="str">
            <v>NA</v>
          </cell>
          <cell r="AD160" t="str">
            <v>NA</v>
          </cell>
          <cell r="AE160" t="str">
            <v>NA</v>
          </cell>
          <cell r="AF160" t="str">
            <v>NA</v>
          </cell>
          <cell r="AG160" t="str">
            <v>NA</v>
          </cell>
          <cell r="AH160">
            <v>2.4884839281194635</v>
          </cell>
          <cell r="AI160">
            <v>0.70944444444444432</v>
          </cell>
          <cell r="AJ160">
            <v>0.6921514722621056</v>
          </cell>
          <cell r="AK160">
            <v>0.55375034141813728</v>
          </cell>
          <cell r="AL160">
            <v>0.55048372049827665</v>
          </cell>
          <cell r="AM160">
            <v>0.54750116147821548</v>
          </cell>
          <cell r="AN160">
            <v>0.56673974182898124</v>
          </cell>
        </row>
        <row r="161">
          <cell r="I161" t="str">
            <v>Total Europe</v>
          </cell>
          <cell r="M161">
            <v>21.567499999999999</v>
          </cell>
          <cell r="N161">
            <v>46.222500000000004</v>
          </cell>
          <cell r="O161">
            <v>64.152500000000003</v>
          </cell>
          <cell r="P161">
            <v>47.303000000000004</v>
          </cell>
          <cell r="Q161">
            <v>45.548749999999998</v>
          </cell>
          <cell r="R161">
            <v>87.876250000000013</v>
          </cell>
          <cell r="S161">
            <v>129.35124999999999</v>
          </cell>
          <cell r="T161">
            <v>97.505499999999998</v>
          </cell>
          <cell r="U161">
            <v>93.650125000000003</v>
          </cell>
          <cell r="V161">
            <v>153.36737500000001</v>
          </cell>
          <cell r="W161">
            <v>211.047875</v>
          </cell>
          <cell r="X161">
            <v>114.14825</v>
          </cell>
          <cell r="Y161">
            <v>94.048199999999994</v>
          </cell>
          <cell r="Z161">
            <v>173.33730875000001</v>
          </cell>
          <cell r="AA161">
            <v>287.02573749999993</v>
          </cell>
          <cell r="AB161">
            <v>189.46372500000001</v>
          </cell>
          <cell r="AC161">
            <v>165.44524000000001</v>
          </cell>
          <cell r="AD161">
            <v>264.74341750000002</v>
          </cell>
          <cell r="AE161">
            <v>451.90794375000007</v>
          </cell>
          <cell r="AF161">
            <v>301.49206249999997</v>
          </cell>
          <cell r="AG161">
            <v>273.28405200000003</v>
          </cell>
          <cell r="AH161">
            <v>474.01790944999988</v>
          </cell>
          <cell r="AI161">
            <v>777.42020959999991</v>
          </cell>
          <cell r="AJ161">
            <v>440.1134909543058</v>
          </cell>
          <cell r="AK161">
            <v>354.45306237784212</v>
          </cell>
          <cell r="AL161">
            <v>604.39117865134324</v>
          </cell>
          <cell r="AM161">
            <v>979.15520241588911</v>
          </cell>
          <cell r="AN161">
            <v>548.19902088433446</v>
          </cell>
        </row>
        <row r="162">
          <cell r="I162" t="str">
            <v>y/y Growth - %</v>
          </cell>
          <cell r="M162" t="str">
            <v>NA</v>
          </cell>
          <cell r="N162" t="str">
            <v>NA</v>
          </cell>
          <cell r="O162" t="str">
            <v>NA</v>
          </cell>
          <cell r="P162" t="str">
            <v>NA</v>
          </cell>
          <cell r="Q162">
            <v>1.1119160774313204</v>
          </cell>
          <cell r="R162">
            <v>0.9011574449672779</v>
          </cell>
          <cell r="S162">
            <v>1.0163087954483454</v>
          </cell>
          <cell r="T162">
            <v>1.0612963237003994</v>
          </cell>
          <cell r="U162">
            <v>1.056041603776174</v>
          </cell>
          <cell r="V162">
            <v>0.74526535895648705</v>
          </cell>
          <cell r="W162">
            <v>0.63158744117277577</v>
          </cell>
          <cell r="X162">
            <v>0.17068524339652646</v>
          </cell>
          <cell r="Y162">
            <v>4.2506617049362649E-3</v>
          </cell>
          <cell r="Z162">
            <v>0.13020979038077685</v>
          </cell>
          <cell r="AA162">
            <v>0.36000297325902908</v>
          </cell>
          <cell r="AB162">
            <v>0.65980402678096262</v>
          </cell>
          <cell r="AC162">
            <v>0.75915371054416791</v>
          </cell>
          <cell r="AD162">
            <v>0.52733084071261738</v>
          </cell>
          <cell r="AE162">
            <v>0.57445094536165131</v>
          </cell>
          <cell r="AF162">
            <v>0.59129174991149336</v>
          </cell>
          <cell r="AG162">
            <v>0.65180969848392145</v>
          </cell>
          <cell r="AH162">
            <v>0.79048043545785163</v>
          </cell>
          <cell r="AI162">
            <v>0.72030658091302868</v>
          </cell>
          <cell r="AJ162">
            <v>0.45978466996724277</v>
          </cell>
          <cell r="AK162">
            <v>0.29701334484692898</v>
          </cell>
          <cell r="AL162">
            <v>0.27503869917618662</v>
          </cell>
          <cell r="AM162">
            <v>0.25949285897736862</v>
          </cell>
          <cell r="AN162">
            <v>0.2455855867895913</v>
          </cell>
        </row>
        <row r="164">
          <cell r="I164" t="str">
            <v>Asia</v>
          </cell>
        </row>
        <row r="165">
          <cell r="I165" t="str">
            <v>Agency (Booking.com)</v>
          </cell>
          <cell r="M165">
            <v>0.53249999999999997</v>
          </cell>
          <cell r="N165">
            <v>0.57750000000000001</v>
          </cell>
          <cell r="O165">
            <v>0.54749999999999999</v>
          </cell>
          <cell r="P165">
            <v>0.59699999999999998</v>
          </cell>
          <cell r="Q165">
            <v>1.33125</v>
          </cell>
          <cell r="R165">
            <v>1.4437499999999999</v>
          </cell>
          <cell r="S165">
            <v>1.3687499999999999</v>
          </cell>
          <cell r="T165">
            <v>1.4924999999999999</v>
          </cell>
          <cell r="U165">
            <v>3.0618749999999997</v>
          </cell>
          <cell r="V165">
            <v>3.3206249999999997</v>
          </cell>
          <cell r="W165">
            <v>3.1481249999999994</v>
          </cell>
          <cell r="X165">
            <v>3.4327499999999995</v>
          </cell>
          <cell r="Y165">
            <v>4.8989999999999991</v>
          </cell>
          <cell r="Z165">
            <v>6.0103312499999992</v>
          </cell>
          <cell r="AA165">
            <v>6.6110624999999992</v>
          </cell>
          <cell r="AB165">
            <v>8.5818749999999984</v>
          </cell>
          <cell r="AC165">
            <v>10.777800000000001</v>
          </cell>
          <cell r="AD165">
            <v>12.020662499999998</v>
          </cell>
          <cell r="AE165">
            <v>16.527656249999996</v>
          </cell>
          <cell r="AF165">
            <v>18.021937499999996</v>
          </cell>
          <cell r="AG165">
            <v>24.78894</v>
          </cell>
          <cell r="AH165">
            <v>27.647523749999994</v>
          </cell>
          <cell r="AI165">
            <v>39.666374999999988</v>
          </cell>
          <cell r="AJ165">
            <v>36.863065020043386</v>
          </cell>
          <cell r="AK165">
            <v>43.261572661247847</v>
          </cell>
          <cell r="AL165">
            <v>48.274343733928852</v>
          </cell>
          <cell r="AM165">
            <v>68.565634764921711</v>
          </cell>
          <cell r="AN165">
            <v>63.130825263775208</v>
          </cell>
        </row>
        <row r="166">
          <cell r="I166" t="str">
            <v>y/y Growth - %</v>
          </cell>
          <cell r="M166" t="str">
            <v>NA</v>
          </cell>
          <cell r="N166" t="str">
            <v>NA</v>
          </cell>
          <cell r="O166" t="str">
            <v>NA</v>
          </cell>
          <cell r="P166" t="str">
            <v>NA</v>
          </cell>
          <cell r="Q166">
            <v>1.5</v>
          </cell>
          <cell r="R166">
            <v>1.4999999999999996</v>
          </cell>
          <cell r="S166">
            <v>1.5</v>
          </cell>
          <cell r="T166">
            <v>1.5</v>
          </cell>
          <cell r="U166">
            <v>1.2999999999999998</v>
          </cell>
          <cell r="V166">
            <v>1.2999999999999998</v>
          </cell>
          <cell r="W166">
            <v>1.2999999999999998</v>
          </cell>
          <cell r="X166">
            <v>1.2999999999999998</v>
          </cell>
          <cell r="Y166">
            <v>0.59999999999999987</v>
          </cell>
          <cell r="Z166">
            <v>0.80999999999999983</v>
          </cell>
          <cell r="AA166">
            <v>1.1000000000000001</v>
          </cell>
          <cell r="AB166">
            <v>1.5</v>
          </cell>
          <cell r="AC166">
            <v>1.2000000000000006</v>
          </cell>
          <cell r="AD166">
            <v>1</v>
          </cell>
          <cell r="AE166">
            <v>1.4999999999999996</v>
          </cell>
          <cell r="AF166">
            <v>1.1000000000000001</v>
          </cell>
          <cell r="AG166">
            <v>1.2999999999999998</v>
          </cell>
          <cell r="AH166">
            <v>1.2999999999999998</v>
          </cell>
          <cell r="AI166">
            <v>1.4</v>
          </cell>
          <cell r="AJ166">
            <v>1.0454551581950273</v>
          </cell>
          <cell r="AK166">
            <v>0.74519655383601902</v>
          </cell>
          <cell r="AL166">
            <v>0.74606392132781374</v>
          </cell>
          <cell r="AM166">
            <v>0.72855812422793198</v>
          </cell>
          <cell r="AN166">
            <v>0.7125766734114316</v>
          </cell>
        </row>
        <row r="167">
          <cell r="I167" t="str">
            <v>Merchant (Agoda)</v>
          </cell>
          <cell r="M167">
            <v>0</v>
          </cell>
          <cell r="N167">
            <v>0</v>
          </cell>
          <cell r="O167">
            <v>0</v>
          </cell>
          <cell r="P167">
            <v>0</v>
          </cell>
          <cell r="Q167">
            <v>0</v>
          </cell>
          <cell r="R167">
            <v>0</v>
          </cell>
          <cell r="S167">
            <v>0</v>
          </cell>
          <cell r="T167">
            <v>2.4119999999999999</v>
          </cell>
          <cell r="U167">
            <v>4.4279999999999999</v>
          </cell>
          <cell r="V167">
            <v>4.3559999999999999</v>
          </cell>
          <cell r="W167">
            <v>5.8319999999999999</v>
          </cell>
          <cell r="X167">
            <v>6.75</v>
          </cell>
          <cell r="Y167">
            <v>7.0848000000000013</v>
          </cell>
          <cell r="Z167">
            <v>7.88436</v>
          </cell>
          <cell r="AA167">
            <v>12.247200000000001</v>
          </cell>
          <cell r="AB167">
            <v>16.875</v>
          </cell>
          <cell r="AC167">
            <v>15.586560000000004</v>
          </cell>
          <cell r="AD167">
            <v>15.76872</v>
          </cell>
          <cell r="AE167">
            <v>30.618000000000002</v>
          </cell>
          <cell r="AF167">
            <v>35.4375</v>
          </cell>
          <cell r="AG167">
            <v>35.849088000000009</v>
          </cell>
          <cell r="AH167">
            <v>36.066566799999997</v>
          </cell>
          <cell r="AI167">
            <v>69.273224999999996</v>
          </cell>
          <cell r="AJ167">
            <v>65.398317168536281</v>
          </cell>
          <cell r="AK167">
            <v>58.651136057787738</v>
          </cell>
          <cell r="AL167">
            <v>59.882463219373996</v>
          </cell>
          <cell r="AM167">
            <v>112.53692943337911</v>
          </cell>
          <cell r="AN167">
            <v>104.87391296441982</v>
          </cell>
        </row>
        <row r="168">
          <cell r="I168" t="str">
            <v>y/y Growth - %</v>
          </cell>
          <cell r="M168" t="str">
            <v>NA</v>
          </cell>
          <cell r="N168" t="str">
            <v>NA</v>
          </cell>
          <cell r="O168" t="str">
            <v>NA</v>
          </cell>
          <cell r="P168" t="str">
            <v>NA</v>
          </cell>
          <cell r="Q168" t="str">
            <v>NA</v>
          </cell>
          <cell r="R168" t="str">
            <v>NA</v>
          </cell>
          <cell r="S168" t="str">
            <v>NA</v>
          </cell>
          <cell r="T168" t="str">
            <v>NA</v>
          </cell>
          <cell r="U168" t="str">
            <v>NA</v>
          </cell>
          <cell r="V168" t="str">
            <v>NA</v>
          </cell>
          <cell r="W168" t="str">
            <v>NA</v>
          </cell>
          <cell r="X168">
            <v>1.7985074626865671</v>
          </cell>
          <cell r="Y168">
            <v>0.60000000000000031</v>
          </cell>
          <cell r="Z168">
            <v>0.81</v>
          </cell>
          <cell r="AA168">
            <v>1.1000000000000001</v>
          </cell>
          <cell r="AB168">
            <v>1.5</v>
          </cell>
          <cell r="AC168">
            <v>1.2000000000000002</v>
          </cell>
          <cell r="AD168">
            <v>1</v>
          </cell>
          <cell r="AE168">
            <v>1.5</v>
          </cell>
          <cell r="AF168">
            <v>1.1000000000000001</v>
          </cell>
          <cell r="AG168">
            <v>1.2999999999999998</v>
          </cell>
          <cell r="AH168">
            <v>1.2872222222222218</v>
          </cell>
          <cell r="AI168">
            <v>1.2624999999999997</v>
          </cell>
          <cell r="AJ168">
            <v>0.84545515819502737</v>
          </cell>
          <cell r="AK168">
            <v>0.63605657298137475</v>
          </cell>
          <cell r="AL168">
            <v>0.66033167369215739</v>
          </cell>
          <cell r="AM168">
            <v>0.62453717772456985</v>
          </cell>
          <cell r="AN168">
            <v>0.60361791411470134</v>
          </cell>
        </row>
        <row r="169">
          <cell r="I169" t="str">
            <v>Total Asia Pacific</v>
          </cell>
          <cell r="M169">
            <v>0.53249999999999997</v>
          </cell>
          <cell r="N169">
            <v>0.57750000000000001</v>
          </cell>
          <cell r="O169">
            <v>0.54749999999999999</v>
          </cell>
          <cell r="P169">
            <v>0.59699999999999998</v>
          </cell>
          <cell r="Q169">
            <v>1.33125</v>
          </cell>
          <cell r="R169">
            <v>1.4437499999999999</v>
          </cell>
          <cell r="S169">
            <v>1.3687499999999999</v>
          </cell>
          <cell r="T169">
            <v>3.9044999999999996</v>
          </cell>
          <cell r="U169">
            <v>7.4898749999999996</v>
          </cell>
          <cell r="V169">
            <v>7.6766249999999996</v>
          </cell>
          <cell r="W169">
            <v>8.9801249999999992</v>
          </cell>
          <cell r="X169">
            <v>10.182749999999999</v>
          </cell>
          <cell r="Y169">
            <v>11.9838</v>
          </cell>
          <cell r="Z169">
            <v>13.894691249999999</v>
          </cell>
          <cell r="AA169">
            <v>18.858262500000002</v>
          </cell>
          <cell r="AB169">
            <v>25.456874999999997</v>
          </cell>
          <cell r="AC169">
            <v>26.364360000000005</v>
          </cell>
          <cell r="AD169">
            <v>27.789382499999999</v>
          </cell>
          <cell r="AE169">
            <v>47.145656250000002</v>
          </cell>
          <cell r="AF169">
            <v>53.459437499999993</v>
          </cell>
          <cell r="AG169">
            <v>60.638028000000006</v>
          </cell>
          <cell r="AH169">
            <v>63.714090549999995</v>
          </cell>
          <cell r="AI169">
            <v>108.93959999999998</v>
          </cell>
          <cell r="AJ169">
            <v>102.26138218857966</v>
          </cell>
          <cell r="AK169">
            <v>101.91270871903558</v>
          </cell>
          <cell r="AL169">
            <v>108.15680695330285</v>
          </cell>
          <cell r="AM169">
            <v>181.10256419830083</v>
          </cell>
          <cell r="AN169">
            <v>168.00473822819504</v>
          </cell>
        </row>
        <row r="170">
          <cell r="I170" t="str">
            <v>y/y Growth - %</v>
          </cell>
          <cell r="M170" t="str">
            <v>NA</v>
          </cell>
          <cell r="N170" t="str">
            <v>NA</v>
          </cell>
          <cell r="O170" t="str">
            <v>NA</v>
          </cell>
          <cell r="P170" t="str">
            <v>NA</v>
          </cell>
          <cell r="Q170">
            <v>1.5</v>
          </cell>
          <cell r="R170">
            <v>1.4999999999999996</v>
          </cell>
          <cell r="S170">
            <v>1.5</v>
          </cell>
          <cell r="T170">
            <v>5.5402010050251249</v>
          </cell>
          <cell r="U170">
            <v>4.6261971830985908</v>
          </cell>
          <cell r="V170">
            <v>4.3171428571428576</v>
          </cell>
          <cell r="W170">
            <v>5.5608219178082194</v>
          </cell>
          <cell r="X170">
            <v>1.6079523626584709</v>
          </cell>
          <cell r="Y170">
            <v>0.60000000000000009</v>
          </cell>
          <cell r="Z170">
            <v>0.81</v>
          </cell>
          <cell r="AA170">
            <v>1.1000000000000005</v>
          </cell>
          <cell r="AB170">
            <v>1.5</v>
          </cell>
          <cell r="AC170">
            <v>1.2000000000000002</v>
          </cell>
          <cell r="AD170">
            <v>1</v>
          </cell>
          <cell r="AE170">
            <v>1.5</v>
          </cell>
          <cell r="AF170">
            <v>1.1000000000000001</v>
          </cell>
          <cell r="AG170">
            <v>1.2999999999999998</v>
          </cell>
          <cell r="AH170">
            <v>1.2927494178756942</v>
          </cell>
          <cell r="AI170">
            <v>1.3107028020211295</v>
          </cell>
          <cell r="AJ170">
            <v>0.91287800565764798</v>
          </cell>
          <cell r="AK170">
            <v>0.68067320261528907</v>
          </cell>
          <cell r="AL170">
            <v>0.6975335599968453</v>
          </cell>
          <cell r="AM170">
            <v>0.66241260476723673</v>
          </cell>
          <cell r="AN170">
            <v>0.64289524190449931</v>
          </cell>
        </row>
        <row r="172">
          <cell r="I172" t="str">
            <v>Latin America &amp; RoW</v>
          </cell>
        </row>
        <row r="173">
          <cell r="I173" t="str">
            <v>Agency (Booking.com)</v>
          </cell>
          <cell r="M173">
            <v>0.3</v>
          </cell>
          <cell r="N173">
            <v>0.3</v>
          </cell>
          <cell r="O173">
            <v>0.3</v>
          </cell>
          <cell r="P173">
            <v>0.3</v>
          </cell>
          <cell r="Q173">
            <v>1.02</v>
          </cell>
          <cell r="R173">
            <v>1.08</v>
          </cell>
          <cell r="S173">
            <v>1.08</v>
          </cell>
          <cell r="T173">
            <v>0.98999999999999988</v>
          </cell>
          <cell r="U173">
            <v>3.0599999999999996</v>
          </cell>
          <cell r="V173">
            <v>3.4560000000000004</v>
          </cell>
          <cell r="W173">
            <v>3.6719999999999997</v>
          </cell>
          <cell r="X173">
            <v>3.069</v>
          </cell>
          <cell r="Y173">
            <v>8.5679999999999978</v>
          </cell>
          <cell r="Z173">
            <v>10.368</v>
          </cell>
          <cell r="AA173">
            <v>11.016</v>
          </cell>
          <cell r="AB173">
            <v>7.9794</v>
          </cell>
          <cell r="AC173">
            <v>23.99039999999999</v>
          </cell>
          <cell r="AD173">
            <v>30.0672</v>
          </cell>
          <cell r="AE173">
            <v>31.946399999999997</v>
          </cell>
          <cell r="AF173">
            <v>19.948499999999999</v>
          </cell>
          <cell r="AG173">
            <v>55.177919999999972</v>
          </cell>
          <cell r="AH173">
            <v>75.167999999999992</v>
          </cell>
          <cell r="AI173">
            <v>66.640190400000009</v>
          </cell>
          <cell r="AJ173">
            <v>38.473887091188921</v>
          </cell>
          <cell r="AK173">
            <v>91.103928363631994</v>
          </cell>
          <cell r="AL173">
            <v>125.5329744711008</v>
          </cell>
          <cell r="AM173">
            <v>112.59253551619628</v>
          </cell>
          <cell r="AN173">
            <v>64.876591516426856</v>
          </cell>
        </row>
        <row r="174">
          <cell r="I174" t="str">
            <v>y/y Growth - %</v>
          </cell>
          <cell r="M174" t="str">
            <v>NA</v>
          </cell>
          <cell r="N174" t="str">
            <v>NA</v>
          </cell>
          <cell r="O174" t="str">
            <v>NA</v>
          </cell>
          <cell r="P174" t="str">
            <v>NA</v>
          </cell>
          <cell r="Q174">
            <v>2.4000000000000004</v>
          </cell>
          <cell r="R174">
            <v>2.6000000000000005</v>
          </cell>
          <cell r="S174">
            <v>2.6000000000000005</v>
          </cell>
          <cell r="T174">
            <v>2.2999999999999998</v>
          </cell>
          <cell r="U174">
            <v>1.9999999999999996</v>
          </cell>
          <cell r="V174">
            <v>2.2000000000000002</v>
          </cell>
          <cell r="W174">
            <v>2.3999999999999995</v>
          </cell>
          <cell r="X174">
            <v>2.1000000000000005</v>
          </cell>
          <cell r="Y174">
            <v>1.7999999999999998</v>
          </cell>
          <cell r="Z174">
            <v>1.9999999999999996</v>
          </cell>
          <cell r="AA174">
            <v>2.0000000000000004</v>
          </cell>
          <cell r="AB174">
            <v>1.6</v>
          </cell>
          <cell r="AC174">
            <v>1.7999999999999994</v>
          </cell>
          <cell r="AD174">
            <v>1.9</v>
          </cell>
          <cell r="AE174">
            <v>1.9</v>
          </cell>
          <cell r="AF174">
            <v>1.5</v>
          </cell>
          <cell r="AG174">
            <v>1.2999999999999998</v>
          </cell>
          <cell r="AH174">
            <v>1.4999999999999996</v>
          </cell>
          <cell r="AI174">
            <v>1.0860000000000003</v>
          </cell>
          <cell r="AJ174">
            <v>0.92866065574799728</v>
          </cell>
          <cell r="AK174">
            <v>0.65109392241737352</v>
          </cell>
          <cell r="AL174">
            <v>0.67003212099697751</v>
          </cell>
          <cell r="AM174">
            <v>0.68955903097474147</v>
          </cell>
          <cell r="AN174">
            <v>0.6862499846365806</v>
          </cell>
        </row>
        <row r="176">
          <cell r="I176" t="str">
            <v>Agency Check</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row>
        <row r="177">
          <cell r="I177" t="str">
            <v>Merchant Check</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row>
        <row r="178">
          <cell r="I178" t="str">
            <v>Geography US Check</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row>
        <row r="179">
          <cell r="I179" t="str">
            <v>Geography International Check</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row>
        <row r="181">
          <cell r="I181" t="str">
            <v>Gross bookings by type</v>
          </cell>
        </row>
        <row r="182">
          <cell r="I182" t="str">
            <v>Air</v>
          </cell>
        </row>
        <row r="183">
          <cell r="I183" t="str">
            <v>Airline Tickets Sold</v>
          </cell>
          <cell r="M183">
            <v>0.72799999999999998</v>
          </cell>
          <cell r="N183">
            <v>0.82099999999999995</v>
          </cell>
          <cell r="O183">
            <v>0.66600000000000004</v>
          </cell>
          <cell r="P183">
            <v>0.58799999999999997</v>
          </cell>
          <cell r="Q183">
            <v>0.63900000000000001</v>
          </cell>
          <cell r="R183">
            <v>0.68700000000000006</v>
          </cell>
          <cell r="S183">
            <v>0.81899999999999995</v>
          </cell>
          <cell r="T183">
            <v>0.79</v>
          </cell>
          <cell r="U183">
            <v>1.169</v>
          </cell>
          <cell r="V183">
            <v>1.3620000000000001</v>
          </cell>
          <cell r="W183">
            <v>1.1859999999999999</v>
          </cell>
          <cell r="X183">
            <v>1.135</v>
          </cell>
          <cell r="Y183">
            <v>1.496</v>
          </cell>
          <cell r="Z183">
            <v>1.5509999999999999</v>
          </cell>
          <cell r="AA183">
            <v>1.544</v>
          </cell>
          <cell r="AB183">
            <v>1.3180000000000001</v>
          </cell>
          <cell r="AC183">
            <v>1.538</v>
          </cell>
          <cell r="AD183">
            <v>1.6140000000000001</v>
          </cell>
          <cell r="AE183">
            <v>1.4730000000000001</v>
          </cell>
          <cell r="AF183">
            <v>1.288</v>
          </cell>
          <cell r="AG183">
            <v>1.6</v>
          </cell>
          <cell r="AH183">
            <v>1.732</v>
          </cell>
          <cell r="AI183">
            <v>1.5864210000000001</v>
          </cell>
        </row>
        <row r="184">
          <cell r="I184" t="str">
            <v>y/y Growth - %</v>
          </cell>
          <cell r="M184" t="str">
            <v>NA</v>
          </cell>
          <cell r="N184" t="str">
            <v>NA</v>
          </cell>
          <cell r="O184" t="str">
            <v>NA</v>
          </cell>
          <cell r="P184" t="str">
            <v>NA</v>
          </cell>
          <cell r="Q184">
            <v>-0.12225274725274726</v>
          </cell>
          <cell r="R184">
            <v>-0.16321559074299619</v>
          </cell>
          <cell r="S184">
            <v>0.2297297297297296</v>
          </cell>
          <cell r="T184">
            <v>0.34353741496598644</v>
          </cell>
          <cell r="U184">
            <v>0.82942097026604067</v>
          </cell>
          <cell r="V184">
            <v>0.98253275109170302</v>
          </cell>
          <cell r="W184">
            <v>0.44810744810744807</v>
          </cell>
          <cell r="X184">
            <v>0.43670886075949356</v>
          </cell>
          <cell r="Y184">
            <v>0.27972626176218984</v>
          </cell>
          <cell r="Z184">
            <v>0.1387665198237884</v>
          </cell>
          <cell r="AA184">
            <v>0.30185497470489042</v>
          </cell>
          <cell r="AB184">
            <v>0.16123348017621142</v>
          </cell>
          <cell r="AC184">
            <v>2.8074866310160429E-2</v>
          </cell>
          <cell r="AD184">
            <v>4.0618955512572663E-2</v>
          </cell>
          <cell r="AE184">
            <v>-4.5984455958549164E-2</v>
          </cell>
          <cell r="AF184">
            <v>-2.2761760242792084E-2</v>
          </cell>
          <cell r="AG184">
            <v>4.0312093628088519E-2</v>
          </cell>
          <cell r="AH184">
            <v>7.3110285006195763E-2</v>
          </cell>
          <cell r="AI184">
            <v>7.6999999999999957E-2</v>
          </cell>
        </row>
        <row r="185">
          <cell r="I185" t="str">
            <v>Average Domestic Airfare (ARC)</v>
          </cell>
          <cell r="M185">
            <v>311.92063782953522</v>
          </cell>
          <cell r="N185">
            <v>341.01857367919735</v>
          </cell>
          <cell r="O185">
            <v>317.30508970444583</v>
          </cell>
          <cell r="P185">
            <v>301.63608144100056</v>
          </cell>
          <cell r="Q185">
            <v>322.56233211686407</v>
          </cell>
          <cell r="R185">
            <v>326.44796434618843</v>
          </cell>
          <cell r="S185">
            <v>320.5083908626242</v>
          </cell>
          <cell r="T185">
            <v>320.89448946463301</v>
          </cell>
          <cell r="U185">
            <v>322.95636419101464</v>
          </cell>
          <cell r="V185">
            <v>356.59723287715144</v>
          </cell>
          <cell r="W185">
            <v>350.49185660918198</v>
          </cell>
          <cell r="X185">
            <v>327.68566590718746</v>
          </cell>
          <cell r="Y185">
            <v>294.04241939629168</v>
          </cell>
          <cell r="Z185">
            <v>291.63770003056356</v>
          </cell>
          <cell r="AA185">
            <v>301.61395621072967</v>
          </cell>
          <cell r="AB185">
            <v>312.0655686733574</v>
          </cell>
          <cell r="AC185">
            <v>309.55116796653533</v>
          </cell>
          <cell r="AD185">
            <v>335.47114806799431</v>
          </cell>
          <cell r="AE185">
            <v>317.09226353921798</v>
          </cell>
          <cell r="AF185">
            <v>319.28034424303218</v>
          </cell>
          <cell r="AG185">
            <v>342.09256584613507</v>
          </cell>
          <cell r="AH185">
            <v>349.09257156861554</v>
          </cell>
          <cell r="AI185">
            <v>346.9532358781222</v>
          </cell>
        </row>
        <row r="186">
          <cell r="I186" t="str">
            <v>y/y Growth - %</v>
          </cell>
          <cell r="M186" t="str">
            <v>NA</v>
          </cell>
          <cell r="N186" t="str">
            <v>NA</v>
          </cell>
          <cell r="O186" t="str">
            <v>NA</v>
          </cell>
          <cell r="P186" t="str">
            <v>NA</v>
          </cell>
          <cell r="Q186">
            <v>3.411667262986473E-2</v>
          </cell>
          <cell r="R186">
            <v>-4.2726732376506149E-2</v>
          </cell>
          <cell r="S186">
            <v>1.0095334938251543E-2</v>
          </cell>
          <cell r="T186">
            <v>6.3846499833937642E-2</v>
          </cell>
          <cell r="U186">
            <v>1.2215687788610374E-3</v>
          </cell>
          <cell r="V186">
            <v>9.2355510904612581E-2</v>
          </cell>
          <cell r="W186">
            <v>9.3549706033778213E-2</v>
          </cell>
          <cell r="X186">
            <v>2.1163269129004236E-2</v>
          </cell>
          <cell r="Y186">
            <v>-8.952895189772947E-2</v>
          </cell>
          <cell r="Z186">
            <v>-0.18216499416574716</v>
          </cell>
          <cell r="AA186">
            <v>-0.13945516700821359</v>
          </cell>
          <cell r="AB186">
            <v>-4.7667929540299858E-2</v>
          </cell>
          <cell r="AC186">
            <v>5.2743235489917328E-2</v>
          </cell>
          <cell r="AD186">
            <v>0.15030103458104693</v>
          </cell>
          <cell r="AE186">
            <v>5.1318272943822407E-2</v>
          </cell>
          <cell r="AF186">
            <v>2.3119421986686817E-2</v>
          </cell>
          <cell r="AG186">
            <v>0.10512445516961422</v>
          </cell>
          <cell r="AH186">
            <v>4.060385991185278E-2</v>
          </cell>
          <cell r="AI186">
            <v>9.4171242166591007E-2</v>
          </cell>
        </row>
        <row r="187">
          <cell r="I187" t="str">
            <v>Air Gross Bookings</v>
          </cell>
          <cell r="M187">
            <v>227.07822433990162</v>
          </cell>
          <cell r="N187">
            <v>279.976248990621</v>
          </cell>
          <cell r="O187">
            <v>211.32518974316093</v>
          </cell>
          <cell r="P187">
            <v>177.3620158873083</v>
          </cell>
          <cell r="Q187">
            <v>206.11733022267615</v>
          </cell>
          <cell r="R187">
            <v>224.26975150583147</v>
          </cell>
          <cell r="S187">
            <v>262.49637211648923</v>
          </cell>
          <cell r="T187">
            <v>253.5066466770601</v>
          </cell>
          <cell r="U187">
            <v>377.53598973929616</v>
          </cell>
          <cell r="V187">
            <v>485.68543117868029</v>
          </cell>
          <cell r="W187">
            <v>415.68334193848983</v>
          </cell>
          <cell r="X187">
            <v>371.92323080465775</v>
          </cell>
          <cell r="Y187">
            <v>439.88745941685232</v>
          </cell>
          <cell r="Z187">
            <v>452.33007274740407</v>
          </cell>
          <cell r="AA187">
            <v>465.69194838936664</v>
          </cell>
          <cell r="AB187">
            <v>411.30241951148508</v>
          </cell>
          <cell r="AC187">
            <v>476.08969633253133</v>
          </cell>
          <cell r="AD187">
            <v>541.45043298174289</v>
          </cell>
          <cell r="AE187">
            <v>467.07690419326809</v>
          </cell>
          <cell r="AF187">
            <v>411.23308338502545</v>
          </cell>
          <cell r="AG187">
            <v>547.34810535381609</v>
          </cell>
          <cell r="AH187">
            <v>604.62833395684208</v>
          </cell>
          <cell r="AI187">
            <v>550.41389941500654</v>
          </cell>
        </row>
        <row r="188">
          <cell r="I188" t="str">
            <v>y/y Growth - %</v>
          </cell>
          <cell r="M188" t="str">
            <v>NA</v>
          </cell>
          <cell r="N188" t="str">
            <v>NA</v>
          </cell>
          <cell r="O188" t="str">
            <v>NA</v>
          </cell>
          <cell r="P188" t="str">
            <v>NA</v>
          </cell>
          <cell r="Q188">
            <v>-9.2306931579006046E-2</v>
          </cell>
          <cell r="R188">
            <v>-0.198968654254153</v>
          </cell>
          <cell r="S188">
            <v>0.24214426323487692</v>
          </cell>
          <cell r="T188">
            <v>0.42931757630750167</v>
          </cell>
          <cell r="U188">
            <v>0.83165573380671143</v>
          </cell>
          <cell r="V188">
            <v>1.1656305762039048</v>
          </cell>
          <cell r="W188">
            <v>0.58357747418322448</v>
          </cell>
          <cell r="X188">
            <v>0.4671143170397718</v>
          </cell>
          <cell r="Y188">
            <v>0.16515371083062136</v>
          </cell>
          <cell r="Z188">
            <v>-6.8676876616060145E-2</v>
          </cell>
          <cell r="AA188">
            <v>0.12030457178694642</v>
          </cell>
          <cell r="AB188">
            <v>0.10587988446333463</v>
          </cell>
          <cell r="AC188">
            <v>8.2298861085222663E-2</v>
          </cell>
          <cell r="AD188">
            <v>0.1970250611307609</v>
          </cell>
          <cell r="AE188">
            <v>2.9739741232190919E-3</v>
          </cell>
          <cell r="AF188">
            <v>-1.6857699631811496E-4</v>
          </cell>
          <cell r="AG188">
            <v>0.14967433567710176</v>
          </cell>
          <cell r="AH188">
            <v>0.11668270468855546</v>
          </cell>
          <cell r="AI188">
            <v>0.17842242781341877</v>
          </cell>
        </row>
        <row r="189">
          <cell r="I189" t="str">
            <v>% of total bookings</v>
          </cell>
          <cell r="M189">
            <v>0.30405977381447719</v>
          </cell>
          <cell r="N189">
            <v>0.30191001131247214</v>
          </cell>
          <cell r="O189">
            <v>0.23398214921604946</v>
          </cell>
          <cell r="P189">
            <v>0.23890035948776056</v>
          </cell>
          <cell r="Q189">
            <v>0.20642883132915185</v>
          </cell>
          <cell r="R189">
            <v>0.18160802803265291</v>
          </cell>
          <cell r="S189">
            <v>0.18875356362052978</v>
          </cell>
          <cell r="T189">
            <v>0.21032118702419511</v>
          </cell>
          <cell r="U189">
            <v>0.21467838826261632</v>
          </cell>
          <cell r="V189">
            <v>0.23018648706432585</v>
          </cell>
          <cell r="W189">
            <v>0.20273013471754411</v>
          </cell>
          <cell r="X189">
            <v>0.25111063828665187</v>
          </cell>
          <cell r="Y189">
            <v>0.22632798964019685</v>
          </cell>
          <cell r="Z189">
            <v>0.19012031581806998</v>
          </cell>
          <cell r="AA189">
            <v>0.17103132104767094</v>
          </cell>
          <cell r="AB189">
            <v>0.18163425687229021</v>
          </cell>
          <cell r="AC189">
            <v>0.1605863997249401</v>
          </cell>
          <cell r="AD189">
            <v>0.15877473710529733</v>
          </cell>
          <cell r="AE189">
            <v>0.11659433454649727</v>
          </cell>
          <cell r="AF189">
            <v>0.12595193978101851</v>
          </cell>
          <cell r="AG189">
            <v>0.11733078356994986</v>
          </cell>
          <cell r="AH189">
            <v>0.10460697819322527</v>
          </cell>
          <cell r="AI189">
            <v>8.7967700082308864E-2</v>
          </cell>
        </row>
        <row r="190">
          <cell r="I190" t="str">
            <v>Air Gross Profit</v>
          </cell>
          <cell r="M190">
            <v>10.92</v>
          </cell>
          <cell r="N190">
            <v>12.315</v>
          </cell>
          <cell r="O190">
            <v>9.99</v>
          </cell>
          <cell r="P190">
            <v>8.82</v>
          </cell>
          <cell r="Q190">
            <v>9.5850000000000009</v>
          </cell>
          <cell r="R190">
            <v>10.305000000000001</v>
          </cell>
          <cell r="S190">
            <v>12.285</v>
          </cell>
          <cell r="T190">
            <v>11.850000000000001</v>
          </cell>
          <cell r="U190">
            <v>17.535</v>
          </cell>
          <cell r="V190">
            <v>20.43</v>
          </cell>
          <cell r="W190">
            <v>17.79</v>
          </cell>
          <cell r="X190">
            <v>17.024999999999999</v>
          </cell>
          <cell r="Y190">
            <v>22.44</v>
          </cell>
          <cell r="Z190">
            <v>23.265000000000001</v>
          </cell>
          <cell r="AA190">
            <v>15.440000000000001</v>
          </cell>
          <cell r="AB190">
            <v>13.18</v>
          </cell>
          <cell r="AC190">
            <v>15.38</v>
          </cell>
          <cell r="AD190">
            <v>16.14</v>
          </cell>
          <cell r="AE190">
            <v>14.73</v>
          </cell>
          <cell r="AF190">
            <v>12.88</v>
          </cell>
          <cell r="AG190">
            <v>16</v>
          </cell>
          <cell r="AH190">
            <v>17.32</v>
          </cell>
          <cell r="AI190">
            <v>15.86421</v>
          </cell>
        </row>
        <row r="191">
          <cell r="I191" t="str">
            <v>Gross Profit margin (%)</v>
          </cell>
          <cell r="M191">
            <v>4.8089155319685863E-2</v>
          </cell>
          <cell r="N191">
            <v>4.3985873960374913E-2</v>
          </cell>
          <cell r="O191">
            <v>4.7273115013603359E-2</v>
          </cell>
          <cell r="P191">
            <v>4.9728798784087022E-2</v>
          </cell>
          <cell r="Q191">
            <v>4.6502639975226599E-2</v>
          </cell>
          <cell r="R191">
            <v>4.5949130147103459E-2</v>
          </cell>
          <cell r="S191">
            <v>4.680064680874229E-2</v>
          </cell>
          <cell r="T191">
            <v>4.6744336510811932E-2</v>
          </cell>
          <cell r="U191">
            <v>4.6445903110081309E-2</v>
          </cell>
          <cell r="V191">
            <v>4.206426359221787E-2</v>
          </cell>
          <cell r="W191">
            <v>4.2797000036225774E-2</v>
          </cell>
          <cell r="X191">
            <v>4.5775575683095482E-2</v>
          </cell>
          <cell r="Y191">
            <v>5.1013047813975289E-2</v>
          </cell>
          <cell r="Z191">
            <v>5.1433679522325144E-2</v>
          </cell>
          <cell r="AA191">
            <v>3.3154964463956257E-2</v>
          </cell>
          <cell r="AB191">
            <v>3.2044547697176788E-2</v>
          </cell>
          <cell r="AC191">
            <v>3.2304836921439338E-2</v>
          </cell>
          <cell r="AD191">
            <v>2.9808822778324796E-2</v>
          </cell>
          <cell r="AE191">
            <v>3.1536562539827465E-2</v>
          </cell>
          <cell r="AF191">
            <v>3.1320437290646763E-2</v>
          </cell>
          <cell r="AG191">
            <v>2.9231854177438506E-2</v>
          </cell>
          <cell r="AH191">
            <v>2.8645696913761055E-2</v>
          </cell>
          <cell r="AI191">
            <v>2.8822328100472888E-2</v>
          </cell>
        </row>
        <row r="192">
          <cell r="I192" t="str">
            <v>% of total gross profit</v>
          </cell>
          <cell r="M192">
            <v>0.15118162561780954</v>
          </cell>
          <cell r="N192">
            <v>0.11639446523760917</v>
          </cell>
          <cell r="O192">
            <v>8.085991565962751E-2</v>
          </cell>
          <cell r="P192">
            <v>8.8628073595466109E-2</v>
          </cell>
          <cell r="Q192">
            <v>9.2306358882500814E-2</v>
          </cell>
          <cell r="R192">
            <v>6.652979798957992E-2</v>
          </cell>
          <cell r="S192">
            <v>6.083610648918468E-2</v>
          </cell>
          <cell r="T192">
            <v>7.3992207402967178E-2</v>
          </cell>
          <cell r="U192">
            <v>9.6823354665577038E-2</v>
          </cell>
          <cell r="V192">
            <v>8.0520248300325142E-2</v>
          </cell>
          <cell r="W192">
            <v>5.6283575573118028E-2</v>
          </cell>
          <cell r="X192">
            <v>8.3022456294345695E-2</v>
          </cell>
          <cell r="Y192">
            <v>0.10771372341957473</v>
          </cell>
          <cell r="Z192">
            <v>7.6219212548896256E-2</v>
          </cell>
          <cell r="AA192">
            <v>3.5575545038547852E-2</v>
          </cell>
          <cell r="AB192">
            <v>4.208321492772734E-2</v>
          </cell>
          <cell r="AC192">
            <v>4.8195640456761821E-2</v>
          </cell>
          <cell r="AD192">
            <v>3.6248891084883952E-2</v>
          </cell>
          <cell r="AE192">
            <v>2.2110875608687037E-2</v>
          </cell>
          <cell r="AF192">
            <v>2.6922345337605794E-2</v>
          </cell>
          <cell r="AG192">
            <v>3.1632556226868697E-2</v>
          </cell>
          <cell r="AH192">
            <v>2.3117159418974492E-2</v>
          </cell>
          <cell r="AI192">
            <v>1.4420068936179496E-2</v>
          </cell>
        </row>
        <row r="193">
          <cell r="I193" t="str">
            <v>GDS fees per segment</v>
          </cell>
          <cell r="M193">
            <v>4</v>
          </cell>
          <cell r="N193">
            <v>4</v>
          </cell>
          <cell r="O193">
            <v>4</v>
          </cell>
          <cell r="P193">
            <v>4</v>
          </cell>
          <cell r="Q193">
            <v>4</v>
          </cell>
          <cell r="R193">
            <v>4</v>
          </cell>
          <cell r="S193">
            <v>4</v>
          </cell>
          <cell r="T193">
            <v>4</v>
          </cell>
          <cell r="U193">
            <v>4</v>
          </cell>
          <cell r="V193">
            <v>4</v>
          </cell>
          <cell r="W193">
            <v>4</v>
          </cell>
          <cell r="X193">
            <v>4</v>
          </cell>
          <cell r="Y193">
            <v>4</v>
          </cell>
          <cell r="Z193">
            <v>4</v>
          </cell>
          <cell r="AA193">
            <v>4</v>
          </cell>
          <cell r="AB193">
            <v>4</v>
          </cell>
          <cell r="AC193">
            <v>4</v>
          </cell>
          <cell r="AD193">
            <v>4</v>
          </cell>
          <cell r="AE193">
            <v>4</v>
          </cell>
          <cell r="AF193">
            <v>4</v>
          </cell>
          <cell r="AG193">
            <v>4</v>
          </cell>
          <cell r="AH193">
            <v>4</v>
          </cell>
          <cell r="AI193">
            <v>4</v>
          </cell>
        </row>
        <row r="194">
          <cell r="I194" t="str">
            <v>Average segments</v>
          </cell>
          <cell r="M194">
            <v>2.5</v>
          </cell>
          <cell r="N194">
            <v>2.5</v>
          </cell>
          <cell r="O194">
            <v>2.5</v>
          </cell>
          <cell r="P194">
            <v>2.5</v>
          </cell>
          <cell r="Q194">
            <v>2.5</v>
          </cell>
          <cell r="R194">
            <v>2.5</v>
          </cell>
          <cell r="S194">
            <v>2.5</v>
          </cell>
          <cell r="T194">
            <v>2.5</v>
          </cell>
          <cell r="U194">
            <v>2.5</v>
          </cell>
          <cell r="V194">
            <v>2.5</v>
          </cell>
          <cell r="W194">
            <v>2.5</v>
          </cell>
          <cell r="X194">
            <v>2.5</v>
          </cell>
          <cell r="Y194">
            <v>2.5</v>
          </cell>
          <cell r="Z194">
            <v>2.5</v>
          </cell>
          <cell r="AA194">
            <v>2.5</v>
          </cell>
          <cell r="AB194">
            <v>2.5</v>
          </cell>
          <cell r="AC194">
            <v>2.5</v>
          </cell>
          <cell r="AD194">
            <v>2.5</v>
          </cell>
          <cell r="AE194">
            <v>2.5</v>
          </cell>
          <cell r="AF194">
            <v>2.5</v>
          </cell>
          <cell r="AG194">
            <v>2.5</v>
          </cell>
          <cell r="AH194">
            <v>2.5</v>
          </cell>
          <cell r="AI194">
            <v>2.5</v>
          </cell>
        </row>
        <row r="195">
          <cell r="I195" t="str">
            <v>GDS fees per ticket</v>
          </cell>
          <cell r="M195">
            <v>10</v>
          </cell>
          <cell r="N195">
            <v>10</v>
          </cell>
          <cell r="O195">
            <v>10</v>
          </cell>
          <cell r="P195">
            <v>10</v>
          </cell>
          <cell r="Q195">
            <v>10</v>
          </cell>
          <cell r="R195">
            <v>10</v>
          </cell>
          <cell r="S195">
            <v>10</v>
          </cell>
          <cell r="T195">
            <v>10</v>
          </cell>
          <cell r="U195">
            <v>10</v>
          </cell>
          <cell r="V195">
            <v>10</v>
          </cell>
          <cell r="W195">
            <v>10</v>
          </cell>
          <cell r="X195">
            <v>10</v>
          </cell>
          <cell r="Y195">
            <v>10</v>
          </cell>
          <cell r="Z195">
            <v>10</v>
          </cell>
          <cell r="AA195">
            <v>10</v>
          </cell>
          <cell r="AB195">
            <v>10</v>
          </cell>
          <cell r="AC195">
            <v>10</v>
          </cell>
          <cell r="AD195">
            <v>10</v>
          </cell>
          <cell r="AE195">
            <v>10</v>
          </cell>
          <cell r="AF195">
            <v>10</v>
          </cell>
          <cell r="AG195">
            <v>10</v>
          </cell>
          <cell r="AH195">
            <v>10</v>
          </cell>
          <cell r="AI195">
            <v>10</v>
          </cell>
        </row>
        <row r="196">
          <cell r="I196" t="str">
            <v>OTA fees per ticket</v>
          </cell>
          <cell r="M196">
            <v>5</v>
          </cell>
          <cell r="N196">
            <v>5</v>
          </cell>
          <cell r="O196">
            <v>5</v>
          </cell>
          <cell r="P196">
            <v>5</v>
          </cell>
          <cell r="Q196">
            <v>5</v>
          </cell>
          <cell r="R196">
            <v>5</v>
          </cell>
          <cell r="S196">
            <v>5</v>
          </cell>
          <cell r="T196">
            <v>5</v>
          </cell>
          <cell r="U196">
            <v>5</v>
          </cell>
          <cell r="V196">
            <v>5</v>
          </cell>
          <cell r="W196">
            <v>5</v>
          </cell>
          <cell r="X196">
            <v>5</v>
          </cell>
          <cell r="Y196">
            <v>5</v>
          </cell>
          <cell r="Z196">
            <v>5</v>
          </cell>
          <cell r="AA196">
            <v>0</v>
          </cell>
          <cell r="AB196">
            <v>0</v>
          </cell>
          <cell r="AC196">
            <v>0</v>
          </cell>
          <cell r="AD196">
            <v>0</v>
          </cell>
          <cell r="AE196">
            <v>0</v>
          </cell>
          <cell r="AF196">
            <v>0</v>
          </cell>
          <cell r="AG196">
            <v>0</v>
          </cell>
          <cell r="AH196">
            <v>0</v>
          </cell>
          <cell r="AI196">
            <v>0</v>
          </cell>
        </row>
        <row r="198">
          <cell r="I198" t="str">
            <v>Hotel</v>
          </cell>
        </row>
        <row r="199">
          <cell r="I199" t="str">
            <v>Global Hotel Room Nights</v>
          </cell>
          <cell r="M199">
            <v>4.1529999999999996</v>
          </cell>
          <cell r="N199">
            <v>4.9950000000000001</v>
          </cell>
          <cell r="O199">
            <v>5.2380000000000004</v>
          </cell>
          <cell r="P199">
            <v>4.2649999999999997</v>
          </cell>
          <cell r="Q199">
            <v>5.9550000000000001</v>
          </cell>
          <cell r="R199">
            <v>7.242</v>
          </cell>
          <cell r="S199">
            <v>7.9640000000000004</v>
          </cell>
          <cell r="T199">
            <v>6.6159999999999997</v>
          </cell>
          <cell r="U199">
            <v>9.375</v>
          </cell>
          <cell r="V199">
            <v>10.879</v>
          </cell>
          <cell r="W199">
            <v>11.433999999999999</v>
          </cell>
          <cell r="X199">
            <v>9.1259999999999994</v>
          </cell>
          <cell r="Y199">
            <v>12.785</v>
          </cell>
          <cell r="Z199">
            <v>15.664999999999999</v>
          </cell>
          <cell r="AA199">
            <v>17.869</v>
          </cell>
          <cell r="AB199">
            <v>14.593</v>
          </cell>
          <cell r="AC199">
            <v>20.042000000000002</v>
          </cell>
          <cell r="AD199">
            <v>23.21</v>
          </cell>
          <cell r="AE199">
            <v>27.53</v>
          </cell>
          <cell r="AF199">
            <v>21.98</v>
          </cell>
          <cell r="AG199">
            <v>31.2</v>
          </cell>
          <cell r="AH199">
            <v>36.11</v>
          </cell>
          <cell r="AI199">
            <v>40.579219999999999</v>
          </cell>
        </row>
        <row r="200">
          <cell r="I200" t="str">
            <v>y/y Growth - %</v>
          </cell>
          <cell r="M200" t="str">
            <v>NA</v>
          </cell>
          <cell r="N200" t="str">
            <v>NA</v>
          </cell>
          <cell r="O200" t="str">
            <v>NA</v>
          </cell>
          <cell r="P200" t="str">
            <v>NA</v>
          </cell>
          <cell r="Q200">
            <v>0.43390320250421399</v>
          </cell>
          <cell r="R200">
            <v>0.44984984984984977</v>
          </cell>
          <cell r="S200">
            <v>0.52042764413898435</v>
          </cell>
          <cell r="T200">
            <v>0.55123094958968344</v>
          </cell>
          <cell r="U200">
            <v>0.5743073047858942</v>
          </cell>
          <cell r="V200">
            <v>0.50220933443800053</v>
          </cell>
          <cell r="W200">
            <v>0.43571069814163721</v>
          </cell>
          <cell r="X200">
            <v>0.37938331318016938</v>
          </cell>
          <cell r="Y200">
            <v>0.36373333333333324</v>
          </cell>
          <cell r="Z200">
            <v>0.43993014063792635</v>
          </cell>
          <cell r="AA200">
            <v>0.56279517229316078</v>
          </cell>
          <cell r="AB200">
            <v>0.59905763751917607</v>
          </cell>
          <cell r="AC200">
            <v>0.56761830269847491</v>
          </cell>
          <cell r="AD200">
            <v>0.48164698372167258</v>
          </cell>
          <cell r="AE200">
            <v>0.54065700374951042</v>
          </cell>
          <cell r="AF200">
            <v>0.50620160350853149</v>
          </cell>
          <cell r="AG200">
            <v>0.55673086518311532</v>
          </cell>
          <cell r="AH200">
            <v>0.55579491598448927</v>
          </cell>
          <cell r="AI200">
            <v>0.47399999999999998</v>
          </cell>
        </row>
        <row r="202">
          <cell r="I202" t="str">
            <v>Car</v>
          </cell>
        </row>
        <row r="203">
          <cell r="I203" t="str">
            <v>Rental Car Days</v>
          </cell>
          <cell r="M203">
            <v>1.621</v>
          </cell>
          <cell r="N203">
            <v>2</v>
          </cell>
          <cell r="O203">
            <v>2.044</v>
          </cell>
          <cell r="P203">
            <v>1.7889999999999999</v>
          </cell>
          <cell r="Q203">
            <v>2.0030000000000001</v>
          </cell>
          <cell r="R203">
            <v>2.278</v>
          </cell>
          <cell r="S203">
            <v>2.3380000000000001</v>
          </cell>
          <cell r="T203">
            <v>2.0019999999999998</v>
          </cell>
          <cell r="U203">
            <v>2.6120000000000001</v>
          </cell>
          <cell r="V203">
            <v>2.8149999999999999</v>
          </cell>
          <cell r="W203">
            <v>2.3330000000000002</v>
          </cell>
          <cell r="X203">
            <v>2.2240000000000002</v>
          </cell>
          <cell r="Y203">
            <v>3.0139999999999998</v>
          </cell>
          <cell r="Z203">
            <v>3.2370000000000001</v>
          </cell>
          <cell r="AA203">
            <v>2.6040000000000001</v>
          </cell>
          <cell r="AB203">
            <v>2.37</v>
          </cell>
          <cell r="AC203">
            <v>2.9860000000000002</v>
          </cell>
          <cell r="AD203">
            <v>4.2720000000000002</v>
          </cell>
          <cell r="AE203">
            <v>5.1369999999999996</v>
          </cell>
          <cell r="AF203">
            <v>3.92</v>
          </cell>
          <cell r="AG203">
            <v>4.9000000000000004</v>
          </cell>
          <cell r="AH203">
            <v>6.6050000000000004</v>
          </cell>
          <cell r="AI203">
            <v>6.9657719999999985</v>
          </cell>
        </row>
        <row r="204">
          <cell r="I204" t="str">
            <v>y/y Growth - %</v>
          </cell>
          <cell r="M204" t="str">
            <v>NA</v>
          </cell>
          <cell r="N204" t="str">
            <v>NA</v>
          </cell>
          <cell r="O204" t="str">
            <v>NA</v>
          </cell>
          <cell r="P204" t="str">
            <v>NA</v>
          </cell>
          <cell r="Q204">
            <v>0.23565700185070959</v>
          </cell>
          <cell r="R204">
            <v>0.13900000000000001</v>
          </cell>
          <cell r="S204">
            <v>0.14383561643835607</v>
          </cell>
          <cell r="T204">
            <v>0.1190609278926773</v>
          </cell>
          <cell r="U204">
            <v>0.30404393409885166</v>
          </cell>
          <cell r="V204">
            <v>0.23573309920983321</v>
          </cell>
          <cell r="W204">
            <v>-2.1385799828913532E-3</v>
          </cell>
          <cell r="X204">
            <v>0.11088911088911102</v>
          </cell>
          <cell r="Y204">
            <v>0.15390505359877471</v>
          </cell>
          <cell r="Z204">
            <v>0.14991119005328613</v>
          </cell>
          <cell r="AA204">
            <v>0.1161594513501929</v>
          </cell>
          <cell r="AB204">
            <v>6.5647482014388414E-2</v>
          </cell>
          <cell r="AC204">
            <v>-9.2899800928996079E-3</v>
          </cell>
          <cell r="AD204">
            <v>0.31974050046339197</v>
          </cell>
          <cell r="AE204">
            <v>0.97273425499231925</v>
          </cell>
          <cell r="AF204">
            <v>0.65400843881856541</v>
          </cell>
          <cell r="AG204">
            <v>0.64099129269926314</v>
          </cell>
          <cell r="AH204">
            <v>0.54611423220973787</v>
          </cell>
          <cell r="AI204">
            <v>0.35599999999999987</v>
          </cell>
        </row>
        <row r="206">
          <cell r="I206" t="str">
            <v>Air Check</v>
          </cell>
          <cell r="M206" t="str">
            <v>YES</v>
          </cell>
          <cell r="N206" t="str">
            <v>YES</v>
          </cell>
          <cell r="O206" t="str">
            <v>YES</v>
          </cell>
          <cell r="P206" t="str">
            <v>YES</v>
          </cell>
          <cell r="Q206" t="str">
            <v>YES</v>
          </cell>
          <cell r="R206" t="str">
            <v>YES</v>
          </cell>
          <cell r="S206" t="str">
            <v>YES</v>
          </cell>
          <cell r="T206" t="str">
            <v>YES</v>
          </cell>
          <cell r="U206" t="str">
            <v>YES</v>
          </cell>
          <cell r="V206" t="str">
            <v>YES</v>
          </cell>
          <cell r="W206" t="str">
            <v>YES</v>
          </cell>
          <cell r="X206" t="str">
            <v>YES</v>
          </cell>
          <cell r="Y206" t="str">
            <v>YES</v>
          </cell>
          <cell r="Z206" t="str">
            <v>YES</v>
          </cell>
          <cell r="AA206" t="str">
            <v>YES</v>
          </cell>
          <cell r="AB206" t="str">
            <v>YES</v>
          </cell>
          <cell r="AC206" t="str">
            <v>YES</v>
          </cell>
          <cell r="AD206" t="str">
            <v>YES</v>
          </cell>
          <cell r="AE206" t="str">
            <v>YES</v>
          </cell>
          <cell r="AF206" t="str">
            <v>YES</v>
          </cell>
          <cell r="AG206" t="str">
            <v>YES</v>
          </cell>
          <cell r="AH206" t="str">
            <v>YES</v>
          </cell>
          <cell r="AI206" t="str">
            <v>YES</v>
          </cell>
        </row>
        <row r="207">
          <cell r="I207" t="str">
            <v>Air Check</v>
          </cell>
          <cell r="M207" t="str">
            <v>YES</v>
          </cell>
          <cell r="N207" t="str">
            <v>YES</v>
          </cell>
          <cell r="O207" t="str">
            <v>YES</v>
          </cell>
          <cell r="P207" t="str">
            <v>YES</v>
          </cell>
          <cell r="Q207" t="str">
            <v>YES</v>
          </cell>
          <cell r="R207" t="str">
            <v>YES</v>
          </cell>
          <cell r="S207" t="str">
            <v>YES</v>
          </cell>
          <cell r="T207" t="str">
            <v>YES</v>
          </cell>
          <cell r="U207" t="str">
            <v>YES</v>
          </cell>
          <cell r="V207" t="str">
            <v>YES</v>
          </cell>
          <cell r="W207" t="str">
            <v>YES</v>
          </cell>
          <cell r="X207" t="str">
            <v>YES</v>
          </cell>
          <cell r="Y207" t="str">
            <v>YES</v>
          </cell>
          <cell r="Z207" t="str">
            <v>YES</v>
          </cell>
          <cell r="AA207" t="str">
            <v>YES</v>
          </cell>
          <cell r="AB207" t="str">
            <v>YES</v>
          </cell>
          <cell r="AC207" t="str">
            <v>YES</v>
          </cell>
          <cell r="AD207" t="str">
            <v>YES</v>
          </cell>
          <cell r="AE207" t="str">
            <v>YES</v>
          </cell>
          <cell r="AF207" t="str">
            <v>YES</v>
          </cell>
          <cell r="AG207" t="str">
            <v>YES</v>
          </cell>
          <cell r="AH207" t="str">
            <v>YES</v>
          </cell>
          <cell r="AI207" t="str">
            <v>YES</v>
          </cell>
        </row>
        <row r="209">
          <cell r="I209" t="str">
            <v>Gross bookings by Geography</v>
          </cell>
        </row>
        <row r="210">
          <cell r="I210" t="str">
            <v>US</v>
          </cell>
          <cell r="M210">
            <v>474.00699999999989</v>
          </cell>
          <cell r="N210">
            <v>570.75699999999983</v>
          </cell>
          <cell r="O210">
            <v>504.7519999999999</v>
          </cell>
          <cell r="P210">
            <v>423.27399999999994</v>
          </cell>
          <cell r="Q210">
            <v>478.81200000000001</v>
          </cell>
          <cell r="R210">
            <v>547.78700000000003</v>
          </cell>
          <cell r="S210">
            <v>602.20500000000004</v>
          </cell>
          <cell r="T210">
            <v>525.57099999999991</v>
          </cell>
          <cell r="U210">
            <v>720.96799999999985</v>
          </cell>
          <cell r="V210">
            <v>872.28400000000011</v>
          </cell>
          <cell r="W210">
            <v>799.42700000000013</v>
          </cell>
          <cell r="X210">
            <v>689.11299999999983</v>
          </cell>
          <cell r="Y210">
            <v>851.58399999999983</v>
          </cell>
          <cell r="Z210">
            <v>964.17799999999988</v>
          </cell>
          <cell r="AA210">
            <v>998.846</v>
          </cell>
          <cell r="AB210">
            <v>831.45400000000018</v>
          </cell>
          <cell r="AC210">
            <v>989.69500000000005</v>
          </cell>
          <cell r="AD210">
            <v>1154.18</v>
          </cell>
          <cell r="AE210">
            <v>1121</v>
          </cell>
          <cell r="AF210">
            <v>902</v>
          </cell>
          <cell r="AG210">
            <v>1129</v>
          </cell>
          <cell r="AH210">
            <v>1308</v>
          </cell>
          <cell r="AI210">
            <v>1268</v>
          </cell>
          <cell r="AJ210">
            <v>1018.7474999999999</v>
          </cell>
          <cell r="AK210">
            <v>1257.110312</v>
          </cell>
          <cell r="AL210">
            <v>1474.399136</v>
          </cell>
          <cell r="AM210">
            <v>1434.9668000000001</v>
          </cell>
          <cell r="AN210">
            <v>1142.3379</v>
          </cell>
        </row>
        <row r="211">
          <cell r="I211" t="str">
            <v>y/y Growth - %</v>
          </cell>
          <cell r="M211" t="str">
            <v>NA</v>
          </cell>
          <cell r="N211" t="str">
            <v>NA</v>
          </cell>
          <cell r="O211" t="str">
            <v>NA</v>
          </cell>
          <cell r="P211" t="str">
            <v>NA</v>
          </cell>
          <cell r="Q211">
            <v>1.0136981099435394E-2</v>
          </cell>
          <cell r="R211">
            <v>-4.0244797698494872E-2</v>
          </cell>
          <cell r="S211">
            <v>0.19307105271499703</v>
          </cell>
          <cell r="T211">
            <v>0.24168032999900779</v>
          </cell>
          <cell r="U211">
            <v>0.50574338153596776</v>
          </cell>
          <cell r="V211">
            <v>0.5923780593551875</v>
          </cell>
          <cell r="W211">
            <v>0.32749977167243727</v>
          </cell>
          <cell r="X211">
            <v>0.31117013686067141</v>
          </cell>
          <cell r="Y211">
            <v>0.1811675414165399</v>
          </cell>
          <cell r="Z211">
            <v>0.10534871670235813</v>
          </cell>
          <cell r="AA211">
            <v>0.24945242029603687</v>
          </cell>
          <cell r="AB211">
            <v>0.20655683465556507</v>
          </cell>
          <cell r="AC211">
            <v>0.16218129978956886</v>
          </cell>
          <cell r="AD211">
            <v>0.19706112356846983</v>
          </cell>
          <cell r="AE211">
            <v>0.12229512857837954</v>
          </cell>
          <cell r="AF211">
            <v>8.4846545930381989E-2</v>
          </cell>
          <cell r="AG211">
            <v>0.14075548527576665</v>
          </cell>
          <cell r="AH211">
            <v>0.13327210660382249</v>
          </cell>
          <cell r="AI211">
            <v>0.13113291703835861</v>
          </cell>
          <cell r="AJ211">
            <v>0.12943181818181815</v>
          </cell>
          <cell r="AK211">
            <v>0.11347237555358736</v>
          </cell>
          <cell r="AL211">
            <v>0.12721646483180438</v>
          </cell>
          <cell r="AM211">
            <v>0.13167728706624615</v>
          </cell>
          <cell r="AN211">
            <v>0.12131602776939343</v>
          </cell>
        </row>
        <row r="212">
          <cell r="I212" t="str">
            <v>% of total gross bookings</v>
          </cell>
          <cell r="M212">
            <v>0.6346996134281172</v>
          </cell>
          <cell r="N212">
            <v>0.61547096565482273</v>
          </cell>
          <cell r="O212">
            <v>0.55886833900226751</v>
          </cell>
          <cell r="P212">
            <v>0.57013510055090844</v>
          </cell>
          <cell r="Q212">
            <v>0.47953561924944743</v>
          </cell>
          <cell r="R212">
            <v>0.44358419351677975</v>
          </cell>
          <cell r="S212">
            <v>0.43302823145173991</v>
          </cell>
          <cell r="T212">
            <v>0.4360387312696678</v>
          </cell>
          <cell r="U212">
            <v>0.40996422178399777</v>
          </cell>
          <cell r="V212">
            <v>0.4134115968748297</v>
          </cell>
          <cell r="W212">
            <v>0.38988318043022263</v>
          </cell>
          <cell r="X212">
            <v>0.46526699853421039</v>
          </cell>
          <cell r="Y212">
            <v>0.43815137395656678</v>
          </cell>
          <cell r="Z212">
            <v>0.40525677355792628</v>
          </cell>
          <cell r="AA212">
            <v>0.36683896188032666</v>
          </cell>
          <cell r="AB212">
            <v>0.36717637010952758</v>
          </cell>
          <cell r="AC212">
            <v>0.33382691980119372</v>
          </cell>
          <cell r="AD212">
            <v>0.33845134274437128</v>
          </cell>
          <cell r="AE212">
            <v>0.27983025461807287</v>
          </cell>
          <cell r="AF212">
            <v>0.27626339969372127</v>
          </cell>
          <cell r="AG212">
            <v>0.24201500535905682</v>
          </cell>
          <cell r="AH212">
            <v>0.22629757785467128</v>
          </cell>
          <cell r="AI212">
            <v>0.20265302860795908</v>
          </cell>
          <cell r="AJ212">
            <v>0.21876146408590907</v>
          </cell>
          <cell r="AK212">
            <v>0.20667116334702995</v>
          </cell>
          <cell r="AL212">
            <v>0.19539604333413688</v>
          </cell>
          <cell r="AM212">
            <v>0.17221206260421806</v>
          </cell>
          <cell r="AN212">
            <v>0.18733727849726181</v>
          </cell>
        </row>
        <row r="213">
          <cell r="I213" t="str">
            <v>International</v>
          </cell>
          <cell r="M213">
            <v>272.81400000000002</v>
          </cell>
          <cell r="N213">
            <v>356.59300000000002</v>
          </cell>
          <cell r="O213">
            <v>398.416</v>
          </cell>
          <cell r="P213">
            <v>319.13600000000002</v>
          </cell>
          <cell r="Q213">
            <v>519.67899999999997</v>
          </cell>
          <cell r="R213">
            <v>687.12400000000002</v>
          </cell>
          <cell r="S213">
            <v>788.47799999999995</v>
          </cell>
          <cell r="T213">
            <v>679.76</v>
          </cell>
          <cell r="U213">
            <v>1037.644</v>
          </cell>
          <cell r="V213">
            <v>1237.681</v>
          </cell>
          <cell r="W213">
            <v>1251</v>
          </cell>
          <cell r="X213">
            <v>792</v>
          </cell>
          <cell r="Y213">
            <v>1092</v>
          </cell>
          <cell r="Z213">
            <v>1415</v>
          </cell>
          <cell r="AA213">
            <v>1724</v>
          </cell>
          <cell r="AB213">
            <v>1433</v>
          </cell>
          <cell r="AC213">
            <v>1975</v>
          </cell>
          <cell r="AD213">
            <v>2256</v>
          </cell>
          <cell r="AE213">
            <v>2885</v>
          </cell>
          <cell r="AF213">
            <v>2363</v>
          </cell>
          <cell r="AG213">
            <v>3536</v>
          </cell>
          <cell r="AH213">
            <v>4472</v>
          </cell>
          <cell r="AI213">
            <v>4989</v>
          </cell>
          <cell r="AJ213">
            <v>3638.1398739112074</v>
          </cell>
          <cell r="AK213">
            <v>4825.5491729574405</v>
          </cell>
          <cell r="AL213">
            <v>6071.2968302110694</v>
          </cell>
          <cell r="AM213">
            <v>6897.5900389357012</v>
          </cell>
          <cell r="AN213">
            <v>4955.4228295426619</v>
          </cell>
        </row>
        <row r="214">
          <cell r="I214" t="str">
            <v>y/y Growth - %</v>
          </cell>
          <cell r="M214" t="str">
            <v>NA</v>
          </cell>
          <cell r="N214" t="str">
            <v>NA</v>
          </cell>
          <cell r="O214" t="str">
            <v>NA</v>
          </cell>
          <cell r="P214" t="str">
            <v>NA</v>
          </cell>
          <cell r="Q214">
            <v>0.90488391358214737</v>
          </cell>
          <cell r="R214">
            <v>0.92691387660442004</v>
          </cell>
          <cell r="S214">
            <v>0.97903196658768721</v>
          </cell>
          <cell r="T214">
            <v>1.1300010027073095</v>
          </cell>
          <cell r="U214">
            <v>0.99670181015588488</v>
          </cell>
          <cell r="V214">
            <v>0.80124839184775953</v>
          </cell>
          <cell r="W214">
            <v>0.58660102120794755</v>
          </cell>
          <cell r="X214">
            <v>0.16511710015299519</v>
          </cell>
          <cell r="Y214">
            <v>5.2384054646873013E-2</v>
          </cell>
          <cell r="Z214">
            <v>0.14326712618194826</v>
          </cell>
          <cell r="AA214">
            <v>0.37809752198241409</v>
          </cell>
          <cell r="AB214">
            <v>0.80934343434343425</v>
          </cell>
          <cell r="AC214">
            <v>0.80860805860805862</v>
          </cell>
          <cell r="AD214">
            <v>0.59434628975265014</v>
          </cell>
          <cell r="AE214">
            <v>0.67343387470997684</v>
          </cell>
          <cell r="AF214">
            <v>0.64898813677599443</v>
          </cell>
          <cell r="AG214">
            <v>0.79037974683544299</v>
          </cell>
          <cell r="AH214">
            <v>0.98226950354609932</v>
          </cell>
          <cell r="AI214">
            <v>0.72928942807625652</v>
          </cell>
          <cell r="AJ214">
            <v>0.5396275386843874</v>
          </cell>
          <cell r="AK214">
            <v>0.36469150818932139</v>
          </cell>
          <cell r="AL214">
            <v>0.35762451480569535</v>
          </cell>
          <cell r="AM214">
            <v>0.38255963899292467</v>
          </cell>
          <cell r="AN214">
            <v>0.36207595125123659</v>
          </cell>
        </row>
        <row r="215">
          <cell r="I215" t="str">
            <v>(+/-) FX y/y Growth - %</v>
          </cell>
          <cell r="M215" t="str">
            <v>NA</v>
          </cell>
          <cell r="N215" t="str">
            <v>NA</v>
          </cell>
          <cell r="O215" t="str">
            <v>NA</v>
          </cell>
          <cell r="P215" t="str">
            <v>NA</v>
          </cell>
          <cell r="Q215">
            <v>-0.15988391358214737</v>
          </cell>
          <cell r="R215">
            <v>-0.13091387660442011</v>
          </cell>
          <cell r="S215">
            <v>-0.14503196658768713</v>
          </cell>
          <cell r="T215">
            <v>-0.2310010027073095</v>
          </cell>
          <cell r="U215">
            <v>-0.24670181015588488</v>
          </cell>
          <cell r="V215">
            <v>-0.24324839184775959</v>
          </cell>
          <cell r="W215">
            <v>-0.13960102120794754</v>
          </cell>
          <cell r="X215">
            <v>0.11088289984700483</v>
          </cell>
          <cell r="Y215">
            <v>0.18261594535312697</v>
          </cell>
          <cell r="Z215">
            <v>0.18073287381805175</v>
          </cell>
          <cell r="AA215">
            <v>0.1069024780175859</v>
          </cell>
          <cell r="AB215">
            <v>-0.1143434343434343</v>
          </cell>
          <cell r="AC215">
            <v>-8.0608058608058641E-2</v>
          </cell>
          <cell r="AD215">
            <v>7.6653710247349793E-2</v>
          </cell>
          <cell r="AE215">
            <v>0.10656612529002318</v>
          </cell>
          <cell r="AF215">
            <v>5.8011863224005644E-2</v>
          </cell>
          <cell r="AG215">
            <v>-9.3797468354430702E-3</v>
          </cell>
          <cell r="AH215">
            <v>-0.19726950354609929</v>
          </cell>
          <cell r="AI215">
            <v>-0.11528942807625653</v>
          </cell>
          <cell r="AJ215">
            <v>-1.2417144762863358E-4</v>
          </cell>
          <cell r="AK215">
            <v>3.3507377749523511E-2</v>
          </cell>
          <cell r="AL215">
            <v>7.4083004420289852E-2</v>
          </cell>
          <cell r="AM215">
            <v>6.0954683862856254E-2</v>
          </cell>
          <cell r="AN215">
            <v>2.1239199182098902E-2</v>
          </cell>
        </row>
        <row r="216">
          <cell r="I216" t="str">
            <v>Organic y/y Growth - %</v>
          </cell>
          <cell r="M216">
            <v>3.1379999999999999</v>
          </cell>
          <cell r="N216">
            <v>3.6150000000000002</v>
          </cell>
          <cell r="O216">
            <v>1.3180000000000001</v>
          </cell>
          <cell r="P216">
            <v>0.86299999999999999</v>
          </cell>
          <cell r="Q216">
            <v>0.745</v>
          </cell>
          <cell r="R216">
            <v>0.79599999999999993</v>
          </cell>
          <cell r="S216">
            <v>0.83400000000000007</v>
          </cell>
          <cell r="T216">
            <v>0.89900000000000002</v>
          </cell>
          <cell r="U216">
            <v>0.75</v>
          </cell>
          <cell r="V216">
            <v>0.55799999999999994</v>
          </cell>
          <cell r="W216">
            <v>0.44700000000000001</v>
          </cell>
          <cell r="X216">
            <v>0.27600000000000002</v>
          </cell>
          <cell r="Y216">
            <v>0.23499999999999999</v>
          </cell>
          <cell r="Z216">
            <v>0.32400000000000001</v>
          </cell>
          <cell r="AA216">
            <v>0.48499999999999999</v>
          </cell>
          <cell r="AB216">
            <v>0.69499999999999995</v>
          </cell>
          <cell r="AC216">
            <v>0.72799999999999998</v>
          </cell>
          <cell r="AD216">
            <v>0.67099999999999993</v>
          </cell>
          <cell r="AE216">
            <v>0.78</v>
          </cell>
          <cell r="AF216">
            <v>0.70700000000000007</v>
          </cell>
          <cell r="AG216">
            <v>0.78099999999999992</v>
          </cell>
          <cell r="AH216">
            <v>0.78500000000000003</v>
          </cell>
          <cell r="AI216">
            <v>0.61399999999999999</v>
          </cell>
          <cell r="AJ216">
            <v>0.53950336723675874</v>
          </cell>
          <cell r="AK216">
            <v>0.39819888593884489</v>
          </cell>
          <cell r="AL216">
            <v>0.43170751922598521</v>
          </cell>
          <cell r="AM216">
            <v>0.44351432285578091</v>
          </cell>
          <cell r="AN216">
            <v>0.38331515043333547</v>
          </cell>
        </row>
        <row r="217">
          <cell r="I217" t="str">
            <v>% of total gross bookings</v>
          </cell>
          <cell r="M217">
            <v>0.36530038657188274</v>
          </cell>
          <cell r="N217">
            <v>0.38452903434517716</v>
          </cell>
          <cell r="O217">
            <v>0.44113166099773249</v>
          </cell>
          <cell r="P217">
            <v>0.42986489944909151</v>
          </cell>
          <cell r="Q217">
            <v>0.52046438075055257</v>
          </cell>
          <cell r="R217">
            <v>0.5564158064832202</v>
          </cell>
          <cell r="S217">
            <v>0.56697176854826004</v>
          </cell>
          <cell r="T217">
            <v>0.56396126873033225</v>
          </cell>
          <cell r="U217">
            <v>0.59003577821600217</v>
          </cell>
          <cell r="V217">
            <v>0.58658840312517035</v>
          </cell>
          <cell r="W217">
            <v>0.61011681956977737</v>
          </cell>
          <cell r="X217">
            <v>0.53473300146578961</v>
          </cell>
          <cell r="Y217">
            <v>0.56184862604343322</v>
          </cell>
          <cell r="Z217">
            <v>0.59474322644207367</v>
          </cell>
          <cell r="AA217">
            <v>0.63316103811967328</v>
          </cell>
          <cell r="AB217">
            <v>0.63282362989047247</v>
          </cell>
          <cell r="AC217">
            <v>0.66617308019880628</v>
          </cell>
          <cell r="AD217">
            <v>0.66154865725562872</v>
          </cell>
          <cell r="AE217">
            <v>0.72016974538192713</v>
          </cell>
          <cell r="AF217">
            <v>0.72373660030627873</v>
          </cell>
          <cell r="AG217">
            <v>0.75798499464094315</v>
          </cell>
          <cell r="AH217">
            <v>0.77370242214532869</v>
          </cell>
          <cell r="AI217">
            <v>0.79734697139204092</v>
          </cell>
          <cell r="AJ217">
            <v>0.78123853591409098</v>
          </cell>
          <cell r="AK217">
            <v>0.79332883665297027</v>
          </cell>
          <cell r="AL217">
            <v>0.80460395666586315</v>
          </cell>
          <cell r="AM217">
            <v>0.82778793739578216</v>
          </cell>
          <cell r="AN217">
            <v>0.81266272150273822</v>
          </cell>
        </row>
        <row r="218">
          <cell r="I218" t="str">
            <v>Total Check</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row>
        <row r="220">
          <cell r="I220" t="str">
            <v>Company Guidance - US Bookings Y/Y</v>
          </cell>
          <cell r="AC220" t="str">
            <v>10-15%</v>
          </cell>
          <cell r="AD220" t="str">
            <v>15-20%</v>
          </cell>
          <cell r="AE220">
            <v>0.13</v>
          </cell>
          <cell r="AF220" t="str">
            <v>5-10%</v>
          </cell>
          <cell r="AG220" t="str">
            <v>7-12%</v>
          </cell>
          <cell r="AH220" t="str">
            <v>8-13%</v>
          </cell>
          <cell r="AI220" t="str">
            <v>8-13%</v>
          </cell>
          <cell r="AJ220">
            <v>0.13</v>
          </cell>
        </row>
        <row r="221">
          <cell r="I221" t="str">
            <v>Company Guidance - International Bookings Y/Y</v>
          </cell>
          <cell r="AC221" t="str">
            <v>65-73%</v>
          </cell>
          <cell r="AD221" t="str">
            <v>45-50%</v>
          </cell>
          <cell r="AE221" t="str">
            <v>46-51%</v>
          </cell>
          <cell r="AF221" t="str">
            <v>54-59%</v>
          </cell>
          <cell r="AG221" t="str">
            <v>64-69%</v>
          </cell>
          <cell r="AH221" t="str">
            <v>76-81%</v>
          </cell>
          <cell r="AI221" t="str">
            <v>62-67%</v>
          </cell>
          <cell r="AJ221" t="str">
            <v>50-55%</v>
          </cell>
        </row>
        <row r="222">
          <cell r="I222" t="str">
            <v xml:space="preserve">Company Guidance - International Bookings ex F/X Y/Y </v>
          </cell>
          <cell r="AC222" t="str">
            <v>56-64%</v>
          </cell>
          <cell r="AD222" t="str">
            <v>55-60%</v>
          </cell>
          <cell r="AE222" t="str">
            <v>57.5-62.5%</v>
          </cell>
          <cell r="AF222" t="str">
            <v>58-63%</v>
          </cell>
          <cell r="AG222" t="str">
            <v>66-71%</v>
          </cell>
          <cell r="AH222" t="str">
            <v>53-58%</v>
          </cell>
          <cell r="AI222" t="str">
            <v>49-54%</v>
          </cell>
          <cell r="AJ222" t="str">
            <v>49-54%</v>
          </cell>
        </row>
        <row r="224">
          <cell r="I224" t="str">
            <v>Exchange Rates</v>
          </cell>
        </row>
        <row r="225">
          <cell r="I225" t="str">
            <v>EUR / USD Exchange Rate</v>
          </cell>
          <cell r="M225">
            <v>1.2028896612903226</v>
          </cell>
          <cell r="N225">
            <v>1.2582159206349206</v>
          </cell>
          <cell r="O225">
            <v>1.2740698412698412</v>
          </cell>
          <cell r="P225">
            <v>1.2892777936507938</v>
          </cell>
          <cell r="Q225">
            <v>1.3104360655737701</v>
          </cell>
          <cell r="R225">
            <v>1.3486722222222223</v>
          </cell>
          <cell r="S225">
            <v>1.3748341269841271</v>
          </cell>
          <cell r="T225">
            <v>1.4475453125000004</v>
          </cell>
          <cell r="U225">
            <v>1.4999024590163936</v>
          </cell>
          <cell r="V225">
            <v>1.5620843750000004</v>
          </cell>
          <cell r="W225">
            <v>1.5034601562500003</v>
          </cell>
          <cell r="X225">
            <v>1.3196531250000001</v>
          </cell>
          <cell r="Y225">
            <v>1.3028999999999999</v>
          </cell>
          <cell r="Z225">
            <v>1.3616999999999999</v>
          </cell>
          <cell r="AA225">
            <v>1.4288000000000001</v>
          </cell>
          <cell r="AB225">
            <v>1.4766999999999999</v>
          </cell>
          <cell r="AC225">
            <v>1.3852</v>
          </cell>
          <cell r="AD225">
            <v>1.2757000000000001</v>
          </cell>
          <cell r="AE225">
            <v>1.2898000000000001</v>
          </cell>
          <cell r="AF225">
            <v>1.36</v>
          </cell>
          <cell r="AG225">
            <v>1.3667</v>
          </cell>
          <cell r="AH225">
            <v>1.4384999999999999</v>
          </cell>
          <cell r="AI225">
            <v>1.4155</v>
          </cell>
          <cell r="AJ225">
            <v>1.349</v>
          </cell>
          <cell r="AK225">
            <v>1.3003</v>
          </cell>
          <cell r="AL225">
            <v>1.3003</v>
          </cell>
          <cell r="AM225">
            <v>1.3003</v>
          </cell>
          <cell r="AN225">
            <v>1.3003</v>
          </cell>
        </row>
        <row r="226">
          <cell r="I226" t="str">
            <v>GBP / USD Exchange Rate</v>
          </cell>
          <cell r="M226">
            <v>1.7524686935483871</v>
          </cell>
          <cell r="N226">
            <v>1.82940473015873</v>
          </cell>
          <cell r="O226">
            <v>1.8752729523809533</v>
          </cell>
          <cell r="P226">
            <v>1.915321523809524</v>
          </cell>
          <cell r="Q226">
            <v>1.9541090163934427</v>
          </cell>
          <cell r="R226">
            <v>1.9866246031746033</v>
          </cell>
          <cell r="S226">
            <v>2.0212158730158731</v>
          </cell>
          <cell r="T226">
            <v>2.0443390624999997</v>
          </cell>
          <cell r="U226">
            <v>1.9791049180327867</v>
          </cell>
          <cell r="V226">
            <v>1.9707859375000003</v>
          </cell>
          <cell r="W226">
            <v>1.89286484375</v>
          </cell>
          <cell r="X226">
            <v>1.5731109374999996</v>
          </cell>
          <cell r="Y226">
            <v>1.4369000000000001</v>
          </cell>
          <cell r="Z226">
            <v>1.5476000000000001</v>
          </cell>
          <cell r="AA226">
            <v>1.6411</v>
          </cell>
          <cell r="AB226">
            <v>1.6323000000000001</v>
          </cell>
          <cell r="AC226">
            <v>1.5609</v>
          </cell>
          <cell r="AD226">
            <v>1.4914000000000001</v>
          </cell>
          <cell r="AE226">
            <v>1.5491999999999999</v>
          </cell>
          <cell r="AF226">
            <v>1.5813999999999999</v>
          </cell>
          <cell r="AG226">
            <v>1.6007</v>
          </cell>
          <cell r="AH226">
            <v>1.6311</v>
          </cell>
          <cell r="AI226">
            <v>1.6113999999999999</v>
          </cell>
          <cell r="AJ226">
            <v>1.5724</v>
          </cell>
          <cell r="AK226">
            <v>1.5603</v>
          </cell>
          <cell r="AL226">
            <v>1.5603</v>
          </cell>
          <cell r="AM226">
            <v>1.5603</v>
          </cell>
          <cell r="AN226">
            <v>1.5603</v>
          </cell>
        </row>
        <row r="227">
          <cell r="I227" t="str">
            <v>YEN / USD Exchange Rate</v>
          </cell>
          <cell r="M227">
            <v>8.5563769838709683E-3</v>
          </cell>
          <cell r="N227">
            <v>8.7513493492063481E-3</v>
          </cell>
          <cell r="O227">
            <v>8.602287428571425E-3</v>
          </cell>
          <cell r="P227">
            <v>8.4910499682539688E-3</v>
          </cell>
          <cell r="Q227">
            <v>8.3801849836065596E-3</v>
          </cell>
          <cell r="R227">
            <v>8.2793680634920611E-3</v>
          </cell>
          <cell r="S227">
            <v>8.4975262857142821E-3</v>
          </cell>
          <cell r="T227">
            <v>8.8368685312500035E-3</v>
          </cell>
          <cell r="U227">
            <v>9.5101622459016384E-3</v>
          </cell>
          <cell r="V227">
            <v>9.5618232499999987E-3</v>
          </cell>
          <cell r="W227">
            <v>9.2980728749999988E-3</v>
          </cell>
          <cell r="X227">
            <v>1.0426574828125E-2</v>
          </cell>
          <cell r="Y227">
            <v>1.0699999999999999E-2</v>
          </cell>
          <cell r="Z227">
            <v>1.03E-2</v>
          </cell>
          <cell r="AA227">
            <v>1.0699999999999999E-2</v>
          </cell>
          <cell r="AB227">
            <v>1.11E-2</v>
          </cell>
          <cell r="AC227">
            <v>1.0999999999999999E-2</v>
          </cell>
          <cell r="AD227">
            <v>1.09E-2</v>
          </cell>
          <cell r="AE227">
            <v>1.1599999999999999E-2</v>
          </cell>
          <cell r="AF227">
            <v>1.21E-2</v>
          </cell>
          <cell r="AG227">
            <v>1.2200000000000001E-2</v>
          </cell>
          <cell r="AH227">
            <v>1.23E-2</v>
          </cell>
          <cell r="AI227">
            <v>1.29E-2</v>
          </cell>
          <cell r="AJ227">
            <v>1.29E-2</v>
          </cell>
          <cell r="AK227">
            <v>1.2999999999999999E-2</v>
          </cell>
          <cell r="AL227">
            <v>1.2999999999999999E-2</v>
          </cell>
          <cell r="AM227">
            <v>1.2999999999999999E-2</v>
          </cell>
          <cell r="AN227">
            <v>1.2999999999999999E-2</v>
          </cell>
        </row>
        <row r="228">
          <cell r="I228" t="str">
            <v>AUD / USD Exchange Rate</v>
          </cell>
          <cell r="M228">
            <v>0.73857501451612906</v>
          </cell>
          <cell r="N228">
            <v>0.74733413650793645</v>
          </cell>
          <cell r="O228">
            <v>0.75714126984126995</v>
          </cell>
          <cell r="P228">
            <v>0.77006031746031767</v>
          </cell>
          <cell r="Q228">
            <v>0.78614262295081982</v>
          </cell>
          <cell r="R228">
            <v>0.83181507936507915</v>
          </cell>
          <cell r="S228">
            <v>0.84742460317460344</v>
          </cell>
          <cell r="T228">
            <v>0.8899531249999999</v>
          </cell>
          <cell r="U228">
            <v>0.90592459016393467</v>
          </cell>
          <cell r="V228">
            <v>0.94325156250000031</v>
          </cell>
          <cell r="W228">
            <v>0.88815937500000008</v>
          </cell>
          <cell r="X228">
            <v>0.67281328125000017</v>
          </cell>
          <cell r="Y228">
            <v>0.66290000000000004</v>
          </cell>
          <cell r="Z228">
            <v>0.75949999999999995</v>
          </cell>
          <cell r="AA228">
            <v>0.83199999999999996</v>
          </cell>
          <cell r="AB228">
            <v>0.90790000000000004</v>
          </cell>
          <cell r="AC228">
            <v>0.9032</v>
          </cell>
          <cell r="AD228">
            <v>0.88429999999999997</v>
          </cell>
          <cell r="AE228">
            <v>0.90229999999999999</v>
          </cell>
          <cell r="AF228">
            <v>0.98729999999999996</v>
          </cell>
          <cell r="AG228">
            <v>1.0052000000000001</v>
          </cell>
          <cell r="AH228">
            <v>1.0621</v>
          </cell>
          <cell r="AI228">
            <v>1.0522</v>
          </cell>
          <cell r="AJ228">
            <v>1.0119</v>
          </cell>
          <cell r="AK228">
            <v>1.0331999999999999</v>
          </cell>
          <cell r="AL228">
            <v>1.0331999999999999</v>
          </cell>
          <cell r="AM228">
            <v>1.0331999999999999</v>
          </cell>
          <cell r="AN228">
            <v>1.0331999999999999</v>
          </cell>
        </row>
        <row r="229">
          <cell r="I229" t="str">
            <v>CNY / USD Exchange Rate</v>
          </cell>
          <cell r="M229">
            <v>0.12423598612903231</v>
          </cell>
          <cell r="N229">
            <v>0.12482675634920637</v>
          </cell>
          <cell r="O229">
            <v>0.12554230349206352</v>
          </cell>
          <cell r="P229">
            <v>0.12716859365079361</v>
          </cell>
          <cell r="Q229">
            <v>0.128898837704918</v>
          </cell>
          <cell r="R229">
            <v>0.13025971111111112</v>
          </cell>
          <cell r="S229">
            <v>0.13231367777777775</v>
          </cell>
          <cell r="T229">
            <v>0.13452026875</v>
          </cell>
          <cell r="U229">
            <v>0.13965382295081971</v>
          </cell>
          <cell r="V229">
            <v>0.14372529218749999</v>
          </cell>
          <cell r="W229">
            <v>0.146160709375</v>
          </cell>
          <cell r="X229">
            <v>0.14618127343750001</v>
          </cell>
          <cell r="Y229">
            <v>0.14610000000000001</v>
          </cell>
          <cell r="Z229">
            <v>0.1462</v>
          </cell>
          <cell r="AA229">
            <v>0.1462</v>
          </cell>
          <cell r="AB229">
            <v>0.14630000000000001</v>
          </cell>
          <cell r="AC229">
            <v>0.14630000000000001</v>
          </cell>
          <cell r="AD229">
            <v>0.14630000000000001</v>
          </cell>
          <cell r="AE229">
            <v>0.14749999999999999</v>
          </cell>
          <cell r="AF229">
            <v>0.15</v>
          </cell>
          <cell r="AG229">
            <v>0.15179999999999999</v>
          </cell>
          <cell r="AH229">
            <v>0.1537</v>
          </cell>
          <cell r="AI229">
            <v>0.15570000000000001</v>
          </cell>
          <cell r="AJ229">
            <v>0.15679999999999999</v>
          </cell>
          <cell r="AK229">
            <v>0.15820000000000001</v>
          </cell>
          <cell r="AL229">
            <v>0.15820000000000001</v>
          </cell>
          <cell r="AM229">
            <v>0.15820000000000001</v>
          </cell>
          <cell r="AN229">
            <v>0.15820000000000001</v>
          </cell>
        </row>
        <row r="230">
          <cell r="I230" t="str">
            <v>BRL / USD Exchange Rate</v>
          </cell>
          <cell r="M230">
            <v>0.45569999999999999</v>
          </cell>
          <cell r="N230">
            <v>0.45750000000000002</v>
          </cell>
          <cell r="O230">
            <v>0.4592</v>
          </cell>
          <cell r="P230">
            <v>0.46410000000000001</v>
          </cell>
          <cell r="Q230">
            <v>0.47339999999999999</v>
          </cell>
          <cell r="R230">
            <v>0.50329999999999997</v>
          </cell>
          <cell r="S230">
            <v>0.52080000000000004</v>
          </cell>
          <cell r="T230">
            <v>0.55959999999999999</v>
          </cell>
          <cell r="U230">
            <v>0.5736</v>
          </cell>
          <cell r="V230">
            <v>0.60299999999999998</v>
          </cell>
          <cell r="W230">
            <v>0.60299999999999998</v>
          </cell>
          <cell r="X230">
            <v>0.43830000000000002</v>
          </cell>
          <cell r="Y230">
            <v>0.4299</v>
          </cell>
          <cell r="Z230">
            <v>0.47989999999999999</v>
          </cell>
          <cell r="AA230">
            <v>0.53320000000000001</v>
          </cell>
          <cell r="AB230">
            <v>0.57230000000000003</v>
          </cell>
          <cell r="AC230">
            <v>0.55310000000000004</v>
          </cell>
          <cell r="AD230">
            <v>0.55569999999999997</v>
          </cell>
          <cell r="AE230">
            <v>0.56850000000000001</v>
          </cell>
          <cell r="AF230">
            <v>0.58760000000000001</v>
          </cell>
          <cell r="AG230">
            <v>0.59819999999999995</v>
          </cell>
          <cell r="AH230">
            <v>0.626</v>
          </cell>
          <cell r="AI230">
            <v>0.61519999999999997</v>
          </cell>
          <cell r="AJ230">
            <v>0.55569999999999997</v>
          </cell>
          <cell r="AK230">
            <v>0.54590000000000005</v>
          </cell>
          <cell r="AL230">
            <v>0.54590000000000005</v>
          </cell>
          <cell r="AM230">
            <v>0.54590000000000005</v>
          </cell>
          <cell r="AN230">
            <v>0.54590000000000005</v>
          </cell>
        </row>
        <row r="231">
          <cell r="I231" t="str">
            <v>CAD / USD Exchange Rate</v>
          </cell>
          <cell r="M231">
            <v>0.86573837258064512</v>
          </cell>
          <cell r="N231">
            <v>0.89153962698412681</v>
          </cell>
          <cell r="O231">
            <v>0.89174674126984144</v>
          </cell>
          <cell r="P231">
            <v>0.87807072857142854</v>
          </cell>
          <cell r="Q231">
            <v>0.85318661967213127</v>
          </cell>
          <cell r="R231">
            <v>0.91198948571428562</v>
          </cell>
          <cell r="S231">
            <v>0.95674865238095219</v>
          </cell>
          <cell r="T231">
            <v>1.020293446875</v>
          </cell>
          <cell r="U231">
            <v>0.99619139344262342</v>
          </cell>
          <cell r="V231">
            <v>0.98980004374999986</v>
          </cell>
          <cell r="W231">
            <v>0.96102668125000001</v>
          </cell>
          <cell r="X231">
            <v>0.82744886718749988</v>
          </cell>
          <cell r="Y231">
            <v>0.80410000000000004</v>
          </cell>
          <cell r="Z231">
            <v>0.85719999999999996</v>
          </cell>
          <cell r="AA231">
            <v>0.90980000000000005</v>
          </cell>
          <cell r="AB231">
            <v>0.94540000000000002</v>
          </cell>
          <cell r="AC231">
            <v>0.96050000000000002</v>
          </cell>
          <cell r="AD231">
            <v>0.97299999999999998</v>
          </cell>
          <cell r="AE231">
            <v>0.9617</v>
          </cell>
          <cell r="AF231">
            <v>0.98670000000000002</v>
          </cell>
          <cell r="AG231">
            <v>1.0136000000000001</v>
          </cell>
          <cell r="AH231">
            <v>1.0328999999999999</v>
          </cell>
          <cell r="AI231">
            <v>1.0224</v>
          </cell>
          <cell r="AJ231">
            <v>0.97709999999999997</v>
          </cell>
          <cell r="AK231">
            <v>0.98719999999999997</v>
          </cell>
          <cell r="AL231">
            <v>0.98719999999999997</v>
          </cell>
          <cell r="AM231">
            <v>0.98719999999999997</v>
          </cell>
          <cell r="AN231">
            <v>0.98719999999999997</v>
          </cell>
        </row>
        <row r="232">
          <cell r="I232" t="str">
            <v>USD / USD Exchange Rate</v>
          </cell>
          <cell r="M232">
            <v>1</v>
          </cell>
          <cell r="N232">
            <v>1</v>
          </cell>
          <cell r="O232">
            <v>1</v>
          </cell>
          <cell r="P232">
            <v>1</v>
          </cell>
          <cell r="Q232">
            <v>1</v>
          </cell>
          <cell r="R232">
            <v>1</v>
          </cell>
          <cell r="S232">
            <v>1</v>
          </cell>
          <cell r="T232">
            <v>1</v>
          </cell>
          <cell r="U232">
            <v>1</v>
          </cell>
          <cell r="V232">
            <v>1</v>
          </cell>
          <cell r="W232">
            <v>1</v>
          </cell>
          <cell r="X232">
            <v>1</v>
          </cell>
          <cell r="Y232">
            <v>1</v>
          </cell>
          <cell r="Z232">
            <v>1</v>
          </cell>
          <cell r="AA232">
            <v>1</v>
          </cell>
          <cell r="AB232">
            <v>1</v>
          </cell>
          <cell r="AC232">
            <v>1</v>
          </cell>
          <cell r="AD232">
            <v>1</v>
          </cell>
          <cell r="AE232">
            <v>1</v>
          </cell>
          <cell r="AF232">
            <v>1</v>
          </cell>
          <cell r="AG232">
            <v>1</v>
          </cell>
          <cell r="AH232">
            <v>1</v>
          </cell>
          <cell r="AI232">
            <v>1</v>
          </cell>
          <cell r="AJ232">
            <v>1</v>
          </cell>
          <cell r="AK232">
            <v>1</v>
          </cell>
          <cell r="AL232">
            <v>1</v>
          </cell>
          <cell r="AM232">
            <v>1</v>
          </cell>
          <cell r="AN232">
            <v>1</v>
          </cell>
        </row>
        <row r="234">
          <cell r="I234" t="str">
            <v>Exchange Rate Change</v>
          </cell>
        </row>
        <row r="235">
          <cell r="I235" t="str">
            <v>EUR / USD change</v>
          </cell>
          <cell r="Q235">
            <v>8.9406707651044304E-2</v>
          </cell>
          <cell r="R235">
            <v>7.1892510739854254E-2</v>
          </cell>
          <cell r="S235">
            <v>7.9088510260831635E-2</v>
          </cell>
          <cell r="T235">
            <v>0.12275672444574348</v>
          </cell>
          <cell r="U235">
            <v>0.14458270679513552</v>
          </cell>
          <cell r="V235">
            <v>0.15823871008934742</v>
          </cell>
          <cell r="W235">
            <v>9.3557489402762206E-2</v>
          </cell>
          <cell r="X235">
            <v>-8.8351077092794106E-2</v>
          </cell>
          <cell r="Y235">
            <v>-0.13134351359460006</v>
          </cell>
          <cell r="Z235">
            <v>-0.12828012251258869</v>
          </cell>
          <cell r="AA235">
            <v>-4.9658885830550448E-2</v>
          </cell>
          <cell r="AB235">
            <v>0.11900617823338977</v>
          </cell>
          <cell r="AC235">
            <v>6.316678179445856E-2</v>
          </cell>
          <cell r="AD235">
            <v>-6.3156348681794761E-2</v>
          </cell>
          <cell r="AE235">
            <v>-9.7284434490481519E-2</v>
          </cell>
          <cell r="AF235">
            <v>-7.9027561454594553E-2</v>
          </cell>
          <cell r="AG235">
            <v>-1.33554721339878E-2</v>
          </cell>
          <cell r="AH235">
            <v>0.12761621070784646</v>
          </cell>
          <cell r="AI235">
            <v>9.7456970072879345E-2</v>
          </cell>
          <cell r="AJ235">
            <v>-8.0882352941177293E-3</v>
          </cell>
          <cell r="AK235">
            <v>-4.858418087363725E-2</v>
          </cell>
          <cell r="AL235">
            <v>-9.6072297532151518E-2</v>
          </cell>
          <cell r="AM235">
            <v>-8.1384669728011283E-2</v>
          </cell>
          <cell r="AN235">
            <v>-3.6100815418828702E-2</v>
          </cell>
        </row>
        <row r="236">
          <cell r="I236" t="str">
            <v>GBP / USD change</v>
          </cell>
          <cell r="Q236">
            <v>0.11506072752533769</v>
          </cell>
          <cell r="R236">
            <v>8.5940453976103948E-2</v>
          </cell>
          <cell r="S236">
            <v>7.7824895010415673E-2</v>
          </cell>
          <cell r="T236">
            <v>6.7360773158265053E-2</v>
          </cell>
          <cell r="U236">
            <v>1.2791457093564329E-2</v>
          </cell>
          <cell r="V236">
            <v>-7.9726515262587005E-3</v>
          </cell>
          <cell r="W236">
            <v>-6.3501890609220069E-2</v>
          </cell>
          <cell r="X236">
            <v>-0.23050389910553315</v>
          </cell>
          <cell r="Y236">
            <v>-0.27396471662135713</v>
          </cell>
          <cell r="Z236">
            <v>-0.21472952970063508</v>
          </cell>
          <cell r="AA236">
            <v>-0.13300730085473123</v>
          </cell>
          <cell r="AB236">
            <v>3.7625485329130237E-2</v>
          </cell>
          <cell r="AC236">
            <v>8.6296889136335153E-2</v>
          </cell>
          <cell r="AD236">
            <v>-3.6314293098992034E-2</v>
          </cell>
          <cell r="AE236">
            <v>-5.5999025044177753E-2</v>
          </cell>
          <cell r="AF236">
            <v>-3.1182993322306007E-2</v>
          </cell>
          <cell r="AG236">
            <v>2.5498110064706259E-2</v>
          </cell>
          <cell r="AH236">
            <v>9.3670376827142299E-2</v>
          </cell>
          <cell r="AI236">
            <v>4.0149754712109464E-2</v>
          </cell>
          <cell r="AJ236">
            <v>-5.6911597318830554E-3</v>
          </cell>
          <cell r="AK236">
            <v>-2.5238957955894259E-2</v>
          </cell>
          <cell r="AL236">
            <v>-4.3406290233584666E-2</v>
          </cell>
          <cell r="AM236">
            <v>-3.1711555169417815E-2</v>
          </cell>
          <cell r="AN236">
            <v>-7.6952429407275424E-3</v>
          </cell>
        </row>
        <row r="237">
          <cell r="I237" t="str">
            <v>YEN / USD change</v>
          </cell>
          <cell r="Q237">
            <v>-2.0591893110429305E-2</v>
          </cell>
          <cell r="R237">
            <v>-5.3932401379575889E-2</v>
          </cell>
          <cell r="S237">
            <v>-1.217828905707008E-2</v>
          </cell>
          <cell r="T237">
            <v>4.0727420553284821E-2</v>
          </cell>
          <cell r="U237">
            <v>0.13483917890900465</v>
          </cell>
          <cell r="V237">
            <v>0.15489771401309405</v>
          </cell>
          <cell r="W237">
            <v>9.4209368982072439E-2</v>
          </cell>
          <cell r="X237">
            <v>0.17989475471466898</v>
          </cell>
          <cell r="Y237">
            <v>0.12511224554671685</v>
          </cell>
          <cell r="Z237">
            <v>7.7200417817804956E-2</v>
          </cell>
          <cell r="AA237">
            <v>0.15077609563261252</v>
          </cell>
          <cell r="AB237">
            <v>6.4587382047887942E-2</v>
          </cell>
          <cell r="AC237">
            <v>2.8037383177569986E-2</v>
          </cell>
          <cell r="AD237">
            <v>5.8252427184465994E-2</v>
          </cell>
          <cell r="AE237">
            <v>8.4112149532710179E-2</v>
          </cell>
          <cell r="AF237">
            <v>9.0090090090090058E-2</v>
          </cell>
          <cell r="AG237">
            <v>0.10909090909090913</v>
          </cell>
          <cell r="AH237">
            <v>0.12844036697247718</v>
          </cell>
          <cell r="AI237">
            <v>0.11206896551724155</v>
          </cell>
          <cell r="AJ237">
            <v>6.6115702479338845E-2</v>
          </cell>
          <cell r="AK237">
            <v>6.5573770491803129E-2</v>
          </cell>
          <cell r="AL237">
            <v>5.6910569105691033E-2</v>
          </cell>
          <cell r="AM237">
            <v>7.7519379844961378E-3</v>
          </cell>
          <cell r="AN237">
            <v>7.7519379844961378E-3</v>
          </cell>
        </row>
        <row r="238">
          <cell r="I238" t="str">
            <v>AUD / USD change</v>
          </cell>
          <cell r="Q238">
            <v>6.4404572995004905E-2</v>
          </cell>
          <cell r="R238">
            <v>0.11304306698994937</v>
          </cell>
          <cell r="S238">
            <v>0.11924238834882273</v>
          </cell>
          <cell r="T238">
            <v>0.15569274876426875</v>
          </cell>
          <cell r="U238">
            <v>0.15236671275182623</v>
          </cell>
          <cell r="V238">
            <v>0.1339678564374911</v>
          </cell>
          <cell r="W238">
            <v>4.8068903915223782E-2</v>
          </cell>
          <cell r="X238">
            <v>-0.24399020313569864</v>
          </cell>
          <cell r="Y238">
            <v>-0.26826139040994268</v>
          </cell>
          <cell r="Z238">
            <v>-0.19480652861362235</v>
          </cell>
          <cell r="AA238">
            <v>-6.3231190910978285E-2</v>
          </cell>
          <cell r="AB238">
            <v>0.34940855851305308</v>
          </cell>
          <cell r="AC238">
            <v>0.36249811434605506</v>
          </cell>
          <cell r="AD238">
            <v>0.16431863067807773</v>
          </cell>
          <cell r="AE238">
            <v>8.4495192307692424E-2</v>
          </cell>
          <cell r="AF238">
            <v>8.7454565480779678E-2</v>
          </cell>
          <cell r="AG238">
            <v>0.1129317980513731</v>
          </cell>
          <cell r="AH238">
            <v>0.20106298767386632</v>
          </cell>
          <cell r="AI238">
            <v>0.16613099855923763</v>
          </cell>
          <cell r="AJ238">
            <v>2.4916438772409677E-2</v>
          </cell>
          <cell r="AK238">
            <v>2.785515320334242E-2</v>
          </cell>
          <cell r="AL238">
            <v>-2.721024385651083E-2</v>
          </cell>
          <cell r="AM238">
            <v>-1.8057403535449601E-2</v>
          </cell>
          <cell r="AN238">
            <v>2.1049510821227191E-2</v>
          </cell>
        </row>
        <row r="239">
          <cell r="I239" t="str">
            <v>CNY / USD change</v>
          </cell>
          <cell r="Q239">
            <v>3.7532213661851888E-2</v>
          </cell>
          <cell r="R239">
            <v>4.3523960093186265E-2</v>
          </cell>
          <cell r="S239">
            <v>5.393699253050821E-2</v>
          </cell>
          <cell r="T239">
            <v>5.781046159395431E-2</v>
          </cell>
          <cell r="U239">
            <v>8.3437410588003802E-2</v>
          </cell>
          <cell r="V239">
            <v>0.10337487287149583</v>
          </cell>
          <cell r="W239">
            <v>0.10465306255395967</v>
          </cell>
          <cell r="X239">
            <v>8.668585630892145E-2</v>
          </cell>
          <cell r="Y239">
            <v>4.6158256988427571E-2</v>
          </cell>
          <cell r="Z239">
            <v>1.7218318187668613E-2</v>
          </cell>
          <cell r="AA239">
            <v>2.6881796871403019E-4</v>
          </cell>
          <cell r="AB239">
            <v>8.1218722280973488E-4</v>
          </cell>
          <cell r="AC239">
            <v>1.3689253935660339E-3</v>
          </cell>
          <cell r="AD239">
            <v>6.8399452804390748E-4</v>
          </cell>
          <cell r="AE239">
            <v>8.8919288645690209E-3</v>
          </cell>
          <cell r="AF239">
            <v>2.5290498974709363E-2</v>
          </cell>
          <cell r="AG239">
            <v>3.7593984962405846E-2</v>
          </cell>
          <cell r="AH239">
            <v>5.0580997949418949E-2</v>
          </cell>
          <cell r="AI239">
            <v>5.5593220338983063E-2</v>
          </cell>
          <cell r="AJ239">
            <v>4.5333333333333448E-2</v>
          </cell>
          <cell r="AK239">
            <v>4.2160737812911853E-2</v>
          </cell>
          <cell r="AL239">
            <v>2.9277813923227036E-2</v>
          </cell>
          <cell r="AM239">
            <v>1.6056518946692355E-2</v>
          </cell>
          <cell r="AN239">
            <v>8.9285714285713969E-3</v>
          </cell>
        </row>
        <row r="240">
          <cell r="I240" t="str">
            <v>BRL / USD change</v>
          </cell>
          <cell r="Q240">
            <v>3.8841342988808369E-2</v>
          </cell>
          <cell r="R240">
            <v>0.10010928961748622</v>
          </cell>
          <cell r="S240">
            <v>0.13414634146341475</v>
          </cell>
          <cell r="T240">
            <v>0.20577461753932336</v>
          </cell>
          <cell r="U240">
            <v>0.21166032953105196</v>
          </cell>
          <cell r="V240">
            <v>0.19809258891317305</v>
          </cell>
          <cell r="W240">
            <v>0.15783410138248843</v>
          </cell>
          <cell r="X240">
            <v>-0.21676197283774123</v>
          </cell>
          <cell r="Y240">
            <v>-0.25052301255230125</v>
          </cell>
          <cell r="Z240">
            <v>-0.20414593698175787</v>
          </cell>
          <cell r="AA240">
            <v>-0.1157545605306799</v>
          </cell>
          <cell r="AB240">
            <v>0.30572667122975128</v>
          </cell>
          <cell r="AC240">
            <v>0.28657827401721336</v>
          </cell>
          <cell r="AD240">
            <v>0.1579495728276723</v>
          </cell>
          <cell r="AE240">
            <v>6.6204051012753284E-2</v>
          </cell>
          <cell r="AF240">
            <v>2.6734230298794293E-2</v>
          </cell>
          <cell r="AG240">
            <v>8.1540408606038506E-2</v>
          </cell>
          <cell r="AH240">
            <v>0.12650710815188049</v>
          </cell>
          <cell r="AI240">
            <v>8.2145998240984897E-2</v>
          </cell>
          <cell r="AJ240">
            <v>-5.4288631722260061E-2</v>
          </cell>
          <cell r="AK240">
            <v>-8.7428953527248221E-2</v>
          </cell>
          <cell r="AL240">
            <v>-0.12795527156549513</v>
          </cell>
          <cell r="AM240">
            <v>-0.11264629388816627</v>
          </cell>
          <cell r="AN240">
            <v>-1.7635414792153914E-2</v>
          </cell>
        </row>
        <row r="241">
          <cell r="I241" t="str">
            <v>CAD / USD change</v>
          </cell>
          <cell r="Q241">
            <v>-1.4498321093356248E-2</v>
          </cell>
          <cell r="R241">
            <v>2.293768903950566E-2</v>
          </cell>
          <cell r="S241">
            <v>7.2892793550945356E-2</v>
          </cell>
          <cell r="T241">
            <v>0.1619718249063602</v>
          </cell>
          <cell r="U241">
            <v>0.16761253689778566</v>
          </cell>
          <cell r="V241">
            <v>8.531957797163825E-2</v>
          </cell>
          <cell r="W241">
            <v>4.4714239820475843E-3</v>
          </cell>
          <cell r="X241">
            <v>-0.18900893686826381</v>
          </cell>
          <cell r="Y241">
            <v>-0.19282579101471331</v>
          </cell>
          <cell r="Z241">
            <v>-0.13396649614969258</v>
          </cell>
          <cell r="AA241">
            <v>-5.3304119697665242E-2</v>
          </cell>
          <cell r="AB241">
            <v>0.14254794161893813</v>
          </cell>
          <cell r="AC241">
            <v>0.19450317124735728</v>
          </cell>
          <cell r="AD241">
            <v>0.13509099393373769</v>
          </cell>
          <cell r="AE241">
            <v>5.7045504506484823E-2</v>
          </cell>
          <cell r="AF241">
            <v>4.3685212608419732E-2</v>
          </cell>
          <cell r="AG241">
            <v>5.5283706402915245E-2</v>
          </cell>
          <cell r="AH241">
            <v>6.1562178828365788E-2</v>
          </cell>
          <cell r="AI241">
            <v>6.3117396277425408E-2</v>
          </cell>
          <cell r="AJ241">
            <v>-9.7294010337488634E-3</v>
          </cell>
          <cell r="AK241">
            <v>-2.6045777426992989E-2</v>
          </cell>
          <cell r="AL241">
            <v>-4.4244360538290173E-2</v>
          </cell>
          <cell r="AM241">
            <v>-3.4428794992175327E-2</v>
          </cell>
          <cell r="AN241">
            <v>1.0336710674444749E-2</v>
          </cell>
        </row>
        <row r="242">
          <cell r="I242" t="str">
            <v>USD / USD change</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row>
        <row r="244">
          <cell r="I244" t="str">
            <v>Weighting</v>
          </cell>
        </row>
        <row r="245">
          <cell r="I245" t="str">
            <v xml:space="preserve">EUR / USD </v>
          </cell>
          <cell r="Q245">
            <v>0.87285343452400432</v>
          </cell>
          <cell r="R245">
            <v>0.87796249294159412</v>
          </cell>
          <cell r="S245">
            <v>0.88136599879768351</v>
          </cell>
          <cell r="T245">
            <v>0.86034629869365675</v>
          </cell>
          <cell r="U245">
            <v>0.84326450111984474</v>
          </cell>
          <cell r="V245">
            <v>0.8495510151646507</v>
          </cell>
          <cell r="W245">
            <v>0.84398021582733818</v>
          </cell>
          <cell r="X245">
            <v>0.80813068181818182</v>
          </cell>
          <cell r="Y245">
            <v>0.79356593406593412</v>
          </cell>
          <cell r="Z245">
            <v>0.80269131625441692</v>
          </cell>
          <cell r="AA245">
            <v>0.8031331931554524</v>
          </cell>
          <cell r="AB245">
            <v>0.77177763433356605</v>
          </cell>
          <cell r="AC245">
            <v>0.75491544303797475</v>
          </cell>
          <cell r="AD245">
            <v>0.75311579122340433</v>
          </cell>
          <cell r="AE245">
            <v>0.7461232798960139</v>
          </cell>
          <cell r="AF245">
            <v>0.72860341726618716</v>
          </cell>
          <cell r="AG245">
            <v>0.71361804298642539</v>
          </cell>
          <cell r="AH245">
            <v>0.72150415418157432</v>
          </cell>
          <cell r="AI245">
            <v>0.70257057726999395</v>
          </cell>
          <cell r="AJ245">
            <v>0.68587593509081024</v>
          </cell>
          <cell r="AK245">
            <v>0.67106116603594645</v>
          </cell>
          <cell r="AL245">
            <v>0.67604242850590857</v>
          </cell>
          <cell r="AM245">
            <v>0.65779301768841891</v>
          </cell>
          <cell r="AN245">
            <v>0.63807361566197307</v>
          </cell>
        </row>
        <row r="246">
          <cell r="I246" t="str">
            <v>GBP / USD</v>
          </cell>
          <cell r="Q246">
            <v>9.6983714947111596E-2</v>
          </cell>
          <cell r="R246">
            <v>9.7551388104621578E-2</v>
          </cell>
          <cell r="S246">
            <v>9.792955542196484E-2</v>
          </cell>
          <cell r="T246">
            <v>9.5594033188184088E-2</v>
          </cell>
          <cell r="U246">
            <v>9.3696055679982751E-2</v>
          </cell>
          <cell r="V246">
            <v>9.4394557240516749E-2</v>
          </cell>
          <cell r="W246">
            <v>9.3775579536370904E-2</v>
          </cell>
          <cell r="X246">
            <v>8.9792297979797986E-2</v>
          </cell>
          <cell r="Y246">
            <v>8.8173992673992674E-2</v>
          </cell>
          <cell r="Z246">
            <v>8.9187924028268556E-2</v>
          </cell>
          <cell r="AA246">
            <v>8.9237021461716942E-2</v>
          </cell>
          <cell r="AB246">
            <v>8.5753070481507335E-2</v>
          </cell>
          <cell r="AC246">
            <v>8.3879493670886096E-2</v>
          </cell>
          <cell r="AD246">
            <v>8.3679532358156047E-2</v>
          </cell>
          <cell r="AE246">
            <v>8.2902586655112659E-2</v>
          </cell>
          <cell r="AF246">
            <v>8.0955935251798575E-2</v>
          </cell>
          <cell r="AG246">
            <v>7.9290893665158388E-2</v>
          </cell>
          <cell r="AH246">
            <v>8.0167128242397148E-2</v>
          </cell>
          <cell r="AI246">
            <v>7.8063397474443783E-2</v>
          </cell>
          <cell r="AJ246">
            <v>7.6208437232312243E-2</v>
          </cell>
          <cell r="AK246">
            <v>7.4562351781771827E-2</v>
          </cell>
          <cell r="AL246">
            <v>7.5115825389545407E-2</v>
          </cell>
          <cell r="AM246">
            <v>7.308811307649099E-2</v>
          </cell>
          <cell r="AN246">
            <v>7.0897068406885907E-2</v>
          </cell>
        </row>
        <row r="247">
          <cell r="I247" t="str">
            <v>YEN / USD</v>
          </cell>
          <cell r="Q247">
            <v>5.6926166601562371E-3</v>
          </cell>
          <cell r="R247">
            <v>4.6692203056993105E-3</v>
          </cell>
          <cell r="S247">
            <v>3.8576430371762647E-3</v>
          </cell>
          <cell r="T247">
            <v>1.1450119650072576E-2</v>
          </cell>
          <cell r="U247">
            <v>1.4459840433392058E-2</v>
          </cell>
          <cell r="V247">
            <v>1.2479656174194588E-2</v>
          </cell>
          <cell r="W247">
            <v>1.4225286437516652E-2</v>
          </cell>
          <cell r="X247">
            <v>2.5414562289562289E-2</v>
          </cell>
          <cell r="Y247">
            <v>2.1984126984126984E-2</v>
          </cell>
          <cell r="Z247">
            <v>1.9757567726737337E-2</v>
          </cell>
          <cell r="AA247">
            <v>2.167705916473318E-2</v>
          </cell>
          <cell r="AB247">
            <v>3.5115724587113276E-2</v>
          </cell>
          <cell r="AC247">
            <v>2.6741603375527431E-2</v>
          </cell>
          <cell r="AD247">
            <v>2.4784537529550829E-2</v>
          </cell>
          <cell r="AE247">
            <v>3.2384098786828422E-2</v>
          </cell>
          <cell r="AF247">
            <v>4.4720165044435045E-2</v>
          </cell>
          <cell r="AG247">
            <v>3.4353431372549023E-2</v>
          </cell>
          <cell r="AH247">
            <v>2.8757157498509239E-2</v>
          </cell>
          <cell r="AI247">
            <v>4.3239627179795549E-2</v>
          </cell>
          <cell r="AJ247">
            <v>5.5804868438180021E-2</v>
          </cell>
          <cell r="AK247">
            <v>4.2556155462212746E-2</v>
          </cell>
          <cell r="AL247">
            <v>3.6378627138231971E-2</v>
          </cell>
          <cell r="AM247">
            <v>5.2941740058590071E-2</v>
          </cell>
          <cell r="AN247">
            <v>6.7721092964211319E-2</v>
          </cell>
        </row>
        <row r="248">
          <cell r="I248" t="str">
            <v xml:space="preserve">AUD / USD </v>
          </cell>
          <cell r="Q248">
            <v>5.6926166601562371E-3</v>
          </cell>
          <cell r="R248">
            <v>4.6692203056993105E-3</v>
          </cell>
          <cell r="S248">
            <v>3.8576430371762647E-3</v>
          </cell>
          <cell r="T248">
            <v>1.1450119650072576E-2</v>
          </cell>
          <cell r="U248">
            <v>1.4459840433392058E-2</v>
          </cell>
          <cell r="V248">
            <v>1.2479656174194588E-2</v>
          </cell>
          <cell r="W248">
            <v>1.4225286437516652E-2</v>
          </cell>
          <cell r="X248">
            <v>2.5414562289562289E-2</v>
          </cell>
          <cell r="Y248">
            <v>2.1984126984126984E-2</v>
          </cell>
          <cell r="Z248">
            <v>1.9757567726737337E-2</v>
          </cell>
          <cell r="AA248">
            <v>2.167705916473318E-2</v>
          </cell>
          <cell r="AB248">
            <v>3.5115724587113276E-2</v>
          </cell>
          <cell r="AC248">
            <v>2.6741603375527431E-2</v>
          </cell>
          <cell r="AD248">
            <v>2.4784537529550829E-2</v>
          </cell>
          <cell r="AE248">
            <v>3.2384098786828422E-2</v>
          </cell>
          <cell r="AF248">
            <v>4.4720165044435045E-2</v>
          </cell>
          <cell r="AG248">
            <v>3.4353431372549023E-2</v>
          </cell>
          <cell r="AH248">
            <v>2.8757157498509239E-2</v>
          </cell>
          <cell r="AI248">
            <v>4.3239627179795549E-2</v>
          </cell>
          <cell r="AJ248">
            <v>5.5804868438180021E-2</v>
          </cell>
          <cell r="AK248">
            <v>4.2556155462212746E-2</v>
          </cell>
          <cell r="AL248">
            <v>3.6378627138231971E-2</v>
          </cell>
          <cell r="AM248">
            <v>5.2941740058590071E-2</v>
          </cell>
          <cell r="AN248">
            <v>6.7721092964211319E-2</v>
          </cell>
        </row>
        <row r="249">
          <cell r="I249" t="str">
            <v xml:space="preserve">CNY / USD </v>
          </cell>
          <cell r="Q249">
            <v>5.6926166601562371E-3</v>
          </cell>
          <cell r="R249">
            <v>4.6692203056993105E-3</v>
          </cell>
          <cell r="S249">
            <v>3.8576430371762647E-3</v>
          </cell>
          <cell r="T249">
            <v>1.1450119650072576E-2</v>
          </cell>
          <cell r="U249">
            <v>1.4459840433392058E-2</v>
          </cell>
          <cell r="V249">
            <v>1.2479656174194588E-2</v>
          </cell>
          <cell r="W249">
            <v>1.4225286437516652E-2</v>
          </cell>
          <cell r="X249">
            <v>2.5414562289562289E-2</v>
          </cell>
          <cell r="Y249">
            <v>2.1984126984126984E-2</v>
          </cell>
          <cell r="Z249">
            <v>1.9757567726737337E-2</v>
          </cell>
          <cell r="AA249">
            <v>2.167705916473318E-2</v>
          </cell>
          <cell r="AB249">
            <v>3.5115724587113276E-2</v>
          </cell>
          <cell r="AC249">
            <v>2.6741603375527431E-2</v>
          </cell>
          <cell r="AD249">
            <v>2.4784537529550829E-2</v>
          </cell>
          <cell r="AE249">
            <v>3.2384098786828422E-2</v>
          </cell>
          <cell r="AF249">
            <v>4.4720165044435045E-2</v>
          </cell>
          <cell r="AG249">
            <v>3.4353431372549023E-2</v>
          </cell>
          <cell r="AH249">
            <v>2.8757157498509239E-2</v>
          </cell>
          <cell r="AI249">
            <v>4.3239627179795549E-2</v>
          </cell>
          <cell r="AJ249">
            <v>5.5804868438180021E-2</v>
          </cell>
          <cell r="AK249">
            <v>4.2556155462212746E-2</v>
          </cell>
          <cell r="AL249">
            <v>3.6378627138231971E-2</v>
          </cell>
          <cell r="AM249">
            <v>5.2941740058590071E-2</v>
          </cell>
          <cell r="AN249">
            <v>6.7721092964211319E-2</v>
          </cell>
        </row>
        <row r="250">
          <cell r="I250" t="str">
            <v xml:space="preserve">BRL / USD </v>
          </cell>
          <cell r="Q250">
            <v>4.361666849471822E-3</v>
          </cell>
          <cell r="R250">
            <v>3.4928193455620819E-3</v>
          </cell>
          <cell r="S250">
            <v>3.0438388896075735E-3</v>
          </cell>
          <cell r="T250">
            <v>3.2364363893138755E-3</v>
          </cell>
          <cell r="U250">
            <v>6.553307299998843E-3</v>
          </cell>
          <cell r="V250">
            <v>6.2051530240829428E-3</v>
          </cell>
          <cell r="W250">
            <v>6.5227817745803357E-3</v>
          </cell>
          <cell r="X250">
            <v>8.611111111111111E-3</v>
          </cell>
          <cell r="Y250">
            <v>1.7435897435897432E-2</v>
          </cell>
          <cell r="Z250">
            <v>1.628268551236749E-2</v>
          </cell>
          <cell r="AA250">
            <v>1.4199535962877029E-2</v>
          </cell>
          <cell r="AB250">
            <v>1.2374040474528961E-2</v>
          </cell>
          <cell r="AC250">
            <v>2.6993417721518979E-2</v>
          </cell>
          <cell r="AD250">
            <v>2.9617021276595743E-2</v>
          </cell>
          <cell r="AE250">
            <v>2.4607279029462737E-2</v>
          </cell>
          <cell r="AF250">
            <v>1.876005078290309E-2</v>
          </cell>
          <cell r="AG250">
            <v>3.4676923076923057E-2</v>
          </cell>
          <cell r="AH250">
            <v>3.7352415026833632E-2</v>
          </cell>
          <cell r="AI250">
            <v>2.9882381238725195E-2</v>
          </cell>
          <cell r="AJ250">
            <v>2.3500340787445867E-2</v>
          </cell>
          <cell r="AK250">
            <v>4.2236005265214434E-2</v>
          </cell>
          <cell r="AL250">
            <v>4.656862156328339E-2</v>
          </cell>
          <cell r="AM250">
            <v>3.676454968643994E-2</v>
          </cell>
          <cell r="AN250">
            <v>2.9288679012835717E-2</v>
          </cell>
        </row>
        <row r="251">
          <cell r="I251" t="str">
            <v>CAD / USD</v>
          </cell>
          <cell r="Q251">
            <v>4.361666849471822E-3</v>
          </cell>
          <cell r="R251">
            <v>3.4928193455620819E-3</v>
          </cell>
          <cell r="S251">
            <v>3.0438388896075735E-3</v>
          </cell>
          <cell r="T251">
            <v>3.2364363893138755E-3</v>
          </cell>
          <cell r="U251">
            <v>6.553307299998843E-3</v>
          </cell>
          <cell r="V251">
            <v>6.2051530240829428E-3</v>
          </cell>
          <cell r="W251">
            <v>6.5227817745803357E-3</v>
          </cell>
          <cell r="X251">
            <v>8.611111111111111E-3</v>
          </cell>
          <cell r="Y251">
            <v>1.7435897435897432E-2</v>
          </cell>
          <cell r="Z251">
            <v>1.628268551236749E-2</v>
          </cell>
          <cell r="AA251">
            <v>1.4199535962877029E-2</v>
          </cell>
          <cell r="AB251">
            <v>1.2374040474528961E-2</v>
          </cell>
          <cell r="AC251">
            <v>2.6993417721518979E-2</v>
          </cell>
          <cell r="AD251">
            <v>2.9617021276595743E-2</v>
          </cell>
          <cell r="AE251">
            <v>2.4607279029462737E-2</v>
          </cell>
          <cell r="AF251">
            <v>1.876005078290309E-2</v>
          </cell>
          <cell r="AG251">
            <v>3.4676923076923057E-2</v>
          </cell>
          <cell r="AH251">
            <v>3.7352415026833632E-2</v>
          </cell>
          <cell r="AI251">
            <v>2.9882381238725195E-2</v>
          </cell>
          <cell r="AJ251">
            <v>2.3500340787445867E-2</v>
          </cell>
          <cell r="AK251">
            <v>4.2236005265214434E-2</v>
          </cell>
          <cell r="AL251">
            <v>4.656862156328339E-2</v>
          </cell>
          <cell r="AM251">
            <v>3.676454968643994E-2</v>
          </cell>
          <cell r="AN251">
            <v>2.9288679012835717E-2</v>
          </cell>
        </row>
        <row r="252">
          <cell r="I252" t="str">
            <v>USD / USD</v>
          </cell>
          <cell r="Q252">
            <v>4.361666849471822E-3</v>
          </cell>
          <cell r="R252">
            <v>3.4928193455620819E-3</v>
          </cell>
          <cell r="S252">
            <v>3.0438388896075735E-3</v>
          </cell>
          <cell r="T252">
            <v>3.2364363893138755E-3</v>
          </cell>
          <cell r="U252">
            <v>6.553307299998843E-3</v>
          </cell>
          <cell r="V252">
            <v>6.2051530240829428E-3</v>
          </cell>
          <cell r="W252">
            <v>6.5227817745803357E-3</v>
          </cell>
          <cell r="X252">
            <v>8.611111111111111E-3</v>
          </cell>
          <cell r="Y252">
            <v>1.7435897435897432E-2</v>
          </cell>
          <cell r="Z252">
            <v>1.628268551236749E-2</v>
          </cell>
          <cell r="AA252">
            <v>1.4199535962877029E-2</v>
          </cell>
          <cell r="AB252">
            <v>1.2374040474528961E-2</v>
          </cell>
          <cell r="AC252">
            <v>2.6993417721518979E-2</v>
          </cell>
          <cell r="AD252">
            <v>2.9617021276595743E-2</v>
          </cell>
          <cell r="AE252">
            <v>2.4607279029462737E-2</v>
          </cell>
          <cell r="AF252">
            <v>1.876005078290309E-2</v>
          </cell>
          <cell r="AG252">
            <v>3.4676923076923057E-2</v>
          </cell>
          <cell r="AH252">
            <v>3.7352415026833632E-2</v>
          </cell>
          <cell r="AI252">
            <v>2.9882381238725195E-2</v>
          </cell>
          <cell r="AJ252">
            <v>2.3500340787445867E-2</v>
          </cell>
          <cell r="AK252">
            <v>4.2236005265214434E-2</v>
          </cell>
          <cell r="AL252">
            <v>4.656862156328339E-2</v>
          </cell>
          <cell r="AM252">
            <v>3.676454968643994E-2</v>
          </cell>
          <cell r="AN252">
            <v>2.9288679012835717E-2</v>
          </cell>
        </row>
        <row r="254">
          <cell r="I254" t="str">
            <v>Weighted Exchange rates</v>
          </cell>
        </row>
        <row r="255">
          <cell r="I255" t="str">
            <v xml:space="preserve">EUR / USD </v>
          </cell>
          <cell r="Q255">
            <v>7.8038951842697601E-2</v>
          </cell>
          <cell r="R255">
            <v>6.3118927952992773E-2</v>
          </cell>
          <cell r="S255">
            <v>6.9705923839458714E-2</v>
          </cell>
          <cell r="T255">
            <v>0.10561329351665254</v>
          </cell>
          <cell r="U255">
            <v>0.12192146411615674</v>
          </cell>
          <cell r="V255">
            <v>0.13443185679474995</v>
          </cell>
          <cell r="W255">
            <v>7.8960670098407154E-2</v>
          </cell>
          <cell r="X255">
            <v>-7.1399216170370441E-2</v>
          </cell>
          <cell r="Y255">
            <v>-0.10422973804920051</v>
          </cell>
          <cell r="Z255">
            <v>-0.10296934038890768</v>
          </cell>
          <cell r="AA255">
            <v>-3.9882699545632033E-2</v>
          </cell>
          <cell r="AB255">
            <v>9.1846306708044279E-2</v>
          </cell>
          <cell r="AC255">
            <v>4.768557906364676E-2</v>
          </cell>
          <cell r="AD255">
            <v>-4.7564043508271071E-2</v>
          </cell>
          <cell r="AE255">
            <v>-7.2586181344866968E-2</v>
          </cell>
          <cell r="AF255">
            <v>-5.7579751334031204E-2</v>
          </cell>
          <cell r="AG255">
            <v>-9.5307058874161132E-3</v>
          </cell>
          <cell r="AH255">
            <v>9.2075626166622321E-2</v>
          </cell>
          <cell r="AI255">
            <v>6.8470399723087369E-2</v>
          </cell>
          <cell r="AJ255">
            <v>-5.5475259455874922E-3</v>
          </cell>
          <cell r="AK255">
            <v>-3.2602957067964344E-2</v>
          </cell>
          <cell r="AL255">
            <v>-6.4948949335777925E-2</v>
          </cell>
          <cell r="AM255">
            <v>-5.3534267493963859E-2</v>
          </cell>
          <cell r="AN255">
            <v>-2.3034977822637536E-2</v>
          </cell>
        </row>
        <row r="256">
          <cell r="I256" t="str">
            <v>GBP / USD</v>
          </cell>
          <cell r="Q256">
            <v>1.1159016799924627E-2</v>
          </cell>
          <cell r="R256">
            <v>8.3836105797102847E-3</v>
          </cell>
          <cell r="S256">
            <v>7.6213573691310968E-3</v>
          </cell>
          <cell r="T256">
            <v>6.439287984872929E-3</v>
          </cell>
          <cell r="U256">
            <v>1.1985090760667136E-3</v>
          </cell>
          <cell r="V256">
            <v>-7.525749108541201E-4</v>
          </cell>
          <cell r="W256">
            <v>-5.9549265935348412E-3</v>
          </cell>
          <cell r="X256">
            <v>-2.0697474793989323E-2</v>
          </cell>
          <cell r="Y256">
            <v>-2.4156562916304022E-2</v>
          </cell>
          <cell r="Z256">
            <v>-1.9151280981566078E-2</v>
          </cell>
          <cell r="AA256">
            <v>-1.1869175360938693E-2</v>
          </cell>
          <cell r="AB256">
            <v>3.2265008953298252E-3</v>
          </cell>
          <cell r="AC256">
            <v>7.2385393661283833E-3</v>
          </cell>
          <cell r="AD256">
            <v>-3.0387630644406667E-3</v>
          </cell>
          <cell r="AE256">
            <v>-4.6424640263267704E-3</v>
          </cell>
          <cell r="AF256">
            <v>-2.5244483883578727E-3</v>
          </cell>
          <cell r="AG256">
            <v>2.0217679338031288E-3</v>
          </cell>
          <cell r="AH256">
            <v>7.5092851116151825E-3</v>
          </cell>
          <cell r="AI256">
            <v>3.1342262605928233E-3</v>
          </cell>
          <cell r="AJ256">
            <v>-4.3371438920627282E-4</v>
          </cell>
          <cell r="AK256">
            <v>-1.8818760617127365E-3</v>
          </cell>
          <cell r="AL256">
            <v>-3.2604993179938761E-3</v>
          </cell>
          <cell r="AM256">
            <v>-2.3177377300537916E-3</v>
          </cell>
          <cell r="AN256">
            <v>-5.455701651763665E-4</v>
          </cell>
        </row>
        <row r="257">
          <cell r="I257" t="str">
            <v>YEN / USD</v>
          </cell>
          <cell r="Q257">
            <v>-1.172217537845863E-4</v>
          </cell>
          <cell r="R257">
            <v>-2.5182226365664124E-4</v>
          </cell>
          <cell r="S257">
            <v>-4.6979491985726293E-5</v>
          </cell>
          <cell r="T257">
            <v>4.6633383837393623E-4</v>
          </cell>
          <cell r="U257">
            <v>1.9497530111938111E-3</v>
          </cell>
          <cell r="V257">
            <v>1.9330702130521368E-3</v>
          </cell>
          <cell r="W257">
            <v>1.3401552588676771E-3</v>
          </cell>
          <cell r="X257">
            <v>4.5719464492614843E-3</v>
          </cell>
          <cell r="Y257">
            <v>2.7504834933682991E-3</v>
          </cell>
          <cell r="Z257">
            <v>1.5252924835677012E-3</v>
          </cell>
          <cell r="AA257">
            <v>3.2683823456556098E-3</v>
          </cell>
          <cell r="AB257">
            <v>2.2680327197962973E-3</v>
          </cell>
          <cell r="AC257">
            <v>7.4976458062226152E-4</v>
          </cell>
          <cell r="AD257">
            <v>1.4437594677408243E-3</v>
          </cell>
          <cell r="AE257">
            <v>2.7238961596397705E-3</v>
          </cell>
          <cell r="AF257">
            <v>4.0288436976968498E-3</v>
          </cell>
          <cell r="AG257">
            <v>3.7476470588235309E-3</v>
          </cell>
          <cell r="AH257">
            <v>3.6935798621938508E-3</v>
          </cell>
          <cell r="AI257">
            <v>4.8458202873908878E-3</v>
          </cell>
          <cell r="AJ257">
            <v>3.689578078557357E-3</v>
          </cell>
          <cell r="AK257">
            <v>2.7905675712926329E-3</v>
          </cell>
          <cell r="AL257">
            <v>2.0703283737205178E-3</v>
          </cell>
          <cell r="AM257">
            <v>4.1040108572550516E-4</v>
          </cell>
          <cell r="AN257">
            <v>5.2496971290086391E-4</v>
          </cell>
        </row>
        <row r="258">
          <cell r="I258" t="str">
            <v xml:space="preserve">AUD / USD </v>
          </cell>
          <cell r="Q258">
            <v>3.6663054522161341E-4</v>
          </cell>
          <cell r="R258">
            <v>5.2782298380799899E-4</v>
          </cell>
          <cell r="S258">
            <v>4.5999456915010414E-4</v>
          </cell>
          <cell r="T258">
            <v>1.7827006019995664E-3</v>
          </cell>
          <cell r="U258">
            <v>2.2031983537518902E-3</v>
          </cell>
          <cell r="V258">
            <v>1.67187278673375E-3</v>
          </cell>
          <cell r="W258">
            <v>6.8379392693152397E-4</v>
          </cell>
          <cell r="X258">
            <v>-6.2009042156351687E-3</v>
          </cell>
          <cell r="Y258">
            <v>-5.8974924717106443E-3</v>
          </cell>
          <cell r="Z258">
            <v>-3.8489031826942385E-3</v>
          </cell>
          <cell r="AA258">
            <v>-1.3706662664338153E-3</v>
          </cell>
          <cell r="AB258">
            <v>1.2269734709124626E-2</v>
          </cell>
          <cell r="AC258">
            <v>9.6937807982187939E-3</v>
          </cell>
          <cell r="AD258">
            <v>4.0725612688452192E-3</v>
          </cell>
          <cell r="AE258">
            <v>2.7363006547043763E-3</v>
          </cell>
          <cell r="AF258">
            <v>3.9109826021898192E-3</v>
          </cell>
          <cell r="AG258">
            <v>3.8795947741364113E-3</v>
          </cell>
          <cell r="AH258">
            <v>5.782000003658196E-3</v>
          </cell>
          <cell r="AI258">
            <v>7.1834424407085868E-3</v>
          </cell>
          <cell r="AJ258">
            <v>1.3904585876422897E-3</v>
          </cell>
          <cell r="AK258">
            <v>1.1854082301451935E-3</v>
          </cell>
          <cell r="AL258">
            <v>-9.8987131559637458E-4</v>
          </cell>
          <cell r="AM258">
            <v>-9.5599036410683809E-4</v>
          </cell>
          <cell r="AN258">
            <v>1.4254958791754988E-3</v>
          </cell>
        </row>
        <row r="259">
          <cell r="I259" t="str">
            <v xml:space="preserve">CNY / USD </v>
          </cell>
          <cell r="Q259">
            <v>2.1365650478400157E-4</v>
          </cell>
          <cell r="R259">
            <v>2.0322295825155176E-4</v>
          </cell>
          <cell r="S259">
            <v>2.080696636815432E-4</v>
          </cell>
          <cell r="T259">
            <v>6.6193670227670219E-4</v>
          </cell>
          <cell r="U259">
            <v>1.206491643277952E-3</v>
          </cell>
          <cell r="V259">
            <v>1.2900828704873436E-3</v>
          </cell>
          <cell r="W259">
            <v>1.4887197913934242E-3</v>
          </cell>
          <cell r="X259">
            <v>2.2030830947871302E-3</v>
          </cell>
          <cell r="Y259">
            <v>1.0147489829995585E-3</v>
          </cell>
          <cell r="Z259">
            <v>3.4019208773337591E-4</v>
          </cell>
          <cell r="AA259">
            <v>5.8271830123574255E-6</v>
          </cell>
          <cell r="AB259">
            <v>2.8520542829359057E-5</v>
          </cell>
          <cell r="AC259">
            <v>3.660725992543067E-5</v>
          </cell>
          <cell r="AD259">
            <v>1.6952488050311631E-5</v>
          </cell>
          <cell r="AE259">
            <v>2.8795710275565428E-4</v>
          </cell>
          <cell r="AF259">
            <v>1.1309952882051181E-3</v>
          </cell>
          <cell r="AG259">
            <v>1.2914823824266492E-3</v>
          </cell>
          <cell r="AH259">
            <v>1.4545657244632135E-3</v>
          </cell>
          <cell r="AI259">
            <v>2.4038301211818549E-3</v>
          </cell>
          <cell r="AJ259">
            <v>2.5298207025308342E-3</v>
          </cell>
          <cell r="AK259">
            <v>1.7941989127678681E-3</v>
          </cell>
          <cell r="AL259">
            <v>1.065086676135613E-3</v>
          </cell>
          <cell r="AM259">
            <v>8.5006005232161311E-4</v>
          </cell>
          <cell r="AN259">
            <v>6.046526157518846E-4</v>
          </cell>
        </row>
        <row r="260">
          <cell r="I260" t="str">
            <v xml:space="preserve">BRL / USD </v>
          </cell>
          <cell r="Q260">
            <v>1.6941299810325025E-4</v>
          </cell>
          <cell r="R260">
            <v>3.4966366344643316E-4</v>
          </cell>
          <cell r="S260">
            <v>4.0831985104491876E-4</v>
          </cell>
          <cell r="T260">
            <v>6.6597646020141136E-4</v>
          </cell>
          <cell r="U260">
            <v>1.3870751826360035E-3</v>
          </cell>
          <cell r="V260">
            <v>1.229194827142995E-3</v>
          </cell>
          <cell r="W260">
            <v>1.0295173999049605E-3</v>
          </cell>
          <cell r="X260">
            <v>-1.8665614327694384E-3</v>
          </cell>
          <cell r="Y260">
            <v>-4.3680935521939693E-3</v>
          </cell>
          <cell r="Z260">
            <v>-3.3240440905015554E-3</v>
          </cell>
          <cell r="AA260">
            <v>-1.6436610451224152E-3</v>
          </cell>
          <cell r="AB260">
            <v>3.7830742039399508E-3</v>
          </cell>
          <cell r="AC260">
            <v>7.7357270604585691E-3</v>
          </cell>
          <cell r="AD260">
            <v>4.6779958590663796E-3</v>
          </cell>
          <cell r="AE260">
            <v>1.6291015561516052E-3</v>
          </cell>
          <cell r="AF260">
            <v>5.0153551804720735E-4</v>
          </cell>
          <cell r="AG260">
            <v>2.8275704768924719E-3</v>
          </cell>
          <cell r="AH260">
            <v>4.7253460075335684E-3</v>
          </cell>
          <cell r="AI260">
            <v>2.4547180366727601E-3</v>
          </cell>
          <cell r="AJ260">
            <v>-1.2758013463572556E-3</v>
          </cell>
          <cell r="AK260">
            <v>-3.6926497415090439E-3</v>
          </cell>
          <cell r="AL260">
            <v>-5.9587006185606983E-3</v>
          </cell>
          <cell r="AM260">
            <v>-4.1413902686448043E-3</v>
          </cell>
          <cell r="AN260">
            <v>-5.1651800310561092E-4</v>
          </cell>
        </row>
        <row r="261">
          <cell r="I261" t="str">
            <v>CAD / USD</v>
          </cell>
          <cell r="Q261">
            <v>-6.3236846485890011E-5</v>
          </cell>
          <cell r="R261">
            <v>8.0117204019672703E-5</v>
          </cell>
          <cell r="S261">
            <v>2.2187391978250361E-4</v>
          </cell>
          <cell r="T261">
            <v>5.2421150817051967E-4</v>
          </cell>
          <cell r="U261">
            <v>1.0984164616235843E-3</v>
          </cell>
          <cell r="V261">
            <v>5.2942103726419149E-4</v>
          </cell>
          <cell r="W261">
            <v>2.9166122856521412E-5</v>
          </cell>
          <cell r="X261">
            <v>-1.6275769563656049E-3</v>
          </cell>
          <cell r="Y261">
            <v>-3.3620907151283336E-3</v>
          </cell>
          <cell r="Z261">
            <v>-2.1813343259992346E-3</v>
          </cell>
          <cell r="AA261">
            <v>-7.5689376461649947E-4</v>
          </cell>
          <cell r="AB261">
            <v>1.7638939991535317E-3</v>
          </cell>
          <cell r="AC261">
            <v>5.250305349640055E-3</v>
          </cell>
          <cell r="AD261">
            <v>4.0009928416119755E-3</v>
          </cell>
          <cell r="AE261">
            <v>1.403734646767546E-3</v>
          </cell>
          <cell r="AF261">
            <v>8.1953680699587252E-4</v>
          </cell>
          <cell r="AG261">
            <v>1.9170688343410906E-3</v>
          </cell>
          <cell r="AH261">
            <v>2.2994960535532697E-3</v>
          </cell>
          <cell r="AI261">
            <v>1.8860980983577205E-3</v>
          </cell>
          <cell r="AJ261">
            <v>-2.2864423995082639E-4</v>
          </cell>
          <cell r="AK261">
            <v>-1.100069592543079E-3</v>
          </cell>
          <cell r="AL261">
            <v>-2.0603988822171042E-3</v>
          </cell>
          <cell r="AM261">
            <v>-1.2657591441340844E-3</v>
          </cell>
          <cell r="AN261">
            <v>3.0274860099236485E-4</v>
          </cell>
        </row>
        <row r="262">
          <cell r="I262" t="str">
            <v>USD / USD</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row>
        <row r="264">
          <cell r="I264" t="str">
            <v xml:space="preserve">Weighted F/X favorable / (unfavorable) </v>
          </cell>
          <cell r="Q264">
            <v>8.9767210090460597E-2</v>
          </cell>
          <cell r="R264">
            <v>7.2411543078572074E-2</v>
          </cell>
          <cell r="S264">
            <v>7.8578559720263147E-2</v>
          </cell>
          <cell r="T264">
            <v>0.1161537406125476</v>
          </cell>
          <cell r="U264">
            <v>0.13096490784470671</v>
          </cell>
          <cell r="V264">
            <v>0.14033292361857624</v>
          </cell>
          <cell r="W264">
            <v>7.7577096004826415E-2</v>
          </cell>
          <cell r="X264">
            <v>-9.5016704025081361E-2</v>
          </cell>
          <cell r="Y264">
            <v>-0.13824874522816963</v>
          </cell>
          <cell r="Z264">
            <v>-0.1296094183983677</v>
          </cell>
          <cell r="AA264">
            <v>-5.2248886454075487E-2</v>
          </cell>
          <cell r="AB264">
            <v>0.11518606377821786</v>
          </cell>
          <cell r="AC264">
            <v>7.8390303478640247E-2</v>
          </cell>
          <cell r="AD264">
            <v>-3.6390544647397036E-2</v>
          </cell>
          <cell r="AE264">
            <v>-6.8447655251174785E-2</v>
          </cell>
          <cell r="AF264">
            <v>-4.9712305809254211E-2</v>
          </cell>
          <cell r="AG264">
            <v>6.1544255730071693E-3</v>
          </cell>
          <cell r="AH264">
            <v>0.11753989892963959</v>
          </cell>
          <cell r="AI264">
            <v>9.0378534967992002E-2</v>
          </cell>
          <cell r="AJ264">
            <v>1.2417144762863358E-4</v>
          </cell>
          <cell r="AK264">
            <v>-3.3507377749523511E-2</v>
          </cell>
          <cell r="AL264">
            <v>-7.4083004420289852E-2</v>
          </cell>
          <cell r="AM264">
            <v>-6.0954683862856254E-2</v>
          </cell>
          <cell r="AN264">
            <v>-2.1239199182098902E-2</v>
          </cell>
        </row>
        <row r="265">
          <cell r="I265" t="str">
            <v xml:space="preserve">Actual </v>
          </cell>
          <cell r="Q265">
            <v>0.15988391358214737</v>
          </cell>
          <cell r="R265">
            <v>0.13091387660442011</v>
          </cell>
          <cell r="S265">
            <v>0.14503196658768713</v>
          </cell>
          <cell r="T265">
            <v>0.2310010027073095</v>
          </cell>
          <cell r="U265">
            <v>0.24670181015588488</v>
          </cell>
          <cell r="V265">
            <v>0.24324839184775959</v>
          </cell>
          <cell r="W265">
            <v>0.13960102120794754</v>
          </cell>
          <cell r="X265">
            <v>-0.11088289984700483</v>
          </cell>
          <cell r="Y265">
            <v>-0.18261594535312697</v>
          </cell>
          <cell r="Z265">
            <v>-0.18073287381805175</v>
          </cell>
          <cell r="AA265">
            <v>-0.1069024780175859</v>
          </cell>
          <cell r="AB265">
            <v>0.1143434343434343</v>
          </cell>
          <cell r="AC265">
            <v>8.0608058608058641E-2</v>
          </cell>
          <cell r="AD265">
            <v>-7.6653710247349793E-2</v>
          </cell>
          <cell r="AE265">
            <v>-0.10656612529002318</v>
          </cell>
          <cell r="AF265">
            <v>-5.8011863224005644E-2</v>
          </cell>
          <cell r="AG265">
            <v>9.3797468354430702E-3</v>
          </cell>
          <cell r="AH265">
            <v>0.19726950354609929</v>
          </cell>
          <cell r="AI265">
            <v>0.11528942807625653</v>
          </cell>
        </row>
        <row r="266">
          <cell r="I266" t="str">
            <v>Difference</v>
          </cell>
          <cell r="Q266">
            <v>7.0116703491686777E-2</v>
          </cell>
          <cell r="R266">
            <v>5.8502333525848035E-2</v>
          </cell>
          <cell r="S266">
            <v>6.6453406867423986E-2</v>
          </cell>
          <cell r="T266">
            <v>0.1148472620947619</v>
          </cell>
          <cell r="U266">
            <v>0.11573690231117817</v>
          </cell>
          <cell r="V266">
            <v>0.10291546822918335</v>
          </cell>
          <cell r="W266">
            <v>6.2023925203121125E-2</v>
          </cell>
          <cell r="X266">
            <v>-1.5866195821923473E-2</v>
          </cell>
          <cell r="Y266">
            <v>-4.4367200124957346E-2</v>
          </cell>
          <cell r="Z266">
            <v>-5.112345541968405E-2</v>
          </cell>
          <cell r="AA266">
            <v>-5.4653591563510413E-2</v>
          </cell>
          <cell r="AB266">
            <v>-8.426294347835539E-4</v>
          </cell>
          <cell r="AC266">
            <v>2.2177551294183945E-3</v>
          </cell>
          <cell r="AD266">
            <v>-4.0263165599952758E-2</v>
          </cell>
          <cell r="AE266">
            <v>-3.8118470038848398E-2</v>
          </cell>
          <cell r="AF266">
            <v>-8.2995574147514337E-3</v>
          </cell>
          <cell r="AG266">
            <v>3.2253212624359009E-3</v>
          </cell>
          <cell r="AH266">
            <v>7.9729604616459698E-2</v>
          </cell>
          <cell r="AI266">
            <v>2.4910893108264526E-2</v>
          </cell>
          <cell r="AJ266">
            <v>-1.2417144762863358E-4</v>
          </cell>
          <cell r="AK266">
            <v>3.3507377749523511E-2</v>
          </cell>
          <cell r="AL266">
            <v>7.4083004420289852E-2</v>
          </cell>
          <cell r="AM266">
            <v>6.0954683862856254E-2</v>
          </cell>
          <cell r="AN266">
            <v>2.1239199182098902E-2</v>
          </cell>
        </row>
        <row r="268">
          <cell r="I268" t="str">
            <v>Revenue by Geography</v>
          </cell>
        </row>
        <row r="269">
          <cell r="I269" t="str">
            <v>US</v>
          </cell>
          <cell r="M269">
            <v>219.51399999999998</v>
          </cell>
          <cell r="N269">
            <v>260.55099999999999</v>
          </cell>
          <cell r="O269">
            <v>248.46700000000004</v>
          </cell>
          <cell r="P269">
            <v>211.87099999999998</v>
          </cell>
          <cell r="Q269">
            <v>237.61100000000002</v>
          </cell>
          <cell r="R269">
            <v>263.16199999999992</v>
          </cell>
          <cell r="S269">
            <v>285.09199999999998</v>
          </cell>
          <cell r="T269">
            <v>232.453</v>
          </cell>
          <cell r="U269">
            <v>298.98</v>
          </cell>
          <cell r="V269">
            <v>349.476</v>
          </cell>
          <cell r="W269">
            <v>337.90900000000005</v>
          </cell>
          <cell r="X269">
            <v>278.64099999999996</v>
          </cell>
          <cell r="Y269">
            <v>347.45799999999997</v>
          </cell>
          <cell r="Z269">
            <v>406.14099999999996</v>
          </cell>
          <cell r="AA269">
            <v>413.76</v>
          </cell>
          <cell r="AB269">
            <v>318.85300000000007</v>
          </cell>
          <cell r="AC269">
            <v>368.59399999999988</v>
          </cell>
          <cell r="AD269">
            <v>444.83900000000006</v>
          </cell>
          <cell r="AE269">
            <v>470.75699999999995</v>
          </cell>
          <cell r="AF269">
            <v>356.41600000000005</v>
          </cell>
          <cell r="AG269">
            <v>420.22</v>
          </cell>
          <cell r="AH269">
            <v>489.81600000000014</v>
          </cell>
          <cell r="AI269">
            <v>499.80400000000009</v>
          </cell>
          <cell r="AJ269">
            <v>385.14147250000002</v>
          </cell>
          <cell r="AK269">
            <v>456.32213184</v>
          </cell>
          <cell r="AL269">
            <v>535.87710611600005</v>
          </cell>
          <cell r="AM269">
            <v>550.41795260000004</v>
          </cell>
          <cell r="AN269">
            <v>416.31536740000007</v>
          </cell>
        </row>
        <row r="270">
          <cell r="I270" t="str">
            <v>y/y Growth - %</v>
          </cell>
          <cell r="M270" t="str">
            <v>NA</v>
          </cell>
          <cell r="N270" t="str">
            <v>NA</v>
          </cell>
          <cell r="O270" t="str">
            <v>NA</v>
          </cell>
          <cell r="P270" t="str">
            <v>NA</v>
          </cell>
          <cell r="Q270">
            <v>8.244121103893165E-2</v>
          </cell>
          <cell r="R270">
            <v>1.0021070730873882E-2</v>
          </cell>
          <cell r="S270">
            <v>0.14740388059581333</v>
          </cell>
          <cell r="T270">
            <v>9.7144016878194961E-2</v>
          </cell>
          <cell r="U270">
            <v>0.25827507985741405</v>
          </cell>
          <cell r="V270">
            <v>0.32798808338589946</v>
          </cell>
          <cell r="W270">
            <v>0.18526300282014252</v>
          </cell>
          <cell r="X270">
            <v>0.19869823147044752</v>
          </cell>
          <cell r="Y270">
            <v>0.16214462505853211</v>
          </cell>
          <cell r="Z270">
            <v>0.16214275086128938</v>
          </cell>
          <cell r="AA270">
            <v>0.22447167728589634</v>
          </cell>
          <cell r="AB270">
            <v>0.14431472755265773</v>
          </cell>
          <cell r="AC270">
            <v>6.0830373743013366E-2</v>
          </cell>
          <cell r="AD270">
            <v>9.5282180326537125E-2</v>
          </cell>
          <cell r="AE270">
            <v>0.13775377030162406</v>
          </cell>
          <cell r="AF270">
            <v>0.11780663816868575</v>
          </cell>
          <cell r="AG270">
            <v>0.1400619651974806</v>
          </cell>
          <cell r="AH270">
            <v>0.10110849093717067</v>
          </cell>
          <cell r="AI270">
            <v>6.1702746852410284E-2</v>
          </cell>
          <cell r="AJ270">
            <v>8.0595350657658438E-2</v>
          </cell>
          <cell r="AK270">
            <v>8.5912454999761856E-2</v>
          </cell>
          <cell r="AL270">
            <v>9.4037569446485891E-2</v>
          </cell>
          <cell r="AM270">
            <v>0.10126760210002317</v>
          </cell>
          <cell r="AN270">
            <v>8.0941412768784637E-2</v>
          </cell>
        </row>
        <row r="271">
          <cell r="I271" t="str">
            <v>% of total revenue</v>
          </cell>
          <cell r="M271">
            <v>0.9074051109071819</v>
          </cell>
          <cell r="N271">
            <v>0.84690444692199918</v>
          </cell>
          <cell r="O271">
            <v>0.79264164967923256</v>
          </cell>
          <cell r="P271">
            <v>0.81466599505519643</v>
          </cell>
          <cell r="Q271">
            <v>0.83223063209473536</v>
          </cell>
          <cell r="R271">
            <v>0.74431641409427474</v>
          </cell>
          <cell r="S271">
            <v>0.68385097339358869</v>
          </cell>
          <cell r="T271">
            <v>0.69419416878451146</v>
          </cell>
          <cell r="U271">
            <v>0.74155464060717302</v>
          </cell>
          <cell r="V271">
            <v>0.67994614534530795</v>
          </cell>
          <cell r="W271">
            <v>0.60168017250435801</v>
          </cell>
          <cell r="X271">
            <v>0.68623858181809216</v>
          </cell>
          <cell r="Y271">
            <v>0.75197918875985259</v>
          </cell>
          <cell r="Z271">
            <v>0.67270733642406255</v>
          </cell>
          <cell r="AA271">
            <v>0.56628253907426163</v>
          </cell>
          <cell r="AB271">
            <v>0.58855788523552255</v>
          </cell>
          <cell r="AC271">
            <v>0.63072858379791708</v>
          </cell>
          <cell r="AD271">
            <v>0.57964085744925653</v>
          </cell>
          <cell r="AE271">
            <v>0.46993133065204434</v>
          </cell>
          <cell r="AF271">
            <v>0.48736250813601784</v>
          </cell>
          <cell r="AG271">
            <v>0.51922601690307912</v>
          </cell>
          <cell r="AH271">
            <v>0.44419052593777553</v>
          </cell>
          <cell r="AI271">
            <v>0.34402713648916167</v>
          </cell>
          <cell r="AJ271">
            <v>0.39870120778542584</v>
          </cell>
          <cell r="AK271">
            <v>0.45459837150576365</v>
          </cell>
          <cell r="AL271">
            <v>0.39002435321866219</v>
          </cell>
          <cell r="AM271">
            <v>0.30188533759196751</v>
          </cell>
          <cell r="AN271">
            <v>0.34768402887334565</v>
          </cell>
        </row>
        <row r="272">
          <cell r="I272" t="str">
            <v>International</v>
          </cell>
          <cell r="M272">
            <v>22.4</v>
          </cell>
          <cell r="N272">
            <v>47.1</v>
          </cell>
          <cell r="O272">
            <v>65</v>
          </cell>
          <cell r="P272">
            <v>48.2</v>
          </cell>
          <cell r="Q272">
            <v>47.9</v>
          </cell>
          <cell r="R272">
            <v>90.4</v>
          </cell>
          <cell r="S272">
            <v>131.80000000000001</v>
          </cell>
          <cell r="T272">
            <v>102.4</v>
          </cell>
          <cell r="U272">
            <v>104.2</v>
          </cell>
          <cell r="V272">
            <v>164.5</v>
          </cell>
          <cell r="W272">
            <v>223.7</v>
          </cell>
          <cell r="X272">
            <v>127.4</v>
          </cell>
          <cell r="Y272">
            <v>114.6</v>
          </cell>
          <cell r="Z272">
            <v>197.6</v>
          </cell>
          <cell r="AA272">
            <v>316.89999999999998</v>
          </cell>
          <cell r="AB272">
            <v>222.9</v>
          </cell>
          <cell r="AC272">
            <v>215.8</v>
          </cell>
          <cell r="AD272">
            <v>322.60000000000002</v>
          </cell>
          <cell r="AE272">
            <v>531</v>
          </cell>
          <cell r="AF272">
            <v>374.9</v>
          </cell>
          <cell r="AG272">
            <v>389.1</v>
          </cell>
          <cell r="AH272">
            <v>612.9</v>
          </cell>
          <cell r="AI272">
            <v>953</v>
          </cell>
          <cell r="AJ272">
            <v>580.84876023407435</v>
          </cell>
          <cell r="AK272">
            <v>547.46969946050967</v>
          </cell>
          <cell r="AL272">
            <v>838.08096007574693</v>
          </cell>
          <cell r="AM272">
            <v>1272.8503021303861</v>
          </cell>
          <cell r="AN272">
            <v>781.08035062895635</v>
          </cell>
        </row>
        <row r="273">
          <cell r="I273" t="str">
            <v>y/y Growth - %</v>
          </cell>
          <cell r="M273" t="str">
            <v>NA</v>
          </cell>
          <cell r="N273" t="str">
            <v>NA</v>
          </cell>
          <cell r="O273" t="str">
            <v>NA</v>
          </cell>
          <cell r="P273" t="str">
            <v>NA</v>
          </cell>
          <cell r="Q273">
            <v>1.1383928571428572</v>
          </cell>
          <cell r="R273">
            <v>0.91932059447983017</v>
          </cell>
          <cell r="S273">
            <v>1.0276923076923077</v>
          </cell>
          <cell r="T273">
            <v>1.1244813278008299</v>
          </cell>
          <cell r="U273">
            <v>1.1753653444676408</v>
          </cell>
          <cell r="V273">
            <v>0.81969026548672552</v>
          </cell>
          <cell r="W273">
            <v>0.69726858877086473</v>
          </cell>
          <cell r="X273">
            <v>0.244140625</v>
          </cell>
          <cell r="Y273">
            <v>9.9808061420345373E-2</v>
          </cell>
          <cell r="Z273">
            <v>0.20121580547112461</v>
          </cell>
          <cell r="AA273">
            <v>0.41662941439427792</v>
          </cell>
          <cell r="AB273">
            <v>0.74960753532182101</v>
          </cell>
          <cell r="AC273">
            <v>0.88307155322862152</v>
          </cell>
          <cell r="AD273">
            <v>0.63259109311740902</v>
          </cell>
          <cell r="AE273">
            <v>0.67560744714420973</v>
          </cell>
          <cell r="AF273">
            <v>0.68192014356213537</v>
          </cell>
          <cell r="AG273">
            <v>0.80305838739573687</v>
          </cell>
          <cell r="AH273">
            <v>0.89987600743955332</v>
          </cell>
          <cell r="AI273">
            <v>0.79472693032015074</v>
          </cell>
          <cell r="AJ273">
            <v>0.5493431854736579</v>
          </cell>
          <cell r="AK273">
            <v>0.40701541881395431</v>
          </cell>
          <cell r="AL273">
            <v>0.36740244750488982</v>
          </cell>
          <cell r="AM273">
            <v>0.33562466120712076</v>
          </cell>
          <cell r="AN273">
            <v>0.34472242019452937</v>
          </cell>
        </row>
        <row r="274">
          <cell r="I274" t="str">
            <v>(+/-) FX y/y Growth - %</v>
          </cell>
          <cell r="M274" t="str">
            <v>NA</v>
          </cell>
          <cell r="N274" t="str">
            <v>NA</v>
          </cell>
          <cell r="O274" t="str">
            <v>NA</v>
          </cell>
          <cell r="P274" t="str">
            <v>NA</v>
          </cell>
          <cell r="Q274" t="str">
            <v>NA</v>
          </cell>
          <cell r="R274" t="str">
            <v>NA</v>
          </cell>
          <cell r="S274" t="str">
            <v>NA</v>
          </cell>
          <cell r="T274" t="str">
            <v>NA</v>
          </cell>
          <cell r="U274" t="str">
            <v>NA</v>
          </cell>
          <cell r="V274" t="str">
            <v>NA</v>
          </cell>
          <cell r="W274">
            <v>-6.7268588770864723E-2</v>
          </cell>
          <cell r="X274">
            <v>0.195859375</v>
          </cell>
          <cell r="Y274">
            <v>0.20019193857965462</v>
          </cell>
          <cell r="Z274">
            <v>0.1787841945288754</v>
          </cell>
          <cell r="AA274">
            <v>8.3370585605722081E-2</v>
          </cell>
          <cell r="AB274">
            <v>-0.119607535321821</v>
          </cell>
          <cell r="AC274">
            <v>-9.3071553228621484E-2</v>
          </cell>
          <cell r="AD274">
            <v>4.7408906882591029E-2</v>
          </cell>
          <cell r="AE274">
            <v>0.12439255285579032</v>
          </cell>
          <cell r="AF274">
            <v>6.8079856437864628E-2</v>
          </cell>
          <cell r="AG274">
            <v>-1.3058387395736837E-2</v>
          </cell>
          <cell r="AH274">
            <v>-0.18987600743955335</v>
          </cell>
          <cell r="AI274">
            <v>-0.11472693032015069</v>
          </cell>
          <cell r="AJ274">
            <v>-1.2417144762863358E-4</v>
          </cell>
          <cell r="AK274">
            <v>3.3507377749523511E-2</v>
          </cell>
          <cell r="AL274">
            <v>7.4083004420289852E-2</v>
          </cell>
          <cell r="AM274">
            <v>6.0954683862856254E-2</v>
          </cell>
          <cell r="AN274">
            <v>2.1239199182098902E-2</v>
          </cell>
        </row>
        <row r="275">
          <cell r="I275" t="str">
            <v>y/y Growth - % (excl F/X)</v>
          </cell>
          <cell r="M275" t="str">
            <v>NA</v>
          </cell>
          <cell r="N275" t="str">
            <v>NA</v>
          </cell>
          <cell r="O275" t="str">
            <v>NA</v>
          </cell>
          <cell r="P275" t="str">
            <v>NA</v>
          </cell>
          <cell r="Q275" t="str">
            <v>NA</v>
          </cell>
          <cell r="R275" t="str">
            <v>NA</v>
          </cell>
          <cell r="S275" t="str">
            <v>NA</v>
          </cell>
          <cell r="T275" t="str">
            <v>NA</v>
          </cell>
          <cell r="U275" t="str">
            <v>NA</v>
          </cell>
          <cell r="V275" t="str">
            <v>NA</v>
          </cell>
          <cell r="W275">
            <v>0.63</v>
          </cell>
          <cell r="X275">
            <v>0.44</v>
          </cell>
          <cell r="Y275">
            <v>0.3</v>
          </cell>
          <cell r="Z275">
            <v>0.38</v>
          </cell>
          <cell r="AA275">
            <v>0.5</v>
          </cell>
          <cell r="AB275">
            <v>0.63</v>
          </cell>
          <cell r="AC275">
            <v>0.79</v>
          </cell>
          <cell r="AD275">
            <v>0.68</v>
          </cell>
          <cell r="AE275">
            <v>0.8</v>
          </cell>
          <cell r="AF275">
            <v>0.75</v>
          </cell>
          <cell r="AG275">
            <v>0.79</v>
          </cell>
          <cell r="AH275">
            <v>0.71</v>
          </cell>
          <cell r="AI275">
            <v>0.68</v>
          </cell>
          <cell r="AJ275">
            <v>0.54921901402602924</v>
          </cell>
          <cell r="AK275">
            <v>0.44052279656347781</v>
          </cell>
          <cell r="AL275">
            <v>0.44148545192517968</v>
          </cell>
          <cell r="AM275">
            <v>0.396579345069977</v>
          </cell>
          <cell r="AN275">
            <v>0.36596161937662824</v>
          </cell>
        </row>
        <row r="276">
          <cell r="I276" t="str">
            <v>% of total revenue</v>
          </cell>
          <cell r="M276">
            <v>9.2594889092818114E-2</v>
          </cell>
          <cell r="N276">
            <v>0.15309555307800071</v>
          </cell>
          <cell r="O276">
            <v>0.20735835032076738</v>
          </cell>
          <cell r="P276">
            <v>0.18533400494480357</v>
          </cell>
          <cell r="Q276">
            <v>0.16776936790526459</v>
          </cell>
          <cell r="R276">
            <v>0.25568358590572521</v>
          </cell>
          <cell r="S276">
            <v>0.31614902660641131</v>
          </cell>
          <cell r="T276">
            <v>0.3058058312154886</v>
          </cell>
          <cell r="U276">
            <v>0.25844535939282703</v>
          </cell>
          <cell r="V276">
            <v>0.32005385465469205</v>
          </cell>
          <cell r="W276">
            <v>0.39831982749564193</v>
          </cell>
          <cell r="X276">
            <v>0.31376141818190778</v>
          </cell>
          <cell r="Y276">
            <v>0.24802081124014733</v>
          </cell>
          <cell r="Z276">
            <v>0.32729266357593734</v>
          </cell>
          <cell r="AA276">
            <v>0.43371746092573837</v>
          </cell>
          <cell r="AB276">
            <v>0.41144211476447751</v>
          </cell>
          <cell r="AC276">
            <v>0.36927141620208292</v>
          </cell>
          <cell r="AD276">
            <v>0.42035914255074341</v>
          </cell>
          <cell r="AE276">
            <v>0.53006866934795571</v>
          </cell>
          <cell r="AF276">
            <v>0.51263749186398211</v>
          </cell>
          <cell r="AG276">
            <v>0.48077398309692088</v>
          </cell>
          <cell r="AH276">
            <v>0.55580947406222447</v>
          </cell>
          <cell r="AI276">
            <v>0.65597286351083828</v>
          </cell>
          <cell r="AJ276">
            <v>0.60129879221457427</v>
          </cell>
          <cell r="AK276">
            <v>0.54540162849423623</v>
          </cell>
          <cell r="AL276">
            <v>0.60997564678133775</v>
          </cell>
          <cell r="AM276">
            <v>0.69811466240803244</v>
          </cell>
          <cell r="AN276">
            <v>0.65231597112665451</v>
          </cell>
        </row>
        <row r="278">
          <cell r="I278" t="str">
            <v>Gross Profit by Geography</v>
          </cell>
        </row>
        <row r="279">
          <cell r="I279" t="str">
            <v>US</v>
          </cell>
          <cell r="M279">
            <v>49.830999999999989</v>
          </cell>
          <cell r="N279">
            <v>58.703999999999979</v>
          </cell>
          <cell r="O279">
            <v>58.547000000000054</v>
          </cell>
          <cell r="P279">
            <v>51.316999999999979</v>
          </cell>
          <cell r="Q279">
            <v>55.939000000000021</v>
          </cell>
          <cell r="R279">
            <v>64.49299999999991</v>
          </cell>
          <cell r="S279">
            <v>70.135999999999996</v>
          </cell>
          <cell r="T279">
            <v>57.75200000000001</v>
          </cell>
          <cell r="U279">
            <v>76.90300000000002</v>
          </cell>
          <cell r="V279">
            <v>89.225000000000023</v>
          </cell>
          <cell r="W279">
            <v>92.378000000000043</v>
          </cell>
          <cell r="X279">
            <v>77.664999999999964</v>
          </cell>
          <cell r="Y279">
            <v>93.729999999999961</v>
          </cell>
          <cell r="Z279">
            <v>107.63799999999998</v>
          </cell>
          <cell r="AA279">
            <v>117.10599999999999</v>
          </cell>
          <cell r="AB279">
            <v>90.289000000000073</v>
          </cell>
          <cell r="AC279">
            <v>103.31599999999986</v>
          </cell>
          <cell r="AD279">
            <v>122.65500000000003</v>
          </cell>
          <cell r="AE279">
            <v>135.18799999999993</v>
          </cell>
          <cell r="AF279">
            <v>103.51300000000006</v>
          </cell>
          <cell r="AG279">
            <v>116.70800000000003</v>
          </cell>
          <cell r="AH279">
            <v>136.32700000000017</v>
          </cell>
          <cell r="AI279">
            <v>147.14800000000008</v>
          </cell>
          <cell r="AJ279">
            <v>110.2623025</v>
          </cell>
          <cell r="AK279">
            <v>123.55319798399999</v>
          </cell>
          <cell r="AL279">
            <v>145.49411885200001</v>
          </cell>
          <cell r="AM279">
            <v>160.45144845000002</v>
          </cell>
          <cell r="AN279">
            <v>114.657646</v>
          </cell>
        </row>
        <row r="280">
          <cell r="I280" t="str">
            <v>y/y Growth - %</v>
          </cell>
          <cell r="M280" t="str">
            <v>NA</v>
          </cell>
          <cell r="N280" t="str">
            <v>NA</v>
          </cell>
          <cell r="O280" t="str">
            <v>NA</v>
          </cell>
          <cell r="P280" t="str">
            <v>NA</v>
          </cell>
          <cell r="Q280">
            <v>0.12257430113784662</v>
          </cell>
          <cell r="R280">
            <v>9.8613382393021531E-2</v>
          </cell>
          <cell r="S280">
            <v>0.19794353254649999</v>
          </cell>
          <cell r="T280">
            <v>0.12539704191593493</v>
          </cell>
          <cell r="U280">
            <v>0.37476536942026129</v>
          </cell>
          <cell r="V280">
            <v>0.38348347882716172</v>
          </cell>
          <cell r="W280">
            <v>0.31712672521957419</v>
          </cell>
          <cell r="X280">
            <v>0.34480191162210749</v>
          </cell>
          <cell r="Y280">
            <v>0.21880810891642644</v>
          </cell>
          <cell r="Z280">
            <v>0.20636592883160487</v>
          </cell>
          <cell r="AA280">
            <v>0.26768278161466941</v>
          </cell>
          <cell r="AB280">
            <v>0.16254426060645222</v>
          </cell>
          <cell r="AC280">
            <v>0.10227248479675555</v>
          </cell>
          <cell r="AD280">
            <v>0.13951392630855319</v>
          </cell>
          <cell r="AE280">
            <v>0.15440711833723242</v>
          </cell>
          <cell r="AF280">
            <v>0.14646302428867286</v>
          </cell>
          <cell r="AG280">
            <v>0.12962174300205365</v>
          </cell>
          <cell r="AH280">
            <v>0.11146712323183028</v>
          </cell>
          <cell r="AI280">
            <v>8.8469390774330137E-2</v>
          </cell>
          <cell r="AJ280">
            <v>6.5202462492633284E-2</v>
          </cell>
          <cell r="AK280">
            <v>5.8652345888884794E-2</v>
          </cell>
          <cell r="AL280">
            <v>6.7243604363037557E-2</v>
          </cell>
          <cell r="AM280">
            <v>9.0408625669393672E-2</v>
          </cell>
          <cell r="AN280">
            <v>3.9862613063063934E-2</v>
          </cell>
        </row>
        <row r="281">
          <cell r="I281" t="str">
            <v>% of total gross profit</v>
          </cell>
          <cell r="M281">
            <v>0.68988384488654442</v>
          </cell>
          <cell r="N281">
            <v>0.55483724622887587</v>
          </cell>
          <cell r="O281">
            <v>0.47388443264506669</v>
          </cell>
          <cell r="P281">
            <v>0.51566064089552521</v>
          </cell>
          <cell r="Q281">
            <v>0.53870896291374171</v>
          </cell>
          <cell r="R281">
            <v>0.41637130147908508</v>
          </cell>
          <cell r="S281">
            <v>0.34731796212661431</v>
          </cell>
          <cell r="T281">
            <v>0.36060742294819925</v>
          </cell>
          <cell r="U281">
            <v>0.42463680888776012</v>
          </cell>
          <cell r="V281">
            <v>0.35166026209478773</v>
          </cell>
          <cell r="W281">
            <v>0.29226330209631818</v>
          </cell>
          <cell r="X281">
            <v>0.3787335722819592</v>
          </cell>
          <cell r="Y281">
            <v>0.44991119857917711</v>
          </cell>
          <cell r="Z281">
            <v>0.35263630347466551</v>
          </cell>
          <cell r="AA281">
            <v>0.26982576277747311</v>
          </cell>
          <cell r="AB281">
            <v>0.28828918001590115</v>
          </cell>
          <cell r="AC281">
            <v>0.32375687837651473</v>
          </cell>
          <cell r="AD281">
            <v>0.27547135910882536</v>
          </cell>
          <cell r="AE281">
            <v>0.20292770209010058</v>
          </cell>
          <cell r="AF281">
            <v>0.21636744820897438</v>
          </cell>
          <cell r="AG281">
            <v>0.23073577325783703</v>
          </cell>
          <cell r="AH281">
            <v>0.18195687021423437</v>
          </cell>
          <cell r="AI281">
            <v>0.13375291324439992</v>
          </cell>
          <cell r="AJ281">
            <v>0.15954353568556132</v>
          </cell>
          <cell r="AK281">
            <v>0.18412664970827949</v>
          </cell>
          <cell r="AL281">
            <v>0.14792375485012463</v>
          </cell>
          <cell r="AM281">
            <v>0.11194533766879758</v>
          </cell>
          <cell r="AN281">
            <v>0.128003552859771</v>
          </cell>
        </row>
        <row r="282">
          <cell r="I282" t="str">
            <v>International</v>
          </cell>
          <cell r="M282">
            <v>22.4</v>
          </cell>
          <cell r="N282">
            <v>47.1</v>
          </cell>
          <cell r="O282">
            <v>65</v>
          </cell>
          <cell r="P282">
            <v>48.2</v>
          </cell>
          <cell r="Q282">
            <v>47.9</v>
          </cell>
          <cell r="R282">
            <v>90.4</v>
          </cell>
          <cell r="S282">
            <v>131.80000000000001</v>
          </cell>
          <cell r="T282">
            <v>102.4</v>
          </cell>
          <cell r="U282">
            <v>104.2</v>
          </cell>
          <cell r="V282">
            <v>164.5</v>
          </cell>
          <cell r="W282">
            <v>223.7</v>
          </cell>
          <cell r="X282">
            <v>127.4</v>
          </cell>
          <cell r="Y282">
            <v>114.6</v>
          </cell>
          <cell r="Z282">
            <v>197.6</v>
          </cell>
          <cell r="AA282">
            <v>316.89999999999998</v>
          </cell>
          <cell r="AB282">
            <v>222.9</v>
          </cell>
          <cell r="AC282">
            <v>215.8</v>
          </cell>
          <cell r="AD282">
            <v>322.60000000000002</v>
          </cell>
          <cell r="AE282">
            <v>531</v>
          </cell>
          <cell r="AF282">
            <v>374.9</v>
          </cell>
          <cell r="AG282">
            <v>389.1</v>
          </cell>
          <cell r="AH282">
            <v>612.9</v>
          </cell>
          <cell r="AI282">
            <v>953</v>
          </cell>
          <cell r="AJ282">
            <v>580.84876023407435</v>
          </cell>
          <cell r="AK282">
            <v>547.46969946050967</v>
          </cell>
          <cell r="AL282">
            <v>838.08096007574693</v>
          </cell>
          <cell r="AM282">
            <v>1272.8503021303861</v>
          </cell>
          <cell r="AN282">
            <v>781.08035062895635</v>
          </cell>
        </row>
        <row r="283">
          <cell r="I283" t="str">
            <v>y/y Growth - %</v>
          </cell>
          <cell r="M283" t="str">
            <v>NA</v>
          </cell>
          <cell r="N283" t="str">
            <v>NA</v>
          </cell>
          <cell r="O283" t="str">
            <v>NA</v>
          </cell>
          <cell r="P283" t="str">
            <v>NA</v>
          </cell>
          <cell r="Q283">
            <v>1.1383928571428572</v>
          </cell>
          <cell r="R283">
            <v>0.91932059447983017</v>
          </cell>
          <cell r="S283">
            <v>1.0276923076923077</v>
          </cell>
          <cell r="T283">
            <v>1.1244813278008299</v>
          </cell>
          <cell r="U283">
            <v>1.1753653444676408</v>
          </cell>
          <cell r="V283">
            <v>0.81969026548672552</v>
          </cell>
          <cell r="W283">
            <v>0.69726858877086473</v>
          </cell>
          <cell r="X283">
            <v>0.244140625</v>
          </cell>
          <cell r="Y283">
            <v>9.9808061420345373E-2</v>
          </cell>
          <cell r="Z283">
            <v>0.20121580547112461</v>
          </cell>
          <cell r="AA283">
            <v>0.41662941439427792</v>
          </cell>
          <cell r="AB283">
            <v>0.74960753532182101</v>
          </cell>
          <cell r="AC283">
            <v>0.88307155322862152</v>
          </cell>
          <cell r="AD283">
            <v>0.63259109311740902</v>
          </cell>
          <cell r="AE283">
            <v>0.67560744714420973</v>
          </cell>
          <cell r="AF283">
            <v>0.68192014356213537</v>
          </cell>
          <cell r="AG283">
            <v>0.80305838739573687</v>
          </cell>
          <cell r="AH283">
            <v>0.89987600743955332</v>
          </cell>
          <cell r="AI283">
            <v>0.79472693032015074</v>
          </cell>
          <cell r="AJ283">
            <v>0.5493431854736579</v>
          </cell>
          <cell r="AK283">
            <v>0.40701541881395431</v>
          </cell>
          <cell r="AL283">
            <v>0.36740244750488982</v>
          </cell>
          <cell r="AM283">
            <v>0.33562466120712076</v>
          </cell>
          <cell r="AN283">
            <v>0.34472242019452937</v>
          </cell>
        </row>
        <row r="284">
          <cell r="I284" t="str">
            <v>(+/-) FX y/y Growth - %</v>
          </cell>
          <cell r="Q284" t="str">
            <v>NA</v>
          </cell>
          <cell r="R284" t="str">
            <v>NA</v>
          </cell>
          <cell r="S284" t="str">
            <v>NA</v>
          </cell>
          <cell r="T284" t="str">
            <v>NA</v>
          </cell>
          <cell r="U284" t="str">
            <v>NA</v>
          </cell>
          <cell r="V284" t="str">
            <v>NA</v>
          </cell>
          <cell r="W284">
            <v>-6.7268588770864723E-2</v>
          </cell>
          <cell r="X284">
            <v>0.195859375</v>
          </cell>
          <cell r="Y284">
            <v>0.20019193857965462</v>
          </cell>
          <cell r="Z284">
            <v>0.1787841945288754</v>
          </cell>
          <cell r="AA284">
            <v>8.3370585605722081E-2</v>
          </cell>
          <cell r="AB284">
            <v>-0.119607535321821</v>
          </cell>
          <cell r="AC284">
            <v>-9.3071553228621484E-2</v>
          </cell>
          <cell r="AD284">
            <v>4.7408906882591029E-2</v>
          </cell>
          <cell r="AE284">
            <v>0.12439255285579032</v>
          </cell>
          <cell r="AF284">
            <v>6.8079856437864628E-2</v>
          </cell>
          <cell r="AG284">
            <v>-1.3058387395736837E-2</v>
          </cell>
          <cell r="AH284">
            <v>-0.18987600743955335</v>
          </cell>
          <cell r="AI284">
            <v>-0.11472693032015069</v>
          </cell>
          <cell r="AJ284">
            <v>-1.2417144762863358E-4</v>
          </cell>
          <cell r="AK284">
            <v>3.3507377749523511E-2</v>
          </cell>
          <cell r="AL284">
            <v>7.4083004420289852E-2</v>
          </cell>
          <cell r="AM284">
            <v>6.0954683862856254E-2</v>
          </cell>
          <cell r="AN284">
            <v>2.1239199182098902E-2</v>
          </cell>
        </row>
        <row r="285">
          <cell r="I285" t="str">
            <v>y/y Growth - % (excl F/X)</v>
          </cell>
          <cell r="Q285" t="str">
            <v>NA</v>
          </cell>
          <cell r="R285" t="str">
            <v>NA</v>
          </cell>
          <cell r="S285" t="str">
            <v>NA</v>
          </cell>
          <cell r="T285" t="str">
            <v>NA</v>
          </cell>
          <cell r="U285" t="str">
            <v>NA</v>
          </cell>
          <cell r="V285" t="str">
            <v>NA</v>
          </cell>
          <cell r="W285">
            <v>0.63</v>
          </cell>
          <cell r="X285">
            <v>0.44</v>
          </cell>
          <cell r="Y285">
            <v>0.3</v>
          </cell>
          <cell r="Z285">
            <v>0.38</v>
          </cell>
          <cell r="AA285">
            <v>0.5</v>
          </cell>
          <cell r="AB285">
            <v>0.63</v>
          </cell>
          <cell r="AC285">
            <v>0.79</v>
          </cell>
          <cell r="AD285">
            <v>0.68</v>
          </cell>
          <cell r="AE285">
            <v>0.8</v>
          </cell>
          <cell r="AF285">
            <v>0.75</v>
          </cell>
          <cell r="AG285">
            <v>0.79</v>
          </cell>
          <cell r="AH285">
            <v>0.71</v>
          </cell>
          <cell r="AI285">
            <v>0.68</v>
          </cell>
          <cell r="AJ285">
            <v>0.54921901402602924</v>
          </cell>
          <cell r="AK285">
            <v>0.44052279656347781</v>
          </cell>
          <cell r="AL285">
            <v>0.44148545192517968</v>
          </cell>
          <cell r="AM285">
            <v>0.396579345069977</v>
          </cell>
          <cell r="AN285">
            <v>0.36596161937662824</v>
          </cell>
        </row>
        <row r="286">
          <cell r="I286" t="str">
            <v>% of total gross profit</v>
          </cell>
          <cell r="M286">
            <v>0.31011615511345547</v>
          </cell>
          <cell r="N286">
            <v>0.44516275377112402</v>
          </cell>
          <cell r="O286">
            <v>0.52611556735493381</v>
          </cell>
          <cell r="P286">
            <v>0.48433935910447468</v>
          </cell>
          <cell r="Q286">
            <v>0.46129103708625857</v>
          </cell>
          <cell r="R286">
            <v>0.58362869852091459</v>
          </cell>
          <cell r="S286">
            <v>0.65268203787338552</v>
          </cell>
          <cell r="T286">
            <v>0.63939257705180075</v>
          </cell>
          <cell r="U286">
            <v>0.57536319111223999</v>
          </cell>
          <cell r="V286">
            <v>0.64833973790521227</v>
          </cell>
          <cell r="W286">
            <v>0.70773669790368199</v>
          </cell>
          <cell r="X286">
            <v>0.62126642771804064</v>
          </cell>
          <cell r="Y286">
            <v>0.55008880142082273</v>
          </cell>
          <cell r="Z286">
            <v>0.64736369652533421</v>
          </cell>
          <cell r="AA286">
            <v>0.73017423722252672</v>
          </cell>
          <cell r="AB286">
            <v>0.71171081998409902</v>
          </cell>
          <cell r="AC286">
            <v>0.6762431216234851</v>
          </cell>
          <cell r="AD286">
            <v>0.72452864089117486</v>
          </cell>
          <cell r="AE286">
            <v>0.79707229790989931</v>
          </cell>
          <cell r="AF286">
            <v>0.78363255179102564</v>
          </cell>
          <cell r="AG286">
            <v>0.7692642267421631</v>
          </cell>
          <cell r="AH286">
            <v>0.81804312978576588</v>
          </cell>
          <cell r="AI286">
            <v>0.86624708675560025</v>
          </cell>
          <cell r="AJ286">
            <v>0.84045646431443866</v>
          </cell>
          <cell r="AK286">
            <v>0.81587335029172048</v>
          </cell>
          <cell r="AL286">
            <v>0.85207624514987546</v>
          </cell>
          <cell r="AM286">
            <v>0.88805466233120245</v>
          </cell>
          <cell r="AN286">
            <v>0.87199644714022895</v>
          </cell>
        </row>
        <row r="288">
          <cell r="I288" t="str">
            <v>Market Share Forecast - Gross Bookings</v>
          </cell>
        </row>
        <row r="289">
          <cell r="I289" t="str">
            <v>Booking.com Europe</v>
          </cell>
          <cell r="M289">
            <v>267.26400000000007</v>
          </cell>
          <cell r="N289">
            <v>350.74300000000011</v>
          </cell>
          <cell r="O289">
            <v>392.76600000000008</v>
          </cell>
          <cell r="P289">
            <v>313.15600000000006</v>
          </cell>
          <cell r="Q289">
            <v>504.00400000000002</v>
          </cell>
          <cell r="R289">
            <v>670.29899999999998</v>
          </cell>
          <cell r="S289">
            <v>772.15299999999979</v>
          </cell>
          <cell r="T289">
            <v>649.81000000000006</v>
          </cell>
          <cell r="U289">
            <v>972.23150000000021</v>
          </cell>
          <cell r="V289">
            <v>1168.3035</v>
          </cell>
          <cell r="W289">
            <v>1173.1324999999999</v>
          </cell>
          <cell r="X289">
            <v>711.15499999999997</v>
          </cell>
          <cell r="Y289">
            <v>962.86</v>
          </cell>
          <cell r="Z289">
            <v>1262.009125</v>
          </cell>
          <cell r="AA289">
            <v>1538.44625</v>
          </cell>
          <cell r="AB289">
            <v>1228.8415</v>
          </cell>
          <cell r="AC289">
            <v>1656.6200000000001</v>
          </cell>
          <cell r="AD289">
            <v>1843.9102500000001</v>
          </cell>
          <cell r="AE289">
            <v>2305.939625</v>
          </cell>
          <cell r="AF289">
            <v>1857.9887500000002</v>
          </cell>
          <cell r="AG289">
            <v>2708.0260000000003</v>
          </cell>
          <cell r="AH289">
            <v>3431.0739750000002</v>
          </cell>
          <cell r="AI289">
            <v>3748.7228999999998</v>
          </cell>
          <cell r="AJ289">
            <v>2679.5012112589302</v>
          </cell>
          <cell r="AK289">
            <v>3449.3490420691924</v>
          </cell>
          <cell r="AL289">
            <v>4320.3888031699053</v>
          </cell>
          <cell r="AM289">
            <v>4811.7956430876802</v>
          </cell>
          <cell r="AN289">
            <v>3367.4356604679911</v>
          </cell>
        </row>
        <row r="290">
          <cell r="I290" t="str">
            <v>Europe Hotel Market</v>
          </cell>
          <cell r="M290">
            <v>24252.939077679963</v>
          </cell>
          <cell r="N290">
            <v>29764.970686243592</v>
          </cell>
          <cell r="O290">
            <v>30867.377007956322</v>
          </cell>
          <cell r="P290">
            <v>25355.345399392689</v>
          </cell>
          <cell r="Q290">
            <v>24854.436153598326</v>
          </cell>
          <cell r="R290">
            <v>30503.17164305249</v>
          </cell>
          <cell r="S290">
            <v>31632.918740943325</v>
          </cell>
          <cell r="T290">
            <v>25984.183251489158</v>
          </cell>
          <cell r="U290">
            <v>25002.336453129821</v>
          </cell>
          <cell r="V290">
            <v>30684.685647022961</v>
          </cell>
          <cell r="W290">
            <v>31821.155485801592</v>
          </cell>
          <cell r="X290">
            <v>26138.806291908448</v>
          </cell>
          <cell r="Y290">
            <v>22304.692703686338</v>
          </cell>
          <cell r="Z290">
            <v>27373.941045433232</v>
          </cell>
          <cell r="AA290">
            <v>28387.790713782611</v>
          </cell>
          <cell r="AB290">
            <v>23318.542372035718</v>
          </cell>
          <cell r="AC290">
            <v>22740.693818227413</v>
          </cell>
          <cell r="AD290">
            <v>27909.033322370007</v>
          </cell>
          <cell r="AE290">
            <v>28942.701223198528</v>
          </cell>
          <cell r="AF290">
            <v>23774.361719055931</v>
          </cell>
          <cell r="AG290">
            <v>23650.321570956512</v>
          </cell>
          <cell r="AH290">
            <v>29025.394655264812</v>
          </cell>
          <cell r="AI290">
            <v>30100.409272126471</v>
          </cell>
          <cell r="AJ290">
            <v>24725.336187818171</v>
          </cell>
          <cell r="AK290">
            <v>24832.837649504334</v>
          </cell>
          <cell r="AL290">
            <v>30476.66438802805</v>
          </cell>
          <cell r="AM290">
            <v>31605.429735732792</v>
          </cell>
          <cell r="AN290">
            <v>25961.602997209076</v>
          </cell>
        </row>
        <row r="291">
          <cell r="I291" t="str">
            <v>y/y Growth - %</v>
          </cell>
          <cell r="M291" t="str">
            <v>NA</v>
          </cell>
          <cell r="N291" t="str">
            <v>NA</v>
          </cell>
          <cell r="O291" t="str">
            <v>NA</v>
          </cell>
          <cell r="P291" t="str">
            <v>NA</v>
          </cell>
          <cell r="Q291">
            <v>2.480099727261198E-2</v>
          </cell>
          <cell r="R291">
            <v>2.4800997272611758E-2</v>
          </cell>
          <cell r="S291">
            <v>2.4800997272611758E-2</v>
          </cell>
          <cell r="T291">
            <v>2.4800997272611758E-2</v>
          </cell>
          <cell r="U291">
            <v>5.9506600197036796E-3</v>
          </cell>
          <cell r="V291">
            <v>5.9506600197036796E-3</v>
          </cell>
          <cell r="W291">
            <v>5.9506600197036796E-3</v>
          </cell>
          <cell r="X291">
            <v>5.9506600197036796E-3</v>
          </cell>
          <cell r="Y291">
            <v>-0.10789566625105507</v>
          </cell>
          <cell r="Z291">
            <v>-0.10789566625105507</v>
          </cell>
          <cell r="AA291">
            <v>-0.10789566625105507</v>
          </cell>
          <cell r="AB291">
            <v>-0.10789566625105496</v>
          </cell>
          <cell r="AC291">
            <v>1.954750600392785E-2</v>
          </cell>
          <cell r="AD291">
            <v>1.954750600392785E-2</v>
          </cell>
          <cell r="AE291">
            <v>1.9547506003928072E-2</v>
          </cell>
          <cell r="AF291">
            <v>1.954750600392785E-2</v>
          </cell>
          <cell r="AG291">
            <v>4.0000000000000036E-2</v>
          </cell>
          <cell r="AH291">
            <v>4.0000000000000258E-2</v>
          </cell>
          <cell r="AI291">
            <v>4.0000000000000036E-2</v>
          </cell>
          <cell r="AJ291">
            <v>4.0000000000000036E-2</v>
          </cell>
          <cell r="AK291">
            <v>4.9999999999999822E-2</v>
          </cell>
          <cell r="AL291">
            <v>4.9999999999999822E-2</v>
          </cell>
          <cell r="AM291">
            <v>4.9999999999999822E-2</v>
          </cell>
          <cell r="AN291">
            <v>4.9999999999999822E-2</v>
          </cell>
        </row>
        <row r="292">
          <cell r="I292" t="str">
            <v>Europe Online Hotel Market</v>
          </cell>
          <cell r="M292">
            <v>2606.473565875659</v>
          </cell>
          <cell r="N292">
            <v>3198.8539217564908</v>
          </cell>
          <cell r="O292">
            <v>3317.3299929326572</v>
          </cell>
          <cell r="P292">
            <v>2724.9496370518254</v>
          </cell>
          <cell r="Q292">
            <v>3262.2839713351136</v>
          </cell>
          <cell r="R292">
            <v>4003.7121466385488</v>
          </cell>
          <cell r="S292">
            <v>4151.9977816992359</v>
          </cell>
          <cell r="T292">
            <v>3410.5696063958007</v>
          </cell>
          <cell r="U292">
            <v>4015.1391185635116</v>
          </cell>
          <cell r="V292">
            <v>4927.670736418856</v>
          </cell>
          <cell r="W292">
            <v>5110.1770599899246</v>
          </cell>
          <cell r="X292">
            <v>4197.6454421345807</v>
          </cell>
          <cell r="Y292">
            <v>4243.6591451970762</v>
          </cell>
          <cell r="Z292">
            <v>5208.1271327418663</v>
          </cell>
          <cell r="AA292">
            <v>5401.0207302508252</v>
          </cell>
          <cell r="AB292">
            <v>4436.5527427060342</v>
          </cell>
          <cell r="AC292">
            <v>4934.6412165259526</v>
          </cell>
          <cell r="AD292">
            <v>6056.1505839182155</v>
          </cell>
          <cell r="AE292">
            <v>6280.4524573966673</v>
          </cell>
          <cell r="AF292">
            <v>5158.9430900044053</v>
          </cell>
          <cell r="AG292">
            <v>5724.1838111701045</v>
          </cell>
          <cell r="AH292">
            <v>7025.1346773451296</v>
          </cell>
          <cell r="AI292">
            <v>7285.3248505801339</v>
          </cell>
          <cell r="AJ292">
            <v>5984.3739844051097</v>
          </cell>
          <cell r="AK292">
            <v>6525.5695447339203</v>
          </cell>
          <cell r="AL292">
            <v>8008.6535321734482</v>
          </cell>
          <cell r="AM292">
            <v>8305.2703296613545</v>
          </cell>
          <cell r="AN292">
            <v>6822.1863422218257</v>
          </cell>
        </row>
        <row r="293">
          <cell r="I293" t="str">
            <v>y/y Growth - %</v>
          </cell>
          <cell r="M293" t="str">
            <v>NA</v>
          </cell>
          <cell r="N293" t="str">
            <v>NA</v>
          </cell>
          <cell r="O293" t="str">
            <v>NA</v>
          </cell>
          <cell r="P293" t="str">
            <v>NA</v>
          </cell>
          <cell r="Q293">
            <v>0.25160830865327855</v>
          </cell>
          <cell r="R293">
            <v>0.25160830865327877</v>
          </cell>
          <cell r="S293">
            <v>0.25160830865327877</v>
          </cell>
          <cell r="T293">
            <v>0.25160830865327855</v>
          </cell>
          <cell r="U293">
            <v>0.23077547934010378</v>
          </cell>
          <cell r="V293">
            <v>0.23077547934010378</v>
          </cell>
          <cell r="W293">
            <v>0.23077547934010378</v>
          </cell>
          <cell r="X293">
            <v>0.23077547934010378</v>
          </cell>
          <cell r="Y293">
            <v>5.6914597448698645E-2</v>
          </cell>
          <cell r="Z293">
            <v>5.6914597448698423E-2</v>
          </cell>
          <cell r="AA293">
            <v>5.6914597448698645E-2</v>
          </cell>
          <cell r="AB293">
            <v>5.6914597448698423E-2</v>
          </cell>
          <cell r="AC293">
            <v>0.16282694902839268</v>
          </cell>
          <cell r="AD293">
            <v>0.16282694902839268</v>
          </cell>
          <cell r="AE293">
            <v>0.16282694902839245</v>
          </cell>
          <cell r="AF293">
            <v>0.16282694902839268</v>
          </cell>
          <cell r="AG293">
            <v>0.15999999999999992</v>
          </cell>
          <cell r="AH293">
            <v>0.15999999999999992</v>
          </cell>
          <cell r="AI293">
            <v>0.15999999999999992</v>
          </cell>
          <cell r="AJ293">
            <v>0.15999999999999992</v>
          </cell>
          <cell r="AK293">
            <v>0.14000000000000012</v>
          </cell>
          <cell r="AL293">
            <v>0.14000000000000012</v>
          </cell>
          <cell r="AM293">
            <v>0.14000000000000035</v>
          </cell>
          <cell r="AN293">
            <v>0.14000000000000012</v>
          </cell>
        </row>
        <row r="294">
          <cell r="I294" t="str">
            <v>Seasonality</v>
          </cell>
          <cell r="M294">
            <v>0.22</v>
          </cell>
          <cell r="N294">
            <v>0.27</v>
          </cell>
          <cell r="O294">
            <v>0.28000000000000003</v>
          </cell>
          <cell r="P294">
            <v>0.23</v>
          </cell>
          <cell r="Q294">
            <v>0.22</v>
          </cell>
          <cell r="R294">
            <v>0.27</v>
          </cell>
          <cell r="S294">
            <v>0.28000000000000003</v>
          </cell>
          <cell r="T294">
            <v>0.23</v>
          </cell>
          <cell r="U294">
            <v>0.22</v>
          </cell>
          <cell r="V294">
            <v>0.27</v>
          </cell>
          <cell r="W294">
            <v>0.28000000000000003</v>
          </cell>
          <cell r="X294">
            <v>0.23</v>
          </cell>
          <cell r="Y294">
            <v>0.22</v>
          </cell>
          <cell r="Z294">
            <v>0.27</v>
          </cell>
          <cell r="AA294">
            <v>0.28000000000000003</v>
          </cell>
          <cell r="AB294">
            <v>0.23</v>
          </cell>
          <cell r="AC294">
            <v>0.22</v>
          </cell>
          <cell r="AD294">
            <v>0.27</v>
          </cell>
          <cell r="AE294">
            <v>0.28000000000000003</v>
          </cell>
          <cell r="AF294">
            <v>0.23</v>
          </cell>
          <cell r="AG294">
            <v>0.22</v>
          </cell>
          <cell r="AH294">
            <v>0.27</v>
          </cell>
          <cell r="AI294">
            <v>0.28000000000000003</v>
          </cell>
          <cell r="AJ294">
            <v>0.23</v>
          </cell>
          <cell r="AK294">
            <v>0.22</v>
          </cell>
          <cell r="AL294">
            <v>0.27</v>
          </cell>
          <cell r="AM294">
            <v>0.28000000000000003</v>
          </cell>
          <cell r="AN294">
            <v>0.23</v>
          </cell>
        </row>
        <row r="295">
          <cell r="I295" t="str">
            <v>Booking.com Europe Hotel Market Share</v>
          </cell>
          <cell r="M295">
            <v>1.1019860279365636E-2</v>
          </cell>
          <cell r="N295">
            <v>1.1783750896220508E-2</v>
          </cell>
          <cell r="O295">
            <v>1.2724307604716831E-2</v>
          </cell>
          <cell r="P295">
            <v>1.2350689571261009E-2</v>
          </cell>
          <cell r="Q295">
            <v>2.0278231092642686E-2</v>
          </cell>
          <cell r="R295">
            <v>2.1974731278564263E-2</v>
          </cell>
          <cell r="S295">
            <v>2.4409793048928541E-2</v>
          </cell>
          <cell r="T295">
            <v>2.5007905528943625E-2</v>
          </cell>
          <cell r="U295">
            <v>3.8885625822313703E-2</v>
          </cell>
          <cell r="V295">
            <v>3.8074481630329143E-2</v>
          </cell>
          <cell r="W295">
            <v>3.686643310370815E-2</v>
          </cell>
          <cell r="X295">
            <v>2.72068659929641E-2</v>
          </cell>
          <cell r="Y295">
            <v>4.3168494307068678E-2</v>
          </cell>
          <cell r="Z295">
            <v>4.6102573352715677E-2</v>
          </cell>
          <cell r="AA295">
            <v>5.4193940821645761E-2</v>
          </cell>
          <cell r="AB295">
            <v>5.2698040915012893E-2</v>
          </cell>
          <cell r="AC295">
            <v>7.2848261061945474E-2</v>
          </cell>
          <cell r="AD295">
            <v>6.6068581763526923E-2</v>
          </cell>
          <cell r="AE295">
            <v>7.9672578147326256E-2</v>
          </cell>
          <cell r="AF295">
            <v>7.8150941419838887E-2</v>
          </cell>
          <cell r="AG295">
            <v>0.11450271371047904</v>
          </cell>
          <cell r="AH295">
            <v>0.11820938236158143</v>
          </cell>
          <cell r="AI295">
            <v>0.12454059564802614</v>
          </cell>
          <cell r="AJ295">
            <v>0.10837066848777907</v>
          </cell>
          <cell r="AK295">
            <v>0.1389027339828818</v>
          </cell>
          <cell r="AL295">
            <v>0.14176055319449773</v>
          </cell>
          <cell r="AM295">
            <v>0.15224585406119351</v>
          </cell>
          <cell r="AN295">
            <v>0.12970831041634823</v>
          </cell>
        </row>
        <row r="296">
          <cell r="I296" t="str">
            <v>Booking.com Europe Online Hotel Market Share</v>
          </cell>
          <cell r="M296">
            <v>0.1025385423044608</v>
          </cell>
          <cell r="N296">
            <v>0.10964645731850335</v>
          </cell>
          <cell r="O296">
            <v>0.11839823015399763</v>
          </cell>
          <cell r="P296">
            <v>0.1149217569902721</v>
          </cell>
          <cell r="Q296">
            <v>0.15449421461422708</v>
          </cell>
          <cell r="R296">
            <v>0.16741937867905216</v>
          </cell>
          <cell r="S296">
            <v>0.18597143847316566</v>
          </cell>
          <cell r="T296">
            <v>0.19052829145648253</v>
          </cell>
          <cell r="U296">
            <v>0.24214142307174491</v>
          </cell>
          <cell r="V296">
            <v>0.23709041502416919</v>
          </cell>
          <cell r="W296">
            <v>0.229567877243438</v>
          </cell>
          <cell r="X296">
            <v>0.16941759607937837</v>
          </cell>
          <cell r="Y296">
            <v>0.22689381193344751</v>
          </cell>
          <cell r="Z296">
            <v>0.24231534538896785</v>
          </cell>
          <cell r="AA296">
            <v>0.28484361139057396</v>
          </cell>
          <cell r="AB296">
            <v>0.27698115434788667</v>
          </cell>
          <cell r="AC296">
            <v>0.33571235016074397</v>
          </cell>
          <cell r="AD296">
            <v>0.30446902276446119</v>
          </cell>
          <cell r="AE296">
            <v>0.36716138536869736</v>
          </cell>
          <cell r="AF296">
            <v>0.360149107595295</v>
          </cell>
          <cell r="AG296">
            <v>0.47308508764438878</v>
          </cell>
          <cell r="AH296">
            <v>0.48839974357568305</v>
          </cell>
          <cell r="AI296">
            <v>0.51455809821596177</v>
          </cell>
          <cell r="AJ296">
            <v>0.44774962564865373</v>
          </cell>
          <cell r="AK296">
            <v>0.52858972974286789</v>
          </cell>
          <cell r="AL296">
            <v>0.53946506560852636</v>
          </cell>
          <cell r="AM296">
            <v>0.57936652897412433</v>
          </cell>
          <cell r="AN296">
            <v>0.49360065696641414</v>
          </cell>
        </row>
        <row r="298">
          <cell r="I298" t="str">
            <v>Priceline Asia Pacific</v>
          </cell>
          <cell r="M298">
            <v>3.55</v>
          </cell>
          <cell r="N298">
            <v>3.85</v>
          </cell>
          <cell r="O298">
            <v>3.65</v>
          </cell>
          <cell r="P298">
            <v>3.98</v>
          </cell>
          <cell r="Q298">
            <v>8.875</v>
          </cell>
          <cell r="R298">
            <v>9.625</v>
          </cell>
          <cell r="S298">
            <v>9.125</v>
          </cell>
          <cell r="T298">
            <v>23.35</v>
          </cell>
          <cell r="U298">
            <v>45.012500000000003</v>
          </cell>
          <cell r="V298">
            <v>46.337499999999999</v>
          </cell>
          <cell r="W298">
            <v>53.387499999999996</v>
          </cell>
          <cell r="X298">
            <v>60.384999999999998</v>
          </cell>
          <cell r="Y298">
            <v>72.02000000000001</v>
          </cell>
          <cell r="Z298">
            <v>83.870874999999998</v>
          </cell>
          <cell r="AA298">
            <v>112.11375000000001</v>
          </cell>
          <cell r="AB298">
            <v>150.96249999999998</v>
          </cell>
          <cell r="AC298">
            <v>158.44400000000002</v>
          </cell>
          <cell r="AD298">
            <v>167.74175</v>
          </cell>
          <cell r="AE298">
            <v>280.28437500000001</v>
          </cell>
          <cell r="AF298">
            <v>317.02125000000001</v>
          </cell>
          <cell r="AG298">
            <v>364.42120000000006</v>
          </cell>
          <cell r="AH298">
            <v>385.80602499999998</v>
          </cell>
          <cell r="AI298">
            <v>647.16750000000002</v>
          </cell>
          <cell r="AJ298">
            <v>609.07775106993529</v>
          </cell>
          <cell r="AK298">
            <v>616.07046238478688</v>
          </cell>
          <cell r="AL298">
            <v>662.5963308953344</v>
          </cell>
          <cell r="AM298">
            <v>1095.5112566161622</v>
          </cell>
          <cell r="AN298">
            <v>1006.7599503493011</v>
          </cell>
        </row>
        <row r="299">
          <cell r="I299" t="str">
            <v>Asia Hotel Market</v>
          </cell>
          <cell r="M299" t="str">
            <v>NA</v>
          </cell>
          <cell r="N299" t="str">
            <v>NA</v>
          </cell>
          <cell r="O299" t="str">
            <v>NA</v>
          </cell>
          <cell r="P299" t="str">
            <v>NA</v>
          </cell>
          <cell r="Q299" t="str">
            <v>NA</v>
          </cell>
          <cell r="R299" t="str">
            <v>NA</v>
          </cell>
          <cell r="S299" t="str">
            <v>NA</v>
          </cell>
          <cell r="T299" t="str">
            <v>NA</v>
          </cell>
          <cell r="U299">
            <v>16785.000496344401</v>
          </cell>
          <cell r="V299">
            <v>20599.773336422673</v>
          </cell>
          <cell r="W299">
            <v>21362.727904438329</v>
          </cell>
          <cell r="X299">
            <v>17547.955064360056</v>
          </cell>
          <cell r="Y299">
            <v>15879.845068389021</v>
          </cell>
          <cell r="Z299">
            <v>19488.900765750164</v>
          </cell>
          <cell r="AA299">
            <v>20210.711905222393</v>
          </cell>
          <cell r="AB299">
            <v>16601.656207861251</v>
          </cell>
          <cell r="AC299">
            <v>18509.007643891378</v>
          </cell>
          <cell r="AD299">
            <v>22715.60029023033</v>
          </cell>
          <cell r="AE299">
            <v>23556.918819498122</v>
          </cell>
          <cell r="AF299">
            <v>19350.32617315917</v>
          </cell>
          <cell r="AG299">
            <v>20730.088561158347</v>
          </cell>
          <cell r="AH299">
            <v>25441.472325057974</v>
          </cell>
          <cell r="AI299">
            <v>26383.7490778379</v>
          </cell>
          <cell r="AJ299">
            <v>21672.365313938273</v>
          </cell>
          <cell r="AK299">
            <v>23010.398302885766</v>
          </cell>
          <cell r="AL299">
            <v>28240.034280814354</v>
          </cell>
          <cell r="AM299">
            <v>29285.961476400069</v>
          </cell>
          <cell r="AN299">
            <v>24056.325498471484</v>
          </cell>
        </row>
        <row r="300">
          <cell r="I300" t="str">
            <v>y/y Growth - %</v>
          </cell>
          <cell r="M300" t="str">
            <v>NA</v>
          </cell>
          <cell r="N300" t="str">
            <v>NA</v>
          </cell>
          <cell r="O300" t="str">
            <v>NA</v>
          </cell>
          <cell r="P300" t="str">
            <v>NA</v>
          </cell>
          <cell r="Q300" t="str">
            <v>NA</v>
          </cell>
          <cell r="R300" t="str">
            <v>NA</v>
          </cell>
          <cell r="S300" t="str">
            <v>NA</v>
          </cell>
          <cell r="T300" t="str">
            <v>NA</v>
          </cell>
          <cell r="U300" t="str">
            <v>NA</v>
          </cell>
          <cell r="V300" t="str">
            <v>NA</v>
          </cell>
          <cell r="W300" t="str">
            <v>NA</v>
          </cell>
          <cell r="X300" t="str">
            <v>NA</v>
          </cell>
          <cell r="Y300">
            <v>-5.3926446302608899E-2</v>
          </cell>
          <cell r="Z300">
            <v>-5.3926446302608788E-2</v>
          </cell>
          <cell r="AA300">
            <v>-5.3926446302608788E-2</v>
          </cell>
          <cell r="AB300">
            <v>-5.3926446302608788E-2</v>
          </cell>
          <cell r="AC300">
            <v>0.16556600925131582</v>
          </cell>
          <cell r="AD300">
            <v>0.16556600925131582</v>
          </cell>
          <cell r="AE300">
            <v>0.16556600925131582</v>
          </cell>
          <cell r="AF300">
            <v>0.16556600925131559</v>
          </cell>
          <cell r="AG300">
            <v>0.12000000000000011</v>
          </cell>
          <cell r="AH300">
            <v>0.12000000000000011</v>
          </cell>
          <cell r="AI300">
            <v>0.12000000000000011</v>
          </cell>
          <cell r="AJ300">
            <v>0.12000000000000011</v>
          </cell>
          <cell r="AK300">
            <v>0.1100000000000001</v>
          </cell>
          <cell r="AL300">
            <v>0.1100000000000001</v>
          </cell>
          <cell r="AM300">
            <v>0.1100000000000001</v>
          </cell>
          <cell r="AN300">
            <v>0.1100000000000001</v>
          </cell>
        </row>
        <row r="301">
          <cell r="I301" t="str">
            <v>Asia Online Hotel Market</v>
          </cell>
          <cell r="M301" t="str">
            <v>NA</v>
          </cell>
          <cell r="N301" t="str">
            <v>NA</v>
          </cell>
          <cell r="O301" t="str">
            <v>NA</v>
          </cell>
          <cell r="P301" t="str">
            <v>NA</v>
          </cell>
          <cell r="Q301" t="str">
            <v>NA</v>
          </cell>
          <cell r="R301" t="str">
            <v>NA</v>
          </cell>
          <cell r="S301" t="str">
            <v>NA</v>
          </cell>
          <cell r="T301" t="str">
            <v>NA</v>
          </cell>
          <cell r="U301">
            <v>2049.6031960961727</v>
          </cell>
          <cell r="V301">
            <v>2515.4221042998483</v>
          </cell>
          <cell r="W301">
            <v>2608.5858859405839</v>
          </cell>
          <cell r="X301">
            <v>2142.7669777369078</v>
          </cell>
          <cell r="Y301">
            <v>2431.7848389763217</v>
          </cell>
          <cell r="Z301">
            <v>2984.4632114709402</v>
          </cell>
          <cell r="AA301">
            <v>3094.9988859698642</v>
          </cell>
          <cell r="AB301">
            <v>2542.3205134752452</v>
          </cell>
          <cell r="AC301">
            <v>3236.7655171355882</v>
          </cell>
          <cell r="AD301">
            <v>3972.3940437573133</v>
          </cell>
          <cell r="AE301">
            <v>4119.5197490816581</v>
          </cell>
          <cell r="AF301">
            <v>3383.8912224599335</v>
          </cell>
          <cell r="AG301">
            <v>4143.0598619335542</v>
          </cell>
          <cell r="AH301">
            <v>5084.6643760093621</v>
          </cell>
          <cell r="AI301">
            <v>5272.9852788245234</v>
          </cell>
          <cell r="AJ301">
            <v>4331.3807647487156</v>
          </cell>
          <cell r="AK301">
            <v>5054.5330315589354</v>
          </cell>
          <cell r="AL301">
            <v>6203.2905387314204</v>
          </cell>
          <cell r="AM301">
            <v>6433.0420401659176</v>
          </cell>
          <cell r="AN301">
            <v>5284.2845329934325</v>
          </cell>
        </row>
        <row r="302">
          <cell r="I302" t="str">
            <v>y/y Growth - %</v>
          </cell>
          <cell r="M302" t="str">
            <v>NA</v>
          </cell>
          <cell r="N302" t="str">
            <v>NA</v>
          </cell>
          <cell r="O302" t="str">
            <v>NA</v>
          </cell>
          <cell r="P302" t="str">
            <v>NA</v>
          </cell>
          <cell r="Q302" t="str">
            <v>NA</v>
          </cell>
          <cell r="R302" t="str">
            <v>NA</v>
          </cell>
          <cell r="S302" t="str">
            <v>NA</v>
          </cell>
          <cell r="T302" t="str">
            <v>NA</v>
          </cell>
          <cell r="U302" t="str">
            <v>NA</v>
          </cell>
          <cell r="V302" t="str">
            <v>NA</v>
          </cell>
          <cell r="W302" t="str">
            <v>NA</v>
          </cell>
          <cell r="X302" t="str">
            <v>NA</v>
          </cell>
          <cell r="Y302">
            <v>0.18646616262507809</v>
          </cell>
          <cell r="Z302">
            <v>0.18646616262507809</v>
          </cell>
          <cell r="AA302">
            <v>0.18646616262507809</v>
          </cell>
          <cell r="AB302">
            <v>0.18646616262507809</v>
          </cell>
          <cell r="AC302">
            <v>0.33102463065693311</v>
          </cell>
          <cell r="AD302">
            <v>0.33102463065693333</v>
          </cell>
          <cell r="AE302">
            <v>0.33102463065693311</v>
          </cell>
          <cell r="AF302">
            <v>0.33102463065693333</v>
          </cell>
          <cell r="AG302">
            <v>0.28000000000000047</v>
          </cell>
          <cell r="AH302">
            <v>0.28000000000000025</v>
          </cell>
          <cell r="AI302">
            <v>0.28000000000000025</v>
          </cell>
          <cell r="AJ302">
            <v>0.28000000000000025</v>
          </cell>
          <cell r="AK302">
            <v>0.21999999999999975</v>
          </cell>
          <cell r="AL302">
            <v>0.21999999999999975</v>
          </cell>
          <cell r="AM302">
            <v>0.21999999999999975</v>
          </cell>
          <cell r="AN302">
            <v>0.21999999999999997</v>
          </cell>
          <cell r="AQ302" t="str">
            <v>NA</v>
          </cell>
          <cell r="AR302" t="str">
            <v>NA</v>
          </cell>
          <cell r="AS302" t="str">
            <v>NA</v>
          </cell>
          <cell r="AT302" t="str">
            <v>NA</v>
          </cell>
          <cell r="AU302" t="str">
            <v>NA</v>
          </cell>
          <cell r="AV302" t="str">
            <v>NA</v>
          </cell>
          <cell r="AW302" t="str">
            <v>NA</v>
          </cell>
          <cell r="AX302" t="str">
            <v>NA</v>
          </cell>
          <cell r="AY302" t="str">
            <v>NA</v>
          </cell>
          <cell r="AZ302" t="str">
            <v>NA</v>
          </cell>
          <cell r="BA302" t="str">
            <v>NA</v>
          </cell>
          <cell r="BB302" t="str">
            <v>NA</v>
          </cell>
          <cell r="BC302" t="str">
            <v>NA</v>
          </cell>
          <cell r="BD302" t="str">
            <v>NA</v>
          </cell>
          <cell r="BE302" t="str">
            <v>NA</v>
          </cell>
          <cell r="BF302" t="str">
            <v>NA</v>
          </cell>
          <cell r="BG302" t="str">
            <v>NA</v>
          </cell>
          <cell r="BH302" t="str">
            <v>NA</v>
          </cell>
          <cell r="BI302" t="str">
            <v>NA</v>
          </cell>
          <cell r="BJ302" t="str">
            <v>NA</v>
          </cell>
          <cell r="BK302" t="str">
            <v>NA</v>
          </cell>
          <cell r="BL302" t="str">
            <v>NA</v>
          </cell>
          <cell r="BM302" t="str">
            <v>NA</v>
          </cell>
          <cell r="BN302" t="str">
            <v>NA</v>
          </cell>
          <cell r="BO302" t="str">
            <v>NA</v>
          </cell>
          <cell r="BP302" t="str">
            <v>NA</v>
          </cell>
          <cell r="BQ302" t="str">
            <v>NA</v>
          </cell>
          <cell r="BR302" t="str">
            <v>NA</v>
          </cell>
        </row>
        <row r="303">
          <cell r="I303" t="str">
            <v>Seasonality</v>
          </cell>
          <cell r="M303">
            <v>0.22</v>
          </cell>
          <cell r="N303">
            <v>0.27</v>
          </cell>
          <cell r="O303">
            <v>0.28000000000000003</v>
          </cell>
          <cell r="P303">
            <v>0.23</v>
          </cell>
          <cell r="Q303">
            <v>0.22</v>
          </cell>
          <cell r="R303">
            <v>0.27</v>
          </cell>
          <cell r="S303">
            <v>0.28000000000000003</v>
          </cell>
          <cell r="T303">
            <v>0.23</v>
          </cell>
          <cell r="U303">
            <v>0.22</v>
          </cell>
          <cell r="V303">
            <v>0.27</v>
          </cell>
          <cell r="W303">
            <v>0.28000000000000003</v>
          </cell>
          <cell r="X303">
            <v>0.23</v>
          </cell>
          <cell r="Y303">
            <v>0.22</v>
          </cell>
          <cell r="Z303">
            <v>0.27</v>
          </cell>
          <cell r="AA303">
            <v>0.28000000000000003</v>
          </cell>
          <cell r="AB303">
            <v>0.23</v>
          </cell>
          <cell r="AC303">
            <v>0.22</v>
          </cell>
          <cell r="AD303">
            <v>0.27</v>
          </cell>
          <cell r="AE303">
            <v>0.28000000000000003</v>
          </cell>
          <cell r="AF303">
            <v>0.23</v>
          </cell>
          <cell r="AG303">
            <v>0.22</v>
          </cell>
          <cell r="AH303">
            <v>0.27</v>
          </cell>
          <cell r="AI303">
            <v>0.28000000000000003</v>
          </cell>
          <cell r="AJ303">
            <v>0.23</v>
          </cell>
          <cell r="AK303">
            <v>0.22</v>
          </cell>
          <cell r="AL303">
            <v>0.27</v>
          </cell>
          <cell r="AM303">
            <v>0.28000000000000003</v>
          </cell>
          <cell r="AN303">
            <v>0.23</v>
          </cell>
        </row>
        <row r="304">
          <cell r="I304" t="str">
            <v>Asia Hotel Market Share</v>
          </cell>
          <cell r="M304" t="str">
            <v>NA</v>
          </cell>
          <cell r="N304" t="str">
            <v>NA</v>
          </cell>
          <cell r="O304" t="str">
            <v>NA</v>
          </cell>
          <cell r="P304" t="str">
            <v>NA</v>
          </cell>
          <cell r="Q304" t="str">
            <v>NA</v>
          </cell>
          <cell r="R304" t="str">
            <v>NA</v>
          </cell>
          <cell r="S304" t="str">
            <v>NA</v>
          </cell>
          <cell r="T304" t="str">
            <v>NA</v>
          </cell>
          <cell r="U304">
            <v>2.6817097806939747E-3</v>
          </cell>
          <cell r="V304">
            <v>2.249417954423323E-3</v>
          </cell>
          <cell r="W304">
            <v>2.4990956323002263E-3</v>
          </cell>
          <cell r="X304">
            <v>3.4411417044623105E-3</v>
          </cell>
          <cell r="Y304">
            <v>4.5353087319073134E-3</v>
          </cell>
          <cell r="Z304">
            <v>4.3035200398472374E-3</v>
          </cell>
          <cell r="AA304">
            <v>5.5472439825848055E-3</v>
          </cell>
          <cell r="AB304">
            <v>9.093219261372E-3</v>
          </cell>
          <cell r="AC304">
            <v>8.5603724979978653E-3</v>
          </cell>
          <cell r="AD304">
            <v>7.3844295487160618E-3</v>
          </cell>
          <cell r="AE304">
            <v>1.189817637644563E-2</v>
          </cell>
          <cell r="AF304">
            <v>1.638325096761108E-2</v>
          </cell>
          <cell r="AG304">
            <v>1.7579336379817043E-2</v>
          </cell>
          <cell r="AH304">
            <v>1.516445353754191E-2</v>
          </cell>
          <cell r="AI304">
            <v>2.4529019666261708E-2</v>
          </cell>
          <cell r="AJ304">
            <v>2.8103889088571962E-2</v>
          </cell>
          <cell r="AK304">
            <v>2.6773567944172641E-2</v>
          </cell>
          <cell r="AL304">
            <v>2.3463014396745526E-2</v>
          </cell>
          <cell r="AM304">
            <v>3.7407385702496875E-2</v>
          </cell>
          <cell r="AN304">
            <v>4.1850113410432099E-2</v>
          </cell>
        </row>
        <row r="305">
          <cell r="I305" t="str">
            <v>Asia Online Hotel Market Share</v>
          </cell>
          <cell r="M305" t="str">
            <v>NA</v>
          </cell>
          <cell r="N305" t="str">
            <v>NA</v>
          </cell>
          <cell r="O305" t="str">
            <v>NA</v>
          </cell>
          <cell r="P305" t="str">
            <v>NA</v>
          </cell>
          <cell r="Q305" t="str">
            <v>NA</v>
          </cell>
          <cell r="R305" t="str">
            <v>NA</v>
          </cell>
          <cell r="S305" t="str">
            <v>NA</v>
          </cell>
          <cell r="T305" t="str">
            <v>NA</v>
          </cell>
          <cell r="U305">
            <v>2.1961568017523671E-2</v>
          </cell>
          <cell r="V305">
            <v>1.8421361536416068E-2</v>
          </cell>
          <cell r="W305">
            <v>2.0466069485287404E-2</v>
          </cell>
          <cell r="X305">
            <v>2.8180852433975747E-2</v>
          </cell>
          <cell r="Y305">
            <v>2.9616107003248435E-2</v>
          </cell>
          <cell r="Z305">
            <v>2.8102499195713958E-2</v>
          </cell>
          <cell r="AA305">
            <v>3.6224164896546479E-2</v>
          </cell>
          <cell r="AB305">
            <v>5.937980644055009E-2</v>
          </cell>
          <cell r="AC305">
            <v>4.8951337117622534E-2</v>
          </cell>
          <cell r="AD305">
            <v>4.2226865752054255E-2</v>
          </cell>
          <cell r="AE305">
            <v>6.8038119021636506E-2</v>
          </cell>
          <cell r="AF305">
            <v>9.3685413968342665E-2</v>
          </cell>
          <cell r="AG305">
            <v>8.7959433883227967E-2</v>
          </cell>
          <cell r="AH305">
            <v>7.5876399398222466E-2</v>
          </cell>
          <cell r="AI305">
            <v>0.12273265821524716</v>
          </cell>
          <cell r="AJ305">
            <v>0.1406197663403233</v>
          </cell>
          <cell r="AK305">
            <v>0.12188474356349718</v>
          </cell>
          <cell r="AL305">
            <v>0.1068136865036852</v>
          </cell>
          <cell r="AM305">
            <v>0.17029443454218549</v>
          </cell>
          <cell r="AN305">
            <v>0.19051963308625877</v>
          </cell>
        </row>
        <row r="307">
          <cell r="I307" t="str">
            <v xml:space="preserve">Booking.com </v>
          </cell>
        </row>
        <row r="308">
          <cell r="I308" t="str">
            <v>Number of Hotels (#)</v>
          </cell>
          <cell r="M308">
            <v>22000</v>
          </cell>
          <cell r="N308">
            <v>24000</v>
          </cell>
          <cell r="O308">
            <v>25000</v>
          </cell>
          <cell r="P308">
            <v>25000</v>
          </cell>
          <cell r="Q308">
            <v>32000</v>
          </cell>
          <cell r="R308">
            <v>35000</v>
          </cell>
          <cell r="S308">
            <v>38000</v>
          </cell>
          <cell r="T308">
            <v>41000</v>
          </cell>
          <cell r="U308">
            <v>45000</v>
          </cell>
          <cell r="V308">
            <v>52000</v>
          </cell>
          <cell r="W308">
            <v>57000</v>
          </cell>
          <cell r="X308">
            <v>60000</v>
          </cell>
          <cell r="Y308">
            <v>66000</v>
          </cell>
          <cell r="Z308">
            <v>71000</v>
          </cell>
          <cell r="AA308">
            <v>73000</v>
          </cell>
          <cell r="AB308">
            <v>78000</v>
          </cell>
          <cell r="AC308">
            <v>86000</v>
          </cell>
          <cell r="AD308">
            <v>96000</v>
          </cell>
          <cell r="AE308">
            <v>105000</v>
          </cell>
          <cell r="AF308">
            <v>120000</v>
          </cell>
          <cell r="AG308">
            <v>135000</v>
          </cell>
          <cell r="AH308">
            <v>155000</v>
          </cell>
          <cell r="AI308">
            <v>170000</v>
          </cell>
        </row>
        <row r="309">
          <cell r="I309" t="str">
            <v>y/y Growth - %</v>
          </cell>
          <cell r="Q309">
            <v>0.45454545454545459</v>
          </cell>
          <cell r="R309">
            <v>0.45833333333333326</v>
          </cell>
          <cell r="S309">
            <v>0.52</v>
          </cell>
          <cell r="T309">
            <v>0.6399999999999999</v>
          </cell>
          <cell r="U309">
            <v>0.40625</v>
          </cell>
          <cell r="V309">
            <v>0.48571428571428577</v>
          </cell>
          <cell r="W309">
            <v>0.5</v>
          </cell>
          <cell r="X309">
            <v>0.46341463414634143</v>
          </cell>
          <cell r="Y309">
            <v>0.46666666666666656</v>
          </cell>
          <cell r="Z309">
            <v>0.36538461538461542</v>
          </cell>
          <cell r="AA309">
            <v>0.2807017543859649</v>
          </cell>
          <cell r="AB309">
            <v>0.30000000000000004</v>
          </cell>
          <cell r="AC309">
            <v>0.30303030303030298</v>
          </cell>
          <cell r="AD309">
            <v>0.352112676056338</v>
          </cell>
          <cell r="AE309">
            <v>0.43835616438356162</v>
          </cell>
          <cell r="AF309">
            <v>0.53846153846153855</v>
          </cell>
          <cell r="AG309">
            <v>0.56976744186046502</v>
          </cell>
          <cell r="AH309">
            <v>0.61458333333333326</v>
          </cell>
          <cell r="AI309">
            <v>0.61904761904761907</v>
          </cell>
        </row>
        <row r="311">
          <cell r="I311" t="str">
            <v>Operating Scenarios</v>
          </cell>
        </row>
        <row r="312">
          <cell r="I312" t="str">
            <v>Offline Advertising as % of Gross Profit</v>
          </cell>
        </row>
        <row r="313">
          <cell r="I313" t="str">
            <v>Base Case</v>
          </cell>
          <cell r="M313">
            <v>0.13066411928396396</v>
          </cell>
          <cell r="N313">
            <v>8.3749196627726757E-2</v>
          </cell>
          <cell r="O313">
            <v>5.3947080868009749E-2</v>
          </cell>
          <cell r="P313">
            <v>6.9023382939598255E-2</v>
          </cell>
          <cell r="Q313">
            <v>0.10914974142663163</v>
          </cell>
          <cell r="R313">
            <v>5.9918782643502304E-2</v>
          </cell>
          <cell r="S313">
            <v>4.166171460264638E-2</v>
          </cell>
          <cell r="T313">
            <v>4.330261251810779E-2</v>
          </cell>
          <cell r="U313">
            <v>6.6431809522757762E-2</v>
          </cell>
          <cell r="V313">
            <v>3.9128978224455609E-2</v>
          </cell>
          <cell r="W313">
            <v>2.6237194616518706E-2</v>
          </cell>
          <cell r="X313">
            <v>3.7939190012922737E-2</v>
          </cell>
          <cell r="Y313">
            <v>5.1677626842029478E-2</v>
          </cell>
          <cell r="Z313">
            <v>3.6211087741369025E-2</v>
          </cell>
          <cell r="AA313">
            <v>1.9525075690197829E-2</v>
          </cell>
          <cell r="AB313">
            <v>1.9084322884903363E-2</v>
          </cell>
          <cell r="AC313">
            <v>3.693954549442837E-2</v>
          </cell>
          <cell r="AD313">
            <v>2.273528652120695E-2</v>
          </cell>
          <cell r="AE313">
            <v>1.1667877536070898E-2</v>
          </cell>
          <cell r="AF313">
            <v>1.2604172545478489E-2</v>
          </cell>
          <cell r="AG313">
            <v>2.2961281751178314E-2</v>
          </cell>
          <cell r="AH313">
            <v>1.3100168573743338E-2</v>
          </cell>
          <cell r="AI313">
            <v>7.3035627933696204E-3</v>
          </cell>
          <cell r="AJ313">
            <v>0.01</v>
          </cell>
          <cell r="AK313">
            <v>2.1999999999999999E-2</v>
          </cell>
          <cell r="AL313">
            <v>1.2E-2</v>
          </cell>
          <cell r="AM313">
            <v>7.0000000000000001E-3</v>
          </cell>
          <cell r="AN313">
            <v>0.01</v>
          </cell>
        </row>
        <row r="314">
          <cell r="I314" t="str">
            <v>Bull Case</v>
          </cell>
          <cell r="M314">
            <v>0.13066411928396396</v>
          </cell>
          <cell r="N314">
            <v>8.3749196627726757E-2</v>
          </cell>
          <cell r="O314">
            <v>5.3947080868009749E-2</v>
          </cell>
          <cell r="P314">
            <v>6.9023382939598255E-2</v>
          </cell>
          <cell r="Q314">
            <v>0.10914974142663163</v>
          </cell>
          <cell r="R314">
            <v>5.9918782643502304E-2</v>
          </cell>
          <cell r="S314">
            <v>4.166171460264638E-2</v>
          </cell>
          <cell r="T314">
            <v>4.330261251810779E-2</v>
          </cell>
          <cell r="U314">
            <v>6.6431809522757762E-2</v>
          </cell>
          <cell r="V314">
            <v>3.9128978224455609E-2</v>
          </cell>
          <cell r="W314">
            <v>2.6237194616518706E-2</v>
          </cell>
          <cell r="X314">
            <v>3.7939190012922737E-2</v>
          </cell>
          <cell r="Y314">
            <v>5.1677626842029478E-2</v>
          </cell>
          <cell r="Z314">
            <v>3.6211087741369025E-2</v>
          </cell>
          <cell r="AA314">
            <v>1.9525075690197829E-2</v>
          </cell>
          <cell r="AB314">
            <v>1.9084322884903363E-2</v>
          </cell>
          <cell r="AC314">
            <v>3.693954549442837E-2</v>
          </cell>
          <cell r="AD314">
            <v>2.273528652120695E-2</v>
          </cell>
          <cell r="AE314">
            <v>1.1667877536070898E-2</v>
          </cell>
          <cell r="AF314">
            <v>1.2604172545478489E-2</v>
          </cell>
          <cell r="AG314">
            <v>2.2961281751178314E-2</v>
          </cell>
          <cell r="AH314">
            <v>1.3100168573743338E-2</v>
          </cell>
          <cell r="AI314">
            <v>7.3035627933696204E-3</v>
          </cell>
          <cell r="AJ314">
            <v>7.4999999999999997E-3</v>
          </cell>
          <cell r="AK314">
            <v>1.95E-2</v>
          </cell>
          <cell r="AL314">
            <v>9.4999999999999998E-3</v>
          </cell>
          <cell r="AM314">
            <v>4.5000000000000005E-3</v>
          </cell>
          <cell r="AN314">
            <v>7.4999999999999997E-3</v>
          </cell>
        </row>
        <row r="315">
          <cell r="I315" t="str">
            <v>Bull vs. Base Case - bps</v>
          </cell>
          <cell r="M315">
            <v>0</v>
          </cell>
          <cell r="N315">
            <v>0</v>
          </cell>
          <cell r="O315">
            <v>0</v>
          </cell>
          <cell r="P315">
            <v>0</v>
          </cell>
          <cell r="Q315">
            <v>0</v>
          </cell>
          <cell r="R315">
            <v>0</v>
          </cell>
          <cell r="S315">
            <v>0</v>
          </cell>
          <cell r="T315">
            <v>0</v>
          </cell>
          <cell r="U315">
            <v>0</v>
          </cell>
          <cell r="V315">
            <v>0</v>
          </cell>
          <cell r="W315">
            <v>0</v>
          </cell>
          <cell r="X315">
            <v>0</v>
          </cell>
          <cell r="Y315">
            <v>0</v>
          </cell>
          <cell r="Z315">
            <v>0</v>
          </cell>
          <cell r="AA315">
            <v>0</v>
          </cell>
          <cell r="AB315">
            <v>0</v>
          </cell>
          <cell r="AC315">
            <v>0</v>
          </cell>
          <cell r="AD315">
            <v>0</v>
          </cell>
          <cell r="AE315">
            <v>0</v>
          </cell>
          <cell r="AF315">
            <v>0</v>
          </cell>
          <cell r="AG315">
            <v>0</v>
          </cell>
          <cell r="AH315">
            <v>0</v>
          </cell>
          <cell r="AI315">
            <v>0</v>
          </cell>
          <cell r="AJ315">
            <v>-25</v>
          </cell>
          <cell r="AK315">
            <v>-25</v>
          </cell>
          <cell r="AL315">
            <v>-25</v>
          </cell>
          <cell r="AM315">
            <v>-25</v>
          </cell>
          <cell r="AN315">
            <v>-25</v>
          </cell>
        </row>
        <row r="316">
          <cell r="I316" t="str">
            <v>Bear Case</v>
          </cell>
          <cell r="M316">
            <v>0.13066411928396396</v>
          </cell>
          <cell r="N316">
            <v>8.3749196627726757E-2</v>
          </cell>
          <cell r="O316">
            <v>5.3947080868009749E-2</v>
          </cell>
          <cell r="P316">
            <v>6.9023382939598255E-2</v>
          </cell>
          <cell r="Q316">
            <v>0.10914974142663163</v>
          </cell>
          <cell r="R316">
            <v>5.9918782643502304E-2</v>
          </cell>
          <cell r="S316">
            <v>4.166171460264638E-2</v>
          </cell>
          <cell r="T316">
            <v>4.330261251810779E-2</v>
          </cell>
          <cell r="U316">
            <v>6.6431809522757762E-2</v>
          </cell>
          <cell r="V316">
            <v>3.9128978224455609E-2</v>
          </cell>
          <cell r="W316">
            <v>2.6237194616518706E-2</v>
          </cell>
          <cell r="X316">
            <v>3.7939190012922737E-2</v>
          </cell>
          <cell r="Y316">
            <v>5.1677626842029478E-2</v>
          </cell>
          <cell r="Z316">
            <v>3.6211087741369025E-2</v>
          </cell>
          <cell r="AA316">
            <v>1.9525075690197829E-2</v>
          </cell>
          <cell r="AB316">
            <v>1.9084322884903363E-2</v>
          </cell>
          <cell r="AC316">
            <v>3.693954549442837E-2</v>
          </cell>
          <cell r="AD316">
            <v>2.273528652120695E-2</v>
          </cell>
          <cell r="AE316">
            <v>1.1667877536070898E-2</v>
          </cell>
          <cell r="AF316">
            <v>1.2604172545478489E-2</v>
          </cell>
          <cell r="AG316">
            <v>2.2961281751178314E-2</v>
          </cell>
          <cell r="AH316">
            <v>1.3100168573743338E-2</v>
          </cell>
          <cell r="AI316">
            <v>7.3035627933696204E-3</v>
          </cell>
          <cell r="AJ316">
            <v>1.2500000000000001E-2</v>
          </cell>
          <cell r="AK316">
            <v>2.4499999999999997E-2</v>
          </cell>
          <cell r="AL316">
            <v>1.4500000000000001E-2</v>
          </cell>
          <cell r="AM316">
            <v>9.4999999999999998E-3</v>
          </cell>
          <cell r="AN316">
            <v>1.2500000000000001E-2</v>
          </cell>
        </row>
        <row r="317">
          <cell r="I317" t="str">
            <v>Bear vs. Base Case - bps</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0</v>
          </cell>
          <cell r="AC317">
            <v>0</v>
          </cell>
          <cell r="AD317">
            <v>0</v>
          </cell>
          <cell r="AE317">
            <v>0</v>
          </cell>
          <cell r="AF317">
            <v>0</v>
          </cell>
          <cell r="AG317">
            <v>0</v>
          </cell>
          <cell r="AH317">
            <v>0</v>
          </cell>
          <cell r="AI317">
            <v>0</v>
          </cell>
          <cell r="AJ317">
            <v>25</v>
          </cell>
          <cell r="AK317">
            <v>25</v>
          </cell>
          <cell r="AL317">
            <v>25</v>
          </cell>
          <cell r="AM317">
            <v>25</v>
          </cell>
          <cell r="AN317">
            <v>25</v>
          </cell>
        </row>
        <row r="319">
          <cell r="I319" t="str">
            <v>Online Advertising as % of Gross Profit</v>
          </cell>
        </row>
        <row r="320">
          <cell r="I320" t="str">
            <v>Base Case</v>
          </cell>
          <cell r="M320">
            <v>0.30265398513103797</v>
          </cell>
          <cell r="N320">
            <v>0.28820271445313977</v>
          </cell>
          <cell r="O320">
            <v>0.27973160011979248</v>
          </cell>
          <cell r="P320">
            <v>0.27038596420712041</v>
          </cell>
          <cell r="Q320">
            <v>0.30746636620152357</v>
          </cell>
          <cell r="R320">
            <v>0.28064534872460351</v>
          </cell>
          <cell r="S320">
            <v>0.26663893510815306</v>
          </cell>
          <cell r="T320">
            <v>0.27120485538738193</v>
          </cell>
          <cell r="U320">
            <v>0.31915539775707741</v>
          </cell>
          <cell r="V320">
            <v>0.28716129667947576</v>
          </cell>
          <cell r="W320">
            <v>0.26667784534197259</v>
          </cell>
          <cell r="X320">
            <v>0.27192353643966549</v>
          </cell>
          <cell r="Y320">
            <v>0.32696683146930355</v>
          </cell>
          <cell r="Z320">
            <v>0.29520243220044678</v>
          </cell>
          <cell r="AA320">
            <v>0.26521061920802935</v>
          </cell>
          <cell r="AB320">
            <v>0.29392475470083557</v>
          </cell>
          <cell r="AC320">
            <v>0.35444477870116203</v>
          </cell>
          <cell r="AD320">
            <v>0.29762271058157691</v>
          </cell>
          <cell r="AE320">
            <v>0.25927666064234123</v>
          </cell>
          <cell r="AF320">
            <v>0.27964541097336404</v>
          </cell>
          <cell r="AG320">
            <v>0.36596495112770067</v>
          </cell>
          <cell r="AH320">
            <v>0.31536770564862188</v>
          </cell>
          <cell r="AI320">
            <v>0.25444394754160349</v>
          </cell>
          <cell r="AJ320">
            <v>0.27500000000000002</v>
          </cell>
          <cell r="AK320">
            <v>0.36499999999999999</v>
          </cell>
          <cell r="AL320">
            <v>0.316</v>
          </cell>
          <cell r="AM320">
            <v>0.255</v>
          </cell>
          <cell r="AN320">
            <v>0.27700000000000002</v>
          </cell>
        </row>
        <row r="321">
          <cell r="I321" t="str">
            <v>Bull Case</v>
          </cell>
          <cell r="M321">
            <v>0.30265398513103797</v>
          </cell>
          <cell r="N321">
            <v>0.28820271445313977</v>
          </cell>
          <cell r="O321">
            <v>0.27973160011979248</v>
          </cell>
          <cell r="P321">
            <v>0.27038596420712041</v>
          </cell>
          <cell r="Q321">
            <v>0.30746636620152357</v>
          </cell>
          <cell r="R321">
            <v>0.28064534872460351</v>
          </cell>
          <cell r="S321">
            <v>0.26663893510815306</v>
          </cell>
          <cell r="T321">
            <v>0.27120485538738193</v>
          </cell>
          <cell r="U321">
            <v>0.31915539775707741</v>
          </cell>
          <cell r="V321">
            <v>0.28716129667947576</v>
          </cell>
          <cell r="W321">
            <v>0.26667784534197259</v>
          </cell>
          <cell r="X321">
            <v>0.27192353643966549</v>
          </cell>
          <cell r="Y321">
            <v>0.32696683146930355</v>
          </cell>
          <cell r="Z321">
            <v>0.29520243220044678</v>
          </cell>
          <cell r="AA321">
            <v>0.26521061920802935</v>
          </cell>
          <cell r="AB321">
            <v>0.29392475470083557</v>
          </cell>
          <cell r="AC321">
            <v>0.35444477870116203</v>
          </cell>
          <cell r="AD321">
            <v>0.29762271058157691</v>
          </cell>
          <cell r="AE321">
            <v>0.25927666064234123</v>
          </cell>
          <cell r="AF321">
            <v>0.27964541097336404</v>
          </cell>
          <cell r="AG321">
            <v>0.36596495112770067</v>
          </cell>
          <cell r="AH321">
            <v>0.31536770564862188</v>
          </cell>
          <cell r="AI321">
            <v>0.25444394754160349</v>
          </cell>
          <cell r="AJ321">
            <v>0.26500000000000001</v>
          </cell>
          <cell r="AK321">
            <v>0.35499999999999998</v>
          </cell>
          <cell r="AL321">
            <v>0.30599999999999999</v>
          </cell>
          <cell r="AM321">
            <v>0.245</v>
          </cell>
          <cell r="AN321">
            <v>0.26700000000000002</v>
          </cell>
        </row>
        <row r="322">
          <cell r="I322" t="str">
            <v>Bull vs. Base Case - bps</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-100</v>
          </cell>
          <cell r="AK322">
            <v>-100</v>
          </cell>
          <cell r="AL322">
            <v>-100</v>
          </cell>
          <cell r="AM322">
            <v>-100</v>
          </cell>
          <cell r="AN322">
            <v>-100</v>
          </cell>
        </row>
        <row r="323">
          <cell r="I323" t="str">
            <v>Bear Case</v>
          </cell>
          <cell r="M323">
            <v>0.30265398513103797</v>
          </cell>
          <cell r="N323">
            <v>0.28820271445313977</v>
          </cell>
          <cell r="O323">
            <v>0.27973160011979248</v>
          </cell>
          <cell r="P323">
            <v>0.27038596420712041</v>
          </cell>
          <cell r="Q323">
            <v>0.30746636620152357</v>
          </cell>
          <cell r="R323">
            <v>0.28064534872460351</v>
          </cell>
          <cell r="S323">
            <v>0.26663893510815306</v>
          </cell>
          <cell r="T323">
            <v>0.27120485538738193</v>
          </cell>
          <cell r="U323">
            <v>0.31915539775707741</v>
          </cell>
          <cell r="V323">
            <v>0.28716129667947576</v>
          </cell>
          <cell r="W323">
            <v>0.26667784534197259</v>
          </cell>
          <cell r="X323">
            <v>0.27192353643966549</v>
          </cell>
          <cell r="Y323">
            <v>0.32696683146930355</v>
          </cell>
          <cell r="Z323">
            <v>0.29520243220044678</v>
          </cell>
          <cell r="AA323">
            <v>0.26521061920802935</v>
          </cell>
          <cell r="AB323">
            <v>0.29392475470083557</v>
          </cell>
          <cell r="AC323">
            <v>0.35444477870116203</v>
          </cell>
          <cell r="AD323">
            <v>0.29762271058157691</v>
          </cell>
          <cell r="AE323">
            <v>0.25927666064234123</v>
          </cell>
          <cell r="AF323">
            <v>0.27964541097336404</v>
          </cell>
          <cell r="AG323">
            <v>0.36596495112770067</v>
          </cell>
          <cell r="AH323">
            <v>0.31536770564862188</v>
          </cell>
          <cell r="AI323">
            <v>0.25444394754160349</v>
          </cell>
          <cell r="AJ323">
            <v>0.29000000000000004</v>
          </cell>
          <cell r="AK323">
            <v>0.38</v>
          </cell>
          <cell r="AL323">
            <v>0.33100000000000002</v>
          </cell>
          <cell r="AM323">
            <v>0.27</v>
          </cell>
          <cell r="AN323">
            <v>0.29200000000000004</v>
          </cell>
        </row>
        <row r="324">
          <cell r="I324" t="str">
            <v>Bear vs. Base Case - bps</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150</v>
          </cell>
          <cell r="AK324">
            <v>150</v>
          </cell>
          <cell r="AL324">
            <v>150</v>
          </cell>
          <cell r="AM324">
            <v>150</v>
          </cell>
          <cell r="AN324">
            <v>150</v>
          </cell>
        </row>
        <row r="326">
          <cell r="I326" t="str">
            <v>Selling &amp; Marketing as % of Gross Profit</v>
          </cell>
        </row>
        <row r="327">
          <cell r="I327" t="str">
            <v>Base Case</v>
          </cell>
          <cell r="M327">
            <v>0.13265772313826477</v>
          </cell>
          <cell r="N327">
            <v>0.10120600355374089</v>
          </cell>
          <cell r="O327">
            <v>9.0686135640687351E-2</v>
          </cell>
          <cell r="P327">
            <v>0.10675562969140952</v>
          </cell>
          <cell r="Q327">
            <v>0.10988164369841776</v>
          </cell>
          <cell r="R327">
            <v>7.4406202991742706E-2</v>
          </cell>
          <cell r="S327">
            <v>6.4837374217573879E-2</v>
          </cell>
          <cell r="T327">
            <v>6.9502722413706974E-2</v>
          </cell>
          <cell r="U327">
            <v>9.018624760495407E-2</v>
          </cell>
          <cell r="V327">
            <v>7.8549610799093506E-2</v>
          </cell>
          <cell r="W327">
            <v>6.7869323394858239E-2</v>
          </cell>
          <cell r="X327">
            <v>9.8666276546460888E-2</v>
          </cell>
          <cell r="Y327">
            <v>8.8412614601833639E-2</v>
          </cell>
          <cell r="Z327">
            <v>6.7786448607316238E-2</v>
          </cell>
          <cell r="AA327">
            <v>5.6388621355465122E-2</v>
          </cell>
          <cell r="AB327">
            <v>5.6371711650153741E-2</v>
          </cell>
          <cell r="AC327">
            <v>7.5561864651098681E-2</v>
          </cell>
          <cell r="AD327">
            <v>6.398580588651448E-2</v>
          </cell>
          <cell r="AE327">
            <v>4.9625631203203902E-2</v>
          </cell>
          <cell r="AF327">
            <v>6.4047172631178498E-2</v>
          </cell>
          <cell r="AG327">
            <v>6.8757315028627461E-2</v>
          </cell>
          <cell r="AH327">
            <v>5.4763109177859315E-2</v>
          </cell>
          <cell r="AI327">
            <v>4.2834236848133166E-2</v>
          </cell>
          <cell r="AJ327">
            <v>6.3E-2</v>
          </cell>
          <cell r="AK327">
            <v>6.9000000000000006E-2</v>
          </cell>
          <cell r="AL327">
            <v>5.6000000000000001E-2</v>
          </cell>
          <cell r="AM327">
            <v>4.2999999999999997E-2</v>
          </cell>
          <cell r="AN327">
            <v>6.0999999999999999E-2</v>
          </cell>
        </row>
        <row r="328">
          <cell r="I328" t="str">
            <v>Bull Case</v>
          </cell>
          <cell r="M328">
            <v>0.13265772313826477</v>
          </cell>
          <cell r="N328">
            <v>0.10120600355374089</v>
          </cell>
          <cell r="O328">
            <v>9.0686135640687351E-2</v>
          </cell>
          <cell r="P328">
            <v>0.10675562969140952</v>
          </cell>
          <cell r="Q328">
            <v>0.10988164369841776</v>
          </cell>
          <cell r="R328">
            <v>7.4406202991742706E-2</v>
          </cell>
          <cell r="S328">
            <v>6.4837374217573879E-2</v>
          </cell>
          <cell r="T328">
            <v>6.9502722413706974E-2</v>
          </cell>
          <cell r="U328">
            <v>9.018624760495407E-2</v>
          </cell>
          <cell r="V328">
            <v>7.8549610799093506E-2</v>
          </cell>
          <cell r="W328">
            <v>6.7869323394858239E-2</v>
          </cell>
          <cell r="X328">
            <v>9.8666276546460888E-2</v>
          </cell>
          <cell r="Y328">
            <v>8.8412614601833639E-2</v>
          </cell>
          <cell r="Z328">
            <v>6.7786448607316238E-2</v>
          </cell>
          <cell r="AA328">
            <v>5.6388621355465122E-2</v>
          </cell>
          <cell r="AB328">
            <v>5.6371711650153741E-2</v>
          </cell>
          <cell r="AC328">
            <v>7.5561864651098681E-2</v>
          </cell>
          <cell r="AD328">
            <v>6.398580588651448E-2</v>
          </cell>
          <cell r="AE328">
            <v>4.9625631203203902E-2</v>
          </cell>
          <cell r="AF328">
            <v>6.4047172631178498E-2</v>
          </cell>
          <cell r="AG328">
            <v>6.8757315028627461E-2</v>
          </cell>
          <cell r="AH328">
            <v>5.4763109177859315E-2</v>
          </cell>
          <cell r="AI328">
            <v>4.2834236848133166E-2</v>
          </cell>
          <cell r="AJ328">
            <v>6.0499999999999998E-2</v>
          </cell>
          <cell r="AK328">
            <v>6.6500000000000004E-2</v>
          </cell>
          <cell r="AL328">
            <v>5.3499999999999999E-2</v>
          </cell>
          <cell r="AM328">
            <v>4.0499999999999994E-2</v>
          </cell>
          <cell r="AN328">
            <v>5.8499999999999996E-2</v>
          </cell>
        </row>
        <row r="329">
          <cell r="I329" t="str">
            <v>Bull vs. Base Case - bps</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-25</v>
          </cell>
          <cell r="AK329">
            <v>-25</v>
          </cell>
          <cell r="AL329">
            <v>-25</v>
          </cell>
          <cell r="AM329">
            <v>-25</v>
          </cell>
          <cell r="AN329">
            <v>-25</v>
          </cell>
        </row>
        <row r="330">
          <cell r="I330" t="str">
            <v>Bear Case</v>
          </cell>
          <cell r="M330">
            <v>0.13265772313826477</v>
          </cell>
          <cell r="N330">
            <v>0.10120600355374089</v>
          </cell>
          <cell r="O330">
            <v>9.0686135640687351E-2</v>
          </cell>
          <cell r="P330">
            <v>0.10675562969140952</v>
          </cell>
          <cell r="Q330">
            <v>0.10988164369841776</v>
          </cell>
          <cell r="R330">
            <v>7.4406202991742706E-2</v>
          </cell>
          <cell r="S330">
            <v>6.4837374217573879E-2</v>
          </cell>
          <cell r="T330">
            <v>6.9502722413706974E-2</v>
          </cell>
          <cell r="U330">
            <v>9.018624760495407E-2</v>
          </cell>
          <cell r="V330">
            <v>7.8549610799093506E-2</v>
          </cell>
          <cell r="W330">
            <v>6.7869323394858239E-2</v>
          </cell>
          <cell r="X330">
            <v>9.8666276546460888E-2</v>
          </cell>
          <cell r="Y330">
            <v>8.8412614601833639E-2</v>
          </cell>
          <cell r="Z330">
            <v>6.7786448607316238E-2</v>
          </cell>
          <cell r="AA330">
            <v>5.6388621355465122E-2</v>
          </cell>
          <cell r="AB330">
            <v>5.6371711650153741E-2</v>
          </cell>
          <cell r="AC330">
            <v>7.5561864651098681E-2</v>
          </cell>
          <cell r="AD330">
            <v>6.398580588651448E-2</v>
          </cell>
          <cell r="AE330">
            <v>4.9625631203203902E-2</v>
          </cell>
          <cell r="AF330">
            <v>6.4047172631178498E-2</v>
          </cell>
          <cell r="AG330">
            <v>6.8757315028627461E-2</v>
          </cell>
          <cell r="AH330">
            <v>5.4763109177859315E-2</v>
          </cell>
          <cell r="AI330">
            <v>4.2834236848133166E-2</v>
          </cell>
          <cell r="AJ330">
            <v>6.5500000000000003E-2</v>
          </cell>
          <cell r="AK330">
            <v>7.1500000000000008E-2</v>
          </cell>
          <cell r="AL330">
            <v>5.8500000000000003E-2</v>
          </cell>
          <cell r="AM330">
            <v>4.5499999999999999E-2</v>
          </cell>
          <cell r="AN330">
            <v>6.3500000000000001E-2</v>
          </cell>
        </row>
        <row r="331">
          <cell r="I331" t="str">
            <v>Bear vs. Base Case - bps</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25</v>
          </cell>
          <cell r="AK331">
            <v>25</v>
          </cell>
          <cell r="AL331">
            <v>25</v>
          </cell>
          <cell r="AM331">
            <v>25</v>
          </cell>
          <cell r="AN331">
            <v>25</v>
          </cell>
        </row>
        <row r="333">
          <cell r="I333" t="str">
            <v>Personnel (ex-SBC) as % of Gross Profit</v>
          </cell>
        </row>
        <row r="334">
          <cell r="I334" t="str">
            <v>Base Case</v>
          </cell>
          <cell r="M334">
            <v>0.18602815965444203</v>
          </cell>
          <cell r="N334">
            <v>0.14214963517447357</v>
          </cell>
          <cell r="O334">
            <v>0.14662436157899422</v>
          </cell>
          <cell r="P334">
            <v>0.17987881467487968</v>
          </cell>
          <cell r="Q334">
            <v>0.17646548984485599</v>
          </cell>
          <cell r="R334">
            <v>0.12892125531818741</v>
          </cell>
          <cell r="S334">
            <v>0.11416983598763962</v>
          </cell>
          <cell r="T334">
            <v>0.15854313402267844</v>
          </cell>
          <cell r="U334">
            <v>0.1487772151758944</v>
          </cell>
          <cell r="V334">
            <v>0.12047295300029559</v>
          </cell>
          <cell r="W334">
            <v>0.11137757135896836</v>
          </cell>
          <cell r="X334">
            <v>0.14896740058030378</v>
          </cell>
          <cell r="Y334">
            <v>0.13880382086113377</v>
          </cell>
          <cell r="Z334">
            <v>0.11007803746584631</v>
          </cell>
          <cell r="AA334">
            <v>9.2369690741602659E-2</v>
          </cell>
          <cell r="AB334">
            <v>0.11774040595295492</v>
          </cell>
          <cell r="AC334">
            <v>0.11866531292696077</v>
          </cell>
          <cell r="AD334">
            <v>0.10642216258099292</v>
          </cell>
          <cell r="AE334">
            <v>9.1312062060559487E-2</v>
          </cell>
          <cell r="AF334">
            <v>0.1166084533656067</v>
          </cell>
          <cell r="AG334">
            <v>0.12104988454116977</v>
          </cell>
          <cell r="AH334">
            <v>9.6970611043115121E-2</v>
          </cell>
          <cell r="AI334">
            <v>7.3776437352065363E-2</v>
          </cell>
          <cell r="AJ334">
            <v>0.11700000000000001</v>
          </cell>
          <cell r="AK334">
            <v>0.121</v>
          </cell>
          <cell r="AL334">
            <v>9.9000000000000005E-2</v>
          </cell>
          <cell r="AM334">
            <v>7.6999999999999999E-2</v>
          </cell>
          <cell r="AN334">
            <v>0.11899999999999999</v>
          </cell>
        </row>
        <row r="335">
          <cell r="I335" t="str">
            <v>Bull Case</v>
          </cell>
          <cell r="M335">
            <v>0.18602815965444203</v>
          </cell>
          <cell r="N335">
            <v>0.14214963517447357</v>
          </cell>
          <cell r="O335">
            <v>0.14662436157899422</v>
          </cell>
          <cell r="P335">
            <v>0.17987881467487968</v>
          </cell>
          <cell r="Q335">
            <v>0.17646548984485599</v>
          </cell>
          <cell r="R335">
            <v>0.12892125531818741</v>
          </cell>
          <cell r="S335">
            <v>0.11416983598763962</v>
          </cell>
          <cell r="T335">
            <v>0.15854313402267844</v>
          </cell>
          <cell r="U335">
            <v>0.1487772151758944</v>
          </cell>
          <cell r="V335">
            <v>0.12047295300029559</v>
          </cell>
          <cell r="W335">
            <v>0.11137757135896836</v>
          </cell>
          <cell r="X335">
            <v>0.14896740058030378</v>
          </cell>
          <cell r="Y335">
            <v>0.13880382086113377</v>
          </cell>
          <cell r="Z335">
            <v>0.11007803746584631</v>
          </cell>
          <cell r="AA335">
            <v>9.2369690741602659E-2</v>
          </cell>
          <cell r="AB335">
            <v>0.11774040595295492</v>
          </cell>
          <cell r="AC335">
            <v>0.11866531292696077</v>
          </cell>
          <cell r="AD335">
            <v>0.10642216258099292</v>
          </cell>
          <cell r="AE335">
            <v>9.1312062060559487E-2</v>
          </cell>
          <cell r="AF335">
            <v>0.1166084533656067</v>
          </cell>
          <cell r="AG335">
            <v>0.12104988454116977</v>
          </cell>
          <cell r="AH335">
            <v>9.6970611043115121E-2</v>
          </cell>
          <cell r="AI335">
            <v>7.3776437352065363E-2</v>
          </cell>
          <cell r="AJ335">
            <v>0.112</v>
          </cell>
          <cell r="AK335">
            <v>0.11599999999999999</v>
          </cell>
          <cell r="AL335">
            <v>9.4E-2</v>
          </cell>
          <cell r="AM335">
            <v>7.1999999999999995E-2</v>
          </cell>
          <cell r="AN335">
            <v>0.11399999999999999</v>
          </cell>
        </row>
        <row r="336">
          <cell r="I336" t="str">
            <v>Bull vs. Base Case - bps</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-50</v>
          </cell>
          <cell r="AK336">
            <v>-50</v>
          </cell>
          <cell r="AL336">
            <v>-50</v>
          </cell>
          <cell r="AM336">
            <v>-50</v>
          </cell>
          <cell r="AN336">
            <v>-50</v>
          </cell>
        </row>
        <row r="337">
          <cell r="I337" t="str">
            <v>Bear Case</v>
          </cell>
          <cell r="M337">
            <v>0.18602815965444203</v>
          </cell>
          <cell r="N337">
            <v>0.14214963517447357</v>
          </cell>
          <cell r="O337">
            <v>0.14662436157899422</v>
          </cell>
          <cell r="P337">
            <v>0.17987881467487968</v>
          </cell>
          <cell r="Q337">
            <v>0.17646548984485599</v>
          </cell>
          <cell r="R337">
            <v>0.12892125531818741</v>
          </cell>
          <cell r="S337">
            <v>0.11416983598763962</v>
          </cell>
          <cell r="T337">
            <v>0.15854313402267844</v>
          </cell>
          <cell r="U337">
            <v>0.1487772151758944</v>
          </cell>
          <cell r="V337">
            <v>0.12047295300029559</v>
          </cell>
          <cell r="W337">
            <v>0.11137757135896836</v>
          </cell>
          <cell r="X337">
            <v>0.14896740058030378</v>
          </cell>
          <cell r="Y337">
            <v>0.13880382086113377</v>
          </cell>
          <cell r="Z337">
            <v>0.11007803746584631</v>
          </cell>
          <cell r="AA337">
            <v>9.2369690741602659E-2</v>
          </cell>
          <cell r="AB337">
            <v>0.11774040595295492</v>
          </cell>
          <cell r="AC337">
            <v>0.11866531292696077</v>
          </cell>
          <cell r="AD337">
            <v>0.10642216258099292</v>
          </cell>
          <cell r="AE337">
            <v>9.1312062060559487E-2</v>
          </cell>
          <cell r="AF337">
            <v>0.1166084533656067</v>
          </cell>
          <cell r="AG337">
            <v>0.12104988454116977</v>
          </cell>
          <cell r="AH337">
            <v>9.6970611043115121E-2</v>
          </cell>
          <cell r="AI337">
            <v>7.3776437352065363E-2</v>
          </cell>
          <cell r="AJ337">
            <v>0.12200000000000001</v>
          </cell>
          <cell r="AK337">
            <v>0.126</v>
          </cell>
          <cell r="AL337">
            <v>0.10400000000000001</v>
          </cell>
          <cell r="AM337">
            <v>8.2000000000000003E-2</v>
          </cell>
          <cell r="AN337">
            <v>0.124</v>
          </cell>
        </row>
        <row r="338">
          <cell r="I338" t="str">
            <v>Bear vs. Base Case - bps</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50</v>
          </cell>
          <cell r="AK338">
            <v>50</v>
          </cell>
          <cell r="AL338">
            <v>50</v>
          </cell>
          <cell r="AM338">
            <v>50</v>
          </cell>
          <cell r="AN338">
            <v>50</v>
          </cell>
        </row>
        <row r="340">
          <cell r="I340" t="str">
            <v>General &amp; Administrative as % of Gross Profit</v>
          </cell>
        </row>
        <row r="341">
          <cell r="I341" t="str">
            <v>Base Case</v>
          </cell>
          <cell r="M341">
            <v>7.9425731334191702E-2</v>
          </cell>
          <cell r="N341">
            <v>6.8579637820876352E-2</v>
          </cell>
          <cell r="O341">
            <v>5.3769010983674231E-2</v>
          </cell>
          <cell r="P341">
            <v>8.9934383070229204E-2</v>
          </cell>
          <cell r="Q341">
            <v>8.6845982723254292E-2</v>
          </cell>
          <cell r="R341">
            <v>6.0661230656001243E-2</v>
          </cell>
          <cell r="S341">
            <v>4.5138063544885504E-2</v>
          </cell>
          <cell r="T341">
            <v>5.5840701333732944E-2</v>
          </cell>
          <cell r="U341">
            <v>6.5095553359138164E-2</v>
          </cell>
          <cell r="V341">
            <v>5.6001576510000976E-2</v>
          </cell>
          <cell r="W341">
            <v>4.2786907029277586E-2</v>
          </cell>
          <cell r="X341">
            <v>7.6780533001731155E-2</v>
          </cell>
          <cell r="Y341">
            <v>7.098353573657179E-2</v>
          </cell>
          <cell r="Z341">
            <v>4.8250873089195963E-2</v>
          </cell>
          <cell r="AA341">
            <v>4.4623807044142247E-2</v>
          </cell>
          <cell r="AB341">
            <v>6.2815105255931716E-2</v>
          </cell>
          <cell r="AC341">
            <v>5.6509231752716896E-2</v>
          </cell>
          <cell r="AD341">
            <v>5.0447496378479756E-2</v>
          </cell>
          <cell r="AE341">
            <v>2.3611953382528656E-2</v>
          </cell>
          <cell r="AF341">
            <v>5.2174585556830598E-2</v>
          </cell>
          <cell r="AG341">
            <v>5.1163682662195932E-2</v>
          </cell>
          <cell r="AH341">
            <v>3.968890603248415E-2</v>
          </cell>
          <cell r="AI341">
            <v>2.8829757450815709E-2</v>
          </cell>
          <cell r="AJ341">
            <v>5.0999999999999997E-2</v>
          </cell>
          <cell r="AK341">
            <v>5.1999999999999998E-2</v>
          </cell>
          <cell r="AL341">
            <v>0.04</v>
          </cell>
          <cell r="AM341">
            <v>0.03</v>
          </cell>
          <cell r="AN341">
            <v>5.0999999999999997E-2</v>
          </cell>
        </row>
        <row r="342">
          <cell r="I342" t="str">
            <v>Bull Case</v>
          </cell>
          <cell r="M342">
            <v>7.9425731334191702E-2</v>
          </cell>
          <cell r="N342">
            <v>6.8579637820876352E-2</v>
          </cell>
          <cell r="O342">
            <v>5.3769010983674231E-2</v>
          </cell>
          <cell r="P342">
            <v>8.9934383070229204E-2</v>
          </cell>
          <cell r="Q342">
            <v>8.6845982723254292E-2</v>
          </cell>
          <cell r="R342">
            <v>6.0661230656001243E-2</v>
          </cell>
          <cell r="S342">
            <v>4.5138063544885504E-2</v>
          </cell>
          <cell r="T342">
            <v>5.5840701333732944E-2</v>
          </cell>
          <cell r="U342">
            <v>6.5095553359138164E-2</v>
          </cell>
          <cell r="V342">
            <v>5.6001576510000976E-2</v>
          </cell>
          <cell r="W342">
            <v>4.2786907029277586E-2</v>
          </cell>
          <cell r="X342">
            <v>7.6780533001731155E-2</v>
          </cell>
          <cell r="Y342">
            <v>7.098353573657179E-2</v>
          </cell>
          <cell r="Z342">
            <v>4.8250873089195963E-2</v>
          </cell>
          <cell r="AA342">
            <v>4.4623807044142247E-2</v>
          </cell>
          <cell r="AB342">
            <v>6.2815105255931716E-2</v>
          </cell>
          <cell r="AC342">
            <v>5.6509231752716896E-2</v>
          </cell>
          <cell r="AD342">
            <v>5.0447496378479756E-2</v>
          </cell>
          <cell r="AE342">
            <v>2.3611953382528656E-2</v>
          </cell>
          <cell r="AF342">
            <v>5.2174585556830598E-2</v>
          </cell>
          <cell r="AG342">
            <v>5.1163682662195932E-2</v>
          </cell>
          <cell r="AH342">
            <v>3.968890603248415E-2</v>
          </cell>
          <cell r="AI342">
            <v>2.8829757450815709E-2</v>
          </cell>
          <cell r="AJ342">
            <v>4.8499999999999995E-2</v>
          </cell>
          <cell r="AK342">
            <v>4.9499999999999995E-2</v>
          </cell>
          <cell r="AL342">
            <v>3.7499999999999999E-2</v>
          </cell>
          <cell r="AM342">
            <v>2.75E-2</v>
          </cell>
          <cell r="AN342">
            <v>4.8499999999999995E-2</v>
          </cell>
        </row>
        <row r="343">
          <cell r="I343" t="str">
            <v>Bull vs. Base Case - bps</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0</v>
          </cell>
          <cell r="AD343">
            <v>0</v>
          </cell>
          <cell r="AE343">
            <v>0</v>
          </cell>
          <cell r="AF343">
            <v>0</v>
          </cell>
          <cell r="AG343">
            <v>0</v>
          </cell>
          <cell r="AH343">
            <v>0</v>
          </cell>
          <cell r="AI343">
            <v>0</v>
          </cell>
          <cell r="AJ343">
            <v>-25</v>
          </cell>
          <cell r="AK343">
            <v>-25</v>
          </cell>
          <cell r="AL343">
            <v>-25</v>
          </cell>
          <cell r="AM343">
            <v>-25</v>
          </cell>
          <cell r="AN343">
            <v>-25</v>
          </cell>
        </row>
        <row r="344">
          <cell r="I344" t="str">
            <v>Bear Case</v>
          </cell>
          <cell r="M344">
            <v>7.9425731334191702E-2</v>
          </cell>
          <cell r="N344">
            <v>6.8579637820876352E-2</v>
          </cell>
          <cell r="O344">
            <v>5.3769010983674231E-2</v>
          </cell>
          <cell r="P344">
            <v>8.9934383070229204E-2</v>
          </cell>
          <cell r="Q344">
            <v>8.6845982723254292E-2</v>
          </cell>
          <cell r="R344">
            <v>6.0661230656001243E-2</v>
          </cell>
          <cell r="S344">
            <v>4.5138063544885504E-2</v>
          </cell>
          <cell r="T344">
            <v>5.5840701333732944E-2</v>
          </cell>
          <cell r="U344">
            <v>6.5095553359138164E-2</v>
          </cell>
          <cell r="V344">
            <v>5.6001576510000976E-2</v>
          </cell>
          <cell r="W344">
            <v>4.2786907029277586E-2</v>
          </cell>
          <cell r="X344">
            <v>7.6780533001731155E-2</v>
          </cell>
          <cell r="Y344">
            <v>7.098353573657179E-2</v>
          </cell>
          <cell r="Z344">
            <v>4.8250873089195963E-2</v>
          </cell>
          <cell r="AA344">
            <v>4.4623807044142247E-2</v>
          </cell>
          <cell r="AB344">
            <v>6.2815105255931716E-2</v>
          </cell>
          <cell r="AC344">
            <v>5.6509231752716896E-2</v>
          </cell>
          <cell r="AD344">
            <v>5.0447496378479756E-2</v>
          </cell>
          <cell r="AE344">
            <v>2.3611953382528656E-2</v>
          </cell>
          <cell r="AF344">
            <v>5.2174585556830598E-2</v>
          </cell>
          <cell r="AG344">
            <v>5.1163682662195932E-2</v>
          </cell>
          <cell r="AH344">
            <v>3.968890603248415E-2</v>
          </cell>
          <cell r="AI344">
            <v>2.8829757450815709E-2</v>
          </cell>
          <cell r="AJ344">
            <v>5.3499999999999999E-2</v>
          </cell>
          <cell r="AK344">
            <v>5.45E-2</v>
          </cell>
          <cell r="AL344">
            <v>4.2500000000000003E-2</v>
          </cell>
          <cell r="AM344">
            <v>3.2500000000000001E-2</v>
          </cell>
          <cell r="AN344">
            <v>5.3499999999999999E-2</v>
          </cell>
        </row>
        <row r="345">
          <cell r="I345" t="str">
            <v>Bear vs. Base Case - bps</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25</v>
          </cell>
          <cell r="AK345">
            <v>25</v>
          </cell>
          <cell r="AL345">
            <v>25</v>
          </cell>
          <cell r="AM345">
            <v>25</v>
          </cell>
          <cell r="AN345">
            <v>25</v>
          </cell>
        </row>
        <row r="347">
          <cell r="I347" t="str">
            <v>Information Technology as % of Gross Profit</v>
          </cell>
        </row>
        <row r="348">
          <cell r="I348" t="str">
            <v>Base Case</v>
          </cell>
          <cell r="M348">
            <v>3.1939195082443826E-2</v>
          </cell>
          <cell r="N348">
            <v>2.2040754602850553E-2</v>
          </cell>
          <cell r="O348">
            <v>2.0648012497268248E-2</v>
          </cell>
          <cell r="P348">
            <v>2.5714199583990679E-2</v>
          </cell>
          <cell r="Q348">
            <v>2.8033783068018764E-2</v>
          </cell>
          <cell r="R348">
            <v>2.0349531612145162E-2</v>
          </cell>
          <cell r="S348">
            <v>1.6554750019808252E-2</v>
          </cell>
          <cell r="T348">
            <v>2.7305309955542232E-2</v>
          </cell>
          <cell r="U348">
            <v>2.2909614970486408E-2</v>
          </cell>
          <cell r="V348">
            <v>2.0242388412651493E-2</v>
          </cell>
          <cell r="W348">
            <v>1.3926942083915997E-2</v>
          </cell>
          <cell r="X348">
            <v>2.0817789481383953E-2</v>
          </cell>
          <cell r="Y348">
            <v>2.1729947679162868E-2</v>
          </cell>
          <cell r="Z348">
            <v>1.5387992320746431E-2</v>
          </cell>
          <cell r="AA348">
            <v>1.1006760275203567E-2</v>
          </cell>
          <cell r="AB348">
            <v>1.6402236349297068E-2</v>
          </cell>
          <cell r="AC348">
            <v>1.4439890196668298E-2</v>
          </cell>
          <cell r="AD348">
            <v>1.099370023918878E-2</v>
          </cell>
          <cell r="AE348">
            <v>8.0262628567311332E-3</v>
          </cell>
          <cell r="AF348">
            <v>1.2850821361459659E-2</v>
          </cell>
          <cell r="AG348">
            <v>1.3186821877075887E-2</v>
          </cell>
          <cell r="AH348">
            <v>1.0996667231693466E-2</v>
          </cell>
          <cell r="AI348">
            <v>7.7698636910670206E-3</v>
          </cell>
          <cell r="AJ348">
            <v>1.2999999999999999E-2</v>
          </cell>
          <cell r="AK348">
            <v>1.2999999999999999E-2</v>
          </cell>
          <cell r="AL348">
            <v>1.0999999999999999E-2</v>
          </cell>
          <cell r="AM348">
            <v>8.0000000000000002E-3</v>
          </cell>
          <cell r="AN348">
            <v>1.2999999999999999E-2</v>
          </cell>
        </row>
        <row r="349">
          <cell r="I349" t="str">
            <v>Bull Case</v>
          </cell>
          <cell r="M349">
            <v>3.1939195082443826E-2</v>
          </cell>
          <cell r="N349">
            <v>2.2040754602850553E-2</v>
          </cell>
          <cell r="O349">
            <v>2.0648012497268248E-2</v>
          </cell>
          <cell r="P349">
            <v>2.5714199583990679E-2</v>
          </cell>
          <cell r="Q349">
            <v>2.8033783068018764E-2</v>
          </cell>
          <cell r="R349">
            <v>2.0349531612145162E-2</v>
          </cell>
          <cell r="S349">
            <v>1.6554750019808252E-2</v>
          </cell>
          <cell r="T349">
            <v>2.7305309955542232E-2</v>
          </cell>
          <cell r="U349">
            <v>2.2909614970486408E-2</v>
          </cell>
          <cell r="V349">
            <v>2.0242388412651493E-2</v>
          </cell>
          <cell r="W349">
            <v>1.3926942083915997E-2</v>
          </cell>
          <cell r="X349">
            <v>2.0817789481383953E-2</v>
          </cell>
          <cell r="Y349">
            <v>2.1729947679162868E-2</v>
          </cell>
          <cell r="Z349">
            <v>1.5387992320746431E-2</v>
          </cell>
          <cell r="AA349">
            <v>1.1006760275203567E-2</v>
          </cell>
          <cell r="AB349">
            <v>1.6402236349297068E-2</v>
          </cell>
          <cell r="AC349">
            <v>1.4439890196668298E-2</v>
          </cell>
          <cell r="AD349">
            <v>1.099370023918878E-2</v>
          </cell>
          <cell r="AE349">
            <v>8.0262628567311332E-3</v>
          </cell>
          <cell r="AF349">
            <v>1.2850821361459659E-2</v>
          </cell>
          <cell r="AG349">
            <v>1.3186821877075887E-2</v>
          </cell>
          <cell r="AH349">
            <v>1.0996667231693466E-2</v>
          </cell>
          <cell r="AI349">
            <v>7.7698636910670206E-3</v>
          </cell>
          <cell r="AJ349">
            <v>1.0499999999999999E-2</v>
          </cell>
          <cell r="AK349">
            <v>1.0499999999999999E-2</v>
          </cell>
          <cell r="AL349">
            <v>8.4999999999999989E-3</v>
          </cell>
          <cell r="AM349">
            <v>5.4999999999999997E-3</v>
          </cell>
          <cell r="AN349">
            <v>1.0499999999999999E-2</v>
          </cell>
        </row>
        <row r="350">
          <cell r="I350" t="str">
            <v>Bull vs. Base Case - bps</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-25</v>
          </cell>
          <cell r="AK350">
            <v>-25</v>
          </cell>
          <cell r="AL350">
            <v>-25</v>
          </cell>
          <cell r="AM350">
            <v>-25</v>
          </cell>
          <cell r="AN350">
            <v>-25</v>
          </cell>
        </row>
        <row r="351">
          <cell r="I351" t="str">
            <v>Bear Case</v>
          </cell>
          <cell r="M351">
            <v>3.1939195082443826E-2</v>
          </cell>
          <cell r="N351">
            <v>2.2040754602850553E-2</v>
          </cell>
          <cell r="O351">
            <v>2.0648012497268248E-2</v>
          </cell>
          <cell r="P351">
            <v>2.5714199583990679E-2</v>
          </cell>
          <cell r="Q351">
            <v>2.8033783068018764E-2</v>
          </cell>
          <cell r="R351">
            <v>2.0349531612145162E-2</v>
          </cell>
          <cell r="S351">
            <v>1.6554750019808252E-2</v>
          </cell>
          <cell r="T351">
            <v>2.7305309955542232E-2</v>
          </cell>
          <cell r="U351">
            <v>2.2909614970486408E-2</v>
          </cell>
          <cell r="V351">
            <v>2.0242388412651493E-2</v>
          </cell>
          <cell r="W351">
            <v>1.3926942083915997E-2</v>
          </cell>
          <cell r="X351">
            <v>2.0817789481383953E-2</v>
          </cell>
          <cell r="Y351">
            <v>2.1729947679162868E-2</v>
          </cell>
          <cell r="Z351">
            <v>1.5387992320746431E-2</v>
          </cell>
          <cell r="AA351">
            <v>1.1006760275203567E-2</v>
          </cell>
          <cell r="AB351">
            <v>1.6402236349297068E-2</v>
          </cell>
          <cell r="AC351">
            <v>1.4439890196668298E-2</v>
          </cell>
          <cell r="AD351">
            <v>1.099370023918878E-2</v>
          </cell>
          <cell r="AE351">
            <v>8.0262628567311332E-3</v>
          </cell>
          <cell r="AF351">
            <v>1.2850821361459659E-2</v>
          </cell>
          <cell r="AG351">
            <v>1.3186821877075887E-2</v>
          </cell>
          <cell r="AH351">
            <v>1.0996667231693466E-2</v>
          </cell>
          <cell r="AI351">
            <v>7.7698636910670206E-3</v>
          </cell>
          <cell r="AJ351">
            <v>1.55E-2</v>
          </cell>
          <cell r="AK351">
            <v>1.55E-2</v>
          </cell>
          <cell r="AL351">
            <v>1.35E-2</v>
          </cell>
          <cell r="AM351">
            <v>1.0500000000000001E-2</v>
          </cell>
          <cell r="AN351">
            <v>1.55E-2</v>
          </cell>
        </row>
        <row r="352">
          <cell r="I352" t="str">
            <v>Bear vs. Base Case - bps</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25</v>
          </cell>
          <cell r="AK352">
            <v>25</v>
          </cell>
          <cell r="AL352">
            <v>25</v>
          </cell>
          <cell r="AM352">
            <v>25</v>
          </cell>
          <cell r="AN352">
            <v>25</v>
          </cell>
        </row>
        <row r="354">
          <cell r="I354" t="str">
            <v>Stock-Based Compensation as % of Gross Profit</v>
          </cell>
        </row>
        <row r="355">
          <cell r="I355" t="str">
            <v>Base Case</v>
          </cell>
          <cell r="M355">
            <v>4.1768769641843534E-2</v>
          </cell>
          <cell r="N355">
            <v>3.513099693773393E-2</v>
          </cell>
          <cell r="O355">
            <v>2.86773454636697E-2</v>
          </cell>
          <cell r="P355">
            <v>4.6735733593255425E-2</v>
          </cell>
          <cell r="Q355">
            <v>3.0489507795722227E-2</v>
          </cell>
          <cell r="R355">
            <v>2.2376737489750994E-2</v>
          </cell>
          <cell r="S355">
            <v>2.0437168211710637E-2</v>
          </cell>
          <cell r="T355">
            <v>3.4304910335181571E-2</v>
          </cell>
          <cell r="U355">
            <v>5.4880371943037937E-2</v>
          </cell>
          <cell r="V355">
            <v>3.5774953197359342E-2</v>
          </cell>
          <cell r="W355">
            <v>3.1811767981321071E-2</v>
          </cell>
          <cell r="X355">
            <v>5.5840830956038333E-2</v>
          </cell>
          <cell r="Y355">
            <v>5.0847213555416888E-2</v>
          </cell>
          <cell r="Z355">
            <v>3.6902351607598E-2</v>
          </cell>
          <cell r="AA355">
            <v>2.5045736694884399E-2</v>
          </cell>
          <cell r="AB355">
            <v>2.5364875522448104E-2</v>
          </cell>
          <cell r="AC355">
            <v>3.7318717958359983E-2</v>
          </cell>
          <cell r="AD355">
            <v>3.4732905862932484E-2</v>
          </cell>
          <cell r="AE355">
            <v>3.1786822938870106E-2</v>
          </cell>
          <cell r="AF355">
            <v>4.1073298593474673E-2</v>
          </cell>
          <cell r="AG355">
            <v>2.7664647455160854E-2</v>
          </cell>
          <cell r="AH355">
            <v>1.7502038767956841E-2</v>
          </cell>
          <cell r="AI355">
            <v>1.2087464595672583E-2</v>
          </cell>
          <cell r="AJ355">
            <v>0.03</v>
          </cell>
          <cell r="AK355">
            <v>2.8000000000000001E-2</v>
          </cell>
          <cell r="AL355">
            <v>1.9502038767956843E-2</v>
          </cell>
          <cell r="AM355">
            <v>1.4999999999999999E-2</v>
          </cell>
          <cell r="AN355">
            <v>0.03</v>
          </cell>
        </row>
        <row r="356">
          <cell r="I356" t="str">
            <v>Bull Case</v>
          </cell>
          <cell r="M356">
            <v>4.1768769641843534E-2</v>
          </cell>
          <cell r="N356">
            <v>3.513099693773393E-2</v>
          </cell>
          <cell r="O356">
            <v>2.86773454636697E-2</v>
          </cell>
          <cell r="P356">
            <v>4.6735733593255425E-2</v>
          </cell>
          <cell r="Q356">
            <v>3.0489507795722227E-2</v>
          </cell>
          <cell r="R356">
            <v>2.2376737489750994E-2</v>
          </cell>
          <cell r="S356">
            <v>2.0437168211710637E-2</v>
          </cell>
          <cell r="T356">
            <v>3.4304910335181571E-2</v>
          </cell>
          <cell r="U356">
            <v>5.4880371943037937E-2</v>
          </cell>
          <cell r="V356">
            <v>3.5774953197359342E-2</v>
          </cell>
          <cell r="W356">
            <v>3.1811767981321071E-2</v>
          </cell>
          <cell r="X356">
            <v>5.5840830956038333E-2</v>
          </cell>
          <cell r="Y356">
            <v>5.0847213555416888E-2</v>
          </cell>
          <cell r="Z356">
            <v>3.6902351607598E-2</v>
          </cell>
          <cell r="AA356">
            <v>2.5045736694884399E-2</v>
          </cell>
          <cell r="AB356">
            <v>2.5364875522448104E-2</v>
          </cell>
          <cell r="AC356">
            <v>3.7318717958359983E-2</v>
          </cell>
          <cell r="AD356">
            <v>3.4732905862932484E-2</v>
          </cell>
          <cell r="AE356">
            <v>3.1786822938870106E-2</v>
          </cell>
          <cell r="AF356">
            <v>4.1073298593474673E-2</v>
          </cell>
          <cell r="AG356">
            <v>2.7664647455160854E-2</v>
          </cell>
          <cell r="AH356">
            <v>1.7502038767956841E-2</v>
          </cell>
          <cell r="AI356">
            <v>1.2087464595672583E-2</v>
          </cell>
          <cell r="AJ356">
            <v>2.75E-2</v>
          </cell>
          <cell r="AK356">
            <v>2.5500000000000002E-2</v>
          </cell>
          <cell r="AL356">
            <v>1.7002038767956845E-2</v>
          </cell>
          <cell r="AM356">
            <v>1.2499999999999999E-2</v>
          </cell>
          <cell r="AN356">
            <v>2.75E-2</v>
          </cell>
        </row>
        <row r="357">
          <cell r="I357" t="str">
            <v>Bull vs. Base Case - bps</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-25</v>
          </cell>
          <cell r="AK357">
            <v>-25</v>
          </cell>
          <cell r="AL357">
            <v>-25</v>
          </cell>
          <cell r="AM357">
            <v>-25</v>
          </cell>
          <cell r="AN357">
            <v>-25</v>
          </cell>
        </row>
        <row r="358">
          <cell r="I358" t="str">
            <v>Bear Case</v>
          </cell>
          <cell r="M358">
            <v>4.1768769641843534E-2</v>
          </cell>
          <cell r="N358">
            <v>3.513099693773393E-2</v>
          </cell>
          <cell r="O358">
            <v>2.86773454636697E-2</v>
          </cell>
          <cell r="P358">
            <v>4.6735733593255425E-2</v>
          </cell>
          <cell r="Q358">
            <v>3.0489507795722227E-2</v>
          </cell>
          <cell r="R358">
            <v>2.2376737489750994E-2</v>
          </cell>
          <cell r="S358">
            <v>2.0437168211710637E-2</v>
          </cell>
          <cell r="T358">
            <v>3.4304910335181571E-2</v>
          </cell>
          <cell r="U358">
            <v>5.4880371943037937E-2</v>
          </cell>
          <cell r="V358">
            <v>3.5774953197359342E-2</v>
          </cell>
          <cell r="W358">
            <v>3.1811767981321071E-2</v>
          </cell>
          <cell r="X358">
            <v>5.5840830956038333E-2</v>
          </cell>
          <cell r="Y358">
            <v>5.0847213555416888E-2</v>
          </cell>
          <cell r="Z358">
            <v>3.6902351607598E-2</v>
          </cell>
          <cell r="AA358">
            <v>2.5045736694884399E-2</v>
          </cell>
          <cell r="AB358">
            <v>2.5364875522448104E-2</v>
          </cell>
          <cell r="AC358">
            <v>3.7318717958359983E-2</v>
          </cell>
          <cell r="AD358">
            <v>3.4732905862932484E-2</v>
          </cell>
          <cell r="AE358">
            <v>3.1786822938870106E-2</v>
          </cell>
          <cell r="AF358">
            <v>4.1073298593474673E-2</v>
          </cell>
          <cell r="AG358">
            <v>2.7664647455160854E-2</v>
          </cell>
          <cell r="AH358">
            <v>1.7502038767956841E-2</v>
          </cell>
          <cell r="AI358">
            <v>1.2087464595672583E-2</v>
          </cell>
          <cell r="AJ358">
            <v>3.2500000000000001E-2</v>
          </cell>
          <cell r="AK358">
            <v>3.0499999999999999E-2</v>
          </cell>
          <cell r="AL358">
            <v>2.2002038767956842E-2</v>
          </cell>
          <cell r="AM358">
            <v>1.7499999999999998E-2</v>
          </cell>
          <cell r="AN358">
            <v>3.2500000000000001E-2</v>
          </cell>
        </row>
        <row r="359">
          <cell r="I359" t="str">
            <v>Bear vs. Base Case - bps</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25</v>
          </cell>
          <cell r="AK359">
            <v>25</v>
          </cell>
          <cell r="AL359">
            <v>25</v>
          </cell>
          <cell r="AM359">
            <v>25</v>
          </cell>
          <cell r="AN359">
            <v>25</v>
          </cell>
        </row>
        <row r="361">
          <cell r="I361" t="str">
            <v>Model Drivers</v>
          </cell>
        </row>
        <row r="362">
          <cell r="I362" t="str">
            <v>Gross Bookings Model Drivers:</v>
          </cell>
        </row>
        <row r="363">
          <cell r="I363" t="str">
            <v>US</v>
          </cell>
        </row>
        <row r="364">
          <cell r="I364" t="str">
            <v>Agency (Priceline.com) - Y/Y Growth</v>
          </cell>
          <cell r="AJ364">
            <v>0.18</v>
          </cell>
          <cell r="AK364">
            <v>0.15</v>
          </cell>
          <cell r="AL364">
            <v>0.17</v>
          </cell>
          <cell r="AM364">
            <v>0.17</v>
          </cell>
          <cell r="AN364">
            <v>0.16</v>
          </cell>
        </row>
        <row r="365">
          <cell r="I365" t="str">
            <v>Merchant (NYOP &amp; Priceline.com) - Y/Y growth</v>
          </cell>
          <cell r="AJ365">
            <v>0.08</v>
          </cell>
          <cell r="AK365">
            <v>0.08</v>
          </cell>
          <cell r="AL365">
            <v>0.09</v>
          </cell>
          <cell r="AM365">
            <v>0.09</v>
          </cell>
          <cell r="AN365">
            <v>0.08</v>
          </cell>
        </row>
        <row r="366">
          <cell r="I366" t="str">
            <v>Europe</v>
          </cell>
        </row>
        <row r="367">
          <cell r="I367" t="str">
            <v>Agency (Booking.com &amp; Other) - Y/Y growth</v>
          </cell>
          <cell r="AJ367">
            <v>0.44215147226210577</v>
          </cell>
          <cell r="AK367">
            <v>0.27375034141813703</v>
          </cell>
          <cell r="AL367">
            <v>0.25919430319770514</v>
          </cell>
          <cell r="AM367">
            <v>0.28358264172784808</v>
          </cell>
          <cell r="AN367">
            <v>0.2567397418289814</v>
          </cell>
        </row>
        <row r="368">
          <cell r="I368" t="str">
            <v>Merchant (TravelJigsaw) - Y/Y growth</v>
          </cell>
          <cell r="AJ368">
            <v>0.69215147226210572</v>
          </cell>
          <cell r="AK368">
            <v>0.55375034141813706</v>
          </cell>
          <cell r="AL368">
            <v>0.55919430319770513</v>
          </cell>
          <cell r="AM368">
            <v>0.57358264172784812</v>
          </cell>
          <cell r="AN368">
            <v>0.56673974182898135</v>
          </cell>
        </row>
        <row r="369">
          <cell r="I369" t="str">
            <v>Asia</v>
          </cell>
        </row>
        <row r="370">
          <cell r="I370" t="str">
            <v>Agency (Booking.com) - Y/Y growth</v>
          </cell>
          <cell r="AJ370">
            <v>1.0454551581950273</v>
          </cell>
          <cell r="AK370">
            <v>0.74519655383601913</v>
          </cell>
          <cell r="AL370">
            <v>0.76965937972413578</v>
          </cell>
          <cell r="AM370">
            <v>0.75191701779857967</v>
          </cell>
          <cell r="AN370">
            <v>0.71257667341143149</v>
          </cell>
        </row>
        <row r="371">
          <cell r="I371" t="str">
            <v>Merchant (Agoda) - Y/Y growth</v>
          </cell>
          <cell r="AJ371">
            <v>0.84545515819502737</v>
          </cell>
          <cell r="AK371">
            <v>0.64519655383601915</v>
          </cell>
          <cell r="AL371">
            <v>0.66965937972413581</v>
          </cell>
          <cell r="AM371">
            <v>0.65191701779857969</v>
          </cell>
          <cell r="AN371">
            <v>0.61257667341143152</v>
          </cell>
        </row>
        <row r="372">
          <cell r="I372" t="str">
            <v>Latin America</v>
          </cell>
        </row>
        <row r="373">
          <cell r="I373" t="str">
            <v>Agency (Booking.com) - Y/Y growth</v>
          </cell>
          <cell r="AJ373">
            <v>0.92866065574799694</v>
          </cell>
          <cell r="AK373">
            <v>0.66217508968191952</v>
          </cell>
          <cell r="AL373">
            <v>0.6926001226320716</v>
          </cell>
          <cell r="AM373">
            <v>0.70097497037321943</v>
          </cell>
          <cell r="AN373">
            <v>0.69756709862743027</v>
          </cell>
        </row>
        <row r="375">
          <cell r="I375" t="str">
            <v>US</v>
          </cell>
        </row>
        <row r="376">
          <cell r="I376" t="str">
            <v xml:space="preserve">Agency (Priceline.com) </v>
          </cell>
          <cell r="M376">
            <v>207.69199999999989</v>
          </cell>
          <cell r="N376">
            <v>252.69099999999986</v>
          </cell>
          <cell r="O376">
            <v>201.9899999999999</v>
          </cell>
          <cell r="P376">
            <v>171.93399999999994</v>
          </cell>
          <cell r="Q376">
            <v>190.84899999999999</v>
          </cell>
          <cell r="R376">
            <v>232.13600000000002</v>
          </cell>
          <cell r="S376">
            <v>254.14100000000002</v>
          </cell>
          <cell r="T376">
            <v>246.33799999999991</v>
          </cell>
          <cell r="U376">
            <v>357.07499999999987</v>
          </cell>
          <cell r="V376">
            <v>443.2940000000001</v>
          </cell>
          <cell r="W376">
            <v>385.09300000000013</v>
          </cell>
          <cell r="X376">
            <v>353.52399999999983</v>
          </cell>
          <cell r="Y376">
            <v>417.31599999999986</v>
          </cell>
          <cell r="Z376">
            <v>453.41999999999996</v>
          </cell>
          <cell r="AA376">
            <v>474.61099999999999</v>
          </cell>
          <cell r="AB376">
            <v>427.04500000000019</v>
          </cell>
          <cell r="AC376">
            <v>485.1570000000001</v>
          </cell>
          <cell r="AD376">
            <v>558.46900000000005</v>
          </cell>
          <cell r="AE376">
            <v>538.9</v>
          </cell>
          <cell r="AF376">
            <v>445.875</v>
          </cell>
          <cell r="AG376">
            <v>539.86160000000007</v>
          </cell>
          <cell r="AH376">
            <v>608.48919999999998</v>
          </cell>
          <cell r="AI376">
            <v>660.58500000000004</v>
          </cell>
          <cell r="AJ376">
            <v>526.13249999999994</v>
          </cell>
          <cell r="AK376">
            <v>620.84084000000007</v>
          </cell>
          <cell r="AL376">
            <v>711.93236399999989</v>
          </cell>
          <cell r="AM376">
            <v>772.88445000000002</v>
          </cell>
          <cell r="AN376">
            <v>610.31369999999993</v>
          </cell>
        </row>
        <row r="377">
          <cell r="I377" t="str">
            <v xml:space="preserve">Merchant (NYOP &amp; Priceline.com) </v>
          </cell>
          <cell r="M377">
            <v>266.315</v>
          </cell>
          <cell r="N377">
            <v>318.06599999999997</v>
          </cell>
          <cell r="O377">
            <v>302.762</v>
          </cell>
          <cell r="P377">
            <v>251.34</v>
          </cell>
          <cell r="Q377">
            <v>287.96300000000002</v>
          </cell>
          <cell r="R377">
            <v>315.65100000000001</v>
          </cell>
          <cell r="S377">
            <v>348.06400000000002</v>
          </cell>
          <cell r="T377">
            <v>279.233</v>
          </cell>
          <cell r="U377">
            <v>363.89299999999997</v>
          </cell>
          <cell r="V377">
            <v>428.99</v>
          </cell>
          <cell r="W377">
            <v>414.334</v>
          </cell>
          <cell r="X377">
            <v>335.589</v>
          </cell>
          <cell r="Y377">
            <v>434.26799999999997</v>
          </cell>
          <cell r="Z377">
            <v>510.75799999999992</v>
          </cell>
          <cell r="AA377">
            <v>524.23500000000001</v>
          </cell>
          <cell r="AB377">
            <v>404.40899999999999</v>
          </cell>
          <cell r="AC377">
            <v>504.53799999999995</v>
          </cell>
          <cell r="AD377">
            <v>595.71100000000001</v>
          </cell>
          <cell r="AE377">
            <v>582.1</v>
          </cell>
          <cell r="AF377">
            <v>456.125</v>
          </cell>
          <cell r="AG377">
            <v>589.13839999999993</v>
          </cell>
          <cell r="AH377">
            <v>699.51080000000002</v>
          </cell>
          <cell r="AI377">
            <v>607.41499999999996</v>
          </cell>
          <cell r="AJ377">
            <v>492.61500000000001</v>
          </cell>
          <cell r="AK377">
            <v>636.26947199999995</v>
          </cell>
          <cell r="AL377">
            <v>762.46677200000011</v>
          </cell>
          <cell r="AM377">
            <v>662.08235000000002</v>
          </cell>
          <cell r="AN377">
            <v>532.02420000000006</v>
          </cell>
        </row>
        <row r="378">
          <cell r="I378" t="str">
            <v>Europe</v>
          </cell>
        </row>
        <row r="379">
          <cell r="I379" t="str">
            <v xml:space="preserve">Agency (Booking.com &amp; Other) </v>
          </cell>
          <cell r="M379">
            <v>267.26400000000007</v>
          </cell>
          <cell r="N379">
            <v>350.74300000000011</v>
          </cell>
          <cell r="O379">
            <v>392.76600000000008</v>
          </cell>
          <cell r="P379">
            <v>313.15600000000006</v>
          </cell>
          <cell r="Q379">
            <v>504.00400000000002</v>
          </cell>
          <cell r="R379">
            <v>670.29899999999998</v>
          </cell>
          <cell r="S379">
            <v>772.15299999999979</v>
          </cell>
          <cell r="T379">
            <v>649.81000000000006</v>
          </cell>
          <cell r="U379">
            <v>972.23150000000021</v>
          </cell>
          <cell r="V379">
            <v>1168.3035</v>
          </cell>
          <cell r="W379">
            <v>1173.1324999999999</v>
          </cell>
          <cell r="X379">
            <v>711.15499999999997</v>
          </cell>
          <cell r="Y379">
            <v>962.86</v>
          </cell>
          <cell r="Z379">
            <v>1262.009125</v>
          </cell>
          <cell r="AA379">
            <v>1538.44625</v>
          </cell>
          <cell r="AB379">
            <v>1228.8415</v>
          </cell>
          <cell r="AC379">
            <v>1656.6200000000001</v>
          </cell>
          <cell r="AD379">
            <v>1843.9102500000001</v>
          </cell>
          <cell r="AE379">
            <v>2305.939625</v>
          </cell>
          <cell r="AF379">
            <v>1857.9887500000002</v>
          </cell>
          <cell r="AG379">
            <v>2708.0260000000003</v>
          </cell>
          <cell r="AH379">
            <v>3431.0739750000002</v>
          </cell>
          <cell r="AI379">
            <v>3748.7228999999998</v>
          </cell>
          <cell r="AJ379">
            <v>2679.5012112589302</v>
          </cell>
          <cell r="AK379">
            <v>3449.3490420691924</v>
          </cell>
          <cell r="AL379">
            <v>4320.3888031699053</v>
          </cell>
          <cell r="AM379">
            <v>4811.7956430876802</v>
          </cell>
          <cell r="AN379">
            <v>3367.4356604679911</v>
          </cell>
        </row>
        <row r="380">
          <cell r="I380" t="str">
            <v xml:space="preserve">Merchant (TravelJigsaw) </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43.9</v>
          </cell>
          <cell r="AE380">
            <v>85.8</v>
          </cell>
          <cell r="AF380">
            <v>55</v>
          </cell>
          <cell r="AG380">
            <v>95.7</v>
          </cell>
          <cell r="AH380">
            <v>154</v>
          </cell>
          <cell r="AI380">
            <v>145.85999999999999</v>
          </cell>
          <cell r="AJ380">
            <v>93.068330974415815</v>
          </cell>
          <cell r="AK380">
            <v>148.69390767371573</v>
          </cell>
          <cell r="AL380">
            <v>240.11592269244659</v>
          </cell>
          <cell r="AM380">
            <v>229.52276412242392</v>
          </cell>
          <cell r="AN380">
            <v>145.81385284331043</v>
          </cell>
        </row>
        <row r="381">
          <cell r="I381" t="str">
            <v>Asia</v>
          </cell>
        </row>
        <row r="382">
          <cell r="I382" t="str">
            <v xml:space="preserve">Agency (Booking.com) </v>
          </cell>
          <cell r="M382">
            <v>3.55</v>
          </cell>
          <cell r="N382">
            <v>3.85</v>
          </cell>
          <cell r="O382">
            <v>3.65</v>
          </cell>
          <cell r="P382">
            <v>3.98</v>
          </cell>
          <cell r="Q382">
            <v>8.875</v>
          </cell>
          <cell r="R382">
            <v>9.625</v>
          </cell>
          <cell r="S382">
            <v>9.125</v>
          </cell>
          <cell r="T382">
            <v>9.9499999999999993</v>
          </cell>
          <cell r="U382">
            <v>20.412499999999998</v>
          </cell>
          <cell r="V382">
            <v>22.137499999999999</v>
          </cell>
          <cell r="W382">
            <v>20.987499999999997</v>
          </cell>
          <cell r="X382">
            <v>22.884999999999998</v>
          </cell>
          <cell r="Y382">
            <v>32.659999999999997</v>
          </cell>
          <cell r="Z382">
            <v>40.068874999999998</v>
          </cell>
          <cell r="AA382">
            <v>44.073749999999997</v>
          </cell>
          <cell r="AB382">
            <v>57.212499999999991</v>
          </cell>
          <cell r="AC382">
            <v>71.852000000000004</v>
          </cell>
          <cell r="AD382">
            <v>80.137749999999997</v>
          </cell>
          <cell r="AE382">
            <v>110.18437499999999</v>
          </cell>
          <cell r="AF382">
            <v>120.14624999999998</v>
          </cell>
          <cell r="AG382">
            <v>165.25960000000001</v>
          </cell>
          <cell r="AH382">
            <v>184.31682499999997</v>
          </cell>
          <cell r="AI382">
            <v>264.44249999999994</v>
          </cell>
          <cell r="AJ382">
            <v>245.75376680028927</v>
          </cell>
          <cell r="AK382">
            <v>288.41048440831901</v>
          </cell>
          <cell r="AL382">
            <v>326.177998202222</v>
          </cell>
          <cell r="AM382">
            <v>463.28131597920077</v>
          </cell>
          <cell r="AN382">
            <v>420.87216842516807</v>
          </cell>
        </row>
        <row r="383">
          <cell r="I383" t="str">
            <v xml:space="preserve">Merchant (Agoda) </v>
          </cell>
          <cell r="M383">
            <v>0</v>
          </cell>
          <cell r="N383">
            <v>0</v>
          </cell>
          <cell r="O383">
            <v>0</v>
          </cell>
          <cell r="P383">
            <v>0</v>
          </cell>
          <cell r="Q383">
            <v>0</v>
          </cell>
          <cell r="R383">
            <v>0</v>
          </cell>
          <cell r="S383">
            <v>0</v>
          </cell>
          <cell r="T383">
            <v>13.4</v>
          </cell>
          <cell r="U383">
            <v>24.6</v>
          </cell>
          <cell r="V383">
            <v>24.2</v>
          </cell>
          <cell r="W383">
            <v>32.4</v>
          </cell>
          <cell r="X383">
            <v>37.5</v>
          </cell>
          <cell r="Y383">
            <v>39.360000000000007</v>
          </cell>
          <cell r="Z383">
            <v>43.802</v>
          </cell>
          <cell r="AA383">
            <v>68.040000000000006</v>
          </cell>
          <cell r="AB383">
            <v>93.75</v>
          </cell>
          <cell r="AC383">
            <v>86.592000000000027</v>
          </cell>
          <cell r="AD383">
            <v>87.603999999999999</v>
          </cell>
          <cell r="AE383">
            <v>170.10000000000002</v>
          </cell>
          <cell r="AF383">
            <v>196.875</v>
          </cell>
          <cell r="AG383">
            <v>199.16160000000005</v>
          </cell>
          <cell r="AH383">
            <v>201.48919999999998</v>
          </cell>
          <cell r="AI383">
            <v>382.72500000000002</v>
          </cell>
          <cell r="AJ383">
            <v>363.32398426964602</v>
          </cell>
          <cell r="AK383">
            <v>327.65997797646781</v>
          </cell>
          <cell r="AL383">
            <v>336.41833269311235</v>
          </cell>
          <cell r="AM383">
            <v>632.22994063696137</v>
          </cell>
          <cell r="AN383">
            <v>585.88778192413304</v>
          </cell>
        </row>
        <row r="384">
          <cell r="I384" t="str">
            <v>Latin America</v>
          </cell>
        </row>
        <row r="385">
          <cell r="I385" t="str">
            <v xml:space="preserve">Agency (Booking.com) </v>
          </cell>
          <cell r="M385">
            <v>2</v>
          </cell>
          <cell r="N385">
            <v>2</v>
          </cell>
          <cell r="O385">
            <v>2</v>
          </cell>
          <cell r="P385">
            <v>2</v>
          </cell>
          <cell r="Q385">
            <v>6.8</v>
          </cell>
          <cell r="R385">
            <v>7.2</v>
          </cell>
          <cell r="S385">
            <v>7.2</v>
          </cell>
          <cell r="T385">
            <v>6.6</v>
          </cell>
          <cell r="U385">
            <v>20.399999999999999</v>
          </cell>
          <cell r="V385">
            <v>23.040000000000003</v>
          </cell>
          <cell r="W385">
            <v>24.48</v>
          </cell>
          <cell r="X385">
            <v>20.46</v>
          </cell>
          <cell r="Y385">
            <v>57.11999999999999</v>
          </cell>
          <cell r="Z385">
            <v>69.12</v>
          </cell>
          <cell r="AA385">
            <v>73.44</v>
          </cell>
          <cell r="AB385">
            <v>53.196000000000005</v>
          </cell>
          <cell r="AC385">
            <v>159.93599999999995</v>
          </cell>
          <cell r="AD385">
            <v>200.44800000000001</v>
          </cell>
          <cell r="AE385">
            <v>212.976</v>
          </cell>
          <cell r="AF385">
            <v>132.99</v>
          </cell>
          <cell r="AG385">
            <v>367.85279999999983</v>
          </cell>
          <cell r="AH385">
            <v>501.12</v>
          </cell>
          <cell r="AI385">
            <v>447.24960000000004</v>
          </cell>
          <cell r="AJ385">
            <v>256.49258060792613</v>
          </cell>
          <cell r="AK385">
            <v>611.43576082974494</v>
          </cell>
          <cell r="AL385">
            <v>848.19577345338382</v>
          </cell>
          <cell r="AM385">
            <v>760.76037510943434</v>
          </cell>
          <cell r="AN385">
            <v>435.41336588205945</v>
          </cell>
        </row>
        <row r="387">
          <cell r="I387" t="str">
            <v>Revenue Model Drivers:</v>
          </cell>
        </row>
        <row r="388">
          <cell r="I388" t="str">
            <v>US</v>
          </cell>
        </row>
        <row r="389">
          <cell r="I389" t="str">
            <v>Agency (Priceline.com) - % of gross bookings</v>
          </cell>
          <cell r="AI389">
            <v>2.917850844327393E-2</v>
          </cell>
          <cell r="AJ389">
            <v>3.3000000000000002E-2</v>
          </cell>
          <cell r="AK389">
            <v>2.8000000000000001E-2</v>
          </cell>
          <cell r="AL389">
            <v>3.2000000000000001E-2</v>
          </cell>
          <cell r="AM389">
            <v>2.9000000000000001E-2</v>
          </cell>
          <cell r="AN389">
            <v>0.03</v>
          </cell>
        </row>
        <row r="390">
          <cell r="I390" t="str">
            <v>Merchant (NYOP &amp; Priceline.com) - % of gross bookings</v>
          </cell>
          <cell r="AI390">
            <v>0.78621060559913736</v>
          </cell>
          <cell r="AJ390">
            <v>0.74</v>
          </cell>
          <cell r="AK390">
            <v>0.68500000000000005</v>
          </cell>
          <cell r="AL390">
            <v>0.66900000000000004</v>
          </cell>
          <cell r="AM390">
            <v>0.79300000000000004</v>
          </cell>
          <cell r="AN390">
            <v>0.74199999999999999</v>
          </cell>
        </row>
        <row r="391">
          <cell r="I391" t="str">
            <v>Other - Y/Y growth</v>
          </cell>
          <cell r="AI391">
            <v>-9.1936469150885824E-2</v>
          </cell>
          <cell r="AJ391">
            <v>0</v>
          </cell>
          <cell r="AK391">
            <v>0</v>
          </cell>
          <cell r="AL391">
            <v>0</v>
          </cell>
          <cell r="AM391">
            <v>0</v>
          </cell>
          <cell r="AN391">
            <v>0</v>
          </cell>
        </row>
        <row r="392">
          <cell r="I392" t="str">
            <v>Europe</v>
          </cell>
        </row>
        <row r="393">
          <cell r="I393" t="str">
            <v>Agency (Booking.com &amp; Other) -  % of gross bookings</v>
          </cell>
          <cell r="AI393">
            <v>0.20034010772041858</v>
          </cell>
          <cell r="AJ393">
            <v>0.158</v>
          </cell>
          <cell r="AK393">
            <v>9.5000000000000001E-2</v>
          </cell>
          <cell r="AL393">
            <v>0.13</v>
          </cell>
          <cell r="AM393">
            <v>0.19500000000000001</v>
          </cell>
          <cell r="AN393">
            <v>0.155</v>
          </cell>
        </row>
        <row r="394">
          <cell r="I394" t="str">
            <v>Merchant (TravelJigsaw) - % of gross bookings</v>
          </cell>
          <cell r="AI394">
            <v>0.18099999999999999</v>
          </cell>
          <cell r="AJ394">
            <v>0.18</v>
          </cell>
          <cell r="AK394">
            <v>0.18</v>
          </cell>
          <cell r="AL394">
            <v>0.17799999999999999</v>
          </cell>
          <cell r="AM394">
            <v>0.17799999999999999</v>
          </cell>
          <cell r="AN394">
            <v>0.18</v>
          </cell>
        </row>
        <row r="395">
          <cell r="I395" t="str">
            <v>Asia</v>
          </cell>
        </row>
        <row r="396">
          <cell r="I396" t="str">
            <v>Agency (Booking.com) - % of gross bookings</v>
          </cell>
          <cell r="AI396">
            <v>0.15</v>
          </cell>
          <cell r="AJ396">
            <v>0.15</v>
          </cell>
          <cell r="AK396">
            <v>0.15</v>
          </cell>
          <cell r="AL396">
            <v>0.14799999999999999</v>
          </cell>
          <cell r="AM396">
            <v>0.14799999999999999</v>
          </cell>
          <cell r="AN396">
            <v>0.15</v>
          </cell>
        </row>
        <row r="397">
          <cell r="I397" t="str">
            <v>Merchant (Agoda) - % of gross bookings</v>
          </cell>
          <cell r="AI397">
            <v>0.18099999999999999</v>
          </cell>
          <cell r="AJ397">
            <v>0.18</v>
          </cell>
          <cell r="AK397">
            <v>0.17899999999999999</v>
          </cell>
          <cell r="AL397">
            <v>0.17799999999999999</v>
          </cell>
          <cell r="AM397">
            <v>0.17799999999999999</v>
          </cell>
          <cell r="AN397">
            <v>0.17899999999999999</v>
          </cell>
        </row>
        <row r="398">
          <cell r="I398" t="str">
            <v>Latin America</v>
          </cell>
        </row>
        <row r="399">
          <cell r="I399" t="str">
            <v>Agency (Booking.com) - % of gross bookings</v>
          </cell>
          <cell r="AI399">
            <v>0.14899999999999999</v>
          </cell>
          <cell r="AJ399">
            <v>0.15</v>
          </cell>
          <cell r="AK399">
            <v>0.14899999999999999</v>
          </cell>
          <cell r="AL399">
            <v>0.14799999999999999</v>
          </cell>
          <cell r="AM399">
            <v>0.14799999999999999</v>
          </cell>
          <cell r="AN399">
            <v>0.14899999999999999</v>
          </cell>
        </row>
        <row r="401">
          <cell r="I401" t="str">
            <v>US</v>
          </cell>
        </row>
        <row r="402">
          <cell r="I402" t="str">
            <v xml:space="preserve">Agency (Priceline.com) </v>
          </cell>
          <cell r="M402">
            <v>7.9809999999999937</v>
          </cell>
          <cell r="N402">
            <v>8.7919999999999874</v>
          </cell>
          <cell r="O402">
            <v>8.3260000000000485</v>
          </cell>
          <cell r="P402">
            <v>6.1009999999999796</v>
          </cell>
          <cell r="Q402">
            <v>6.6110000000000371</v>
          </cell>
          <cell r="R402">
            <v>7.9439999999999413</v>
          </cell>
          <cell r="S402">
            <v>7.8229999999999542</v>
          </cell>
          <cell r="T402">
            <v>5.7799999999999976</v>
          </cell>
          <cell r="U402">
            <v>10.160000000000023</v>
          </cell>
          <cell r="V402">
            <v>13.104999999999976</v>
          </cell>
          <cell r="W402">
            <v>14.770000000000049</v>
          </cell>
          <cell r="X402">
            <v>12.32299999999999</v>
          </cell>
          <cell r="Y402">
            <v>12.709799999999952</v>
          </cell>
          <cell r="Z402">
            <v>14.769359999999974</v>
          </cell>
          <cell r="AA402">
            <v>18.535199999999989</v>
          </cell>
          <cell r="AB402">
            <v>14.471000000000084</v>
          </cell>
          <cell r="AC402">
            <v>13.028559999999914</v>
          </cell>
          <cell r="AD402">
            <v>18.582720000000034</v>
          </cell>
          <cell r="AE402">
            <v>19.071999999999946</v>
          </cell>
          <cell r="AF402">
            <v>16.275500000000051</v>
          </cell>
          <cell r="AG402">
            <v>15.397088000000048</v>
          </cell>
          <cell r="AH402">
            <v>19.913566800000122</v>
          </cell>
          <cell r="AI402">
            <v>19.274885000000111</v>
          </cell>
          <cell r="AJ402">
            <v>17.362372499999999</v>
          </cell>
          <cell r="AK402">
            <v>17.383543520000003</v>
          </cell>
          <cell r="AL402">
            <v>22.781835647999998</v>
          </cell>
          <cell r="AM402">
            <v>22.41364905</v>
          </cell>
          <cell r="AN402">
            <v>18.309410999999997</v>
          </cell>
        </row>
        <row r="403">
          <cell r="I403" t="str">
            <v xml:space="preserve">Merchant (NYOP &amp; Priceline.com) </v>
          </cell>
          <cell r="M403">
            <v>210.43799999999999</v>
          </cell>
          <cell r="N403">
            <v>250.524</v>
          </cell>
          <cell r="O403">
            <v>238.55799999999999</v>
          </cell>
          <cell r="P403">
            <v>204.649</v>
          </cell>
          <cell r="Q403">
            <v>230.13299999999998</v>
          </cell>
          <cell r="R403">
            <v>252.59099999999998</v>
          </cell>
          <cell r="S403">
            <v>274.81600000000003</v>
          </cell>
          <cell r="T403">
            <v>224.28100000000001</v>
          </cell>
          <cell r="U403">
            <v>284.73099999999999</v>
          </cell>
          <cell r="V403">
            <v>331.87400000000002</v>
          </cell>
          <cell r="W403">
            <v>318.125</v>
          </cell>
          <cell r="X403">
            <v>262.06599999999997</v>
          </cell>
          <cell r="Y403">
            <v>329.94920000000002</v>
          </cell>
          <cell r="Z403">
            <v>384.93763999999999</v>
          </cell>
          <cell r="AA403">
            <v>388.0668</v>
          </cell>
          <cell r="AB403">
            <v>300.53199999999998</v>
          </cell>
          <cell r="AC403">
            <v>352.67843999999997</v>
          </cell>
          <cell r="AD403">
            <v>422.99828000000002</v>
          </cell>
          <cell r="AE403">
            <v>448.411</v>
          </cell>
          <cell r="AF403">
            <v>336.8965</v>
          </cell>
          <cell r="AG403">
            <v>401.72891199999998</v>
          </cell>
          <cell r="AH403">
            <v>466.89743320000002</v>
          </cell>
          <cell r="AI403">
            <v>477.55611499999998</v>
          </cell>
          <cell r="AJ403">
            <v>364.5351</v>
          </cell>
          <cell r="AK403">
            <v>435.84458832000001</v>
          </cell>
          <cell r="AL403">
            <v>510.09027046800009</v>
          </cell>
          <cell r="AM403">
            <v>525.03130355000008</v>
          </cell>
          <cell r="AN403">
            <v>394.76195640000003</v>
          </cell>
        </row>
        <row r="404">
          <cell r="I404" t="str">
            <v>Other</v>
          </cell>
          <cell r="M404">
            <v>1.095</v>
          </cell>
          <cell r="N404">
            <v>1.2350000000000001</v>
          </cell>
          <cell r="O404">
            <v>1.583</v>
          </cell>
          <cell r="P404">
            <v>1.121</v>
          </cell>
          <cell r="Q404">
            <v>0.86699999999999999</v>
          </cell>
          <cell r="R404">
            <v>2.6269999999999998</v>
          </cell>
          <cell r="S404">
            <v>2.4529999999999998</v>
          </cell>
          <cell r="T404">
            <v>2.3919999999999999</v>
          </cell>
          <cell r="U404">
            <v>4.0890000000000004</v>
          </cell>
          <cell r="V404">
            <v>4.4969999999999999</v>
          </cell>
          <cell r="W404">
            <v>5.0140000000000002</v>
          </cell>
          <cell r="X404">
            <v>4.2519999999999998</v>
          </cell>
          <cell r="Y404">
            <v>4.7990000000000004</v>
          </cell>
          <cell r="Z404">
            <v>6.4340000000000002</v>
          </cell>
          <cell r="AA404">
            <v>7.1580000000000004</v>
          </cell>
          <cell r="AB404">
            <v>3.85</v>
          </cell>
          <cell r="AC404">
            <v>2.887</v>
          </cell>
          <cell r="AD404">
            <v>3.258</v>
          </cell>
          <cell r="AE404">
            <v>3.274</v>
          </cell>
          <cell r="AF404">
            <v>3.2440000000000002</v>
          </cell>
          <cell r="AG404">
            <v>3.0939999999999999</v>
          </cell>
          <cell r="AH404">
            <v>3.0049999999999999</v>
          </cell>
          <cell r="AI404">
            <v>2.9729999999999999</v>
          </cell>
          <cell r="AJ404">
            <v>3.2440000000000002</v>
          </cell>
          <cell r="AK404">
            <v>3.0939999999999999</v>
          </cell>
          <cell r="AL404">
            <v>3.0049999999999999</v>
          </cell>
          <cell r="AM404">
            <v>2.9729999999999999</v>
          </cell>
          <cell r="AN404">
            <v>3.2440000000000002</v>
          </cell>
        </row>
        <row r="405">
          <cell r="I405" t="str">
            <v>Europe</v>
          </cell>
        </row>
        <row r="406">
          <cell r="I406" t="str">
            <v xml:space="preserve">Agency (Booking.com &amp; Other) </v>
          </cell>
          <cell r="M406">
            <v>21.567499999999999</v>
          </cell>
          <cell r="N406">
            <v>46.222500000000004</v>
          </cell>
          <cell r="O406">
            <v>64.152500000000003</v>
          </cell>
          <cell r="P406">
            <v>47.303000000000004</v>
          </cell>
          <cell r="Q406">
            <v>45.548749999999998</v>
          </cell>
          <cell r="R406">
            <v>87.876250000000013</v>
          </cell>
          <cell r="S406">
            <v>129.35124999999999</v>
          </cell>
          <cell r="T406">
            <v>97.505499999999998</v>
          </cell>
          <cell r="U406">
            <v>93.650125000000003</v>
          </cell>
          <cell r="V406">
            <v>153.36737500000001</v>
          </cell>
          <cell r="W406">
            <v>211.047875</v>
          </cell>
          <cell r="X406">
            <v>114.14825</v>
          </cell>
          <cell r="Y406">
            <v>94.048199999999994</v>
          </cell>
          <cell r="Z406">
            <v>173.33730875000001</v>
          </cell>
          <cell r="AA406">
            <v>287.02573749999993</v>
          </cell>
          <cell r="AB406">
            <v>189.46372500000001</v>
          </cell>
          <cell r="AC406">
            <v>165.44524000000001</v>
          </cell>
          <cell r="AD406">
            <v>256.84141750000003</v>
          </cell>
          <cell r="AE406">
            <v>436.46394375000006</v>
          </cell>
          <cell r="AF406">
            <v>291.5920625</v>
          </cell>
          <cell r="AG406">
            <v>256.05805200000003</v>
          </cell>
          <cell r="AH406">
            <v>446.4519094499999</v>
          </cell>
          <cell r="AI406">
            <v>751.01954959999989</v>
          </cell>
          <cell r="AJ406">
            <v>423.36119137891097</v>
          </cell>
          <cell r="AK406">
            <v>327.68815899657329</v>
          </cell>
          <cell r="AL406">
            <v>561.6505444120877</v>
          </cell>
          <cell r="AM406">
            <v>938.30015040209764</v>
          </cell>
          <cell r="AN406">
            <v>521.95252737253861</v>
          </cell>
        </row>
        <row r="407">
          <cell r="I407" t="str">
            <v xml:space="preserve">Merchant (TravelJigsaw) </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7.9019999999999992</v>
          </cell>
          <cell r="AE407">
            <v>15.443999999999999</v>
          </cell>
          <cell r="AF407">
            <v>9.9</v>
          </cell>
          <cell r="AG407">
            <v>17.225999999999999</v>
          </cell>
          <cell r="AH407">
            <v>27.565999999999999</v>
          </cell>
          <cell r="AI407">
            <v>26.400659999999995</v>
          </cell>
          <cell r="AJ407">
            <v>16.752299575394847</v>
          </cell>
          <cell r="AK407">
            <v>26.76490338126883</v>
          </cell>
          <cell r="AL407">
            <v>42.740634239255492</v>
          </cell>
          <cell r="AM407">
            <v>40.855052013791457</v>
          </cell>
          <cell r="AN407">
            <v>26.246493511795876</v>
          </cell>
        </row>
        <row r="408">
          <cell r="I408" t="str">
            <v>Asia</v>
          </cell>
        </row>
        <row r="409">
          <cell r="I409" t="str">
            <v xml:space="preserve">Agency (Booking.com) </v>
          </cell>
          <cell r="M409">
            <v>0.53249999999999997</v>
          </cell>
          <cell r="N409">
            <v>0.57750000000000001</v>
          </cell>
          <cell r="O409">
            <v>0.54749999999999999</v>
          </cell>
          <cell r="P409">
            <v>0.59699999999999998</v>
          </cell>
          <cell r="Q409">
            <v>1.33125</v>
          </cell>
          <cell r="R409">
            <v>1.4437499999999999</v>
          </cell>
          <cell r="S409">
            <v>1.3687499999999999</v>
          </cell>
          <cell r="T409">
            <v>1.4924999999999999</v>
          </cell>
          <cell r="U409">
            <v>3.0618749999999997</v>
          </cell>
          <cell r="V409">
            <v>3.3206249999999997</v>
          </cell>
          <cell r="W409">
            <v>3.1481249999999994</v>
          </cell>
          <cell r="X409">
            <v>3.4327499999999995</v>
          </cell>
          <cell r="Y409">
            <v>4.8989999999999991</v>
          </cell>
          <cell r="Z409">
            <v>6.0103312499999992</v>
          </cell>
          <cell r="AA409">
            <v>6.6110624999999992</v>
          </cell>
          <cell r="AB409">
            <v>8.5818749999999984</v>
          </cell>
          <cell r="AC409">
            <v>10.777800000000001</v>
          </cell>
          <cell r="AD409">
            <v>12.020662499999998</v>
          </cell>
          <cell r="AE409">
            <v>16.527656249999996</v>
          </cell>
          <cell r="AF409">
            <v>18.021937499999996</v>
          </cell>
          <cell r="AG409">
            <v>24.78894</v>
          </cell>
          <cell r="AH409">
            <v>27.647523749999994</v>
          </cell>
          <cell r="AI409">
            <v>39.666374999999988</v>
          </cell>
          <cell r="AJ409">
            <v>36.863065020043386</v>
          </cell>
          <cell r="AK409">
            <v>43.261572661247847</v>
          </cell>
          <cell r="AL409">
            <v>48.274343733928852</v>
          </cell>
          <cell r="AM409">
            <v>68.565634764921711</v>
          </cell>
          <cell r="AN409">
            <v>63.130825263775208</v>
          </cell>
        </row>
        <row r="410">
          <cell r="I410" t="str">
            <v xml:space="preserve">Merchant (Agoda) </v>
          </cell>
          <cell r="M410">
            <v>0</v>
          </cell>
          <cell r="N410">
            <v>0</v>
          </cell>
          <cell r="O410">
            <v>0</v>
          </cell>
          <cell r="P410">
            <v>0</v>
          </cell>
          <cell r="Q410">
            <v>0</v>
          </cell>
          <cell r="R410">
            <v>0</v>
          </cell>
          <cell r="S410">
            <v>0</v>
          </cell>
          <cell r="T410">
            <v>2.4119999999999999</v>
          </cell>
          <cell r="U410">
            <v>4.4279999999999999</v>
          </cell>
          <cell r="V410">
            <v>4.3559999999999999</v>
          </cell>
          <cell r="W410">
            <v>5.8319999999999999</v>
          </cell>
          <cell r="X410">
            <v>6.75</v>
          </cell>
          <cell r="Y410">
            <v>7.0848000000000013</v>
          </cell>
          <cell r="Z410">
            <v>7.88436</v>
          </cell>
          <cell r="AA410">
            <v>12.247200000000001</v>
          </cell>
          <cell r="AB410">
            <v>16.875</v>
          </cell>
          <cell r="AC410">
            <v>15.586560000000004</v>
          </cell>
          <cell r="AD410">
            <v>15.76872</v>
          </cell>
          <cell r="AE410">
            <v>30.618000000000002</v>
          </cell>
          <cell r="AF410">
            <v>35.4375</v>
          </cell>
          <cell r="AG410">
            <v>35.849088000000009</v>
          </cell>
          <cell r="AH410">
            <v>36.066566799999997</v>
          </cell>
          <cell r="AI410">
            <v>69.273224999999996</v>
          </cell>
          <cell r="AJ410">
            <v>65.398317168536281</v>
          </cell>
          <cell r="AK410">
            <v>58.651136057787738</v>
          </cell>
          <cell r="AL410">
            <v>59.882463219373996</v>
          </cell>
          <cell r="AM410">
            <v>112.53692943337911</v>
          </cell>
          <cell r="AN410">
            <v>104.87391296441982</v>
          </cell>
        </row>
        <row r="411">
          <cell r="I411" t="str">
            <v>Latin America</v>
          </cell>
        </row>
        <row r="412">
          <cell r="I412" t="str">
            <v xml:space="preserve">Agency (Booking.com) </v>
          </cell>
          <cell r="M412">
            <v>0.3</v>
          </cell>
          <cell r="N412">
            <v>0.3</v>
          </cell>
          <cell r="O412">
            <v>0.3</v>
          </cell>
          <cell r="P412">
            <v>0.3</v>
          </cell>
          <cell r="Q412">
            <v>1.02</v>
          </cell>
          <cell r="R412">
            <v>1.08</v>
          </cell>
          <cell r="S412">
            <v>1.08</v>
          </cell>
          <cell r="T412">
            <v>0.98999999999999988</v>
          </cell>
          <cell r="U412">
            <v>3.0599999999999996</v>
          </cell>
          <cell r="V412">
            <v>3.4560000000000004</v>
          </cell>
          <cell r="W412">
            <v>3.6719999999999997</v>
          </cell>
          <cell r="X412">
            <v>3.069</v>
          </cell>
          <cell r="Y412">
            <v>8.5679999999999978</v>
          </cell>
          <cell r="Z412">
            <v>10.368</v>
          </cell>
          <cell r="AA412">
            <v>11.016</v>
          </cell>
          <cell r="AB412">
            <v>7.9794</v>
          </cell>
          <cell r="AC412">
            <v>23.99039999999999</v>
          </cell>
          <cell r="AD412">
            <v>30.0672</v>
          </cell>
          <cell r="AE412">
            <v>31.946399999999997</v>
          </cell>
          <cell r="AF412">
            <v>19.948499999999999</v>
          </cell>
          <cell r="AG412">
            <v>55.177919999999972</v>
          </cell>
          <cell r="AH412">
            <v>75.167999999999992</v>
          </cell>
          <cell r="AI412">
            <v>66.640190400000009</v>
          </cell>
          <cell r="AJ412">
            <v>38.473887091188921</v>
          </cell>
          <cell r="AK412">
            <v>91.103928363631994</v>
          </cell>
          <cell r="AL412">
            <v>125.5329744711008</v>
          </cell>
          <cell r="AM412">
            <v>112.59253551619628</v>
          </cell>
          <cell r="AN412">
            <v>64.876591516426856</v>
          </cell>
        </row>
        <row r="414">
          <cell r="I414" t="str">
            <v>Gross Profit Model Drivers:</v>
          </cell>
        </row>
        <row r="415">
          <cell r="I415" t="str">
            <v>US</v>
          </cell>
        </row>
        <row r="416">
          <cell r="I416" t="str">
            <v xml:space="preserve">Merchant (NYOP &amp; Priceline.com) </v>
          </cell>
          <cell r="AI416">
            <v>0.2056256677889087</v>
          </cell>
          <cell r="AJ416">
            <v>0.182</v>
          </cell>
          <cell r="AK416">
            <v>0.16200000000000001</v>
          </cell>
          <cell r="AL416">
            <v>0.157</v>
          </cell>
          <cell r="AM416">
            <v>0.20399999999999999</v>
          </cell>
          <cell r="AN416">
            <v>0.17499999999999999</v>
          </cell>
        </row>
        <row r="418">
          <cell r="I418" t="str">
            <v>US</v>
          </cell>
        </row>
        <row r="419">
          <cell r="I419" t="str">
            <v>Merchant (NYOP &amp; Priceline.com) - Y/Y growth</v>
          </cell>
          <cell r="M419">
            <v>40.754999999999995</v>
          </cell>
          <cell r="N419">
            <v>48.676999999999992</v>
          </cell>
          <cell r="O419">
            <v>48.638000000000005</v>
          </cell>
          <cell r="P419">
            <v>44.094999999999999</v>
          </cell>
          <cell r="Q419">
            <v>48.460999999999984</v>
          </cell>
          <cell r="R419">
            <v>53.921999999999969</v>
          </cell>
          <cell r="S419">
            <v>59.860000000000042</v>
          </cell>
          <cell r="T419">
            <v>49.580000000000013</v>
          </cell>
          <cell r="U419">
            <v>62.653999999999996</v>
          </cell>
          <cell r="V419">
            <v>71.623000000000047</v>
          </cell>
          <cell r="W419">
            <v>72.593999999999994</v>
          </cell>
          <cell r="X419">
            <v>61.089999999999975</v>
          </cell>
          <cell r="Y419">
            <v>76.22120000000001</v>
          </cell>
          <cell r="Z419">
            <v>86.434640000000002</v>
          </cell>
          <cell r="AA419">
            <v>91.412800000000004</v>
          </cell>
          <cell r="AB419">
            <v>71.967999999999989</v>
          </cell>
          <cell r="AC419">
            <v>87.400439999999946</v>
          </cell>
          <cell r="AD419">
            <v>100.81428</v>
          </cell>
          <cell r="AE419">
            <v>112.84199999999998</v>
          </cell>
          <cell r="AF419">
            <v>83.993500000000012</v>
          </cell>
          <cell r="AG419">
            <v>98.216911999999979</v>
          </cell>
          <cell r="AH419">
            <v>113.40843320000005</v>
          </cell>
          <cell r="AI419">
            <v>124.90011499999997</v>
          </cell>
          <cell r="AJ419">
            <v>89.655929999999998</v>
          </cell>
          <cell r="AK419">
            <v>103.075654464</v>
          </cell>
          <cell r="AL419">
            <v>119.70728320400002</v>
          </cell>
          <cell r="AM419">
            <v>135.0647994</v>
          </cell>
          <cell r="AN419">
            <v>93.104235000000003</v>
          </cell>
        </row>
        <row r="422">
          <cell r="I422" t="str">
            <v>Other P&amp;L Model Drivers:</v>
          </cell>
        </row>
        <row r="423">
          <cell r="I423" t="str">
            <v xml:space="preserve">Offline Advertising </v>
          </cell>
          <cell r="AJ423">
            <v>0.01</v>
          </cell>
          <cell r="AK423">
            <v>2.1999999999999999E-2</v>
          </cell>
          <cell r="AL423">
            <v>1.2E-2</v>
          </cell>
          <cell r="AM423">
            <v>7.0000000000000001E-3</v>
          </cell>
          <cell r="AN423">
            <v>0.01</v>
          </cell>
        </row>
        <row r="424">
          <cell r="I424" t="str">
            <v xml:space="preserve">Online Advertising </v>
          </cell>
          <cell r="AJ424">
            <v>0.27500000000000002</v>
          </cell>
          <cell r="AK424">
            <v>0.36499999999999999</v>
          </cell>
          <cell r="AL424">
            <v>0.316</v>
          </cell>
          <cell r="AM424">
            <v>0.255</v>
          </cell>
          <cell r="AN424">
            <v>0.27700000000000002</v>
          </cell>
        </row>
        <row r="425">
          <cell r="I425" t="str">
            <v xml:space="preserve">Selling &amp; Marketing  </v>
          </cell>
          <cell r="AJ425">
            <v>6.3E-2</v>
          </cell>
          <cell r="AK425">
            <v>6.9000000000000006E-2</v>
          </cell>
          <cell r="AL425">
            <v>5.6000000000000001E-2</v>
          </cell>
          <cell r="AM425">
            <v>4.2999999999999997E-2</v>
          </cell>
          <cell r="AN425">
            <v>6.0999999999999999E-2</v>
          </cell>
        </row>
        <row r="426">
          <cell r="I426" t="str">
            <v>Personnel (ex-SBC)</v>
          </cell>
          <cell r="AJ426">
            <v>0.11700000000000001</v>
          </cell>
          <cell r="AK426">
            <v>0.121</v>
          </cell>
          <cell r="AL426">
            <v>9.9000000000000005E-2</v>
          </cell>
          <cell r="AM426">
            <v>7.6999999999999999E-2</v>
          </cell>
          <cell r="AN426">
            <v>0.11899999999999999</v>
          </cell>
        </row>
        <row r="427">
          <cell r="I427" t="str">
            <v xml:space="preserve">General &amp; Administrative </v>
          </cell>
          <cell r="AJ427">
            <v>5.0999999999999997E-2</v>
          </cell>
          <cell r="AK427">
            <v>5.1999999999999998E-2</v>
          </cell>
          <cell r="AL427">
            <v>0.04</v>
          </cell>
          <cell r="AM427">
            <v>0.03</v>
          </cell>
          <cell r="AN427">
            <v>5.0999999999999997E-2</v>
          </cell>
        </row>
        <row r="428">
          <cell r="I428" t="str">
            <v xml:space="preserve">Information Technology </v>
          </cell>
          <cell r="AJ428">
            <v>1.2999999999999999E-2</v>
          </cell>
          <cell r="AK428">
            <v>1.2999999999999999E-2</v>
          </cell>
          <cell r="AL428">
            <v>1.0999999999999999E-2</v>
          </cell>
          <cell r="AM428">
            <v>8.0000000000000002E-3</v>
          </cell>
          <cell r="AN428">
            <v>1.2999999999999999E-2</v>
          </cell>
        </row>
        <row r="429">
          <cell r="I429" t="str">
            <v>Stock-based Compensation</v>
          </cell>
          <cell r="AJ429">
            <v>0.03</v>
          </cell>
          <cell r="AK429">
            <v>2.8000000000000001E-2</v>
          </cell>
          <cell r="AL429">
            <v>1.9502038767956843E-2</v>
          </cell>
          <cell r="AM429">
            <v>1.4999999999999999E-2</v>
          </cell>
          <cell r="AN429">
            <v>0.03</v>
          </cell>
        </row>
        <row r="430">
          <cell r="I430" t="str">
            <v>Interest Rate on Cash &amp; Equivalents</v>
          </cell>
          <cell r="AJ430">
            <v>4.0000000000000001E-3</v>
          </cell>
          <cell r="AK430">
            <v>4.0000000000000001E-3</v>
          </cell>
          <cell r="AL430">
            <v>4.0000000000000001E-3</v>
          </cell>
          <cell r="AM430">
            <v>4.0000000000000001E-3</v>
          </cell>
          <cell r="AN430">
            <v>4.0000000000000001E-3</v>
          </cell>
        </row>
        <row r="432">
          <cell r="I432" t="str">
            <v>Cash Flow Statement Model Drivers:</v>
          </cell>
        </row>
        <row r="433">
          <cell r="I433" t="str">
            <v>Capex as % of Gross Profit</v>
          </cell>
          <cell r="M433">
            <v>2.87272777616259E-2</v>
          </cell>
          <cell r="N433">
            <v>3.9818910438168695E-2</v>
          </cell>
          <cell r="O433">
            <v>2.7034246076391981E-2</v>
          </cell>
          <cell r="P433">
            <v>3.2386426439703776E-2</v>
          </cell>
          <cell r="Q433">
            <v>2.1350359691445414E-2</v>
          </cell>
          <cell r="R433">
            <v>2.1240469227143902E-2</v>
          </cell>
          <cell r="S433">
            <v>2.7261112431661513E-2</v>
          </cell>
          <cell r="T433">
            <v>3.0826964383835351E-2</v>
          </cell>
          <cell r="U433">
            <v>1.5758987979216248E-2</v>
          </cell>
          <cell r="V433">
            <v>1.6446940585279336E-2</v>
          </cell>
          <cell r="W433">
            <v>1.8533399983548367E-2</v>
          </cell>
          <cell r="X433">
            <v>2.6513544485894724E-2</v>
          </cell>
          <cell r="Y433">
            <v>1.4837037392598283E-2</v>
          </cell>
          <cell r="Z433">
            <v>1.6456011374730538E-2</v>
          </cell>
          <cell r="AA433">
            <v>4.11975871301318E-3</v>
          </cell>
          <cell r="AB433">
            <v>1.6616164680113291E-2</v>
          </cell>
          <cell r="AC433">
            <v>1.5138695646724079E-2</v>
          </cell>
          <cell r="AD433">
            <v>1.2132373583676772E-2</v>
          </cell>
          <cell r="AE433">
            <v>6.3615676055407775E-3</v>
          </cell>
          <cell r="AF433">
            <v>1.69769634186362E-2</v>
          </cell>
          <cell r="AG433">
            <v>1.6367870812640368E-2</v>
          </cell>
          <cell r="AH433">
            <v>1.3077478521195849E-2</v>
          </cell>
          <cell r="AI433">
            <v>1.0628569974221649E-2</v>
          </cell>
          <cell r="AJ433">
            <v>1.7999999999999999E-2</v>
          </cell>
          <cell r="AK433">
            <v>1.7999999999999999E-2</v>
          </cell>
          <cell r="AL433">
            <v>1.4999999999999999E-2</v>
          </cell>
          <cell r="AM433">
            <v>1.2999999999999999E-2</v>
          </cell>
          <cell r="AN433">
            <v>0.02</v>
          </cell>
        </row>
      </sheetData>
      <sheetData sheetId="1"/>
      <sheetData sheetId="2"/>
      <sheetData sheetId="3" refreshError="1">
        <row r="1">
          <cell r="B1" t="str">
            <v>ElementName</v>
          </cell>
          <cell r="C1" t="str">
            <v>ScaleOverride</v>
          </cell>
          <cell r="D1" t="str">
            <v>UnitOverride</v>
          </cell>
          <cell r="E1" t="str">
            <v>ReverseSign</v>
          </cell>
          <cell r="F1" t="str">
            <v>IsDrivingAssumption</v>
          </cell>
          <cell r="G1" t="str">
            <v>SegmentID</v>
          </cell>
          <cell r="I1" t="str">
            <v>Select Model Case:</v>
          </cell>
          <cell r="L1">
            <v>649.81451297948274</v>
          </cell>
          <cell r="M1">
            <v>1</v>
          </cell>
          <cell r="N1">
            <v>1</v>
          </cell>
          <cell r="O1">
            <v>1</v>
          </cell>
          <cell r="P1">
            <v>1</v>
          </cell>
          <cell r="Q1">
            <v>1</v>
          </cell>
          <cell r="R1">
            <v>1</v>
          </cell>
          <cell r="S1">
            <v>1</v>
          </cell>
          <cell r="T1">
            <v>1</v>
          </cell>
          <cell r="U1">
            <v>1</v>
          </cell>
          <cell r="V1">
            <v>1</v>
          </cell>
          <cell r="W1">
            <v>1</v>
          </cell>
          <cell r="X1">
            <v>1</v>
          </cell>
          <cell r="Y1">
            <v>1</v>
          </cell>
          <cell r="Z1">
            <v>1</v>
          </cell>
          <cell r="AA1">
            <v>1</v>
          </cell>
          <cell r="AB1">
            <v>1</v>
          </cell>
          <cell r="AC1">
            <v>1</v>
          </cell>
          <cell r="AD1">
            <v>1</v>
          </cell>
          <cell r="AE1">
            <v>1</v>
          </cell>
          <cell r="AF1">
            <v>1</v>
          </cell>
          <cell r="AG1">
            <v>1</v>
          </cell>
          <cell r="AH1">
            <v>1</v>
          </cell>
          <cell r="AI1">
            <v>1</v>
          </cell>
          <cell r="AJ1">
            <v>1</v>
          </cell>
        </row>
        <row r="3">
          <cell r="M3" t="str">
            <v>2006-FY</v>
          </cell>
          <cell r="N3" t="str">
            <v>2007-FY</v>
          </cell>
          <cell r="O3" t="str">
            <v>2008-FY</v>
          </cell>
          <cell r="P3" t="str">
            <v>2009-FY</v>
          </cell>
          <cell r="Q3" t="str">
            <v>2010-FY</v>
          </cell>
          <cell r="R3" t="str">
            <v>2011-FY</v>
          </cell>
          <cell r="S3" t="str">
            <v>2012-FY</v>
          </cell>
          <cell r="T3" t="str">
            <v>2013-FY</v>
          </cell>
          <cell r="U3" t="str">
            <v>2014-FY</v>
          </cell>
          <cell r="V3" t="str">
            <v>2015-FY</v>
          </cell>
          <cell r="W3" t="str">
            <v>2016-FY</v>
          </cell>
          <cell r="X3" t="str">
            <v>2017-FY</v>
          </cell>
          <cell r="Y3" t="str">
            <v>2018-FY</v>
          </cell>
          <cell r="Z3" t="str">
            <v>2019-FY</v>
          </cell>
          <cell r="AA3" t="str">
            <v>2020-FY</v>
          </cell>
          <cell r="AB3" t="str">
            <v>2021-FY</v>
          </cell>
          <cell r="AC3" t="str">
            <v>2022-FY</v>
          </cell>
          <cell r="AD3" t="str">
            <v>2023-FY</v>
          </cell>
          <cell r="AE3" t="str">
            <v>2024-FY</v>
          </cell>
          <cell r="AF3" t="str">
            <v>2025-FY</v>
          </cell>
          <cell r="AG3" t="str">
            <v>2026-FY</v>
          </cell>
          <cell r="AH3" t="str">
            <v>2027-FY</v>
          </cell>
          <cell r="AI3" t="str">
            <v>2028-FY</v>
          </cell>
          <cell r="AJ3" t="str">
            <v>2029-FY</v>
          </cell>
        </row>
        <row r="4">
          <cell r="I4" t="str">
            <v>Period-End Date</v>
          </cell>
          <cell r="M4">
            <v>39082</v>
          </cell>
          <cell r="N4">
            <v>39447</v>
          </cell>
          <cell r="O4">
            <v>39813</v>
          </cell>
          <cell r="P4">
            <v>40178</v>
          </cell>
          <cell r="Q4">
            <v>40543</v>
          </cell>
          <cell r="R4">
            <v>40908</v>
          </cell>
          <cell r="S4">
            <v>41274</v>
          </cell>
          <cell r="T4">
            <v>41639</v>
          </cell>
          <cell r="U4">
            <v>42004</v>
          </cell>
          <cell r="V4">
            <v>42369</v>
          </cell>
          <cell r="W4">
            <v>42735</v>
          </cell>
          <cell r="X4">
            <v>43100</v>
          </cell>
          <cell r="Y4">
            <v>43465</v>
          </cell>
          <cell r="Z4">
            <v>43830</v>
          </cell>
          <cell r="AA4">
            <v>44196</v>
          </cell>
          <cell r="AB4">
            <v>44561</v>
          </cell>
          <cell r="AC4">
            <v>44926</v>
          </cell>
          <cell r="AD4">
            <v>45291</v>
          </cell>
          <cell r="AE4">
            <v>45657</v>
          </cell>
          <cell r="AF4">
            <v>46022</v>
          </cell>
          <cell r="AG4">
            <v>46387</v>
          </cell>
          <cell r="AH4">
            <v>46752</v>
          </cell>
          <cell r="AI4">
            <v>47118</v>
          </cell>
          <cell r="AJ4">
            <v>47483</v>
          </cell>
        </row>
        <row r="5">
          <cell r="I5" t="str">
            <v>Priceline Model</v>
          </cell>
          <cell r="M5" t="str">
            <v>Historical Financials</v>
          </cell>
          <cell r="P5" t="str">
            <v>Historical Financials</v>
          </cell>
          <cell r="R5" t="str">
            <v>Projected Financials</v>
          </cell>
          <cell r="T5" t="str">
            <v>Projected Financials</v>
          </cell>
          <cell r="AB5" t="str">
            <v>Projected Financials</v>
          </cell>
        </row>
        <row r="6">
          <cell r="I6" t="str">
            <v>(USD millions)</v>
          </cell>
          <cell r="M6">
            <v>39082</v>
          </cell>
          <cell r="N6">
            <v>39447</v>
          </cell>
          <cell r="O6">
            <v>39813</v>
          </cell>
          <cell r="P6">
            <v>40178</v>
          </cell>
          <cell r="Q6">
            <v>40543</v>
          </cell>
          <cell r="R6">
            <v>40908</v>
          </cell>
          <cell r="S6">
            <v>41274</v>
          </cell>
          <cell r="T6">
            <v>41639</v>
          </cell>
          <cell r="U6">
            <v>42004</v>
          </cell>
          <cell r="V6">
            <v>42369</v>
          </cell>
          <cell r="W6">
            <v>42735</v>
          </cell>
          <cell r="X6">
            <v>43100</v>
          </cell>
          <cell r="Y6">
            <v>43465</v>
          </cell>
          <cell r="Z6">
            <v>43830</v>
          </cell>
          <cell r="AA6">
            <v>44196</v>
          </cell>
          <cell r="AB6">
            <v>44561</v>
          </cell>
          <cell r="AC6">
            <v>44926</v>
          </cell>
          <cell r="AD6">
            <v>45291</v>
          </cell>
          <cell r="AE6">
            <v>45657</v>
          </cell>
          <cell r="AF6">
            <v>46022</v>
          </cell>
          <cell r="AG6">
            <v>46387</v>
          </cell>
          <cell r="AH6">
            <v>46752</v>
          </cell>
          <cell r="AI6">
            <v>47118</v>
          </cell>
          <cell r="AJ6">
            <v>47483</v>
          </cell>
        </row>
        <row r="8">
          <cell r="I8" t="str">
            <v>Gross Bookings Build-Up</v>
          </cell>
        </row>
        <row r="9">
          <cell r="I9" t="str">
            <v xml:space="preserve">Merchant </v>
          </cell>
          <cell r="M9">
            <v>1138.4829999999999</v>
          </cell>
          <cell r="N9">
            <v>1244.3110000000001</v>
          </cell>
          <cell r="O9">
            <v>1661.5059999999999</v>
          </cell>
          <cell r="P9">
            <v>2118.6219999999998</v>
          </cell>
          <cell r="Q9">
            <v>2864.3450000000003</v>
          </cell>
          <cell r="R9">
            <v>4024.0073152440618</v>
          </cell>
          <cell r="S9">
            <v>5239.185274562572</v>
          </cell>
          <cell r="T9">
            <v>6265.7585506479372</v>
          </cell>
          <cell r="U9">
            <v>7107.6233834520281</v>
          </cell>
          <cell r="V9">
            <v>7651.1895083203344</v>
          </cell>
          <cell r="W9">
            <v>8151.5731125413895</v>
          </cell>
          <cell r="X9">
            <v>8589.7045349926429</v>
          </cell>
          <cell r="Y9">
            <v>8984.8305235696625</v>
          </cell>
          <cell r="Z9">
            <v>9398.3384420486291</v>
          </cell>
          <cell r="AA9">
            <v>9831.0924121435619</v>
          </cell>
          <cell r="AB9">
            <v>10283.997562662942</v>
          </cell>
          <cell r="AC9">
            <v>10758.001991904781</v>
          </cell>
          <cell r="AD9">
            <v>11254.098824653058</v>
          </cell>
          <cell r="AE9">
            <v>11773.32836836487</v>
          </cell>
          <cell r="AF9">
            <v>12316.780373361438</v>
          </cell>
          <cell r="AG9">
            <v>12885.596402070969</v>
          </cell>
          <cell r="AH9">
            <v>13480.972312617636</v>
          </cell>
          <cell r="AI9">
            <v>14104.16086230936</v>
          </cell>
          <cell r="AJ9">
            <v>14756.474436848102</v>
          </cell>
        </row>
        <row r="10">
          <cell r="I10" t="str">
            <v xml:space="preserve">Agency </v>
          </cell>
          <cell r="M10">
            <v>2181.2660000000001</v>
          </cell>
          <cell r="N10">
            <v>3585.105</v>
          </cell>
          <cell r="O10">
            <v>5738.6110000000008</v>
          </cell>
          <cell r="P10">
            <v>7191.44</v>
          </cell>
          <cell r="Q10">
            <v>10781.53</v>
          </cell>
          <cell r="R10">
            <v>17334.880058667146</v>
          </cell>
          <cell r="S10">
            <v>22819.487745084298</v>
          </cell>
          <cell r="T10">
            <v>28156.50672572702</v>
          </cell>
          <cell r="U10">
            <v>31953.283854999176</v>
          </cell>
          <cell r="V10">
            <v>34937.303148752631</v>
          </cell>
          <cell r="W10">
            <v>37509.573486086643</v>
          </cell>
          <cell r="X10">
            <v>39851.579047012099</v>
          </cell>
          <cell r="Y10">
            <v>41915.662172776829</v>
          </cell>
          <cell r="Z10">
            <v>44019.938333142061</v>
          </cell>
          <cell r="AA10">
            <v>46233.648964412758</v>
          </cell>
          <cell r="AB10">
            <v>48562.719183736364</v>
          </cell>
          <cell r="AC10">
            <v>51013.408895522873</v>
          </cell>
          <cell r="AD10">
            <v>53592.332514903319</v>
          </cell>
          <cell r="AE10">
            <v>56306.47989802892</v>
          </cell>
          <cell r="AF10">
            <v>59163.238555461583</v>
          </cell>
          <cell r="AG10">
            <v>62170.417229849932</v>
          </cell>
          <cell r="AH10">
            <v>65336.270924354736</v>
          </cell>
          <cell r="AI10">
            <v>68669.52747390575</v>
          </cell>
          <cell r="AJ10">
            <v>72179.415757362745</v>
          </cell>
        </row>
        <row r="11">
          <cell r="I11" t="str">
            <v>Total Gross Bookings</v>
          </cell>
          <cell r="M11">
            <v>3319.7489999999998</v>
          </cell>
          <cell r="N11">
            <v>4829.4160000000002</v>
          </cell>
          <cell r="O11">
            <v>7400.1170000000002</v>
          </cell>
          <cell r="P11">
            <v>9310.0619999999999</v>
          </cell>
          <cell r="Q11">
            <v>13645.875</v>
          </cell>
          <cell r="R11">
            <v>21358.88737391121</v>
          </cell>
          <cell r="S11">
            <v>28058.673019646871</v>
          </cell>
          <cell r="T11">
            <v>34422.265276374957</v>
          </cell>
          <cell r="U11">
            <v>39060.907238451204</v>
          </cell>
          <cell r="V11">
            <v>42588.492657072966</v>
          </cell>
          <cell r="W11">
            <v>45661.146598628031</v>
          </cell>
          <cell r="X11">
            <v>48441.28358200474</v>
          </cell>
          <cell r="Y11">
            <v>50900.49269634649</v>
          </cell>
          <cell r="Z11">
            <v>53418.276775190694</v>
          </cell>
          <cell r="AA11">
            <v>56064.741376556318</v>
          </cell>
          <cell r="AB11">
            <v>58846.71674639931</v>
          </cell>
          <cell r="AC11">
            <v>61771.410887427657</v>
          </cell>
          <cell r="AD11">
            <v>64846.43133955638</v>
          </cell>
          <cell r="AE11">
            <v>68079.808266393782</v>
          </cell>
          <cell r="AF11">
            <v>71480.018928823018</v>
          </cell>
          <cell r="AG11">
            <v>75056.013631920898</v>
          </cell>
          <cell r="AH11">
            <v>78817.243236972368</v>
          </cell>
          <cell r="AI11">
            <v>82773.688336215113</v>
          </cell>
          <cell r="AJ11">
            <v>86935.89019421085</v>
          </cell>
        </row>
        <row r="12">
          <cell r="I12" t="str">
            <v>y/y Growth - %</v>
          </cell>
          <cell r="P12">
            <v>0.25809659495924175</v>
          </cell>
          <cell r="Q12">
            <v>0.46571258064661647</v>
          </cell>
          <cell r="R12">
            <v>0.56522666182353354</v>
          </cell>
          <cell r="S12">
            <v>0.31367671585361268</v>
          </cell>
          <cell r="T12">
            <v>0.22679590913911918</v>
          </cell>
          <cell r="U12">
            <v>0.13475702208535023</v>
          </cell>
          <cell r="V12">
            <v>9.0309869074142624E-2</v>
          </cell>
          <cell r="W12">
            <v>7.214751567510036E-2</v>
          </cell>
          <cell r="X12">
            <v>6.0886271819118987E-2</v>
          </cell>
          <cell r="Y12">
            <v>5.0766803282134898E-2</v>
          </cell>
          <cell r="Z12">
            <v>4.9464827263350442E-2</v>
          </cell>
          <cell r="AA12">
            <v>4.9542305763684569E-2</v>
          </cell>
          <cell r="AB12">
            <v>4.9620765235640407E-2</v>
          </cell>
          <cell r="AC12">
            <v>4.9700209335932E-2</v>
          </cell>
          <cell r="AD12">
            <v>4.9780641367130896E-2</v>
          </cell>
          <cell r="AE12">
            <v>4.9862064265439932E-2</v>
          </cell>
          <cell r="AF12">
            <v>4.994448058849299E-2</v>
          </cell>
          <cell r="AG12">
            <v>5.0027892503200277E-2</v>
          </cell>
          <cell r="AH12">
            <v>5.0112301773669543E-2</v>
          </cell>
          <cell r="AI12">
            <v>5.0197709749214114E-2</v>
          </cell>
          <cell r="AJ12">
            <v>5.0284117352478619E-2</v>
          </cell>
        </row>
        <row r="13">
          <cell r="I13" t="str">
            <v>y/y Growth - % (ex F/X)</v>
          </cell>
          <cell r="P13">
            <v>0.31976521236083144</v>
          </cell>
          <cell r="Q13">
            <v>0.49657080693984645</v>
          </cell>
          <cell r="R13">
            <v>0.50685968886425092</v>
          </cell>
          <cell r="S13">
            <v>0.35259051150999099</v>
          </cell>
          <cell r="T13">
            <v>0.22679590913911896</v>
          </cell>
          <cell r="U13">
            <v>0.13475702208535045</v>
          </cell>
          <cell r="V13">
            <v>9.0309869074142624E-2</v>
          </cell>
          <cell r="W13">
            <v>7.214751567510036E-2</v>
          </cell>
          <cell r="X13">
            <v>6.0886271819118987E-2</v>
          </cell>
          <cell r="Y13">
            <v>5.0766803282134898E-2</v>
          </cell>
          <cell r="Z13">
            <v>4.9464827263349997E-2</v>
          </cell>
          <cell r="AA13">
            <v>4.9542305763684569E-2</v>
          </cell>
          <cell r="AB13">
            <v>4.9620765235640629E-2</v>
          </cell>
          <cell r="AC13">
            <v>4.9700209335931556E-2</v>
          </cell>
          <cell r="AD13">
            <v>4.9780641367131118E-2</v>
          </cell>
          <cell r="AE13">
            <v>4.9862064265440376E-2</v>
          </cell>
          <cell r="AF13">
            <v>4.9944480588492768E-2</v>
          </cell>
          <cell r="AG13">
            <v>5.0027892503200277E-2</v>
          </cell>
          <cell r="AH13">
            <v>5.0112301773669543E-2</v>
          </cell>
          <cell r="AI13">
            <v>5.0197709749213892E-2</v>
          </cell>
          <cell r="AJ13">
            <v>5.0284117352478841E-2</v>
          </cell>
        </row>
        <row r="16">
          <cell r="I16" t="str">
            <v>Revenue Build-Up</v>
          </cell>
        </row>
        <row r="17">
          <cell r="I17" t="str">
            <v xml:space="preserve">Merchant </v>
          </cell>
          <cell r="M17">
            <v>904.16899999999998</v>
          </cell>
          <cell r="N17">
            <v>984.23299999999995</v>
          </cell>
          <cell r="O17">
            <v>1218.162</v>
          </cell>
          <cell r="P17">
            <v>1447.577</v>
          </cell>
          <cell r="Q17">
            <v>1691.6409999999998</v>
          </cell>
          <cell r="R17">
            <v>2005.249716743931</v>
          </cell>
          <cell r="S17">
            <v>2338.2796435590726</v>
          </cell>
          <cell r="T17">
            <v>2624.8222810267835</v>
          </cell>
          <cell r="U17">
            <v>2876.2152234370596</v>
          </cell>
          <cell r="V17">
            <v>3052.4160729374566</v>
          </cell>
          <cell r="W17">
            <v>3225.6560991252113</v>
          </cell>
          <cell r="X17">
            <v>3374.2943302313997</v>
          </cell>
          <cell r="Y17">
            <v>3518.2852196966851</v>
          </cell>
          <cell r="Z17">
            <v>3668.4867005533838</v>
          </cell>
          <cell r="AA17">
            <v>3825.1697442477921</v>
          </cell>
          <cell r="AB17">
            <v>3988.6172884735906</v>
          </cell>
          <cell r="AC17">
            <v>4159.1247721912159</v>
          </cell>
          <cell r="AD17">
            <v>4337.0006948664795</v>
          </cell>
          <cell r="AE17">
            <v>4522.567201038134</v>
          </cell>
          <cell r="AF17">
            <v>4716.1606913755049</v>
          </cell>
          <cell r="AG17">
            <v>4918.1324614411633</v>
          </cell>
          <cell r="AH17">
            <v>5128.8493694299796</v>
          </cell>
          <cell r="AI17">
            <v>5348.6945342149065</v>
          </cell>
          <cell r="AJ17">
            <v>5578.0680650916174</v>
          </cell>
        </row>
        <row r="18">
          <cell r="I18" t="str">
            <v xml:space="preserve">Agency </v>
          </cell>
          <cell r="M18">
            <v>213.89999999999998</v>
          </cell>
          <cell r="N18">
            <v>398.24599999999998</v>
          </cell>
          <cell r="O18">
            <v>648.79199999999992</v>
          </cell>
          <cell r="P18">
            <v>868.39400000000001</v>
          </cell>
          <cell r="Q18">
            <v>1380.6020000000001</v>
          </cell>
          <cell r="R18">
            <v>2313.2645159901435</v>
          </cell>
          <cell r="S18">
            <v>3047.8182266925269</v>
          </cell>
          <cell r="T18">
            <v>3740.7909697282435</v>
          </cell>
          <cell r="U18">
            <v>4255.4236797480644</v>
          </cell>
          <cell r="V18">
            <v>4665.7668524836854</v>
          </cell>
          <cell r="W18">
            <v>5020.7396567132728</v>
          </cell>
          <cell r="X18">
            <v>5341.5137806028461</v>
          </cell>
          <cell r="Y18">
            <v>5621.1424006841071</v>
          </cell>
          <cell r="Z18">
            <v>5905.7141562904808</v>
          </cell>
          <cell r="AA18">
            <v>6205.2292372340498</v>
          </cell>
          <cell r="AB18">
            <v>6520.5051752187137</v>
          </cell>
          <cell r="AC18">
            <v>6852.4061736387193</v>
          </cell>
          <cell r="AD18">
            <v>7201.8458832193392</v>
          </cell>
          <cell r="AE18">
            <v>7569.7903488576794</v>
          </cell>
          <cell r="AF18">
            <v>7957.261138549371</v>
          </cell>
          <cell r="AG18">
            <v>8365.3386659960179</v>
          </cell>
          <cell r="AH18">
            <v>8795.1657192442635</v>
          </cell>
          <cell r="AI18">
            <v>9247.9512085137376</v>
          </cell>
          <cell r="AJ18">
            <v>9724.9741472308851</v>
          </cell>
        </row>
        <row r="19">
          <cell r="I19" t="str">
            <v>Other</v>
          </cell>
          <cell r="M19">
            <v>5.0340000000000007</v>
          </cell>
          <cell r="N19">
            <v>8.3389999999999986</v>
          </cell>
          <cell r="O19">
            <v>17.852</v>
          </cell>
          <cell r="P19">
            <v>22.241000000000003</v>
          </cell>
          <cell r="Q19">
            <v>12.663</v>
          </cell>
          <cell r="R19">
            <v>12.315999999999999</v>
          </cell>
          <cell r="S19">
            <v>12.315999999999999</v>
          </cell>
          <cell r="T19">
            <v>12.315999999999999</v>
          </cell>
          <cell r="U19">
            <v>12.315999999999999</v>
          </cell>
          <cell r="V19">
            <v>12.315999999999999</v>
          </cell>
          <cell r="W19">
            <v>12.315999999999999</v>
          </cell>
          <cell r="X19">
            <v>12.315999999999999</v>
          </cell>
          <cell r="Y19">
            <v>12.315999999999999</v>
          </cell>
          <cell r="Z19">
            <v>12.315999999999999</v>
          </cell>
          <cell r="AA19">
            <v>12.315999999999999</v>
          </cell>
          <cell r="AB19">
            <v>12.315999999999999</v>
          </cell>
          <cell r="AC19">
            <v>12.315999999999999</v>
          </cell>
          <cell r="AD19">
            <v>12.315999999999999</v>
          </cell>
          <cell r="AE19">
            <v>12.315999999999999</v>
          </cell>
          <cell r="AF19">
            <v>12.315999999999999</v>
          </cell>
          <cell r="AG19">
            <v>12.315999999999999</v>
          </cell>
          <cell r="AH19">
            <v>12.315999999999999</v>
          </cell>
          <cell r="AI19">
            <v>12.315999999999999</v>
          </cell>
          <cell r="AJ19">
            <v>12.315999999999999</v>
          </cell>
        </row>
        <row r="20">
          <cell r="I20" t="str">
            <v>Total Revenue</v>
          </cell>
          <cell r="M20">
            <v>1123.1030000000001</v>
          </cell>
          <cell r="N20">
            <v>1390.8179999999998</v>
          </cell>
          <cell r="O20">
            <v>1884.806</v>
          </cell>
          <cell r="P20">
            <v>2338.212</v>
          </cell>
          <cell r="Q20">
            <v>3084.9059999999999</v>
          </cell>
          <cell r="R20">
            <v>4330.8302327340743</v>
          </cell>
          <cell r="S20">
            <v>5398.4138702515993</v>
          </cell>
          <cell r="T20">
            <v>6377.9292507550263</v>
          </cell>
          <cell r="U20">
            <v>7143.9549031851238</v>
          </cell>
          <cell r="V20">
            <v>7730.4989254211423</v>
          </cell>
          <cell r="W20">
            <v>8258.7117558384853</v>
          </cell>
          <cell r="X20">
            <v>8728.1241108342456</v>
          </cell>
          <cell r="Y20">
            <v>9151.7436203807938</v>
          </cell>
          <cell r="Z20">
            <v>9586.5168568438658</v>
          </cell>
          <cell r="AA20">
            <v>10042.714981481842</v>
          </cell>
          <cell r="AB20">
            <v>10521.438463692304</v>
          </cell>
          <cell r="AC20">
            <v>11023.846945829935</v>
          </cell>
          <cell r="AD20">
            <v>11551.162578085819</v>
          </cell>
          <cell r="AE20">
            <v>12104.673549895813</v>
          </cell>
          <cell r="AF20">
            <v>12685.737829924876</v>
          </cell>
          <cell r="AG20">
            <v>13295.787127437181</v>
          </cell>
          <cell r="AH20">
            <v>13936.331088674244</v>
          </cell>
          <cell r="AI20">
            <v>14608.961742728645</v>
          </cell>
          <cell r="AJ20">
            <v>15315.358212322504</v>
          </cell>
        </row>
        <row r="21">
          <cell r="I21" t="str">
            <v>y/y Growth - %</v>
          </cell>
          <cell r="N21">
            <v>0.23837083508814394</v>
          </cell>
          <cell r="O21">
            <v>0.35517803192078357</v>
          </cell>
          <cell r="P21">
            <v>0.240558444741793</v>
          </cell>
          <cell r="Q21">
            <v>0.31934401157807768</v>
          </cell>
          <cell r="R21">
            <v>0.40387753556642392</v>
          </cell>
          <cell r="S21">
            <v>0.24650784725947439</v>
          </cell>
          <cell r="T21">
            <v>0.18144503256801525</v>
          </cell>
          <cell r="U21">
            <v>0.12010569925017811</v>
          </cell>
          <cell r="V21">
            <v>8.2103544911027893E-2</v>
          </cell>
          <cell r="W21">
            <v>6.832842686005125E-2</v>
          </cell>
          <cell r="X21">
            <v>5.683844755374956E-2</v>
          </cell>
          <cell r="Y21">
            <v>4.8535000667635719E-2</v>
          </cell>
          <cell r="Z21">
            <v>4.7507147763059976E-2</v>
          </cell>
          <cell r="AA21">
            <v>4.7587474309012778E-2</v>
          </cell>
          <cell r="AB21">
            <v>4.7668731323471603E-2</v>
          </cell>
          <cell r="AC21">
            <v>4.7750931003527342E-2</v>
          </cell>
          <cell r="AD21">
            <v>4.7834085038286567E-2</v>
          </cell>
          <cell r="AE21">
            <v>4.7918204602200198E-2</v>
          </cell>
          <cell r="AF21">
            <v>4.8003300347911004E-2</v>
          </cell>
          <cell r="AG21">
            <v>4.8089382398652125E-2</v>
          </cell>
          <cell r="AH21">
            <v>4.8176460340225935E-2</v>
          </cell>
          <cell r="AI21">
            <v>4.8264543212598765E-2</v>
          </cell>
          <cell r="AJ21">
            <v>4.8353639501140799E-2</v>
          </cell>
        </row>
        <row r="22">
          <cell r="I22" t="str">
            <v>y/y Growth - % (ex F/X)</v>
          </cell>
          <cell r="Q22">
            <v>0.34660415736468719</v>
          </cell>
          <cell r="R22">
            <v>0.36453869897795554</v>
          </cell>
          <cell r="S22">
            <v>0.27576337597985168</v>
          </cell>
          <cell r="T22">
            <v>0.18144503256801547</v>
          </cell>
          <cell r="U22">
            <v>0.12010569925017789</v>
          </cell>
          <cell r="V22">
            <v>8.2103544911028115E-2</v>
          </cell>
          <cell r="W22">
            <v>6.8328426860051028E-2</v>
          </cell>
          <cell r="X22">
            <v>5.6838447553750004E-2</v>
          </cell>
          <cell r="Y22">
            <v>4.8535000667635275E-2</v>
          </cell>
          <cell r="Z22">
            <v>4.7507147763060198E-2</v>
          </cell>
          <cell r="AA22">
            <v>4.7587474309013E-2</v>
          </cell>
          <cell r="AB22">
            <v>4.7668731323471825E-2</v>
          </cell>
          <cell r="AC22">
            <v>4.7750931003527342E-2</v>
          </cell>
          <cell r="AD22">
            <v>4.7834085038286567E-2</v>
          </cell>
          <cell r="AE22">
            <v>4.7918204602200198E-2</v>
          </cell>
          <cell r="AF22">
            <v>4.8003300347911004E-2</v>
          </cell>
          <cell r="AG22">
            <v>4.8089382398651903E-2</v>
          </cell>
          <cell r="AH22">
            <v>4.8176460340225935E-2</v>
          </cell>
          <cell r="AI22">
            <v>4.8264543212598765E-2</v>
          </cell>
          <cell r="AJ22">
            <v>4.8353639501140577E-2</v>
          </cell>
        </row>
        <row r="25">
          <cell r="I25" t="str">
            <v>Cost of Revenue Build-Up</v>
          </cell>
        </row>
        <row r="26">
          <cell r="I26" t="str">
            <v>Merchant</v>
          </cell>
          <cell r="M26">
            <v>722.00399999999991</v>
          </cell>
          <cell r="N26">
            <v>769.99800000000005</v>
          </cell>
          <cell r="O26">
            <v>928.83499999999992</v>
          </cell>
          <cell r="P26">
            <v>1077.4490000000001</v>
          </cell>
          <cell r="Q26">
            <v>1175.934</v>
          </cell>
          <cell r="R26">
            <v>1284.5361699999999</v>
          </cell>
          <cell r="S26">
            <v>1414.7761466700003</v>
          </cell>
          <cell r="T26">
            <v>1526.2410950327505</v>
          </cell>
          <cell r="U26">
            <v>1639.0428065326403</v>
          </cell>
          <cell r="V26">
            <v>1729.1901608919352</v>
          </cell>
          <cell r="W26">
            <v>1815.6496689365322</v>
          </cell>
          <cell r="X26">
            <v>1888.2756556939939</v>
          </cell>
          <cell r="Y26">
            <v>1963.8066819217529</v>
          </cell>
          <cell r="Z26">
            <v>2042.3589491986229</v>
          </cell>
          <cell r="AA26">
            <v>2124.0533071665677</v>
          </cell>
          <cell r="AB26">
            <v>2209.0154394532306</v>
          </cell>
          <cell r="AC26">
            <v>2297.3760570313607</v>
          </cell>
          <cell r="AD26">
            <v>2389.2710993126148</v>
          </cell>
          <cell r="AE26">
            <v>2484.8419432851192</v>
          </cell>
          <cell r="AF26">
            <v>2584.235621016524</v>
          </cell>
          <cell r="AG26">
            <v>2687.6050458571854</v>
          </cell>
          <cell r="AH26">
            <v>2795.1092476914728</v>
          </cell>
          <cell r="AI26">
            <v>2906.9136175991312</v>
          </cell>
          <cell r="AJ26">
            <v>3023.1901623030967</v>
          </cell>
        </row>
        <row r="27">
          <cell r="I27" t="str">
            <v>Agency</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row>
        <row r="28">
          <cell r="I28" t="str">
            <v>Other</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row>
        <row r="29">
          <cell r="I29" t="str">
            <v>Total Cost of Revenue</v>
          </cell>
          <cell r="M29">
            <v>722.00399999999991</v>
          </cell>
          <cell r="N29">
            <v>769.99800000000005</v>
          </cell>
          <cell r="O29">
            <v>928.83499999999992</v>
          </cell>
          <cell r="P29">
            <v>1077.4490000000001</v>
          </cell>
          <cell r="Q29">
            <v>1175.934</v>
          </cell>
          <cell r="R29">
            <v>1284.5361699999999</v>
          </cell>
          <cell r="S29">
            <v>1414.7761466700003</v>
          </cell>
          <cell r="T29">
            <v>1526.2410950327505</v>
          </cell>
          <cell r="U29">
            <v>1639.0428065326403</v>
          </cell>
          <cell r="V29">
            <v>1729.1901608919352</v>
          </cell>
          <cell r="W29">
            <v>1815.6496689365322</v>
          </cell>
          <cell r="X29">
            <v>1888.2756556939939</v>
          </cell>
          <cell r="Y29">
            <v>1963.8066819217529</v>
          </cell>
          <cell r="Z29">
            <v>2042.3589491986229</v>
          </cell>
          <cell r="AA29">
            <v>2124.0533071665677</v>
          </cell>
          <cell r="AB29">
            <v>2209.0154394532306</v>
          </cell>
          <cell r="AC29">
            <v>2297.3760570313607</v>
          </cell>
          <cell r="AD29">
            <v>2389.2710993126148</v>
          </cell>
          <cell r="AE29">
            <v>2484.8419432851192</v>
          </cell>
          <cell r="AF29">
            <v>2584.235621016524</v>
          </cell>
          <cell r="AG29">
            <v>2687.6050458571854</v>
          </cell>
          <cell r="AH29">
            <v>2795.1092476914728</v>
          </cell>
          <cell r="AI29">
            <v>2906.9136175991312</v>
          </cell>
          <cell r="AJ29">
            <v>3023.1901623030967</v>
          </cell>
        </row>
        <row r="31">
          <cell r="I31" t="str">
            <v>Gross Profit Build-Up</v>
          </cell>
        </row>
        <row r="32">
          <cell r="I32" t="str">
            <v xml:space="preserve">Merchant </v>
          </cell>
          <cell r="M32">
            <v>182.16499999999999</v>
          </cell>
          <cell r="N32">
            <v>214.23500000000001</v>
          </cell>
          <cell r="O32">
            <v>289.327</v>
          </cell>
          <cell r="P32">
            <v>370.12800000000004</v>
          </cell>
          <cell r="Q32">
            <v>515.70699999999988</v>
          </cell>
          <cell r="R32">
            <v>720.71354674393103</v>
          </cell>
          <cell r="S32">
            <v>923.50349688907238</v>
          </cell>
          <cell r="T32">
            <v>1098.5811859940329</v>
          </cell>
          <cell r="U32">
            <v>1237.1724169044194</v>
          </cell>
          <cell r="V32">
            <v>1323.2259120455215</v>
          </cell>
          <cell r="W32">
            <v>1410.0064301886791</v>
          </cell>
          <cell r="X32">
            <v>1486.0186745374058</v>
          </cell>
          <cell r="Y32">
            <v>1554.4785377749322</v>
          </cell>
          <cell r="Z32">
            <v>1626.1277513547609</v>
          </cell>
          <cell r="AA32">
            <v>1701.1164370812244</v>
          </cell>
          <cell r="AB32">
            <v>1779.6018490203601</v>
          </cell>
          <cell r="AC32">
            <v>1861.7487151598555</v>
          </cell>
          <cell r="AD32">
            <v>1947.7295955538646</v>
          </cell>
          <cell r="AE32">
            <v>2037.7252577530148</v>
          </cell>
          <cell r="AF32">
            <v>2131.925070358981</v>
          </cell>
          <cell r="AG32">
            <v>2230.5274155839779</v>
          </cell>
          <cell r="AH32">
            <v>2333.7401217385068</v>
          </cell>
          <cell r="AI32">
            <v>2441.7809166157754</v>
          </cell>
          <cell r="AJ32">
            <v>2554.8779027885207</v>
          </cell>
        </row>
        <row r="33">
          <cell r="I33" t="str">
            <v xml:space="preserve">Agency </v>
          </cell>
          <cell r="M33">
            <v>213.89999999999998</v>
          </cell>
          <cell r="N33">
            <v>398.24599999999998</v>
          </cell>
          <cell r="O33">
            <v>648.79199999999992</v>
          </cell>
          <cell r="P33">
            <v>868.39400000000001</v>
          </cell>
          <cell r="Q33">
            <v>1380.6020000000001</v>
          </cell>
          <cell r="R33">
            <v>2313.2645159901435</v>
          </cell>
          <cell r="S33">
            <v>3047.8182266925269</v>
          </cell>
          <cell r="T33">
            <v>3740.7909697282435</v>
          </cell>
          <cell r="U33">
            <v>4255.4236797480644</v>
          </cell>
          <cell r="V33">
            <v>4665.7668524836854</v>
          </cell>
          <cell r="W33">
            <v>5020.7396567132728</v>
          </cell>
          <cell r="X33">
            <v>5341.5137806028461</v>
          </cell>
          <cell r="Y33">
            <v>5621.1424006841071</v>
          </cell>
          <cell r="Z33">
            <v>5905.7141562904808</v>
          </cell>
          <cell r="AA33">
            <v>6205.2292372340498</v>
          </cell>
          <cell r="AB33">
            <v>6520.5051752187137</v>
          </cell>
          <cell r="AC33">
            <v>6852.4061736387193</v>
          </cell>
          <cell r="AD33">
            <v>7201.8458832193392</v>
          </cell>
          <cell r="AE33">
            <v>7569.7903488576794</v>
          </cell>
          <cell r="AF33">
            <v>7957.261138549371</v>
          </cell>
          <cell r="AG33">
            <v>8365.3386659960179</v>
          </cell>
          <cell r="AH33">
            <v>8795.1657192442635</v>
          </cell>
          <cell r="AI33">
            <v>9247.9512085137376</v>
          </cell>
          <cell r="AJ33">
            <v>9724.9741472308851</v>
          </cell>
        </row>
        <row r="34">
          <cell r="I34" t="str">
            <v>Other</v>
          </cell>
          <cell r="M34">
            <v>5.0340000000000007</v>
          </cell>
          <cell r="N34">
            <v>8.3389999999999986</v>
          </cell>
          <cell r="O34">
            <v>17.852</v>
          </cell>
          <cell r="P34">
            <v>22.241000000000003</v>
          </cell>
          <cell r="Q34">
            <v>12.663</v>
          </cell>
          <cell r="R34">
            <v>12.315999999999999</v>
          </cell>
          <cell r="S34">
            <v>12.315999999999999</v>
          </cell>
          <cell r="T34">
            <v>12.315999999999999</v>
          </cell>
          <cell r="U34">
            <v>12.315999999999999</v>
          </cell>
          <cell r="V34">
            <v>12.315999999999999</v>
          </cell>
          <cell r="W34">
            <v>12.315999999999999</v>
          </cell>
          <cell r="X34">
            <v>12.315999999999999</v>
          </cell>
          <cell r="Y34">
            <v>12.315999999999999</v>
          </cell>
          <cell r="Z34">
            <v>12.315999999999999</v>
          </cell>
          <cell r="AA34">
            <v>12.315999999999999</v>
          </cell>
          <cell r="AB34">
            <v>12.315999999999999</v>
          </cell>
          <cell r="AC34">
            <v>12.315999999999999</v>
          </cell>
          <cell r="AD34">
            <v>12.315999999999999</v>
          </cell>
          <cell r="AE34">
            <v>12.315999999999999</v>
          </cell>
          <cell r="AF34">
            <v>12.315999999999999</v>
          </cell>
          <cell r="AG34">
            <v>12.315999999999999</v>
          </cell>
          <cell r="AH34">
            <v>12.315999999999999</v>
          </cell>
          <cell r="AI34">
            <v>12.315999999999999</v>
          </cell>
          <cell r="AJ34">
            <v>12.315999999999999</v>
          </cell>
        </row>
        <row r="35">
          <cell r="I35" t="str">
            <v>Total Gross Profit</v>
          </cell>
          <cell r="M35">
            <v>401.09899999999993</v>
          </cell>
          <cell r="N35">
            <v>620.81999999999994</v>
          </cell>
          <cell r="O35">
            <v>955.97099999999989</v>
          </cell>
          <cell r="P35">
            <v>1260.7629999999999</v>
          </cell>
          <cell r="Q35">
            <v>1908.972</v>
          </cell>
          <cell r="R35">
            <v>3046.2940627340745</v>
          </cell>
          <cell r="S35">
            <v>3983.6377235815989</v>
          </cell>
          <cell r="T35">
            <v>4851.688155722276</v>
          </cell>
          <cell r="U35">
            <v>5504.9120966524833</v>
          </cell>
          <cell r="V35">
            <v>6001.3087645292062</v>
          </cell>
          <cell r="W35">
            <v>6443.0620869019522</v>
          </cell>
          <cell r="X35">
            <v>6839.8484551402516</v>
          </cell>
          <cell r="Y35">
            <v>7187.9369384590391</v>
          </cell>
          <cell r="Z35">
            <v>7544.1579076452417</v>
          </cell>
          <cell r="AA35">
            <v>7918.6616743152745</v>
          </cell>
          <cell r="AB35">
            <v>8312.4230242390749</v>
          </cell>
          <cell r="AC35">
            <v>8726.4708887985762</v>
          </cell>
          <cell r="AD35">
            <v>9161.8914787732047</v>
          </cell>
          <cell r="AE35">
            <v>9619.8316066106945</v>
          </cell>
          <cell r="AF35">
            <v>10101.502208908352</v>
          </cell>
          <cell r="AG35">
            <v>10608.182081579997</v>
          </cell>
          <cell r="AH35">
            <v>11141.221840982771</v>
          </cell>
          <cell r="AI35">
            <v>11702.048125129513</v>
          </cell>
          <cell r="AJ35">
            <v>12292.168050019407</v>
          </cell>
        </row>
        <row r="36">
          <cell r="I36" t="str">
            <v>y/y Growth - %</v>
          </cell>
          <cell r="N36">
            <v>0.54779742657049768</v>
          </cell>
          <cell r="O36">
            <v>0.53985213105247887</v>
          </cell>
          <cell r="P36">
            <v>0.31882975529592428</v>
          </cell>
          <cell r="Q36">
            <v>0.51414024681879167</v>
          </cell>
          <cell r="R36">
            <v>0.59577723650953218</v>
          </cell>
          <cell r="S36">
            <v>0.30769966442643781</v>
          </cell>
          <cell r="T36">
            <v>0.21790395923860073</v>
          </cell>
          <cell r="U36">
            <v>0.13463848457773797</v>
          </cell>
          <cell r="V36">
            <v>9.0173404981085836E-2</v>
          </cell>
          <cell r="W36">
            <v>7.3609497478905439E-2</v>
          </cell>
          <cell r="X36">
            <v>6.1583508413635135E-2</v>
          </cell>
          <cell r="Y36">
            <v>5.0891256670634766E-2</v>
          </cell>
          <cell r="Z36">
            <v>4.9558165609417504E-2</v>
          </cell>
          <cell r="AA36">
            <v>4.9641559900345023E-2</v>
          </cell>
          <cell r="AB36">
            <v>4.9725744844105746E-2</v>
          </cell>
          <cell r="AC36">
            <v>4.9810730680107884E-2</v>
          </cell>
          <cell r="AD36">
            <v>4.9896526960691689E-2</v>
          </cell>
          <cell r="AE36">
            <v>4.9983142552874726E-2</v>
          </cell>
          <cell r="AF36">
            <v>5.0070585639633958E-2</v>
          </cell>
          <cell r="AG36">
            <v>5.0158863720765279E-2</v>
          </cell>
          <cell r="AH36">
            <v>5.0247983613360248E-2</v>
          </cell>
          <cell r="AI36">
            <v>5.0337951451945084E-2</v>
          </cell>
          <cell r="AJ36">
            <v>5.0428772688316359E-2</v>
          </cell>
        </row>
        <row r="37">
          <cell r="I37" t="str">
            <v>y/y Growth - % (ex F/X)</v>
          </cell>
          <cell r="Q37">
            <v>0.5646969335235883</v>
          </cell>
          <cell r="R37">
            <v>0.53220552722056125</v>
          </cell>
          <cell r="S37">
            <v>0.34929142334649299</v>
          </cell>
          <cell r="T37">
            <v>0.21790395923860095</v>
          </cell>
          <cell r="U37">
            <v>0.13463848457773775</v>
          </cell>
          <cell r="V37">
            <v>9.0173404981086058E-2</v>
          </cell>
          <cell r="W37">
            <v>7.3609497478905217E-2</v>
          </cell>
          <cell r="X37">
            <v>6.1583508413635579E-2</v>
          </cell>
          <cell r="Y37">
            <v>5.0891256670634544E-2</v>
          </cell>
          <cell r="Z37">
            <v>4.9558165609417504E-2</v>
          </cell>
          <cell r="AA37">
            <v>4.9641559900345023E-2</v>
          </cell>
          <cell r="AB37">
            <v>4.9725744844105968E-2</v>
          </cell>
          <cell r="AC37">
            <v>4.9810730680107662E-2</v>
          </cell>
          <cell r="AD37">
            <v>4.9896526960691689E-2</v>
          </cell>
          <cell r="AE37">
            <v>4.9983142552874948E-2</v>
          </cell>
          <cell r="AF37">
            <v>5.0070585639633958E-2</v>
          </cell>
          <cell r="AG37">
            <v>5.0158863720765279E-2</v>
          </cell>
          <cell r="AH37">
            <v>5.0247983613360248E-2</v>
          </cell>
          <cell r="AI37">
            <v>5.0337951451945306E-2</v>
          </cell>
          <cell r="AJ37">
            <v>5.0428772688315915E-2</v>
          </cell>
        </row>
        <row r="40">
          <cell r="I40" t="str">
            <v>Gross Bookings Scenarios</v>
          </cell>
        </row>
        <row r="41">
          <cell r="I41" t="str">
            <v>Gross bookings by brand</v>
          </cell>
        </row>
        <row r="42">
          <cell r="I42" t="str">
            <v>US</v>
          </cell>
        </row>
        <row r="43">
          <cell r="I43" t="str">
            <v>Agency (Priceline.com)</v>
          </cell>
          <cell r="M43">
            <v>834.30699999999956</v>
          </cell>
          <cell r="N43">
            <v>923.46399999999994</v>
          </cell>
          <cell r="O43">
            <v>1538.9859999999999</v>
          </cell>
          <cell r="P43">
            <v>1772.3919999999998</v>
          </cell>
          <cell r="Q43">
            <v>2028.4010000000003</v>
          </cell>
          <cell r="R43">
            <v>2335.0682999999999</v>
          </cell>
          <cell r="S43">
            <v>2715.9713540000002</v>
          </cell>
          <cell r="T43">
            <v>3041.8879164800005</v>
          </cell>
          <cell r="U43">
            <v>3285.2389497984009</v>
          </cell>
          <cell r="V43">
            <v>3449.5008972883211</v>
          </cell>
          <cell r="W43">
            <v>3604.7284376662951</v>
          </cell>
          <cell r="X43">
            <v>3766.9412173612782</v>
          </cell>
          <cell r="Y43">
            <v>3936.4535721425354</v>
          </cell>
          <cell r="Z43">
            <v>4113.5939828889495</v>
          </cell>
          <cell r="AA43">
            <v>4298.7057121189519</v>
          </cell>
          <cell r="AB43">
            <v>4492.1474691643043</v>
          </cell>
          <cell r="AC43">
            <v>4694.2941052766973</v>
          </cell>
          <cell r="AD43">
            <v>4905.537340014148</v>
          </cell>
          <cell r="AE43">
            <v>5126.286520314784</v>
          </cell>
          <cell r="AF43">
            <v>5356.9694137289489</v>
          </cell>
          <cell r="AG43">
            <v>5598.0330373467514</v>
          </cell>
          <cell r="AH43">
            <v>5849.9445240273544</v>
          </cell>
          <cell r="AI43">
            <v>6113.1920276085848</v>
          </cell>
          <cell r="AJ43">
            <v>6388.285668850971</v>
          </cell>
        </row>
        <row r="44">
          <cell r="I44" t="str">
            <v>Base y/y Growth - %</v>
          </cell>
          <cell r="M44" t="str">
            <v>NA</v>
          </cell>
          <cell r="N44">
            <v>0.10686354063911785</v>
          </cell>
          <cell r="O44">
            <v>0.66653599923765294</v>
          </cell>
          <cell r="P44">
            <v>0.15166219835658024</v>
          </cell>
          <cell r="Q44">
            <v>0.14444265151275815</v>
          </cell>
          <cell r="R44">
            <v>0.15118672294087787</v>
          </cell>
          <cell r="S44">
            <v>0.16312287482126342</v>
          </cell>
          <cell r="T44">
            <v>0.12</v>
          </cell>
          <cell r="U44">
            <v>0.08</v>
          </cell>
          <cell r="V44">
            <v>0.05</v>
          </cell>
          <cell r="W44">
            <v>4.4999999999999998E-2</v>
          </cell>
          <cell r="X44">
            <v>4.4999999999999998E-2</v>
          </cell>
          <cell r="Y44">
            <v>4.4999999999999998E-2</v>
          </cell>
          <cell r="Z44">
            <v>4.4999999999999998E-2</v>
          </cell>
          <cell r="AA44">
            <v>4.4999999999999998E-2</v>
          </cell>
          <cell r="AB44">
            <v>4.4999999999999998E-2</v>
          </cell>
          <cell r="AC44">
            <v>4.4999999999999998E-2</v>
          </cell>
          <cell r="AD44">
            <v>4.4999999999999998E-2</v>
          </cell>
          <cell r="AE44">
            <v>4.4999999999999998E-2</v>
          </cell>
          <cell r="AF44">
            <v>4.4999999999999998E-2</v>
          </cell>
          <cell r="AG44">
            <v>4.4999999999999998E-2</v>
          </cell>
          <cell r="AH44">
            <v>4.4999999999999998E-2</v>
          </cell>
          <cell r="AI44">
            <v>4.4999999999999998E-2</v>
          </cell>
          <cell r="AJ44">
            <v>4.4999999999999998E-2</v>
          </cell>
        </row>
        <row r="45">
          <cell r="I45" t="str">
            <v>Bull y/y Growth - %</v>
          </cell>
          <cell r="M45" t="str">
            <v>NA</v>
          </cell>
          <cell r="N45">
            <v>0.10686354063911785</v>
          </cell>
          <cell r="O45">
            <v>0.66653599923765294</v>
          </cell>
          <cell r="P45">
            <v>0.15166219835658024</v>
          </cell>
          <cell r="Q45">
            <v>0.14444265151275815</v>
          </cell>
          <cell r="R45">
            <v>0.15558304299790815</v>
          </cell>
          <cell r="S45">
            <v>0.18312287482126322</v>
          </cell>
          <cell r="T45">
            <v>0.13</v>
          </cell>
          <cell r="U45">
            <v>0.09</v>
          </cell>
          <cell r="V45">
            <v>6.0000000000000005E-2</v>
          </cell>
          <cell r="W45">
            <v>5.5E-2</v>
          </cell>
          <cell r="X45">
            <v>5.5E-2</v>
          </cell>
          <cell r="Y45">
            <v>5.5E-2</v>
          </cell>
          <cell r="Z45">
            <v>5.5E-2</v>
          </cell>
          <cell r="AA45">
            <v>5.5E-2</v>
          </cell>
          <cell r="AB45">
            <v>5.5E-2</v>
          </cell>
          <cell r="AC45">
            <v>5.5E-2</v>
          </cell>
          <cell r="AD45">
            <v>5.5E-2</v>
          </cell>
          <cell r="AE45">
            <v>5.5E-2</v>
          </cell>
          <cell r="AF45">
            <v>5.5E-2</v>
          </cell>
          <cell r="AG45">
            <v>5.5E-2</v>
          </cell>
          <cell r="AH45">
            <v>5.5E-2</v>
          </cell>
          <cell r="AI45">
            <v>5.5E-2</v>
          </cell>
          <cell r="AJ45">
            <v>5.5E-2</v>
          </cell>
        </row>
        <row r="46">
          <cell r="I46" t="str">
            <v>Bear y/y Growth - %</v>
          </cell>
          <cell r="M46" t="str">
            <v>NA</v>
          </cell>
          <cell r="N46">
            <v>0.10686354063911785</v>
          </cell>
          <cell r="O46">
            <v>0.66653599923765294</v>
          </cell>
          <cell r="P46">
            <v>0.15166219835658024</v>
          </cell>
          <cell r="Q46">
            <v>0.14444265151275815</v>
          </cell>
          <cell r="R46">
            <v>0.1379977627697877</v>
          </cell>
          <cell r="S46">
            <v>8.4342049866378721E-2</v>
          </cell>
          <cell r="T46">
            <v>0.04</v>
          </cell>
          <cell r="U46">
            <v>0.03</v>
          </cell>
          <cell r="V46">
            <v>3.0000000000000002E-2</v>
          </cell>
          <cell r="W46">
            <v>2.4999999999999998E-2</v>
          </cell>
          <cell r="X46">
            <v>2.4999999999999998E-2</v>
          </cell>
          <cell r="Y46">
            <v>2.4999999999999998E-2</v>
          </cell>
          <cell r="Z46">
            <v>2.4999999999999998E-2</v>
          </cell>
          <cell r="AA46">
            <v>2.4999999999999998E-2</v>
          </cell>
          <cell r="AB46">
            <v>2.4999999999999998E-2</v>
          </cell>
          <cell r="AC46">
            <v>2.4999999999999998E-2</v>
          </cell>
          <cell r="AD46">
            <v>2.4999999999999998E-2</v>
          </cell>
          <cell r="AE46">
            <v>2.4999999999999998E-2</v>
          </cell>
          <cell r="AF46">
            <v>2.4999999999999998E-2</v>
          </cell>
          <cell r="AG46">
            <v>2.4999999999999998E-2</v>
          </cell>
          <cell r="AH46">
            <v>2.4999999999999998E-2</v>
          </cell>
          <cell r="AI46">
            <v>2.4999999999999998E-2</v>
          </cell>
          <cell r="AJ46">
            <v>2.4999999999999998E-2</v>
          </cell>
        </row>
        <row r="47">
          <cell r="I47" t="str">
            <v>Merchant (NYOP &amp; Priceline.com)</v>
          </cell>
          <cell r="M47">
            <v>1138.4829999999999</v>
          </cell>
          <cell r="N47">
            <v>1230.9110000000001</v>
          </cell>
          <cell r="O47">
            <v>1542.806</v>
          </cell>
          <cell r="P47">
            <v>1873.67</v>
          </cell>
          <cell r="Q47">
            <v>2138.4740000000002</v>
          </cell>
          <cell r="R47">
            <v>2388.6791999999996</v>
          </cell>
          <cell r="S47">
            <v>2592.8427940000001</v>
          </cell>
          <cell r="T47">
            <v>2787.3060035500002</v>
          </cell>
          <cell r="U47">
            <v>2982.4174237985003</v>
          </cell>
          <cell r="V47">
            <v>3146.4503821074177</v>
          </cell>
          <cell r="W47">
            <v>3303.7729012127888</v>
          </cell>
          <cell r="X47">
            <v>3435.9238172613004</v>
          </cell>
          <cell r="Y47">
            <v>3573.3607699517524</v>
          </cell>
          <cell r="Z47">
            <v>3716.2952007498225</v>
          </cell>
          <cell r="AA47">
            <v>3864.9470087798154</v>
          </cell>
          <cell r="AB47">
            <v>4019.5448891310079</v>
          </cell>
          <cell r="AC47">
            <v>4180.3266846962488</v>
          </cell>
          <cell r="AD47">
            <v>4347.5397520840988</v>
          </cell>
          <cell r="AE47">
            <v>4521.4413421674626</v>
          </cell>
          <cell r="AF47">
            <v>4702.2989958541611</v>
          </cell>
          <cell r="AG47">
            <v>4890.3909556883282</v>
          </cell>
          <cell r="AH47">
            <v>5086.0065939158612</v>
          </cell>
          <cell r="AI47">
            <v>5289.4468576724958</v>
          </cell>
          <cell r="AJ47">
            <v>5501.0247319793962</v>
          </cell>
        </row>
        <row r="48">
          <cell r="I48" t="str">
            <v>Base y/y Growth - %</v>
          </cell>
          <cell r="M48" t="str">
            <v>NA</v>
          </cell>
          <cell r="N48">
            <v>8.1185226305531266E-2</v>
          </cell>
          <cell r="O48">
            <v>0.25338550065764287</v>
          </cell>
          <cell r="P48">
            <v>0.21445599770807222</v>
          </cell>
          <cell r="Q48">
            <v>0.14132904940571178</v>
          </cell>
          <cell r="R48">
            <v>0.11700174984591794</v>
          </cell>
          <cell r="S48">
            <v>8.5471332441794834E-2</v>
          </cell>
          <cell r="T48">
            <v>7.4999999999999997E-2</v>
          </cell>
          <cell r="U48">
            <v>7.0000000000000007E-2</v>
          </cell>
          <cell r="V48">
            <v>5.5E-2</v>
          </cell>
          <cell r="W48">
            <v>0.05</v>
          </cell>
          <cell r="X48">
            <v>0.04</v>
          </cell>
          <cell r="Y48">
            <v>0.04</v>
          </cell>
          <cell r="Z48">
            <v>0.04</v>
          </cell>
          <cell r="AA48">
            <v>0.04</v>
          </cell>
          <cell r="AB48">
            <v>0.04</v>
          </cell>
          <cell r="AC48">
            <v>0.04</v>
          </cell>
          <cell r="AD48">
            <v>0.04</v>
          </cell>
          <cell r="AE48">
            <v>0.04</v>
          </cell>
          <cell r="AF48">
            <v>0.04</v>
          </cell>
          <cell r="AG48">
            <v>0.04</v>
          </cell>
          <cell r="AH48">
            <v>0.04</v>
          </cell>
          <cell r="AI48">
            <v>0.04</v>
          </cell>
          <cell r="AJ48">
            <v>0.04</v>
          </cell>
        </row>
        <row r="49">
          <cell r="I49" t="str">
            <v>Bull y/y Growth - %</v>
          </cell>
          <cell r="M49" t="str">
            <v>NA</v>
          </cell>
          <cell r="N49">
            <v>8.1185226305531266E-2</v>
          </cell>
          <cell r="O49">
            <v>0.25338550065764287</v>
          </cell>
          <cell r="P49">
            <v>0.21445599770807222</v>
          </cell>
          <cell r="Q49">
            <v>0.14132904940571178</v>
          </cell>
          <cell r="R49">
            <v>0.12126764225330766</v>
          </cell>
          <cell r="S49">
            <v>0.10547133244179507</v>
          </cell>
          <cell r="T49">
            <v>8.4999999999999992E-2</v>
          </cell>
          <cell r="U49">
            <v>0.08</v>
          </cell>
          <cell r="V49">
            <v>6.5000000000000002E-2</v>
          </cell>
          <cell r="W49">
            <v>6.0000000000000005E-2</v>
          </cell>
          <cell r="X49">
            <v>5.5E-2</v>
          </cell>
          <cell r="Y49">
            <v>5.5E-2</v>
          </cell>
          <cell r="Z49">
            <v>5.5E-2</v>
          </cell>
          <cell r="AA49">
            <v>5.5E-2</v>
          </cell>
          <cell r="AB49">
            <v>0.05</v>
          </cell>
          <cell r="AC49">
            <v>0.05</v>
          </cell>
          <cell r="AD49">
            <v>0.05</v>
          </cell>
          <cell r="AE49">
            <v>0.05</v>
          </cell>
          <cell r="AF49">
            <v>0.05</v>
          </cell>
          <cell r="AG49">
            <v>0.05</v>
          </cell>
          <cell r="AH49">
            <v>0.05</v>
          </cell>
          <cell r="AI49">
            <v>0.05</v>
          </cell>
          <cell r="AJ49">
            <v>0.05</v>
          </cell>
        </row>
        <row r="50">
          <cell r="I50" t="str">
            <v>Bear y/y Growth - %</v>
          </cell>
          <cell r="M50" t="str">
            <v>NA</v>
          </cell>
          <cell r="N50">
            <v>8.1185226305531266E-2</v>
          </cell>
          <cell r="O50">
            <v>0.25338550065764287</v>
          </cell>
          <cell r="P50">
            <v>0.21445599770807222</v>
          </cell>
          <cell r="Q50">
            <v>0.14132904940571178</v>
          </cell>
          <cell r="R50">
            <v>0.12126764225330766</v>
          </cell>
          <cell r="S50">
            <v>8.7533622765250785E-2</v>
          </cell>
          <cell r="T50">
            <v>0.04</v>
          </cell>
          <cell r="U50">
            <v>0.03</v>
          </cell>
          <cell r="V50">
            <v>2.5000000000000001E-2</v>
          </cell>
          <cell r="W50">
            <v>0.03</v>
          </cell>
          <cell r="X50">
            <v>1.0000000000000002E-2</v>
          </cell>
          <cell r="Y50">
            <v>1.0000000000000002E-2</v>
          </cell>
          <cell r="Z50">
            <v>1.0000000000000002E-2</v>
          </cell>
          <cell r="AA50">
            <v>1.0000000000000002E-2</v>
          </cell>
          <cell r="AB50">
            <v>1.0000000000000002E-2</v>
          </cell>
          <cell r="AC50">
            <v>1.0000000000000002E-2</v>
          </cell>
          <cell r="AD50">
            <v>1.0000000000000002E-2</v>
          </cell>
          <cell r="AE50">
            <v>1.0000000000000002E-2</v>
          </cell>
          <cell r="AF50">
            <v>1.0000000000000002E-2</v>
          </cell>
          <cell r="AG50">
            <v>1.0000000000000002E-2</v>
          </cell>
          <cell r="AH50">
            <v>1.0000000000000002E-2</v>
          </cell>
          <cell r="AI50">
            <v>1.0000000000000002E-2</v>
          </cell>
          <cell r="AJ50">
            <v>1.0000000000000002E-2</v>
          </cell>
        </row>
        <row r="51">
          <cell r="I51" t="str">
            <v>Total US</v>
          </cell>
          <cell r="M51">
            <v>1972.7899999999995</v>
          </cell>
          <cell r="N51">
            <v>2154.375</v>
          </cell>
          <cell r="O51">
            <v>3081.7919999999999</v>
          </cell>
          <cell r="P51">
            <v>3646.0619999999999</v>
          </cell>
          <cell r="Q51">
            <v>4166.875</v>
          </cell>
          <cell r="R51">
            <v>4723.7474999999995</v>
          </cell>
          <cell r="S51">
            <v>5308.8141480000004</v>
          </cell>
          <cell r="T51">
            <v>5829.1939200300003</v>
          </cell>
          <cell r="U51">
            <v>6267.6563735969012</v>
          </cell>
          <cell r="V51">
            <v>6595.9512793957383</v>
          </cell>
          <cell r="W51">
            <v>6908.501338879084</v>
          </cell>
          <cell r="X51">
            <v>7202.8650346225786</v>
          </cell>
          <cell r="Y51">
            <v>7509.8143420942879</v>
          </cell>
          <cell r="Z51">
            <v>7829.889183638772</v>
          </cell>
          <cell r="AA51">
            <v>8163.6527208987673</v>
          </cell>
          <cell r="AB51">
            <v>8511.6923582953132</v>
          </cell>
          <cell r="AC51">
            <v>8874.6207899729452</v>
          </cell>
          <cell r="AD51">
            <v>9253.0770920982468</v>
          </cell>
          <cell r="AE51">
            <v>9647.7278624822466</v>
          </cell>
          <cell r="AF51">
            <v>10059.26840958311</v>
          </cell>
          <cell r="AG51">
            <v>10488.42399303508</v>
          </cell>
          <cell r="AH51">
            <v>10935.951117943216</v>
          </cell>
          <cell r="AI51">
            <v>11402.638885281081</v>
          </cell>
          <cell r="AJ51">
            <v>11889.310400830367</v>
          </cell>
        </row>
        <row r="52">
          <cell r="I52" t="str">
            <v>y/y Growth - %</v>
          </cell>
          <cell r="M52" t="str">
            <v>NA</v>
          </cell>
          <cell r="N52">
            <v>9.2044769083379663E-2</v>
          </cell>
          <cell r="O52">
            <v>0.43048076588337691</v>
          </cell>
          <cell r="P52">
            <v>0.18309801569995643</v>
          </cell>
          <cell r="Q52">
            <v>0.14284260662599824</v>
          </cell>
          <cell r="R52">
            <v>0.13364271786410664</v>
          </cell>
          <cell r="S52">
            <v>0.12385646099839187</v>
          </cell>
          <cell r="T52">
            <v>9.8021847727715938E-2</v>
          </cell>
          <cell r="U52">
            <v>7.5218368025170124E-2</v>
          </cell>
          <cell r="V52">
            <v>5.237921261634737E-2</v>
          </cell>
          <cell r="W52">
            <v>4.7385137676756672E-2</v>
          </cell>
          <cell r="X52">
            <v>4.2608907678268748E-2</v>
          </cell>
          <cell r="Y52">
            <v>4.26148908797086E-2</v>
          </cell>
          <cell r="Z52">
            <v>4.2620872762511475E-2</v>
          </cell>
          <cell r="AA52">
            <v>4.2626853258335151E-2</v>
          </cell>
          <cell r="AB52">
            <v>4.2632832298901135E-2</v>
          </cell>
          <cell r="AC52">
            <v>4.2638809815997325E-2</v>
          </cell>
          <cell r="AD52">
            <v>4.2644785741482449E-2</v>
          </cell>
          <cell r="AE52">
            <v>4.265076000728607E-2</v>
          </cell>
          <cell r="AF52">
            <v>4.2656732545416132E-2</v>
          </cell>
          <cell r="AG52">
            <v>4.2662703287957626E-2</v>
          </cell>
          <cell r="AH52">
            <v>4.2668672167078592E-2</v>
          </cell>
          <cell r="AI52">
            <v>4.2674639115032775E-2</v>
          </cell>
          <cell r="AJ52">
            <v>4.2680604064160743E-2</v>
          </cell>
        </row>
        <row r="54">
          <cell r="I54" t="str">
            <v>Europe</v>
          </cell>
        </row>
        <row r="55">
          <cell r="I55" t="str">
            <v>Agency (Booking.com &amp; Other)</v>
          </cell>
          <cell r="M55">
            <v>1323.9290000000003</v>
          </cell>
          <cell r="N55">
            <v>2596.2659999999996</v>
          </cell>
          <cell r="O55">
            <v>4024.8225000000002</v>
          </cell>
          <cell r="P55">
            <v>4992.1568750000006</v>
          </cell>
          <cell r="Q55">
            <v>7664.4586250000011</v>
          </cell>
          <cell r="R55">
            <v>12567.324086258932</v>
          </cell>
          <cell r="S55">
            <v>15948.969148794769</v>
          </cell>
          <cell r="T55">
            <v>19298.252670041671</v>
          </cell>
          <cell r="U55">
            <v>21614.042990446673</v>
          </cell>
          <cell r="V55">
            <v>23451.236644634639</v>
          </cell>
          <cell r="W55">
            <v>25092.823209759066</v>
          </cell>
          <cell r="X55">
            <v>26598.392602344611</v>
          </cell>
          <cell r="Y55">
            <v>27861.816250955984</v>
          </cell>
          <cell r="Z55">
            <v>29115.597982249001</v>
          </cell>
          <cell r="AA55">
            <v>30425.799891450202</v>
          </cell>
          <cell r="AB55">
            <v>31794.960886565459</v>
          </cell>
          <cell r="AC55">
            <v>33225.734126460906</v>
          </cell>
          <cell r="AD55">
            <v>34720.892162151642</v>
          </cell>
          <cell r="AE55">
            <v>36283.332309448466</v>
          </cell>
          <cell r="AF55">
            <v>37916.082263373646</v>
          </cell>
          <cell r="AG55">
            <v>39622.30596522546</v>
          </cell>
          <cell r="AH55">
            <v>41405.309733660601</v>
          </cell>
          <cell r="AI55">
            <v>43268.548671675322</v>
          </cell>
          <cell r="AJ55">
            <v>45215.633361900705</v>
          </cell>
        </row>
        <row r="56">
          <cell r="I56" t="str">
            <v>Base y/y Growth - %</v>
          </cell>
          <cell r="M56" t="str">
            <v>NA</v>
          </cell>
          <cell r="N56">
            <v>0.96103114290872016</v>
          </cell>
          <cell r="O56">
            <v>0.55023502984671091</v>
          </cell>
          <cell r="P56">
            <v>0.24034212067737148</v>
          </cell>
          <cell r="Q56">
            <v>0.53530003501742929</v>
          </cell>
          <cell r="R56">
            <v>0.63968842434176887</v>
          </cell>
          <cell r="S56">
            <v>0.2690823471508399</v>
          </cell>
          <cell r="T56">
            <v>0.21</v>
          </cell>
          <cell r="U56">
            <v>0.12</v>
          </cell>
          <cell r="V56">
            <v>8.5000000000000006E-2</v>
          </cell>
          <cell r="W56">
            <v>7.0000000000000007E-2</v>
          </cell>
          <cell r="X56">
            <v>0.06</v>
          </cell>
          <cell r="Y56">
            <v>4.7500000000000001E-2</v>
          </cell>
          <cell r="Z56">
            <v>4.4999999999999998E-2</v>
          </cell>
          <cell r="AA56">
            <v>4.4999999999999998E-2</v>
          </cell>
          <cell r="AB56">
            <v>4.4999999999999998E-2</v>
          </cell>
          <cell r="AC56">
            <v>4.4999999999999998E-2</v>
          </cell>
          <cell r="AD56">
            <v>4.4999999999999998E-2</v>
          </cell>
          <cell r="AE56">
            <v>4.4999999999999998E-2</v>
          </cell>
          <cell r="AF56">
            <v>4.4999999999999998E-2</v>
          </cell>
          <cell r="AG56">
            <v>4.4999999999999998E-2</v>
          </cell>
          <cell r="AH56">
            <v>4.4999999999999998E-2</v>
          </cell>
          <cell r="AI56">
            <v>4.4999999999999998E-2</v>
          </cell>
          <cell r="AJ56">
            <v>4.4999999999999998E-2</v>
          </cell>
        </row>
        <row r="57">
          <cell r="I57" t="str">
            <v>(+/-) FX y/y Growth - %</v>
          </cell>
          <cell r="M57" t="str">
            <v>NA</v>
          </cell>
          <cell r="N57">
            <v>-9.0575564185765581E-2</v>
          </cell>
          <cell r="O57">
            <v>-5.8672391623203229E-2</v>
          </cell>
          <cell r="P57">
            <v>6.2524109754471285E-2</v>
          </cell>
          <cell r="Q57">
            <v>4.4309026369021662E-2</v>
          </cell>
          <cell r="R57">
            <v>-4.775857161340416E-2</v>
          </cell>
          <cell r="S57">
            <v>6.2248681346400075E-2</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row>
        <row r="58">
          <cell r="I58" t="str">
            <v>Organic y/y Growth - %</v>
          </cell>
          <cell r="M58" t="str">
            <v>NA</v>
          </cell>
          <cell r="N58">
            <v>0.87045557872295454</v>
          </cell>
          <cell r="O58">
            <v>0.49156263822350765</v>
          </cell>
          <cell r="P58">
            <v>0.3028662304318428</v>
          </cell>
          <cell r="Q58">
            <v>0.57960906138645096</v>
          </cell>
          <cell r="R58">
            <v>0.59192985272836474</v>
          </cell>
          <cell r="S58">
            <v>0.33133102849723994</v>
          </cell>
          <cell r="T58">
            <v>0.21</v>
          </cell>
          <cell r="U58">
            <v>0.12</v>
          </cell>
          <cell r="V58">
            <v>8.5000000000000006E-2</v>
          </cell>
          <cell r="W58">
            <v>7.0000000000000007E-2</v>
          </cell>
          <cell r="X58">
            <v>0.06</v>
          </cell>
          <cell r="Y58">
            <v>4.7500000000000001E-2</v>
          </cell>
          <cell r="Z58">
            <v>4.4999999999999998E-2</v>
          </cell>
          <cell r="AA58">
            <v>4.4999999999999998E-2</v>
          </cell>
          <cell r="AB58">
            <v>4.4999999999999998E-2</v>
          </cell>
          <cell r="AC58">
            <v>4.4999999999999998E-2</v>
          </cell>
          <cell r="AD58">
            <v>4.4999999999999998E-2</v>
          </cell>
          <cell r="AE58">
            <v>4.4999999999999998E-2</v>
          </cell>
          <cell r="AF58">
            <v>4.4999999999999998E-2</v>
          </cell>
          <cell r="AG58">
            <v>4.4999999999999998E-2</v>
          </cell>
          <cell r="AH58">
            <v>4.4999999999999998E-2</v>
          </cell>
          <cell r="AI58">
            <v>4.4999999999999998E-2</v>
          </cell>
          <cell r="AJ58">
            <v>4.4999999999999998E-2</v>
          </cell>
        </row>
        <row r="59">
          <cell r="I59" t="str">
            <v>Bull y/y Growth - %</v>
          </cell>
          <cell r="M59" t="str">
            <v>NA</v>
          </cell>
          <cell r="N59">
            <v>0.96103114290872016</v>
          </cell>
          <cell r="O59">
            <v>0.55023502984671091</v>
          </cell>
          <cell r="P59">
            <v>0.24034212067737148</v>
          </cell>
          <cell r="Q59">
            <v>0.53530003501742929</v>
          </cell>
          <cell r="R59">
            <v>0.64696090961792208</v>
          </cell>
          <cell r="S59">
            <v>0.29908234715083992</v>
          </cell>
          <cell r="T59">
            <v>0.26</v>
          </cell>
          <cell r="U59">
            <v>0.16999999999999998</v>
          </cell>
          <cell r="V59">
            <v>0.13500000000000001</v>
          </cell>
          <cell r="W59">
            <v>0.12000000000000001</v>
          </cell>
          <cell r="X59">
            <v>0.11</v>
          </cell>
          <cell r="Y59">
            <v>9.7500000000000003E-2</v>
          </cell>
          <cell r="Z59">
            <v>9.5000000000000001E-2</v>
          </cell>
          <cell r="AA59">
            <v>9.5000000000000001E-2</v>
          </cell>
          <cell r="AB59">
            <v>9.5000000000000001E-2</v>
          </cell>
          <cell r="AC59">
            <v>9.5000000000000001E-2</v>
          </cell>
          <cell r="AD59">
            <v>9.5000000000000001E-2</v>
          </cell>
          <cell r="AE59">
            <v>9.5000000000000001E-2</v>
          </cell>
          <cell r="AF59">
            <v>9.5000000000000001E-2</v>
          </cell>
          <cell r="AG59">
            <v>9.5000000000000001E-2</v>
          </cell>
          <cell r="AH59">
            <v>9.5000000000000001E-2</v>
          </cell>
          <cell r="AI59">
            <v>9.5000000000000001E-2</v>
          </cell>
          <cell r="AJ59">
            <v>9.5000000000000001E-2</v>
          </cell>
        </row>
        <row r="60">
          <cell r="I60" t="str">
            <v>Bear y/y Growth - %</v>
          </cell>
          <cell r="M60" t="str">
            <v>NA</v>
          </cell>
          <cell r="N60">
            <v>0.96103114290872016</v>
          </cell>
          <cell r="O60">
            <v>0.55023502984671091</v>
          </cell>
          <cell r="P60">
            <v>0.24034212067737148</v>
          </cell>
          <cell r="Q60">
            <v>0.53530003501742929</v>
          </cell>
          <cell r="R60">
            <v>0.62756761554817975</v>
          </cell>
          <cell r="S60">
            <v>0.21908234715083985</v>
          </cell>
          <cell r="T60">
            <v>0.15999999999999998</v>
          </cell>
          <cell r="U60">
            <v>6.9999999999999993E-2</v>
          </cell>
          <cell r="V60">
            <v>3.5000000000000003E-2</v>
          </cell>
          <cell r="W60">
            <v>0.01</v>
          </cell>
          <cell r="X60">
            <v>0.01</v>
          </cell>
          <cell r="Y60">
            <v>0.01</v>
          </cell>
          <cell r="Z60">
            <v>0.01</v>
          </cell>
          <cell r="AA60">
            <v>0.01</v>
          </cell>
          <cell r="AB60">
            <v>0.01</v>
          </cell>
          <cell r="AC60">
            <v>0.01</v>
          </cell>
          <cell r="AD60">
            <v>0.01</v>
          </cell>
          <cell r="AE60">
            <v>0.01</v>
          </cell>
          <cell r="AF60">
            <v>0.01</v>
          </cell>
          <cell r="AG60">
            <v>0.01</v>
          </cell>
          <cell r="AH60">
            <v>0.01</v>
          </cell>
          <cell r="AI60">
            <v>0.01</v>
          </cell>
          <cell r="AJ60">
            <v>0.01</v>
          </cell>
        </row>
        <row r="61">
          <cell r="I61" t="str">
            <v>Merchant (TravelJigsaw)</v>
          </cell>
          <cell r="M61">
            <v>0</v>
          </cell>
          <cell r="N61">
            <v>0</v>
          </cell>
          <cell r="O61">
            <v>0</v>
          </cell>
          <cell r="P61">
            <v>0</v>
          </cell>
          <cell r="Q61">
            <v>184.7</v>
          </cell>
          <cell r="R61">
            <v>488.62833097441575</v>
          </cell>
          <cell r="S61">
            <v>764.14644733189664</v>
          </cell>
          <cell r="T61">
            <v>1031.5977038980604</v>
          </cell>
          <cell r="U61">
            <v>1237.9172446776724</v>
          </cell>
          <cell r="V61">
            <v>1386.4673140389932</v>
          </cell>
          <cell r="W61">
            <v>1511.2493723025027</v>
          </cell>
          <cell r="X61">
            <v>1617.0368283636781</v>
          </cell>
          <cell r="Y61">
            <v>1697.8886697818621</v>
          </cell>
          <cell r="Z61">
            <v>1782.7831032709553</v>
          </cell>
          <cell r="AA61">
            <v>1871.9222584345032</v>
          </cell>
          <cell r="AB61">
            <v>1965.5183713562285</v>
          </cell>
          <cell r="AC61">
            <v>2063.7942899240402</v>
          </cell>
          <cell r="AD61">
            <v>2166.9840044202424</v>
          </cell>
          <cell r="AE61">
            <v>2275.3332046412547</v>
          </cell>
          <cell r="AF61">
            <v>2389.0998648733175</v>
          </cell>
          <cell r="AG61">
            <v>2508.5548581169837</v>
          </cell>
          <cell r="AH61">
            <v>2633.982601022833</v>
          </cell>
          <cell r="AI61">
            <v>2765.6817310739748</v>
          </cell>
          <cell r="AJ61">
            <v>2903.9658176276735</v>
          </cell>
        </row>
        <row r="62">
          <cell r="I62" t="str">
            <v>Base y/y Growth - %</v>
          </cell>
          <cell r="M62" t="str">
            <v>NA</v>
          </cell>
          <cell r="N62" t="str">
            <v>NA</v>
          </cell>
          <cell r="O62" t="str">
            <v>NA</v>
          </cell>
          <cell r="P62" t="str">
            <v>NA</v>
          </cell>
          <cell r="Q62" t="str">
            <v>NA</v>
          </cell>
          <cell r="R62" t="str">
            <v>NM</v>
          </cell>
          <cell r="S62">
            <v>0.56386029808801008</v>
          </cell>
          <cell r="T62">
            <v>0.35</v>
          </cell>
          <cell r="U62">
            <v>0.2</v>
          </cell>
          <cell r="V62">
            <v>0.12</v>
          </cell>
          <cell r="W62">
            <v>0.09</v>
          </cell>
          <cell r="X62">
            <v>7.0000000000000007E-2</v>
          </cell>
          <cell r="Y62">
            <v>0.05</v>
          </cell>
          <cell r="Z62">
            <v>0.05</v>
          </cell>
          <cell r="AA62">
            <v>0.05</v>
          </cell>
          <cell r="AB62">
            <v>0.05</v>
          </cell>
          <cell r="AC62">
            <v>0.05</v>
          </cell>
          <cell r="AD62">
            <v>0.05</v>
          </cell>
          <cell r="AE62">
            <v>0.05</v>
          </cell>
          <cell r="AF62">
            <v>0.05</v>
          </cell>
          <cell r="AG62">
            <v>0.05</v>
          </cell>
          <cell r="AH62">
            <v>0.05</v>
          </cell>
          <cell r="AI62">
            <v>0.05</v>
          </cell>
          <cell r="AJ62">
            <v>0.05</v>
          </cell>
        </row>
        <row r="63">
          <cell r="I63" t="str">
            <v>(+/-) FX y/y Growth - %</v>
          </cell>
          <cell r="M63" t="str">
            <v>NA</v>
          </cell>
          <cell r="N63" t="str">
            <v>NA</v>
          </cell>
          <cell r="O63" t="str">
            <v>NA</v>
          </cell>
          <cell r="P63" t="str">
            <v>NA</v>
          </cell>
          <cell r="Q63" t="str">
            <v>NA</v>
          </cell>
          <cell r="R63" t="str">
            <v>NA</v>
          </cell>
          <cell r="S63">
            <v>6.2248681346400075E-2</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row>
        <row r="64">
          <cell r="I64" t="str">
            <v>Organic y/y Growth - %</v>
          </cell>
          <cell r="M64" t="str">
            <v>NA</v>
          </cell>
          <cell r="N64" t="str">
            <v>NA</v>
          </cell>
          <cell r="O64" t="str">
            <v>NA</v>
          </cell>
          <cell r="P64" t="str">
            <v>NA</v>
          </cell>
          <cell r="Q64" t="str">
            <v>NA</v>
          </cell>
          <cell r="R64" t="str">
            <v>NA</v>
          </cell>
          <cell r="S64">
            <v>0.62610897943441013</v>
          </cell>
          <cell r="T64">
            <v>0.35</v>
          </cell>
          <cell r="U64">
            <v>0.2</v>
          </cell>
          <cell r="V64">
            <v>0.12</v>
          </cell>
          <cell r="W64">
            <v>0.09</v>
          </cell>
          <cell r="X64">
            <v>7.0000000000000007E-2</v>
          </cell>
          <cell r="Y64">
            <v>0.05</v>
          </cell>
          <cell r="Z64">
            <v>0.05</v>
          </cell>
          <cell r="AA64">
            <v>0.05</v>
          </cell>
          <cell r="AB64">
            <v>0.05</v>
          </cell>
          <cell r="AC64">
            <v>0.05</v>
          </cell>
          <cell r="AD64">
            <v>0.05</v>
          </cell>
          <cell r="AE64">
            <v>0.05</v>
          </cell>
          <cell r="AF64">
            <v>0.05</v>
          </cell>
          <cell r="AG64">
            <v>0.05</v>
          </cell>
          <cell r="AH64">
            <v>0.05</v>
          </cell>
          <cell r="AI64">
            <v>0.05</v>
          </cell>
          <cell r="AJ64">
            <v>0.05</v>
          </cell>
        </row>
        <row r="65">
          <cell r="I65" t="str">
            <v>Bull y/y Growth - %</v>
          </cell>
          <cell r="M65" t="str">
            <v>NA</v>
          </cell>
          <cell r="N65" t="str">
            <v>NA</v>
          </cell>
          <cell r="O65" t="str">
            <v>NA</v>
          </cell>
          <cell r="P65" t="str">
            <v>NA</v>
          </cell>
          <cell r="Q65" t="str">
            <v>NA</v>
          </cell>
          <cell r="R65" t="str">
            <v>NM</v>
          </cell>
          <cell r="S65">
            <v>0.65068385324711175</v>
          </cell>
          <cell r="T65">
            <v>0.39999999999999997</v>
          </cell>
          <cell r="U65">
            <v>0.25</v>
          </cell>
          <cell r="V65">
            <v>0.16999999999999998</v>
          </cell>
          <cell r="W65">
            <v>0.14000000000000001</v>
          </cell>
          <cell r="X65">
            <v>0.12000000000000001</v>
          </cell>
          <cell r="Y65">
            <v>0.1</v>
          </cell>
          <cell r="Z65">
            <v>0.1</v>
          </cell>
          <cell r="AA65">
            <v>0.1</v>
          </cell>
          <cell r="AB65">
            <v>0.1</v>
          </cell>
          <cell r="AC65">
            <v>0.1</v>
          </cell>
          <cell r="AD65">
            <v>0.1</v>
          </cell>
          <cell r="AE65">
            <v>0.1</v>
          </cell>
          <cell r="AF65">
            <v>0.1</v>
          </cell>
          <cell r="AG65">
            <v>0.1</v>
          </cell>
          <cell r="AH65">
            <v>0.1</v>
          </cell>
          <cell r="AI65">
            <v>0.1</v>
          </cell>
          <cell r="AJ65">
            <v>0.1</v>
          </cell>
        </row>
        <row r="66">
          <cell r="I66" t="str">
            <v>Bear y/y Growth - %</v>
          </cell>
          <cell r="M66" t="str">
            <v>NA</v>
          </cell>
          <cell r="N66" t="str">
            <v>NA</v>
          </cell>
          <cell r="O66" t="str">
            <v>NA</v>
          </cell>
          <cell r="P66" t="str">
            <v>NA</v>
          </cell>
          <cell r="Q66" t="str">
            <v>NA</v>
          </cell>
          <cell r="R66" t="str">
            <v>NM</v>
          </cell>
          <cell r="S66">
            <v>0.28068385324711165</v>
          </cell>
          <cell r="T66">
            <v>0.19999999999999998</v>
          </cell>
          <cell r="U66">
            <v>0.15000000000000002</v>
          </cell>
          <cell r="V66">
            <v>6.9999999999999993E-2</v>
          </cell>
          <cell r="W66">
            <v>3.9999999999999994E-2</v>
          </cell>
          <cell r="X66">
            <v>0.01</v>
          </cell>
          <cell r="Y66">
            <v>0.01</v>
          </cell>
          <cell r="Z66">
            <v>0.01</v>
          </cell>
          <cell r="AA66">
            <v>0.01</v>
          </cell>
          <cell r="AB66">
            <v>0.01</v>
          </cell>
          <cell r="AC66">
            <v>0.01</v>
          </cell>
          <cell r="AD66">
            <v>0.01</v>
          </cell>
          <cell r="AE66">
            <v>0.01</v>
          </cell>
          <cell r="AF66">
            <v>0.01</v>
          </cell>
          <cell r="AG66">
            <v>0.01</v>
          </cell>
          <cell r="AH66">
            <v>0.01</v>
          </cell>
          <cell r="AI66">
            <v>0.01</v>
          </cell>
          <cell r="AJ66">
            <v>0.01</v>
          </cell>
        </row>
        <row r="67">
          <cell r="I67" t="str">
            <v>Total Europe</v>
          </cell>
          <cell r="M67">
            <v>1323.9290000000003</v>
          </cell>
          <cell r="N67">
            <v>2596.2659999999996</v>
          </cell>
          <cell r="O67">
            <v>4024.8225000000002</v>
          </cell>
          <cell r="P67">
            <v>4992.1568750000006</v>
          </cell>
          <cell r="Q67">
            <v>7849.1586250000009</v>
          </cell>
          <cell r="R67">
            <v>13055.952417233348</v>
          </cell>
          <cell r="S67">
            <v>16713.115596126667</v>
          </cell>
          <cell r="T67">
            <v>20329.850373939731</v>
          </cell>
          <cell r="U67">
            <v>22851.960235124345</v>
          </cell>
          <cell r="V67">
            <v>24837.703958673632</v>
          </cell>
          <cell r="W67">
            <v>26604.07258206157</v>
          </cell>
          <cell r="X67">
            <v>28215.429430708289</v>
          </cell>
          <cell r="Y67">
            <v>29559.704920737848</v>
          </cell>
          <cell r="Z67">
            <v>30898.381085519955</v>
          </cell>
          <cell r="AA67">
            <v>32297.722149884707</v>
          </cell>
          <cell r="AB67">
            <v>33760.479257921688</v>
          </cell>
          <cell r="AC67">
            <v>35289.528416384943</v>
          </cell>
          <cell r="AD67">
            <v>36887.876166571885</v>
          </cell>
          <cell r="AE67">
            <v>38558.66551408972</v>
          </cell>
          <cell r="AF67">
            <v>40305.182128246961</v>
          </cell>
          <cell r="AG67">
            <v>42130.860823342446</v>
          </cell>
          <cell r="AH67">
            <v>44039.292334683436</v>
          </cell>
          <cell r="AI67">
            <v>46034.230402749294</v>
          </cell>
          <cell r="AJ67">
            <v>48119.599179528377</v>
          </cell>
        </row>
        <row r="68">
          <cell r="I68" t="str">
            <v>y/y Growth - %</v>
          </cell>
          <cell r="M68" t="str">
            <v>NA</v>
          </cell>
          <cell r="N68">
            <v>0.96103114290872016</v>
          </cell>
          <cell r="O68">
            <v>0.55023502984671091</v>
          </cell>
          <cell r="P68">
            <v>0.24034212067737148</v>
          </cell>
          <cell r="Q68">
            <v>0.57229807106171915</v>
          </cell>
          <cell r="R68">
            <v>0.66335693301565124</v>
          </cell>
          <cell r="S68">
            <v>0.28011462220603733</v>
          </cell>
          <cell r="T68">
            <v>0.21640099100680299</v>
          </cell>
          <cell r="U68">
            <v>0.12405944041858952</v>
          </cell>
          <cell r="V68">
            <v>8.6895990677295254E-2</v>
          </cell>
          <cell r="W68">
            <v>7.1116421482715131E-2</v>
          </cell>
          <cell r="X68">
            <v>6.0568051890416807E-2</v>
          </cell>
          <cell r="Y68">
            <v>4.7643275936339879E-2</v>
          </cell>
          <cell r="Z68">
            <v>4.5287196484933512E-2</v>
          </cell>
          <cell r="AA68">
            <v>4.5288491344956938E-2</v>
          </cell>
          <cell r="AB68">
            <v>4.5289791684030689E-2</v>
          </cell>
          <cell r="AC68">
            <v>4.5291097522096813E-2</v>
          </cell>
          <cell r="AD68">
            <v>4.5292408879140211E-2</v>
          </cell>
          <cell r="AE68">
            <v>4.5293725775188864E-2</v>
          </cell>
          <cell r="AF68">
            <v>4.529504823031405E-2</v>
          </cell>
          <cell r="AG68">
            <v>4.5296376264629234E-2</v>
          </cell>
          <cell r="AH68">
            <v>4.5297709898289851E-2</v>
          </cell>
          <cell r="AI68">
            <v>4.5299049151494408E-2</v>
          </cell>
          <cell r="AJ68">
            <v>4.5300394044483383E-2</v>
          </cell>
        </row>
        <row r="70">
          <cell r="I70" t="str">
            <v>Asia</v>
          </cell>
        </row>
        <row r="71">
          <cell r="I71" t="str">
            <v>Agency (Booking.com)</v>
          </cell>
          <cell r="M71">
            <v>15.030000000000001</v>
          </cell>
          <cell r="N71">
            <v>37.575000000000003</v>
          </cell>
          <cell r="O71">
            <v>86.422499999999985</v>
          </cell>
          <cell r="P71">
            <v>174.01512499999995</v>
          </cell>
          <cell r="Q71">
            <v>382.32037500000001</v>
          </cell>
          <cell r="R71">
            <v>859.77269180028907</v>
          </cell>
          <cell r="S71">
            <v>1498.7419670149097</v>
          </cell>
          <cell r="T71">
            <v>2098.2387538208736</v>
          </cell>
          <cell r="U71">
            <v>2517.8865045850484</v>
          </cell>
          <cell r="V71">
            <v>2820.0328851352547</v>
          </cell>
          <cell r="W71">
            <v>3073.8358447974279</v>
          </cell>
          <cell r="X71">
            <v>3289.0043539332478</v>
          </cell>
          <cell r="Y71">
            <v>3486.3446151692428</v>
          </cell>
          <cell r="Z71">
            <v>3695.5252920793978</v>
          </cell>
          <cell r="AA71">
            <v>3917.2568096041618</v>
          </cell>
          <cell r="AB71">
            <v>4152.2922181804115</v>
          </cell>
          <cell r="AC71">
            <v>4401.4297512712365</v>
          </cell>
          <cell r="AD71">
            <v>4665.5155363475105</v>
          </cell>
          <cell r="AE71">
            <v>4945.446468528361</v>
          </cell>
          <cell r="AF71">
            <v>5242.1732566400633</v>
          </cell>
          <cell r="AG71">
            <v>5556.7036520384672</v>
          </cell>
          <cell r="AH71">
            <v>5890.1058711607757</v>
          </cell>
          <cell r="AI71">
            <v>6243.5122234304226</v>
          </cell>
          <cell r="AJ71">
            <v>6618.1229568362487</v>
          </cell>
        </row>
        <row r="72">
          <cell r="I72" t="str">
            <v>Base y/y Growth - %</v>
          </cell>
          <cell r="M72" t="str">
            <v>NA</v>
          </cell>
          <cell r="N72">
            <v>1.5</v>
          </cell>
          <cell r="O72">
            <v>1.2999999999999994</v>
          </cell>
          <cell r="P72">
            <v>1.013539587491683</v>
          </cell>
          <cell r="Q72">
            <v>1.197052555058074</v>
          </cell>
          <cell r="R72">
            <v>1.2488278104463801</v>
          </cell>
          <cell r="S72">
            <v>0.74318396165464939</v>
          </cell>
          <cell r="T72">
            <v>0.4</v>
          </cell>
          <cell r="U72">
            <v>0.2</v>
          </cell>
          <cell r="V72">
            <v>0.12</v>
          </cell>
          <cell r="W72">
            <v>0.09</v>
          </cell>
          <cell r="X72">
            <v>7.0000000000000007E-2</v>
          </cell>
          <cell r="Y72">
            <v>0.06</v>
          </cell>
          <cell r="Z72">
            <v>0.06</v>
          </cell>
          <cell r="AA72">
            <v>0.06</v>
          </cell>
          <cell r="AB72">
            <v>0.06</v>
          </cell>
          <cell r="AC72">
            <v>0.06</v>
          </cell>
          <cell r="AD72">
            <v>0.06</v>
          </cell>
          <cell r="AE72">
            <v>0.06</v>
          </cell>
          <cell r="AF72">
            <v>0.06</v>
          </cell>
          <cell r="AG72">
            <v>0.06</v>
          </cell>
          <cell r="AH72">
            <v>0.06</v>
          </cell>
          <cell r="AI72">
            <v>0.06</v>
          </cell>
          <cell r="AJ72">
            <v>0.06</v>
          </cell>
        </row>
        <row r="73">
          <cell r="I73" t="str">
            <v>(+/-) FX y/y Growth - %</v>
          </cell>
          <cell r="M73" t="str">
            <v>NA</v>
          </cell>
          <cell r="N73">
            <v>-4.9835767202717984E-2</v>
          </cell>
          <cell r="O73">
            <v>-8.4064635022904621E-2</v>
          </cell>
          <cell r="P73">
            <v>-1.6504690511064662E-2</v>
          </cell>
          <cell r="Q73">
            <v>-7.8481315201383614E-2</v>
          </cell>
          <cell r="R73">
            <v>-9.2016226869604395E-2</v>
          </cell>
          <cell r="S73">
            <v>-1.8661565396885939E-2</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row>
        <row r="74">
          <cell r="I74" t="str">
            <v>Organic y/y Growth - %</v>
          </cell>
          <cell r="M74" t="str">
            <v>NA</v>
          </cell>
          <cell r="N74">
            <v>1.4501642327972819</v>
          </cell>
          <cell r="O74">
            <v>1.2159353649770948</v>
          </cell>
          <cell r="P74">
            <v>0.99703489698061842</v>
          </cell>
          <cell r="Q74">
            <v>1.1185712398566903</v>
          </cell>
          <cell r="R74">
            <v>1.1568115835767758</v>
          </cell>
          <cell r="S74">
            <v>0.72452239625776349</v>
          </cell>
          <cell r="T74">
            <v>0.4</v>
          </cell>
          <cell r="U74">
            <v>0.2</v>
          </cell>
          <cell r="V74">
            <v>0.12</v>
          </cell>
          <cell r="W74">
            <v>0.09</v>
          </cell>
          <cell r="X74">
            <v>7.0000000000000007E-2</v>
          </cell>
          <cell r="Y74">
            <v>0.06</v>
          </cell>
          <cell r="Z74">
            <v>0.06</v>
          </cell>
          <cell r="AA74">
            <v>0.06</v>
          </cell>
          <cell r="AB74">
            <v>0.06</v>
          </cell>
          <cell r="AC74">
            <v>0.06</v>
          </cell>
          <cell r="AD74">
            <v>0.06</v>
          </cell>
          <cell r="AE74">
            <v>0.06</v>
          </cell>
          <cell r="AF74">
            <v>0.06</v>
          </cell>
          <cell r="AG74">
            <v>0.06</v>
          </cell>
          <cell r="AH74">
            <v>0.06</v>
          </cell>
          <cell r="AI74">
            <v>0.06</v>
          </cell>
          <cell r="AJ74">
            <v>0.06</v>
          </cell>
        </row>
        <row r="75">
          <cell r="I75" t="str">
            <v>Bull y/y Growth - %</v>
          </cell>
          <cell r="M75" t="str">
            <v>NA</v>
          </cell>
          <cell r="N75">
            <v>1.5</v>
          </cell>
          <cell r="O75">
            <v>1.2999999999999994</v>
          </cell>
          <cell r="P75">
            <v>1.013539587491683</v>
          </cell>
          <cell r="Q75">
            <v>1.197052555058074</v>
          </cell>
          <cell r="R75">
            <v>1.2802533524411013</v>
          </cell>
          <cell r="S75">
            <v>0.84318396165464948</v>
          </cell>
          <cell r="T75">
            <v>0.45</v>
          </cell>
          <cell r="U75">
            <v>0.25</v>
          </cell>
          <cell r="V75">
            <v>0.16999999999999998</v>
          </cell>
          <cell r="W75">
            <v>0.14000000000000001</v>
          </cell>
          <cell r="X75">
            <v>0.12000000000000001</v>
          </cell>
          <cell r="Y75">
            <v>0.11</v>
          </cell>
          <cell r="Z75">
            <v>0.11</v>
          </cell>
          <cell r="AA75">
            <v>0.11</v>
          </cell>
          <cell r="AB75">
            <v>0.11</v>
          </cell>
          <cell r="AC75">
            <v>0.11</v>
          </cell>
          <cell r="AD75">
            <v>0.11</v>
          </cell>
          <cell r="AE75">
            <v>0.11</v>
          </cell>
          <cell r="AF75">
            <v>0.11</v>
          </cell>
          <cell r="AG75">
            <v>0.11</v>
          </cell>
          <cell r="AH75">
            <v>0.11</v>
          </cell>
          <cell r="AI75">
            <v>0.11</v>
          </cell>
          <cell r="AJ75">
            <v>0.11</v>
          </cell>
        </row>
        <row r="76">
          <cell r="I76" t="str">
            <v>Bear y/y Growth - %</v>
          </cell>
          <cell r="M76" t="str">
            <v>NA</v>
          </cell>
          <cell r="N76">
            <v>1.5</v>
          </cell>
          <cell r="O76">
            <v>1.2999999999999994</v>
          </cell>
          <cell r="P76">
            <v>1.013539587491683</v>
          </cell>
          <cell r="Q76">
            <v>1.197052555058074</v>
          </cell>
          <cell r="R76">
            <v>1.217402268451659</v>
          </cell>
          <cell r="S76">
            <v>0.64318396165464953</v>
          </cell>
          <cell r="T76">
            <v>0.30000000000000004</v>
          </cell>
          <cell r="U76">
            <v>0.1</v>
          </cell>
          <cell r="V76">
            <v>0.05</v>
          </cell>
          <cell r="W76">
            <v>0.03</v>
          </cell>
          <cell r="X76">
            <v>0.02</v>
          </cell>
          <cell r="Y76">
            <v>0.02</v>
          </cell>
          <cell r="Z76">
            <v>0.02</v>
          </cell>
          <cell r="AA76">
            <v>0.02</v>
          </cell>
          <cell r="AB76">
            <v>0.02</v>
          </cell>
          <cell r="AC76">
            <v>0.02</v>
          </cell>
          <cell r="AD76">
            <v>0.02</v>
          </cell>
          <cell r="AE76">
            <v>0.02</v>
          </cell>
          <cell r="AF76">
            <v>0.02</v>
          </cell>
          <cell r="AG76">
            <v>0.02</v>
          </cell>
          <cell r="AH76">
            <v>0.02</v>
          </cell>
          <cell r="AI76">
            <v>0.02</v>
          </cell>
          <cell r="AJ76">
            <v>0.02</v>
          </cell>
        </row>
        <row r="77">
          <cell r="I77" t="str">
            <v>Merchant (Agoda)</v>
          </cell>
          <cell r="M77">
            <v>0</v>
          </cell>
          <cell r="N77">
            <v>13.4</v>
          </cell>
          <cell r="O77">
            <v>118.69999999999999</v>
          </cell>
          <cell r="P77">
            <v>244.952</v>
          </cell>
          <cell r="Q77">
            <v>541.17100000000005</v>
          </cell>
          <cell r="R77">
            <v>1146.699784269646</v>
          </cell>
          <cell r="S77">
            <v>1882.1960332306744</v>
          </cell>
          <cell r="T77">
            <v>2446.854843199877</v>
          </cell>
          <cell r="U77">
            <v>2887.2887149758549</v>
          </cell>
          <cell r="V77">
            <v>3118.2718121739235</v>
          </cell>
          <cell r="W77">
            <v>3336.5508390260984</v>
          </cell>
          <cell r="X77">
            <v>3536.7438893676645</v>
          </cell>
          <cell r="Y77">
            <v>3713.581083836048</v>
          </cell>
          <cell r="Z77">
            <v>3899.2601380278506</v>
          </cell>
          <cell r="AA77">
            <v>4094.2231449292435</v>
          </cell>
          <cell r="AB77">
            <v>4298.9343021757059</v>
          </cell>
          <cell r="AC77">
            <v>4513.8810172844915</v>
          </cell>
          <cell r="AD77">
            <v>4739.5750681487161</v>
          </cell>
          <cell r="AE77">
            <v>4976.5538215561519</v>
          </cell>
          <cell r="AF77">
            <v>5225.3815126339596</v>
          </cell>
          <cell r="AG77">
            <v>5486.6505882656575</v>
          </cell>
          <cell r="AH77">
            <v>5760.9831176789403</v>
          </cell>
          <cell r="AI77">
            <v>6049.0322735628879</v>
          </cell>
          <cell r="AJ77">
            <v>6351.4838872410328</v>
          </cell>
        </row>
        <row r="78">
          <cell r="I78" t="str">
            <v>Base y/y Growth - %</v>
          </cell>
          <cell r="M78" t="str">
            <v>NA</v>
          </cell>
          <cell r="N78" t="str">
            <v>NA</v>
          </cell>
          <cell r="O78" t="str">
            <v>NM</v>
          </cell>
          <cell r="P78">
            <v>1.0636225779275486</v>
          </cell>
          <cell r="Q78">
            <v>1.2092940657761524</v>
          </cell>
          <cell r="R78">
            <v>1.1189231948305545</v>
          </cell>
          <cell r="S78">
            <v>0.64140262259618308</v>
          </cell>
          <cell r="T78">
            <v>0.3</v>
          </cell>
          <cell r="U78">
            <v>0.18</v>
          </cell>
          <cell r="V78">
            <v>0.08</v>
          </cell>
          <cell r="W78">
            <v>7.0000000000000007E-2</v>
          </cell>
          <cell r="X78">
            <v>0.06</v>
          </cell>
          <cell r="Y78">
            <v>0.05</v>
          </cell>
          <cell r="Z78">
            <v>0.05</v>
          </cell>
          <cell r="AA78">
            <v>0.05</v>
          </cell>
          <cell r="AB78">
            <v>0.05</v>
          </cell>
          <cell r="AC78">
            <v>0.05</v>
          </cell>
          <cell r="AD78">
            <v>0.05</v>
          </cell>
          <cell r="AE78">
            <v>0.05</v>
          </cell>
          <cell r="AF78">
            <v>0.05</v>
          </cell>
          <cell r="AG78">
            <v>0.05</v>
          </cell>
          <cell r="AH78">
            <v>0.05</v>
          </cell>
          <cell r="AI78">
            <v>0.05</v>
          </cell>
          <cell r="AJ78">
            <v>0.05</v>
          </cell>
        </row>
        <row r="79">
          <cell r="I79" t="str">
            <v>(+/-) FX y/y Growth - %</v>
          </cell>
          <cell r="M79" t="str">
            <v>NA</v>
          </cell>
          <cell r="N79" t="str">
            <v>NA</v>
          </cell>
          <cell r="O79" t="str">
            <v>NA</v>
          </cell>
          <cell r="P79">
            <v>-1.6504690511064662E-2</v>
          </cell>
          <cell r="Q79">
            <v>-7.8481315201383614E-2</v>
          </cell>
          <cell r="R79">
            <v>-9.2016226869604395E-2</v>
          </cell>
          <cell r="S79">
            <v>-1.8661565396885939E-2</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row>
        <row r="80">
          <cell r="I80" t="str">
            <v>Organic y/y Growth - %</v>
          </cell>
          <cell r="M80" t="str">
            <v>NA</v>
          </cell>
          <cell r="N80" t="str">
            <v>NA</v>
          </cell>
          <cell r="O80" t="str">
            <v>NA</v>
          </cell>
          <cell r="P80">
            <v>1.0471178874164839</v>
          </cell>
          <cell r="Q80">
            <v>1.1308127505747687</v>
          </cell>
          <cell r="R80">
            <v>1.0269069679609502</v>
          </cell>
          <cell r="S80">
            <v>0.62274105719929718</v>
          </cell>
          <cell r="T80">
            <v>0.3</v>
          </cell>
          <cell r="U80">
            <v>0.18</v>
          </cell>
          <cell r="V80">
            <v>0.08</v>
          </cell>
          <cell r="W80">
            <v>7.0000000000000007E-2</v>
          </cell>
          <cell r="X80">
            <v>0.06</v>
          </cell>
          <cell r="Y80">
            <v>0.05</v>
          </cell>
          <cell r="Z80">
            <v>0.05</v>
          </cell>
          <cell r="AA80">
            <v>0.05</v>
          </cell>
          <cell r="AB80">
            <v>0.05</v>
          </cell>
          <cell r="AC80">
            <v>0.05</v>
          </cell>
          <cell r="AD80">
            <v>0.05</v>
          </cell>
          <cell r="AE80">
            <v>0.05</v>
          </cell>
          <cell r="AF80">
            <v>0.05</v>
          </cell>
          <cell r="AG80">
            <v>0.05</v>
          </cell>
          <cell r="AH80">
            <v>0.05</v>
          </cell>
          <cell r="AI80">
            <v>0.05</v>
          </cell>
          <cell r="AJ80">
            <v>0.05</v>
          </cell>
        </row>
        <row r="81">
          <cell r="I81" t="str">
            <v>Bull y/y Growth - %</v>
          </cell>
          <cell r="M81" t="str">
            <v>NA</v>
          </cell>
          <cell r="N81" t="str">
            <v>NA</v>
          </cell>
          <cell r="O81" t="str">
            <v>NM</v>
          </cell>
          <cell r="P81">
            <v>1.0636225779275486</v>
          </cell>
          <cell r="Q81">
            <v>1.2092940657761524</v>
          </cell>
          <cell r="R81">
            <v>1.1371129167483955</v>
          </cell>
          <cell r="S81">
            <v>0.69140262259618335</v>
          </cell>
          <cell r="T81">
            <v>0.32999999999999996</v>
          </cell>
          <cell r="U81">
            <v>0.21</v>
          </cell>
          <cell r="V81">
            <v>0.11</v>
          </cell>
          <cell r="W81">
            <v>0.1</v>
          </cell>
          <cell r="X81">
            <v>0.09</v>
          </cell>
          <cell r="Y81">
            <v>0.08</v>
          </cell>
          <cell r="Z81">
            <v>0.08</v>
          </cell>
          <cell r="AA81">
            <v>0.08</v>
          </cell>
          <cell r="AB81">
            <v>0.08</v>
          </cell>
          <cell r="AC81">
            <v>0.08</v>
          </cell>
          <cell r="AD81">
            <v>0.08</v>
          </cell>
          <cell r="AE81">
            <v>0.08</v>
          </cell>
          <cell r="AF81">
            <v>0.08</v>
          </cell>
          <cell r="AG81">
            <v>0.08</v>
          </cell>
          <cell r="AH81">
            <v>0.08</v>
          </cell>
          <cell r="AI81">
            <v>0.08</v>
          </cell>
          <cell r="AJ81">
            <v>0.08</v>
          </cell>
        </row>
        <row r="82">
          <cell r="I82" t="str">
            <v>Bear y/y Growth - %</v>
          </cell>
          <cell r="M82" t="str">
            <v>NA</v>
          </cell>
          <cell r="N82" t="str">
            <v>NA</v>
          </cell>
          <cell r="O82" t="str">
            <v>NM</v>
          </cell>
          <cell r="P82">
            <v>1.0636225779275486</v>
          </cell>
          <cell r="Q82">
            <v>1.2092940657761524</v>
          </cell>
          <cell r="R82">
            <v>1.0825437509948719</v>
          </cell>
          <cell r="S82">
            <v>0.54140262259618321</v>
          </cell>
          <cell r="T82">
            <v>0.19999999999999998</v>
          </cell>
          <cell r="U82">
            <v>7.9999999999999988E-2</v>
          </cell>
          <cell r="V82">
            <v>0.05</v>
          </cell>
          <cell r="W82">
            <v>0.03</v>
          </cell>
          <cell r="X82">
            <v>0.02</v>
          </cell>
          <cell r="Y82">
            <v>0.02</v>
          </cell>
          <cell r="Z82">
            <v>0.02</v>
          </cell>
          <cell r="AA82">
            <v>0.02</v>
          </cell>
          <cell r="AB82">
            <v>0.02</v>
          </cell>
          <cell r="AC82">
            <v>0.02</v>
          </cell>
          <cell r="AD82">
            <v>0.02</v>
          </cell>
          <cell r="AE82">
            <v>0.02</v>
          </cell>
          <cell r="AF82">
            <v>0.02</v>
          </cell>
          <cell r="AG82">
            <v>0.02</v>
          </cell>
          <cell r="AH82">
            <v>0.02</v>
          </cell>
          <cell r="AI82">
            <v>0.02</v>
          </cell>
          <cell r="AJ82">
            <v>0.02</v>
          </cell>
        </row>
        <row r="83">
          <cell r="I83" t="str">
            <v>Total Asia Pacific</v>
          </cell>
          <cell r="M83">
            <v>15.030000000000001</v>
          </cell>
          <cell r="N83">
            <v>50.975000000000001</v>
          </cell>
          <cell r="O83">
            <v>205.12249999999997</v>
          </cell>
          <cell r="P83">
            <v>418.96712499999995</v>
          </cell>
          <cell r="Q83">
            <v>923.49137500000006</v>
          </cell>
          <cell r="R83">
            <v>2006.4724760699351</v>
          </cell>
          <cell r="S83">
            <v>3380.9380002455841</v>
          </cell>
          <cell r="T83">
            <v>4545.0935970207502</v>
          </cell>
          <cell r="U83">
            <v>5405.1752195609033</v>
          </cell>
          <cell r="V83">
            <v>5938.3046973091787</v>
          </cell>
          <cell r="W83">
            <v>6410.3866838235263</v>
          </cell>
          <cell r="X83">
            <v>6825.7482433009118</v>
          </cell>
          <cell r="Y83">
            <v>7199.9256990052909</v>
          </cell>
          <cell r="Z83">
            <v>7594.7854301072484</v>
          </cell>
          <cell r="AA83">
            <v>8011.4799545334054</v>
          </cell>
          <cell r="AB83">
            <v>8451.2265203561183</v>
          </cell>
          <cell r="AC83">
            <v>8915.3107685557279</v>
          </cell>
          <cell r="AD83">
            <v>9405.0906044962267</v>
          </cell>
          <cell r="AE83">
            <v>9922.0002900845138</v>
          </cell>
          <cell r="AF83">
            <v>10467.554769274022</v>
          </cell>
          <cell r="AG83">
            <v>11043.354240304125</v>
          </cell>
          <cell r="AH83">
            <v>11651.088988839716</v>
          </cell>
          <cell r="AI83">
            <v>12292.544496993311</v>
          </cell>
          <cell r="AJ83">
            <v>12969.606844077281</v>
          </cell>
        </row>
        <row r="84">
          <cell r="I84" t="str">
            <v>y/y Growth - %</v>
          </cell>
          <cell r="M84" t="str">
            <v>NA</v>
          </cell>
          <cell r="N84">
            <v>2.3915502328675982</v>
          </cell>
          <cell r="O84">
            <v>3.0239823442864147</v>
          </cell>
          <cell r="P84">
            <v>1.042521542005387</v>
          </cell>
          <cell r="Q84">
            <v>1.2042096381667182</v>
          </cell>
          <cell r="R84">
            <v>1.1727029947301184</v>
          </cell>
          <cell r="S84">
            <v>0.685015887617759</v>
          </cell>
          <cell r="T84">
            <v>0.3443291763086469</v>
          </cell>
          <cell r="U84">
            <v>0.18923298369563302</v>
          </cell>
          <cell r="V84">
            <v>9.8633153615246716E-2</v>
          </cell>
          <cell r="W84">
            <v>7.9497770925810229E-2</v>
          </cell>
          <cell r="X84">
            <v>6.4795086468893093E-2</v>
          </cell>
          <cell r="Y84">
            <v>5.4818525730364165E-2</v>
          </cell>
          <cell r="Z84">
            <v>5.4842195268280269E-2</v>
          </cell>
          <cell r="AA84">
            <v>5.4865871888137407E-2</v>
          </cell>
          <cell r="AB84">
            <v>5.4889554529045093E-2</v>
          </cell>
          <cell r="AC84">
            <v>5.4913242129031703E-2</v>
          </cell>
          <cell r="AD84">
            <v>5.4936933625236106E-2</v>
          </cell>
          <cell r="AE84">
            <v>5.4960627954096619E-2</v>
          </cell>
          <cell r="AF84">
            <v>5.4984324051542854E-2</v>
          </cell>
          <cell r="AG84">
            <v>5.5008020853187123E-2</v>
          </cell>
          <cell r="AH84">
            <v>5.5031717294514282E-2</v>
          </cell>
          <cell r="AI84">
            <v>5.5055412311074914E-2</v>
          </cell>
          <cell r="AJ84">
            <v>5.5079104838674953E-2</v>
          </cell>
        </row>
        <row r="86">
          <cell r="I86" t="str">
            <v>Latin America &amp; RoW</v>
          </cell>
        </row>
        <row r="87">
          <cell r="I87" t="str">
            <v>Agency (Booking.com)</v>
          </cell>
          <cell r="M87">
            <v>8</v>
          </cell>
          <cell r="N87">
            <v>27.799999999999997</v>
          </cell>
          <cell r="O87">
            <v>88.38</v>
          </cell>
          <cell r="P87">
            <v>252.876</v>
          </cell>
          <cell r="Q87">
            <v>706.34999999999991</v>
          </cell>
          <cell r="R87">
            <v>1572.714980607926</v>
          </cell>
          <cell r="S87">
            <v>2655.8052752746225</v>
          </cell>
          <cell r="T87">
            <v>3718.1273853844714</v>
          </cell>
          <cell r="U87">
            <v>4536.1154101690554</v>
          </cell>
          <cell r="V87">
            <v>5216.5327216944133</v>
          </cell>
          <cell r="W87">
            <v>5738.1859938638554</v>
          </cell>
          <cell r="X87">
            <v>6197.2408733729644</v>
          </cell>
          <cell r="Y87">
            <v>6631.0477345090721</v>
          </cell>
          <cell r="Z87">
            <v>7095.2210759247073</v>
          </cell>
          <cell r="AA87">
            <v>7591.8865512394368</v>
          </cell>
          <cell r="AB87">
            <v>8123.3186098261976</v>
          </cell>
          <cell r="AC87">
            <v>8691.9509125140321</v>
          </cell>
          <cell r="AD87">
            <v>9300.3874763900149</v>
          </cell>
          <cell r="AE87">
            <v>9951.4145997373162</v>
          </cell>
          <cell r="AF87">
            <v>10648.013621718928</v>
          </cell>
          <cell r="AG87">
            <v>11393.374575239253</v>
          </cell>
          <cell r="AH87">
            <v>12190.910795506003</v>
          </cell>
          <cell r="AI87">
            <v>13044.274551191424</v>
          </cell>
          <cell r="AJ87">
            <v>13957.373769774824</v>
          </cell>
        </row>
        <row r="88">
          <cell r="I88" t="str">
            <v>Base y/y Growth - %</v>
          </cell>
          <cell r="M88" t="str">
            <v>NA</v>
          </cell>
          <cell r="N88">
            <v>2.4749999999999996</v>
          </cell>
          <cell r="O88">
            <v>2.1791366906474821</v>
          </cell>
          <cell r="P88">
            <v>1.861235573659199</v>
          </cell>
          <cell r="Q88">
            <v>1.7932662648887199</v>
          </cell>
          <cell r="R88">
            <v>1.2265378078968303</v>
          </cell>
          <cell r="S88">
            <v>0.68867551210584432</v>
          </cell>
          <cell r="T88">
            <v>0.4</v>
          </cell>
          <cell r="U88">
            <v>0.22</v>
          </cell>
          <cell r="V88">
            <v>0.15</v>
          </cell>
          <cell r="W88">
            <v>0.1</v>
          </cell>
          <cell r="X88">
            <v>0.08</v>
          </cell>
          <cell r="Y88">
            <v>7.0000000000000007E-2</v>
          </cell>
          <cell r="Z88">
            <v>7.0000000000000007E-2</v>
          </cell>
          <cell r="AA88">
            <v>7.0000000000000007E-2</v>
          </cell>
          <cell r="AB88">
            <v>7.0000000000000007E-2</v>
          </cell>
          <cell r="AC88">
            <v>7.0000000000000007E-2</v>
          </cell>
          <cell r="AD88">
            <v>7.0000000000000007E-2</v>
          </cell>
          <cell r="AE88">
            <v>7.0000000000000007E-2</v>
          </cell>
          <cell r="AF88">
            <v>7.0000000000000007E-2</v>
          </cell>
          <cell r="AG88">
            <v>7.0000000000000007E-2</v>
          </cell>
          <cell r="AH88">
            <v>7.0000000000000007E-2</v>
          </cell>
          <cell r="AI88">
            <v>7.0000000000000007E-2</v>
          </cell>
          <cell r="AJ88">
            <v>7.0000000000000007E-2</v>
          </cell>
        </row>
        <row r="89">
          <cell r="I89" t="str">
            <v>(+/-) FX y/y Growth - %</v>
          </cell>
          <cell r="M89" t="str">
            <v>NA</v>
          </cell>
          <cell r="N89">
            <v>-6.0449704343933819E-2</v>
          </cell>
          <cell r="O89">
            <v>-2.874392129249766E-2</v>
          </cell>
          <cell r="P89">
            <v>5.2572811374055152E-2</v>
          </cell>
          <cell r="Q89">
            <v>-7.53447681905004E-2</v>
          </cell>
          <cell r="R89">
            <v>-3.3153251964805897E-2</v>
          </cell>
          <cell r="S89">
            <v>3.7404935937569814E-2</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row>
        <row r="90">
          <cell r="I90" t="str">
            <v>Organic y/y Growth - %</v>
          </cell>
          <cell r="M90" t="str">
            <v>NA</v>
          </cell>
          <cell r="N90">
            <v>2.414550295656066</v>
          </cell>
          <cell r="O90">
            <v>2.1503927693549842</v>
          </cell>
          <cell r="P90">
            <v>1.9138083850332541</v>
          </cell>
          <cell r="Q90">
            <v>1.7179214966982195</v>
          </cell>
          <cell r="R90">
            <v>1.1933845559320244</v>
          </cell>
          <cell r="S90">
            <v>0.7260804480434141</v>
          </cell>
          <cell r="T90">
            <v>0.4</v>
          </cell>
          <cell r="U90">
            <v>0.22</v>
          </cell>
          <cell r="V90">
            <v>0.15</v>
          </cell>
          <cell r="W90">
            <v>0.1</v>
          </cell>
          <cell r="X90">
            <v>0.08</v>
          </cell>
          <cell r="Y90">
            <v>7.0000000000000007E-2</v>
          </cell>
          <cell r="Z90">
            <v>7.0000000000000007E-2</v>
          </cell>
          <cell r="AA90">
            <v>7.0000000000000007E-2</v>
          </cell>
          <cell r="AB90">
            <v>7.0000000000000007E-2</v>
          </cell>
          <cell r="AC90">
            <v>7.0000000000000007E-2</v>
          </cell>
          <cell r="AD90">
            <v>7.0000000000000007E-2</v>
          </cell>
          <cell r="AE90">
            <v>7.0000000000000007E-2</v>
          </cell>
          <cell r="AF90">
            <v>7.0000000000000007E-2</v>
          </cell>
          <cell r="AG90">
            <v>7.0000000000000007E-2</v>
          </cell>
          <cell r="AH90">
            <v>7.0000000000000007E-2</v>
          </cell>
          <cell r="AI90">
            <v>7.0000000000000007E-2</v>
          </cell>
          <cell r="AJ90">
            <v>7.0000000000000007E-2</v>
          </cell>
        </row>
        <row r="91">
          <cell r="I91" t="str">
            <v>Bull y/y Growth - %</v>
          </cell>
          <cell r="M91" t="str">
            <v>NA</v>
          </cell>
          <cell r="N91">
            <v>2.4749999999999996</v>
          </cell>
          <cell r="O91">
            <v>2.1791366906474821</v>
          </cell>
          <cell r="P91">
            <v>1.861235573659199</v>
          </cell>
          <cell r="Q91">
            <v>1.7932662648887199</v>
          </cell>
          <cell r="R91">
            <v>1.2359516961958326</v>
          </cell>
          <cell r="S91">
            <v>0.73867551210584415</v>
          </cell>
          <cell r="T91">
            <v>0.45</v>
          </cell>
          <cell r="U91">
            <v>0.27</v>
          </cell>
          <cell r="V91">
            <v>0.2</v>
          </cell>
          <cell r="W91">
            <v>0.15000000000000002</v>
          </cell>
          <cell r="X91">
            <v>0.13</v>
          </cell>
          <cell r="Y91">
            <v>0.12000000000000001</v>
          </cell>
          <cell r="Z91">
            <v>0.12000000000000001</v>
          </cell>
          <cell r="AA91">
            <v>0.12000000000000001</v>
          </cell>
          <cell r="AB91">
            <v>0.12000000000000001</v>
          </cell>
          <cell r="AC91">
            <v>0.12000000000000001</v>
          </cell>
          <cell r="AD91">
            <v>0.12000000000000001</v>
          </cell>
          <cell r="AE91">
            <v>0.12000000000000001</v>
          </cell>
          <cell r="AF91">
            <v>0.12000000000000001</v>
          </cell>
          <cell r="AG91">
            <v>0.12000000000000001</v>
          </cell>
          <cell r="AH91">
            <v>0.12000000000000001</v>
          </cell>
          <cell r="AI91">
            <v>0.12000000000000001</v>
          </cell>
          <cell r="AJ91">
            <v>0.12000000000000001</v>
          </cell>
        </row>
        <row r="92">
          <cell r="I92" t="str">
            <v>Bear y/y Growth - %</v>
          </cell>
          <cell r="M92" t="str">
            <v>NA</v>
          </cell>
          <cell r="N92">
            <v>2.4749999999999996</v>
          </cell>
          <cell r="O92">
            <v>2.1791366906474821</v>
          </cell>
          <cell r="P92">
            <v>1.861235573659199</v>
          </cell>
          <cell r="Q92">
            <v>1.7932662648887199</v>
          </cell>
          <cell r="R92">
            <v>1.2077100312988267</v>
          </cell>
          <cell r="S92">
            <v>0.58867551210584446</v>
          </cell>
          <cell r="T92">
            <v>0.30000000000000004</v>
          </cell>
          <cell r="U92">
            <v>0.12</v>
          </cell>
          <cell r="V92">
            <v>4.9999999999999989E-2</v>
          </cell>
          <cell r="W92">
            <v>0.04</v>
          </cell>
          <cell r="X92">
            <v>0.04</v>
          </cell>
          <cell r="Y92">
            <v>0.04</v>
          </cell>
          <cell r="Z92">
            <v>0.04</v>
          </cell>
          <cell r="AA92">
            <v>0.04</v>
          </cell>
          <cell r="AB92">
            <v>0.04</v>
          </cell>
          <cell r="AC92">
            <v>0.04</v>
          </cell>
          <cell r="AD92">
            <v>0.04</v>
          </cell>
          <cell r="AE92">
            <v>0.04</v>
          </cell>
          <cell r="AF92">
            <v>0.04</v>
          </cell>
          <cell r="AG92">
            <v>0.04</v>
          </cell>
          <cell r="AH92">
            <v>0.04</v>
          </cell>
          <cell r="AI92">
            <v>0.04</v>
          </cell>
          <cell r="AJ92">
            <v>0.04</v>
          </cell>
        </row>
        <row r="94">
          <cell r="I94" t="str">
            <v>Agency Check</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row>
        <row r="95">
          <cell r="I95" t="str">
            <v>Merchant Check</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row>
        <row r="96">
          <cell r="I96" t="str">
            <v>Geography US Check</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row>
        <row r="97">
          <cell r="I97" t="str">
            <v>Geography International Check</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row>
        <row r="99">
          <cell r="I99" t="str">
            <v>Revenue Scenarios</v>
          </cell>
        </row>
        <row r="100">
          <cell r="I100" t="str">
            <v>Revenue by brand</v>
          </cell>
        </row>
        <row r="101">
          <cell r="I101" t="str">
            <v>US</v>
          </cell>
        </row>
        <row r="102">
          <cell r="I102" t="str">
            <v>Agency (Priceline.com)</v>
          </cell>
          <cell r="M102">
            <v>31.20000000000001</v>
          </cell>
          <cell r="N102">
            <v>28.15799999999993</v>
          </cell>
          <cell r="O102">
            <v>50.358000000000047</v>
          </cell>
          <cell r="P102">
            <v>60.485359999999993</v>
          </cell>
          <cell r="Q102">
            <v>66.958779999999948</v>
          </cell>
          <cell r="R102">
            <v>71.947912300000283</v>
          </cell>
          <cell r="S102">
            <v>80.888439218000002</v>
          </cell>
          <cell r="T102">
            <v>91.25663749440001</v>
          </cell>
          <cell r="U102">
            <v>98.55716849395202</v>
          </cell>
          <cell r="V102">
            <v>100.03552602136132</v>
          </cell>
          <cell r="W102">
            <v>104.53712469232256</v>
          </cell>
          <cell r="X102">
            <v>109.24129530347707</v>
          </cell>
          <cell r="Y102">
            <v>114.15715359213354</v>
          </cell>
          <cell r="Z102">
            <v>119.29422550377954</v>
          </cell>
          <cell r="AA102">
            <v>124.66246565144961</v>
          </cell>
          <cell r="AB102">
            <v>130.27227660576483</v>
          </cell>
          <cell r="AC102">
            <v>136.13452905302424</v>
          </cell>
          <cell r="AD102">
            <v>142.2605828604103</v>
          </cell>
          <cell r="AE102">
            <v>148.66230908912874</v>
          </cell>
          <cell r="AF102">
            <v>155.35211299813952</v>
          </cell>
          <cell r="AG102">
            <v>162.34295808305581</v>
          </cell>
          <cell r="AH102">
            <v>169.64839119679328</v>
          </cell>
          <cell r="AI102">
            <v>177.28256880064896</v>
          </cell>
          <cell r="AJ102">
            <v>185.26028439667817</v>
          </cell>
        </row>
        <row r="103">
          <cell r="I103" t="str">
            <v>y/y Growth - %</v>
          </cell>
          <cell r="M103" t="str">
            <v>NA</v>
          </cell>
          <cell r="N103">
            <v>-9.7500000000002474E-2</v>
          </cell>
          <cell r="O103">
            <v>0.78840826763265048</v>
          </cell>
          <cell r="P103">
            <v>0.20110727193295874</v>
          </cell>
          <cell r="Q103">
            <v>0.10702457586430758</v>
          </cell>
          <cell r="R103">
            <v>7.4510501834118559E-2</v>
          </cell>
          <cell r="S103">
            <v>0.12426388246986964</v>
          </cell>
          <cell r="T103">
            <v>0.12817898795719107</v>
          </cell>
          <cell r="U103">
            <v>8.0000000000000071E-2</v>
          </cell>
          <cell r="V103">
            <v>1.5000000000000124E-2</v>
          </cell>
          <cell r="W103">
            <v>4.4999999999999929E-2</v>
          </cell>
          <cell r="X103">
            <v>4.4999999999999929E-2</v>
          </cell>
          <cell r="Y103">
            <v>4.4999999999999929E-2</v>
          </cell>
          <cell r="Z103">
            <v>4.4999999999999929E-2</v>
          </cell>
          <cell r="AA103">
            <v>4.4999999999999929E-2</v>
          </cell>
          <cell r="AB103">
            <v>4.4999999999999929E-2</v>
          </cell>
          <cell r="AC103">
            <v>4.4999999999999929E-2</v>
          </cell>
          <cell r="AD103">
            <v>4.4999999999999707E-2</v>
          </cell>
          <cell r="AE103">
            <v>4.4999999999999929E-2</v>
          </cell>
          <cell r="AF103">
            <v>4.4999999999999929E-2</v>
          </cell>
          <cell r="AG103">
            <v>4.5000000000000151E-2</v>
          </cell>
          <cell r="AH103">
            <v>4.4999999999999707E-2</v>
          </cell>
          <cell r="AI103">
            <v>4.4999999999999929E-2</v>
          </cell>
          <cell r="AJ103">
            <v>4.5000000000000151E-2</v>
          </cell>
        </row>
        <row r="104">
          <cell r="I104" t="str">
            <v>Revenue margin</v>
          </cell>
          <cell r="M104">
            <v>3.7396306155887495E-2</v>
          </cell>
          <cell r="N104">
            <v>3.0491713808009767E-2</v>
          </cell>
          <cell r="O104">
            <v>3.2721545225232754E-2</v>
          </cell>
          <cell r="P104">
            <v>3.412640093162235E-2</v>
          </cell>
          <cell r="Q104">
            <v>3.3010622653015818E-2</v>
          </cell>
          <cell r="R104">
            <v>3.081190914201537E-2</v>
          </cell>
          <cell r="S104">
            <v>2.9782508235541572E-2</v>
          </cell>
          <cell r="T104">
            <v>0.03</v>
          </cell>
          <cell r="U104">
            <v>0.03</v>
          </cell>
          <cell r="V104">
            <v>2.9000000000000001E-2</v>
          </cell>
          <cell r="W104">
            <v>2.9000000000000001E-2</v>
          </cell>
          <cell r="X104">
            <v>2.9000000000000001E-2</v>
          </cell>
          <cell r="Y104">
            <v>2.9000000000000001E-2</v>
          </cell>
          <cell r="Z104">
            <v>2.9000000000000001E-2</v>
          </cell>
          <cell r="AA104">
            <v>2.9000000000000001E-2</v>
          </cell>
          <cell r="AB104">
            <v>2.9000000000000001E-2</v>
          </cell>
          <cell r="AC104">
            <v>2.9000000000000001E-2</v>
          </cell>
          <cell r="AD104">
            <v>2.9000000000000001E-2</v>
          </cell>
          <cell r="AE104">
            <v>2.9000000000000001E-2</v>
          </cell>
          <cell r="AF104">
            <v>2.9000000000000001E-2</v>
          </cell>
          <cell r="AG104">
            <v>2.9000000000000001E-2</v>
          </cell>
          <cell r="AH104">
            <v>2.9000000000000001E-2</v>
          </cell>
          <cell r="AI104">
            <v>2.9000000000000001E-2</v>
          </cell>
          <cell r="AJ104">
            <v>2.9000000000000001E-2</v>
          </cell>
        </row>
        <row r="105">
          <cell r="I105" t="str">
            <v>Merchant (NYOP &amp; Priceline.com)</v>
          </cell>
          <cell r="M105">
            <v>904.16899999999998</v>
          </cell>
          <cell r="N105">
            <v>981.82099999999991</v>
          </cell>
          <cell r="O105">
            <v>1196.796</v>
          </cell>
          <cell r="P105">
            <v>1403.4856399999999</v>
          </cell>
          <cell r="Q105">
            <v>1560.9842200000001</v>
          </cell>
          <cell r="R105">
            <v>1710.7175602000002</v>
          </cell>
          <cell r="S105">
            <v>1865.7281187380004</v>
          </cell>
          <cell r="T105">
            <v>2005.6577276433504</v>
          </cell>
          <cell r="U105">
            <v>2146.0537685783852</v>
          </cell>
          <cell r="V105">
            <v>2264.0867258501962</v>
          </cell>
          <cell r="W105">
            <v>2377.2910621427063</v>
          </cell>
          <cell r="X105">
            <v>2472.3827046284146</v>
          </cell>
          <cell r="Y105">
            <v>2571.278012813551</v>
          </cell>
          <cell r="Z105">
            <v>2674.1291333260929</v>
          </cell>
          <cell r="AA105">
            <v>2781.0942986591367</v>
          </cell>
          <cell r="AB105">
            <v>2892.3380706055023</v>
          </cell>
          <cell r="AC105">
            <v>3008.0315934297228</v>
          </cell>
          <cell r="AD105">
            <v>3128.3528571669117</v>
          </cell>
          <cell r="AE105">
            <v>3253.486971453588</v>
          </cell>
          <cell r="AF105">
            <v>3383.6264503117313</v>
          </cell>
          <cell r="AG105">
            <v>3518.9715083242013</v>
          </cell>
          <cell r="AH105">
            <v>3659.730368657169</v>
          </cell>
          <cell r="AI105">
            <v>3806.1195834034561</v>
          </cell>
          <cell r="AJ105">
            <v>3958.3643667395945</v>
          </cell>
        </row>
        <row r="106">
          <cell r="I106" t="str">
            <v>y/y Growth - %</v>
          </cell>
          <cell r="M106" t="str">
            <v>NA</v>
          </cell>
          <cell r="N106">
            <v>8.5882174681945367E-2</v>
          </cell>
          <cell r="O106">
            <v>0.21895539003545461</v>
          </cell>
          <cell r="P106">
            <v>0.17270248229439256</v>
          </cell>
          <cell r="Q106">
            <v>0.11221958779713637</v>
          </cell>
          <cell r="R106">
            <v>9.5922391963706222E-2</v>
          </cell>
          <cell r="S106">
            <v>9.0611426540730511E-2</v>
          </cell>
          <cell r="T106">
            <v>7.4999999999999956E-2</v>
          </cell>
          <cell r="U106">
            <v>7.0000000000000062E-2</v>
          </cell>
          <cell r="V106">
            <v>5.4999999999999938E-2</v>
          </cell>
          <cell r="W106">
            <v>5.0000000000000044E-2</v>
          </cell>
          <cell r="X106">
            <v>4.0000000000000036E-2</v>
          </cell>
          <cell r="Y106">
            <v>4.0000000000000036E-2</v>
          </cell>
          <cell r="Z106">
            <v>4.0000000000000036E-2</v>
          </cell>
          <cell r="AA106">
            <v>4.0000000000000036E-2</v>
          </cell>
          <cell r="AB106">
            <v>4.0000000000000036E-2</v>
          </cell>
          <cell r="AC106">
            <v>4.0000000000000036E-2</v>
          </cell>
          <cell r="AD106">
            <v>4.0000000000000036E-2</v>
          </cell>
          <cell r="AE106">
            <v>4.0000000000000036E-2</v>
          </cell>
          <cell r="AF106">
            <v>4.0000000000000036E-2</v>
          </cell>
          <cell r="AG106">
            <v>4.0000000000000258E-2</v>
          </cell>
          <cell r="AH106">
            <v>3.9999999999999813E-2</v>
          </cell>
          <cell r="AI106">
            <v>4.0000000000000036E-2</v>
          </cell>
          <cell r="AJ106">
            <v>4.0000000000000036E-2</v>
          </cell>
        </row>
        <row r="107">
          <cell r="I107" t="str">
            <v>Revenue margin</v>
          </cell>
          <cell r="M107">
            <v>0.79418752849186158</v>
          </cell>
          <cell r="N107">
            <v>0.79763768460920392</v>
          </cell>
          <cell r="O107">
            <v>0.77572682501882939</v>
          </cell>
          <cell r="P107">
            <v>0.74905700576942569</v>
          </cell>
          <cell r="Q107">
            <v>0.72995239596085804</v>
          </cell>
          <cell r="R107">
            <v>0.71617719122768786</v>
          </cell>
          <cell r="S107">
            <v>0.719568545788974</v>
          </cell>
          <cell r="T107">
            <v>0.719568545788974</v>
          </cell>
          <cell r="U107">
            <v>0.719568545788974</v>
          </cell>
          <cell r="V107">
            <v>0.719568545788974</v>
          </cell>
          <cell r="W107">
            <v>0.719568545788974</v>
          </cell>
          <cell r="X107">
            <v>0.719568545788974</v>
          </cell>
          <cell r="Y107">
            <v>0.719568545788974</v>
          </cell>
          <cell r="Z107">
            <v>0.719568545788974</v>
          </cell>
          <cell r="AA107">
            <v>0.719568545788974</v>
          </cell>
          <cell r="AB107">
            <v>0.719568545788974</v>
          </cell>
          <cell r="AC107">
            <v>0.719568545788974</v>
          </cell>
          <cell r="AD107">
            <v>0.719568545788974</v>
          </cell>
          <cell r="AE107">
            <v>0.719568545788974</v>
          </cell>
          <cell r="AF107">
            <v>0.719568545788974</v>
          </cell>
          <cell r="AG107">
            <v>0.719568545788974</v>
          </cell>
          <cell r="AH107">
            <v>0.719568545788974</v>
          </cell>
          <cell r="AI107">
            <v>0.719568545788974</v>
          </cell>
          <cell r="AJ107">
            <v>0.719568545788974</v>
          </cell>
        </row>
        <row r="108">
          <cell r="I108" t="str">
            <v>Other</v>
          </cell>
          <cell r="M108">
            <v>5.0340000000000007</v>
          </cell>
          <cell r="N108">
            <v>8.3389999999999986</v>
          </cell>
          <cell r="O108">
            <v>17.852</v>
          </cell>
          <cell r="P108">
            <v>22.241000000000003</v>
          </cell>
          <cell r="Q108">
            <v>12.663</v>
          </cell>
          <cell r="R108">
            <v>12.315999999999999</v>
          </cell>
          <cell r="S108">
            <v>12.315999999999999</v>
          </cell>
          <cell r="T108">
            <v>12.315999999999999</v>
          </cell>
          <cell r="U108">
            <v>12.315999999999999</v>
          </cell>
          <cell r="V108">
            <v>12.315999999999999</v>
          </cell>
          <cell r="W108">
            <v>12.315999999999999</v>
          </cell>
          <cell r="X108">
            <v>12.315999999999999</v>
          </cell>
          <cell r="Y108">
            <v>12.315999999999999</v>
          </cell>
          <cell r="Z108">
            <v>12.315999999999999</v>
          </cell>
          <cell r="AA108">
            <v>12.315999999999999</v>
          </cell>
          <cell r="AB108">
            <v>12.315999999999999</v>
          </cell>
          <cell r="AC108">
            <v>12.315999999999999</v>
          </cell>
          <cell r="AD108">
            <v>12.315999999999999</v>
          </cell>
          <cell r="AE108">
            <v>12.315999999999999</v>
          </cell>
          <cell r="AF108">
            <v>12.315999999999999</v>
          </cell>
          <cell r="AG108">
            <v>12.315999999999999</v>
          </cell>
          <cell r="AH108">
            <v>12.315999999999999</v>
          </cell>
          <cell r="AI108">
            <v>12.315999999999999</v>
          </cell>
          <cell r="AJ108">
            <v>12.315999999999999</v>
          </cell>
        </row>
        <row r="109">
          <cell r="I109" t="str">
            <v>y/y Growth - %</v>
          </cell>
          <cell r="M109" t="str">
            <v>NA</v>
          </cell>
          <cell r="N109">
            <v>0.65653555820421095</v>
          </cell>
          <cell r="O109">
            <v>1.1407842666986454</v>
          </cell>
          <cell r="P109">
            <v>0.24585480618418121</v>
          </cell>
          <cell r="Q109">
            <v>-0.43064610404208448</v>
          </cell>
          <cell r="R109">
            <v>-2.7402669193714035E-2</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row>
        <row r="110">
          <cell r="I110" t="str">
            <v>Total US</v>
          </cell>
          <cell r="M110">
            <v>940.40300000000002</v>
          </cell>
          <cell r="N110">
            <v>1018.3179999999998</v>
          </cell>
          <cell r="O110">
            <v>1265.0060000000001</v>
          </cell>
          <cell r="P110">
            <v>1486.2119999999998</v>
          </cell>
          <cell r="Q110">
            <v>1640.606</v>
          </cell>
          <cell r="R110">
            <v>1794.9814725000006</v>
          </cell>
          <cell r="S110">
            <v>1958.9325579560004</v>
          </cell>
          <cell r="T110">
            <v>2109.2303651377501</v>
          </cell>
          <cell r="U110">
            <v>2256.9269370723368</v>
          </cell>
          <cell r="V110">
            <v>2376.4382518715574</v>
          </cell>
          <cell r="W110">
            <v>2494.1441868350289</v>
          </cell>
          <cell r="X110">
            <v>2593.9399999318916</v>
          </cell>
          <cell r="Y110">
            <v>2697.7511664056842</v>
          </cell>
          <cell r="Z110">
            <v>2805.7393588298723</v>
          </cell>
          <cell r="AA110">
            <v>2918.0727643105861</v>
          </cell>
          <cell r="AB110">
            <v>3034.9263472112671</v>
          </cell>
          <cell r="AC110">
            <v>3156.4821224827469</v>
          </cell>
          <cell r="AD110">
            <v>3282.929440027322</v>
          </cell>
          <cell r="AE110">
            <v>3414.4652805427168</v>
          </cell>
          <cell r="AF110">
            <v>3551.2945633098707</v>
          </cell>
          <cell r="AG110">
            <v>3693.6304664072568</v>
          </cell>
          <cell r="AH110">
            <v>3841.6947598539623</v>
          </cell>
          <cell r="AI110">
            <v>3995.7181522041046</v>
          </cell>
          <cell r="AJ110">
            <v>4155.9406511362722</v>
          </cell>
        </row>
        <row r="111">
          <cell r="I111" t="str">
            <v>y/y Growth - %</v>
          </cell>
          <cell r="M111" t="str">
            <v>NA</v>
          </cell>
          <cell r="N111">
            <v>8.2852776947755169E-2</v>
          </cell>
          <cell r="O111">
            <v>0.24225045614434815</v>
          </cell>
          <cell r="P111">
            <v>0.17486557376012413</v>
          </cell>
          <cell r="Q111">
            <v>0.10388423724206253</v>
          </cell>
          <cell r="R111">
            <v>9.4096615823665575E-2</v>
          </cell>
          <cell r="S111">
            <v>9.1338594836666065E-2</v>
          </cell>
          <cell r="T111">
            <v>7.6724339779504325E-2</v>
          </cell>
          <cell r="U111">
            <v>7.0023916958421362E-2</v>
          </cell>
          <cell r="V111">
            <v>5.2953116397400635E-2</v>
          </cell>
          <cell r="W111">
            <v>4.9530399062871711E-2</v>
          </cell>
          <cell r="X111">
            <v>4.0012046466126661E-2</v>
          </cell>
          <cell r="Y111">
            <v>4.002065062280491E-2</v>
          </cell>
          <cell r="Z111">
            <v>4.0028967003678417E-2</v>
          </cell>
          <cell r="AA111">
            <v>4.0037006690301524E-2</v>
          </cell>
          <cell r="AB111">
            <v>4.0044780352928688E-2</v>
          </cell>
          <cell r="AC111">
            <v>4.0052298265219832E-2</v>
          </cell>
          <cell r="AD111">
            <v>4.0059570318464965E-2</v>
          </cell>
          <cell r="AE111">
            <v>4.0066606035340291E-2</v>
          </cell>
          <cell r="AF111">
            <v>4.0073414583206901E-2</v>
          </cell>
          <cell r="AG111">
            <v>4.008000478696605E-2</v>
          </cell>
          <cell r="AH111">
            <v>4.0086385141479886E-2</v>
          </cell>
          <cell r="AI111">
            <v>4.0092563823576066E-2</v>
          </cell>
          <cell r="AJ111">
            <v>4.009854870363827E-2</v>
          </cell>
        </row>
        <row r="113">
          <cell r="I113" t="str">
            <v>Europe</v>
          </cell>
        </row>
        <row r="114">
          <cell r="I114" t="str">
            <v>Agency (Booking.com &amp; Other)</v>
          </cell>
          <cell r="M114">
            <v>179.24549999999999</v>
          </cell>
          <cell r="N114">
            <v>360.28174999999999</v>
          </cell>
          <cell r="O114">
            <v>572.21362499999998</v>
          </cell>
          <cell r="P114">
            <v>743.87497125000004</v>
          </cell>
          <cell r="Q114">
            <v>1150.3426637500002</v>
          </cell>
          <cell r="R114">
            <v>1876.8907024289108</v>
          </cell>
          <cell r="S114">
            <v>2349.591381183297</v>
          </cell>
          <cell r="T114">
            <v>2798.2466371560422</v>
          </cell>
          <cell r="U114">
            <v>3134.0362336147673</v>
          </cell>
          <cell r="V114">
            <v>3400.4293134720224</v>
          </cell>
          <cell r="W114">
            <v>3638.4593654150644</v>
          </cell>
          <cell r="X114">
            <v>3856.7669273399683</v>
          </cell>
          <cell r="Y114">
            <v>4039.9633563886173</v>
          </cell>
          <cell r="Z114">
            <v>4221.7617074261052</v>
          </cell>
          <cell r="AA114">
            <v>4411.7409842602792</v>
          </cell>
          <cell r="AB114">
            <v>4610.2693285519908</v>
          </cell>
          <cell r="AC114">
            <v>4817.7314483368309</v>
          </cell>
          <cell r="AD114">
            <v>5034.5293635119879</v>
          </cell>
          <cell r="AE114">
            <v>5261.0831848700273</v>
          </cell>
          <cell r="AF114">
            <v>5497.8319281891781</v>
          </cell>
          <cell r="AG114">
            <v>5745.2343649576915</v>
          </cell>
          <cell r="AH114">
            <v>6003.7699113807867</v>
          </cell>
          <cell r="AI114">
            <v>6273.9395573929214</v>
          </cell>
          <cell r="AJ114">
            <v>6556.2668374756022</v>
          </cell>
        </row>
        <row r="115">
          <cell r="I115" t="str">
            <v>y/y Growth - %</v>
          </cell>
          <cell r="M115" t="str">
            <v>NA</v>
          </cell>
          <cell r="N115">
            <v>1.0099904879062516</v>
          </cell>
          <cell r="O115">
            <v>0.58823927384609398</v>
          </cell>
          <cell r="P115">
            <v>0.29999520939404412</v>
          </cell>
          <cell r="Q115">
            <v>0.54641936912728206</v>
          </cell>
          <cell r="R115">
            <v>0.63159270848082594</v>
          </cell>
          <cell r="S115">
            <v>0.25185306642664784</v>
          </cell>
          <cell r="T115">
            <v>0.19095033271138151</v>
          </cell>
          <cell r="U115">
            <v>0.12000000000000011</v>
          </cell>
          <cell r="V115">
            <v>8.4999999999999964E-2</v>
          </cell>
          <cell r="W115">
            <v>7.0000000000000062E-2</v>
          </cell>
          <cell r="X115">
            <v>6.0000000000000053E-2</v>
          </cell>
          <cell r="Y115">
            <v>4.7500000000000098E-2</v>
          </cell>
          <cell r="Z115">
            <v>4.4999999999999929E-2</v>
          </cell>
          <cell r="AA115">
            <v>4.4999999999999929E-2</v>
          </cell>
          <cell r="AB115">
            <v>4.4999999999999707E-2</v>
          </cell>
          <cell r="AC115">
            <v>4.5000000000000151E-2</v>
          </cell>
          <cell r="AD115">
            <v>4.4999999999999929E-2</v>
          </cell>
          <cell r="AE115">
            <v>4.4999999999999929E-2</v>
          </cell>
          <cell r="AF115">
            <v>4.4999999999999929E-2</v>
          </cell>
          <cell r="AG115">
            <v>4.5000000000000151E-2</v>
          </cell>
          <cell r="AH115">
            <v>4.4999999999999929E-2</v>
          </cell>
          <cell r="AI115">
            <v>4.4999999999999929E-2</v>
          </cell>
          <cell r="AJ115">
            <v>4.4999999999999929E-2</v>
          </cell>
        </row>
        <row r="116">
          <cell r="I116" t="str">
            <v>Base revenue margin</v>
          </cell>
          <cell r="M116">
            <v>0.13538905787243874</v>
          </cell>
          <cell r="N116">
            <v>0.13876919776324922</v>
          </cell>
          <cell r="O116">
            <v>0.14217114543560616</v>
          </cell>
          <cell r="P116">
            <v>0.14900873307391807</v>
          </cell>
          <cell r="Q116">
            <v>0.15008792140880009</v>
          </cell>
          <cell r="R116">
            <v>0.14934688478998456</v>
          </cell>
          <cell r="S116">
            <v>0.14731932573591133</v>
          </cell>
          <cell r="T116">
            <v>0.14499999999999999</v>
          </cell>
          <cell r="U116">
            <v>0.14499999999999999</v>
          </cell>
          <cell r="V116">
            <v>0.14499999999999999</v>
          </cell>
          <cell r="W116">
            <v>0.14499999999999999</v>
          </cell>
          <cell r="X116">
            <v>0.14499999999999999</v>
          </cell>
          <cell r="Y116">
            <v>0.14499999999999999</v>
          </cell>
          <cell r="Z116">
            <v>0.14499999999999999</v>
          </cell>
          <cell r="AA116">
            <v>0.14499999999999999</v>
          </cell>
          <cell r="AB116">
            <v>0.14499999999999999</v>
          </cell>
          <cell r="AC116">
            <v>0.14499999999999999</v>
          </cell>
          <cell r="AD116">
            <v>0.14499999999999999</v>
          </cell>
          <cell r="AE116">
            <v>0.14499999999999999</v>
          </cell>
          <cell r="AF116">
            <v>0.14499999999999999</v>
          </cell>
          <cell r="AG116">
            <v>0.14499999999999999</v>
          </cell>
          <cell r="AH116">
            <v>0.14499999999999999</v>
          </cell>
          <cell r="AI116">
            <v>0.14499999999999999</v>
          </cell>
          <cell r="AJ116">
            <v>0.14499999999999999</v>
          </cell>
        </row>
        <row r="117">
          <cell r="I117" t="str">
            <v>Merchant (TravelJigsaw)</v>
          </cell>
          <cell r="M117">
            <v>0</v>
          </cell>
          <cell r="N117">
            <v>0</v>
          </cell>
          <cell r="O117">
            <v>0</v>
          </cell>
          <cell r="P117">
            <v>0</v>
          </cell>
          <cell r="Q117">
            <v>33.245999999999995</v>
          </cell>
          <cell r="R117">
            <v>87.944959575394833</v>
          </cell>
          <cell r="S117">
            <v>136.60708314611165</v>
          </cell>
          <cell r="T117">
            <v>183.62439129385476</v>
          </cell>
          <cell r="U117">
            <v>219.11135230794801</v>
          </cell>
          <cell r="V117">
            <v>242.63177995682381</v>
          </cell>
          <cell r="W117">
            <v>264.46864015293795</v>
          </cell>
          <cell r="X117">
            <v>282.98144496364364</v>
          </cell>
          <cell r="Y117">
            <v>297.13051721182586</v>
          </cell>
          <cell r="Z117">
            <v>311.98704307241718</v>
          </cell>
          <cell r="AA117">
            <v>327.58639522603806</v>
          </cell>
          <cell r="AB117">
            <v>343.96571498733999</v>
          </cell>
          <cell r="AC117">
            <v>361.16400073670701</v>
          </cell>
          <cell r="AD117">
            <v>379.2222007735424</v>
          </cell>
          <cell r="AE117">
            <v>398.18331081221953</v>
          </cell>
          <cell r="AF117">
            <v>418.09247635283054</v>
          </cell>
          <cell r="AG117">
            <v>438.99710017047215</v>
          </cell>
          <cell r="AH117">
            <v>460.94695517899572</v>
          </cell>
          <cell r="AI117">
            <v>483.99430293794558</v>
          </cell>
          <cell r="AJ117">
            <v>508.19401808484281</v>
          </cell>
        </row>
        <row r="118">
          <cell r="I118" t="str">
            <v>y/y Growth - %</v>
          </cell>
          <cell r="M118" t="str">
            <v>NA</v>
          </cell>
          <cell r="N118" t="str">
            <v>NA</v>
          </cell>
          <cell r="O118" t="str">
            <v>NA</v>
          </cell>
          <cell r="P118" t="str">
            <v>NA</v>
          </cell>
          <cell r="Q118" t="str">
            <v>NA</v>
          </cell>
          <cell r="R118" t="str">
            <v>NM</v>
          </cell>
          <cell r="S118">
            <v>0.55332475909547707</v>
          </cell>
          <cell r="T118">
            <v>0.3441791381890098</v>
          </cell>
          <cell r="U118">
            <v>0.19325842696629203</v>
          </cell>
          <cell r="V118">
            <v>0.10734463276836159</v>
          </cell>
          <cell r="W118">
            <v>9.000000000000008E-2</v>
          </cell>
          <cell r="X118">
            <v>7.0000000000000062E-2</v>
          </cell>
          <cell r="Y118">
            <v>5.0000000000000044E-2</v>
          </cell>
          <cell r="Z118">
            <v>5.0000000000000044E-2</v>
          </cell>
          <cell r="AA118">
            <v>5.0000000000000044E-2</v>
          </cell>
          <cell r="AB118">
            <v>5.0000000000000044E-2</v>
          </cell>
          <cell r="AC118">
            <v>5.0000000000000044E-2</v>
          </cell>
          <cell r="AD118">
            <v>5.0000000000000044E-2</v>
          </cell>
          <cell r="AE118">
            <v>5.0000000000000044E-2</v>
          </cell>
          <cell r="AF118">
            <v>5.0000000000000044E-2</v>
          </cell>
          <cell r="AG118">
            <v>5.0000000000000266E-2</v>
          </cell>
          <cell r="AH118">
            <v>4.9999999999999822E-2</v>
          </cell>
          <cell r="AI118">
            <v>5.0000000000000044E-2</v>
          </cell>
          <cell r="AJ118">
            <v>4.9999999999999822E-2</v>
          </cell>
        </row>
        <row r="119">
          <cell r="I119" t="str">
            <v>Revenue Margin</v>
          </cell>
          <cell r="M119" t="str">
            <v>NA</v>
          </cell>
          <cell r="N119" t="str">
            <v>NA</v>
          </cell>
          <cell r="O119" t="str">
            <v>NA</v>
          </cell>
          <cell r="P119" t="str">
            <v>NA</v>
          </cell>
          <cell r="Q119">
            <v>0.18</v>
          </cell>
          <cell r="R119">
            <v>0.17998334112149458</v>
          </cell>
          <cell r="S119">
            <v>0.17877081497020716</v>
          </cell>
          <cell r="T119">
            <v>0.17799999999999999</v>
          </cell>
          <cell r="U119">
            <v>0.17699999999999999</v>
          </cell>
          <cell r="V119">
            <v>0.17499999999999999</v>
          </cell>
          <cell r="W119">
            <v>0.17499999999999999</v>
          </cell>
          <cell r="X119">
            <v>0.17499999999999999</v>
          </cell>
          <cell r="Y119">
            <v>0.17499999999999999</v>
          </cell>
          <cell r="Z119">
            <v>0.17499999999999999</v>
          </cell>
          <cell r="AA119">
            <v>0.17499999999999999</v>
          </cell>
          <cell r="AB119">
            <v>0.17499999999999999</v>
          </cell>
          <cell r="AC119">
            <v>0.17499999999999999</v>
          </cell>
          <cell r="AD119">
            <v>0.17499999999999999</v>
          </cell>
          <cell r="AE119">
            <v>0.17499999999999999</v>
          </cell>
          <cell r="AF119">
            <v>0.17499999999999999</v>
          </cell>
          <cell r="AG119">
            <v>0.17499999999999999</v>
          </cell>
          <cell r="AH119">
            <v>0.17499999999999999</v>
          </cell>
          <cell r="AI119">
            <v>0.17499999999999999</v>
          </cell>
          <cell r="AJ119">
            <v>0.17499999999999999</v>
          </cell>
        </row>
        <row r="120">
          <cell r="I120" t="str">
            <v>Total Europe</v>
          </cell>
          <cell r="M120">
            <v>179.24549999999999</v>
          </cell>
          <cell r="N120">
            <v>360.28174999999999</v>
          </cell>
          <cell r="O120">
            <v>572.21362499999998</v>
          </cell>
          <cell r="P120">
            <v>743.87497125000004</v>
          </cell>
          <cell r="Q120">
            <v>1183.5886637500003</v>
          </cell>
          <cell r="R120">
            <v>1964.8356620043057</v>
          </cell>
          <cell r="S120">
            <v>2486.1984643294086</v>
          </cell>
          <cell r="T120">
            <v>2981.871028449897</v>
          </cell>
          <cell r="U120">
            <v>3353.1475859227153</v>
          </cell>
          <cell r="V120">
            <v>3643.0610934288461</v>
          </cell>
          <cell r="W120">
            <v>3902.9280055680024</v>
          </cell>
          <cell r="X120">
            <v>4139.7483723036121</v>
          </cell>
          <cell r="Y120">
            <v>4337.0938736004427</v>
          </cell>
          <cell r="Z120">
            <v>4533.748750498522</v>
          </cell>
          <cell r="AA120">
            <v>4739.3273794863171</v>
          </cell>
          <cell r="AB120">
            <v>4954.2350435393309</v>
          </cell>
          <cell r="AC120">
            <v>5178.8954490735377</v>
          </cell>
          <cell r="AD120">
            <v>5413.7515642855305</v>
          </cell>
          <cell r="AE120">
            <v>5659.2664956822464</v>
          </cell>
          <cell r="AF120">
            <v>5915.9244045420091</v>
          </cell>
          <cell r="AG120">
            <v>6184.231465128164</v>
          </cell>
          <cell r="AH120">
            <v>6464.7168665597819</v>
          </cell>
          <cell r="AI120">
            <v>6757.933860330867</v>
          </cell>
          <cell r="AJ120">
            <v>7064.4608555604445</v>
          </cell>
        </row>
        <row r="121">
          <cell r="I121" t="str">
            <v>y/y Growth - %</v>
          </cell>
          <cell r="M121" t="str">
            <v>NA</v>
          </cell>
          <cell r="N121">
            <v>1.0099904879062516</v>
          </cell>
          <cell r="O121">
            <v>0.58823927384609398</v>
          </cell>
          <cell r="P121">
            <v>0.29999520939404412</v>
          </cell>
          <cell r="Q121">
            <v>0.59111236362894393</v>
          </cell>
          <cell r="R121">
            <v>0.66006630697108637</v>
          </cell>
          <cell r="S121">
            <v>0.26534677296790643</v>
          </cell>
          <cell r="T121">
            <v>0.19936966868579575</v>
          </cell>
          <cell r="U121">
            <v>0.12451127293249287</v>
          </cell>
          <cell r="V121">
            <v>8.6460109517175532E-2</v>
          </cell>
          <cell r="W121">
            <v>7.1332021471693041E-2</v>
          </cell>
          <cell r="X121">
            <v>6.067761598414223E-2</v>
          </cell>
          <cell r="Y121">
            <v>4.7670892901883199E-2</v>
          </cell>
          <cell r="Z121">
            <v>4.5342545637552911E-2</v>
          </cell>
          <cell r="AA121">
            <v>4.5344071826915799E-2</v>
          </cell>
          <cell r="AB121">
            <v>4.534560431153567E-2</v>
          </cell>
          <cell r="AC121">
            <v>4.5347143112876687E-2</v>
          </cell>
          <cell r="AD121">
            <v>4.5348688252435432E-2</v>
          </cell>
          <cell r="AE121">
            <v>4.5350239751741794E-2</v>
          </cell>
          <cell r="AF121">
            <v>4.5351797632357638E-2</v>
          </cell>
          <cell r="AG121">
            <v>4.535336191587569E-2</v>
          </cell>
          <cell r="AH121">
            <v>4.5354932623920652E-2</v>
          </cell>
          <cell r="AI121">
            <v>4.5356509778149201E-2</v>
          </cell>
          <cell r="AJ121">
            <v>4.5358093400246657E-2</v>
          </cell>
        </row>
        <row r="123">
          <cell r="I123" t="str">
            <v>Asia</v>
          </cell>
        </row>
        <row r="124">
          <cell r="I124" t="str">
            <v>Agency (Booking.com)</v>
          </cell>
          <cell r="M124">
            <v>2.2544999999999997</v>
          </cell>
          <cell r="N124">
            <v>5.6362499999999995</v>
          </cell>
          <cell r="O124">
            <v>12.963374999999999</v>
          </cell>
          <cell r="P124">
            <v>26.102268749999993</v>
          </cell>
          <cell r="Q124">
            <v>57.348056249999985</v>
          </cell>
          <cell r="R124">
            <v>128.96590377004338</v>
          </cell>
          <cell r="S124">
            <v>223.23237642387363</v>
          </cell>
          <cell r="T124">
            <v>308.44109681166839</v>
          </cell>
          <cell r="U124">
            <v>365.093543164832</v>
          </cell>
          <cell r="V124">
            <v>408.90476834461191</v>
          </cell>
          <cell r="W124">
            <v>445.70619749562701</v>
          </cell>
          <cell r="X124">
            <v>476.90563132032088</v>
          </cell>
          <cell r="Y124">
            <v>505.51996919954018</v>
          </cell>
          <cell r="Z124">
            <v>535.85116735151269</v>
          </cell>
          <cell r="AA124">
            <v>568.00223739260343</v>
          </cell>
          <cell r="AB124">
            <v>602.08237163615968</v>
          </cell>
          <cell r="AC124">
            <v>638.20731393432925</v>
          </cell>
          <cell r="AD124">
            <v>676.49975277038902</v>
          </cell>
          <cell r="AE124">
            <v>717.08973793661232</v>
          </cell>
          <cell r="AF124">
            <v>760.11512221280907</v>
          </cell>
          <cell r="AG124">
            <v>805.7220295455777</v>
          </cell>
          <cell r="AH124">
            <v>854.06535131831242</v>
          </cell>
          <cell r="AI124">
            <v>905.30927239741118</v>
          </cell>
          <cell r="AJ124">
            <v>959.62782874125594</v>
          </cell>
        </row>
        <row r="125">
          <cell r="I125" t="str">
            <v>y/y Growth - %</v>
          </cell>
          <cell r="M125" t="str">
            <v>NA</v>
          </cell>
          <cell r="N125">
            <v>1.5</v>
          </cell>
          <cell r="O125">
            <v>1.3000000000000003</v>
          </cell>
          <cell r="P125">
            <v>1.013539587491683</v>
          </cell>
          <cell r="Q125">
            <v>1.1970525550580731</v>
          </cell>
          <cell r="R125">
            <v>1.2488278104463815</v>
          </cell>
          <cell r="S125">
            <v>0.73094104641731494</v>
          </cell>
          <cell r="T125">
            <v>0.38170413159962258</v>
          </cell>
          <cell r="U125">
            <v>0.18367346938775531</v>
          </cell>
          <cell r="V125">
            <v>0.12000000000000011</v>
          </cell>
          <cell r="W125">
            <v>9.000000000000008E-2</v>
          </cell>
          <cell r="X125">
            <v>7.0000000000000062E-2</v>
          </cell>
          <cell r="Y125">
            <v>6.0000000000000053E-2</v>
          </cell>
          <cell r="Z125">
            <v>6.0000000000000275E-2</v>
          </cell>
          <cell r="AA125">
            <v>6.0000000000000053E-2</v>
          </cell>
          <cell r="AB125">
            <v>6.0000000000000053E-2</v>
          </cell>
          <cell r="AC125">
            <v>6.0000000000000053E-2</v>
          </cell>
          <cell r="AD125">
            <v>6.0000000000000053E-2</v>
          </cell>
          <cell r="AE125">
            <v>5.9999999999999831E-2</v>
          </cell>
          <cell r="AF125">
            <v>6.0000000000000053E-2</v>
          </cell>
          <cell r="AG125">
            <v>6.0000000000000053E-2</v>
          </cell>
          <cell r="AH125">
            <v>6.0000000000000053E-2</v>
          </cell>
          <cell r="AI125">
            <v>6.0000000000000053E-2</v>
          </cell>
          <cell r="AJ125">
            <v>6.0000000000000053E-2</v>
          </cell>
        </row>
        <row r="126">
          <cell r="I126" t="str">
            <v>Revenue Margin</v>
          </cell>
          <cell r="M126">
            <v>0.15</v>
          </cell>
          <cell r="N126">
            <v>0.15</v>
          </cell>
          <cell r="O126">
            <v>0.15</v>
          </cell>
          <cell r="P126" t="str">
            <v>NA</v>
          </cell>
          <cell r="Q126">
            <v>0.14999999999999997</v>
          </cell>
          <cell r="R126">
            <v>0.15000000000000002</v>
          </cell>
          <cell r="S126">
            <v>0.14894650402596812</v>
          </cell>
          <cell r="T126">
            <v>0.14699999999999999</v>
          </cell>
          <cell r="U126">
            <v>0.14499999999999999</v>
          </cell>
          <cell r="V126">
            <v>0.14499999999999999</v>
          </cell>
          <cell r="W126">
            <v>0.14499999999999999</v>
          </cell>
          <cell r="X126">
            <v>0.14499999999999999</v>
          </cell>
          <cell r="Y126">
            <v>0.14499999999999999</v>
          </cell>
          <cell r="Z126">
            <v>0.14499999999999999</v>
          </cell>
          <cell r="AA126">
            <v>0.14499999999999999</v>
          </cell>
          <cell r="AB126">
            <v>0.14499999999999999</v>
          </cell>
          <cell r="AC126">
            <v>0.14499999999999999</v>
          </cell>
          <cell r="AD126">
            <v>0.14499999999999999</v>
          </cell>
          <cell r="AE126">
            <v>0.14499999999999999</v>
          </cell>
          <cell r="AF126">
            <v>0.14499999999999999</v>
          </cell>
          <cell r="AG126">
            <v>0.14499999999999999</v>
          </cell>
          <cell r="AH126">
            <v>0.14499999999999999</v>
          </cell>
          <cell r="AI126">
            <v>0.14499999999999999</v>
          </cell>
          <cell r="AJ126">
            <v>0.14499999999999999</v>
          </cell>
        </row>
        <row r="127">
          <cell r="I127" t="str">
            <v>Merchant (Agoda)</v>
          </cell>
          <cell r="M127">
            <v>0</v>
          </cell>
          <cell r="N127">
            <v>2.4119999999999999</v>
          </cell>
          <cell r="O127">
            <v>21.366</v>
          </cell>
          <cell r="P127">
            <v>44.091360000000002</v>
          </cell>
          <cell r="Q127">
            <v>97.410780000000003</v>
          </cell>
          <cell r="R127">
            <v>206.58719696853626</v>
          </cell>
          <cell r="S127">
            <v>335.94444167496067</v>
          </cell>
          <cell r="T127">
            <v>435.54016208957808</v>
          </cell>
          <cell r="U127">
            <v>511.05010255072631</v>
          </cell>
          <cell r="V127">
            <v>545.6975671304366</v>
          </cell>
          <cell r="W127">
            <v>583.89639682956715</v>
          </cell>
          <cell r="X127">
            <v>618.93018063934119</v>
          </cell>
          <cell r="Y127">
            <v>649.87668967130833</v>
          </cell>
          <cell r="Z127">
            <v>682.37052415487381</v>
          </cell>
          <cell r="AA127">
            <v>716.4890503626176</v>
          </cell>
          <cell r="AB127">
            <v>752.3135028807485</v>
          </cell>
          <cell r="AC127">
            <v>789.92917802478598</v>
          </cell>
          <cell r="AD127">
            <v>829.42563692602528</v>
          </cell>
          <cell r="AE127">
            <v>870.89691877232656</v>
          </cell>
          <cell r="AF127">
            <v>914.44176471094283</v>
          </cell>
          <cell r="AG127">
            <v>960.16385294649001</v>
          </cell>
          <cell r="AH127">
            <v>1008.1720455938145</v>
          </cell>
          <cell r="AI127">
            <v>1058.5806478735053</v>
          </cell>
          <cell r="AJ127">
            <v>1111.5096802671806</v>
          </cell>
        </row>
        <row r="128">
          <cell r="I128" t="str">
            <v>y/y Growth - %</v>
          </cell>
          <cell r="M128" t="str">
            <v>NA</v>
          </cell>
          <cell r="N128" t="str">
            <v>NA</v>
          </cell>
          <cell r="O128">
            <v>7.8582089552238799</v>
          </cell>
          <cell r="P128">
            <v>1.0636225779275486</v>
          </cell>
          <cell r="Q128">
            <v>1.2092940657761519</v>
          </cell>
          <cell r="R128">
            <v>1.120783726077712</v>
          </cell>
          <cell r="S128">
            <v>0.62616293073634099</v>
          </cell>
          <cell r="T128">
            <v>0.29646485567092706</v>
          </cell>
          <cell r="U128">
            <v>0.17337078651685411</v>
          </cell>
          <cell r="V128">
            <v>6.7796610169491567E-2</v>
          </cell>
          <cell r="W128">
            <v>7.0000000000000062E-2</v>
          </cell>
          <cell r="X128">
            <v>6.0000000000000053E-2</v>
          </cell>
          <cell r="Y128">
            <v>5.0000000000000044E-2</v>
          </cell>
          <cell r="Z128">
            <v>5.0000000000000044E-2</v>
          </cell>
          <cell r="AA128">
            <v>5.0000000000000266E-2</v>
          </cell>
          <cell r="AB128">
            <v>5.0000000000000044E-2</v>
          </cell>
          <cell r="AC128">
            <v>5.0000000000000044E-2</v>
          </cell>
          <cell r="AD128">
            <v>5.0000000000000044E-2</v>
          </cell>
          <cell r="AE128">
            <v>5.0000000000000044E-2</v>
          </cell>
          <cell r="AF128">
            <v>5.0000000000000044E-2</v>
          </cell>
          <cell r="AG128">
            <v>5.0000000000000044E-2</v>
          </cell>
          <cell r="AH128">
            <v>5.0000000000000044E-2</v>
          </cell>
          <cell r="AI128">
            <v>5.0000000000000044E-2</v>
          </cell>
          <cell r="AJ128">
            <v>5.0000000000000044E-2</v>
          </cell>
        </row>
        <row r="129">
          <cell r="I129" t="str">
            <v>Revenue Margin</v>
          </cell>
          <cell r="M129" t="str">
            <v>NA</v>
          </cell>
          <cell r="N129" t="str">
            <v>NA</v>
          </cell>
          <cell r="O129" t="str">
            <v>NA</v>
          </cell>
          <cell r="P129" t="str">
            <v>NA</v>
          </cell>
          <cell r="Q129">
            <v>0.18</v>
          </cell>
          <cell r="R129">
            <v>0.18015804991200501</v>
          </cell>
          <cell r="S129">
            <v>0.17848536270599433</v>
          </cell>
          <cell r="T129">
            <v>0.17799999999999999</v>
          </cell>
          <cell r="U129">
            <v>0.17699999999999999</v>
          </cell>
          <cell r="V129">
            <v>0.17499999999999999</v>
          </cell>
          <cell r="W129">
            <v>0.17499999999999999</v>
          </cell>
          <cell r="X129">
            <v>0.17499999999999999</v>
          </cell>
          <cell r="Y129">
            <v>0.17499999999999999</v>
          </cell>
          <cell r="Z129">
            <v>0.17499999999999999</v>
          </cell>
          <cell r="AA129">
            <v>0.17499999999999999</v>
          </cell>
          <cell r="AB129">
            <v>0.17499999999999999</v>
          </cell>
          <cell r="AC129">
            <v>0.17499999999999999</v>
          </cell>
          <cell r="AD129">
            <v>0.17499999999999999</v>
          </cell>
          <cell r="AE129">
            <v>0.17499999999999999</v>
          </cell>
          <cell r="AF129">
            <v>0.17499999999999999</v>
          </cell>
          <cell r="AG129">
            <v>0.17499999999999999</v>
          </cell>
          <cell r="AH129">
            <v>0.17499999999999999</v>
          </cell>
          <cell r="AI129">
            <v>0.17499999999999999</v>
          </cell>
          <cell r="AJ129">
            <v>0.17499999999999999</v>
          </cell>
        </row>
        <row r="130">
          <cell r="I130" t="str">
            <v>Total Asia Pacific</v>
          </cell>
          <cell r="M130">
            <v>2.2544999999999997</v>
          </cell>
          <cell r="N130">
            <v>8.0482499999999995</v>
          </cell>
          <cell r="O130">
            <v>34.329374999999999</v>
          </cell>
          <cell r="P130">
            <v>70.193628749999988</v>
          </cell>
          <cell r="Q130">
            <v>154.75883625</v>
          </cell>
          <cell r="R130">
            <v>335.55310073857964</v>
          </cell>
          <cell r="S130">
            <v>559.17681809883425</v>
          </cell>
          <cell r="T130">
            <v>743.98125890124652</v>
          </cell>
          <cell r="U130">
            <v>876.14364571555825</v>
          </cell>
          <cell r="V130">
            <v>954.60233547504845</v>
          </cell>
          <cell r="W130">
            <v>1029.6025943251941</v>
          </cell>
          <cell r="X130">
            <v>1095.8358119596621</v>
          </cell>
          <cell r="Y130">
            <v>1155.3966588708486</v>
          </cell>
          <cell r="Z130">
            <v>1218.2216915063864</v>
          </cell>
          <cell r="AA130">
            <v>1284.491287755221</v>
          </cell>
          <cell r="AB130">
            <v>1354.3958745169082</v>
          </cell>
          <cell r="AC130">
            <v>1428.1364919591151</v>
          </cell>
          <cell r="AD130">
            <v>1505.9253896964142</v>
          </cell>
          <cell r="AE130">
            <v>1587.9866567089389</v>
          </cell>
          <cell r="AF130">
            <v>1674.5568869237518</v>
          </cell>
          <cell r="AG130">
            <v>1765.8858824920676</v>
          </cell>
          <cell r="AH130">
            <v>1862.2373969121268</v>
          </cell>
          <cell r="AI130">
            <v>1963.8899202709165</v>
          </cell>
          <cell r="AJ130">
            <v>2071.1375090084366</v>
          </cell>
        </row>
        <row r="131">
          <cell r="I131" t="str">
            <v>y/y Growth - %</v>
          </cell>
          <cell r="M131" t="str">
            <v>NA</v>
          </cell>
          <cell r="N131">
            <v>2.5698602794411181</v>
          </cell>
          <cell r="O131">
            <v>3.2654459043891535</v>
          </cell>
          <cell r="P131">
            <v>1.0447103610246322</v>
          </cell>
          <cell r="Q131">
            <v>1.2047419260968186</v>
          </cell>
          <cell r="R131">
            <v>1.1682322565189205</v>
          </cell>
          <cell r="S131">
            <v>0.66643317218061937</v>
          </cell>
          <cell r="T131">
            <v>0.33049374512830432</v>
          </cell>
          <cell r="U131">
            <v>0.17764209142780918</v>
          </cell>
          <cell r="V131">
            <v>8.9550030001543712E-2</v>
          </cell>
          <cell r="W131">
            <v>7.8567017974895847E-2</v>
          </cell>
          <cell r="X131">
            <v>6.4328914864358433E-2</v>
          </cell>
          <cell r="Y131">
            <v>5.4351980708382763E-2</v>
          </cell>
          <cell r="Z131">
            <v>5.437529367354732E-2</v>
          </cell>
          <cell r="AA131">
            <v>5.4398634264088086E-2</v>
          </cell>
          <cell r="AB131">
            <v>5.4422001478774185E-2</v>
          </cell>
          <cell r="AC131">
            <v>5.4445394311695594E-2</v>
          </cell>
          <cell r="AD131">
            <v>5.4468811752431678E-2</v>
          </cell>
          <cell r="AE131">
            <v>5.4492252786220607E-2</v>
          </cell>
          <cell r="AF131">
            <v>5.4515716394133662E-2</v>
          </cell>
          <cell r="AG131">
            <v>5.4539201553249095E-2</v>
          </cell>
          <cell r="AH131">
            <v>5.4562707236826213E-2</v>
          </cell>
          <cell r="AI131">
            <v>5.4586232414484348E-2</v>
          </cell>
          <cell r="AJ131">
            <v>5.4609776052379377E-2</v>
          </cell>
        </row>
        <row r="133">
          <cell r="I133" t="str">
            <v>Latin America &amp; RoW</v>
          </cell>
        </row>
        <row r="134">
          <cell r="I134" t="str">
            <v>Agency (Booking.com)</v>
          </cell>
          <cell r="M134">
            <v>1.2</v>
          </cell>
          <cell r="N134">
            <v>4.17</v>
          </cell>
          <cell r="O134">
            <v>13.256999999999998</v>
          </cell>
          <cell r="P134">
            <v>37.931399999999996</v>
          </cell>
          <cell r="Q134">
            <v>105.95249999999999</v>
          </cell>
          <cell r="R134">
            <v>235.45999749118889</v>
          </cell>
          <cell r="S134">
            <v>394.10602986735591</v>
          </cell>
          <cell r="T134">
            <v>542.84659826613279</v>
          </cell>
          <cell r="U134">
            <v>657.73673447451301</v>
          </cell>
          <cell r="V134">
            <v>756.39724464568985</v>
          </cell>
          <cell r="W134">
            <v>832.03696911025895</v>
          </cell>
          <cell r="X134">
            <v>898.59992663907974</v>
          </cell>
          <cell r="Y134">
            <v>961.50192150381542</v>
          </cell>
          <cell r="Z134">
            <v>1028.8070560090825</v>
          </cell>
          <cell r="AA134">
            <v>1100.8235499297182</v>
          </cell>
          <cell r="AB134">
            <v>1177.8811984247986</v>
          </cell>
          <cell r="AC134">
            <v>1260.3328823145346</v>
          </cell>
          <cell r="AD134">
            <v>1348.556184076552</v>
          </cell>
          <cell r="AE134">
            <v>1442.9551169619108</v>
          </cell>
          <cell r="AF134">
            <v>1543.9619751492446</v>
          </cell>
          <cell r="AG134">
            <v>1652.0393134096917</v>
          </cell>
          <cell r="AH134">
            <v>1767.6820653483703</v>
          </cell>
          <cell r="AI134">
            <v>1891.4198099227563</v>
          </cell>
          <cell r="AJ134">
            <v>2023.8191966173492</v>
          </cell>
        </row>
        <row r="135">
          <cell r="I135" t="str">
            <v>y/y Growth - %</v>
          </cell>
          <cell r="M135" t="str">
            <v>NA</v>
          </cell>
          <cell r="N135">
            <v>2.4750000000000001</v>
          </cell>
          <cell r="O135">
            <v>2.1791366906474816</v>
          </cell>
          <cell r="P135">
            <v>1.861235573659199</v>
          </cell>
          <cell r="Q135">
            <v>1.7932662648887199</v>
          </cell>
          <cell r="R135">
            <v>1.2223165804600074</v>
          </cell>
          <cell r="S135">
            <v>0.67377063648403257</v>
          </cell>
          <cell r="T135">
            <v>0.37741256699076242</v>
          </cell>
          <cell r="U135">
            <v>0.21164383561643851</v>
          </cell>
          <cell r="V135">
            <v>0.14999999999999991</v>
          </cell>
          <cell r="W135">
            <v>0.10000000000000009</v>
          </cell>
          <cell r="X135">
            <v>8.0000000000000071E-2</v>
          </cell>
          <cell r="Y135">
            <v>7.0000000000000062E-2</v>
          </cell>
          <cell r="Z135">
            <v>7.0000000000000062E-2</v>
          </cell>
          <cell r="AA135">
            <v>6.999999999999984E-2</v>
          </cell>
          <cell r="AB135">
            <v>7.0000000000000062E-2</v>
          </cell>
          <cell r="AC135">
            <v>7.0000000000000062E-2</v>
          </cell>
          <cell r="AD135">
            <v>7.0000000000000062E-2</v>
          </cell>
          <cell r="AE135">
            <v>7.0000000000000062E-2</v>
          </cell>
          <cell r="AF135">
            <v>7.0000000000000062E-2</v>
          </cell>
          <cell r="AG135">
            <v>7.0000000000000062E-2</v>
          </cell>
          <cell r="AH135">
            <v>7.0000000000000062E-2</v>
          </cell>
          <cell r="AI135">
            <v>7.0000000000000062E-2</v>
          </cell>
          <cell r="AJ135">
            <v>7.0000000000000062E-2</v>
          </cell>
        </row>
        <row r="136">
          <cell r="I136" t="str">
            <v>Revenue Margin</v>
          </cell>
          <cell r="M136">
            <v>0.15</v>
          </cell>
          <cell r="N136">
            <v>0.15</v>
          </cell>
          <cell r="O136">
            <v>0.15</v>
          </cell>
          <cell r="P136" t="str">
            <v>NA</v>
          </cell>
          <cell r="Q136">
            <v>0.15</v>
          </cell>
          <cell r="R136">
            <v>0.1497156194189572</v>
          </cell>
          <cell r="S136">
            <v>0.14839417390139928</v>
          </cell>
          <cell r="T136">
            <v>0.14599999999999999</v>
          </cell>
          <cell r="U136">
            <v>0.14499999999999999</v>
          </cell>
          <cell r="V136">
            <v>0.14499999999999999</v>
          </cell>
          <cell r="W136">
            <v>0.14499999999999999</v>
          </cell>
          <cell r="X136">
            <v>0.14499999999999999</v>
          </cell>
          <cell r="Y136">
            <v>0.14499999999999999</v>
          </cell>
          <cell r="Z136">
            <v>0.14499999999999999</v>
          </cell>
          <cell r="AA136">
            <v>0.14499999999999999</v>
          </cell>
          <cell r="AB136">
            <v>0.14499999999999999</v>
          </cell>
          <cell r="AC136">
            <v>0.14499999999999999</v>
          </cell>
          <cell r="AD136">
            <v>0.14499999999999999</v>
          </cell>
          <cell r="AE136">
            <v>0.14499999999999999</v>
          </cell>
          <cell r="AF136">
            <v>0.14499999999999999</v>
          </cell>
          <cell r="AG136">
            <v>0.14499999999999999</v>
          </cell>
          <cell r="AH136">
            <v>0.14499999999999999</v>
          </cell>
          <cell r="AI136">
            <v>0.14499999999999999</v>
          </cell>
          <cell r="AJ136">
            <v>0.14499999999999999</v>
          </cell>
        </row>
        <row r="138">
          <cell r="I138" t="str">
            <v>Agency Check</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row>
        <row r="139">
          <cell r="I139" t="str">
            <v>Merchant Check</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row>
        <row r="140">
          <cell r="I140" t="str">
            <v>Geography US Check</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row>
        <row r="141">
          <cell r="I141" t="str">
            <v>Geography International Check</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row>
        <row r="143">
          <cell r="I143" t="str">
            <v>Gross Profit Scenarios</v>
          </cell>
        </row>
        <row r="144">
          <cell r="I144" t="str">
            <v>Gross Profit by brand</v>
          </cell>
        </row>
        <row r="145">
          <cell r="I145" t="str">
            <v>US</v>
          </cell>
        </row>
        <row r="146">
          <cell r="I146" t="str">
            <v>Agency (Priceline.com)</v>
          </cell>
          <cell r="M146">
            <v>31.20000000000001</v>
          </cell>
          <cell r="N146">
            <v>28.15799999999993</v>
          </cell>
          <cell r="O146">
            <v>50.358000000000047</v>
          </cell>
          <cell r="P146">
            <v>60.485359999999993</v>
          </cell>
          <cell r="Q146">
            <v>66.958779999999948</v>
          </cell>
          <cell r="R146">
            <v>71.947912300000283</v>
          </cell>
          <cell r="S146">
            <v>80.888439218000002</v>
          </cell>
          <cell r="T146">
            <v>91.25663749440001</v>
          </cell>
          <cell r="U146">
            <v>98.55716849395202</v>
          </cell>
          <cell r="V146">
            <v>100.03552602136132</v>
          </cell>
          <cell r="W146">
            <v>104.53712469232256</v>
          </cell>
          <cell r="X146">
            <v>109.24129530347707</v>
          </cell>
          <cell r="Y146">
            <v>114.15715359213354</v>
          </cell>
          <cell r="Z146">
            <v>119.29422550377954</v>
          </cell>
          <cell r="AA146">
            <v>124.66246565144961</v>
          </cell>
          <cell r="AB146">
            <v>130.27227660576483</v>
          </cell>
          <cell r="AC146">
            <v>136.13452905302424</v>
          </cell>
          <cell r="AD146">
            <v>142.2605828604103</v>
          </cell>
          <cell r="AE146">
            <v>148.66230908912874</v>
          </cell>
          <cell r="AF146">
            <v>155.35211299813952</v>
          </cell>
          <cell r="AG146">
            <v>162.34295808305581</v>
          </cell>
          <cell r="AH146">
            <v>169.64839119679328</v>
          </cell>
          <cell r="AI146">
            <v>177.28256880064896</v>
          </cell>
          <cell r="AJ146">
            <v>185.26028439667817</v>
          </cell>
        </row>
        <row r="147">
          <cell r="I147" t="str">
            <v>y/y Growth - %</v>
          </cell>
          <cell r="M147" t="str">
            <v>NA</v>
          </cell>
          <cell r="N147">
            <v>-9.7500000000002474E-2</v>
          </cell>
          <cell r="O147">
            <v>0.78840826763265048</v>
          </cell>
          <cell r="P147">
            <v>0.20110727193295874</v>
          </cell>
          <cell r="Q147">
            <v>0.10702457586430758</v>
          </cell>
          <cell r="R147">
            <v>7.4510501834118559E-2</v>
          </cell>
          <cell r="S147">
            <v>0.12426388246986964</v>
          </cell>
          <cell r="T147">
            <v>0.12817898795719107</v>
          </cell>
          <cell r="U147">
            <v>8.0000000000000071E-2</v>
          </cell>
          <cell r="V147">
            <v>1.5000000000000124E-2</v>
          </cell>
          <cell r="W147">
            <v>4.4999999999999929E-2</v>
          </cell>
          <cell r="X147">
            <v>4.4999999999999929E-2</v>
          </cell>
          <cell r="Y147">
            <v>4.4999999999999929E-2</v>
          </cell>
          <cell r="Z147">
            <v>4.4999999999999929E-2</v>
          </cell>
          <cell r="AA147">
            <v>4.4999999999999929E-2</v>
          </cell>
          <cell r="AB147">
            <v>4.4999999999999929E-2</v>
          </cell>
          <cell r="AC147">
            <v>4.4999999999999929E-2</v>
          </cell>
          <cell r="AD147">
            <v>4.4999999999999707E-2</v>
          </cell>
          <cell r="AE147">
            <v>4.4999999999999929E-2</v>
          </cell>
          <cell r="AF147">
            <v>4.4999999999999929E-2</v>
          </cell>
          <cell r="AG147">
            <v>4.5000000000000151E-2</v>
          </cell>
          <cell r="AH147">
            <v>4.4999999999999707E-2</v>
          </cell>
          <cell r="AI147">
            <v>4.4999999999999929E-2</v>
          </cell>
          <cell r="AJ147">
            <v>4.5000000000000151E-2</v>
          </cell>
        </row>
        <row r="148">
          <cell r="I148" t="str">
            <v>Merchant (NYOP &amp; Priceline.com)</v>
          </cell>
          <cell r="M148">
            <v>182.16499999999999</v>
          </cell>
          <cell r="N148">
            <v>211.82300000000001</v>
          </cell>
          <cell r="O148">
            <v>267.96100000000001</v>
          </cell>
          <cell r="P148">
            <v>326.03664000000003</v>
          </cell>
          <cell r="Q148">
            <v>385.05021999999997</v>
          </cell>
          <cell r="R148">
            <v>426.18139020000001</v>
          </cell>
          <cell r="S148">
            <v>450.95197206800003</v>
          </cell>
          <cell r="T148">
            <v>479.4166326106</v>
          </cell>
          <cell r="U148">
            <v>507.01096204574509</v>
          </cell>
          <cell r="V148">
            <v>534.89656495826102</v>
          </cell>
          <cell r="W148">
            <v>561.64139320617414</v>
          </cell>
          <cell r="X148">
            <v>584.10704893442107</v>
          </cell>
          <cell r="Y148">
            <v>607.47133089179795</v>
          </cell>
          <cell r="Z148">
            <v>631.77018412746986</v>
          </cell>
          <cell r="AA148">
            <v>657.04099149256865</v>
          </cell>
          <cell r="AB148">
            <v>683.32263115227136</v>
          </cell>
          <cell r="AC148">
            <v>710.6555363983623</v>
          </cell>
          <cell r="AD148">
            <v>739.08175785429682</v>
          </cell>
          <cell r="AE148">
            <v>768.64502816846868</v>
          </cell>
          <cell r="AF148">
            <v>799.39082929520748</v>
          </cell>
          <cell r="AG148">
            <v>831.36646246701582</v>
          </cell>
          <cell r="AH148">
            <v>864.62112096569649</v>
          </cell>
          <cell r="AI148">
            <v>899.20596580432436</v>
          </cell>
          <cell r="AJ148">
            <v>935.17420443649746</v>
          </cell>
        </row>
        <row r="149">
          <cell r="I149" t="str">
            <v>y/y Growth - %</v>
          </cell>
          <cell r="M149" t="str">
            <v>NA</v>
          </cell>
          <cell r="N149">
            <v>0.16280844289517749</v>
          </cell>
          <cell r="O149">
            <v>0.26502315612563332</v>
          </cell>
          <cell r="P149">
            <v>0.21673168856661973</v>
          </cell>
          <cell r="Q149">
            <v>0.18100290813940401</v>
          </cell>
          <cell r="R149">
            <v>0.10682027450860843</v>
          </cell>
          <cell r="S149">
            <v>5.8122157460642754E-2</v>
          </cell>
          <cell r="T149">
            <v>6.3121268573380851E-2</v>
          </cell>
          <cell r="U149">
            <v>5.7558139534883868E-2</v>
          </cell>
          <cell r="V149">
            <v>5.4999999999999938E-2</v>
          </cell>
          <cell r="W149">
            <v>5.0000000000000044E-2</v>
          </cell>
          <cell r="X149">
            <v>4.0000000000000036E-2</v>
          </cell>
          <cell r="Y149">
            <v>4.0000000000000036E-2</v>
          </cell>
          <cell r="Z149">
            <v>4.0000000000000036E-2</v>
          </cell>
          <cell r="AA149">
            <v>4.0000000000000036E-2</v>
          </cell>
          <cell r="AB149">
            <v>4.0000000000000036E-2</v>
          </cell>
          <cell r="AC149">
            <v>4.0000000000000036E-2</v>
          </cell>
          <cell r="AD149">
            <v>4.0000000000000036E-2</v>
          </cell>
          <cell r="AE149">
            <v>4.0000000000000036E-2</v>
          </cell>
          <cell r="AF149">
            <v>4.0000000000000036E-2</v>
          </cell>
          <cell r="AG149">
            <v>4.0000000000000036E-2</v>
          </cell>
          <cell r="AH149">
            <v>4.0000000000000036E-2</v>
          </cell>
          <cell r="AI149">
            <v>4.0000000000000036E-2</v>
          </cell>
          <cell r="AJ149">
            <v>4.0000000000000036E-2</v>
          </cell>
        </row>
        <row r="150">
          <cell r="I150" t="str">
            <v>Base Gross Profit margin (% of total gross bookings)</v>
          </cell>
          <cell r="M150">
            <v>0.16000678095325094</v>
          </cell>
          <cell r="N150">
            <v>0.1720863653017968</v>
          </cell>
          <cell r="O150">
            <v>0.17368418323496279</v>
          </cell>
          <cell r="P150">
            <v>0.17400963883714848</v>
          </cell>
          <cell r="Q150">
            <v>0.18005840613446783</v>
          </cell>
          <cell r="R150">
            <v>0.17841717305530189</v>
          </cell>
          <cell r="S150">
            <v>0.17392183325249452</v>
          </cell>
          <cell r="T150">
            <v>0.17199999999999999</v>
          </cell>
          <cell r="U150">
            <v>0.17</v>
          </cell>
          <cell r="V150">
            <v>0.17</v>
          </cell>
          <cell r="W150">
            <v>0.17</v>
          </cell>
          <cell r="X150">
            <v>0.17</v>
          </cell>
          <cell r="Y150">
            <v>0.17</v>
          </cell>
          <cell r="Z150">
            <v>0.17</v>
          </cell>
          <cell r="AA150">
            <v>0.17</v>
          </cell>
          <cell r="AB150">
            <v>0.17</v>
          </cell>
          <cell r="AC150">
            <v>0.17</v>
          </cell>
          <cell r="AD150">
            <v>0.17</v>
          </cell>
          <cell r="AE150">
            <v>0.17</v>
          </cell>
          <cell r="AF150">
            <v>0.17</v>
          </cell>
          <cell r="AG150">
            <v>0.17</v>
          </cell>
          <cell r="AH150">
            <v>0.17</v>
          </cell>
          <cell r="AI150">
            <v>0.17</v>
          </cell>
          <cell r="AJ150">
            <v>0.17</v>
          </cell>
        </row>
        <row r="151">
          <cell r="I151" t="str">
            <v>Other</v>
          </cell>
          <cell r="M151">
            <v>5.0340000000000007</v>
          </cell>
          <cell r="N151">
            <v>8.3389999999999986</v>
          </cell>
          <cell r="O151">
            <v>17.852</v>
          </cell>
          <cell r="P151">
            <v>22.241000000000003</v>
          </cell>
          <cell r="Q151">
            <v>12.663</v>
          </cell>
          <cell r="R151">
            <v>12.315999999999999</v>
          </cell>
          <cell r="S151">
            <v>12.315999999999999</v>
          </cell>
          <cell r="T151">
            <v>12.315999999999999</v>
          </cell>
          <cell r="U151">
            <v>12.315999999999999</v>
          </cell>
          <cell r="V151">
            <v>12.315999999999999</v>
          </cell>
          <cell r="W151">
            <v>12.315999999999999</v>
          </cell>
          <cell r="X151">
            <v>12.315999999999999</v>
          </cell>
          <cell r="Y151">
            <v>12.315999999999999</v>
          </cell>
          <cell r="Z151">
            <v>12.315999999999999</v>
          </cell>
          <cell r="AA151">
            <v>12.315999999999999</v>
          </cell>
          <cell r="AB151">
            <v>12.315999999999999</v>
          </cell>
          <cell r="AC151">
            <v>12.315999999999999</v>
          </cell>
          <cell r="AD151">
            <v>12.315999999999999</v>
          </cell>
          <cell r="AE151">
            <v>12.315999999999999</v>
          </cell>
          <cell r="AF151">
            <v>12.315999999999999</v>
          </cell>
          <cell r="AG151">
            <v>12.315999999999999</v>
          </cell>
          <cell r="AH151">
            <v>12.315999999999999</v>
          </cell>
          <cell r="AI151">
            <v>12.315999999999999</v>
          </cell>
          <cell r="AJ151">
            <v>12.315999999999999</v>
          </cell>
        </row>
        <row r="152">
          <cell r="I152" t="str">
            <v>y/y Growth - %</v>
          </cell>
          <cell r="M152" t="str">
            <v>NA</v>
          </cell>
          <cell r="N152">
            <v>0.65653555820421095</v>
          </cell>
          <cell r="O152">
            <v>1.1407842666986454</v>
          </cell>
          <cell r="P152">
            <v>0.24585480618418121</v>
          </cell>
          <cell r="Q152">
            <v>-0.43064610404208448</v>
          </cell>
          <cell r="R152">
            <v>-2.7402669193714035E-2</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row>
        <row r="153">
          <cell r="I153" t="str">
            <v>Total US</v>
          </cell>
          <cell r="M153">
            <v>218.399</v>
          </cell>
          <cell r="N153">
            <v>248.31999999999994</v>
          </cell>
          <cell r="O153">
            <v>336.17100000000005</v>
          </cell>
          <cell r="P153">
            <v>408.76300000000003</v>
          </cell>
          <cell r="Q153">
            <v>464.67199999999991</v>
          </cell>
          <cell r="R153">
            <v>510.44530250000025</v>
          </cell>
          <cell r="S153">
            <v>544.15641128600009</v>
          </cell>
          <cell r="T153">
            <v>582.98927010500006</v>
          </cell>
          <cell r="U153">
            <v>617.88413053969714</v>
          </cell>
          <cell r="V153">
            <v>647.24809097962236</v>
          </cell>
          <cell r="W153">
            <v>678.49451789849672</v>
          </cell>
          <cell r="X153">
            <v>705.66434423789815</v>
          </cell>
          <cell r="Y153">
            <v>733.94448448393155</v>
          </cell>
          <cell r="Z153">
            <v>763.38040963124945</v>
          </cell>
          <cell r="AA153">
            <v>794.01945714401825</v>
          </cell>
          <cell r="AB153">
            <v>825.91090775803627</v>
          </cell>
          <cell r="AC153">
            <v>859.1060654513866</v>
          </cell>
          <cell r="AD153">
            <v>893.65834071470715</v>
          </cell>
          <cell r="AE153">
            <v>929.62333725759743</v>
          </cell>
          <cell r="AF153">
            <v>967.05894229334706</v>
          </cell>
          <cell r="AG153">
            <v>1006.0254205500717</v>
          </cell>
          <cell r="AH153">
            <v>1046.5855121624897</v>
          </cell>
          <cell r="AI153">
            <v>1088.8045346049732</v>
          </cell>
          <cell r="AJ153">
            <v>1132.7504888331757</v>
          </cell>
        </row>
        <row r="154">
          <cell r="I154" t="str">
            <v>y/y Growth - %</v>
          </cell>
          <cell r="M154" t="str">
            <v>NA</v>
          </cell>
          <cell r="N154">
            <v>0.1370015430473579</v>
          </cell>
          <cell r="O154">
            <v>0.35378141108247485</v>
          </cell>
          <cell r="P154">
            <v>0.21593772217115692</v>
          </cell>
          <cell r="Q154">
            <v>0.13677607806968806</v>
          </cell>
          <cell r="R154">
            <v>9.8506693969079961E-2</v>
          </cell>
          <cell r="S154">
            <v>6.6042548772402121E-2</v>
          </cell>
          <cell r="T154">
            <v>7.1363413190752567E-2</v>
          </cell>
          <cell r="U154">
            <v>5.9855064619649401E-2</v>
          </cell>
          <cell r="V154">
            <v>4.7523409306979625E-2</v>
          </cell>
          <cell r="W154">
            <v>4.8275811631336429E-2</v>
          </cell>
          <cell r="X154">
            <v>4.0044282779991613E-2</v>
          </cell>
          <cell r="Y154">
            <v>4.007590928598681E-2</v>
          </cell>
          <cell r="Z154">
            <v>4.0106473676977838E-2</v>
          </cell>
          <cell r="AA154">
            <v>4.0136014922846908E-2</v>
          </cell>
          <cell r="AB154">
            <v>4.016457068788637E-2</v>
          </cell>
          <cell r="AC154">
            <v>4.0192177366272785E-2</v>
          </cell>
          <cell r="AD154">
            <v>4.0218870117237904E-2</v>
          </cell>
          <cell r="AE154">
            <v>4.0244682899873263E-2</v>
          </cell>
          <cell r="AF154">
            <v>4.0269648507518241E-2</v>
          </cell>
          <cell r="AG154">
            <v>4.0293798601682917E-2</v>
          </cell>
          <cell r="AH154">
            <v>4.0317163745465567E-2</v>
          </cell>
          <cell r="AI154">
            <v>4.0339773436428583E-2</v>
          </cell>
          <cell r="AJ154">
            <v>4.0361656138901303E-2</v>
          </cell>
        </row>
        <row r="156">
          <cell r="I156" t="str">
            <v>Europe</v>
          </cell>
        </row>
        <row r="157">
          <cell r="I157" t="str">
            <v>Agency (Booking.com &amp; Other)</v>
          </cell>
          <cell r="M157">
            <v>179.24549999999999</v>
          </cell>
          <cell r="N157">
            <v>360.28174999999999</v>
          </cell>
          <cell r="O157">
            <v>572.21362499999998</v>
          </cell>
          <cell r="P157">
            <v>743.87497125000004</v>
          </cell>
          <cell r="Q157">
            <v>1150.3426637500002</v>
          </cell>
          <cell r="R157">
            <v>1876.8907024289108</v>
          </cell>
          <cell r="S157">
            <v>2349.591381183297</v>
          </cell>
          <cell r="T157">
            <v>2798.2466371560422</v>
          </cell>
          <cell r="U157">
            <v>3134.0362336147673</v>
          </cell>
          <cell r="V157">
            <v>3400.4293134720224</v>
          </cell>
          <cell r="W157">
            <v>3638.4593654150644</v>
          </cell>
          <cell r="X157">
            <v>3856.7669273399683</v>
          </cell>
          <cell r="Y157">
            <v>4039.9633563886173</v>
          </cell>
          <cell r="Z157">
            <v>4221.7617074261052</v>
          </cell>
          <cell r="AA157">
            <v>4411.7409842602792</v>
          </cell>
          <cell r="AB157">
            <v>4610.2693285519908</v>
          </cell>
          <cell r="AC157">
            <v>4817.7314483368309</v>
          </cell>
          <cell r="AD157">
            <v>5034.5293635119879</v>
          </cell>
          <cell r="AE157">
            <v>5261.0831848700273</v>
          </cell>
          <cell r="AF157">
            <v>5497.8319281891781</v>
          </cell>
          <cell r="AG157">
            <v>5745.2343649576915</v>
          </cell>
          <cell r="AH157">
            <v>6003.7699113807867</v>
          </cell>
          <cell r="AI157">
            <v>6273.9395573929214</v>
          </cell>
          <cell r="AJ157">
            <v>6556.2668374756022</v>
          </cell>
        </row>
        <row r="158">
          <cell r="I158" t="str">
            <v>y/y Growth - %</v>
          </cell>
          <cell r="M158" t="str">
            <v>NA</v>
          </cell>
          <cell r="N158">
            <v>1.0099904879062516</v>
          </cell>
          <cell r="O158">
            <v>0.58823927384609398</v>
          </cell>
          <cell r="P158">
            <v>0.29999520939404412</v>
          </cell>
          <cell r="Q158">
            <v>0.54641936912728206</v>
          </cell>
          <cell r="R158">
            <v>0.63159270848082594</v>
          </cell>
          <cell r="S158">
            <v>0.25185306642664784</v>
          </cell>
          <cell r="T158">
            <v>0.19095033271138151</v>
          </cell>
          <cell r="U158">
            <v>0.12000000000000011</v>
          </cell>
          <cell r="V158">
            <v>8.4999999999999964E-2</v>
          </cell>
          <cell r="W158">
            <v>7.0000000000000062E-2</v>
          </cell>
          <cell r="X158">
            <v>6.0000000000000053E-2</v>
          </cell>
          <cell r="Y158">
            <v>4.7500000000000098E-2</v>
          </cell>
          <cell r="Z158">
            <v>4.4999999999999929E-2</v>
          </cell>
          <cell r="AA158">
            <v>4.4999999999999929E-2</v>
          </cell>
          <cell r="AB158">
            <v>4.4999999999999707E-2</v>
          </cell>
          <cell r="AC158">
            <v>4.5000000000000151E-2</v>
          </cell>
          <cell r="AD158">
            <v>4.4999999999999929E-2</v>
          </cell>
          <cell r="AE158">
            <v>4.4999999999999929E-2</v>
          </cell>
          <cell r="AF158">
            <v>4.4999999999999929E-2</v>
          </cell>
          <cell r="AG158">
            <v>4.5000000000000151E-2</v>
          </cell>
          <cell r="AH158">
            <v>4.4999999999999929E-2</v>
          </cell>
          <cell r="AI158">
            <v>4.4999999999999929E-2</v>
          </cell>
          <cell r="AJ158">
            <v>4.4999999999999929E-2</v>
          </cell>
        </row>
        <row r="159">
          <cell r="I159" t="str">
            <v>Merchant (TravelJigsaw)</v>
          </cell>
          <cell r="M159">
            <v>0</v>
          </cell>
          <cell r="N159">
            <v>0</v>
          </cell>
          <cell r="O159">
            <v>0</v>
          </cell>
          <cell r="P159">
            <v>0</v>
          </cell>
          <cell r="Q159">
            <v>33.245999999999995</v>
          </cell>
          <cell r="R159">
            <v>87.944959575394833</v>
          </cell>
          <cell r="S159">
            <v>136.60708314611165</v>
          </cell>
          <cell r="T159">
            <v>183.62439129385476</v>
          </cell>
          <cell r="U159">
            <v>219.11135230794801</v>
          </cell>
          <cell r="V159">
            <v>242.63177995682381</v>
          </cell>
          <cell r="W159">
            <v>264.46864015293795</v>
          </cell>
          <cell r="X159">
            <v>282.98144496364364</v>
          </cell>
          <cell r="Y159">
            <v>297.13051721182586</v>
          </cell>
          <cell r="Z159">
            <v>311.98704307241718</v>
          </cell>
          <cell r="AA159">
            <v>327.58639522603806</v>
          </cell>
          <cell r="AB159">
            <v>343.96571498733999</v>
          </cell>
          <cell r="AC159">
            <v>361.16400073670701</v>
          </cell>
          <cell r="AD159">
            <v>379.2222007735424</v>
          </cell>
          <cell r="AE159">
            <v>398.18331081221953</v>
          </cell>
          <cell r="AF159">
            <v>418.09247635283054</v>
          </cell>
          <cell r="AG159">
            <v>438.99710017047215</v>
          </cell>
          <cell r="AH159">
            <v>460.94695517899572</v>
          </cell>
          <cell r="AI159">
            <v>483.99430293794558</v>
          </cell>
          <cell r="AJ159">
            <v>508.19401808484281</v>
          </cell>
        </row>
        <row r="160">
          <cell r="I160" t="str">
            <v>y/y Growth - %</v>
          </cell>
          <cell r="M160" t="str">
            <v>NA</v>
          </cell>
          <cell r="N160" t="str">
            <v>NA</v>
          </cell>
          <cell r="O160" t="str">
            <v>NA</v>
          </cell>
          <cell r="P160" t="str">
            <v>NA</v>
          </cell>
          <cell r="Q160" t="str">
            <v>NA</v>
          </cell>
          <cell r="R160">
            <v>1.6452794193405174</v>
          </cell>
          <cell r="S160">
            <v>0.55332475909547707</v>
          </cell>
          <cell r="T160">
            <v>0.3441791381890098</v>
          </cell>
          <cell r="U160">
            <v>0.19325842696629203</v>
          </cell>
          <cell r="V160">
            <v>0.10734463276836159</v>
          </cell>
          <cell r="W160">
            <v>9.000000000000008E-2</v>
          </cell>
          <cell r="X160">
            <v>7.0000000000000062E-2</v>
          </cell>
          <cell r="Y160">
            <v>5.0000000000000044E-2</v>
          </cell>
          <cell r="Z160">
            <v>5.0000000000000044E-2</v>
          </cell>
          <cell r="AA160">
            <v>5.0000000000000044E-2</v>
          </cell>
          <cell r="AB160">
            <v>5.0000000000000044E-2</v>
          </cell>
          <cell r="AC160">
            <v>5.0000000000000044E-2</v>
          </cell>
          <cell r="AD160">
            <v>5.0000000000000044E-2</v>
          </cell>
          <cell r="AE160">
            <v>5.0000000000000044E-2</v>
          </cell>
          <cell r="AF160">
            <v>5.0000000000000044E-2</v>
          </cell>
          <cell r="AG160">
            <v>5.0000000000000266E-2</v>
          </cell>
          <cell r="AH160">
            <v>4.9999999999999822E-2</v>
          </cell>
          <cell r="AI160">
            <v>5.0000000000000044E-2</v>
          </cell>
          <cell r="AJ160">
            <v>4.9999999999999822E-2</v>
          </cell>
        </row>
        <row r="161">
          <cell r="I161" t="str">
            <v>Total Europe</v>
          </cell>
          <cell r="M161">
            <v>179.24549999999999</v>
          </cell>
          <cell r="N161">
            <v>360.28174999999999</v>
          </cell>
          <cell r="O161">
            <v>572.21362499999998</v>
          </cell>
          <cell r="P161">
            <v>743.87497125000004</v>
          </cell>
          <cell r="Q161">
            <v>1183.5886637500003</v>
          </cell>
          <cell r="R161">
            <v>1964.8356620043057</v>
          </cell>
          <cell r="S161">
            <v>2486.1984643294086</v>
          </cell>
          <cell r="T161">
            <v>2981.871028449897</v>
          </cell>
          <cell r="U161">
            <v>3353.1475859227153</v>
          </cell>
          <cell r="V161">
            <v>3643.0610934288461</v>
          </cell>
          <cell r="W161">
            <v>3902.9280055680024</v>
          </cell>
          <cell r="X161">
            <v>4139.7483723036121</v>
          </cell>
          <cell r="Y161">
            <v>4337.0938736004427</v>
          </cell>
          <cell r="Z161">
            <v>4533.748750498522</v>
          </cell>
          <cell r="AA161">
            <v>4739.3273794863171</v>
          </cell>
          <cell r="AB161">
            <v>4954.2350435393309</v>
          </cell>
          <cell r="AC161">
            <v>5178.8954490735377</v>
          </cell>
          <cell r="AD161">
            <v>5413.7515642855305</v>
          </cell>
          <cell r="AE161">
            <v>5659.2664956822464</v>
          </cell>
          <cell r="AF161">
            <v>5915.9244045420091</v>
          </cell>
          <cell r="AG161">
            <v>6184.231465128164</v>
          </cell>
          <cell r="AH161">
            <v>6464.7168665597819</v>
          </cell>
          <cell r="AI161">
            <v>6757.933860330867</v>
          </cell>
          <cell r="AJ161">
            <v>7064.4608555604445</v>
          </cell>
        </row>
        <row r="162">
          <cell r="I162" t="str">
            <v>y/y Growth - %</v>
          </cell>
          <cell r="M162" t="str">
            <v>NA</v>
          </cell>
          <cell r="N162">
            <v>1.0099904879062516</v>
          </cell>
          <cell r="O162">
            <v>0.58823927384609398</v>
          </cell>
          <cell r="P162">
            <v>0.29999520939404412</v>
          </cell>
          <cell r="Q162">
            <v>0.59111236362894393</v>
          </cell>
          <cell r="R162">
            <v>0.66006630697108637</v>
          </cell>
          <cell r="S162">
            <v>0.26534677296790643</v>
          </cell>
          <cell r="T162">
            <v>0.19936966868579575</v>
          </cell>
          <cell r="U162">
            <v>0.12451127293249287</v>
          </cell>
          <cell r="V162">
            <v>8.6460109517175532E-2</v>
          </cell>
          <cell r="W162">
            <v>7.1332021471693041E-2</v>
          </cell>
          <cell r="X162">
            <v>6.067761598414223E-2</v>
          </cell>
          <cell r="Y162">
            <v>4.7670892901883199E-2</v>
          </cell>
          <cell r="Z162">
            <v>4.5342545637552911E-2</v>
          </cell>
          <cell r="AA162">
            <v>4.5344071826915799E-2</v>
          </cell>
          <cell r="AB162">
            <v>4.534560431153567E-2</v>
          </cell>
          <cell r="AC162">
            <v>4.5347143112876687E-2</v>
          </cell>
          <cell r="AD162">
            <v>4.5348688252435432E-2</v>
          </cell>
          <cell r="AE162">
            <v>4.5350239751741794E-2</v>
          </cell>
          <cell r="AF162">
            <v>4.5351797632357638E-2</v>
          </cell>
          <cell r="AG162">
            <v>4.535336191587569E-2</v>
          </cell>
          <cell r="AH162">
            <v>4.5354932623920652E-2</v>
          </cell>
          <cell r="AI162">
            <v>4.5356509778149201E-2</v>
          </cell>
          <cell r="AJ162">
            <v>4.5358093400246657E-2</v>
          </cell>
        </row>
        <row r="164">
          <cell r="I164" t="str">
            <v>Asia</v>
          </cell>
        </row>
        <row r="165">
          <cell r="I165" t="str">
            <v>Agency (Booking.com)</v>
          </cell>
          <cell r="M165">
            <v>2.2544999999999997</v>
          </cell>
          <cell r="N165">
            <v>5.6362499999999995</v>
          </cell>
          <cell r="O165">
            <v>12.963374999999999</v>
          </cell>
          <cell r="P165">
            <v>26.102268749999993</v>
          </cell>
          <cell r="Q165">
            <v>57.348056249999985</v>
          </cell>
          <cell r="R165">
            <v>128.96590377004338</v>
          </cell>
          <cell r="S165">
            <v>223.23237642387363</v>
          </cell>
          <cell r="T165">
            <v>308.44109681166839</v>
          </cell>
          <cell r="U165">
            <v>365.093543164832</v>
          </cell>
          <cell r="V165">
            <v>408.90476834461191</v>
          </cell>
          <cell r="W165">
            <v>445.70619749562701</v>
          </cell>
          <cell r="X165">
            <v>476.90563132032088</v>
          </cell>
          <cell r="Y165">
            <v>505.51996919954018</v>
          </cell>
          <cell r="Z165">
            <v>535.85116735151269</v>
          </cell>
          <cell r="AA165">
            <v>568.00223739260343</v>
          </cell>
          <cell r="AB165">
            <v>602.08237163615968</v>
          </cell>
          <cell r="AC165">
            <v>638.20731393432925</v>
          </cell>
          <cell r="AD165">
            <v>676.49975277038902</v>
          </cell>
          <cell r="AE165">
            <v>717.08973793661232</v>
          </cell>
          <cell r="AF165">
            <v>760.11512221280907</v>
          </cell>
          <cell r="AG165">
            <v>805.7220295455777</v>
          </cell>
          <cell r="AH165">
            <v>854.06535131831242</v>
          </cell>
          <cell r="AI165">
            <v>905.30927239741118</v>
          </cell>
          <cell r="AJ165">
            <v>959.62782874125594</v>
          </cell>
        </row>
        <row r="166">
          <cell r="I166" t="str">
            <v>y/y Growth - %</v>
          </cell>
          <cell r="M166" t="str">
            <v>NA</v>
          </cell>
          <cell r="N166">
            <v>1.5</v>
          </cell>
          <cell r="O166">
            <v>1.3000000000000003</v>
          </cell>
          <cell r="P166">
            <v>1.013539587491683</v>
          </cell>
          <cell r="Q166">
            <v>1.1970525550580731</v>
          </cell>
          <cell r="R166">
            <v>1.2488278104463815</v>
          </cell>
          <cell r="S166">
            <v>0.73094104641731494</v>
          </cell>
          <cell r="T166">
            <v>0.38170413159962258</v>
          </cell>
          <cell r="U166">
            <v>0.18367346938775531</v>
          </cell>
          <cell r="V166">
            <v>0.12000000000000011</v>
          </cell>
          <cell r="W166">
            <v>9.000000000000008E-2</v>
          </cell>
          <cell r="X166">
            <v>7.0000000000000062E-2</v>
          </cell>
          <cell r="Y166">
            <v>6.0000000000000053E-2</v>
          </cell>
          <cell r="Z166">
            <v>6.0000000000000275E-2</v>
          </cell>
          <cell r="AA166">
            <v>6.0000000000000053E-2</v>
          </cell>
          <cell r="AB166">
            <v>6.0000000000000053E-2</v>
          </cell>
          <cell r="AC166">
            <v>6.0000000000000053E-2</v>
          </cell>
          <cell r="AD166">
            <v>6.0000000000000053E-2</v>
          </cell>
          <cell r="AE166">
            <v>5.9999999999999831E-2</v>
          </cell>
          <cell r="AF166">
            <v>6.0000000000000053E-2</v>
          </cell>
          <cell r="AG166">
            <v>6.0000000000000053E-2</v>
          </cell>
          <cell r="AH166">
            <v>6.0000000000000053E-2</v>
          </cell>
          <cell r="AI166">
            <v>6.0000000000000053E-2</v>
          </cell>
          <cell r="AJ166">
            <v>6.0000000000000053E-2</v>
          </cell>
        </row>
        <row r="167">
          <cell r="I167" t="str">
            <v>Merchant (Agoda)</v>
          </cell>
          <cell r="M167">
            <v>0</v>
          </cell>
          <cell r="N167">
            <v>2.4119999999999999</v>
          </cell>
          <cell r="O167">
            <v>21.366</v>
          </cell>
          <cell r="P167">
            <v>44.091360000000002</v>
          </cell>
          <cell r="Q167">
            <v>97.410780000000003</v>
          </cell>
          <cell r="R167">
            <v>206.58719696853626</v>
          </cell>
          <cell r="S167">
            <v>335.94444167496067</v>
          </cell>
          <cell r="T167">
            <v>435.54016208957808</v>
          </cell>
          <cell r="U167">
            <v>511.05010255072631</v>
          </cell>
          <cell r="V167">
            <v>545.6975671304366</v>
          </cell>
          <cell r="W167">
            <v>583.89639682956715</v>
          </cell>
          <cell r="X167">
            <v>618.93018063934119</v>
          </cell>
          <cell r="Y167">
            <v>649.87668967130833</v>
          </cell>
          <cell r="Z167">
            <v>682.37052415487381</v>
          </cell>
          <cell r="AA167">
            <v>716.4890503626176</v>
          </cell>
          <cell r="AB167">
            <v>752.3135028807485</v>
          </cell>
          <cell r="AC167">
            <v>789.92917802478598</v>
          </cell>
          <cell r="AD167">
            <v>829.42563692602528</v>
          </cell>
          <cell r="AE167">
            <v>870.89691877232656</v>
          </cell>
          <cell r="AF167">
            <v>914.44176471094283</v>
          </cell>
          <cell r="AG167">
            <v>960.16385294649001</v>
          </cell>
          <cell r="AH167">
            <v>1008.1720455938145</v>
          </cell>
          <cell r="AI167">
            <v>1058.5806478735053</v>
          </cell>
          <cell r="AJ167">
            <v>1111.5096802671806</v>
          </cell>
        </row>
        <row r="168">
          <cell r="I168" t="str">
            <v>y/y Growth - %</v>
          </cell>
          <cell r="M168" t="str">
            <v>NA</v>
          </cell>
          <cell r="N168" t="str">
            <v>NA</v>
          </cell>
          <cell r="O168">
            <v>7.8582089552238799</v>
          </cell>
          <cell r="P168">
            <v>1.0636225779275486</v>
          </cell>
          <cell r="Q168">
            <v>1.2092940657761519</v>
          </cell>
          <cell r="R168">
            <v>1.120783726077712</v>
          </cell>
          <cell r="S168">
            <v>0.62616293073634099</v>
          </cell>
          <cell r="T168">
            <v>0.29646485567092706</v>
          </cell>
          <cell r="U168">
            <v>0.17337078651685411</v>
          </cell>
          <cell r="V168">
            <v>6.7796610169491567E-2</v>
          </cell>
          <cell r="W168">
            <v>7.0000000000000062E-2</v>
          </cell>
          <cell r="X168">
            <v>6.0000000000000053E-2</v>
          </cell>
          <cell r="Y168">
            <v>5.0000000000000044E-2</v>
          </cell>
          <cell r="Z168">
            <v>5.0000000000000044E-2</v>
          </cell>
          <cell r="AA168">
            <v>5.0000000000000266E-2</v>
          </cell>
          <cell r="AB168">
            <v>5.0000000000000044E-2</v>
          </cell>
          <cell r="AC168">
            <v>5.0000000000000044E-2</v>
          </cell>
          <cell r="AD168">
            <v>5.0000000000000044E-2</v>
          </cell>
          <cell r="AE168">
            <v>5.0000000000000044E-2</v>
          </cell>
          <cell r="AF168">
            <v>5.0000000000000044E-2</v>
          </cell>
          <cell r="AG168">
            <v>5.0000000000000044E-2</v>
          </cell>
          <cell r="AH168">
            <v>5.0000000000000044E-2</v>
          </cell>
          <cell r="AI168">
            <v>5.0000000000000044E-2</v>
          </cell>
          <cell r="AJ168">
            <v>5.0000000000000044E-2</v>
          </cell>
        </row>
        <row r="169">
          <cell r="I169" t="str">
            <v>Total Asia Pacific</v>
          </cell>
          <cell r="M169">
            <v>2.2544999999999997</v>
          </cell>
          <cell r="N169">
            <v>8.0482499999999995</v>
          </cell>
          <cell r="O169">
            <v>34.329374999999999</v>
          </cell>
          <cell r="P169">
            <v>70.193628749999988</v>
          </cell>
          <cell r="Q169">
            <v>154.75883625</v>
          </cell>
          <cell r="R169">
            <v>335.55310073857964</v>
          </cell>
          <cell r="S169">
            <v>559.17681809883425</v>
          </cell>
          <cell r="T169">
            <v>743.98125890124652</v>
          </cell>
          <cell r="U169">
            <v>876.14364571555825</v>
          </cell>
          <cell r="V169">
            <v>954.60233547504845</v>
          </cell>
          <cell r="W169">
            <v>1029.6025943251941</v>
          </cell>
          <cell r="X169">
            <v>1095.8358119596621</v>
          </cell>
          <cell r="Y169">
            <v>1155.3966588708486</v>
          </cell>
          <cell r="Z169">
            <v>1218.2216915063864</v>
          </cell>
          <cell r="AA169">
            <v>1284.491287755221</v>
          </cell>
          <cell r="AB169">
            <v>1354.3958745169082</v>
          </cell>
          <cell r="AC169">
            <v>1428.1364919591151</v>
          </cell>
          <cell r="AD169">
            <v>1505.9253896964142</v>
          </cell>
          <cell r="AE169">
            <v>1587.9866567089389</v>
          </cell>
          <cell r="AF169">
            <v>1674.5568869237518</v>
          </cell>
          <cell r="AG169">
            <v>1765.8858824920676</v>
          </cell>
          <cell r="AH169">
            <v>1862.2373969121268</v>
          </cell>
          <cell r="AI169">
            <v>1963.8899202709165</v>
          </cell>
          <cell r="AJ169">
            <v>2071.1375090084366</v>
          </cell>
        </row>
        <row r="170">
          <cell r="I170" t="str">
            <v>y/y Growth - %</v>
          </cell>
          <cell r="M170" t="str">
            <v>NA</v>
          </cell>
          <cell r="N170">
            <v>2.5698602794411181</v>
          </cell>
          <cell r="O170">
            <v>3.2654459043891535</v>
          </cell>
          <cell r="P170">
            <v>1.0447103610246322</v>
          </cell>
          <cell r="Q170">
            <v>1.2047419260968186</v>
          </cell>
          <cell r="R170">
            <v>1.1682322565189205</v>
          </cell>
          <cell r="S170">
            <v>0.66643317218061937</v>
          </cell>
          <cell r="T170">
            <v>0.33049374512830432</v>
          </cell>
          <cell r="U170">
            <v>0.17764209142780918</v>
          </cell>
          <cell r="V170">
            <v>8.9550030001543712E-2</v>
          </cell>
          <cell r="W170">
            <v>7.8567017974895847E-2</v>
          </cell>
          <cell r="X170">
            <v>6.4328914864358433E-2</v>
          </cell>
          <cell r="Y170">
            <v>5.4351980708382763E-2</v>
          </cell>
          <cell r="Z170">
            <v>5.437529367354732E-2</v>
          </cell>
          <cell r="AA170">
            <v>5.4398634264088086E-2</v>
          </cell>
          <cell r="AB170">
            <v>5.4422001478774185E-2</v>
          </cell>
          <cell r="AC170">
            <v>5.4445394311695594E-2</v>
          </cell>
          <cell r="AD170">
            <v>5.4468811752431678E-2</v>
          </cell>
          <cell r="AE170">
            <v>5.4492252786220607E-2</v>
          </cell>
          <cell r="AF170">
            <v>5.4515716394133662E-2</v>
          </cell>
          <cell r="AG170">
            <v>5.4539201553249095E-2</v>
          </cell>
          <cell r="AH170">
            <v>5.4562707236826213E-2</v>
          </cell>
          <cell r="AI170">
            <v>5.4586232414484348E-2</v>
          </cell>
          <cell r="AJ170">
            <v>5.4609776052379377E-2</v>
          </cell>
        </row>
        <row r="172">
          <cell r="I172" t="str">
            <v>Latin America &amp; RoW</v>
          </cell>
        </row>
        <row r="173">
          <cell r="I173" t="str">
            <v>Agency (Booking.com)</v>
          </cell>
          <cell r="M173">
            <v>1.2</v>
          </cell>
          <cell r="N173">
            <v>4.17</v>
          </cell>
          <cell r="O173">
            <v>13.256999999999998</v>
          </cell>
          <cell r="P173">
            <v>37.931399999999996</v>
          </cell>
          <cell r="Q173">
            <v>105.95249999999999</v>
          </cell>
          <cell r="R173">
            <v>235.45999749118889</v>
          </cell>
          <cell r="S173">
            <v>394.10602986735591</v>
          </cell>
          <cell r="T173">
            <v>542.84659826613279</v>
          </cell>
          <cell r="U173">
            <v>657.73673447451301</v>
          </cell>
          <cell r="V173">
            <v>756.39724464568985</v>
          </cell>
          <cell r="W173">
            <v>832.03696911025895</v>
          </cell>
          <cell r="X173">
            <v>898.59992663907974</v>
          </cell>
          <cell r="Y173">
            <v>961.50192150381542</v>
          </cell>
          <cell r="Z173">
            <v>1028.8070560090825</v>
          </cell>
          <cell r="AA173">
            <v>1100.8235499297182</v>
          </cell>
          <cell r="AB173">
            <v>1177.8811984247986</v>
          </cell>
          <cell r="AC173">
            <v>1260.3328823145346</v>
          </cell>
          <cell r="AD173">
            <v>1348.556184076552</v>
          </cell>
          <cell r="AE173">
            <v>1442.9551169619108</v>
          </cell>
          <cell r="AF173">
            <v>1543.9619751492446</v>
          </cell>
          <cell r="AG173">
            <v>1652.0393134096917</v>
          </cell>
          <cell r="AH173">
            <v>1767.6820653483703</v>
          </cell>
          <cell r="AI173">
            <v>1891.4198099227563</v>
          </cell>
          <cell r="AJ173">
            <v>2023.8191966173492</v>
          </cell>
        </row>
        <row r="174">
          <cell r="I174" t="str">
            <v>y/y Growth - %</v>
          </cell>
          <cell r="M174" t="str">
            <v>NA</v>
          </cell>
          <cell r="N174">
            <v>2.4750000000000001</v>
          </cell>
          <cell r="O174">
            <v>2.1791366906474816</v>
          </cell>
          <cell r="P174">
            <v>1.861235573659199</v>
          </cell>
          <cell r="Q174">
            <v>1.7932662648887199</v>
          </cell>
          <cell r="R174">
            <v>1.2223165804600074</v>
          </cell>
          <cell r="S174">
            <v>0.67377063648403257</v>
          </cell>
          <cell r="T174">
            <v>0.37741256699076242</v>
          </cell>
          <cell r="U174">
            <v>0.21164383561643851</v>
          </cell>
          <cell r="V174">
            <v>0.14999999999999991</v>
          </cell>
          <cell r="W174">
            <v>0.10000000000000009</v>
          </cell>
          <cell r="X174">
            <v>8.0000000000000071E-2</v>
          </cell>
          <cell r="Y174">
            <v>7.0000000000000062E-2</v>
          </cell>
          <cell r="Z174">
            <v>7.0000000000000062E-2</v>
          </cell>
          <cell r="AA174">
            <v>6.999999999999984E-2</v>
          </cell>
          <cell r="AB174">
            <v>7.0000000000000062E-2</v>
          </cell>
          <cell r="AC174">
            <v>7.0000000000000062E-2</v>
          </cell>
          <cell r="AD174">
            <v>7.0000000000000062E-2</v>
          </cell>
          <cell r="AE174">
            <v>7.0000000000000062E-2</v>
          </cell>
          <cell r="AF174">
            <v>7.0000000000000062E-2</v>
          </cell>
          <cell r="AG174">
            <v>7.0000000000000062E-2</v>
          </cell>
          <cell r="AH174">
            <v>7.0000000000000062E-2</v>
          </cell>
          <cell r="AI174">
            <v>7.0000000000000062E-2</v>
          </cell>
          <cell r="AJ174">
            <v>7.0000000000000062E-2</v>
          </cell>
        </row>
        <row r="176">
          <cell r="I176" t="str">
            <v>Agency Check</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row>
        <row r="177">
          <cell r="I177" t="str">
            <v>Merchant Check</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row>
        <row r="178">
          <cell r="I178" t="str">
            <v>Geography US Check</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row>
        <row r="179">
          <cell r="I179" t="str">
            <v>Geography International Check</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row>
        <row r="181">
          <cell r="I181" t="str">
            <v>Gross bookings by type</v>
          </cell>
        </row>
        <row r="182">
          <cell r="I182" t="str">
            <v>Air</v>
          </cell>
        </row>
        <row r="183">
          <cell r="I183" t="str">
            <v>Airline Tickets Sold</v>
          </cell>
          <cell r="M183">
            <v>2.8029999999999999</v>
          </cell>
          <cell r="N183">
            <v>2.9350000000000001</v>
          </cell>
          <cell r="O183">
            <v>4.8520000000000003</v>
          </cell>
          <cell r="P183">
            <v>5.9089999999999989</v>
          </cell>
          <cell r="Q183">
            <v>5.9130000000000003</v>
          </cell>
        </row>
        <row r="184">
          <cell r="I184" t="str">
            <v>y/y Growth - %</v>
          </cell>
          <cell r="M184" t="str">
            <v>NA</v>
          </cell>
          <cell r="N184">
            <v>4.7092400998929751E-2</v>
          </cell>
          <cell r="O184">
            <v>0.65315161839863722</v>
          </cell>
          <cell r="P184">
            <v>0.21784830997526772</v>
          </cell>
          <cell r="Q184">
            <v>6.7693349128461477E-4</v>
          </cell>
        </row>
        <row r="185">
          <cell r="I185" t="str">
            <v>Average Domestic Airfare (ARC)</v>
          </cell>
          <cell r="M185">
            <v>319.56535103852724</v>
          </cell>
          <cell r="N185">
            <v>322.44977871279622</v>
          </cell>
          <cell r="O185">
            <v>340.23660215604372</v>
          </cell>
          <cell r="P185">
            <v>299.40969708328117</v>
          </cell>
          <cell r="Q185">
            <v>320.62406847498187</v>
          </cell>
        </row>
        <row r="186">
          <cell r="I186" t="str">
            <v>y/y Growth - %</v>
          </cell>
          <cell r="M186" t="str">
            <v>NA</v>
          </cell>
          <cell r="N186">
            <v>9.0260964303392477E-3</v>
          </cell>
          <cell r="O186">
            <v>5.5161530934372482E-2</v>
          </cell>
          <cell r="P186">
            <v>-0.11999562896539262</v>
          </cell>
          <cell r="Q186">
            <v>7.0853989026948172E-2</v>
          </cell>
        </row>
        <row r="187">
          <cell r="I187" t="str">
            <v>Air Gross Bookings</v>
          </cell>
          <cell r="M187">
            <v>895.74167896099186</v>
          </cell>
          <cell r="N187">
            <v>946.39010052205697</v>
          </cell>
          <cell r="O187">
            <v>1650.8279936611241</v>
          </cell>
          <cell r="P187">
            <v>1769.2119000651082</v>
          </cell>
          <cell r="Q187">
            <v>1895.8501168925677</v>
          </cell>
        </row>
        <row r="188">
          <cell r="I188" t="str">
            <v>y/y Growth - %</v>
          </cell>
          <cell r="M188" t="str">
            <v>NA</v>
          </cell>
          <cell r="N188">
            <v>5.6543557981821646E-2</v>
          </cell>
          <cell r="O188">
            <v>0.74434199253614142</v>
          </cell>
          <cell r="P188">
            <v>7.1711836035345033E-2</v>
          </cell>
          <cell r="Q188">
            <v>7.1578885956396165E-2</v>
          </cell>
        </row>
        <row r="189">
          <cell r="I189" t="str">
            <v>% of total bookings</v>
          </cell>
          <cell r="M189">
            <v>0.26982210973208876</v>
          </cell>
          <cell r="N189">
            <v>0.19596367356261232</v>
          </cell>
          <cell r="O189">
            <v>0.22308133691144669</v>
          </cell>
          <cell r="P189">
            <v>0.19003223609736522</v>
          </cell>
          <cell r="Q189">
            <v>0.13893210342997922</v>
          </cell>
        </row>
        <row r="190">
          <cell r="I190" t="str">
            <v>Air Gross Profit</v>
          </cell>
          <cell r="M190">
            <v>42.045000000000002</v>
          </cell>
          <cell r="N190">
            <v>44.024999999999999</v>
          </cell>
          <cell r="O190">
            <v>72.78</v>
          </cell>
          <cell r="P190">
            <v>74.324999999999989</v>
          </cell>
          <cell r="Q190">
            <v>59.13</v>
          </cell>
        </row>
        <row r="191">
          <cell r="I191" t="str">
            <v>Gross Profit margin (%)</v>
          </cell>
          <cell r="M191">
            <v>4.6938755879674762E-2</v>
          </cell>
          <cell r="N191">
            <v>4.6518872054678612E-2</v>
          </cell>
          <cell r="O191">
            <v>4.4086967436620786E-2</v>
          </cell>
          <cell r="P191">
            <v>4.2010230655392257E-2</v>
          </cell>
          <cell r="Q191">
            <v>3.1189174435855851E-2</v>
          </cell>
        </row>
        <row r="192">
          <cell r="I192" t="str">
            <v>% of total gross profit</v>
          </cell>
          <cell r="M192">
            <v>0.10482449470080955</v>
          </cell>
          <cell r="N192">
            <v>7.0914274668986185E-2</v>
          </cell>
          <cell r="O192">
            <v>7.6132016556987619E-2</v>
          </cell>
          <cell r="P192">
            <v>5.8952396287010322E-2</v>
          </cell>
          <cell r="Q192">
            <v>3.0974786429554757E-2</v>
          </cell>
        </row>
        <row r="193">
          <cell r="I193" t="str">
            <v>GDS fees per segment</v>
          </cell>
          <cell r="M193">
            <v>4</v>
          </cell>
          <cell r="N193">
            <v>4</v>
          </cell>
          <cell r="O193">
            <v>4</v>
          </cell>
          <cell r="P193">
            <v>4</v>
          </cell>
          <cell r="Q193">
            <v>4</v>
          </cell>
        </row>
        <row r="194">
          <cell r="I194" t="str">
            <v>Average segments</v>
          </cell>
          <cell r="M194">
            <v>2.5</v>
          </cell>
          <cell r="N194">
            <v>2.5</v>
          </cell>
          <cell r="O194">
            <v>2.5</v>
          </cell>
          <cell r="P194">
            <v>2.5</v>
          </cell>
          <cell r="Q194">
            <v>2.5</v>
          </cell>
        </row>
        <row r="195">
          <cell r="I195" t="str">
            <v>GDS fees per ticket</v>
          </cell>
          <cell r="M195">
            <v>10</v>
          </cell>
          <cell r="N195">
            <v>10</v>
          </cell>
          <cell r="O195">
            <v>10</v>
          </cell>
          <cell r="P195">
            <v>10</v>
          </cell>
          <cell r="Q195">
            <v>10</v>
          </cell>
        </row>
        <row r="196">
          <cell r="I196" t="str">
            <v>OTA fees per ticket</v>
          </cell>
          <cell r="M196">
            <v>5</v>
          </cell>
          <cell r="N196">
            <v>5</v>
          </cell>
          <cell r="O196">
            <v>0</v>
          </cell>
          <cell r="P196">
            <v>0</v>
          </cell>
          <cell r="Q196">
            <v>0</v>
          </cell>
        </row>
        <row r="198">
          <cell r="I198" t="str">
            <v>Hotel</v>
          </cell>
        </row>
        <row r="199">
          <cell r="I199" t="str">
            <v>Global Hotel Room Nights</v>
          </cell>
          <cell r="M199">
            <v>18.651</v>
          </cell>
          <cell r="N199">
            <v>27.777000000000001</v>
          </cell>
          <cell r="O199">
            <v>40.813999999999993</v>
          </cell>
          <cell r="P199">
            <v>60.912000000000006</v>
          </cell>
          <cell r="Q199">
            <v>92.762000000000015</v>
          </cell>
        </row>
        <row r="200">
          <cell r="I200" t="str">
            <v>y/y Growth - %</v>
          </cell>
          <cell r="M200" t="str">
            <v>NA</v>
          </cell>
          <cell r="N200">
            <v>0.48930352259932453</v>
          </cell>
          <cell r="O200">
            <v>0.46934514166396624</v>
          </cell>
          <cell r="P200">
            <v>0.49242906845690237</v>
          </cell>
          <cell r="Q200">
            <v>0.52288547412660891</v>
          </cell>
        </row>
        <row r="202">
          <cell r="I202" t="str">
            <v>Car</v>
          </cell>
        </row>
        <row r="203">
          <cell r="I203" t="str">
            <v>Rental Car Days</v>
          </cell>
          <cell r="M203">
            <v>7.4539999999999997</v>
          </cell>
          <cell r="N203">
            <v>8.6210000000000004</v>
          </cell>
          <cell r="O203">
            <v>9.984</v>
          </cell>
          <cell r="P203">
            <v>11.225000000000001</v>
          </cell>
          <cell r="Q203">
            <v>16.314999999999998</v>
          </cell>
        </row>
        <row r="204">
          <cell r="I204" t="str">
            <v>y/y Growth - %</v>
          </cell>
          <cell r="M204" t="str">
            <v>NA</v>
          </cell>
          <cell r="N204">
            <v>0.15656023611483771</v>
          </cell>
          <cell r="O204">
            <v>0.15810230831690064</v>
          </cell>
          <cell r="P204">
            <v>0.12429887820512842</v>
          </cell>
          <cell r="Q204">
            <v>0.45345211581291722</v>
          </cell>
        </row>
        <row r="206">
          <cell r="I206" t="str">
            <v>Air Check</v>
          </cell>
          <cell r="M206" t="str">
            <v>YES</v>
          </cell>
          <cell r="N206" t="str">
            <v>YES</v>
          </cell>
          <cell r="O206" t="str">
            <v>YES</v>
          </cell>
          <cell r="P206" t="str">
            <v>YES</v>
          </cell>
          <cell r="Q206" t="str">
            <v>YES</v>
          </cell>
          <cell r="R206" t="str">
            <v>YES</v>
          </cell>
          <cell r="S206" t="str">
            <v>YES</v>
          </cell>
          <cell r="T206" t="str">
            <v>YES</v>
          </cell>
          <cell r="U206" t="str">
            <v>YES</v>
          </cell>
          <cell r="V206" t="str">
            <v>YES</v>
          </cell>
          <cell r="W206" t="str">
            <v>YES</v>
          </cell>
          <cell r="X206" t="str">
            <v>YES</v>
          </cell>
          <cell r="Y206" t="str">
            <v>YES</v>
          </cell>
          <cell r="Z206" t="str">
            <v>YES</v>
          </cell>
          <cell r="AA206" t="str">
            <v>YES</v>
          </cell>
          <cell r="AB206" t="str">
            <v>YES</v>
          </cell>
          <cell r="AC206" t="str">
            <v>YES</v>
          </cell>
          <cell r="AD206" t="str">
            <v>YES</v>
          </cell>
          <cell r="AE206" t="str">
            <v>YES</v>
          </cell>
          <cell r="AF206" t="str">
            <v>YES</v>
          </cell>
          <cell r="AG206" t="str">
            <v>YES</v>
          </cell>
          <cell r="AH206" t="str">
            <v>YES</v>
          </cell>
          <cell r="AI206" t="str">
            <v>YES</v>
          </cell>
          <cell r="AJ206" t="str">
            <v>YES</v>
          </cell>
        </row>
        <row r="207">
          <cell r="I207" t="str">
            <v>Air Check</v>
          </cell>
          <cell r="M207" t="str">
            <v>YES</v>
          </cell>
          <cell r="N207" t="str">
            <v>YES</v>
          </cell>
          <cell r="O207" t="str">
            <v>YES</v>
          </cell>
          <cell r="P207" t="str">
            <v>YES</v>
          </cell>
          <cell r="Q207" t="str">
            <v>YES</v>
          </cell>
          <cell r="R207" t="str">
            <v>YES</v>
          </cell>
          <cell r="S207" t="str">
            <v>YES</v>
          </cell>
          <cell r="T207" t="str">
            <v>YES</v>
          </cell>
          <cell r="U207" t="str">
            <v>YES</v>
          </cell>
          <cell r="V207" t="str">
            <v>YES</v>
          </cell>
          <cell r="W207" t="str">
            <v>YES</v>
          </cell>
          <cell r="X207" t="str">
            <v>YES</v>
          </cell>
          <cell r="Y207" t="str">
            <v>YES</v>
          </cell>
          <cell r="Z207" t="str">
            <v>YES</v>
          </cell>
          <cell r="AA207" t="str">
            <v>YES</v>
          </cell>
          <cell r="AB207" t="str">
            <v>YES</v>
          </cell>
          <cell r="AC207" t="str">
            <v>YES</v>
          </cell>
          <cell r="AD207" t="str">
            <v>YES</v>
          </cell>
          <cell r="AE207" t="str">
            <v>YES</v>
          </cell>
          <cell r="AF207" t="str">
            <v>YES</v>
          </cell>
          <cell r="AG207" t="str">
            <v>YES</v>
          </cell>
          <cell r="AH207" t="str">
            <v>YES</v>
          </cell>
          <cell r="AI207" t="str">
            <v>YES</v>
          </cell>
          <cell r="AJ207" t="str">
            <v>YES</v>
          </cell>
        </row>
        <row r="209">
          <cell r="I209" t="str">
            <v>Gross bookings by Geography</v>
          </cell>
        </row>
        <row r="210">
          <cell r="I210" t="str">
            <v>US</v>
          </cell>
          <cell r="M210">
            <v>1972.7899999999995</v>
          </cell>
          <cell r="N210">
            <v>2154.375</v>
          </cell>
          <cell r="O210">
            <v>3081.7919999999999</v>
          </cell>
          <cell r="P210">
            <v>3646.0619999999999</v>
          </cell>
          <cell r="Q210">
            <v>4166.875</v>
          </cell>
          <cell r="R210">
            <v>4723.7474999999995</v>
          </cell>
          <cell r="S210">
            <v>5308.8141479999995</v>
          </cell>
          <cell r="T210">
            <v>5829.1939200300003</v>
          </cell>
          <cell r="U210">
            <v>6267.6563735969012</v>
          </cell>
          <cell r="V210">
            <v>6595.9512793957383</v>
          </cell>
          <cell r="W210">
            <v>6908.501338879084</v>
          </cell>
          <cell r="X210">
            <v>7202.8650346225786</v>
          </cell>
          <cell r="Y210">
            <v>7509.8143420942879</v>
          </cell>
          <cell r="Z210">
            <v>7829.889183638772</v>
          </cell>
          <cell r="AA210">
            <v>8163.6527208987673</v>
          </cell>
          <cell r="AB210">
            <v>8511.6923582953132</v>
          </cell>
          <cell r="AC210">
            <v>8874.6207899729452</v>
          </cell>
          <cell r="AD210">
            <v>9253.0770920982468</v>
          </cell>
          <cell r="AE210">
            <v>9647.7278624822466</v>
          </cell>
          <cell r="AF210">
            <v>10059.26840958311</v>
          </cell>
          <cell r="AG210">
            <v>10488.42399303508</v>
          </cell>
          <cell r="AH210">
            <v>10935.951117943216</v>
          </cell>
          <cell r="AI210">
            <v>11402.638885281081</v>
          </cell>
          <cell r="AJ210">
            <v>11889.310400830367</v>
          </cell>
        </row>
        <row r="211">
          <cell r="I211" t="str">
            <v>y/y Growth - %</v>
          </cell>
          <cell r="M211" t="str">
            <v>NA</v>
          </cell>
          <cell r="N211">
            <v>9.2044769083379663E-2</v>
          </cell>
          <cell r="O211">
            <v>0.43048076588337691</v>
          </cell>
          <cell r="P211">
            <v>0.18309801569995643</v>
          </cell>
          <cell r="Q211">
            <v>0.14284260662599824</v>
          </cell>
          <cell r="R211">
            <v>0.13364271786410664</v>
          </cell>
          <cell r="S211">
            <v>0.12385646099839165</v>
          </cell>
          <cell r="T211">
            <v>9.802184772771616E-2</v>
          </cell>
          <cell r="U211">
            <v>7.5218368025170124E-2</v>
          </cell>
          <cell r="V211">
            <v>5.237921261634737E-2</v>
          </cell>
          <cell r="W211">
            <v>4.7385137676756672E-2</v>
          </cell>
          <cell r="X211">
            <v>4.2608907678268748E-2</v>
          </cell>
          <cell r="Y211">
            <v>4.26148908797086E-2</v>
          </cell>
          <cell r="Z211">
            <v>4.2620872762511475E-2</v>
          </cell>
          <cell r="AA211">
            <v>4.2626853258335151E-2</v>
          </cell>
          <cell r="AB211">
            <v>4.2632832298901135E-2</v>
          </cell>
          <cell r="AC211">
            <v>4.2638809815997325E-2</v>
          </cell>
          <cell r="AD211">
            <v>4.2644785741482449E-2</v>
          </cell>
          <cell r="AE211">
            <v>4.265076000728607E-2</v>
          </cell>
          <cell r="AF211">
            <v>4.2656732545416132E-2</v>
          </cell>
          <cell r="AG211">
            <v>4.2662703287957626E-2</v>
          </cell>
          <cell r="AH211">
            <v>4.2668672167078592E-2</v>
          </cell>
          <cell r="AI211">
            <v>4.2674639115032775E-2</v>
          </cell>
          <cell r="AJ211">
            <v>4.2680604064160743E-2</v>
          </cell>
        </row>
        <row r="212">
          <cell r="I212" t="str">
            <v>% of total gross bookings</v>
          </cell>
          <cell r="M212">
            <v>0.59425878281761657</v>
          </cell>
          <cell r="N212">
            <v>0.44609431036796166</v>
          </cell>
          <cell r="O212">
            <v>0.41645179393785259</v>
          </cell>
          <cell r="P212">
            <v>0.39162596339315464</v>
          </cell>
          <cell r="Q212">
            <v>0.30535784623558404</v>
          </cell>
          <cell r="R212">
            <v>0.22116074762254778</v>
          </cell>
          <cell r="S212">
            <v>0.1892040348552026</v>
          </cell>
          <cell r="T212">
            <v>0.16934370452460468</v>
          </cell>
          <cell r="U212">
            <v>0.16045854581245048</v>
          </cell>
          <cell r="V212">
            <v>0.15487637312048194</v>
          </cell>
          <cell r="W212">
            <v>0.15129933988750652</v>
          </cell>
          <cell r="X212">
            <v>0.14869269561012091</v>
          </cell>
          <cell r="Y212">
            <v>0.14753912868574892</v>
          </cell>
          <cell r="Z212">
            <v>0.14657697058612804</v>
          </cell>
          <cell r="AA212">
            <v>0.14561117237780444</v>
          </cell>
          <cell r="AB212">
            <v>0.14464175452602671</v>
          </cell>
          <cell r="AC212">
            <v>0.14366874031979085</v>
          </cell>
          <cell r="AD212">
            <v>0.14269215592830722</v>
          </cell>
          <cell r="AE212">
            <v>0.14171203045594727</v>
          </cell>
          <cell r="AF212">
            <v>0.14072839599552614</v>
          </cell>
          <cell r="AG212">
            <v>0.13974128767977109</v>
          </cell>
          <cell r="AH212">
            <v>0.13875074373082452</v>
          </cell>
          <cell r="AI212">
            <v>0.13775680550762898</v>
          </cell>
          <cell r="AJ212">
            <v>0.13675951755103888</v>
          </cell>
        </row>
        <row r="213">
          <cell r="I213" t="str">
            <v>International</v>
          </cell>
          <cell r="M213">
            <v>1346.9590000000001</v>
          </cell>
          <cell r="N213">
            <v>2675.0410000000002</v>
          </cell>
          <cell r="O213">
            <v>4318.3249999999998</v>
          </cell>
          <cell r="P213">
            <v>5664</v>
          </cell>
          <cell r="Q213">
            <v>9479</v>
          </cell>
          <cell r="R213">
            <v>16635.139873911208</v>
          </cell>
          <cell r="S213">
            <v>22749.858871646873</v>
          </cell>
          <cell r="T213">
            <v>28593.071356344954</v>
          </cell>
          <cell r="U213">
            <v>32793.250864854301</v>
          </cell>
          <cell r="V213">
            <v>35992.541377677226</v>
          </cell>
          <cell r="W213">
            <v>38752.645259748955</v>
          </cell>
          <cell r="X213">
            <v>41238.418547382171</v>
          </cell>
          <cell r="Y213">
            <v>43390.67835425221</v>
          </cell>
          <cell r="Z213">
            <v>45588.387591551917</v>
          </cell>
          <cell r="AA213">
            <v>47901.088655657542</v>
          </cell>
          <cell r="AB213">
            <v>50335.024388104008</v>
          </cell>
          <cell r="AC213">
            <v>52896.790097454701</v>
          </cell>
          <cell r="AD213">
            <v>55593.354247458126</v>
          </cell>
          <cell r="AE213">
            <v>58432.080403911546</v>
          </cell>
          <cell r="AF213">
            <v>61420.750519239911</v>
          </cell>
          <cell r="AG213">
            <v>64567.589638885824</v>
          </cell>
          <cell r="AH213">
            <v>67881.292119029153</v>
          </cell>
          <cell r="AI213">
            <v>71371.049450934021</v>
          </cell>
          <cell r="AJ213">
            <v>75046.579793380486</v>
          </cell>
        </row>
        <row r="214">
          <cell r="I214" t="str">
            <v>y/y Growth - %</v>
          </cell>
          <cell r="M214" t="str">
            <v>NA</v>
          </cell>
          <cell r="N214">
            <v>0.98598546800607889</v>
          </cell>
          <cell r="O214">
            <v>0.61430236022550666</v>
          </cell>
          <cell r="P214">
            <v>0.31161966734787216</v>
          </cell>
          <cell r="Q214">
            <v>0.67355225988700562</v>
          </cell>
          <cell r="R214">
            <v>0.75494671103610167</v>
          </cell>
          <cell r="S214">
            <v>0.36757845404866973</v>
          </cell>
          <cell r="T214">
            <v>0.25684609815230419</v>
          </cell>
          <cell r="U214">
            <v>0.14689501019894124</v>
          </cell>
          <cell r="V214">
            <v>9.755941934539103E-2</v>
          </cell>
          <cell r="W214">
            <v>7.668544027245483E-2</v>
          </cell>
          <cell r="X214">
            <v>6.4144609251103324E-2</v>
          </cell>
          <cell r="Y214">
            <v>5.219064849436772E-2</v>
          </cell>
          <cell r="Z214">
            <v>5.0649340380370722E-2</v>
          </cell>
          <cell r="AA214">
            <v>5.0730047415280755E-2</v>
          </cell>
          <cell r="AB214">
            <v>5.0811699707768554E-2</v>
          </cell>
          <cell r="AC214">
            <v>5.0894297568993219E-2</v>
          </cell>
          <cell r="AD214">
            <v>5.0977840905571004E-2</v>
          </cell>
          <cell r="AE214">
            <v>5.1062329209668356E-2</v>
          </cell>
          <cell r="AF214">
            <v>5.114776154929257E-2</v>
          </cell>
          <cell r="AG214">
            <v>5.1234136558786725E-2</v>
          </cell>
          <cell r="AH214">
            <v>5.1321452429558434E-2</v>
          </cell>
          <cell r="AI214">
            <v>5.1409706901065055E-2</v>
          </cell>
          <cell r="AJ214">
            <v>5.1498897252075793E-2</v>
          </cell>
        </row>
        <row r="215">
          <cell r="I215" t="str">
            <v>(+/-) FX y/y Growth - %</v>
          </cell>
          <cell r="M215" t="str">
            <v>NA</v>
          </cell>
          <cell r="N215">
            <v>-0.16467118449782081</v>
          </cell>
          <cell r="O215">
            <v>-0.12337984053328532</v>
          </cell>
          <cell r="P215">
            <v>0.10567870273775126</v>
          </cell>
          <cell r="Q215">
            <v>5.07224576271188E-2</v>
          </cell>
          <cell r="R215">
            <v>-8.4024519161382649E-2</v>
          </cell>
          <cell r="S215">
            <v>4.9963834690652353E-2</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row>
        <row r="216">
          <cell r="I216" t="str">
            <v>y/y Growth - % (excl F/X)</v>
          </cell>
          <cell r="M216" t="str">
            <v>NA</v>
          </cell>
          <cell r="N216">
            <v>0.82131428350825808</v>
          </cell>
          <cell r="O216">
            <v>0.49092251969222134</v>
          </cell>
          <cell r="P216">
            <v>0.41729837008562343</v>
          </cell>
          <cell r="Q216">
            <v>0.72427471751412442</v>
          </cell>
          <cell r="R216">
            <v>0.67092219187471902</v>
          </cell>
          <cell r="S216">
            <v>0.41754228873932209</v>
          </cell>
          <cell r="T216">
            <v>0.25684609815230419</v>
          </cell>
          <cell r="U216">
            <v>0.14689501019894124</v>
          </cell>
          <cell r="V216">
            <v>9.755941934539103E-2</v>
          </cell>
          <cell r="W216">
            <v>7.668544027245483E-2</v>
          </cell>
          <cell r="X216">
            <v>6.4144609251103324E-2</v>
          </cell>
          <cell r="Y216">
            <v>5.219064849436772E-2</v>
          </cell>
          <cell r="Z216">
            <v>5.0649340380370722E-2</v>
          </cell>
          <cell r="AA216">
            <v>5.0730047415280755E-2</v>
          </cell>
          <cell r="AB216">
            <v>5.0811699707768554E-2</v>
          </cell>
          <cell r="AC216">
            <v>5.0894297568993219E-2</v>
          </cell>
          <cell r="AD216">
            <v>5.0977840905571004E-2</v>
          </cell>
          <cell r="AE216">
            <v>5.1062329209668356E-2</v>
          </cell>
          <cell r="AF216">
            <v>5.114776154929257E-2</v>
          </cell>
          <cell r="AG216">
            <v>5.1234136558786725E-2</v>
          </cell>
          <cell r="AH216">
            <v>5.1321452429558434E-2</v>
          </cell>
          <cell r="AI216">
            <v>5.1409706901065055E-2</v>
          </cell>
          <cell r="AJ216">
            <v>5.1498897252075793E-2</v>
          </cell>
        </row>
        <row r="217">
          <cell r="I217" t="str">
            <v>% of total gross bookings</v>
          </cell>
          <cell r="M217">
            <v>0.40574121718238343</v>
          </cell>
          <cell r="N217">
            <v>0.55390568963203834</v>
          </cell>
          <cell r="O217">
            <v>0.5835482060621473</v>
          </cell>
          <cell r="P217">
            <v>0.60837403660684541</v>
          </cell>
          <cell r="Q217">
            <v>0.69464215376441596</v>
          </cell>
          <cell r="R217">
            <v>0.77883925237745211</v>
          </cell>
          <cell r="S217">
            <v>0.81079596514479746</v>
          </cell>
          <cell r="T217">
            <v>0.83065629547539521</v>
          </cell>
          <cell r="U217">
            <v>0.83954145418754944</v>
          </cell>
          <cell r="V217">
            <v>0.84512362687951803</v>
          </cell>
          <cell r="W217">
            <v>0.84870066011249368</v>
          </cell>
          <cell r="X217">
            <v>0.85130730438987923</v>
          </cell>
          <cell r="Y217">
            <v>0.85246087131425119</v>
          </cell>
          <cell r="Z217">
            <v>0.85342302941387183</v>
          </cell>
          <cell r="AA217">
            <v>0.85438882762219537</v>
          </cell>
          <cell r="AB217">
            <v>0.85535824547397354</v>
          </cell>
          <cell r="AC217">
            <v>0.85633125968020896</v>
          </cell>
          <cell r="AD217">
            <v>0.85730784407169269</v>
          </cell>
          <cell r="AE217">
            <v>0.85828796954405284</v>
          </cell>
          <cell r="AF217">
            <v>0.85927160400447389</v>
          </cell>
          <cell r="AG217">
            <v>0.86025871232022899</v>
          </cell>
          <cell r="AH217">
            <v>0.86124925626917548</v>
          </cell>
          <cell r="AI217">
            <v>0.86224319449237086</v>
          </cell>
          <cell r="AJ217">
            <v>0.86324048244896112</v>
          </cell>
        </row>
        <row r="218">
          <cell r="I218" t="str">
            <v>Total Check</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row>
        <row r="220">
          <cell r="I220" t="str">
            <v>Exchange Rates</v>
          </cell>
        </row>
        <row r="221">
          <cell r="I221" t="str">
            <v>EUR / USD Exchange Rate</v>
          </cell>
          <cell r="M221">
            <v>1.256</v>
          </cell>
          <cell r="N221">
            <v>1.3704000000000001</v>
          </cell>
          <cell r="O221">
            <v>1.4709000000000001</v>
          </cell>
          <cell r="P221">
            <v>1.3942000000000001</v>
          </cell>
          <cell r="Q221">
            <v>1.3274999999999999</v>
          </cell>
          <cell r="R221">
            <v>1.3924000000000001</v>
          </cell>
          <cell r="S221">
            <v>1.3003</v>
          </cell>
          <cell r="T221">
            <v>1.3003</v>
          </cell>
          <cell r="U221">
            <v>1.3003</v>
          </cell>
          <cell r="V221">
            <v>1.3003</v>
          </cell>
          <cell r="W221">
            <v>1.3003</v>
          </cell>
          <cell r="X221">
            <v>1.3003</v>
          </cell>
          <cell r="Y221">
            <v>1.3003</v>
          </cell>
          <cell r="Z221">
            <v>1.3003</v>
          </cell>
          <cell r="AA221">
            <v>1.3003</v>
          </cell>
          <cell r="AB221">
            <v>1.3003</v>
          </cell>
          <cell r="AC221">
            <v>1.3003</v>
          </cell>
          <cell r="AD221">
            <v>1.3003</v>
          </cell>
          <cell r="AE221">
            <v>1.3003</v>
          </cell>
          <cell r="AF221">
            <v>1.3003</v>
          </cell>
          <cell r="AG221">
            <v>1.3003</v>
          </cell>
          <cell r="AH221">
            <v>1.3003</v>
          </cell>
          <cell r="AI221">
            <v>1.3003</v>
          </cell>
          <cell r="AJ221">
            <v>1.3003</v>
          </cell>
        </row>
        <row r="222">
          <cell r="I222" t="str">
            <v>GBP / USD Exchange Rate</v>
          </cell>
          <cell r="M222">
            <v>1.8428</v>
          </cell>
          <cell r="N222">
            <v>2.0013000000000001</v>
          </cell>
          <cell r="O222">
            <v>1.8546</v>
          </cell>
          <cell r="P222">
            <v>1.5653999999999999</v>
          </cell>
          <cell r="Q222">
            <v>1.5458000000000001</v>
          </cell>
          <cell r="R222">
            <v>1.6039000000000001</v>
          </cell>
          <cell r="S222">
            <v>1.5603</v>
          </cell>
          <cell r="T222">
            <v>1.5603</v>
          </cell>
          <cell r="U222">
            <v>1.5603</v>
          </cell>
          <cell r="V222">
            <v>1.5603</v>
          </cell>
          <cell r="W222">
            <v>1.5603</v>
          </cell>
          <cell r="X222">
            <v>1.5603</v>
          </cell>
          <cell r="Y222">
            <v>1.5603</v>
          </cell>
          <cell r="Z222">
            <v>1.5603</v>
          </cell>
          <cell r="AA222">
            <v>1.5603</v>
          </cell>
          <cell r="AB222">
            <v>1.5603</v>
          </cell>
          <cell r="AC222">
            <v>1.5603</v>
          </cell>
          <cell r="AD222">
            <v>1.5603</v>
          </cell>
          <cell r="AE222">
            <v>1.5603</v>
          </cell>
          <cell r="AF222">
            <v>1.5603</v>
          </cell>
          <cell r="AG222">
            <v>1.5603</v>
          </cell>
          <cell r="AH222">
            <v>1.5603</v>
          </cell>
          <cell r="AI222">
            <v>1.5603</v>
          </cell>
          <cell r="AJ222">
            <v>1.5603</v>
          </cell>
        </row>
        <row r="223">
          <cell r="I223" t="str">
            <v>YEN / USD Exchange Rate</v>
          </cell>
          <cell r="M223">
            <v>8.6E-3</v>
          </cell>
          <cell r="N223">
            <v>8.5000000000000006E-3</v>
          </cell>
          <cell r="O223">
            <v>9.7000000000000003E-3</v>
          </cell>
          <cell r="P223">
            <v>1.0699999999999999E-2</v>
          </cell>
          <cell r="Q223">
            <v>1.14E-2</v>
          </cell>
          <cell r="R223">
            <v>1.26E-2</v>
          </cell>
          <cell r="S223">
            <v>1.2999999999999999E-2</v>
          </cell>
          <cell r="T223">
            <v>1.2999999999999999E-2</v>
          </cell>
          <cell r="U223">
            <v>1.2999999999999999E-2</v>
          </cell>
          <cell r="V223">
            <v>1.2999999999999999E-2</v>
          </cell>
          <cell r="W223">
            <v>1.2999999999999999E-2</v>
          </cell>
          <cell r="X223">
            <v>1.2999999999999999E-2</v>
          </cell>
          <cell r="Y223">
            <v>1.2999999999999999E-2</v>
          </cell>
          <cell r="Z223">
            <v>1.2999999999999999E-2</v>
          </cell>
          <cell r="AA223">
            <v>1.2999999999999999E-2</v>
          </cell>
          <cell r="AB223">
            <v>1.2999999999999999E-2</v>
          </cell>
          <cell r="AC223">
            <v>1.2999999999999999E-2</v>
          </cell>
          <cell r="AD223">
            <v>1.2999999999999999E-2</v>
          </cell>
          <cell r="AE223">
            <v>1.2999999999999999E-2</v>
          </cell>
          <cell r="AF223">
            <v>1.2999999999999999E-2</v>
          </cell>
          <cell r="AG223">
            <v>1.2999999999999999E-2</v>
          </cell>
          <cell r="AH223">
            <v>1.2999999999999999E-2</v>
          </cell>
          <cell r="AI223">
            <v>1.2999999999999999E-2</v>
          </cell>
          <cell r="AJ223">
            <v>1.2999999999999999E-2</v>
          </cell>
        </row>
        <row r="224">
          <cell r="I224" t="str">
            <v>AUD / USD Exchange Rate</v>
          </cell>
          <cell r="M224">
            <v>0.75319999999999998</v>
          </cell>
          <cell r="N224">
            <v>0.83850000000000002</v>
          </cell>
          <cell r="O224">
            <v>0.85240000000000005</v>
          </cell>
          <cell r="P224">
            <v>0.79190000000000005</v>
          </cell>
          <cell r="Q224">
            <v>0.91949999999999998</v>
          </cell>
          <cell r="R224">
            <v>1.0328999999999999</v>
          </cell>
          <cell r="S224">
            <v>1.0331999999999999</v>
          </cell>
          <cell r="T224">
            <v>1.0331999999999999</v>
          </cell>
          <cell r="U224">
            <v>1.0331999999999999</v>
          </cell>
          <cell r="V224">
            <v>1.0331999999999999</v>
          </cell>
          <cell r="W224">
            <v>1.0331999999999999</v>
          </cell>
          <cell r="X224">
            <v>1.0331999999999999</v>
          </cell>
          <cell r="Y224">
            <v>1.0331999999999999</v>
          </cell>
          <cell r="Z224">
            <v>1.0331999999999999</v>
          </cell>
          <cell r="AA224">
            <v>1.0331999999999999</v>
          </cell>
          <cell r="AB224">
            <v>1.0331999999999999</v>
          </cell>
          <cell r="AC224">
            <v>1.0331999999999999</v>
          </cell>
          <cell r="AD224">
            <v>1.0331999999999999</v>
          </cell>
          <cell r="AE224">
            <v>1.0331999999999999</v>
          </cell>
          <cell r="AF224">
            <v>1.0331999999999999</v>
          </cell>
          <cell r="AG224">
            <v>1.0331999999999999</v>
          </cell>
          <cell r="AH224">
            <v>1.0331999999999999</v>
          </cell>
          <cell r="AI224">
            <v>1.0331999999999999</v>
          </cell>
          <cell r="AJ224">
            <v>1.0331999999999999</v>
          </cell>
        </row>
        <row r="225">
          <cell r="I225" t="str">
            <v>CNY / USD Exchange Rate</v>
          </cell>
          <cell r="M225">
            <v>0.12529999999999999</v>
          </cell>
          <cell r="N225">
            <v>0.1313</v>
          </cell>
          <cell r="O225">
            <v>0.14369999999999999</v>
          </cell>
          <cell r="P225">
            <v>0.1462</v>
          </cell>
          <cell r="Q225">
            <v>0.14749999999999999</v>
          </cell>
          <cell r="R225">
            <v>0.1545</v>
          </cell>
          <cell r="S225">
            <v>0.15820000000000001</v>
          </cell>
          <cell r="T225">
            <v>0.15820000000000001</v>
          </cell>
          <cell r="U225">
            <v>0.15820000000000001</v>
          </cell>
          <cell r="V225">
            <v>0.15820000000000001</v>
          </cell>
          <cell r="W225">
            <v>0.15820000000000001</v>
          </cell>
          <cell r="X225">
            <v>0.15820000000000001</v>
          </cell>
          <cell r="Y225">
            <v>0.15820000000000001</v>
          </cell>
          <cell r="Z225">
            <v>0.15820000000000001</v>
          </cell>
          <cell r="AA225">
            <v>0.15820000000000001</v>
          </cell>
          <cell r="AB225">
            <v>0.15820000000000001</v>
          </cell>
          <cell r="AC225">
            <v>0.15820000000000001</v>
          </cell>
          <cell r="AD225">
            <v>0.15820000000000001</v>
          </cell>
          <cell r="AE225">
            <v>0.15820000000000001</v>
          </cell>
          <cell r="AF225">
            <v>0.15820000000000001</v>
          </cell>
          <cell r="AG225">
            <v>0.15820000000000001</v>
          </cell>
          <cell r="AH225">
            <v>0.15820000000000001</v>
          </cell>
          <cell r="AI225">
            <v>0.15820000000000001</v>
          </cell>
          <cell r="AJ225">
            <v>0.15820000000000001</v>
          </cell>
        </row>
        <row r="226">
          <cell r="I226" t="str">
            <v>BRL / USD Exchange Rate</v>
          </cell>
          <cell r="M226">
            <v>0.45910000000000001</v>
          </cell>
          <cell r="N226">
            <v>0.51449999999999996</v>
          </cell>
          <cell r="O226">
            <v>0.55430000000000001</v>
          </cell>
          <cell r="P226">
            <v>0.50429999999999997</v>
          </cell>
          <cell r="Q226">
            <v>0.56630000000000003</v>
          </cell>
          <cell r="R226">
            <v>0.59870000000000001</v>
          </cell>
          <cell r="S226">
            <v>0.54590000000000005</v>
          </cell>
          <cell r="T226">
            <v>0.54590000000000005</v>
          </cell>
          <cell r="U226">
            <v>0.54590000000000005</v>
          </cell>
          <cell r="V226">
            <v>0.54590000000000005</v>
          </cell>
          <cell r="W226">
            <v>0.54590000000000005</v>
          </cell>
          <cell r="X226">
            <v>0.54590000000000005</v>
          </cell>
          <cell r="Y226">
            <v>0.54590000000000005</v>
          </cell>
          <cell r="Z226">
            <v>0.54590000000000005</v>
          </cell>
          <cell r="AA226">
            <v>0.54590000000000005</v>
          </cell>
          <cell r="AB226">
            <v>0.54590000000000005</v>
          </cell>
          <cell r="AC226">
            <v>0.54590000000000005</v>
          </cell>
          <cell r="AD226">
            <v>0.54590000000000005</v>
          </cell>
          <cell r="AE226">
            <v>0.54590000000000005</v>
          </cell>
          <cell r="AF226">
            <v>0.54590000000000005</v>
          </cell>
          <cell r="AG226">
            <v>0.54590000000000005</v>
          </cell>
          <cell r="AH226">
            <v>0.54590000000000005</v>
          </cell>
          <cell r="AI226">
            <v>0.54590000000000005</v>
          </cell>
          <cell r="AJ226">
            <v>0.54590000000000005</v>
          </cell>
        </row>
        <row r="227">
          <cell r="I227" t="str">
            <v>CAD / USD Exchange Rate</v>
          </cell>
          <cell r="M227">
            <v>0.88170000000000004</v>
          </cell>
          <cell r="N227">
            <v>0.93520000000000003</v>
          </cell>
          <cell r="O227">
            <v>0.94350000000000001</v>
          </cell>
          <cell r="P227">
            <v>0.87980000000000003</v>
          </cell>
          <cell r="Q227">
            <v>0.97050000000000003</v>
          </cell>
          <cell r="R227">
            <v>1.0115000000000001</v>
          </cell>
          <cell r="S227">
            <v>0.98719999999999997</v>
          </cell>
          <cell r="T227">
            <v>0.98719999999999997</v>
          </cell>
          <cell r="U227">
            <v>0.98719999999999997</v>
          </cell>
          <cell r="V227">
            <v>0.98719999999999997</v>
          </cell>
          <cell r="W227">
            <v>0.98719999999999997</v>
          </cell>
          <cell r="X227">
            <v>0.98719999999999997</v>
          </cell>
          <cell r="Y227">
            <v>0.98719999999999997</v>
          </cell>
          <cell r="Z227">
            <v>0.98719999999999997</v>
          </cell>
          <cell r="AA227">
            <v>0.98719999999999997</v>
          </cell>
          <cell r="AB227">
            <v>0.98719999999999997</v>
          </cell>
          <cell r="AC227">
            <v>0.98719999999999997</v>
          </cell>
          <cell r="AD227">
            <v>0.98719999999999997</v>
          </cell>
          <cell r="AE227">
            <v>0.98719999999999997</v>
          </cell>
          <cell r="AF227">
            <v>0.98719999999999997</v>
          </cell>
          <cell r="AG227">
            <v>0.98719999999999997</v>
          </cell>
          <cell r="AH227">
            <v>0.98719999999999997</v>
          </cell>
          <cell r="AI227">
            <v>0.98719999999999997</v>
          </cell>
          <cell r="AJ227">
            <v>0.98719999999999997</v>
          </cell>
        </row>
        <row r="228">
          <cell r="I228" t="str">
            <v>USD / USD Exchange Rate</v>
          </cell>
          <cell r="M228">
            <v>1</v>
          </cell>
          <cell r="N228">
            <v>1</v>
          </cell>
          <cell r="O228">
            <v>1</v>
          </cell>
          <cell r="P228">
            <v>1</v>
          </cell>
          <cell r="Q228">
            <v>1</v>
          </cell>
          <cell r="R228">
            <v>1</v>
          </cell>
          <cell r="S228">
            <v>1</v>
          </cell>
          <cell r="T228">
            <v>1</v>
          </cell>
          <cell r="U228">
            <v>1</v>
          </cell>
          <cell r="V228">
            <v>1</v>
          </cell>
          <cell r="W228">
            <v>1</v>
          </cell>
          <cell r="X228">
            <v>1</v>
          </cell>
          <cell r="Y228">
            <v>1</v>
          </cell>
          <cell r="Z228">
            <v>1</v>
          </cell>
          <cell r="AA228">
            <v>1</v>
          </cell>
          <cell r="AB228">
            <v>1</v>
          </cell>
          <cell r="AC228">
            <v>1</v>
          </cell>
          <cell r="AD228">
            <v>1</v>
          </cell>
          <cell r="AE228">
            <v>1</v>
          </cell>
          <cell r="AF228">
            <v>1</v>
          </cell>
          <cell r="AG228">
            <v>1</v>
          </cell>
          <cell r="AH228">
            <v>1</v>
          </cell>
          <cell r="AI228">
            <v>1</v>
          </cell>
          <cell r="AJ228">
            <v>1</v>
          </cell>
        </row>
        <row r="230">
          <cell r="I230" t="str">
            <v>Exchange Rate Change</v>
          </cell>
        </row>
        <row r="231">
          <cell r="I231" t="str">
            <v>EUR / USD change</v>
          </cell>
          <cell r="N231">
            <v>9.1082802547770791E-2</v>
          </cell>
          <cell r="O231">
            <v>7.333625218914186E-2</v>
          </cell>
          <cell r="P231">
            <v>-5.2144945271602405E-2</v>
          </cell>
          <cell r="Q231">
            <v>-4.7841055802610999E-2</v>
          </cell>
          <cell r="R231">
            <v>4.8888888888888982E-2</v>
          </cell>
          <cell r="S231">
            <v>-6.6144785981040011E-2</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row>
        <row r="232">
          <cell r="I232" t="str">
            <v>GBP / USD change</v>
          </cell>
          <cell r="N232">
            <v>8.6010418927718657E-2</v>
          </cell>
          <cell r="O232">
            <v>-7.3302353470244386E-2</v>
          </cell>
          <cell r="P232">
            <v>-0.15593659010029126</v>
          </cell>
          <cell r="Q232">
            <v>-1.2520761466717656E-2</v>
          </cell>
          <cell r="R232">
            <v>3.7585716134040714E-2</v>
          </cell>
          <cell r="S232">
            <v>-2.7183739634640602E-2</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row>
        <row r="233">
          <cell r="I233" t="str">
            <v>YEN / USD change</v>
          </cell>
          <cell r="N233">
            <v>-1.1627906976744096E-2</v>
          </cell>
          <cell r="O233">
            <v>0.14117647058823524</v>
          </cell>
          <cell r="P233">
            <v>0.10309278350515449</v>
          </cell>
          <cell r="Q233">
            <v>6.542056074766367E-2</v>
          </cell>
          <cell r="R233">
            <v>0.10526315789473673</v>
          </cell>
          <cell r="S233">
            <v>3.1746031746031633E-2</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row>
        <row r="234">
          <cell r="I234" t="str">
            <v>AUD / USD change</v>
          </cell>
          <cell r="N234">
            <v>0.11325013276686136</v>
          </cell>
          <cell r="O234">
            <v>1.657722122838412E-2</v>
          </cell>
          <cell r="P234">
            <v>-7.0976067573908952E-2</v>
          </cell>
          <cell r="Q234">
            <v>0.16113145599191814</v>
          </cell>
          <cell r="R234">
            <v>0.12332789559543222</v>
          </cell>
          <cell r="S234">
            <v>2.904443799012224E-4</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row>
        <row r="235">
          <cell r="I235" t="str">
            <v>CNY / USD change</v>
          </cell>
          <cell r="N235">
            <v>4.7885075818036693E-2</v>
          </cell>
          <cell r="O235">
            <v>9.4440213252094507E-2</v>
          </cell>
          <cell r="P235">
            <v>1.7397355601948439E-2</v>
          </cell>
          <cell r="Q235">
            <v>8.8919288645690209E-3</v>
          </cell>
          <cell r="R235">
            <v>4.7457627118644208E-2</v>
          </cell>
          <cell r="S235">
            <v>2.3948220064724968E-2</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row>
        <row r="236">
          <cell r="I236" t="str">
            <v>BRL / USD change</v>
          </cell>
          <cell r="N236">
            <v>0.12067087780439989</v>
          </cell>
          <cell r="O236">
            <v>7.7356656948493807E-2</v>
          </cell>
          <cell r="P236">
            <v>-9.0203860725239116E-2</v>
          </cell>
          <cell r="Q236">
            <v>0.12294269284156267</v>
          </cell>
          <cell r="R236">
            <v>5.7213491082465096E-2</v>
          </cell>
          <cell r="S236">
            <v>-8.8191080674795308E-2</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row>
        <row r="237">
          <cell r="I237" t="str">
            <v>CAD / USD change</v>
          </cell>
          <cell r="N237">
            <v>6.0678235227401567E-2</v>
          </cell>
          <cell r="O237">
            <v>8.8751069289991769E-3</v>
          </cell>
          <cell r="P237">
            <v>-6.7514573396926347E-2</v>
          </cell>
          <cell r="Q237">
            <v>0.10309161172993853</v>
          </cell>
          <cell r="R237">
            <v>4.2246264811952594E-2</v>
          </cell>
          <cell r="S237">
            <v>-2.4023727137914119E-2</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row>
        <row r="238">
          <cell r="I238" t="str">
            <v>USD / USD change</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row>
        <row r="240">
          <cell r="I240" t="str">
            <v>Weighting</v>
          </cell>
        </row>
        <row r="241">
          <cell r="I241" t="str">
            <v xml:space="preserve">EUR / USD </v>
          </cell>
          <cell r="N241">
            <v>0.87349666790153857</v>
          </cell>
          <cell r="O241">
            <v>0.83882992827079961</v>
          </cell>
          <cell r="P241">
            <v>0.79324526615466107</v>
          </cell>
          <cell r="Q241">
            <v>0.74525190025319143</v>
          </cell>
          <cell r="R241">
            <v>0.70635758187630449</v>
          </cell>
          <cell r="S241">
            <v>0.6611823010146487</v>
          </cell>
          <cell r="T241">
            <v>0.63990555993508502</v>
          </cell>
          <cell r="U241">
            <v>0.62716454359375662</v>
          </cell>
          <cell r="V241">
            <v>0.62107127496893855</v>
          </cell>
          <cell r="W241">
            <v>0.6178588626238859</v>
          </cell>
          <cell r="X241">
            <v>0.61578225795590014</v>
          </cell>
          <cell r="Y241">
            <v>0.61312096140707018</v>
          </cell>
          <cell r="Z241">
            <v>0.60999180813583376</v>
          </cell>
          <cell r="AA241">
            <v>0.60683276206631798</v>
          </cell>
          <cell r="AB241">
            <v>0.60364391795766092</v>
          </cell>
          <cell r="AC241">
            <v>0.60042538528769274</v>
          </cell>
          <cell r="AD241">
            <v>0.59717728853233654</v>
          </cell>
          <cell r="AE241">
            <v>0.59389976743593198</v>
          </cell>
          <cell r="AF241">
            <v>0.59059297727173343</v>
          </cell>
          <cell r="AG241">
            <v>0.58725708909183483</v>
          </cell>
          <cell r="AH241">
            <v>0.58389228996576692</v>
          </cell>
          <cell r="AI241">
            <v>0.58049878320700754</v>
          </cell>
          <cell r="AJ241">
            <v>0.57707678858664668</v>
          </cell>
        </row>
        <row r="242">
          <cell r="I242" t="str">
            <v>GBP / USD</v>
          </cell>
          <cell r="N242">
            <v>9.705518532239317E-2</v>
          </cell>
          <cell r="O242">
            <v>9.3203325363422185E-2</v>
          </cell>
          <cell r="P242">
            <v>8.8138362906073464E-2</v>
          </cell>
          <cell r="Q242">
            <v>8.2805766694799054E-2</v>
          </cell>
          <cell r="R242">
            <v>7.8484175764033826E-2</v>
          </cell>
          <cell r="S242">
            <v>7.3464700112738743E-2</v>
          </cell>
          <cell r="T242">
            <v>7.1100617770565006E-2</v>
          </cell>
          <cell r="U242">
            <v>6.9684949288195172E-2</v>
          </cell>
          <cell r="V242">
            <v>6.9007919440993173E-2</v>
          </cell>
          <cell r="W242">
            <v>6.8650984735987325E-2</v>
          </cell>
          <cell r="X242">
            <v>6.8420250883988898E-2</v>
          </cell>
          <cell r="Y242">
            <v>6.8124551267452246E-2</v>
          </cell>
          <cell r="Z242">
            <v>6.77768675706482E-2</v>
          </cell>
          <cell r="AA242">
            <v>6.7425862451813118E-2</v>
          </cell>
          <cell r="AB242">
            <v>6.7071546439740101E-2</v>
          </cell>
          <cell r="AC242">
            <v>6.6713931698632531E-2</v>
          </cell>
          <cell r="AD242">
            <v>6.6353032059148498E-2</v>
          </cell>
          <cell r="AE242">
            <v>6.5988863048436888E-2</v>
          </cell>
          <cell r="AF242">
            <v>6.5621441919081494E-2</v>
          </cell>
          <cell r="AG242">
            <v>6.5250787676870536E-2</v>
          </cell>
          <cell r="AH242">
            <v>6.4876921107307431E-2</v>
          </cell>
          <cell r="AI242">
            <v>6.4499864800778614E-2</v>
          </cell>
          <cell r="AJ242">
            <v>6.411964317629408E-2</v>
          </cell>
        </row>
        <row r="243">
          <cell r="I243" t="str">
            <v>YEN / USD</v>
          </cell>
          <cell r="N243">
            <v>6.3519275654715822E-3</v>
          </cell>
          <cell r="O243">
            <v>1.5833492538580737E-2</v>
          </cell>
          <cell r="P243">
            <v>2.4656728166195855E-2</v>
          </cell>
          <cell r="Q243">
            <v>3.2474992966909311E-2</v>
          </cell>
          <cell r="R243">
            <v>4.0205502554198018E-2</v>
          </cell>
          <cell r="S243">
            <v>4.953786042249906E-2</v>
          </cell>
          <cell r="T243">
            <v>5.2985955238093831E-2</v>
          </cell>
          <cell r="U243">
            <v>5.494194767734787E-2</v>
          </cell>
          <cell r="V243">
            <v>5.4995696978783391E-2</v>
          </cell>
          <cell r="W243">
            <v>5.5139347183969532E-2</v>
          </cell>
          <cell r="X243">
            <v>5.5173052085385338E-2</v>
          </cell>
          <cell r="Y243">
            <v>5.5310848413287601E-2</v>
          </cell>
          <cell r="Z243">
            <v>5.5531578919852352E-2</v>
          </cell>
          <cell r="AA243">
            <v>5.5750159195231415E-2</v>
          </cell>
          <cell r="AB243">
            <v>5.5966507238867057E-2</v>
          </cell>
          <cell r="AC243">
            <v>5.6180540458318641E-2</v>
          </cell>
          <cell r="AD243">
            <v>5.6392175718414837E-2</v>
          </cell>
          <cell r="AE243">
            <v>5.6601329392454297E-2</v>
          </cell>
          <cell r="AF243">
            <v>5.6807917415440272E-2</v>
          </cell>
          <cell r="AG243">
            <v>5.7011855339329905E-2</v>
          </cell>
          <cell r="AH243">
            <v>5.7213058390273665E-2</v>
          </cell>
          <cell r="AI243">
            <v>5.7411441527815167E-2</v>
          </cell>
          <cell r="AJ243">
            <v>5.7606919506016228E-2</v>
          </cell>
        </row>
        <row r="244">
          <cell r="I244" t="str">
            <v xml:space="preserve">AUD / USD </v>
          </cell>
          <cell r="N244">
            <v>6.3519275654715822E-3</v>
          </cell>
          <cell r="O244">
            <v>1.5833492538580737E-2</v>
          </cell>
          <cell r="P244">
            <v>2.4656728166195855E-2</v>
          </cell>
          <cell r="Q244">
            <v>3.2474992966909311E-2</v>
          </cell>
          <cell r="R244">
            <v>4.0205502554198018E-2</v>
          </cell>
          <cell r="S244">
            <v>4.953786042249906E-2</v>
          </cell>
          <cell r="T244">
            <v>5.2985955238093831E-2</v>
          </cell>
          <cell r="U244">
            <v>5.494194767734787E-2</v>
          </cell>
          <cell r="V244">
            <v>5.4995696978783391E-2</v>
          </cell>
          <cell r="W244">
            <v>5.5139347183969532E-2</v>
          </cell>
          <cell r="X244">
            <v>5.5173052085385338E-2</v>
          </cell>
          <cell r="Y244">
            <v>5.5310848413287601E-2</v>
          </cell>
          <cell r="Z244">
            <v>5.5531578919852352E-2</v>
          </cell>
          <cell r="AA244">
            <v>5.5750159195231415E-2</v>
          </cell>
          <cell r="AB244">
            <v>5.5966507238867057E-2</v>
          </cell>
          <cell r="AC244">
            <v>5.6180540458318641E-2</v>
          </cell>
          <cell r="AD244">
            <v>5.6392175718414837E-2</v>
          </cell>
          <cell r="AE244">
            <v>5.6601329392454297E-2</v>
          </cell>
          <cell r="AF244">
            <v>5.6807917415440272E-2</v>
          </cell>
          <cell r="AG244">
            <v>5.7011855339329905E-2</v>
          </cell>
          <cell r="AH244">
            <v>5.7213058390273665E-2</v>
          </cell>
          <cell r="AI244">
            <v>5.7411441527815167E-2</v>
          </cell>
          <cell r="AJ244">
            <v>5.7606919506016228E-2</v>
          </cell>
        </row>
        <row r="245">
          <cell r="I245" t="str">
            <v xml:space="preserve">CNY / USD </v>
          </cell>
          <cell r="N245">
            <v>6.3519275654715822E-3</v>
          </cell>
          <cell r="O245">
            <v>1.5833492538580737E-2</v>
          </cell>
          <cell r="P245">
            <v>2.4656728166195855E-2</v>
          </cell>
          <cell r="Q245">
            <v>3.2474992966909311E-2</v>
          </cell>
          <cell r="R245">
            <v>4.0205502554198018E-2</v>
          </cell>
          <cell r="S245">
            <v>4.953786042249906E-2</v>
          </cell>
          <cell r="T245">
            <v>5.2985955238093831E-2</v>
          </cell>
          <cell r="U245">
            <v>5.494194767734787E-2</v>
          </cell>
          <cell r="V245">
            <v>5.4995696978783391E-2</v>
          </cell>
          <cell r="W245">
            <v>5.5139347183969532E-2</v>
          </cell>
          <cell r="X245">
            <v>5.5173052085385338E-2</v>
          </cell>
          <cell r="Y245">
            <v>5.5310848413287601E-2</v>
          </cell>
          <cell r="Z245">
            <v>5.5531578919852352E-2</v>
          </cell>
          <cell r="AA245">
            <v>5.5750159195231415E-2</v>
          </cell>
          <cell r="AB245">
            <v>5.5966507238867057E-2</v>
          </cell>
          <cell r="AC245">
            <v>5.6180540458318641E-2</v>
          </cell>
          <cell r="AD245">
            <v>5.6392175718414837E-2</v>
          </cell>
          <cell r="AE245">
            <v>5.6601329392454297E-2</v>
          </cell>
          <cell r="AF245">
            <v>5.6807917415440272E-2</v>
          </cell>
          <cell r="AG245">
            <v>5.7011855339329905E-2</v>
          </cell>
          <cell r="AH245">
            <v>5.7213058390273665E-2</v>
          </cell>
          <cell r="AI245">
            <v>5.7411441527815167E-2</v>
          </cell>
          <cell r="AJ245">
            <v>5.7606919506016228E-2</v>
          </cell>
        </row>
        <row r="246">
          <cell r="I246" t="str">
            <v xml:space="preserve">BRL / USD </v>
          </cell>
          <cell r="N246">
            <v>3.4641213598844522E-3</v>
          </cell>
          <cell r="O246">
            <v>6.8220895833453936E-3</v>
          </cell>
          <cell r="P246">
            <v>1.4882062146892654E-2</v>
          </cell>
          <cell r="Q246">
            <v>2.4839118050427256E-2</v>
          </cell>
          <cell r="R246">
            <v>3.1513911565689244E-2</v>
          </cell>
          <cell r="S246">
            <v>3.8913139201705117E-2</v>
          </cell>
          <cell r="T246">
            <v>4.3345318860022818E-2</v>
          </cell>
          <cell r="U246">
            <v>4.6108221362001579E-2</v>
          </cell>
          <cell r="V246">
            <v>4.831123821790604E-2</v>
          </cell>
          <cell r="W246">
            <v>4.9357370362739357E-2</v>
          </cell>
          <cell r="X246">
            <v>5.0092778301318308E-2</v>
          </cell>
          <cell r="Y246">
            <v>5.0940647361871615E-2</v>
          </cell>
          <cell r="Z246">
            <v>5.187886251132031E-2</v>
          </cell>
          <cell r="AA246">
            <v>5.2830299298724931E-2</v>
          </cell>
          <cell r="AB246">
            <v>5.3795004628665898E-2</v>
          </cell>
          <cell r="AC246">
            <v>5.4773020546239615E-2</v>
          </cell>
          <cell r="AD246">
            <v>5.5764384084423503E-2</v>
          </cell>
          <cell r="AE246">
            <v>5.6769127112756085E-2</v>
          </cell>
          <cell r="AF246">
            <v>5.7787276187621438E-2</v>
          </cell>
          <cell r="AG246">
            <v>5.881885240443499E-2</v>
          </cell>
          <cell r="AH246">
            <v>5.9863871252034927E-2</v>
          </cell>
          <cell r="AI246">
            <v>6.0922342469589469E-2</v>
          </cell>
          <cell r="AJ246">
            <v>6.199426990633685E-2</v>
          </cell>
        </row>
        <row r="247">
          <cell r="I247" t="str">
            <v>CAD / USD</v>
          </cell>
          <cell r="N247">
            <v>3.4641213598844522E-3</v>
          </cell>
          <cell r="O247">
            <v>6.8220895833453936E-3</v>
          </cell>
          <cell r="P247">
            <v>1.4882062146892654E-2</v>
          </cell>
          <cell r="Q247">
            <v>2.4839118050427256E-2</v>
          </cell>
          <cell r="R247">
            <v>3.1513911565689244E-2</v>
          </cell>
          <cell r="S247">
            <v>3.8913139201705117E-2</v>
          </cell>
          <cell r="T247">
            <v>4.3345318860022818E-2</v>
          </cell>
          <cell r="U247">
            <v>4.6108221362001579E-2</v>
          </cell>
          <cell r="V247">
            <v>4.831123821790604E-2</v>
          </cell>
          <cell r="W247">
            <v>4.9357370362739357E-2</v>
          </cell>
          <cell r="X247">
            <v>5.0092778301318308E-2</v>
          </cell>
          <cell r="Y247">
            <v>5.0940647361871615E-2</v>
          </cell>
          <cell r="Z247">
            <v>5.187886251132031E-2</v>
          </cell>
          <cell r="AA247">
            <v>5.2830299298724931E-2</v>
          </cell>
          <cell r="AB247">
            <v>5.3795004628665898E-2</v>
          </cell>
          <cell r="AC247">
            <v>5.4773020546239615E-2</v>
          </cell>
          <cell r="AD247">
            <v>5.5764384084423503E-2</v>
          </cell>
          <cell r="AE247">
            <v>5.6769127112756085E-2</v>
          </cell>
          <cell r="AF247">
            <v>5.7787276187621438E-2</v>
          </cell>
          <cell r="AG247">
            <v>5.881885240443499E-2</v>
          </cell>
          <cell r="AH247">
            <v>5.9863871252034927E-2</v>
          </cell>
          <cell r="AI247">
            <v>6.0922342469589469E-2</v>
          </cell>
          <cell r="AJ247">
            <v>6.199426990633685E-2</v>
          </cell>
        </row>
        <row r="248">
          <cell r="I248" t="str">
            <v>USD / USD</v>
          </cell>
          <cell r="N248">
            <v>3.4641213598844522E-3</v>
          </cell>
          <cell r="O248">
            <v>6.8220895833453936E-3</v>
          </cell>
          <cell r="P248">
            <v>1.4882062146892654E-2</v>
          </cell>
          <cell r="Q248">
            <v>2.4839118050427256E-2</v>
          </cell>
          <cell r="R248">
            <v>3.1513911565689244E-2</v>
          </cell>
          <cell r="S248">
            <v>3.8913139201705117E-2</v>
          </cell>
          <cell r="T248">
            <v>4.3345318860022818E-2</v>
          </cell>
          <cell r="U248">
            <v>4.6108221362001579E-2</v>
          </cell>
          <cell r="V248">
            <v>4.831123821790604E-2</v>
          </cell>
          <cell r="W248">
            <v>4.9357370362739357E-2</v>
          </cell>
          <cell r="X248">
            <v>5.0092778301318308E-2</v>
          </cell>
          <cell r="Y248">
            <v>5.0940647361871615E-2</v>
          </cell>
          <cell r="Z248">
            <v>5.187886251132031E-2</v>
          </cell>
          <cell r="AA248">
            <v>5.2830299298724931E-2</v>
          </cell>
          <cell r="AB248">
            <v>5.3795004628665898E-2</v>
          </cell>
          <cell r="AC248">
            <v>5.4773020546239615E-2</v>
          </cell>
          <cell r="AD248">
            <v>5.5764384084423503E-2</v>
          </cell>
          <cell r="AE248">
            <v>5.6769127112756085E-2</v>
          </cell>
          <cell r="AF248">
            <v>5.7787276187621438E-2</v>
          </cell>
          <cell r="AG248">
            <v>5.881885240443499E-2</v>
          </cell>
          <cell r="AH248">
            <v>5.9863871252034927E-2</v>
          </cell>
          <cell r="AI248">
            <v>6.0922342469589469E-2</v>
          </cell>
          <cell r="AJ248">
            <v>6.199426990633685E-2</v>
          </cell>
        </row>
        <row r="250">
          <cell r="I250" t="str">
            <v>Weighted Exchange rates</v>
          </cell>
        </row>
        <row r="251">
          <cell r="I251" t="str">
            <v xml:space="preserve">EUR / USD </v>
          </cell>
          <cell r="N251">
            <v>7.9560524528611551E-2</v>
          </cell>
          <cell r="O251">
            <v>6.1516643163467138E-2</v>
          </cell>
          <cell r="P251">
            <v>-4.1363730990592484E-2</v>
          </cell>
          <cell r="Q251">
            <v>-3.565363774701482E-2</v>
          </cell>
          <cell r="R251">
            <v>3.4533037336174952E-2</v>
          </cell>
          <cell r="S251">
            <v>-4.3733761795065509E-2</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row>
        <row r="252">
          <cell r="I252" t="str">
            <v>GBP / USD</v>
          </cell>
          <cell r="N252">
            <v>8.3477571486864077E-3</v>
          </cell>
          <cell r="O252">
            <v>-6.8320231003917665E-3</v>
          </cell>
          <cell r="P252">
            <v>-1.3743995768595094E-2</v>
          </cell>
          <cell r="Q252">
            <v>-1.0367912528542523E-3</v>
          </cell>
          <cell r="R252">
            <v>2.9498839512811332E-3</v>
          </cell>
          <cell r="S252">
            <v>-1.9970452802016421E-3</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row>
        <row r="253">
          <cell r="I253" t="str">
            <v>YEN / USD</v>
          </cell>
          <cell r="N253">
            <v>-7.3859622854320148E-5</v>
          </cell>
          <cell r="O253">
            <v>2.2353165936819853E-3</v>
          </cell>
          <cell r="P253">
            <v>2.5419307387830742E-3</v>
          </cell>
          <cell r="Q253">
            <v>2.1245322501716409E-3</v>
          </cell>
          <cell r="R253">
            <v>4.2321581635997862E-3</v>
          </cell>
          <cell r="S253">
            <v>1.5726304896031391E-3</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row>
        <row r="254">
          <cell r="I254" t="str">
            <v xml:space="preserve">AUD / USD </v>
          </cell>
          <cell r="N254">
            <v>7.1935664011514306E-4</v>
          </cell>
          <cell r="O254">
            <v>2.6247530863002217E-4</v>
          </cell>
          <cell r="P254">
            <v>-1.7500376044754212E-3</v>
          </cell>
          <cell r="Q254">
            <v>5.2327429000853989E-3</v>
          </cell>
          <cell r="R254">
            <v>4.9584600213660171E-3</v>
          </cell>
          <cell r="S254">
            <v>1.4387993152046047E-5</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row>
        <row r="255">
          <cell r="I255" t="str">
            <v xml:space="preserve">CNY / USD </v>
          </cell>
          <cell r="N255">
            <v>3.0416253306328396E-4</v>
          </cell>
          <cell r="O255">
            <v>1.495318411869012E-3</v>
          </cell>
          <cell r="P255">
            <v>4.2896186788788732E-4</v>
          </cell>
          <cell r="Q255">
            <v>2.8876532733913683E-4</v>
          </cell>
          <cell r="R255">
            <v>1.9080577483348267E-3</v>
          </cell>
          <cell r="S255">
            <v>1.1863435829336368E-3</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row>
        <row r="256">
          <cell r="I256" t="str">
            <v xml:space="preserve">BRL / USD </v>
          </cell>
          <cell r="N256">
            <v>4.180185653182283E-4</v>
          </cell>
          <cell r="O256">
            <v>5.2773404357074269E-4</v>
          </cell>
          <cell r="P256">
            <v>-1.342419461202658E-3</v>
          </cell>
          <cell r="Q256">
            <v>3.0537880609289932E-3</v>
          </cell>
          <cell r="R256">
            <v>1.8030208983371551E-3</v>
          </cell>
          <cell r="S256">
            <v>-3.4317917986471159E-3</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row>
        <row r="257">
          <cell r="I257" t="str">
            <v>CAD / USD</v>
          </cell>
          <cell r="N257">
            <v>2.1019677073133499E-4</v>
          </cell>
          <cell r="O257">
            <v>6.054677453140181E-5</v>
          </cell>
          <cell r="P257">
            <v>-1.0047560771140034E-3</v>
          </cell>
          <cell r="Q257">
            <v>2.5607047137687542E-3</v>
          </cell>
          <cell r="R257">
            <v>1.3313450532645634E-3</v>
          </cell>
          <cell r="S257">
            <v>-9.3483863826143297E-4</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row>
        <row r="258">
          <cell r="I258" t="str">
            <v>USD / USD</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row>
        <row r="260">
          <cell r="I260" t="str">
            <v xml:space="preserve">Weighted F/X favorable / (unfavorable) </v>
          </cell>
          <cell r="N260">
            <v>8.9486156563671634E-2</v>
          </cell>
          <cell r="O260">
            <v>5.9266011195358535E-2</v>
          </cell>
          <cell r="P260">
            <v>-5.6234047295308703E-2</v>
          </cell>
          <cell r="Q260">
            <v>-2.342989574757515E-2</v>
          </cell>
          <cell r="R260">
            <v>5.1715963172358437E-2</v>
          </cell>
          <cell r="S260">
            <v>-4.7324075446486875E-2</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row>
        <row r="261">
          <cell r="I261" t="str">
            <v xml:space="preserve">Actual </v>
          </cell>
        </row>
        <row r="262">
          <cell r="I262" t="str">
            <v>Difference</v>
          </cell>
        </row>
        <row r="264">
          <cell r="I264" t="str">
            <v>Revenue by Geography</v>
          </cell>
        </row>
        <row r="265">
          <cell r="I265" t="str">
            <v>US</v>
          </cell>
          <cell r="M265">
            <v>940.40299999999991</v>
          </cell>
          <cell r="N265">
            <v>1018.3179999999999</v>
          </cell>
          <cell r="O265">
            <v>1265.0059999999999</v>
          </cell>
          <cell r="P265">
            <v>1486.212</v>
          </cell>
          <cell r="Q265">
            <v>1640.6060000000002</v>
          </cell>
          <cell r="R265">
            <v>1794.9814725000001</v>
          </cell>
          <cell r="S265">
            <v>1958.932557956</v>
          </cell>
          <cell r="T265">
            <v>2109.2303651377501</v>
          </cell>
          <cell r="U265">
            <v>2256.9269370723368</v>
          </cell>
          <cell r="V265">
            <v>2376.4382518715574</v>
          </cell>
          <cell r="W265">
            <v>2494.1441868350289</v>
          </cell>
          <cell r="X265">
            <v>2593.9399999318916</v>
          </cell>
          <cell r="Y265">
            <v>2697.7511664056842</v>
          </cell>
          <cell r="Z265">
            <v>2805.7393588298723</v>
          </cell>
          <cell r="AA265">
            <v>2918.0727643105861</v>
          </cell>
          <cell r="AB265">
            <v>3034.9263472112671</v>
          </cell>
          <cell r="AC265">
            <v>3156.4821224827469</v>
          </cell>
          <cell r="AD265">
            <v>3282.929440027322</v>
          </cell>
          <cell r="AE265">
            <v>3414.4652805427168</v>
          </cell>
          <cell r="AF265">
            <v>3551.2945633098707</v>
          </cell>
          <cell r="AG265">
            <v>3693.6304664072568</v>
          </cell>
          <cell r="AH265">
            <v>3841.6947598539623</v>
          </cell>
          <cell r="AI265">
            <v>3995.7181522041046</v>
          </cell>
          <cell r="AJ265">
            <v>4155.9406511362722</v>
          </cell>
        </row>
        <row r="266">
          <cell r="I266" t="str">
            <v>y/y Growth - %</v>
          </cell>
          <cell r="M266" t="str">
            <v>NA</v>
          </cell>
          <cell r="N266">
            <v>8.2852776947755391E-2</v>
          </cell>
          <cell r="O266">
            <v>0.24225045614434793</v>
          </cell>
          <cell r="P266">
            <v>0.17486557376012457</v>
          </cell>
          <cell r="Q266">
            <v>0.10388423724206253</v>
          </cell>
          <cell r="R266">
            <v>9.4096615823665131E-2</v>
          </cell>
          <cell r="S266">
            <v>9.1338594836666065E-2</v>
          </cell>
          <cell r="T266">
            <v>7.6724339779504547E-2</v>
          </cell>
          <cell r="U266">
            <v>7.0023916958421362E-2</v>
          </cell>
          <cell r="V266">
            <v>5.2953116397400635E-2</v>
          </cell>
          <cell r="W266">
            <v>4.9530399062871711E-2</v>
          </cell>
          <cell r="X266">
            <v>4.0012046466126661E-2</v>
          </cell>
          <cell r="Y266">
            <v>4.002065062280491E-2</v>
          </cell>
          <cell r="Z266">
            <v>4.0028967003678417E-2</v>
          </cell>
          <cell r="AA266">
            <v>4.0037006690301524E-2</v>
          </cell>
          <cell r="AB266">
            <v>4.0044780352928688E-2</v>
          </cell>
          <cell r="AC266">
            <v>4.0052298265219832E-2</v>
          </cell>
          <cell r="AD266">
            <v>4.0059570318464965E-2</v>
          </cell>
          <cell r="AE266">
            <v>4.0066606035340291E-2</v>
          </cell>
          <cell r="AF266">
            <v>4.0073414583206901E-2</v>
          </cell>
          <cell r="AG266">
            <v>4.008000478696605E-2</v>
          </cell>
          <cell r="AH266">
            <v>4.0086385141479886E-2</v>
          </cell>
          <cell r="AI266">
            <v>4.0092563823576066E-2</v>
          </cell>
          <cell r="AJ266">
            <v>4.009854870363827E-2</v>
          </cell>
        </row>
        <row r="267">
          <cell r="I267" t="str">
            <v>% of total revenue</v>
          </cell>
          <cell r="M267">
            <v>0.83732569497187692</v>
          </cell>
          <cell r="N267">
            <v>0.73217200237558044</v>
          </cell>
          <cell r="O267">
            <v>0.67115979045058205</v>
          </cell>
          <cell r="P267">
            <v>0.6356190114497744</v>
          </cell>
          <cell r="Q267">
            <v>0.53181717692532615</v>
          </cell>
          <cell r="R267">
            <v>0.41446590515897908</v>
          </cell>
          <cell r="S267">
            <v>0.36287187404264387</v>
          </cell>
          <cell r="T267">
            <v>0.33070770813082589</v>
          </cell>
          <cell r="U267">
            <v>0.31592121838088433</v>
          </cell>
          <cell r="V267">
            <v>0.30741072145509596</v>
          </cell>
          <cell r="W267">
            <v>0.3020016027404997</v>
          </cell>
          <cell r="X267">
            <v>0.29719329915485809</v>
          </cell>
          <cell r="Y267">
            <v>0.29478001988580987</v>
          </cell>
          <cell r="Z267">
            <v>0.29267557766060154</v>
          </cell>
          <cell r="AA267">
            <v>0.29056612377144381</v>
          </cell>
          <cell r="AB267">
            <v>0.28845165589137667</v>
          </cell>
          <cell r="AC267">
            <v>0.2863321795008022</v>
          </cell>
          <cell r="AD267">
            <v>0.28420770791119337</v>
          </cell>
          <cell r="AE267">
            <v>0.28207826229003141</v>
          </cell>
          <cell r="AF267">
            <v>0.27994387168656326</v>
          </cell>
          <cell r="AG267">
            <v>0.2778045730579638</v>
          </cell>
          <cell r="AH267">
            <v>0.27566041129548258</v>
          </cell>
          <cell r="AI267">
            <v>0.27351143925015092</v>
          </cell>
          <cell r="AJ267">
            <v>0.27135771775762096</v>
          </cell>
        </row>
        <row r="268">
          <cell r="I268" t="str">
            <v>International</v>
          </cell>
          <cell r="M268">
            <v>182.7</v>
          </cell>
          <cell r="N268">
            <v>372.5</v>
          </cell>
          <cell r="O268">
            <v>619.79999999999995</v>
          </cell>
          <cell r="P268">
            <v>851.99999999999989</v>
          </cell>
          <cell r="Q268">
            <v>1444.3000000000002</v>
          </cell>
          <cell r="R268">
            <v>2535.8487602340742</v>
          </cell>
          <cell r="S268">
            <v>3439.4813122955989</v>
          </cell>
          <cell r="T268">
            <v>4268.6988856172766</v>
          </cell>
          <cell r="U268">
            <v>4887.0279661127861</v>
          </cell>
          <cell r="V268">
            <v>5354.0606735495849</v>
          </cell>
          <cell r="W268">
            <v>5764.567569003455</v>
          </cell>
          <cell r="X268">
            <v>6134.1841109023544</v>
          </cell>
          <cell r="Y268">
            <v>6453.9924539751064</v>
          </cell>
          <cell r="Z268">
            <v>6780.7774980139911</v>
          </cell>
          <cell r="AA268">
            <v>7124.6422171712557</v>
          </cell>
          <cell r="AB268">
            <v>7486.512116481038</v>
          </cell>
          <cell r="AC268">
            <v>7867.3648233471877</v>
          </cell>
          <cell r="AD268">
            <v>8268.2331380584965</v>
          </cell>
          <cell r="AE268">
            <v>8690.2082693530974</v>
          </cell>
          <cell r="AF268">
            <v>9134.443266615006</v>
          </cell>
          <cell r="AG268">
            <v>9602.1566610299233</v>
          </cell>
          <cell r="AH268">
            <v>10094.636328820279</v>
          </cell>
          <cell r="AI268">
            <v>10613.24359052454</v>
          </cell>
          <cell r="AJ268">
            <v>11159.41756118623</v>
          </cell>
        </row>
        <row r="269">
          <cell r="I269" t="str">
            <v>y/y Growth - %</v>
          </cell>
          <cell r="M269" t="str">
            <v>NA</v>
          </cell>
          <cell r="N269">
            <v>1.0388615216201424</v>
          </cell>
          <cell r="O269">
            <v>0.66389261744966421</v>
          </cell>
          <cell r="P269">
            <v>0.37463697967086151</v>
          </cell>
          <cell r="Q269">
            <v>0.69518779342723058</v>
          </cell>
          <cell r="R269">
            <v>0.75576317955692995</v>
          </cell>
          <cell r="S269">
            <v>0.35634323553984903</v>
          </cell>
          <cell r="T269">
            <v>0.24108797171171026</v>
          </cell>
          <cell r="U269">
            <v>0.14485188509755842</v>
          </cell>
          <cell r="V269">
            <v>9.5565793908947816E-2</v>
          </cell>
          <cell r="W269">
            <v>7.6672066396609617E-2</v>
          </cell>
          <cell r="X269">
            <v>6.4118693635643709E-2</v>
          </cell>
          <cell r="Y269">
            <v>5.2135432730874953E-2</v>
          </cell>
          <cell r="Z269">
            <v>5.0633006835577143E-2</v>
          </cell>
          <cell r="AA269">
            <v>5.0711694825258391E-2</v>
          </cell>
          <cell r="AB269">
            <v>5.0791308290208947E-2</v>
          </cell>
          <cell r="AC269">
            <v>5.0871848056951441E-2</v>
          </cell>
          <cell r="AD269">
            <v>5.0953314573857433E-2</v>
          </cell>
          <cell r="AE269">
            <v>5.1035707901396554E-2</v>
          </cell>
          <cell r="AF269">
            <v>5.111902770254062E-2</v>
          </cell>
          <cell r="AG269">
            <v>5.1203273233338509E-2</v>
          </cell>
          <cell r="AH269">
            <v>5.1288443333680434E-2</v>
          </cell>
          <cell r="AI269">
            <v>5.137453641827916E-2</v>
          </cell>
          <cell r="AJ269">
            <v>5.146155046788059E-2</v>
          </cell>
        </row>
        <row r="270">
          <cell r="I270" t="str">
            <v>(+/-) FX y/y Growth - %</v>
          </cell>
          <cell r="M270" t="str">
            <v>NA</v>
          </cell>
          <cell r="N270" t="str">
            <v>NA</v>
          </cell>
          <cell r="O270" t="str">
            <v>NA</v>
          </cell>
          <cell r="P270" t="str">
            <v>NA</v>
          </cell>
          <cell r="Q270">
            <v>7.4812206572769435E-2</v>
          </cell>
          <cell r="R270">
            <v>-8.4024519161382649E-2</v>
          </cell>
          <cell r="S270">
            <v>4.9963834690652353E-2</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row>
        <row r="271">
          <cell r="I271" t="str">
            <v>y/y Growth - % (excl F/X)</v>
          </cell>
          <cell r="M271" t="str">
            <v>NA</v>
          </cell>
          <cell r="N271" t="str">
            <v>NA</v>
          </cell>
          <cell r="O271" t="str">
            <v>NA</v>
          </cell>
          <cell r="P271" t="str">
            <v>NA</v>
          </cell>
          <cell r="Q271">
            <v>0.77</v>
          </cell>
          <cell r="R271">
            <v>0.6717386603955473</v>
          </cell>
          <cell r="S271">
            <v>0.40630707023050139</v>
          </cell>
          <cell r="T271">
            <v>0.24108797171171026</v>
          </cell>
          <cell r="U271">
            <v>0.14485188509755842</v>
          </cell>
          <cell r="V271">
            <v>9.5565793908947816E-2</v>
          </cell>
          <cell r="W271">
            <v>7.6672066396609617E-2</v>
          </cell>
          <cell r="X271">
            <v>6.4118693635643709E-2</v>
          </cell>
          <cell r="Y271">
            <v>5.2135432730874953E-2</v>
          </cell>
          <cell r="Z271">
            <v>5.0633006835577143E-2</v>
          </cell>
          <cell r="AA271">
            <v>5.0711694825258391E-2</v>
          </cell>
          <cell r="AB271">
            <v>5.0791308290208947E-2</v>
          </cell>
          <cell r="AC271">
            <v>5.0871848056951441E-2</v>
          </cell>
          <cell r="AD271">
            <v>5.0953314573857433E-2</v>
          </cell>
          <cell r="AE271">
            <v>5.1035707901396554E-2</v>
          </cell>
          <cell r="AF271">
            <v>5.111902770254062E-2</v>
          </cell>
          <cell r="AG271">
            <v>5.1203273233338509E-2</v>
          </cell>
          <cell r="AH271">
            <v>5.1288443333680434E-2</v>
          </cell>
          <cell r="AI271">
            <v>5.137453641827916E-2</v>
          </cell>
          <cell r="AJ271">
            <v>5.146155046788059E-2</v>
          </cell>
        </row>
        <row r="272">
          <cell r="I272" t="str">
            <v>% of total revenue</v>
          </cell>
          <cell r="M272">
            <v>0.16267430502812297</v>
          </cell>
          <cell r="N272">
            <v>0.26782799762441961</v>
          </cell>
          <cell r="O272">
            <v>0.32884020954941778</v>
          </cell>
          <cell r="P272">
            <v>0.36438098855022549</v>
          </cell>
          <cell r="Q272">
            <v>0.46818282307467396</v>
          </cell>
          <cell r="R272">
            <v>0.58553409484102092</v>
          </cell>
          <cell r="S272">
            <v>0.63712812595735602</v>
          </cell>
          <cell r="T272">
            <v>0.66929229186917416</v>
          </cell>
          <cell r="U272">
            <v>0.68407878161911551</v>
          </cell>
          <cell r="V272">
            <v>0.69258927854490404</v>
          </cell>
          <cell r="W272">
            <v>0.69799839725950019</v>
          </cell>
          <cell r="X272">
            <v>0.70280670084514196</v>
          </cell>
          <cell r="Y272">
            <v>0.70521998011418974</v>
          </cell>
          <cell r="Z272">
            <v>0.7073244223393983</v>
          </cell>
          <cell r="AA272">
            <v>0.70943387622855614</v>
          </cell>
          <cell r="AB272">
            <v>0.71154834410862344</v>
          </cell>
          <cell r="AC272">
            <v>0.71366782049919775</v>
          </cell>
          <cell r="AD272">
            <v>0.71579229208880657</v>
          </cell>
          <cell r="AE272">
            <v>0.7179217377099687</v>
          </cell>
          <cell r="AF272">
            <v>0.72005612831343679</v>
          </cell>
          <cell r="AG272">
            <v>0.7221954269420362</v>
          </cell>
          <cell r="AH272">
            <v>0.72433958870451731</v>
          </cell>
          <cell r="AI272">
            <v>0.72648856074984913</v>
          </cell>
          <cell r="AJ272">
            <v>0.72864228224237892</v>
          </cell>
        </row>
        <row r="274">
          <cell r="I274" t="str">
            <v>Gross Profit by Geography</v>
          </cell>
        </row>
        <row r="275">
          <cell r="I275" t="str">
            <v>US</v>
          </cell>
          <cell r="M275">
            <v>218.399</v>
          </cell>
          <cell r="N275">
            <v>248.31999999999994</v>
          </cell>
          <cell r="O275">
            <v>336.17100000000005</v>
          </cell>
          <cell r="P275">
            <v>408.76300000000003</v>
          </cell>
          <cell r="Q275">
            <v>464.67199999999991</v>
          </cell>
          <cell r="R275">
            <v>510.44530250000025</v>
          </cell>
          <cell r="S275">
            <v>544.15641128599998</v>
          </cell>
          <cell r="T275">
            <v>582.98927010500006</v>
          </cell>
          <cell r="U275">
            <v>617.88413053969714</v>
          </cell>
          <cell r="V275">
            <v>647.24809097962236</v>
          </cell>
          <cell r="W275">
            <v>678.49451789849672</v>
          </cell>
          <cell r="X275">
            <v>705.66434423789815</v>
          </cell>
          <cell r="Y275">
            <v>733.94448448393155</v>
          </cell>
          <cell r="Z275">
            <v>763.38040963124945</v>
          </cell>
          <cell r="AA275">
            <v>794.01945714401825</v>
          </cell>
          <cell r="AB275">
            <v>825.91090775803627</v>
          </cell>
          <cell r="AC275">
            <v>859.1060654513866</v>
          </cell>
          <cell r="AD275">
            <v>893.65834071470715</v>
          </cell>
          <cell r="AE275">
            <v>929.62333725759743</v>
          </cell>
          <cell r="AF275">
            <v>967.05894229334706</v>
          </cell>
          <cell r="AG275">
            <v>1006.0254205500717</v>
          </cell>
          <cell r="AH275">
            <v>1046.5855121624897</v>
          </cell>
          <cell r="AI275">
            <v>1088.8045346049732</v>
          </cell>
          <cell r="AJ275">
            <v>1132.7504888331757</v>
          </cell>
        </row>
        <row r="276">
          <cell r="I276" t="str">
            <v>y/y Growth - %</v>
          </cell>
          <cell r="M276" t="str">
            <v>NA</v>
          </cell>
          <cell r="N276">
            <v>0.1370015430473579</v>
          </cell>
          <cell r="O276">
            <v>0.35378141108247485</v>
          </cell>
          <cell r="P276">
            <v>0.21593772217115692</v>
          </cell>
          <cell r="Q276">
            <v>0.13677607806968806</v>
          </cell>
          <cell r="R276">
            <v>9.8506693969079961E-2</v>
          </cell>
          <cell r="S276">
            <v>6.6042548772401899E-2</v>
          </cell>
          <cell r="T276">
            <v>7.1363413190752789E-2</v>
          </cell>
          <cell r="U276">
            <v>5.9855064619649401E-2</v>
          </cell>
          <cell r="V276">
            <v>4.7523409306979625E-2</v>
          </cell>
          <cell r="W276">
            <v>4.8275811631336429E-2</v>
          </cell>
          <cell r="X276">
            <v>4.0044282779991613E-2</v>
          </cell>
          <cell r="Y276">
            <v>4.007590928598681E-2</v>
          </cell>
          <cell r="Z276">
            <v>4.0106473676977838E-2</v>
          </cell>
          <cell r="AA276">
            <v>4.0136014922846908E-2</v>
          </cell>
          <cell r="AB276">
            <v>4.016457068788637E-2</v>
          </cell>
          <cell r="AC276">
            <v>4.0192177366272785E-2</v>
          </cell>
          <cell r="AD276">
            <v>4.0218870117237904E-2</v>
          </cell>
          <cell r="AE276">
            <v>4.0244682899873263E-2</v>
          </cell>
          <cell r="AF276">
            <v>4.0269648507518241E-2</v>
          </cell>
          <cell r="AG276">
            <v>4.0293798601682917E-2</v>
          </cell>
          <cell r="AH276">
            <v>4.0317163745465567E-2</v>
          </cell>
          <cell r="AI276">
            <v>4.0339773436428583E-2</v>
          </cell>
          <cell r="AJ276">
            <v>4.0361656138901303E-2</v>
          </cell>
        </row>
        <row r="277">
          <cell r="I277" t="str">
            <v>% of total gross profit</v>
          </cell>
          <cell r="M277">
            <v>0.54450148217771677</v>
          </cell>
          <cell r="N277">
            <v>0.39998711381720942</v>
          </cell>
          <cell r="O277">
            <v>0.35165397276695642</v>
          </cell>
          <cell r="P277">
            <v>0.32421874690167785</v>
          </cell>
          <cell r="Q277">
            <v>0.24341478031107838</v>
          </cell>
          <cell r="R277">
            <v>0.16756271456008792</v>
          </cell>
          <cell r="S277">
            <v>0.13659786583122352</v>
          </cell>
          <cell r="T277">
            <v>0.12016214797676127</v>
          </cell>
          <cell r="U277">
            <v>0.11224232461685087</v>
          </cell>
          <cell r="V277">
            <v>0.10785115653525253</v>
          </cell>
          <cell r="W277">
            <v>0.10530622066762366</v>
          </cell>
          <cell r="X277">
            <v>0.10316958758166353</v>
          </cell>
          <cell r="Y277">
            <v>0.10210780795209309</v>
          </cell>
          <cell r="Z277">
            <v>0.10118828621782168</v>
          </cell>
          <cell r="AA277">
            <v>0.10027192596439309</v>
          </cell>
          <cell r="AB277">
            <v>9.9358623273824637E-2</v>
          </cell>
          <cell r="AC277">
            <v>9.8448281831106266E-2</v>
          </cell>
          <cell r="AD277">
            <v>9.7540812700650958E-2</v>
          </cell>
          <cell r="AE277">
            <v>9.6636134110576893E-2</v>
          </cell>
          <cell r="AF277">
            <v>9.5734171244402963E-2</v>
          </cell>
          <cell r="AG277">
            <v>9.4834856039747853E-2</v>
          </cell>
          <cell r="AH277">
            <v>9.393812699363413E-2</v>
          </cell>
          <cell r="AI277">
            <v>9.3043928974007942E-2</v>
          </cell>
          <cell r="AJ277">
            <v>9.2152213037096198E-2</v>
          </cell>
        </row>
        <row r="278">
          <cell r="I278" t="str">
            <v>International</v>
          </cell>
          <cell r="M278">
            <v>182.7</v>
          </cell>
          <cell r="N278">
            <v>372.5</v>
          </cell>
          <cell r="O278">
            <v>619.79999999999995</v>
          </cell>
          <cell r="P278">
            <v>851.99999999999989</v>
          </cell>
          <cell r="Q278">
            <v>1444.3000000000002</v>
          </cell>
          <cell r="R278">
            <v>2535.8487602340742</v>
          </cell>
          <cell r="S278">
            <v>3439.4813122955989</v>
          </cell>
          <cell r="T278">
            <v>4268.6988856172766</v>
          </cell>
          <cell r="U278">
            <v>4887.0279661127861</v>
          </cell>
          <cell r="V278">
            <v>5354.0606735495849</v>
          </cell>
          <cell r="W278">
            <v>5764.567569003455</v>
          </cell>
          <cell r="X278">
            <v>6134.1841109023544</v>
          </cell>
          <cell r="Y278">
            <v>6453.9924539751064</v>
          </cell>
          <cell r="Z278">
            <v>6780.7774980139911</v>
          </cell>
          <cell r="AA278">
            <v>7124.6422171712557</v>
          </cell>
          <cell r="AB278">
            <v>7486.512116481038</v>
          </cell>
          <cell r="AC278">
            <v>7867.3648233471877</v>
          </cell>
          <cell r="AD278">
            <v>8268.2331380584965</v>
          </cell>
          <cell r="AE278">
            <v>8690.2082693530974</v>
          </cell>
          <cell r="AF278">
            <v>9134.443266615006</v>
          </cell>
          <cell r="AG278">
            <v>9602.1566610299233</v>
          </cell>
          <cell r="AH278">
            <v>10094.636328820279</v>
          </cell>
          <cell r="AI278">
            <v>10613.24359052454</v>
          </cell>
          <cell r="AJ278">
            <v>11159.41756118623</v>
          </cell>
        </row>
        <row r="279">
          <cell r="I279" t="str">
            <v>y/y Growth - %</v>
          </cell>
          <cell r="M279" t="str">
            <v>NA</v>
          </cell>
          <cell r="N279">
            <v>1.0388615216201424</v>
          </cell>
          <cell r="O279">
            <v>0.66389261744966421</v>
          </cell>
          <cell r="P279">
            <v>0.37463697967086151</v>
          </cell>
          <cell r="Q279">
            <v>0.69518779342723058</v>
          </cell>
          <cell r="R279">
            <v>0.75576317955692995</v>
          </cell>
          <cell r="S279">
            <v>0.35634323553984903</v>
          </cell>
          <cell r="T279">
            <v>0.24108797171171026</v>
          </cell>
          <cell r="U279">
            <v>0.14485188509755842</v>
          </cell>
          <cell r="V279">
            <v>9.5565793908947816E-2</v>
          </cell>
          <cell r="W279">
            <v>7.6672066396609617E-2</v>
          </cell>
          <cell r="X279">
            <v>6.4118693635643709E-2</v>
          </cell>
          <cell r="Y279">
            <v>5.2135432730874953E-2</v>
          </cell>
          <cell r="Z279">
            <v>5.0633006835577143E-2</v>
          </cell>
          <cell r="AA279">
            <v>5.0711694825258391E-2</v>
          </cell>
          <cell r="AB279">
            <v>5.0791308290208947E-2</v>
          </cell>
          <cell r="AC279">
            <v>5.0871848056951441E-2</v>
          </cell>
          <cell r="AD279">
            <v>5.0953314573857433E-2</v>
          </cell>
          <cell r="AE279">
            <v>5.1035707901396554E-2</v>
          </cell>
          <cell r="AF279">
            <v>5.111902770254062E-2</v>
          </cell>
          <cell r="AG279">
            <v>5.1203273233338509E-2</v>
          </cell>
          <cell r="AH279">
            <v>5.1288443333680434E-2</v>
          </cell>
          <cell r="AI279">
            <v>5.137453641827916E-2</v>
          </cell>
          <cell r="AJ279">
            <v>5.146155046788059E-2</v>
          </cell>
        </row>
        <row r="280">
          <cell r="I280" t="str">
            <v>(+/-) FX y/y Growth - %</v>
          </cell>
          <cell r="M280" t="str">
            <v>NA</v>
          </cell>
          <cell r="N280" t="str">
            <v>NA</v>
          </cell>
          <cell r="O280" t="str">
            <v>NA</v>
          </cell>
          <cell r="P280" t="str">
            <v>NA</v>
          </cell>
          <cell r="Q280">
            <v>7.4812206572769435E-2</v>
          </cell>
          <cell r="R280">
            <v>-8.4024519161382649E-2</v>
          </cell>
          <cell r="S280">
            <v>4.9963834690652353E-2</v>
          </cell>
          <cell r="T280">
            <v>0</v>
          </cell>
          <cell r="U280">
            <v>0</v>
          </cell>
          <cell r="V280">
            <v>0</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row>
        <row r="281">
          <cell r="I281" t="str">
            <v>y/y Growth - % (excl F/X)</v>
          </cell>
          <cell r="M281" t="str">
            <v>NA</v>
          </cell>
          <cell r="N281" t="str">
            <v>NA</v>
          </cell>
          <cell r="O281" t="str">
            <v>NA</v>
          </cell>
          <cell r="P281" t="str">
            <v>NA</v>
          </cell>
          <cell r="Q281">
            <v>0.77</v>
          </cell>
          <cell r="R281">
            <v>0.6717386603955473</v>
          </cell>
          <cell r="S281">
            <v>0.40630707023050139</v>
          </cell>
          <cell r="T281">
            <v>0.24108797171171026</v>
          </cell>
          <cell r="U281">
            <v>0.14485188509755842</v>
          </cell>
          <cell r="V281">
            <v>9.5565793908947816E-2</v>
          </cell>
          <cell r="W281">
            <v>7.6672066396609617E-2</v>
          </cell>
          <cell r="X281">
            <v>6.4118693635643709E-2</v>
          </cell>
          <cell r="Y281">
            <v>5.2135432730874953E-2</v>
          </cell>
          <cell r="Z281">
            <v>5.0633006835577143E-2</v>
          </cell>
          <cell r="AA281">
            <v>5.0711694825258391E-2</v>
          </cell>
          <cell r="AB281">
            <v>5.0791308290208947E-2</v>
          </cell>
          <cell r="AC281">
            <v>5.0871848056951441E-2</v>
          </cell>
          <cell r="AD281">
            <v>5.0953314573857433E-2</v>
          </cell>
          <cell r="AE281">
            <v>5.1035707901396554E-2</v>
          </cell>
          <cell r="AF281">
            <v>5.111902770254062E-2</v>
          </cell>
          <cell r="AG281">
            <v>5.1203273233338509E-2</v>
          </cell>
          <cell r="AH281">
            <v>5.1288443333680434E-2</v>
          </cell>
          <cell r="AI281">
            <v>5.137453641827916E-2</v>
          </cell>
          <cell r="AJ281">
            <v>5.146155046788059E-2</v>
          </cell>
        </row>
        <row r="282">
          <cell r="I282" t="str">
            <v>% of total gross profit</v>
          </cell>
          <cell r="M282">
            <v>0.45549851782228334</v>
          </cell>
          <cell r="N282">
            <v>0.60001288618279058</v>
          </cell>
          <cell r="O282">
            <v>0.64834602723304369</v>
          </cell>
          <cell r="P282">
            <v>0.67578125309832215</v>
          </cell>
          <cell r="Q282">
            <v>0.75658521968892167</v>
          </cell>
          <cell r="R282">
            <v>0.83243728543991213</v>
          </cell>
          <cell r="S282">
            <v>0.86340213416877643</v>
          </cell>
          <cell r="T282">
            <v>0.87983785202323883</v>
          </cell>
          <cell r="U282">
            <v>0.88775767538314909</v>
          </cell>
          <cell r="V282">
            <v>0.89214884346474765</v>
          </cell>
          <cell r="W282">
            <v>0.89469377933237626</v>
          </cell>
          <cell r="X282">
            <v>0.89683041241833661</v>
          </cell>
          <cell r="Y282">
            <v>0.89789219204790671</v>
          </cell>
          <cell r="Z282">
            <v>0.89881171378217817</v>
          </cell>
          <cell r="AA282">
            <v>0.89972807403560684</v>
          </cell>
          <cell r="AB282">
            <v>0.90064137672617528</v>
          </cell>
          <cell r="AC282">
            <v>0.90155171816889357</v>
          </cell>
          <cell r="AD282">
            <v>0.90245918729934893</v>
          </cell>
          <cell r="AE282">
            <v>0.90336386588942319</v>
          </cell>
          <cell r="AF282">
            <v>0.90426582875559713</v>
          </cell>
          <cell r="AG282">
            <v>0.90516514396025205</v>
          </cell>
          <cell r="AH282">
            <v>0.90606187300636565</v>
          </cell>
          <cell r="AI282">
            <v>0.90695607102599207</v>
          </cell>
          <cell r="AJ282">
            <v>0.90784778696290369</v>
          </cell>
        </row>
        <row r="284">
          <cell r="I284" t="str">
            <v>Market Share Forecast - Gross Bookings</v>
          </cell>
        </row>
        <row r="285">
          <cell r="I285" t="str">
            <v>Booking.com Europe</v>
          </cell>
          <cell r="M285">
            <v>1323.9290000000003</v>
          </cell>
          <cell r="N285">
            <v>2596.2659999999996</v>
          </cell>
          <cell r="O285">
            <v>4024.8225000000002</v>
          </cell>
          <cell r="P285">
            <v>4992.1568750000006</v>
          </cell>
          <cell r="Q285">
            <v>7664.4586250000011</v>
          </cell>
          <cell r="R285">
            <v>12567.324086258932</v>
          </cell>
          <cell r="S285">
            <v>15948.969148794769</v>
          </cell>
          <cell r="T285">
            <v>19298.252670041671</v>
          </cell>
          <cell r="U285">
            <v>21614.042990446673</v>
          </cell>
          <cell r="V285">
            <v>23451.236644634639</v>
          </cell>
        </row>
        <row r="286">
          <cell r="I286" t="str">
            <v>y/y Growth - %</v>
          </cell>
          <cell r="M286" t="str">
            <v>NA</v>
          </cell>
          <cell r="N286">
            <v>0.96103114290872016</v>
          </cell>
          <cell r="O286">
            <v>0.55023502984671091</v>
          </cell>
          <cell r="P286">
            <v>0.24034212067737148</v>
          </cell>
          <cell r="Q286">
            <v>0.53530003501742929</v>
          </cell>
          <cell r="R286">
            <v>0.63968842434176887</v>
          </cell>
          <cell r="S286">
            <v>0.2690823471508399</v>
          </cell>
          <cell r="T286">
            <v>0.20999999999999996</v>
          </cell>
          <cell r="U286">
            <v>0.12000000000000011</v>
          </cell>
          <cell r="V286">
            <v>8.4999999999999964E-2</v>
          </cell>
        </row>
        <row r="287">
          <cell r="I287" t="str">
            <v>Europe Hotel Market</v>
          </cell>
          <cell r="M287">
            <v>110240.63217127256</v>
          </cell>
          <cell r="N287">
            <v>112974.7097890833</v>
          </cell>
          <cell r="O287">
            <v>113646.98387786282</v>
          </cell>
          <cell r="P287">
            <v>101384.96683493789</v>
          </cell>
          <cell r="Q287">
            <v>103366.79008285188</v>
          </cell>
          <cell r="R287">
            <v>107501.46168616596</v>
          </cell>
          <cell r="S287">
            <v>112876.53477047425</v>
          </cell>
          <cell r="T287">
            <v>117391.59616129322</v>
          </cell>
          <cell r="U287">
            <v>122087.26000774496</v>
          </cell>
          <cell r="V287">
            <v>127581.18670809348</v>
          </cell>
        </row>
        <row r="288">
          <cell r="I288" t="str">
            <v>y/y Growth - %</v>
          </cell>
          <cell r="M288" t="str">
            <v>NA</v>
          </cell>
          <cell r="N288">
            <v>2.4800997272611758E-2</v>
          </cell>
          <cell r="O288">
            <v>5.9506600197036796E-3</v>
          </cell>
          <cell r="P288">
            <v>-0.10789566625105507</v>
          </cell>
          <cell r="Q288">
            <v>1.954750600392785E-2</v>
          </cell>
          <cell r="R288">
            <v>4.0000000000000036E-2</v>
          </cell>
          <cell r="S288">
            <v>4.9999999999999822E-2</v>
          </cell>
          <cell r="T288">
            <v>4.0000000000000036E-2</v>
          </cell>
          <cell r="U288">
            <v>4.0000000000000036E-2</v>
          </cell>
          <cell r="V288">
            <v>4.4999999999999929E-2</v>
          </cell>
        </row>
        <row r="289">
          <cell r="I289" t="str">
            <v>Europe Online Hotel Market</v>
          </cell>
          <cell r="M289">
            <v>11847.607117616632</v>
          </cell>
          <cell r="N289">
            <v>14828.563506068698</v>
          </cell>
          <cell r="O289">
            <v>18250.632357106871</v>
          </cell>
          <cell r="P289">
            <v>19289.359750895801</v>
          </cell>
          <cell r="Q289">
            <v>22430.18734784524</v>
          </cell>
          <cell r="R289">
            <v>26019.017323500477</v>
          </cell>
          <cell r="S289">
            <v>29661.679748790546</v>
          </cell>
          <cell r="T289">
            <v>33517.698116133317</v>
          </cell>
          <cell r="U289">
            <v>37204.644908907991</v>
          </cell>
          <cell r="V289">
            <v>40925.109399798792</v>
          </cell>
        </row>
        <row r="290">
          <cell r="I290" t="str">
            <v>y/y Growth - %</v>
          </cell>
          <cell r="M290" t="str">
            <v>NA</v>
          </cell>
          <cell r="N290">
            <v>0.25160830865327877</v>
          </cell>
          <cell r="O290">
            <v>0.23077547934010378</v>
          </cell>
          <cell r="P290">
            <v>5.6914597448698423E-2</v>
          </cell>
          <cell r="Q290">
            <v>0.16282694902839268</v>
          </cell>
          <cell r="R290">
            <v>0.15999999999999992</v>
          </cell>
          <cell r="S290">
            <v>0.14000000000000012</v>
          </cell>
          <cell r="T290">
            <v>0.12999999999999989</v>
          </cell>
          <cell r="U290">
            <v>0.11000000000000032</v>
          </cell>
          <cell r="V290">
            <v>0.10000000000000009</v>
          </cell>
        </row>
        <row r="291">
          <cell r="I291" t="str">
            <v>Seasonality</v>
          </cell>
          <cell r="M291" t="str">
            <v>NA</v>
          </cell>
          <cell r="N291" t="str">
            <v>NA</v>
          </cell>
          <cell r="O291" t="str">
            <v>NA</v>
          </cell>
          <cell r="P291" t="str">
            <v>NA</v>
          </cell>
          <cell r="Q291" t="str">
            <v>NA</v>
          </cell>
          <cell r="R291" t="str">
            <v>NA</v>
          </cell>
          <cell r="S291" t="str">
            <v>NA</v>
          </cell>
          <cell r="T291" t="str">
            <v>NA</v>
          </cell>
          <cell r="U291" t="str">
            <v>NA</v>
          </cell>
          <cell r="V291" t="str">
            <v>NA</v>
          </cell>
        </row>
        <row r="292">
          <cell r="I292" t="str">
            <v>Booking.com Europe Hotel Market Share</v>
          </cell>
          <cell r="M292">
            <v>1.2009446734150723E-2</v>
          </cell>
          <cell r="N292">
            <v>2.2980948610950767E-2</v>
          </cell>
          <cell r="O292">
            <v>3.5415128168517912E-2</v>
          </cell>
          <cell r="P292">
            <v>4.9239616393302127E-2</v>
          </cell>
          <cell r="Q292">
            <v>7.4148172917594582E-2</v>
          </cell>
          <cell r="R292">
            <v>0.1169037507875689</v>
          </cell>
          <cell r="S292">
            <v>0.14129570137164266</v>
          </cell>
          <cell r="T292">
            <v>0.1643921140958535</v>
          </cell>
          <cell r="U292">
            <v>0.17703766133399607</v>
          </cell>
          <cell r="V292">
            <v>0.18381422253338348</v>
          </cell>
        </row>
        <row r="293">
          <cell r="I293" t="str">
            <v>Booking.com Europe Online Hotel Market Share</v>
          </cell>
          <cell r="M293">
            <v>0.11174653133385921</v>
          </cell>
          <cell r="N293">
            <v>0.17508546926595139</v>
          </cell>
          <cell r="O293">
            <v>0.22053057785872926</v>
          </cell>
          <cell r="P293">
            <v>0.25880365856975446</v>
          </cell>
          <cell r="Q293">
            <v>0.34170283583192135</v>
          </cell>
          <cell r="R293">
            <v>0.4830053314468597</v>
          </cell>
          <cell r="S293">
            <v>0.53769608747276321</v>
          </cell>
          <cell r="T293">
            <v>0.57576306711685266</v>
          </cell>
          <cell r="U293">
            <v>0.58095012177556293</v>
          </cell>
          <cell r="V293">
            <v>0.57302807466044148</v>
          </cell>
        </row>
        <row r="295">
          <cell r="I295" t="str">
            <v>Priceline Asia Pacific</v>
          </cell>
          <cell r="M295">
            <v>15.030000000000001</v>
          </cell>
          <cell r="N295">
            <v>50.975000000000001</v>
          </cell>
          <cell r="O295">
            <v>205.12249999999997</v>
          </cell>
          <cell r="P295">
            <v>418.96712499999995</v>
          </cell>
          <cell r="Q295">
            <v>923.49137500000006</v>
          </cell>
          <cell r="R295">
            <v>2006.4724760699351</v>
          </cell>
          <cell r="S295">
            <v>3380.9380002455841</v>
          </cell>
          <cell r="T295">
            <v>4545.0935970207502</v>
          </cell>
          <cell r="U295">
            <v>5405.1752195609033</v>
          </cell>
          <cell r="V295">
            <v>5938.3046973091787</v>
          </cell>
        </row>
        <row r="296">
          <cell r="I296" t="str">
            <v>y/y Growth - %</v>
          </cell>
          <cell r="M296" t="str">
            <v>NA</v>
          </cell>
          <cell r="N296" t="str">
            <v>NM</v>
          </cell>
          <cell r="O296" t="str">
            <v>NM</v>
          </cell>
          <cell r="P296">
            <v>1.042521542005387</v>
          </cell>
          <cell r="Q296">
            <v>1.2042096381667182</v>
          </cell>
          <cell r="R296">
            <v>1.1727029947301184</v>
          </cell>
          <cell r="S296">
            <v>0.685015887617759</v>
          </cell>
          <cell r="T296">
            <v>0.3443291763086469</v>
          </cell>
          <cell r="U296">
            <v>0.18923298369563302</v>
          </cell>
          <cell r="V296">
            <v>9.8633153615246716E-2</v>
          </cell>
        </row>
        <row r="297">
          <cell r="I297" t="str">
            <v>Asia Hotel Market</v>
          </cell>
          <cell r="M297" t="str">
            <v>NA</v>
          </cell>
          <cell r="N297" t="str">
            <v>NA</v>
          </cell>
          <cell r="O297">
            <v>76295.456801565451</v>
          </cell>
          <cell r="P297">
            <v>72181.113947222824</v>
          </cell>
          <cell r="Q297">
            <v>84131.852926779</v>
          </cell>
          <cell r="R297">
            <v>94227.675277992486</v>
          </cell>
          <cell r="S297">
            <v>104592.71955857167</v>
          </cell>
          <cell r="T297">
            <v>116097.91871001456</v>
          </cell>
          <cell r="U297">
            <v>127707.71058101603</v>
          </cell>
          <cell r="V297">
            <v>137924.32742749734</v>
          </cell>
        </row>
        <row r="298">
          <cell r="I298" t="str">
            <v>y/y Growth - %</v>
          </cell>
          <cell r="M298" t="str">
            <v>NA</v>
          </cell>
          <cell r="N298" t="str">
            <v>NA</v>
          </cell>
          <cell r="O298" t="str">
            <v>NA</v>
          </cell>
          <cell r="P298">
            <v>-5.3926446302608788E-2</v>
          </cell>
          <cell r="Q298">
            <v>0.16556600925131582</v>
          </cell>
          <cell r="R298">
            <v>0.12000000000000011</v>
          </cell>
          <cell r="S298">
            <v>0.1100000000000001</v>
          </cell>
          <cell r="T298">
            <v>0.1100000000000001</v>
          </cell>
          <cell r="U298">
            <v>0.10000000000000009</v>
          </cell>
          <cell r="V298">
            <v>8.0000000000000293E-2</v>
          </cell>
        </row>
        <row r="299">
          <cell r="I299" t="str">
            <v xml:space="preserve">Asia Online Hotel Market </v>
          </cell>
          <cell r="M299" t="str">
            <v>NA</v>
          </cell>
          <cell r="N299" t="str">
            <v>NA</v>
          </cell>
          <cell r="O299">
            <v>9316.3781640735124</v>
          </cell>
          <cell r="P299">
            <v>11053.567449892371</v>
          </cell>
          <cell r="Q299">
            <v>14712.570532434493</v>
          </cell>
          <cell r="R299">
            <v>18832.090281516153</v>
          </cell>
          <cell r="S299">
            <v>22975.150143449704</v>
          </cell>
          <cell r="T299">
            <v>27799.931673574141</v>
          </cell>
          <cell r="U299">
            <v>32803.91937481748</v>
          </cell>
          <cell r="V299">
            <v>37396.468087291934</v>
          </cell>
        </row>
        <row r="300">
          <cell r="I300" t="str">
            <v>y/y Growth - %</v>
          </cell>
          <cell r="M300" t="str">
            <v>NA</v>
          </cell>
          <cell r="N300" t="str">
            <v>NA</v>
          </cell>
          <cell r="O300" t="str">
            <v>NA</v>
          </cell>
          <cell r="P300">
            <v>0.18646616262507809</v>
          </cell>
          <cell r="Q300">
            <v>0.33102463065693333</v>
          </cell>
          <cell r="R300">
            <v>0.28000000000000025</v>
          </cell>
          <cell r="S300">
            <v>0.21999999999999975</v>
          </cell>
          <cell r="T300">
            <v>0.20999999999999996</v>
          </cell>
          <cell r="U300">
            <v>0.17999999999999972</v>
          </cell>
          <cell r="V300">
            <v>0.14000000000000012</v>
          </cell>
        </row>
        <row r="301">
          <cell r="I301" t="str">
            <v>Seasonality</v>
          </cell>
          <cell r="M301" t="str">
            <v>NA</v>
          </cell>
          <cell r="N301" t="str">
            <v>NA</v>
          </cell>
          <cell r="O301" t="str">
            <v>NA</v>
          </cell>
          <cell r="P301" t="str">
            <v>NA</v>
          </cell>
          <cell r="Q301" t="str">
            <v>NA</v>
          </cell>
          <cell r="R301" t="str">
            <v>NA</v>
          </cell>
          <cell r="S301" t="str">
            <v>NA</v>
          </cell>
          <cell r="T301" t="str">
            <v>NA</v>
          </cell>
          <cell r="U301" t="str">
            <v>NA</v>
          </cell>
          <cell r="V301" t="str">
            <v>NA</v>
          </cell>
        </row>
        <row r="302">
          <cell r="I302" t="str">
            <v>Asia Hotel Market Share</v>
          </cell>
          <cell r="M302" t="str">
            <v>NA</v>
          </cell>
          <cell r="N302" t="str">
            <v>NA</v>
          </cell>
          <cell r="O302">
            <v>2.6885283685173663E-3</v>
          </cell>
          <cell r="P302">
            <v>5.8043870770176685E-3</v>
          </cell>
          <cell r="Q302">
            <v>1.0976715035668192E-2</v>
          </cell>
          <cell r="R302">
            <v>2.1293876455620891E-2</v>
          </cell>
          <cell r="S302">
            <v>3.2324792915937775E-2</v>
          </cell>
          <cell r="T302">
            <v>3.9148794806333528E-2</v>
          </cell>
          <cell r="U302">
            <v>4.2324580050567377E-2</v>
          </cell>
          <cell r="V302">
            <v>4.3054802644810916E-2</v>
          </cell>
        </row>
        <row r="303">
          <cell r="I303" t="str">
            <v>Asia Online Hotel Market Share</v>
          </cell>
          <cell r="M303" t="str">
            <v>NA</v>
          </cell>
          <cell r="N303" t="str">
            <v>NA</v>
          </cell>
          <cell r="O303">
            <v>2.2017408094382442E-2</v>
          </cell>
          <cell r="P303">
            <v>3.790333997591696E-2</v>
          </cell>
          <cell r="Q303">
            <v>6.2768866457708641E-2</v>
          </cell>
          <cell r="R303">
            <v>0.10654539385037379</v>
          </cell>
          <cell r="S303">
            <v>0.14715629622161583</v>
          </cell>
          <cell r="T303">
            <v>0.16349297726300502</v>
          </cell>
          <cell r="U303">
            <v>0.16477223827437776</v>
          </cell>
          <cell r="V303">
            <v>0.15879319628387936</v>
          </cell>
        </row>
        <row r="305">
          <cell r="I305" t="str">
            <v>Operating Scenarios</v>
          </cell>
        </row>
        <row r="306">
          <cell r="I306" t="str">
            <v>Offline Advertising as % of Gross Profit</v>
          </cell>
        </row>
        <row r="307">
          <cell r="I307" t="str">
            <v>Base Case</v>
          </cell>
          <cell r="M307">
            <v>7.936444618410915E-2</v>
          </cell>
          <cell r="N307">
            <v>5.7928223961856908E-2</v>
          </cell>
          <cell r="O307">
            <v>3.9783633603948237E-2</v>
          </cell>
          <cell r="P307">
            <v>2.8768293485770129E-2</v>
          </cell>
          <cell r="Q307">
            <v>1.8708498605532191E-2</v>
          </cell>
          <cell r="R307">
            <v>1.1940774553686317E-2</v>
          </cell>
          <cell r="S307">
            <v>1.1435752965584974E-2</v>
          </cell>
          <cell r="T307">
            <v>1.0999999999999999E-2</v>
          </cell>
          <cell r="U307">
            <v>0.01</v>
          </cell>
          <cell r="V307">
            <v>0.01</v>
          </cell>
          <cell r="W307">
            <v>0.01</v>
          </cell>
          <cell r="X307">
            <v>0.01</v>
          </cell>
          <cell r="Y307">
            <v>0.01</v>
          </cell>
          <cell r="Z307">
            <v>0.01</v>
          </cell>
          <cell r="AA307">
            <v>0.01</v>
          </cell>
          <cell r="AB307">
            <v>0.01</v>
          </cell>
          <cell r="AC307">
            <v>0.01</v>
          </cell>
          <cell r="AD307">
            <v>0.01</v>
          </cell>
          <cell r="AE307">
            <v>0.01</v>
          </cell>
          <cell r="AF307">
            <v>0.01</v>
          </cell>
          <cell r="AG307">
            <v>0.01</v>
          </cell>
          <cell r="AH307">
            <v>0.01</v>
          </cell>
          <cell r="AI307">
            <v>0.01</v>
          </cell>
          <cell r="AJ307">
            <v>0.01</v>
          </cell>
        </row>
        <row r="308">
          <cell r="I308" t="str">
            <v>Bull Case</v>
          </cell>
          <cell r="M308">
            <v>7.936444618410915E-2</v>
          </cell>
          <cell r="N308">
            <v>5.7928223961856908E-2</v>
          </cell>
          <cell r="O308">
            <v>3.9783633603948237E-2</v>
          </cell>
          <cell r="P308">
            <v>2.8768293485770129E-2</v>
          </cell>
          <cell r="Q308">
            <v>1.8708498605532191E-2</v>
          </cell>
          <cell r="R308">
            <v>1.1940774553686317E-2</v>
          </cell>
          <cell r="S308">
            <v>1.1435752965584974E-2</v>
          </cell>
          <cell r="T308">
            <v>8.9999999999999993E-3</v>
          </cell>
          <cell r="U308">
            <v>8.0000000000000002E-3</v>
          </cell>
          <cell r="V308">
            <v>8.0000000000000002E-3</v>
          </cell>
          <cell r="W308">
            <v>8.0000000000000002E-3</v>
          </cell>
          <cell r="X308">
            <v>8.0000000000000002E-3</v>
          </cell>
          <cell r="Y308">
            <v>8.0000000000000002E-3</v>
          </cell>
          <cell r="Z308">
            <v>8.0000000000000002E-3</v>
          </cell>
          <cell r="AA308">
            <v>8.0000000000000002E-3</v>
          </cell>
          <cell r="AB308">
            <v>8.0000000000000002E-3</v>
          </cell>
          <cell r="AC308">
            <v>8.0000000000000002E-3</v>
          </cell>
          <cell r="AD308">
            <v>8.0000000000000002E-3</v>
          </cell>
          <cell r="AE308">
            <v>8.0000000000000002E-3</v>
          </cell>
          <cell r="AF308">
            <v>8.0000000000000002E-3</v>
          </cell>
          <cell r="AG308">
            <v>8.0000000000000002E-3</v>
          </cell>
          <cell r="AH308">
            <v>8.0000000000000002E-3</v>
          </cell>
          <cell r="AI308">
            <v>8.0000000000000002E-3</v>
          </cell>
          <cell r="AJ308">
            <v>8.0000000000000002E-3</v>
          </cell>
        </row>
        <row r="309">
          <cell r="I309" t="str">
            <v>Bull vs. Base Case - bps</v>
          </cell>
          <cell r="M309">
            <v>0</v>
          </cell>
          <cell r="N309">
            <v>0</v>
          </cell>
          <cell r="O309">
            <v>0</v>
          </cell>
          <cell r="P309">
            <v>0</v>
          </cell>
          <cell r="Q309">
            <v>0</v>
          </cell>
          <cell r="R309">
            <v>0</v>
          </cell>
          <cell r="S309">
            <v>0</v>
          </cell>
          <cell r="T309">
            <v>-20</v>
          </cell>
          <cell r="U309">
            <v>-20</v>
          </cell>
          <cell r="V309">
            <v>-20</v>
          </cell>
          <cell r="W309">
            <v>-20</v>
          </cell>
          <cell r="X309">
            <v>-20</v>
          </cell>
          <cell r="Y309">
            <v>-20</v>
          </cell>
          <cell r="Z309">
            <v>-20</v>
          </cell>
          <cell r="AA309">
            <v>-20</v>
          </cell>
          <cell r="AB309">
            <v>-20</v>
          </cell>
          <cell r="AC309">
            <v>-20</v>
          </cell>
          <cell r="AD309">
            <v>-20</v>
          </cell>
          <cell r="AE309">
            <v>-20</v>
          </cell>
          <cell r="AF309">
            <v>-20</v>
          </cell>
          <cell r="AG309">
            <v>-20</v>
          </cell>
          <cell r="AH309">
            <v>-20</v>
          </cell>
          <cell r="AI309">
            <v>-20</v>
          </cell>
          <cell r="AJ309">
            <v>-20</v>
          </cell>
        </row>
        <row r="310">
          <cell r="I310" t="str">
            <v>Bear Case</v>
          </cell>
          <cell r="M310">
            <v>7.936444618410915E-2</v>
          </cell>
          <cell r="N310">
            <v>5.7928223961856908E-2</v>
          </cell>
          <cell r="O310">
            <v>3.9783633603948237E-2</v>
          </cell>
          <cell r="P310">
            <v>2.8768293485770129E-2</v>
          </cell>
          <cell r="Q310">
            <v>1.8708498605532191E-2</v>
          </cell>
          <cell r="R310">
            <v>1.1940774553686317E-2</v>
          </cell>
          <cell r="S310">
            <v>1.1435752965584974E-2</v>
          </cell>
          <cell r="T310">
            <v>1.2999999999999999E-2</v>
          </cell>
          <cell r="U310">
            <v>1.2E-2</v>
          </cell>
          <cell r="V310">
            <v>1.2E-2</v>
          </cell>
          <cell r="W310">
            <v>1.2E-2</v>
          </cell>
          <cell r="X310">
            <v>1.2E-2</v>
          </cell>
          <cell r="Y310">
            <v>1.2E-2</v>
          </cell>
          <cell r="Z310">
            <v>1.2E-2</v>
          </cell>
          <cell r="AA310">
            <v>1.2E-2</v>
          </cell>
          <cell r="AB310">
            <v>1.2E-2</v>
          </cell>
          <cell r="AC310">
            <v>1.2E-2</v>
          </cell>
          <cell r="AD310">
            <v>1.2E-2</v>
          </cell>
          <cell r="AE310">
            <v>1.2E-2</v>
          </cell>
          <cell r="AF310">
            <v>1.2E-2</v>
          </cell>
          <cell r="AG310">
            <v>1.2E-2</v>
          </cell>
          <cell r="AH310">
            <v>1.2E-2</v>
          </cell>
          <cell r="AI310">
            <v>1.2E-2</v>
          </cell>
          <cell r="AJ310">
            <v>1.2E-2</v>
          </cell>
        </row>
        <row r="311">
          <cell r="I311" t="str">
            <v>Bear vs. Base Case - bps</v>
          </cell>
          <cell r="M311">
            <v>0</v>
          </cell>
          <cell r="N311">
            <v>0</v>
          </cell>
          <cell r="O311">
            <v>0</v>
          </cell>
          <cell r="P311">
            <v>0</v>
          </cell>
          <cell r="Q311">
            <v>0</v>
          </cell>
          <cell r="R311">
            <v>0</v>
          </cell>
          <cell r="S311">
            <v>0</v>
          </cell>
          <cell r="T311">
            <v>20</v>
          </cell>
          <cell r="U311">
            <v>20</v>
          </cell>
          <cell r="V311">
            <v>20</v>
          </cell>
          <cell r="W311">
            <v>20</v>
          </cell>
          <cell r="X311">
            <v>20</v>
          </cell>
          <cell r="Y311">
            <v>20</v>
          </cell>
          <cell r="Z311">
            <v>20</v>
          </cell>
          <cell r="AA311">
            <v>20</v>
          </cell>
          <cell r="AB311">
            <v>20</v>
          </cell>
          <cell r="AC311">
            <v>20</v>
          </cell>
          <cell r="AD311">
            <v>20</v>
          </cell>
          <cell r="AE311">
            <v>20</v>
          </cell>
          <cell r="AF311">
            <v>20</v>
          </cell>
          <cell r="AG311">
            <v>20</v>
          </cell>
          <cell r="AH311">
            <v>20</v>
          </cell>
          <cell r="AI311">
            <v>20</v>
          </cell>
          <cell r="AJ311">
            <v>20</v>
          </cell>
        </row>
        <row r="313">
          <cell r="I313" t="str">
            <v>Online Advertising as % of Gross Profit</v>
          </cell>
        </row>
        <row r="314">
          <cell r="I314" t="str">
            <v>Base Case</v>
          </cell>
          <cell r="M314">
            <v>0.28377532728827543</v>
          </cell>
          <cell r="N314">
            <v>0.27814020166876069</v>
          </cell>
          <cell r="O314">
            <v>0.28318118436647133</v>
          </cell>
          <cell r="P314">
            <v>0.28980942492760337</v>
          </cell>
          <cell r="Q314">
            <v>0.2892342056352844</v>
          </cell>
          <cell r="R314">
            <v>0.29260850196840721</v>
          </cell>
          <cell r="S314">
            <v>0.29353684624748005</v>
          </cell>
          <cell r="T314">
            <v>0.29299999999999998</v>
          </cell>
          <cell r="U314">
            <v>0.29199999999999998</v>
          </cell>
          <cell r="V314">
            <v>0.29099999999999998</v>
          </cell>
          <cell r="W314">
            <v>0.29099999999999998</v>
          </cell>
          <cell r="X314">
            <v>0.28999999999999998</v>
          </cell>
          <cell r="Y314">
            <v>0.28999999999999998</v>
          </cell>
          <cell r="Z314">
            <v>0.28999999999999998</v>
          </cell>
          <cell r="AA314">
            <v>0.28999999999999998</v>
          </cell>
          <cell r="AB314">
            <v>0.28999999999999998</v>
          </cell>
          <cell r="AC314">
            <v>0.28999999999999998</v>
          </cell>
          <cell r="AD314">
            <v>0.28999999999999998</v>
          </cell>
          <cell r="AE314">
            <v>0.28999999999999998</v>
          </cell>
          <cell r="AF314">
            <v>0.28999999999999998</v>
          </cell>
          <cell r="AG314">
            <v>0.28999999999999998</v>
          </cell>
          <cell r="AH314">
            <v>0.28999999999999998</v>
          </cell>
          <cell r="AI314">
            <v>0.28999999999999998</v>
          </cell>
          <cell r="AJ314">
            <v>0.28999999999999998</v>
          </cell>
        </row>
        <row r="315">
          <cell r="I315" t="str">
            <v>Bull Case</v>
          </cell>
          <cell r="M315">
            <v>0.28377532728827543</v>
          </cell>
          <cell r="N315">
            <v>0.27814020166876069</v>
          </cell>
          <cell r="O315">
            <v>0.28318118436647133</v>
          </cell>
          <cell r="P315">
            <v>0.28980942492760337</v>
          </cell>
          <cell r="Q315">
            <v>0.2892342056352844</v>
          </cell>
          <cell r="R315">
            <v>0.29260850196840721</v>
          </cell>
          <cell r="S315">
            <v>0.29353684624748005</v>
          </cell>
          <cell r="T315">
            <v>0.28299999999999997</v>
          </cell>
          <cell r="U315">
            <v>0.28199999999999997</v>
          </cell>
          <cell r="V315">
            <v>0.28099999999999997</v>
          </cell>
          <cell r="W315">
            <v>0.28599999999999998</v>
          </cell>
          <cell r="X315">
            <v>0.28499999999999998</v>
          </cell>
          <cell r="Y315">
            <v>0.28499999999999998</v>
          </cell>
          <cell r="Z315">
            <v>0.28499999999999998</v>
          </cell>
          <cell r="AA315">
            <v>0.28499999999999998</v>
          </cell>
          <cell r="AB315">
            <v>0.28499999999999998</v>
          </cell>
          <cell r="AC315">
            <v>0.28499999999999998</v>
          </cell>
          <cell r="AD315">
            <v>0.28499999999999998</v>
          </cell>
          <cell r="AE315">
            <v>0.28499999999999998</v>
          </cell>
          <cell r="AF315">
            <v>0.28499999999999998</v>
          </cell>
          <cell r="AG315">
            <v>0.28499999999999998</v>
          </cell>
          <cell r="AH315">
            <v>0.28499999999999998</v>
          </cell>
          <cell r="AI315">
            <v>0.28499999999999998</v>
          </cell>
          <cell r="AJ315">
            <v>0.28499999999999998</v>
          </cell>
        </row>
        <row r="316">
          <cell r="I316" t="str">
            <v>Bull vs. Base Case - bps</v>
          </cell>
          <cell r="M316">
            <v>0</v>
          </cell>
          <cell r="N316">
            <v>0</v>
          </cell>
          <cell r="O316">
            <v>0</v>
          </cell>
          <cell r="P316">
            <v>0</v>
          </cell>
          <cell r="Q316">
            <v>0</v>
          </cell>
          <cell r="R316">
            <v>0</v>
          </cell>
          <cell r="S316">
            <v>0</v>
          </cell>
          <cell r="T316">
            <v>-100</v>
          </cell>
          <cell r="U316">
            <v>-100</v>
          </cell>
          <cell r="V316">
            <v>-100</v>
          </cell>
          <cell r="W316">
            <v>-50</v>
          </cell>
          <cell r="X316">
            <v>-50</v>
          </cell>
          <cell r="Y316">
            <v>-50</v>
          </cell>
          <cell r="Z316">
            <v>-50</v>
          </cell>
          <cell r="AA316">
            <v>-50</v>
          </cell>
          <cell r="AB316">
            <v>-50</v>
          </cell>
          <cell r="AC316">
            <v>-50</v>
          </cell>
          <cell r="AD316">
            <v>-50</v>
          </cell>
          <cell r="AE316">
            <v>-50</v>
          </cell>
          <cell r="AF316">
            <v>-50</v>
          </cell>
          <cell r="AG316">
            <v>-50</v>
          </cell>
          <cell r="AH316">
            <v>-50</v>
          </cell>
          <cell r="AI316">
            <v>-50</v>
          </cell>
          <cell r="AJ316">
            <v>-50</v>
          </cell>
        </row>
        <row r="317">
          <cell r="I317" t="str">
            <v>Bear Case</v>
          </cell>
          <cell r="M317">
            <v>0.28377532728827543</v>
          </cell>
          <cell r="N317">
            <v>0.27814020166876069</v>
          </cell>
          <cell r="O317">
            <v>0.28318118436647133</v>
          </cell>
          <cell r="P317">
            <v>0.28980942492760337</v>
          </cell>
          <cell r="Q317">
            <v>0.2892342056352844</v>
          </cell>
          <cell r="R317">
            <v>0.29260850196840721</v>
          </cell>
          <cell r="S317">
            <v>0.29353684624748005</v>
          </cell>
          <cell r="T317">
            <v>0.308</v>
          </cell>
          <cell r="U317">
            <v>0.312</v>
          </cell>
          <cell r="V317">
            <v>0.311</v>
          </cell>
          <cell r="W317">
            <v>0.311</v>
          </cell>
          <cell r="X317">
            <v>0.31</v>
          </cell>
          <cell r="Y317">
            <v>0.31</v>
          </cell>
          <cell r="Z317">
            <v>0.31</v>
          </cell>
          <cell r="AA317">
            <v>0.31</v>
          </cell>
          <cell r="AB317">
            <v>0.31</v>
          </cell>
          <cell r="AC317">
            <v>0.31</v>
          </cell>
          <cell r="AD317">
            <v>0.31</v>
          </cell>
          <cell r="AE317">
            <v>0.31</v>
          </cell>
          <cell r="AF317">
            <v>0.31</v>
          </cell>
          <cell r="AG317">
            <v>0.31</v>
          </cell>
          <cell r="AH317">
            <v>0.31</v>
          </cell>
          <cell r="AI317">
            <v>0.31</v>
          </cell>
          <cell r="AJ317">
            <v>0.31</v>
          </cell>
        </row>
        <row r="318">
          <cell r="I318" t="str">
            <v>Bear vs. Base Case - bps</v>
          </cell>
          <cell r="M318">
            <v>0</v>
          </cell>
          <cell r="N318">
            <v>0</v>
          </cell>
          <cell r="O318">
            <v>0</v>
          </cell>
          <cell r="P318">
            <v>0</v>
          </cell>
          <cell r="Q318">
            <v>0</v>
          </cell>
          <cell r="R318">
            <v>0</v>
          </cell>
          <cell r="S318">
            <v>0</v>
          </cell>
          <cell r="T318">
            <v>150</v>
          </cell>
          <cell r="U318">
            <v>200</v>
          </cell>
          <cell r="V318">
            <v>200</v>
          </cell>
          <cell r="W318">
            <v>200</v>
          </cell>
          <cell r="X318">
            <v>200</v>
          </cell>
          <cell r="Y318">
            <v>200</v>
          </cell>
          <cell r="Z318">
            <v>200</v>
          </cell>
          <cell r="AA318">
            <v>200</v>
          </cell>
          <cell r="AB318">
            <v>200</v>
          </cell>
          <cell r="AC318">
            <v>200</v>
          </cell>
          <cell r="AD318">
            <v>200</v>
          </cell>
          <cell r="AE318">
            <v>200</v>
          </cell>
          <cell r="AF318">
            <v>200</v>
          </cell>
          <cell r="AG318">
            <v>200</v>
          </cell>
          <cell r="AH318">
            <v>200</v>
          </cell>
          <cell r="AI318">
            <v>200</v>
          </cell>
          <cell r="AJ318">
            <v>200</v>
          </cell>
        </row>
        <row r="320">
          <cell r="I320" t="str">
            <v>Selling &amp; Marketing as % of Gross Profit</v>
          </cell>
        </row>
        <row r="321">
          <cell r="I321" t="str">
            <v>Base Case</v>
          </cell>
          <cell r="M321">
            <v>0.10500649465593281</v>
          </cell>
          <cell r="N321">
            <v>7.5962436777165701E-2</v>
          </cell>
          <cell r="O321">
            <v>8.1538038287772341E-2</v>
          </cell>
          <cell r="P321">
            <v>6.4435583848828054E-2</v>
          </cell>
          <cell r="Q321">
            <v>6.0924937610399736E-2</v>
          </cell>
          <cell r="R321">
            <v>5.4647382532347077E-2</v>
          </cell>
          <cell r="S321">
            <v>5.4636689507313235E-2</v>
          </cell>
          <cell r="T321">
            <v>5.5E-2</v>
          </cell>
          <cell r="U321">
            <v>5.3999999999999999E-2</v>
          </cell>
          <cell r="V321">
            <v>5.2999999999999999E-2</v>
          </cell>
          <cell r="W321">
            <v>5.2999999999999999E-2</v>
          </cell>
          <cell r="X321">
            <v>5.2999999999999999E-2</v>
          </cell>
          <cell r="Y321">
            <v>5.2999999999999999E-2</v>
          </cell>
          <cell r="Z321">
            <v>5.2999999999999999E-2</v>
          </cell>
          <cell r="AA321">
            <v>5.2999999999999999E-2</v>
          </cell>
          <cell r="AB321">
            <v>5.3999999999999999E-2</v>
          </cell>
          <cell r="AC321">
            <v>5.3999999999999999E-2</v>
          </cell>
          <cell r="AD321">
            <v>5.3999999999999999E-2</v>
          </cell>
          <cell r="AE321">
            <v>5.3999999999999999E-2</v>
          </cell>
          <cell r="AF321">
            <v>5.3999999999999999E-2</v>
          </cell>
          <cell r="AG321">
            <v>5.3999999999999999E-2</v>
          </cell>
          <cell r="AH321">
            <v>5.3999999999999999E-2</v>
          </cell>
          <cell r="AI321">
            <v>5.3999999999999999E-2</v>
          </cell>
          <cell r="AJ321">
            <v>5.3999999999999999E-2</v>
          </cell>
        </row>
        <row r="322">
          <cell r="I322" t="str">
            <v>Bull Case</v>
          </cell>
          <cell r="M322">
            <v>0.10500649465593281</v>
          </cell>
          <cell r="N322">
            <v>7.5962436777165701E-2</v>
          </cell>
          <cell r="O322">
            <v>8.1538038287772341E-2</v>
          </cell>
          <cell r="P322">
            <v>6.4435583848828054E-2</v>
          </cell>
          <cell r="Q322">
            <v>6.0924937610399736E-2</v>
          </cell>
          <cell r="R322">
            <v>5.4647382532347077E-2</v>
          </cell>
          <cell r="S322">
            <v>5.4636689507313235E-2</v>
          </cell>
          <cell r="T322">
            <v>5.2499999999999998E-2</v>
          </cell>
          <cell r="U322">
            <v>5.1499999999999997E-2</v>
          </cell>
          <cell r="V322">
            <v>5.0499999999999996E-2</v>
          </cell>
          <cell r="W322">
            <v>5.0499999999999996E-2</v>
          </cell>
          <cell r="X322">
            <v>5.0499999999999996E-2</v>
          </cell>
          <cell r="Y322">
            <v>5.0499999999999996E-2</v>
          </cell>
          <cell r="Z322">
            <v>5.0499999999999996E-2</v>
          </cell>
          <cell r="AA322">
            <v>5.0499999999999996E-2</v>
          </cell>
          <cell r="AB322">
            <v>5.1499999999999997E-2</v>
          </cell>
          <cell r="AC322">
            <v>5.1499999999999997E-2</v>
          </cell>
          <cell r="AD322">
            <v>5.1499999999999997E-2</v>
          </cell>
          <cell r="AE322">
            <v>5.1499999999999997E-2</v>
          </cell>
          <cell r="AF322">
            <v>5.1499999999999997E-2</v>
          </cell>
          <cell r="AG322">
            <v>5.1499999999999997E-2</v>
          </cell>
          <cell r="AH322">
            <v>5.1499999999999997E-2</v>
          </cell>
          <cell r="AI322">
            <v>5.1499999999999997E-2</v>
          </cell>
          <cell r="AJ322">
            <v>5.1499999999999997E-2</v>
          </cell>
        </row>
        <row r="323">
          <cell r="I323" t="str">
            <v>Bull vs. Base Case - bps</v>
          </cell>
          <cell r="M323">
            <v>0</v>
          </cell>
          <cell r="N323">
            <v>0</v>
          </cell>
          <cell r="O323">
            <v>0</v>
          </cell>
          <cell r="P323">
            <v>0</v>
          </cell>
          <cell r="Q323">
            <v>0</v>
          </cell>
          <cell r="R323">
            <v>0</v>
          </cell>
          <cell r="S323">
            <v>0</v>
          </cell>
          <cell r="T323">
            <v>-25</v>
          </cell>
          <cell r="U323">
            <v>-25</v>
          </cell>
          <cell r="V323">
            <v>-25</v>
          </cell>
          <cell r="W323">
            <v>-25</v>
          </cell>
          <cell r="X323">
            <v>-25</v>
          </cell>
          <cell r="Y323">
            <v>-25</v>
          </cell>
          <cell r="Z323">
            <v>-25</v>
          </cell>
          <cell r="AA323">
            <v>-25</v>
          </cell>
          <cell r="AB323">
            <v>-25</v>
          </cell>
          <cell r="AC323">
            <v>-25</v>
          </cell>
          <cell r="AD323">
            <v>-25</v>
          </cell>
          <cell r="AE323">
            <v>-25</v>
          </cell>
          <cell r="AF323">
            <v>-25</v>
          </cell>
          <cell r="AG323">
            <v>-25</v>
          </cell>
          <cell r="AH323">
            <v>-25</v>
          </cell>
          <cell r="AI323">
            <v>-25</v>
          </cell>
          <cell r="AJ323">
            <v>-25</v>
          </cell>
        </row>
        <row r="324">
          <cell r="I324" t="str">
            <v>Bear Case</v>
          </cell>
          <cell r="M324">
            <v>0.10500649465593281</v>
          </cell>
          <cell r="N324">
            <v>7.5962436777165701E-2</v>
          </cell>
          <cell r="O324">
            <v>8.1538038287772341E-2</v>
          </cell>
          <cell r="P324">
            <v>6.4435583848828054E-2</v>
          </cell>
          <cell r="Q324">
            <v>6.0924937610399736E-2</v>
          </cell>
          <cell r="R324">
            <v>5.4647382532347077E-2</v>
          </cell>
          <cell r="S324">
            <v>5.4636689507313235E-2</v>
          </cell>
          <cell r="T324">
            <v>0.06</v>
          </cell>
          <cell r="U324">
            <v>5.8999999999999997E-2</v>
          </cell>
          <cell r="V324">
            <v>5.7999999999999996E-2</v>
          </cell>
          <cell r="W324">
            <v>5.7999999999999996E-2</v>
          </cell>
          <cell r="X324">
            <v>5.7999999999999996E-2</v>
          </cell>
          <cell r="Y324">
            <v>5.7999999999999996E-2</v>
          </cell>
          <cell r="Z324">
            <v>5.7999999999999996E-2</v>
          </cell>
          <cell r="AA324">
            <v>5.7999999999999996E-2</v>
          </cell>
          <cell r="AB324">
            <v>5.8999999999999997E-2</v>
          </cell>
          <cell r="AC324">
            <v>5.8999999999999997E-2</v>
          </cell>
          <cell r="AD324">
            <v>5.8999999999999997E-2</v>
          </cell>
          <cell r="AE324">
            <v>5.8999999999999997E-2</v>
          </cell>
          <cell r="AF324">
            <v>5.8999999999999997E-2</v>
          </cell>
          <cell r="AG324">
            <v>5.8999999999999997E-2</v>
          </cell>
          <cell r="AH324">
            <v>5.8999999999999997E-2</v>
          </cell>
          <cell r="AI324">
            <v>5.8999999999999997E-2</v>
          </cell>
          <cell r="AJ324">
            <v>5.8999999999999997E-2</v>
          </cell>
        </row>
        <row r="325">
          <cell r="I325" t="str">
            <v>Bear vs. Base Case - bps</v>
          </cell>
          <cell r="M325">
            <v>0</v>
          </cell>
          <cell r="N325">
            <v>0</v>
          </cell>
          <cell r="O325">
            <v>0</v>
          </cell>
          <cell r="P325">
            <v>0</v>
          </cell>
          <cell r="Q325">
            <v>0</v>
          </cell>
          <cell r="R325">
            <v>0</v>
          </cell>
          <cell r="S325">
            <v>0</v>
          </cell>
          <cell r="T325">
            <v>50</v>
          </cell>
          <cell r="U325">
            <v>50</v>
          </cell>
          <cell r="V325">
            <v>50</v>
          </cell>
          <cell r="W325">
            <v>50</v>
          </cell>
          <cell r="X325">
            <v>50</v>
          </cell>
          <cell r="Y325">
            <v>50</v>
          </cell>
          <cell r="Z325">
            <v>50</v>
          </cell>
          <cell r="AA325">
            <v>50</v>
          </cell>
          <cell r="AB325">
            <v>50</v>
          </cell>
          <cell r="AC325">
            <v>50</v>
          </cell>
          <cell r="AD325">
            <v>50</v>
          </cell>
          <cell r="AE325">
            <v>50</v>
          </cell>
          <cell r="AF325">
            <v>50</v>
          </cell>
          <cell r="AG325">
            <v>50</v>
          </cell>
          <cell r="AH325">
            <v>50</v>
          </cell>
          <cell r="AI325">
            <v>50</v>
          </cell>
          <cell r="AJ325">
            <v>50</v>
          </cell>
        </row>
        <row r="327">
          <cell r="I327" t="str">
            <v>Personnel (ex-SBC) as % of Gross Profit</v>
          </cell>
        </row>
        <row r="328">
          <cell r="I328" t="str">
            <v>Base Case</v>
          </cell>
          <cell r="M328">
            <v>0.16079072747625894</v>
          </cell>
          <cell r="N328">
            <v>0.13971682613317871</v>
          </cell>
          <cell r="O328">
            <v>0.12894010383160159</v>
          </cell>
          <cell r="P328">
            <v>0.11063221239836513</v>
          </cell>
          <cell r="Q328">
            <v>0.10574853900423893</v>
          </cell>
          <cell r="R328">
            <v>9.7136385472356077E-2</v>
          </cell>
          <cell r="S328">
            <v>9.9287331640830215E-2</v>
          </cell>
          <cell r="T328">
            <v>9.8000000000000004E-2</v>
          </cell>
          <cell r="U328">
            <v>9.8000000000000004E-2</v>
          </cell>
          <cell r="V328">
            <v>9.7000000000000003E-2</v>
          </cell>
          <cell r="W328">
            <v>9.6000000000000002E-2</v>
          </cell>
          <cell r="X328">
            <v>9.5000000000000001E-2</v>
          </cell>
          <cell r="Y328">
            <v>9.5000000000000001E-2</v>
          </cell>
          <cell r="Z328">
            <v>9.5000000000000001E-2</v>
          </cell>
          <cell r="AA328">
            <v>9.5000000000000001E-2</v>
          </cell>
          <cell r="AB328">
            <v>9.5000000000000001E-2</v>
          </cell>
          <cell r="AC328">
            <v>9.5000000000000001E-2</v>
          </cell>
          <cell r="AD328">
            <v>9.5000000000000001E-2</v>
          </cell>
          <cell r="AE328">
            <v>9.5000000000000001E-2</v>
          </cell>
          <cell r="AF328">
            <v>9.5000000000000001E-2</v>
          </cell>
          <cell r="AG328">
            <v>9.5000000000000001E-2</v>
          </cell>
          <cell r="AH328">
            <v>9.5000000000000001E-2</v>
          </cell>
          <cell r="AI328">
            <v>9.5000000000000001E-2</v>
          </cell>
          <cell r="AJ328">
            <v>9.5000000000000001E-2</v>
          </cell>
        </row>
        <row r="329">
          <cell r="I329" t="str">
            <v>Bull Case</v>
          </cell>
          <cell r="M329">
            <v>0.16079072747625894</v>
          </cell>
          <cell r="N329">
            <v>0.13971682613317871</v>
          </cell>
          <cell r="O329">
            <v>0.12894010383160159</v>
          </cell>
          <cell r="P329">
            <v>0.11063221239836513</v>
          </cell>
          <cell r="Q329">
            <v>0.10574853900423893</v>
          </cell>
          <cell r="R329">
            <v>9.7136385472356077E-2</v>
          </cell>
          <cell r="S329">
            <v>9.9287331640830215E-2</v>
          </cell>
          <cell r="T329">
            <v>9.5500000000000002E-2</v>
          </cell>
          <cell r="U329">
            <v>9.5500000000000002E-2</v>
          </cell>
          <cell r="V329">
            <v>9.4500000000000001E-2</v>
          </cell>
          <cell r="W329">
            <v>9.35E-2</v>
          </cell>
          <cell r="X329">
            <v>9.2499999999999999E-2</v>
          </cell>
          <cell r="Y329">
            <v>9.2499999999999999E-2</v>
          </cell>
          <cell r="Z329">
            <v>9.2499999999999999E-2</v>
          </cell>
          <cell r="AA329">
            <v>9.2499999999999999E-2</v>
          </cell>
          <cell r="AB329">
            <v>9.2499999999999999E-2</v>
          </cell>
          <cell r="AC329">
            <v>9.2499999999999999E-2</v>
          </cell>
          <cell r="AD329">
            <v>9.2499999999999999E-2</v>
          </cell>
          <cell r="AE329">
            <v>9.2499999999999999E-2</v>
          </cell>
          <cell r="AF329">
            <v>9.2499999999999999E-2</v>
          </cell>
          <cell r="AG329">
            <v>9.2499999999999999E-2</v>
          </cell>
          <cell r="AH329">
            <v>9.2499999999999999E-2</v>
          </cell>
          <cell r="AI329">
            <v>9.2499999999999999E-2</v>
          </cell>
          <cell r="AJ329">
            <v>9.2499999999999999E-2</v>
          </cell>
        </row>
        <row r="330">
          <cell r="I330" t="str">
            <v>Bull vs. Base Case - bps</v>
          </cell>
          <cell r="M330">
            <v>0</v>
          </cell>
          <cell r="N330">
            <v>0</v>
          </cell>
          <cell r="O330">
            <v>0</v>
          </cell>
          <cell r="P330">
            <v>0</v>
          </cell>
          <cell r="Q330">
            <v>0</v>
          </cell>
          <cell r="R330">
            <v>0</v>
          </cell>
          <cell r="S330">
            <v>0</v>
          </cell>
          <cell r="T330">
            <v>-25</v>
          </cell>
          <cell r="U330">
            <v>-25</v>
          </cell>
          <cell r="V330">
            <v>-25</v>
          </cell>
          <cell r="W330">
            <v>-25</v>
          </cell>
          <cell r="X330">
            <v>-25</v>
          </cell>
          <cell r="Y330">
            <v>-25</v>
          </cell>
          <cell r="Z330">
            <v>-25</v>
          </cell>
          <cell r="AA330">
            <v>-25</v>
          </cell>
          <cell r="AB330">
            <v>-25</v>
          </cell>
          <cell r="AC330">
            <v>-25</v>
          </cell>
          <cell r="AD330">
            <v>-25</v>
          </cell>
          <cell r="AE330">
            <v>-25</v>
          </cell>
          <cell r="AF330">
            <v>-25</v>
          </cell>
          <cell r="AG330">
            <v>-25</v>
          </cell>
          <cell r="AH330">
            <v>-25</v>
          </cell>
          <cell r="AI330">
            <v>-25</v>
          </cell>
          <cell r="AJ330">
            <v>-25</v>
          </cell>
        </row>
        <row r="331">
          <cell r="I331" t="str">
            <v>Bear Case</v>
          </cell>
          <cell r="M331">
            <v>0.16079072747625894</v>
          </cell>
          <cell r="N331">
            <v>0.13971682613317871</v>
          </cell>
          <cell r="O331">
            <v>0.12894010383160159</v>
          </cell>
          <cell r="P331">
            <v>0.11063221239836513</v>
          </cell>
          <cell r="Q331">
            <v>0.10574853900423893</v>
          </cell>
          <cell r="R331">
            <v>9.7136385472356077E-2</v>
          </cell>
          <cell r="S331">
            <v>9.9287331640830215E-2</v>
          </cell>
          <cell r="T331">
            <v>0.10300000000000001</v>
          </cell>
          <cell r="U331">
            <v>0.10300000000000001</v>
          </cell>
          <cell r="V331">
            <v>0.10200000000000001</v>
          </cell>
          <cell r="W331">
            <v>0.10100000000000001</v>
          </cell>
          <cell r="X331">
            <v>0.1</v>
          </cell>
          <cell r="Y331">
            <v>0.1</v>
          </cell>
          <cell r="Z331">
            <v>0.1</v>
          </cell>
          <cell r="AA331">
            <v>0.1</v>
          </cell>
          <cell r="AB331">
            <v>0.1</v>
          </cell>
          <cell r="AC331">
            <v>0.1</v>
          </cell>
          <cell r="AD331">
            <v>0.1</v>
          </cell>
          <cell r="AE331">
            <v>0.1</v>
          </cell>
          <cell r="AF331">
            <v>0.1</v>
          </cell>
          <cell r="AG331">
            <v>0.1</v>
          </cell>
          <cell r="AH331">
            <v>0.1</v>
          </cell>
          <cell r="AI331">
            <v>0.1</v>
          </cell>
          <cell r="AJ331">
            <v>0.1</v>
          </cell>
        </row>
        <row r="332">
          <cell r="I332" t="str">
            <v>Bear vs. Base Case - bps</v>
          </cell>
          <cell r="M332">
            <v>0</v>
          </cell>
          <cell r="N332">
            <v>0</v>
          </cell>
          <cell r="O332">
            <v>0</v>
          </cell>
          <cell r="P332">
            <v>0</v>
          </cell>
          <cell r="Q332">
            <v>0</v>
          </cell>
          <cell r="R332">
            <v>0</v>
          </cell>
          <cell r="S332">
            <v>0</v>
          </cell>
          <cell r="T332">
            <v>50</v>
          </cell>
          <cell r="U332">
            <v>50</v>
          </cell>
          <cell r="V332">
            <v>50</v>
          </cell>
          <cell r="W332">
            <v>50</v>
          </cell>
          <cell r="X332">
            <v>50</v>
          </cell>
          <cell r="Y332">
            <v>50</v>
          </cell>
          <cell r="Z332">
            <v>50</v>
          </cell>
          <cell r="AA332">
            <v>50</v>
          </cell>
          <cell r="AB332">
            <v>50</v>
          </cell>
          <cell r="AC332">
            <v>50</v>
          </cell>
          <cell r="AD332">
            <v>50</v>
          </cell>
          <cell r="AE332">
            <v>50</v>
          </cell>
          <cell r="AF332">
            <v>50</v>
          </cell>
          <cell r="AG332">
            <v>50</v>
          </cell>
          <cell r="AH332">
            <v>50</v>
          </cell>
          <cell r="AI332">
            <v>50</v>
          </cell>
          <cell r="AJ332">
            <v>50</v>
          </cell>
        </row>
        <row r="334">
          <cell r="I334" t="str">
            <v>General &amp; Administrative as % of Gross Profit</v>
          </cell>
        </row>
        <row r="335">
          <cell r="I335" t="str">
            <v>Base Case</v>
          </cell>
          <cell r="M335">
            <v>7.1269187906227632E-2</v>
          </cell>
          <cell r="N335">
            <v>5.8748107341902653E-2</v>
          </cell>
          <cell r="O335">
            <v>5.7812423180201071E-2</v>
          </cell>
          <cell r="P335">
            <v>5.4376595759869223E-2</v>
          </cell>
          <cell r="Q335">
            <v>4.2528648927276043E-2</v>
          </cell>
          <cell r="R335">
            <v>4.0238618358932297E-2</v>
          </cell>
          <cell r="S335">
            <v>4.0896762073845648E-2</v>
          </cell>
          <cell r="T335">
            <v>4.1000000000000002E-2</v>
          </cell>
          <cell r="U335">
            <v>0.04</v>
          </cell>
          <cell r="V335">
            <v>3.9E-2</v>
          </cell>
          <cell r="W335">
            <v>3.7999999999999999E-2</v>
          </cell>
          <cell r="X335">
            <v>3.7999999999999999E-2</v>
          </cell>
          <cell r="Y335">
            <v>3.7999999999999999E-2</v>
          </cell>
          <cell r="Z335">
            <v>3.7999999999999999E-2</v>
          </cell>
          <cell r="AA335">
            <v>3.7999999999999999E-2</v>
          </cell>
          <cell r="AB335">
            <v>3.7999999999999999E-2</v>
          </cell>
          <cell r="AC335">
            <v>3.7999999999999999E-2</v>
          </cell>
          <cell r="AD335">
            <v>3.7999999999999999E-2</v>
          </cell>
          <cell r="AE335">
            <v>3.7999999999999999E-2</v>
          </cell>
          <cell r="AF335">
            <v>3.7999999999999999E-2</v>
          </cell>
          <cell r="AG335">
            <v>3.7999999999999999E-2</v>
          </cell>
          <cell r="AH335">
            <v>3.7999999999999999E-2</v>
          </cell>
          <cell r="AI335">
            <v>3.7999999999999999E-2</v>
          </cell>
          <cell r="AJ335">
            <v>3.7999999999999999E-2</v>
          </cell>
        </row>
        <row r="336">
          <cell r="I336" t="str">
            <v>Bull Case</v>
          </cell>
          <cell r="M336">
            <v>7.1269187906227632E-2</v>
          </cell>
          <cell r="N336">
            <v>5.8748107341902653E-2</v>
          </cell>
          <cell r="O336">
            <v>5.7812423180201071E-2</v>
          </cell>
          <cell r="P336">
            <v>5.4376595759869223E-2</v>
          </cell>
          <cell r="Q336">
            <v>4.2528648927276043E-2</v>
          </cell>
          <cell r="R336">
            <v>4.0238618358932297E-2</v>
          </cell>
          <cell r="S336">
            <v>4.0896762073845648E-2</v>
          </cell>
          <cell r="T336">
            <v>3.9E-2</v>
          </cell>
          <cell r="U336">
            <v>3.7999999999999999E-2</v>
          </cell>
          <cell r="V336">
            <v>3.6999999999999998E-2</v>
          </cell>
          <cell r="W336">
            <v>3.5999999999999997E-2</v>
          </cell>
          <cell r="X336">
            <v>3.5999999999999997E-2</v>
          </cell>
          <cell r="Y336">
            <v>3.5999999999999997E-2</v>
          </cell>
          <cell r="Z336">
            <v>3.5999999999999997E-2</v>
          </cell>
          <cell r="AA336">
            <v>3.5999999999999997E-2</v>
          </cell>
          <cell r="AB336">
            <v>3.5999999999999997E-2</v>
          </cell>
          <cell r="AC336">
            <v>3.5999999999999997E-2</v>
          </cell>
          <cell r="AD336">
            <v>3.5999999999999997E-2</v>
          </cell>
          <cell r="AE336">
            <v>3.5999999999999997E-2</v>
          </cell>
          <cell r="AF336">
            <v>3.5999999999999997E-2</v>
          </cell>
          <cell r="AG336">
            <v>3.5999999999999997E-2</v>
          </cell>
          <cell r="AH336">
            <v>3.5999999999999997E-2</v>
          </cell>
          <cell r="AI336">
            <v>3.5999999999999997E-2</v>
          </cell>
          <cell r="AJ336">
            <v>3.5999999999999997E-2</v>
          </cell>
        </row>
        <row r="337">
          <cell r="I337" t="str">
            <v>Bull vs. Base Case - bps</v>
          </cell>
          <cell r="M337">
            <v>0</v>
          </cell>
          <cell r="N337">
            <v>0</v>
          </cell>
          <cell r="O337">
            <v>0</v>
          </cell>
          <cell r="P337">
            <v>0</v>
          </cell>
          <cell r="Q337">
            <v>0</v>
          </cell>
          <cell r="R337">
            <v>0</v>
          </cell>
          <cell r="S337">
            <v>0</v>
          </cell>
          <cell r="T337">
            <v>-20</v>
          </cell>
          <cell r="U337">
            <v>-20</v>
          </cell>
          <cell r="V337">
            <v>-20</v>
          </cell>
          <cell r="W337">
            <v>-20</v>
          </cell>
          <cell r="X337">
            <v>-20</v>
          </cell>
          <cell r="Y337">
            <v>-20</v>
          </cell>
          <cell r="Z337">
            <v>-20</v>
          </cell>
          <cell r="AA337">
            <v>-20</v>
          </cell>
          <cell r="AB337">
            <v>-20</v>
          </cell>
          <cell r="AC337">
            <v>-20</v>
          </cell>
          <cell r="AD337">
            <v>-20</v>
          </cell>
          <cell r="AE337">
            <v>-20</v>
          </cell>
          <cell r="AF337">
            <v>-20</v>
          </cell>
          <cell r="AG337">
            <v>-20</v>
          </cell>
          <cell r="AH337">
            <v>-20</v>
          </cell>
          <cell r="AI337">
            <v>-20</v>
          </cell>
          <cell r="AJ337">
            <v>-20</v>
          </cell>
        </row>
        <row r="338">
          <cell r="I338" t="str">
            <v>Bear Case</v>
          </cell>
          <cell r="M338">
            <v>7.1269187906227632E-2</v>
          </cell>
          <cell r="N338">
            <v>5.8748107341902653E-2</v>
          </cell>
          <cell r="O338">
            <v>5.7812423180201071E-2</v>
          </cell>
          <cell r="P338">
            <v>5.4376595759869223E-2</v>
          </cell>
          <cell r="Q338">
            <v>4.2528648927276043E-2</v>
          </cell>
          <cell r="R338">
            <v>4.0238618358932297E-2</v>
          </cell>
          <cell r="S338">
            <v>4.0896762073845648E-2</v>
          </cell>
          <cell r="T338">
            <v>4.3500000000000004E-2</v>
          </cell>
          <cell r="U338">
            <v>4.2500000000000003E-2</v>
          </cell>
          <cell r="V338">
            <v>4.1500000000000002E-2</v>
          </cell>
          <cell r="W338">
            <v>4.0500000000000001E-2</v>
          </cell>
          <cell r="X338">
            <v>4.0500000000000001E-2</v>
          </cell>
          <cell r="Y338">
            <v>4.0500000000000001E-2</v>
          </cell>
          <cell r="Z338">
            <v>4.0500000000000001E-2</v>
          </cell>
          <cell r="AA338">
            <v>4.0500000000000001E-2</v>
          </cell>
          <cell r="AB338">
            <v>4.0500000000000001E-2</v>
          </cell>
          <cell r="AC338">
            <v>4.0500000000000001E-2</v>
          </cell>
          <cell r="AD338">
            <v>4.0500000000000001E-2</v>
          </cell>
          <cell r="AE338">
            <v>4.0500000000000001E-2</v>
          </cell>
          <cell r="AF338">
            <v>4.0500000000000001E-2</v>
          </cell>
          <cell r="AG338">
            <v>4.0500000000000001E-2</v>
          </cell>
          <cell r="AH338">
            <v>4.0500000000000001E-2</v>
          </cell>
          <cell r="AI338">
            <v>4.0500000000000001E-2</v>
          </cell>
          <cell r="AJ338">
            <v>4.0500000000000001E-2</v>
          </cell>
        </row>
        <row r="339">
          <cell r="I339" t="str">
            <v>Bear vs. Base Case - bps</v>
          </cell>
          <cell r="M339">
            <v>0</v>
          </cell>
          <cell r="N339">
            <v>0</v>
          </cell>
          <cell r="O339">
            <v>0</v>
          </cell>
          <cell r="P339">
            <v>0</v>
          </cell>
          <cell r="Q339">
            <v>0</v>
          </cell>
          <cell r="R339">
            <v>0</v>
          </cell>
          <cell r="S339">
            <v>0</v>
          </cell>
          <cell r="T339">
            <v>25</v>
          </cell>
          <cell r="U339">
            <v>25</v>
          </cell>
          <cell r="V339">
            <v>25</v>
          </cell>
          <cell r="W339">
            <v>25</v>
          </cell>
          <cell r="X339">
            <v>25</v>
          </cell>
          <cell r="Y339">
            <v>25</v>
          </cell>
          <cell r="Z339">
            <v>25</v>
          </cell>
          <cell r="AA339">
            <v>25</v>
          </cell>
          <cell r="AB339">
            <v>25</v>
          </cell>
          <cell r="AC339">
            <v>25</v>
          </cell>
          <cell r="AD339">
            <v>25</v>
          </cell>
          <cell r="AE339">
            <v>25</v>
          </cell>
          <cell r="AF339">
            <v>25</v>
          </cell>
          <cell r="AG339">
            <v>25</v>
          </cell>
          <cell r="AH339">
            <v>25</v>
          </cell>
          <cell r="AI339">
            <v>25</v>
          </cell>
          <cell r="AJ339">
            <v>25</v>
          </cell>
        </row>
        <row r="341">
          <cell r="I341" t="str">
            <v>Information Technology as % of Gross Profit</v>
          </cell>
        </row>
        <row r="342">
          <cell r="I342" t="str">
            <v>Base Case</v>
          </cell>
          <cell r="M342">
            <v>2.4305720034206012E-2</v>
          </cell>
          <cell r="N342">
            <v>2.2194839083792404E-2</v>
          </cell>
          <cell r="O342">
            <v>1.878299655533484E-2</v>
          </cell>
          <cell r="P342">
            <v>1.5179696739196821E-2</v>
          </cell>
          <cell r="Q342">
            <v>1.099963750123103E-2</v>
          </cell>
          <cell r="R342">
            <v>1.0649478726432109E-2</v>
          </cell>
          <cell r="S342">
            <v>1.070720644181832E-2</v>
          </cell>
          <cell r="T342">
            <v>1.0999999999999999E-2</v>
          </cell>
          <cell r="U342">
            <v>1.0999999999999999E-2</v>
          </cell>
          <cell r="V342">
            <v>1.0999999999999999E-2</v>
          </cell>
          <cell r="W342">
            <v>1.0999999999999999E-2</v>
          </cell>
          <cell r="X342">
            <v>1.0999999999999999E-2</v>
          </cell>
          <cell r="Y342">
            <v>1.0999999999999999E-2</v>
          </cell>
          <cell r="Z342">
            <v>1.0999999999999999E-2</v>
          </cell>
          <cell r="AA342">
            <v>1.0999999999999999E-2</v>
          </cell>
          <cell r="AB342">
            <v>1.0999999999999999E-2</v>
          </cell>
          <cell r="AC342">
            <v>1.0999999999999999E-2</v>
          </cell>
          <cell r="AD342">
            <v>1.0999999999999999E-2</v>
          </cell>
          <cell r="AE342">
            <v>1.0999999999999999E-2</v>
          </cell>
          <cell r="AF342">
            <v>1.0999999999999999E-2</v>
          </cell>
          <cell r="AG342">
            <v>1.0999999999999999E-2</v>
          </cell>
          <cell r="AH342">
            <v>1.0999999999999999E-2</v>
          </cell>
          <cell r="AI342">
            <v>1.0999999999999999E-2</v>
          </cell>
          <cell r="AJ342">
            <v>1.0999999999999999E-2</v>
          </cell>
        </row>
        <row r="343">
          <cell r="I343" t="str">
            <v>Bull Case</v>
          </cell>
          <cell r="M343">
            <v>2.4305720034206012E-2</v>
          </cell>
          <cell r="N343">
            <v>2.2194839083792404E-2</v>
          </cell>
          <cell r="O343">
            <v>1.878299655533484E-2</v>
          </cell>
          <cell r="P343">
            <v>1.5179696739196821E-2</v>
          </cell>
          <cell r="Q343">
            <v>1.099963750123103E-2</v>
          </cell>
          <cell r="R343">
            <v>1.0649478726432109E-2</v>
          </cell>
          <cell r="S343">
            <v>1.070720644181832E-2</v>
          </cell>
          <cell r="T343">
            <v>8.9999999999999993E-3</v>
          </cell>
          <cell r="U343">
            <v>8.9999999999999993E-3</v>
          </cell>
          <cell r="V343">
            <v>8.9999999999999993E-3</v>
          </cell>
          <cell r="W343">
            <v>8.9999999999999993E-3</v>
          </cell>
          <cell r="X343">
            <v>8.9999999999999993E-3</v>
          </cell>
          <cell r="Y343">
            <v>8.9999999999999993E-3</v>
          </cell>
          <cell r="Z343">
            <v>8.9999999999999993E-3</v>
          </cell>
          <cell r="AA343">
            <v>8.9999999999999993E-3</v>
          </cell>
          <cell r="AB343">
            <v>8.9999999999999993E-3</v>
          </cell>
          <cell r="AC343">
            <v>8.9999999999999993E-3</v>
          </cell>
          <cell r="AD343">
            <v>8.9999999999999993E-3</v>
          </cell>
          <cell r="AE343">
            <v>8.9999999999999993E-3</v>
          </cell>
          <cell r="AF343">
            <v>8.9999999999999993E-3</v>
          </cell>
          <cell r="AG343">
            <v>8.9999999999999993E-3</v>
          </cell>
          <cell r="AH343">
            <v>8.9999999999999993E-3</v>
          </cell>
          <cell r="AI343">
            <v>8.9999999999999993E-3</v>
          </cell>
          <cell r="AJ343">
            <v>8.9999999999999993E-3</v>
          </cell>
        </row>
        <row r="344">
          <cell r="I344" t="str">
            <v>Bull vs. Base Case - bps</v>
          </cell>
          <cell r="M344">
            <v>0</v>
          </cell>
          <cell r="N344">
            <v>0</v>
          </cell>
          <cell r="O344">
            <v>0</v>
          </cell>
          <cell r="P344">
            <v>0</v>
          </cell>
          <cell r="Q344">
            <v>0</v>
          </cell>
          <cell r="R344">
            <v>0</v>
          </cell>
          <cell r="S344">
            <v>0</v>
          </cell>
          <cell r="T344">
            <v>-20</v>
          </cell>
          <cell r="U344">
            <v>-20</v>
          </cell>
          <cell r="V344">
            <v>-20</v>
          </cell>
          <cell r="W344">
            <v>-20</v>
          </cell>
          <cell r="X344">
            <v>-20</v>
          </cell>
          <cell r="Y344">
            <v>-20</v>
          </cell>
          <cell r="Z344">
            <v>-20</v>
          </cell>
          <cell r="AA344">
            <v>-20</v>
          </cell>
          <cell r="AB344">
            <v>-20</v>
          </cell>
          <cell r="AC344">
            <v>-20</v>
          </cell>
          <cell r="AD344">
            <v>-20</v>
          </cell>
          <cell r="AE344">
            <v>-20</v>
          </cell>
          <cell r="AF344">
            <v>-20</v>
          </cell>
          <cell r="AG344">
            <v>-20</v>
          </cell>
          <cell r="AH344">
            <v>-20</v>
          </cell>
          <cell r="AI344">
            <v>-20</v>
          </cell>
          <cell r="AJ344">
            <v>-20</v>
          </cell>
        </row>
        <row r="345">
          <cell r="I345" t="str">
            <v>Bear Case</v>
          </cell>
          <cell r="M345">
            <v>2.4305720034206012E-2</v>
          </cell>
          <cell r="N345">
            <v>2.2194839083792404E-2</v>
          </cell>
          <cell r="O345">
            <v>1.878299655533484E-2</v>
          </cell>
          <cell r="P345">
            <v>1.5179696739196821E-2</v>
          </cell>
          <cell r="Q345">
            <v>1.099963750123103E-2</v>
          </cell>
          <cell r="R345">
            <v>1.0649478726432109E-2</v>
          </cell>
          <cell r="S345">
            <v>1.070720644181832E-2</v>
          </cell>
          <cell r="T345">
            <v>1.35E-2</v>
          </cell>
          <cell r="U345">
            <v>1.35E-2</v>
          </cell>
          <cell r="V345">
            <v>1.35E-2</v>
          </cell>
          <cell r="W345">
            <v>1.35E-2</v>
          </cell>
          <cell r="X345">
            <v>1.35E-2</v>
          </cell>
          <cell r="Y345">
            <v>1.35E-2</v>
          </cell>
          <cell r="Z345">
            <v>1.35E-2</v>
          </cell>
          <cell r="AA345">
            <v>1.35E-2</v>
          </cell>
          <cell r="AB345">
            <v>1.35E-2</v>
          </cell>
          <cell r="AC345">
            <v>1.35E-2</v>
          </cell>
          <cell r="AD345">
            <v>1.35E-2</v>
          </cell>
          <cell r="AE345">
            <v>1.35E-2</v>
          </cell>
          <cell r="AF345">
            <v>1.35E-2</v>
          </cell>
          <cell r="AG345">
            <v>1.35E-2</v>
          </cell>
          <cell r="AH345">
            <v>1.35E-2</v>
          </cell>
          <cell r="AI345">
            <v>1.35E-2</v>
          </cell>
          <cell r="AJ345">
            <v>1.35E-2</v>
          </cell>
        </row>
        <row r="346">
          <cell r="I346" t="str">
            <v>Bear vs. Base Case - bps</v>
          </cell>
          <cell r="M346">
            <v>0</v>
          </cell>
          <cell r="N346">
            <v>0</v>
          </cell>
          <cell r="O346">
            <v>0</v>
          </cell>
          <cell r="P346">
            <v>0</v>
          </cell>
          <cell r="Q346">
            <v>0</v>
          </cell>
          <cell r="R346">
            <v>0</v>
          </cell>
          <cell r="S346">
            <v>0</v>
          </cell>
          <cell r="T346">
            <v>25</v>
          </cell>
          <cell r="U346">
            <v>25</v>
          </cell>
          <cell r="V346">
            <v>25</v>
          </cell>
          <cell r="W346">
            <v>25</v>
          </cell>
          <cell r="X346">
            <v>25</v>
          </cell>
          <cell r="Y346">
            <v>25</v>
          </cell>
          <cell r="Z346">
            <v>25</v>
          </cell>
          <cell r="AA346">
            <v>25</v>
          </cell>
          <cell r="AB346">
            <v>25</v>
          </cell>
          <cell r="AC346">
            <v>25</v>
          </cell>
          <cell r="AD346">
            <v>25</v>
          </cell>
          <cell r="AE346">
            <v>25</v>
          </cell>
          <cell r="AF346">
            <v>25</v>
          </cell>
          <cell r="AG346">
            <v>25</v>
          </cell>
          <cell r="AH346">
            <v>25</v>
          </cell>
          <cell r="AI346">
            <v>25</v>
          </cell>
          <cell r="AJ346">
            <v>25</v>
          </cell>
        </row>
        <row r="348">
          <cell r="I348" t="str">
            <v>Stock-Based Compensation as % of Gross Profit</v>
          </cell>
        </row>
        <row r="349">
          <cell r="I349" t="str">
            <v>Base Case</v>
          </cell>
          <cell r="M349">
            <v>3.7217744247679499E-2</v>
          </cell>
          <cell r="N349">
            <v>2.6179891111755425E-2</v>
          </cell>
          <cell r="O349">
            <v>4.2388315126714093E-2</v>
          </cell>
          <cell r="P349">
            <v>3.2259036789626598E-2</v>
          </cell>
          <cell r="Q349">
            <v>3.572603474540223E-2</v>
          </cell>
          <cell r="R349">
            <v>2.0069412414883865E-2</v>
          </cell>
          <cell r="S349">
            <v>2.1674166326760683E-2</v>
          </cell>
          <cell r="T349">
            <v>2.5000000000000001E-2</v>
          </cell>
          <cell r="U349">
            <v>2.5000000000000001E-2</v>
          </cell>
          <cell r="V349">
            <v>2.5000000000000001E-2</v>
          </cell>
          <cell r="W349">
            <v>2.5000000000000001E-2</v>
          </cell>
          <cell r="X349">
            <v>2.5000000000000001E-2</v>
          </cell>
          <cell r="Y349">
            <v>2.5000000000000001E-2</v>
          </cell>
          <cell r="Z349">
            <v>2.5000000000000001E-2</v>
          </cell>
          <cell r="AA349">
            <v>2.5000000000000001E-2</v>
          </cell>
          <cell r="AB349">
            <v>2.5000000000000001E-2</v>
          </cell>
          <cell r="AC349">
            <v>2.5000000000000001E-2</v>
          </cell>
          <cell r="AD349">
            <v>2.5000000000000001E-2</v>
          </cell>
          <cell r="AE349">
            <v>2.5000000000000001E-2</v>
          </cell>
          <cell r="AF349">
            <v>2.5000000000000001E-2</v>
          </cell>
          <cell r="AG349">
            <v>2.5000000000000001E-2</v>
          </cell>
          <cell r="AH349">
            <v>2.5000000000000001E-2</v>
          </cell>
          <cell r="AI349">
            <v>2.5000000000000001E-2</v>
          </cell>
          <cell r="AJ349">
            <v>2.5000000000000001E-2</v>
          </cell>
        </row>
        <row r="350">
          <cell r="I350" t="str">
            <v>Bull Case</v>
          </cell>
          <cell r="M350">
            <v>3.7217744247679499E-2</v>
          </cell>
          <cell r="N350">
            <v>2.6179891111755425E-2</v>
          </cell>
          <cell r="O350">
            <v>4.2388315126714093E-2</v>
          </cell>
          <cell r="P350">
            <v>3.2259036789626598E-2</v>
          </cell>
          <cell r="Q350">
            <v>3.572603474540223E-2</v>
          </cell>
          <cell r="R350">
            <v>2.0069412414883865E-2</v>
          </cell>
          <cell r="S350">
            <v>2.1674166326760683E-2</v>
          </cell>
          <cell r="T350">
            <v>2.2500000000000003E-2</v>
          </cell>
          <cell r="U350">
            <v>2.2500000000000003E-2</v>
          </cell>
          <cell r="V350">
            <v>2.2500000000000003E-2</v>
          </cell>
          <cell r="W350">
            <v>2.2500000000000003E-2</v>
          </cell>
          <cell r="X350">
            <v>2.2500000000000003E-2</v>
          </cell>
          <cell r="Y350">
            <v>2.2500000000000003E-2</v>
          </cell>
          <cell r="Z350">
            <v>2.2500000000000003E-2</v>
          </cell>
          <cell r="AA350">
            <v>2.2500000000000003E-2</v>
          </cell>
          <cell r="AB350">
            <v>2.2500000000000003E-2</v>
          </cell>
          <cell r="AC350">
            <v>2.2500000000000003E-2</v>
          </cell>
          <cell r="AD350">
            <v>2.2500000000000003E-2</v>
          </cell>
          <cell r="AE350">
            <v>2.2500000000000003E-2</v>
          </cell>
          <cell r="AF350">
            <v>2.2500000000000003E-2</v>
          </cell>
          <cell r="AG350">
            <v>2.2500000000000003E-2</v>
          </cell>
          <cell r="AH350">
            <v>2.2500000000000003E-2</v>
          </cell>
          <cell r="AI350">
            <v>2.2500000000000003E-2</v>
          </cell>
          <cell r="AJ350">
            <v>2.2500000000000003E-2</v>
          </cell>
        </row>
        <row r="351">
          <cell r="I351" t="str">
            <v>Bull vs. Base Case - bps</v>
          </cell>
          <cell r="M351">
            <v>0</v>
          </cell>
          <cell r="N351">
            <v>0</v>
          </cell>
          <cell r="O351">
            <v>0</v>
          </cell>
          <cell r="P351">
            <v>0</v>
          </cell>
          <cell r="Q351">
            <v>0</v>
          </cell>
          <cell r="R351">
            <v>0</v>
          </cell>
          <cell r="S351">
            <v>0</v>
          </cell>
          <cell r="T351">
            <v>-25</v>
          </cell>
          <cell r="U351">
            <v>-25</v>
          </cell>
          <cell r="V351">
            <v>-25</v>
          </cell>
          <cell r="W351">
            <v>-25</v>
          </cell>
          <cell r="X351">
            <v>-25</v>
          </cell>
          <cell r="Y351">
            <v>-25</v>
          </cell>
          <cell r="Z351">
            <v>-25</v>
          </cell>
          <cell r="AA351">
            <v>-25</v>
          </cell>
          <cell r="AB351">
            <v>-25</v>
          </cell>
          <cell r="AC351">
            <v>-25</v>
          </cell>
          <cell r="AD351">
            <v>-25</v>
          </cell>
          <cell r="AE351">
            <v>-25</v>
          </cell>
          <cell r="AF351">
            <v>-25</v>
          </cell>
          <cell r="AG351">
            <v>-25</v>
          </cell>
          <cell r="AH351">
            <v>-25</v>
          </cell>
          <cell r="AI351">
            <v>-25</v>
          </cell>
          <cell r="AJ351">
            <v>-25</v>
          </cell>
        </row>
        <row r="352">
          <cell r="I352" t="str">
            <v>Bear Case</v>
          </cell>
          <cell r="M352">
            <v>3.7217744247679499E-2</v>
          </cell>
          <cell r="N352">
            <v>2.6179891111755425E-2</v>
          </cell>
          <cell r="O352">
            <v>4.2388315126714093E-2</v>
          </cell>
          <cell r="P352">
            <v>3.2259036789626598E-2</v>
          </cell>
          <cell r="Q352">
            <v>3.572603474540223E-2</v>
          </cell>
          <cell r="R352">
            <v>2.0069412414883865E-2</v>
          </cell>
          <cell r="S352">
            <v>2.1674166326760683E-2</v>
          </cell>
          <cell r="T352">
            <v>2.75E-2</v>
          </cell>
          <cell r="U352">
            <v>2.75E-2</v>
          </cell>
          <cell r="V352">
            <v>2.75E-2</v>
          </cell>
          <cell r="W352">
            <v>2.75E-2</v>
          </cell>
          <cell r="X352">
            <v>2.75E-2</v>
          </cell>
          <cell r="Y352">
            <v>2.75E-2</v>
          </cell>
          <cell r="Z352">
            <v>2.75E-2</v>
          </cell>
          <cell r="AA352">
            <v>2.75E-2</v>
          </cell>
          <cell r="AB352">
            <v>2.75E-2</v>
          </cell>
          <cell r="AC352">
            <v>2.75E-2</v>
          </cell>
          <cell r="AD352">
            <v>2.75E-2</v>
          </cell>
          <cell r="AE352">
            <v>2.75E-2</v>
          </cell>
          <cell r="AF352">
            <v>2.75E-2</v>
          </cell>
          <cell r="AG352">
            <v>2.75E-2</v>
          </cell>
          <cell r="AH352">
            <v>2.75E-2</v>
          </cell>
          <cell r="AI352">
            <v>2.75E-2</v>
          </cell>
          <cell r="AJ352">
            <v>2.75E-2</v>
          </cell>
        </row>
        <row r="353">
          <cell r="I353" t="str">
            <v>Bear vs. Base Case - bps</v>
          </cell>
          <cell r="M353">
            <v>0</v>
          </cell>
          <cell r="N353">
            <v>0</v>
          </cell>
          <cell r="O353">
            <v>0</v>
          </cell>
          <cell r="P353">
            <v>0</v>
          </cell>
          <cell r="Q353">
            <v>0</v>
          </cell>
          <cell r="R353">
            <v>0</v>
          </cell>
          <cell r="S353">
            <v>0</v>
          </cell>
          <cell r="T353">
            <v>25</v>
          </cell>
          <cell r="U353">
            <v>25</v>
          </cell>
          <cell r="V353">
            <v>25</v>
          </cell>
          <cell r="W353">
            <v>25</v>
          </cell>
          <cell r="X353">
            <v>25</v>
          </cell>
          <cell r="Y353">
            <v>25</v>
          </cell>
          <cell r="Z353">
            <v>25</v>
          </cell>
          <cell r="AA353">
            <v>25</v>
          </cell>
          <cell r="AB353">
            <v>25</v>
          </cell>
          <cell r="AC353">
            <v>25</v>
          </cell>
          <cell r="AD353">
            <v>25</v>
          </cell>
          <cell r="AE353">
            <v>25</v>
          </cell>
          <cell r="AF353">
            <v>25</v>
          </cell>
          <cell r="AG353">
            <v>25</v>
          </cell>
          <cell r="AH353">
            <v>25</v>
          </cell>
          <cell r="AI353">
            <v>25</v>
          </cell>
          <cell r="AJ353">
            <v>25</v>
          </cell>
        </row>
        <row r="355">
          <cell r="I355" t="str">
            <v>Model Drivers</v>
          </cell>
        </row>
        <row r="356">
          <cell r="I356" t="str">
            <v>Gross Bookings Model Drivers:</v>
          </cell>
        </row>
        <row r="357">
          <cell r="I357" t="str">
            <v>US</v>
          </cell>
        </row>
        <row r="358">
          <cell r="I358" t="str">
            <v>Agency (Priceline.com &amp; Booking.com) - Y/Y growth</v>
          </cell>
          <cell r="T358">
            <v>0.12</v>
          </cell>
          <cell r="U358">
            <v>0.08</v>
          </cell>
          <cell r="V358">
            <v>0.05</v>
          </cell>
          <cell r="W358">
            <v>4.4999999999999998E-2</v>
          </cell>
          <cell r="X358">
            <v>4.4999999999999998E-2</v>
          </cell>
          <cell r="Y358">
            <v>4.4999999999999998E-2</v>
          </cell>
          <cell r="Z358">
            <v>4.4999999999999998E-2</v>
          </cell>
          <cell r="AA358">
            <v>4.4999999999999998E-2</v>
          </cell>
          <cell r="AB358">
            <v>4.4999999999999998E-2</v>
          </cell>
          <cell r="AC358">
            <v>4.4999999999999998E-2</v>
          </cell>
          <cell r="AD358">
            <v>4.4999999999999998E-2</v>
          </cell>
          <cell r="AE358">
            <v>4.4999999999999998E-2</v>
          </cell>
          <cell r="AF358">
            <v>4.4999999999999998E-2</v>
          </cell>
          <cell r="AG358">
            <v>4.4999999999999998E-2</v>
          </cell>
          <cell r="AH358">
            <v>4.4999999999999998E-2</v>
          </cell>
          <cell r="AI358">
            <v>4.4999999999999998E-2</v>
          </cell>
          <cell r="AJ358">
            <v>4.4999999999999998E-2</v>
          </cell>
        </row>
        <row r="359">
          <cell r="I359" t="str">
            <v>Merchant (NYOP &amp; Priceline.com) - Y/Y growth</v>
          </cell>
          <cell r="T359">
            <v>7.4999999999999997E-2</v>
          </cell>
          <cell r="U359">
            <v>7.0000000000000007E-2</v>
          </cell>
          <cell r="V359">
            <v>5.5E-2</v>
          </cell>
          <cell r="W359">
            <v>0.05</v>
          </cell>
          <cell r="X359">
            <v>0.04</v>
          </cell>
          <cell r="Y359">
            <v>0.04</v>
          </cell>
          <cell r="Z359">
            <v>0.04</v>
          </cell>
          <cell r="AA359">
            <v>0.04</v>
          </cell>
          <cell r="AB359">
            <v>0.04</v>
          </cell>
          <cell r="AC359">
            <v>0.04</v>
          </cell>
          <cell r="AD359">
            <v>0.04</v>
          </cell>
          <cell r="AE359">
            <v>0.04</v>
          </cell>
          <cell r="AF359">
            <v>0.04</v>
          </cell>
          <cell r="AG359">
            <v>0.04</v>
          </cell>
          <cell r="AH359">
            <v>0.04</v>
          </cell>
          <cell r="AI359">
            <v>0.04</v>
          </cell>
          <cell r="AJ359">
            <v>0.04</v>
          </cell>
        </row>
        <row r="360">
          <cell r="I360" t="str">
            <v>Europe</v>
          </cell>
        </row>
        <row r="361">
          <cell r="I361" t="str">
            <v>Agency (Booking.com &amp; Other) - Y/Y growth</v>
          </cell>
          <cell r="T361">
            <v>0.21</v>
          </cell>
          <cell r="U361">
            <v>0.12</v>
          </cell>
          <cell r="V361">
            <v>8.5000000000000006E-2</v>
          </cell>
          <cell r="W361">
            <v>7.0000000000000007E-2</v>
          </cell>
          <cell r="X361">
            <v>0.06</v>
          </cell>
          <cell r="Y361">
            <v>4.7500000000000001E-2</v>
          </cell>
          <cell r="Z361">
            <v>4.4999999999999998E-2</v>
          </cell>
          <cell r="AA361">
            <v>4.4999999999999998E-2</v>
          </cell>
          <cell r="AB361">
            <v>4.4999999999999998E-2</v>
          </cell>
          <cell r="AC361">
            <v>4.4999999999999998E-2</v>
          </cell>
          <cell r="AD361">
            <v>4.4999999999999998E-2</v>
          </cell>
          <cell r="AE361">
            <v>4.4999999999999998E-2</v>
          </cell>
          <cell r="AF361">
            <v>4.4999999999999998E-2</v>
          </cell>
          <cell r="AG361">
            <v>4.4999999999999998E-2</v>
          </cell>
          <cell r="AH361">
            <v>4.4999999999999998E-2</v>
          </cell>
          <cell r="AI361">
            <v>4.4999999999999998E-2</v>
          </cell>
          <cell r="AJ361">
            <v>4.4999999999999998E-2</v>
          </cell>
        </row>
        <row r="362">
          <cell r="I362" t="str">
            <v>Merchant (TravelJigsaw) - Y/Y growth</v>
          </cell>
          <cell r="T362">
            <v>0.35</v>
          </cell>
          <cell r="U362">
            <v>0.2</v>
          </cell>
          <cell r="V362">
            <v>0.12</v>
          </cell>
          <cell r="W362">
            <v>0.09</v>
          </cell>
          <cell r="X362">
            <v>7.0000000000000007E-2</v>
          </cell>
          <cell r="Y362">
            <v>0.05</v>
          </cell>
          <cell r="Z362">
            <v>0.05</v>
          </cell>
          <cell r="AA362">
            <v>0.05</v>
          </cell>
          <cell r="AB362">
            <v>0.05</v>
          </cell>
          <cell r="AC362">
            <v>0.05</v>
          </cell>
          <cell r="AD362">
            <v>0.05</v>
          </cell>
          <cell r="AE362">
            <v>0.05</v>
          </cell>
          <cell r="AF362">
            <v>0.05</v>
          </cell>
          <cell r="AG362">
            <v>0.05</v>
          </cell>
          <cell r="AH362">
            <v>0.05</v>
          </cell>
          <cell r="AI362">
            <v>0.05</v>
          </cell>
          <cell r="AJ362">
            <v>0.05</v>
          </cell>
        </row>
        <row r="363">
          <cell r="I363" t="str">
            <v>Asia</v>
          </cell>
        </row>
        <row r="364">
          <cell r="I364" t="str">
            <v>Agency (Booking.com) - Y/Y growth</v>
          </cell>
          <cell r="T364">
            <v>0.4</v>
          </cell>
          <cell r="U364">
            <v>0.2</v>
          </cell>
          <cell r="V364">
            <v>0.12</v>
          </cell>
          <cell r="W364">
            <v>0.09</v>
          </cell>
          <cell r="X364">
            <v>7.0000000000000007E-2</v>
          </cell>
          <cell r="Y364">
            <v>0.06</v>
          </cell>
          <cell r="Z364">
            <v>0.06</v>
          </cell>
          <cell r="AA364">
            <v>0.06</v>
          </cell>
          <cell r="AB364">
            <v>0.06</v>
          </cell>
          <cell r="AC364">
            <v>0.06</v>
          </cell>
          <cell r="AD364">
            <v>0.06</v>
          </cell>
          <cell r="AE364">
            <v>0.06</v>
          </cell>
          <cell r="AF364">
            <v>0.06</v>
          </cell>
          <cell r="AG364">
            <v>0.06</v>
          </cell>
          <cell r="AH364">
            <v>0.06</v>
          </cell>
          <cell r="AI364">
            <v>0.06</v>
          </cell>
          <cell r="AJ364">
            <v>0.06</v>
          </cell>
        </row>
        <row r="365">
          <cell r="I365" t="str">
            <v>Merchant (Agoda) - Y/Y growth</v>
          </cell>
          <cell r="T365">
            <v>0.3</v>
          </cell>
          <cell r="U365">
            <v>0.18</v>
          </cell>
          <cell r="V365">
            <v>0.08</v>
          </cell>
          <cell r="W365">
            <v>7.0000000000000007E-2</v>
          </cell>
          <cell r="X365">
            <v>0.06</v>
          </cell>
          <cell r="Y365">
            <v>0.05</v>
          </cell>
          <cell r="Z365">
            <v>0.05</v>
          </cell>
          <cell r="AA365">
            <v>0.05</v>
          </cell>
          <cell r="AB365">
            <v>0.05</v>
          </cell>
          <cell r="AC365">
            <v>0.05</v>
          </cell>
          <cell r="AD365">
            <v>0.05</v>
          </cell>
          <cell r="AE365">
            <v>0.05</v>
          </cell>
          <cell r="AF365">
            <v>0.05</v>
          </cell>
          <cell r="AG365">
            <v>0.05</v>
          </cell>
          <cell r="AH365">
            <v>0.05</v>
          </cell>
          <cell r="AI365">
            <v>0.05</v>
          </cell>
          <cell r="AJ365">
            <v>0.05</v>
          </cell>
        </row>
        <row r="366">
          <cell r="I366" t="str">
            <v>Latin America</v>
          </cell>
        </row>
        <row r="367">
          <cell r="I367" t="str">
            <v>Agency (Booking.com) - Y/Y growth</v>
          </cell>
          <cell r="T367">
            <v>0.4</v>
          </cell>
          <cell r="U367">
            <v>0.22</v>
          </cell>
          <cell r="V367">
            <v>0.15</v>
          </cell>
          <cell r="W367">
            <v>0.1</v>
          </cell>
          <cell r="X367">
            <v>0.08</v>
          </cell>
          <cell r="Y367">
            <v>7.0000000000000007E-2</v>
          </cell>
          <cell r="Z367">
            <v>7.0000000000000007E-2</v>
          </cell>
          <cell r="AA367">
            <v>7.0000000000000007E-2</v>
          </cell>
          <cell r="AB367">
            <v>7.0000000000000007E-2</v>
          </cell>
          <cell r="AC367">
            <v>7.0000000000000007E-2</v>
          </cell>
          <cell r="AD367">
            <v>7.0000000000000007E-2</v>
          </cell>
          <cell r="AE367">
            <v>7.0000000000000007E-2</v>
          </cell>
          <cell r="AF367">
            <v>7.0000000000000007E-2</v>
          </cell>
          <cell r="AG367">
            <v>7.0000000000000007E-2</v>
          </cell>
          <cell r="AH367">
            <v>7.0000000000000007E-2</v>
          </cell>
          <cell r="AI367">
            <v>7.0000000000000007E-2</v>
          </cell>
          <cell r="AJ367">
            <v>7.0000000000000007E-2</v>
          </cell>
        </row>
        <row r="369">
          <cell r="I369" t="str">
            <v>US</v>
          </cell>
        </row>
        <row r="370">
          <cell r="I370" t="str">
            <v xml:space="preserve">Agency (Priceline.com &amp; Booking.com) </v>
          </cell>
          <cell r="M370">
            <v>834.30699999999956</v>
          </cell>
          <cell r="N370">
            <v>923.46399999999994</v>
          </cell>
          <cell r="O370">
            <v>1538.9859999999999</v>
          </cell>
          <cell r="P370">
            <v>1772.3919999999998</v>
          </cell>
          <cell r="Q370">
            <v>2028.4010000000003</v>
          </cell>
          <cell r="R370">
            <v>2335.0682999999999</v>
          </cell>
          <cell r="S370">
            <v>2715.9713540000002</v>
          </cell>
          <cell r="T370">
            <v>3041.8879164800005</v>
          </cell>
          <cell r="U370">
            <v>3285.2389497984009</v>
          </cell>
          <cell r="V370">
            <v>3449.5008972883211</v>
          </cell>
          <cell r="W370">
            <v>3604.7284376662951</v>
          </cell>
          <cell r="X370">
            <v>3766.9412173612782</v>
          </cell>
          <cell r="Y370">
            <v>3936.4535721425354</v>
          </cell>
          <cell r="Z370">
            <v>4113.5939828889495</v>
          </cell>
          <cell r="AA370">
            <v>4298.7057121189519</v>
          </cell>
          <cell r="AB370">
            <v>4492.1474691643043</v>
          </cell>
          <cell r="AC370">
            <v>4694.2941052766973</v>
          </cell>
          <cell r="AD370">
            <v>4905.537340014148</v>
          </cell>
          <cell r="AE370">
            <v>5126.286520314784</v>
          </cell>
          <cell r="AF370">
            <v>5356.9694137289489</v>
          </cell>
          <cell r="AG370">
            <v>5598.0330373467514</v>
          </cell>
          <cell r="AH370">
            <v>5849.9445240273544</v>
          </cell>
          <cell r="AI370">
            <v>6113.1920276085848</v>
          </cell>
          <cell r="AJ370">
            <v>6388.285668850971</v>
          </cell>
        </row>
        <row r="371">
          <cell r="I371" t="str">
            <v xml:space="preserve">Merchant (NYOP &amp; Priceline.com) </v>
          </cell>
          <cell r="M371">
            <v>1138.4829999999999</v>
          </cell>
          <cell r="N371">
            <v>1230.9110000000001</v>
          </cell>
          <cell r="O371">
            <v>1542.806</v>
          </cell>
          <cell r="P371">
            <v>1873.67</v>
          </cell>
          <cell r="Q371">
            <v>2138.4740000000002</v>
          </cell>
          <cell r="R371">
            <v>2388.6791999999996</v>
          </cell>
          <cell r="S371">
            <v>2592.8427940000001</v>
          </cell>
          <cell r="T371">
            <v>2787.3060035500002</v>
          </cell>
          <cell r="U371">
            <v>2982.4174237985003</v>
          </cell>
          <cell r="V371">
            <v>3146.4503821074177</v>
          </cell>
          <cell r="W371">
            <v>3303.7729012127888</v>
          </cell>
          <cell r="X371">
            <v>3435.9238172613004</v>
          </cell>
          <cell r="Y371">
            <v>3573.3607699517524</v>
          </cell>
          <cell r="Z371">
            <v>3716.2952007498225</v>
          </cell>
          <cell r="AA371">
            <v>3864.9470087798154</v>
          </cell>
          <cell r="AB371">
            <v>4019.5448891310079</v>
          </cell>
          <cell r="AC371">
            <v>4180.3266846962488</v>
          </cell>
          <cell r="AD371">
            <v>4347.5397520840988</v>
          </cell>
          <cell r="AE371">
            <v>4521.4413421674626</v>
          </cell>
          <cell r="AF371">
            <v>4702.2989958541611</v>
          </cell>
          <cell r="AG371">
            <v>4890.3909556883282</v>
          </cell>
          <cell r="AH371">
            <v>5086.0065939158612</v>
          </cell>
          <cell r="AI371">
            <v>5289.4468576724958</v>
          </cell>
          <cell r="AJ371">
            <v>5501.0247319793962</v>
          </cell>
        </row>
        <row r="372">
          <cell r="I372" t="str">
            <v>Europe</v>
          </cell>
        </row>
        <row r="373">
          <cell r="I373" t="str">
            <v xml:space="preserve">Agency (Booking.com &amp; Other) </v>
          </cell>
          <cell r="M373">
            <v>1323.9290000000003</v>
          </cell>
          <cell r="N373">
            <v>2596.2659999999996</v>
          </cell>
          <cell r="O373">
            <v>4024.8225000000002</v>
          </cell>
          <cell r="P373">
            <v>4992.1568750000006</v>
          </cell>
          <cell r="Q373">
            <v>7664.4586250000011</v>
          </cell>
          <cell r="R373">
            <v>12567.324086258932</v>
          </cell>
          <cell r="S373">
            <v>15948.969148794769</v>
          </cell>
          <cell r="T373">
            <v>19298.252670041671</v>
          </cell>
          <cell r="U373">
            <v>21614.042990446673</v>
          </cell>
          <cell r="V373">
            <v>23451.236644634639</v>
          </cell>
          <cell r="W373">
            <v>25092.823209759066</v>
          </cell>
          <cell r="X373">
            <v>26598.392602344611</v>
          </cell>
          <cell r="Y373">
            <v>27861.816250955984</v>
          </cell>
          <cell r="Z373">
            <v>29115.597982249001</v>
          </cell>
          <cell r="AA373">
            <v>30425.799891450202</v>
          </cell>
          <cell r="AB373">
            <v>31794.960886565459</v>
          </cell>
          <cell r="AC373">
            <v>33225.734126460906</v>
          </cell>
          <cell r="AD373">
            <v>34720.892162151642</v>
          </cell>
          <cell r="AE373">
            <v>36283.332309448466</v>
          </cell>
          <cell r="AF373">
            <v>37916.082263373646</v>
          </cell>
          <cell r="AG373">
            <v>39622.30596522546</v>
          </cell>
          <cell r="AH373">
            <v>41405.309733660601</v>
          </cell>
          <cell r="AI373">
            <v>43268.548671675322</v>
          </cell>
          <cell r="AJ373">
            <v>45215.633361900705</v>
          </cell>
        </row>
        <row r="374">
          <cell r="I374" t="str">
            <v xml:space="preserve">Merchant (TravelJigsaw) </v>
          </cell>
          <cell r="M374">
            <v>0</v>
          </cell>
          <cell r="N374">
            <v>0</v>
          </cell>
          <cell r="O374">
            <v>0</v>
          </cell>
          <cell r="P374">
            <v>0</v>
          </cell>
          <cell r="Q374">
            <v>184.7</v>
          </cell>
          <cell r="R374">
            <v>488.62833097441575</v>
          </cell>
          <cell r="S374">
            <v>764.14644733189664</v>
          </cell>
          <cell r="T374">
            <v>1031.5977038980604</v>
          </cell>
          <cell r="U374">
            <v>1237.9172446776724</v>
          </cell>
          <cell r="V374">
            <v>1386.4673140389932</v>
          </cell>
          <cell r="W374">
            <v>1511.2493723025027</v>
          </cell>
          <cell r="X374">
            <v>1617.0368283636781</v>
          </cell>
          <cell r="Y374">
            <v>1697.8886697818621</v>
          </cell>
          <cell r="Z374">
            <v>1782.7831032709553</v>
          </cell>
          <cell r="AA374">
            <v>1871.9222584345032</v>
          </cell>
          <cell r="AB374">
            <v>1965.5183713562285</v>
          </cell>
          <cell r="AC374">
            <v>2063.7942899240402</v>
          </cell>
          <cell r="AD374">
            <v>2166.9840044202424</v>
          </cell>
          <cell r="AE374">
            <v>2275.3332046412547</v>
          </cell>
          <cell r="AF374">
            <v>2389.0998648733175</v>
          </cell>
          <cell r="AG374">
            <v>2508.5548581169837</v>
          </cell>
          <cell r="AH374">
            <v>2633.982601022833</v>
          </cell>
          <cell r="AI374">
            <v>2765.6817310739748</v>
          </cell>
          <cell r="AJ374">
            <v>2903.9658176276735</v>
          </cell>
        </row>
        <row r="375">
          <cell r="I375" t="str">
            <v>Asia</v>
          </cell>
        </row>
        <row r="376">
          <cell r="I376" t="str">
            <v xml:space="preserve">Agency (Booking.com) </v>
          </cell>
          <cell r="M376">
            <v>15.030000000000001</v>
          </cell>
          <cell r="N376">
            <v>37.575000000000003</v>
          </cell>
          <cell r="O376">
            <v>86.422499999999985</v>
          </cell>
          <cell r="P376">
            <v>174.01512499999995</v>
          </cell>
          <cell r="Q376">
            <v>382.32037500000001</v>
          </cell>
          <cell r="R376">
            <v>859.77269180028907</v>
          </cell>
          <cell r="S376">
            <v>1498.7419670149097</v>
          </cell>
          <cell r="T376">
            <v>2098.2387538208736</v>
          </cell>
          <cell r="U376">
            <v>2517.8865045850484</v>
          </cell>
          <cell r="V376">
            <v>2820.0328851352547</v>
          </cell>
          <cell r="W376">
            <v>3073.8358447974279</v>
          </cell>
          <cell r="X376">
            <v>3289.0043539332478</v>
          </cell>
          <cell r="Y376">
            <v>3486.3446151692428</v>
          </cell>
          <cell r="Z376">
            <v>3695.5252920793978</v>
          </cell>
          <cell r="AA376">
            <v>3917.2568096041618</v>
          </cell>
          <cell r="AB376">
            <v>4152.2922181804115</v>
          </cell>
          <cell r="AC376">
            <v>4401.4297512712365</v>
          </cell>
          <cell r="AD376">
            <v>4665.5155363475105</v>
          </cell>
          <cell r="AE376">
            <v>4945.446468528361</v>
          </cell>
          <cell r="AF376">
            <v>5242.1732566400633</v>
          </cell>
          <cell r="AG376">
            <v>5556.7036520384672</v>
          </cell>
          <cell r="AH376">
            <v>5890.1058711607757</v>
          </cell>
          <cell r="AI376">
            <v>6243.5122234304226</v>
          </cell>
          <cell r="AJ376">
            <v>6618.1229568362487</v>
          </cell>
        </row>
        <row r="377">
          <cell r="I377" t="str">
            <v xml:space="preserve">Merchant (Agoda) </v>
          </cell>
          <cell r="M377">
            <v>0</v>
          </cell>
          <cell r="N377">
            <v>13.4</v>
          </cell>
          <cell r="O377">
            <v>118.69999999999999</v>
          </cell>
          <cell r="P377">
            <v>244.952</v>
          </cell>
          <cell r="Q377">
            <v>541.17100000000005</v>
          </cell>
          <cell r="R377">
            <v>1146.699784269646</v>
          </cell>
          <cell r="S377">
            <v>1882.1960332306744</v>
          </cell>
          <cell r="T377">
            <v>2446.854843199877</v>
          </cell>
          <cell r="U377">
            <v>2887.2887149758549</v>
          </cell>
          <cell r="V377">
            <v>3118.2718121739235</v>
          </cell>
          <cell r="W377">
            <v>3336.5508390260984</v>
          </cell>
          <cell r="X377">
            <v>3536.7438893676645</v>
          </cell>
          <cell r="Y377">
            <v>3713.581083836048</v>
          </cell>
          <cell r="Z377">
            <v>3899.2601380278506</v>
          </cell>
          <cell r="AA377">
            <v>4094.2231449292435</v>
          </cell>
          <cell r="AB377">
            <v>4298.9343021757059</v>
          </cell>
          <cell r="AC377">
            <v>4513.8810172844915</v>
          </cell>
          <cell r="AD377">
            <v>4739.5750681487161</v>
          </cell>
          <cell r="AE377">
            <v>4976.5538215561519</v>
          </cell>
          <cell r="AF377">
            <v>5225.3815126339596</v>
          </cell>
          <cell r="AG377">
            <v>5486.6505882656575</v>
          </cell>
          <cell r="AH377">
            <v>5760.9831176789403</v>
          </cell>
          <cell r="AI377">
            <v>6049.0322735628879</v>
          </cell>
          <cell r="AJ377">
            <v>6351.4838872410328</v>
          </cell>
        </row>
        <row r="378">
          <cell r="I378" t="str">
            <v>Latin America</v>
          </cell>
        </row>
        <row r="379">
          <cell r="I379" t="str">
            <v xml:space="preserve">Agency (Booking.com) </v>
          </cell>
          <cell r="M379">
            <v>8</v>
          </cell>
          <cell r="N379">
            <v>27.799999999999997</v>
          </cell>
          <cell r="O379">
            <v>88.38</v>
          </cell>
          <cell r="P379">
            <v>252.876</v>
          </cell>
          <cell r="Q379">
            <v>706.34999999999991</v>
          </cell>
          <cell r="R379">
            <v>1572.714980607926</v>
          </cell>
          <cell r="S379">
            <v>2655.8052752746225</v>
          </cell>
          <cell r="T379">
            <v>3718.1273853844714</v>
          </cell>
          <cell r="U379">
            <v>4536.1154101690554</v>
          </cell>
          <cell r="V379">
            <v>5216.5327216944133</v>
          </cell>
          <cell r="W379">
            <v>5738.1859938638554</v>
          </cell>
          <cell r="X379">
            <v>6197.2408733729644</v>
          </cell>
          <cell r="Y379">
            <v>6631.0477345090721</v>
          </cell>
          <cell r="Z379">
            <v>7095.2210759247073</v>
          </cell>
          <cell r="AA379">
            <v>7591.8865512394368</v>
          </cell>
          <cell r="AB379">
            <v>8123.3186098261976</v>
          </cell>
          <cell r="AC379">
            <v>8691.9509125140321</v>
          </cell>
          <cell r="AD379">
            <v>9300.3874763900149</v>
          </cell>
          <cell r="AE379">
            <v>9951.4145997373162</v>
          </cell>
          <cell r="AF379">
            <v>10648.013621718928</v>
          </cell>
          <cell r="AG379">
            <v>11393.374575239253</v>
          </cell>
          <cell r="AH379">
            <v>12190.910795506003</v>
          </cell>
          <cell r="AI379">
            <v>13044.274551191424</v>
          </cell>
          <cell r="AJ379">
            <v>13957.373769774824</v>
          </cell>
        </row>
        <row r="381">
          <cell r="I381" t="str">
            <v>Revenue Model Drivers:</v>
          </cell>
        </row>
        <row r="382">
          <cell r="I382" t="str">
            <v>US</v>
          </cell>
        </row>
        <row r="383">
          <cell r="I383" t="str">
            <v>Agency (Priceline.com &amp; Booking.com) - % of gross bookings</v>
          </cell>
          <cell r="T383">
            <v>0.03</v>
          </cell>
          <cell r="U383">
            <v>0.03</v>
          </cell>
          <cell r="V383">
            <v>2.9000000000000001E-2</v>
          </cell>
          <cell r="W383">
            <v>2.9000000000000001E-2</v>
          </cell>
          <cell r="X383">
            <v>2.9000000000000001E-2</v>
          </cell>
          <cell r="Y383">
            <v>2.9000000000000001E-2</v>
          </cell>
          <cell r="Z383">
            <v>2.9000000000000001E-2</v>
          </cell>
          <cell r="AA383">
            <v>2.9000000000000001E-2</v>
          </cell>
          <cell r="AB383">
            <v>2.9000000000000001E-2</v>
          </cell>
          <cell r="AC383">
            <v>2.9000000000000001E-2</v>
          </cell>
          <cell r="AD383">
            <v>2.9000000000000001E-2</v>
          </cell>
          <cell r="AE383">
            <v>2.9000000000000001E-2</v>
          </cell>
          <cell r="AF383">
            <v>2.9000000000000001E-2</v>
          </cell>
          <cell r="AG383">
            <v>2.9000000000000001E-2</v>
          </cell>
          <cell r="AH383">
            <v>2.9000000000000001E-2</v>
          </cell>
          <cell r="AI383">
            <v>2.9000000000000001E-2</v>
          </cell>
          <cell r="AJ383">
            <v>2.9000000000000001E-2</v>
          </cell>
        </row>
        <row r="384">
          <cell r="I384" t="str">
            <v>Merchant (NYOP &amp; Priceline.com) - % of gross bookings</v>
          </cell>
          <cell r="T384">
            <v>0.719568545788974</v>
          </cell>
          <cell r="U384">
            <v>0.719568545788974</v>
          </cell>
          <cell r="V384">
            <v>0.719568545788974</v>
          </cell>
          <cell r="W384">
            <v>0.719568545788974</v>
          </cell>
          <cell r="X384">
            <v>0.719568545788974</v>
          </cell>
          <cell r="Y384">
            <v>0.719568545788974</v>
          </cell>
          <cell r="Z384">
            <v>0.719568545788974</v>
          </cell>
          <cell r="AA384">
            <v>0.719568545788974</v>
          </cell>
          <cell r="AB384">
            <v>0.719568545788974</v>
          </cell>
          <cell r="AC384">
            <v>0.719568545788974</v>
          </cell>
          <cell r="AD384">
            <v>0.719568545788974</v>
          </cell>
          <cell r="AE384">
            <v>0.719568545788974</v>
          </cell>
          <cell r="AF384">
            <v>0.719568545788974</v>
          </cell>
          <cell r="AG384">
            <v>0.719568545788974</v>
          </cell>
          <cell r="AH384">
            <v>0.719568545788974</v>
          </cell>
          <cell r="AI384">
            <v>0.719568545788974</v>
          </cell>
          <cell r="AJ384">
            <v>0.719568545788974</v>
          </cell>
        </row>
        <row r="385">
          <cell r="I385" t="str">
            <v>Other - Y/Y growth</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row>
        <row r="386">
          <cell r="I386" t="str">
            <v>Europe</v>
          </cell>
        </row>
        <row r="387">
          <cell r="I387" t="str">
            <v>Agency (Booking.com &amp; Other) -  % of gross bookings</v>
          </cell>
          <cell r="T387">
            <v>0.14499999999999999</v>
          </cell>
          <cell r="U387">
            <v>0.14499999999999999</v>
          </cell>
          <cell r="V387">
            <v>0.14499999999999999</v>
          </cell>
          <cell r="W387">
            <v>0.14499999999999999</v>
          </cell>
          <cell r="X387">
            <v>0.14499999999999999</v>
          </cell>
          <cell r="Y387">
            <v>0.14499999999999999</v>
          </cell>
          <cell r="Z387">
            <v>0.14499999999999999</v>
          </cell>
          <cell r="AA387">
            <v>0.14499999999999999</v>
          </cell>
          <cell r="AB387">
            <v>0.14499999999999999</v>
          </cell>
          <cell r="AC387">
            <v>0.14499999999999999</v>
          </cell>
          <cell r="AD387">
            <v>0.14499999999999999</v>
          </cell>
          <cell r="AE387">
            <v>0.14499999999999999</v>
          </cell>
          <cell r="AF387">
            <v>0.14499999999999999</v>
          </cell>
          <cell r="AG387">
            <v>0.14499999999999999</v>
          </cell>
          <cell r="AH387">
            <v>0.14499999999999999</v>
          </cell>
          <cell r="AI387">
            <v>0.14499999999999999</v>
          </cell>
          <cell r="AJ387">
            <v>0.14499999999999999</v>
          </cell>
        </row>
        <row r="388">
          <cell r="I388" t="str">
            <v>Merchant (TravelJigsaw) - % of gross bookings</v>
          </cell>
          <cell r="T388">
            <v>0.17799999999999999</v>
          </cell>
          <cell r="U388">
            <v>0.17699999999999999</v>
          </cell>
          <cell r="V388">
            <v>0.17499999999999999</v>
          </cell>
          <cell r="W388">
            <v>0.17499999999999999</v>
          </cell>
          <cell r="X388">
            <v>0.17499999999999999</v>
          </cell>
          <cell r="Y388">
            <v>0.17499999999999999</v>
          </cell>
          <cell r="Z388">
            <v>0.17499999999999999</v>
          </cell>
          <cell r="AA388">
            <v>0.17499999999999999</v>
          </cell>
          <cell r="AB388">
            <v>0.17499999999999999</v>
          </cell>
          <cell r="AC388">
            <v>0.17499999999999999</v>
          </cell>
          <cell r="AD388">
            <v>0.17499999999999999</v>
          </cell>
          <cell r="AE388">
            <v>0.17499999999999999</v>
          </cell>
          <cell r="AF388">
            <v>0.17499999999999999</v>
          </cell>
          <cell r="AG388">
            <v>0.17499999999999999</v>
          </cell>
          <cell r="AH388">
            <v>0.17499999999999999</v>
          </cell>
          <cell r="AI388">
            <v>0.17499999999999999</v>
          </cell>
          <cell r="AJ388">
            <v>0.17499999999999999</v>
          </cell>
        </row>
        <row r="389">
          <cell r="I389" t="str">
            <v>Asia</v>
          </cell>
        </row>
        <row r="390">
          <cell r="I390" t="str">
            <v>Agency (Booking.com) - % of gross bookings</v>
          </cell>
          <cell r="T390">
            <v>0.14699999999999999</v>
          </cell>
          <cell r="U390">
            <v>0.14499999999999999</v>
          </cell>
          <cell r="V390">
            <v>0.14499999999999999</v>
          </cell>
          <cell r="W390">
            <v>0.14499999999999999</v>
          </cell>
          <cell r="X390">
            <v>0.14499999999999999</v>
          </cell>
          <cell r="Y390">
            <v>0.14499999999999999</v>
          </cell>
          <cell r="Z390">
            <v>0.14499999999999999</v>
          </cell>
          <cell r="AA390">
            <v>0.14499999999999999</v>
          </cell>
          <cell r="AB390">
            <v>0.14499999999999999</v>
          </cell>
          <cell r="AC390">
            <v>0.14499999999999999</v>
          </cell>
          <cell r="AD390">
            <v>0.14499999999999999</v>
          </cell>
          <cell r="AE390">
            <v>0.14499999999999999</v>
          </cell>
          <cell r="AF390">
            <v>0.14499999999999999</v>
          </cell>
          <cell r="AG390">
            <v>0.14499999999999999</v>
          </cell>
          <cell r="AH390">
            <v>0.14499999999999999</v>
          </cell>
          <cell r="AI390">
            <v>0.14499999999999999</v>
          </cell>
          <cell r="AJ390">
            <v>0.14499999999999999</v>
          </cell>
        </row>
        <row r="391">
          <cell r="I391" t="str">
            <v>Merchant (Agoda) - % of gross bookings</v>
          </cell>
          <cell r="T391">
            <v>0.17799999999999999</v>
          </cell>
          <cell r="U391">
            <v>0.17699999999999999</v>
          </cell>
          <cell r="V391">
            <v>0.17499999999999999</v>
          </cell>
          <cell r="W391">
            <v>0.17499999999999999</v>
          </cell>
          <cell r="X391">
            <v>0.17499999999999999</v>
          </cell>
          <cell r="Y391">
            <v>0.17499999999999999</v>
          </cell>
          <cell r="Z391">
            <v>0.17499999999999999</v>
          </cell>
          <cell r="AA391">
            <v>0.17499999999999999</v>
          </cell>
          <cell r="AB391">
            <v>0.17499999999999999</v>
          </cell>
          <cell r="AC391">
            <v>0.17499999999999999</v>
          </cell>
          <cell r="AD391">
            <v>0.17499999999999999</v>
          </cell>
          <cell r="AE391">
            <v>0.17499999999999999</v>
          </cell>
          <cell r="AF391">
            <v>0.17499999999999999</v>
          </cell>
          <cell r="AG391">
            <v>0.17499999999999999</v>
          </cell>
          <cell r="AH391">
            <v>0.17499999999999999</v>
          </cell>
          <cell r="AI391">
            <v>0.17499999999999999</v>
          </cell>
          <cell r="AJ391">
            <v>0.17499999999999999</v>
          </cell>
        </row>
        <row r="392">
          <cell r="I392" t="str">
            <v>Latin America</v>
          </cell>
        </row>
        <row r="393">
          <cell r="I393" t="str">
            <v>Agency (Booking.com) - % of gross bookings</v>
          </cell>
          <cell r="T393">
            <v>0.14599999999999999</v>
          </cell>
          <cell r="U393">
            <v>0.14499999999999999</v>
          </cell>
          <cell r="V393">
            <v>0.14499999999999999</v>
          </cell>
          <cell r="W393">
            <v>0.14499999999999999</v>
          </cell>
          <cell r="X393">
            <v>0.14499999999999999</v>
          </cell>
          <cell r="Y393">
            <v>0.14499999999999999</v>
          </cell>
          <cell r="Z393">
            <v>0.14499999999999999</v>
          </cell>
          <cell r="AA393">
            <v>0.14499999999999999</v>
          </cell>
          <cell r="AB393">
            <v>0.14499999999999999</v>
          </cell>
          <cell r="AC393">
            <v>0.14499999999999999</v>
          </cell>
          <cell r="AD393">
            <v>0.14499999999999999</v>
          </cell>
          <cell r="AE393">
            <v>0.14499999999999999</v>
          </cell>
          <cell r="AF393">
            <v>0.14499999999999999</v>
          </cell>
          <cell r="AG393">
            <v>0.14499999999999999</v>
          </cell>
          <cell r="AH393">
            <v>0.14499999999999999</v>
          </cell>
          <cell r="AI393">
            <v>0.14499999999999999</v>
          </cell>
          <cell r="AJ393">
            <v>0.14499999999999999</v>
          </cell>
        </row>
        <row r="395">
          <cell r="I395" t="str">
            <v>US</v>
          </cell>
        </row>
        <row r="396">
          <cell r="I396" t="str">
            <v xml:space="preserve">Agency (Priceline.com &amp; Booking.com) </v>
          </cell>
          <cell r="M396">
            <v>31.20000000000001</v>
          </cell>
          <cell r="N396">
            <v>28.15799999999993</v>
          </cell>
          <cell r="O396">
            <v>50.358000000000047</v>
          </cell>
          <cell r="P396">
            <v>60.485359999999993</v>
          </cell>
          <cell r="Q396">
            <v>66.958779999999948</v>
          </cell>
          <cell r="R396">
            <v>71.947912300000283</v>
          </cell>
          <cell r="S396">
            <v>80.888439218000002</v>
          </cell>
          <cell r="T396">
            <v>91.25663749440001</v>
          </cell>
          <cell r="U396">
            <v>98.55716849395202</v>
          </cell>
          <cell r="V396">
            <v>100.03552602136132</v>
          </cell>
          <cell r="W396">
            <v>104.53712469232256</v>
          </cell>
          <cell r="X396">
            <v>109.24129530347707</v>
          </cell>
          <cell r="Y396">
            <v>114.15715359213354</v>
          </cell>
          <cell r="Z396">
            <v>119.29422550377954</v>
          </cell>
          <cell r="AA396">
            <v>124.66246565144961</v>
          </cell>
          <cell r="AB396">
            <v>130.27227660576483</v>
          </cell>
          <cell r="AC396">
            <v>136.13452905302424</v>
          </cell>
          <cell r="AD396">
            <v>142.2605828604103</v>
          </cell>
          <cell r="AE396">
            <v>148.66230908912874</v>
          </cell>
          <cell r="AF396">
            <v>155.35211299813952</v>
          </cell>
          <cell r="AG396">
            <v>162.34295808305581</v>
          </cell>
          <cell r="AH396">
            <v>169.64839119679328</v>
          </cell>
          <cell r="AI396">
            <v>177.28256880064896</v>
          </cell>
          <cell r="AJ396">
            <v>185.26028439667817</v>
          </cell>
        </row>
        <row r="397">
          <cell r="I397" t="str">
            <v xml:space="preserve">Merchant (NYOP &amp; Priceline.com) </v>
          </cell>
          <cell r="M397">
            <v>904.16899999999998</v>
          </cell>
          <cell r="N397">
            <v>981.82099999999991</v>
          </cell>
          <cell r="O397">
            <v>1196.796</v>
          </cell>
          <cell r="P397">
            <v>1403.4856399999999</v>
          </cell>
          <cell r="Q397">
            <v>1560.9842200000001</v>
          </cell>
          <cell r="R397">
            <v>1710.7175602000002</v>
          </cell>
          <cell r="S397">
            <v>1865.7281187380004</v>
          </cell>
          <cell r="T397">
            <v>2005.6577276433504</v>
          </cell>
          <cell r="U397">
            <v>2146.0537685783852</v>
          </cell>
          <cell r="V397">
            <v>2264.0867258501962</v>
          </cell>
          <cell r="W397">
            <v>2377.2910621427063</v>
          </cell>
          <cell r="X397">
            <v>2472.3827046284146</v>
          </cell>
          <cell r="Y397">
            <v>2571.278012813551</v>
          </cell>
          <cell r="Z397">
            <v>2674.1291333260929</v>
          </cell>
          <cell r="AA397">
            <v>2781.0942986591367</v>
          </cell>
          <cell r="AB397">
            <v>2892.3380706055023</v>
          </cell>
          <cell r="AC397">
            <v>3008.0315934297228</v>
          </cell>
          <cell r="AD397">
            <v>3128.3528571669117</v>
          </cell>
          <cell r="AE397">
            <v>3253.486971453588</v>
          </cell>
          <cell r="AF397">
            <v>3383.6264503117313</v>
          </cell>
          <cell r="AG397">
            <v>3518.9715083242013</v>
          </cell>
          <cell r="AH397">
            <v>3659.730368657169</v>
          </cell>
          <cell r="AI397">
            <v>3806.1195834034561</v>
          </cell>
          <cell r="AJ397">
            <v>3958.3643667395945</v>
          </cell>
        </row>
        <row r="398">
          <cell r="I398" t="str">
            <v>Other</v>
          </cell>
          <cell r="M398">
            <v>5.0340000000000007</v>
          </cell>
          <cell r="N398">
            <v>8.3389999999999986</v>
          </cell>
          <cell r="O398">
            <v>17.852</v>
          </cell>
          <cell r="P398">
            <v>22.241000000000003</v>
          </cell>
          <cell r="Q398">
            <v>12.663</v>
          </cell>
          <cell r="R398">
            <v>12.315999999999999</v>
          </cell>
          <cell r="S398">
            <v>12.315999999999999</v>
          </cell>
          <cell r="T398">
            <v>12.315999999999999</v>
          </cell>
          <cell r="U398">
            <v>12.315999999999999</v>
          </cell>
          <cell r="V398">
            <v>12.315999999999999</v>
          </cell>
          <cell r="W398">
            <v>12.315999999999999</v>
          </cell>
          <cell r="X398">
            <v>12.315999999999999</v>
          </cell>
          <cell r="Y398">
            <v>12.315999999999999</v>
          </cell>
          <cell r="Z398">
            <v>12.315999999999999</v>
          </cell>
          <cell r="AA398">
            <v>12.315999999999999</v>
          </cell>
          <cell r="AB398">
            <v>12.315999999999999</v>
          </cell>
          <cell r="AC398">
            <v>12.315999999999999</v>
          </cell>
          <cell r="AD398">
            <v>12.315999999999999</v>
          </cell>
          <cell r="AE398">
            <v>12.315999999999999</v>
          </cell>
          <cell r="AF398">
            <v>12.315999999999999</v>
          </cell>
          <cell r="AG398">
            <v>12.315999999999999</v>
          </cell>
          <cell r="AH398">
            <v>12.315999999999999</v>
          </cell>
          <cell r="AI398">
            <v>12.315999999999999</v>
          </cell>
          <cell r="AJ398">
            <v>12.315999999999999</v>
          </cell>
        </row>
        <row r="399">
          <cell r="I399" t="str">
            <v>Europe</v>
          </cell>
        </row>
        <row r="400">
          <cell r="I400" t="str">
            <v xml:space="preserve">Agency (Booking.com &amp; Other) </v>
          </cell>
          <cell r="M400">
            <v>179.24549999999999</v>
          </cell>
          <cell r="N400">
            <v>360.28174999999999</v>
          </cell>
          <cell r="O400">
            <v>572.21362499999998</v>
          </cell>
          <cell r="P400">
            <v>743.87497125000004</v>
          </cell>
          <cell r="Q400">
            <v>1150.3426637500002</v>
          </cell>
          <cell r="R400">
            <v>1876.8907024289108</v>
          </cell>
          <cell r="S400">
            <v>2349.591381183297</v>
          </cell>
          <cell r="T400">
            <v>2798.2466371560422</v>
          </cell>
          <cell r="U400">
            <v>3134.0362336147673</v>
          </cell>
          <cell r="V400">
            <v>3400.4293134720224</v>
          </cell>
          <cell r="W400">
            <v>3638.4593654150644</v>
          </cell>
          <cell r="X400">
            <v>3856.7669273399683</v>
          </cell>
          <cell r="Y400">
            <v>4039.9633563886173</v>
          </cell>
          <cell r="Z400">
            <v>4221.7617074261052</v>
          </cell>
          <cell r="AA400">
            <v>4411.7409842602792</v>
          </cell>
          <cell r="AB400">
            <v>4610.2693285519908</v>
          </cell>
          <cell r="AC400">
            <v>4817.7314483368309</v>
          </cell>
          <cell r="AD400">
            <v>5034.5293635119879</v>
          </cell>
          <cell r="AE400">
            <v>5261.0831848700273</v>
          </cell>
          <cell r="AF400">
            <v>5497.8319281891781</v>
          </cell>
          <cell r="AG400">
            <v>5745.2343649576915</v>
          </cell>
          <cell r="AH400">
            <v>6003.7699113807867</v>
          </cell>
          <cell r="AI400">
            <v>6273.9395573929214</v>
          </cell>
          <cell r="AJ400">
            <v>6556.2668374756022</v>
          </cell>
        </row>
        <row r="401">
          <cell r="I401" t="str">
            <v xml:space="preserve">Merchant (TravelJigsaw) </v>
          </cell>
          <cell r="M401">
            <v>0</v>
          </cell>
          <cell r="N401">
            <v>0</v>
          </cell>
          <cell r="O401">
            <v>0</v>
          </cell>
          <cell r="P401">
            <v>0</v>
          </cell>
          <cell r="Q401">
            <v>33.245999999999995</v>
          </cell>
          <cell r="R401">
            <v>87.944959575394833</v>
          </cell>
          <cell r="S401">
            <v>136.60708314611165</v>
          </cell>
          <cell r="T401">
            <v>183.62439129385476</v>
          </cell>
          <cell r="U401">
            <v>219.11135230794801</v>
          </cell>
          <cell r="V401">
            <v>242.63177995682381</v>
          </cell>
          <cell r="W401">
            <v>264.46864015293795</v>
          </cell>
          <cell r="X401">
            <v>282.98144496364364</v>
          </cell>
          <cell r="Y401">
            <v>297.13051721182586</v>
          </cell>
          <cell r="Z401">
            <v>311.98704307241718</v>
          </cell>
          <cell r="AA401">
            <v>327.58639522603806</v>
          </cell>
          <cell r="AB401">
            <v>343.96571498733999</v>
          </cell>
          <cell r="AC401">
            <v>361.16400073670701</v>
          </cell>
          <cell r="AD401">
            <v>379.2222007735424</v>
          </cell>
          <cell r="AE401">
            <v>398.18331081221953</v>
          </cell>
          <cell r="AF401">
            <v>418.09247635283054</v>
          </cell>
          <cell r="AG401">
            <v>438.99710017047215</v>
          </cell>
          <cell r="AH401">
            <v>460.94695517899572</v>
          </cell>
          <cell r="AI401">
            <v>483.99430293794558</v>
          </cell>
          <cell r="AJ401">
            <v>508.19401808484281</v>
          </cell>
        </row>
        <row r="402">
          <cell r="I402" t="str">
            <v>Asia</v>
          </cell>
        </row>
        <row r="403">
          <cell r="I403" t="str">
            <v xml:space="preserve">Agency (Booking.com) </v>
          </cell>
          <cell r="M403">
            <v>2.2544999999999997</v>
          </cell>
          <cell r="N403">
            <v>5.6362499999999995</v>
          </cell>
          <cell r="O403">
            <v>12.963374999999999</v>
          </cell>
          <cell r="P403">
            <v>26.102268749999993</v>
          </cell>
          <cell r="Q403">
            <v>57.348056249999985</v>
          </cell>
          <cell r="R403">
            <v>128.96590377004338</v>
          </cell>
          <cell r="S403">
            <v>223.23237642387363</v>
          </cell>
          <cell r="T403">
            <v>308.44109681166839</v>
          </cell>
          <cell r="U403">
            <v>365.093543164832</v>
          </cell>
          <cell r="V403">
            <v>408.90476834461191</v>
          </cell>
          <cell r="W403">
            <v>445.70619749562701</v>
          </cell>
          <cell r="X403">
            <v>476.90563132032088</v>
          </cell>
          <cell r="Y403">
            <v>505.51996919954018</v>
          </cell>
          <cell r="Z403">
            <v>535.85116735151269</v>
          </cell>
          <cell r="AA403">
            <v>568.00223739260343</v>
          </cell>
          <cell r="AB403">
            <v>602.08237163615968</v>
          </cell>
          <cell r="AC403">
            <v>638.20731393432925</v>
          </cell>
          <cell r="AD403">
            <v>676.49975277038902</v>
          </cell>
          <cell r="AE403">
            <v>717.08973793661232</v>
          </cell>
          <cell r="AF403">
            <v>760.11512221280907</v>
          </cell>
          <cell r="AG403">
            <v>805.7220295455777</v>
          </cell>
          <cell r="AH403">
            <v>854.06535131831242</v>
          </cell>
          <cell r="AI403">
            <v>905.30927239741118</v>
          </cell>
          <cell r="AJ403">
            <v>959.62782874125594</v>
          </cell>
        </row>
        <row r="404">
          <cell r="I404" t="str">
            <v xml:space="preserve">Merchant (Agoda) </v>
          </cell>
          <cell r="M404">
            <v>0</v>
          </cell>
          <cell r="N404">
            <v>2.4119999999999999</v>
          </cell>
          <cell r="O404">
            <v>21.366</v>
          </cell>
          <cell r="P404">
            <v>44.091360000000002</v>
          </cell>
          <cell r="Q404">
            <v>97.410780000000003</v>
          </cell>
          <cell r="R404">
            <v>206.58719696853626</v>
          </cell>
          <cell r="S404">
            <v>335.94444167496067</v>
          </cell>
          <cell r="T404">
            <v>435.54016208957808</v>
          </cell>
          <cell r="U404">
            <v>511.05010255072631</v>
          </cell>
          <cell r="V404">
            <v>545.6975671304366</v>
          </cell>
          <cell r="W404">
            <v>583.89639682956715</v>
          </cell>
          <cell r="X404">
            <v>618.93018063934119</v>
          </cell>
          <cell r="Y404">
            <v>649.87668967130833</v>
          </cell>
          <cell r="Z404">
            <v>682.37052415487381</v>
          </cell>
          <cell r="AA404">
            <v>716.4890503626176</v>
          </cell>
          <cell r="AB404">
            <v>752.3135028807485</v>
          </cell>
          <cell r="AC404">
            <v>789.92917802478598</v>
          </cell>
          <cell r="AD404">
            <v>829.42563692602528</v>
          </cell>
          <cell r="AE404">
            <v>870.89691877232656</v>
          </cell>
          <cell r="AF404">
            <v>914.44176471094283</v>
          </cell>
          <cell r="AG404">
            <v>960.16385294649001</v>
          </cell>
          <cell r="AH404">
            <v>1008.1720455938145</v>
          </cell>
          <cell r="AI404">
            <v>1058.5806478735053</v>
          </cell>
          <cell r="AJ404">
            <v>1111.5096802671806</v>
          </cell>
        </row>
        <row r="405">
          <cell r="I405" t="str">
            <v>Latin America</v>
          </cell>
        </row>
        <row r="406">
          <cell r="I406" t="str">
            <v xml:space="preserve">Agency (Booking.com) </v>
          </cell>
          <cell r="M406">
            <v>1.2</v>
          </cell>
          <cell r="N406">
            <v>4.17</v>
          </cell>
          <cell r="O406">
            <v>13.256999999999998</v>
          </cell>
          <cell r="P406">
            <v>37.931399999999996</v>
          </cell>
          <cell r="Q406">
            <v>105.95249999999999</v>
          </cell>
          <cell r="R406">
            <v>235.45999749118889</v>
          </cell>
          <cell r="S406">
            <v>394.10602986735591</v>
          </cell>
          <cell r="T406">
            <v>542.84659826613279</v>
          </cell>
          <cell r="U406">
            <v>657.73673447451301</v>
          </cell>
          <cell r="V406">
            <v>756.39724464568985</v>
          </cell>
          <cell r="W406">
            <v>832.03696911025895</v>
          </cell>
          <cell r="X406">
            <v>898.59992663907974</v>
          </cell>
          <cell r="Y406">
            <v>961.50192150381542</v>
          </cell>
          <cell r="Z406">
            <v>1028.8070560090825</v>
          </cell>
          <cell r="AA406">
            <v>1100.8235499297182</v>
          </cell>
          <cell r="AB406">
            <v>1177.8811984247986</v>
          </cell>
          <cell r="AC406">
            <v>1260.3328823145346</v>
          </cell>
          <cell r="AD406">
            <v>1348.556184076552</v>
          </cell>
          <cell r="AE406">
            <v>1442.9551169619108</v>
          </cell>
          <cell r="AF406">
            <v>1543.9619751492446</v>
          </cell>
          <cell r="AG406">
            <v>1652.0393134096917</v>
          </cell>
          <cell r="AH406">
            <v>1767.6820653483703</v>
          </cell>
          <cell r="AI406">
            <v>1891.4198099227563</v>
          </cell>
          <cell r="AJ406">
            <v>2023.8191966173492</v>
          </cell>
        </row>
        <row r="408">
          <cell r="I408" t="str">
            <v>Gross Profit Model Drivers:</v>
          </cell>
        </row>
        <row r="409">
          <cell r="I409" t="str">
            <v>US</v>
          </cell>
        </row>
        <row r="410">
          <cell r="I410" t="str">
            <v>Merchant (NYOP &amp; Priceline.com) - % of gross bookings</v>
          </cell>
          <cell r="T410">
            <v>0.17199999999999999</v>
          </cell>
          <cell r="U410">
            <v>0.17</v>
          </cell>
          <cell r="V410">
            <v>0.17</v>
          </cell>
          <cell r="W410">
            <v>0.17</v>
          </cell>
          <cell r="X410">
            <v>0.17</v>
          </cell>
          <cell r="Y410">
            <v>0.17</v>
          </cell>
          <cell r="Z410">
            <v>0.17</v>
          </cell>
          <cell r="AA410">
            <v>0.17</v>
          </cell>
          <cell r="AB410">
            <v>0.17</v>
          </cell>
          <cell r="AC410">
            <v>0.17</v>
          </cell>
          <cell r="AD410">
            <v>0.17</v>
          </cell>
          <cell r="AE410">
            <v>0.17</v>
          </cell>
          <cell r="AF410">
            <v>0.17</v>
          </cell>
          <cell r="AG410">
            <v>0.17</v>
          </cell>
          <cell r="AH410">
            <v>0.17</v>
          </cell>
          <cell r="AI410">
            <v>0.17</v>
          </cell>
          <cell r="AJ410">
            <v>0.17</v>
          </cell>
        </row>
        <row r="412">
          <cell r="I412" t="str">
            <v>US</v>
          </cell>
        </row>
        <row r="413">
          <cell r="I413" t="str">
            <v>Merchant (NYOP &amp; Priceline.com) - Y/Y growth</v>
          </cell>
          <cell r="M413">
            <v>182.16499999999999</v>
          </cell>
          <cell r="N413">
            <v>211.82300000000001</v>
          </cell>
          <cell r="O413">
            <v>267.96100000000001</v>
          </cell>
          <cell r="P413">
            <v>326.03664000000003</v>
          </cell>
          <cell r="Q413">
            <v>385.05021999999997</v>
          </cell>
          <cell r="R413">
            <v>426.18139020000001</v>
          </cell>
          <cell r="S413">
            <v>450.95197206800003</v>
          </cell>
          <cell r="T413">
            <v>479.4166326106</v>
          </cell>
          <cell r="U413">
            <v>507.01096204574509</v>
          </cell>
          <cell r="V413">
            <v>534.89656495826102</v>
          </cell>
          <cell r="W413">
            <v>561.64139320617414</v>
          </cell>
          <cell r="X413">
            <v>584.10704893442107</v>
          </cell>
          <cell r="Y413">
            <v>607.47133089179795</v>
          </cell>
          <cell r="Z413">
            <v>631.77018412746986</v>
          </cell>
          <cell r="AA413">
            <v>657.04099149256865</v>
          </cell>
          <cell r="AB413">
            <v>683.32263115227136</v>
          </cell>
          <cell r="AC413">
            <v>710.6555363983623</v>
          </cell>
          <cell r="AD413">
            <v>739.08175785429682</v>
          </cell>
          <cell r="AE413">
            <v>768.64502816846868</v>
          </cell>
          <cell r="AF413">
            <v>799.39082929520748</v>
          </cell>
          <cell r="AG413">
            <v>831.36646246701582</v>
          </cell>
          <cell r="AH413">
            <v>864.62112096569649</v>
          </cell>
          <cell r="AI413">
            <v>899.20596580432436</v>
          </cell>
          <cell r="AJ413">
            <v>935.17420443649746</v>
          </cell>
        </row>
        <row r="415">
          <cell r="I415" t="str">
            <v>Other P&amp;L Model Drivers:</v>
          </cell>
        </row>
        <row r="416">
          <cell r="I416" t="str">
            <v xml:space="preserve">Offline Advertising </v>
          </cell>
          <cell r="T416">
            <v>1.0999999999999999E-2</v>
          </cell>
          <cell r="U416">
            <v>0.01</v>
          </cell>
          <cell r="V416">
            <v>0.01</v>
          </cell>
          <cell r="W416">
            <v>0.01</v>
          </cell>
          <cell r="X416">
            <v>0.01</v>
          </cell>
          <cell r="Y416">
            <v>0.01</v>
          </cell>
          <cell r="Z416">
            <v>0.01</v>
          </cell>
          <cell r="AA416">
            <v>0.01</v>
          </cell>
          <cell r="AB416">
            <v>0.01</v>
          </cell>
          <cell r="AC416">
            <v>0.01</v>
          </cell>
          <cell r="AD416">
            <v>0.01</v>
          </cell>
          <cell r="AE416">
            <v>0.01</v>
          </cell>
          <cell r="AF416">
            <v>0.01</v>
          </cell>
          <cell r="AG416">
            <v>0.01</v>
          </cell>
          <cell r="AH416">
            <v>0.01</v>
          </cell>
          <cell r="AI416">
            <v>0.01</v>
          </cell>
          <cell r="AJ416">
            <v>0.01</v>
          </cell>
        </row>
        <row r="417">
          <cell r="I417" t="str">
            <v xml:space="preserve">Online Advertising </v>
          </cell>
          <cell r="T417">
            <v>0.29299999999999998</v>
          </cell>
          <cell r="U417">
            <v>0.29199999999999998</v>
          </cell>
          <cell r="V417">
            <v>0.29099999999999998</v>
          </cell>
          <cell r="W417">
            <v>0.29099999999999998</v>
          </cell>
          <cell r="X417">
            <v>0.28999999999999998</v>
          </cell>
          <cell r="Y417">
            <v>0.28999999999999998</v>
          </cell>
          <cell r="Z417">
            <v>0.28999999999999998</v>
          </cell>
          <cell r="AA417">
            <v>0.28999999999999998</v>
          </cell>
          <cell r="AB417">
            <v>0.28999999999999998</v>
          </cell>
          <cell r="AC417">
            <v>0.28999999999999998</v>
          </cell>
          <cell r="AD417">
            <v>0.28999999999999998</v>
          </cell>
          <cell r="AE417">
            <v>0.28999999999999998</v>
          </cell>
          <cell r="AF417">
            <v>0.28999999999999998</v>
          </cell>
          <cell r="AG417">
            <v>0.28999999999999998</v>
          </cell>
          <cell r="AH417">
            <v>0.28999999999999998</v>
          </cell>
          <cell r="AI417">
            <v>0.28999999999999998</v>
          </cell>
          <cell r="AJ417">
            <v>0.28999999999999998</v>
          </cell>
        </row>
        <row r="418">
          <cell r="I418" t="str">
            <v xml:space="preserve">Selling &amp; Marketing  </v>
          </cell>
          <cell r="T418">
            <v>5.5E-2</v>
          </cell>
          <cell r="U418">
            <v>5.3999999999999999E-2</v>
          </cell>
          <cell r="V418">
            <v>5.2999999999999999E-2</v>
          </cell>
          <cell r="W418">
            <v>5.2999999999999999E-2</v>
          </cell>
          <cell r="X418">
            <v>5.2999999999999999E-2</v>
          </cell>
          <cell r="Y418">
            <v>5.2999999999999999E-2</v>
          </cell>
          <cell r="Z418">
            <v>5.2999999999999999E-2</v>
          </cell>
          <cell r="AA418">
            <v>5.2999999999999999E-2</v>
          </cell>
          <cell r="AB418">
            <v>5.3999999999999999E-2</v>
          </cell>
          <cell r="AC418">
            <v>5.3999999999999999E-2</v>
          </cell>
          <cell r="AD418">
            <v>5.3999999999999999E-2</v>
          </cell>
          <cell r="AE418">
            <v>5.3999999999999999E-2</v>
          </cell>
          <cell r="AF418">
            <v>5.3999999999999999E-2</v>
          </cell>
          <cell r="AG418">
            <v>5.3999999999999999E-2</v>
          </cell>
          <cell r="AH418">
            <v>5.3999999999999999E-2</v>
          </cell>
          <cell r="AI418">
            <v>5.3999999999999999E-2</v>
          </cell>
          <cell r="AJ418">
            <v>5.3999999999999999E-2</v>
          </cell>
        </row>
        <row r="419">
          <cell r="I419" t="str">
            <v>Personnel (ex-SBC)</v>
          </cell>
          <cell r="T419">
            <v>9.8000000000000004E-2</v>
          </cell>
          <cell r="U419">
            <v>9.8000000000000004E-2</v>
          </cell>
          <cell r="V419">
            <v>9.7000000000000003E-2</v>
          </cell>
          <cell r="W419">
            <v>9.6000000000000002E-2</v>
          </cell>
          <cell r="X419">
            <v>9.5000000000000001E-2</v>
          </cell>
          <cell r="Y419">
            <v>9.5000000000000001E-2</v>
          </cell>
          <cell r="Z419">
            <v>9.5000000000000001E-2</v>
          </cell>
          <cell r="AA419">
            <v>9.5000000000000001E-2</v>
          </cell>
          <cell r="AB419">
            <v>9.5000000000000001E-2</v>
          </cell>
          <cell r="AC419">
            <v>9.5000000000000001E-2</v>
          </cell>
          <cell r="AD419">
            <v>9.5000000000000001E-2</v>
          </cell>
          <cell r="AE419">
            <v>9.5000000000000001E-2</v>
          </cell>
          <cell r="AF419">
            <v>9.5000000000000001E-2</v>
          </cell>
          <cell r="AG419">
            <v>9.5000000000000001E-2</v>
          </cell>
          <cell r="AH419">
            <v>9.5000000000000001E-2</v>
          </cell>
          <cell r="AI419">
            <v>9.5000000000000001E-2</v>
          </cell>
          <cell r="AJ419">
            <v>9.5000000000000001E-2</v>
          </cell>
        </row>
        <row r="420">
          <cell r="I420" t="str">
            <v xml:space="preserve">General &amp; Administrative </v>
          </cell>
          <cell r="T420">
            <v>4.1000000000000002E-2</v>
          </cell>
          <cell r="U420">
            <v>0.04</v>
          </cell>
          <cell r="V420">
            <v>3.9E-2</v>
          </cell>
          <cell r="W420">
            <v>3.7999999999999999E-2</v>
          </cell>
          <cell r="X420">
            <v>3.7999999999999999E-2</v>
          </cell>
          <cell r="Y420">
            <v>3.7999999999999999E-2</v>
          </cell>
          <cell r="Z420">
            <v>3.7999999999999999E-2</v>
          </cell>
          <cell r="AA420">
            <v>3.7999999999999999E-2</v>
          </cell>
          <cell r="AB420">
            <v>3.7999999999999999E-2</v>
          </cell>
          <cell r="AC420">
            <v>3.7999999999999999E-2</v>
          </cell>
          <cell r="AD420">
            <v>3.7999999999999999E-2</v>
          </cell>
          <cell r="AE420">
            <v>3.7999999999999999E-2</v>
          </cell>
          <cell r="AF420">
            <v>3.7999999999999999E-2</v>
          </cell>
          <cell r="AG420">
            <v>3.7999999999999999E-2</v>
          </cell>
          <cell r="AH420">
            <v>3.7999999999999999E-2</v>
          </cell>
          <cell r="AI420">
            <v>3.7999999999999999E-2</v>
          </cell>
          <cell r="AJ420">
            <v>3.7999999999999999E-2</v>
          </cell>
        </row>
        <row r="421">
          <cell r="I421" t="str">
            <v xml:space="preserve">Information Technology </v>
          </cell>
          <cell r="T421">
            <v>1.0999999999999999E-2</v>
          </cell>
          <cell r="U421">
            <v>1.0999999999999999E-2</v>
          </cell>
          <cell r="V421">
            <v>1.0999999999999999E-2</v>
          </cell>
          <cell r="W421">
            <v>1.0999999999999999E-2</v>
          </cell>
          <cell r="X421">
            <v>1.0999999999999999E-2</v>
          </cell>
          <cell r="Y421">
            <v>1.0999999999999999E-2</v>
          </cell>
          <cell r="Z421">
            <v>1.0999999999999999E-2</v>
          </cell>
          <cell r="AA421">
            <v>1.0999999999999999E-2</v>
          </cell>
          <cell r="AB421">
            <v>1.0999999999999999E-2</v>
          </cell>
          <cell r="AC421">
            <v>1.0999999999999999E-2</v>
          </cell>
          <cell r="AD421">
            <v>1.0999999999999999E-2</v>
          </cell>
          <cell r="AE421">
            <v>1.0999999999999999E-2</v>
          </cell>
          <cell r="AF421">
            <v>1.0999999999999999E-2</v>
          </cell>
          <cell r="AG421">
            <v>1.0999999999999999E-2</v>
          </cell>
          <cell r="AH421">
            <v>1.0999999999999999E-2</v>
          </cell>
          <cell r="AI421">
            <v>1.0999999999999999E-2</v>
          </cell>
          <cell r="AJ421">
            <v>1.0999999999999999E-2</v>
          </cell>
        </row>
        <row r="422">
          <cell r="I422" t="str">
            <v>Stock-based Compensation</v>
          </cell>
          <cell r="T422">
            <v>2.5000000000000001E-2</v>
          </cell>
          <cell r="U422">
            <v>2.5000000000000001E-2</v>
          </cell>
          <cell r="V422">
            <v>2.5000000000000001E-2</v>
          </cell>
          <cell r="W422">
            <v>2.5000000000000001E-2</v>
          </cell>
          <cell r="X422">
            <v>2.5000000000000001E-2</v>
          </cell>
          <cell r="Y422">
            <v>2.5000000000000001E-2</v>
          </cell>
          <cell r="Z422">
            <v>2.5000000000000001E-2</v>
          </cell>
          <cell r="AA422">
            <v>2.5000000000000001E-2</v>
          </cell>
          <cell r="AB422">
            <v>2.5000000000000001E-2</v>
          </cell>
          <cell r="AC422">
            <v>2.5000000000000001E-2</v>
          </cell>
          <cell r="AD422">
            <v>2.5000000000000001E-2</v>
          </cell>
          <cell r="AE422">
            <v>2.5000000000000001E-2</v>
          </cell>
          <cell r="AF422">
            <v>2.5000000000000001E-2</v>
          </cell>
          <cell r="AG422">
            <v>2.5000000000000001E-2</v>
          </cell>
          <cell r="AH422">
            <v>2.5000000000000001E-2</v>
          </cell>
          <cell r="AI422">
            <v>2.5000000000000001E-2</v>
          </cell>
          <cell r="AJ422">
            <v>2.5000000000000001E-2</v>
          </cell>
        </row>
        <row r="423">
          <cell r="I423" t="str">
            <v>Interest Rate on Cash &amp; Equivalents</v>
          </cell>
          <cell r="T423">
            <v>4.0000000000000001E-3</v>
          </cell>
          <cell r="U423">
            <v>4.0000000000000001E-3</v>
          </cell>
          <cell r="V423">
            <v>4.0000000000000001E-3</v>
          </cell>
          <cell r="W423">
            <v>4.0000000000000001E-3</v>
          </cell>
          <cell r="X423">
            <v>4.0000000000000001E-3</v>
          </cell>
          <cell r="Y423">
            <v>4.0000000000000001E-3</v>
          </cell>
          <cell r="Z423">
            <v>4.0000000000000001E-3</v>
          </cell>
          <cell r="AA423">
            <v>4.0000000000000001E-3</v>
          </cell>
          <cell r="AB423">
            <v>4.0000000000000001E-3</v>
          </cell>
          <cell r="AC423">
            <v>4.0000000000000001E-3</v>
          </cell>
          <cell r="AD423">
            <v>4.0000000000000001E-3</v>
          </cell>
          <cell r="AE423">
            <v>4.0000000000000001E-3</v>
          </cell>
          <cell r="AF423">
            <v>4.0000000000000001E-3</v>
          </cell>
          <cell r="AG423">
            <v>4.0000000000000001E-3</v>
          </cell>
          <cell r="AH423">
            <v>4.0000000000000001E-3</v>
          </cell>
          <cell r="AI423">
            <v>4.0000000000000001E-3</v>
          </cell>
          <cell r="AJ423">
            <v>4.0000000000000001E-3</v>
          </cell>
        </row>
        <row r="425">
          <cell r="I425" t="str">
            <v>Cash Flow Statement Model Drivers:</v>
          </cell>
        </row>
        <row r="426">
          <cell r="I426" t="str">
            <v>Capex as % of Gross Profit</v>
          </cell>
          <cell r="M426">
            <v>3.2039471551911121E-2</v>
          </cell>
          <cell r="N426">
            <v>2.5690216165716314E-2</v>
          </cell>
          <cell r="O426">
            <v>1.9165853357476326E-2</v>
          </cell>
          <cell r="P426">
            <v>1.1981633344252649E-2</v>
          </cell>
          <cell r="Q426">
            <v>1.1835165733179952E-2</v>
          </cell>
          <cell r="R426">
            <v>1.3856180086347116E-2</v>
          </cell>
          <cell r="S426">
            <v>1.591001125751421E-2</v>
          </cell>
          <cell r="T426">
            <v>1.7999999999999999E-2</v>
          </cell>
          <cell r="U426">
            <v>0.02</v>
          </cell>
          <cell r="V426">
            <v>0.02</v>
          </cell>
          <cell r="W426">
            <v>0.02</v>
          </cell>
          <cell r="X426">
            <v>0.02</v>
          </cell>
          <cell r="Y426">
            <v>0.02</v>
          </cell>
          <cell r="Z426">
            <v>0.02</v>
          </cell>
          <cell r="AA426">
            <v>0.02</v>
          </cell>
          <cell r="AB426">
            <v>0.02</v>
          </cell>
          <cell r="AC426">
            <v>0.02</v>
          </cell>
          <cell r="AD426">
            <v>0.02</v>
          </cell>
          <cell r="AE426">
            <v>0.02</v>
          </cell>
          <cell r="AF426">
            <v>0.02</v>
          </cell>
          <cell r="AG426">
            <v>0.02</v>
          </cell>
          <cell r="AH426">
            <v>0.02</v>
          </cell>
          <cell r="AI426">
            <v>0.02</v>
          </cell>
          <cell r="AJ426">
            <v>0.02</v>
          </cell>
        </row>
      </sheetData>
      <sheetData sheetId="4"/>
      <sheetData sheetId="5"/>
      <sheetData sheetId="6"/>
      <sheetData sheetId="7"/>
      <sheetData sheetId="8"/>
      <sheetData sheetId="9"/>
      <sheetData sheetId="10"/>
      <sheetData sheetId="11" refreshError="1">
        <row r="3">
          <cell r="D3" t="str">
            <v>UFCF Valuation Year</v>
          </cell>
          <cell r="E3">
            <v>41274</v>
          </cell>
        </row>
        <row r="4">
          <cell r="D4" t="str">
            <v>Beginning Year of CAGR</v>
          </cell>
          <cell r="E4">
            <v>40543</v>
          </cell>
        </row>
        <row r="5">
          <cell r="D5" t="str">
            <v>Ending Year of CAGR</v>
          </cell>
          <cell r="E5">
            <v>44196</v>
          </cell>
        </row>
        <row r="7">
          <cell r="B7" t="str">
            <v xml:space="preserve">Price Target = $650 </v>
          </cell>
          <cell r="D7" t="str">
            <v>Derived from base case, utilizing DCF analysis.</v>
          </cell>
        </row>
        <row r="8">
          <cell r="B8" t="str">
            <v xml:space="preserve">Bull Case $934 </v>
          </cell>
          <cell r="C8" t="str">
            <v>22x Bull Case 12E EV / EBITDA</v>
          </cell>
          <cell r="D8" t="str">
            <v>Economy improves and growth recovers quickly. PCLN continues its momentum, taking market share and receiving higher commissions per booking as the economic cycle improves. 10-year gross bookings CAGR (C10-C20E) of 19%, Adj. EBITDA margin expands to 52% in</v>
          </cell>
          <cell r="E8">
            <v>0.19208566924467307</v>
          </cell>
          <cell r="F8">
            <v>0.51900000000000002</v>
          </cell>
        </row>
        <row r="9">
          <cell r="B9" t="str">
            <v xml:space="preserve">Base Case $650 </v>
          </cell>
          <cell r="C9" t="str">
            <v>16x Base Case 12E EV / EBITDA</v>
          </cell>
          <cell r="D9" t="str">
            <v>Continued market share gains in Europe and APAC despite weak economic conditions. Priceline is able to maintain strong growth by continuing to take share from offline channels and local online travel agencies. 10-year gross bookings CAGR (C10-C20E) of 15%</v>
          </cell>
          <cell r="E9">
            <v>0.15177817128386772</v>
          </cell>
          <cell r="F9">
            <v>0.50300000000000011</v>
          </cell>
        </row>
        <row r="10">
          <cell r="B10" t="str">
            <v xml:space="preserve">Bear Case $396 </v>
          </cell>
          <cell r="C10" t="str">
            <v>11x Bear Case 12E EV / EBITDA</v>
          </cell>
          <cell r="D10" t="str">
            <v>Global recessionary conditions and increased competition. Consumers significantly cut back on travel expenditures, leading to large declines in hotel occupancy and ADRs. New models from entrants pressure long term growth. 10-year gross bookings CAGR of (C</v>
          </cell>
          <cell r="E10">
            <v>0.10570221905422805</v>
          </cell>
          <cell r="F10">
            <v>0.46599999999999991</v>
          </cell>
        </row>
      </sheetData>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Valuation"/>
      <sheetName val="MW-Cache"/>
      <sheetName val="Model"/>
      <sheetName val="Drivers &amp; Metrics"/>
      <sheetName val="DCF"/>
      <sheetName val="MM.N"/>
      <sheetName val="ModPubIndex"/>
    </sheetNames>
    <sheetDataSet>
      <sheetData sheetId="0" refreshError="1"/>
      <sheetData sheetId="1" refreshError="1"/>
      <sheetData sheetId="2" refreshError="1"/>
      <sheetData sheetId="3" refreshError="1">
        <row r="1">
          <cell r="I1" t="str">
            <v>Select Model Case:</v>
          </cell>
          <cell r="K1">
            <v>4</v>
          </cell>
          <cell r="AI1" t="str">
            <v>Jordan Monahan: 212-761-8094 / jordan.monahan@morganstanley.com</v>
          </cell>
        </row>
        <row r="2">
          <cell r="AI2" t="str">
            <v>Erhan Soyer-Osman: 212-761-3483 / erhan.soyer@morganstanley.com</v>
          </cell>
        </row>
        <row r="6">
          <cell r="I6" t="str">
            <v>Period-End Date</v>
          </cell>
          <cell r="L6">
            <v>39903</v>
          </cell>
          <cell r="M6">
            <v>39994</v>
          </cell>
          <cell r="N6">
            <v>40086</v>
          </cell>
          <cell r="O6">
            <v>40178</v>
          </cell>
          <cell r="P6">
            <v>40268</v>
          </cell>
          <cell r="Q6">
            <v>40359</v>
          </cell>
          <cell r="R6">
            <v>40451</v>
          </cell>
          <cell r="S6">
            <v>40543</v>
          </cell>
          <cell r="T6">
            <v>40633</v>
          </cell>
          <cell r="U6">
            <v>40724</v>
          </cell>
          <cell r="V6">
            <v>40816</v>
          </cell>
          <cell r="W6">
            <v>40908</v>
          </cell>
          <cell r="X6">
            <v>40999</v>
          </cell>
          <cell r="Y6">
            <v>41090</v>
          </cell>
          <cell r="Z6">
            <v>41182</v>
          </cell>
          <cell r="AA6">
            <v>41274</v>
          </cell>
          <cell r="AB6">
            <v>41364</v>
          </cell>
          <cell r="AC6">
            <v>41455</v>
          </cell>
          <cell r="AD6">
            <v>41547</v>
          </cell>
          <cell r="AE6">
            <v>41639</v>
          </cell>
          <cell r="AF6">
            <v>41729</v>
          </cell>
          <cell r="AG6">
            <v>41820</v>
          </cell>
          <cell r="AH6">
            <v>41912</v>
          </cell>
          <cell r="AI6">
            <v>42004</v>
          </cell>
          <cell r="AK6">
            <v>39813</v>
          </cell>
          <cell r="AL6">
            <v>40178</v>
          </cell>
          <cell r="AM6">
            <v>40543</v>
          </cell>
          <cell r="AN6">
            <v>40908</v>
          </cell>
          <cell r="AO6">
            <v>41274</v>
          </cell>
          <cell r="AP6">
            <v>41639</v>
          </cell>
          <cell r="AQ6">
            <v>42004</v>
          </cell>
          <cell r="AR6">
            <v>42369</v>
          </cell>
          <cell r="AS6">
            <v>42735</v>
          </cell>
          <cell r="AT6">
            <v>43100</v>
          </cell>
          <cell r="AU6">
            <v>43465</v>
          </cell>
          <cell r="AV6">
            <v>43830</v>
          </cell>
          <cell r="AW6">
            <v>44196</v>
          </cell>
        </row>
        <row r="7">
          <cell r="I7" t="str">
            <v>Morgan Stanley | Millennial Media model</v>
          </cell>
          <cell r="L7">
            <v>40178</v>
          </cell>
          <cell r="P7">
            <v>40543</v>
          </cell>
          <cell r="T7">
            <v>40908</v>
          </cell>
          <cell r="X7">
            <v>41274</v>
          </cell>
          <cell r="AB7">
            <v>41639</v>
          </cell>
          <cell r="AF7">
            <v>42004</v>
          </cell>
          <cell r="AY7" t="str">
            <v>CAGR</v>
          </cell>
        </row>
        <row r="8">
          <cell r="I8" t="str">
            <v>(USD millions)</v>
          </cell>
          <cell r="L8">
            <v>1</v>
          </cell>
          <cell r="M8">
            <v>2</v>
          </cell>
          <cell r="N8">
            <v>3</v>
          </cell>
          <cell r="O8">
            <v>4</v>
          </cell>
          <cell r="P8">
            <v>1</v>
          </cell>
          <cell r="Q8">
            <v>2</v>
          </cell>
          <cell r="R8">
            <v>3</v>
          </cell>
          <cell r="S8">
            <v>4</v>
          </cell>
          <cell r="T8">
            <v>1</v>
          </cell>
          <cell r="U8">
            <v>2</v>
          </cell>
          <cell r="V8">
            <v>3</v>
          </cell>
          <cell r="W8">
            <v>4</v>
          </cell>
          <cell r="X8">
            <v>1</v>
          </cell>
          <cell r="Y8">
            <v>2</v>
          </cell>
          <cell r="Z8">
            <v>3</v>
          </cell>
          <cell r="AA8">
            <v>4</v>
          </cell>
          <cell r="AB8">
            <v>1</v>
          </cell>
          <cell r="AC8">
            <v>2</v>
          </cell>
          <cell r="AD8">
            <v>3</v>
          </cell>
          <cell r="AE8">
            <v>4</v>
          </cell>
          <cell r="AF8">
            <v>1</v>
          </cell>
          <cell r="AG8">
            <v>2</v>
          </cell>
          <cell r="AH8">
            <v>3</v>
          </cell>
          <cell r="AI8">
            <v>4</v>
          </cell>
          <cell r="AK8">
            <v>39813</v>
          </cell>
          <cell r="AL8">
            <v>40178</v>
          </cell>
          <cell r="AM8">
            <v>40543</v>
          </cell>
          <cell r="AN8">
            <v>40908</v>
          </cell>
          <cell r="AO8">
            <v>41274</v>
          </cell>
          <cell r="AP8">
            <v>41639</v>
          </cell>
          <cell r="AQ8">
            <v>42004</v>
          </cell>
          <cell r="AR8">
            <v>42369</v>
          </cell>
          <cell r="AS8">
            <v>42735</v>
          </cell>
          <cell r="AT8">
            <v>43100</v>
          </cell>
          <cell r="AU8">
            <v>43465</v>
          </cell>
          <cell r="AV8">
            <v>43830</v>
          </cell>
          <cell r="AW8">
            <v>44196</v>
          </cell>
          <cell r="AY8" t="str">
            <v>2012-2015</v>
          </cell>
          <cell r="AZ8" t="str">
            <v>2013-2016</v>
          </cell>
          <cell r="BA8" t="str">
            <v>2014-2017</v>
          </cell>
          <cell r="BB8" t="str">
            <v>2015-2018</v>
          </cell>
          <cell r="BC8" t="str">
            <v>2016-2019</v>
          </cell>
          <cell r="BD8" t="str">
            <v>2017-2020</v>
          </cell>
        </row>
        <row r="9">
          <cell r="I9" t="str">
            <v>Income Statement</v>
          </cell>
        </row>
        <row r="10">
          <cell r="I10" t="str">
            <v>Millennial Media revenue</v>
          </cell>
          <cell r="L10">
            <v>1.627</v>
          </cell>
          <cell r="M10">
            <v>3.3879999999999999</v>
          </cell>
          <cell r="N10">
            <v>4.1029999999999998</v>
          </cell>
          <cell r="O10">
            <v>7.1020000000000003</v>
          </cell>
          <cell r="P10">
            <v>8.8249999999999993</v>
          </cell>
          <cell r="Q10">
            <v>9.2579999999999991</v>
          </cell>
          <cell r="R10">
            <v>11.004</v>
          </cell>
          <cell r="S10">
            <v>18.741</v>
          </cell>
          <cell r="T10">
            <v>21.492999999999999</v>
          </cell>
          <cell r="U10">
            <v>22.446999999999999</v>
          </cell>
          <cell r="V10">
            <v>25.189</v>
          </cell>
          <cell r="W10">
            <v>34.548999999999999</v>
          </cell>
          <cell r="X10">
            <v>32.93</v>
          </cell>
          <cell r="Y10">
            <v>39.411000000000001</v>
          </cell>
          <cell r="Z10">
            <v>47.366</v>
          </cell>
          <cell r="AA10">
            <v>57.959999999999987</v>
          </cell>
          <cell r="AB10">
            <v>49.438000000000002</v>
          </cell>
          <cell r="AC10">
            <v>57.009</v>
          </cell>
          <cell r="AD10">
            <v>56.061</v>
          </cell>
          <cell r="AE10">
            <v>73.70999999999998</v>
          </cell>
          <cell r="AF10">
            <v>53.379858062519347</v>
          </cell>
          <cell r="AG10">
            <v>50.476695000000007</v>
          </cell>
          <cell r="AH10">
            <v>58.818573000000001</v>
          </cell>
          <cell r="AI10">
            <v>81.080999999999989</v>
          </cell>
          <cell r="AO10">
            <v>177.667</v>
          </cell>
          <cell r="AP10">
            <v>236.21799999999999</v>
          </cell>
          <cell r="AQ10">
            <v>243.75612606251934</v>
          </cell>
          <cell r="AR10">
            <v>280.36144051624797</v>
          </cell>
          <cell r="AS10">
            <v>315.39645117717259</v>
          </cell>
          <cell r="AT10">
            <v>348.56095975749048</v>
          </cell>
          <cell r="AU10">
            <v>378.83727851253457</v>
          </cell>
          <cell r="AV10">
            <v>405.30867050786702</v>
          </cell>
          <cell r="AW10">
            <v>427.19062369057724</v>
          </cell>
        </row>
        <row r="11">
          <cell r="I11" t="str">
            <v>Jumptap revenue</v>
          </cell>
          <cell r="X11">
            <v>14.93</v>
          </cell>
          <cell r="Y11">
            <v>16.158999999999999</v>
          </cell>
          <cell r="Z11">
            <v>14.658999999999999</v>
          </cell>
          <cell r="AA11">
            <v>17.890000000000008</v>
          </cell>
          <cell r="AB11">
            <v>15.182000000000002</v>
          </cell>
          <cell r="AC11">
            <v>24.310999999999993</v>
          </cell>
          <cell r="AD11">
            <v>30.258000000000003</v>
          </cell>
          <cell r="AE11">
            <v>35.780000000000015</v>
          </cell>
          <cell r="AF11">
            <v>19.240141937480658</v>
          </cell>
          <cell r="AG11">
            <v>24.744304999999997</v>
          </cell>
          <cell r="AH11">
            <v>36.132327000000004</v>
          </cell>
          <cell r="AI11">
            <v>39.358000000000018</v>
          </cell>
          <cell r="AM11">
            <v>24.56</v>
          </cell>
          <cell r="AN11">
            <v>47.933999999999997</v>
          </cell>
          <cell r="AO11">
            <v>63.638000000000005</v>
          </cell>
          <cell r="AP11">
            <v>105.53100000000002</v>
          </cell>
          <cell r="AQ11">
            <v>119.47477393748068</v>
          </cell>
          <cell r="AR11">
            <v>155.51563948375207</v>
          </cell>
          <cell r="AS11">
            <v>198.93850322282742</v>
          </cell>
          <cell r="AT11">
            <v>249.09625725530947</v>
          </cell>
          <cell r="AU11">
            <v>305.95836074073156</v>
          </cell>
          <cell r="AV11">
            <v>369.34585252821279</v>
          </cell>
          <cell r="AW11">
            <v>438.94904920701754</v>
          </cell>
        </row>
        <row r="12">
          <cell r="I12" t="str">
            <v>Total revenue</v>
          </cell>
          <cell r="L12">
            <v>1.627</v>
          </cell>
          <cell r="M12">
            <v>3.3879999999999999</v>
          </cell>
          <cell r="N12">
            <v>4.1029999999999998</v>
          </cell>
          <cell r="O12">
            <v>7.1020000000000003</v>
          </cell>
          <cell r="P12">
            <v>8.8249999999999993</v>
          </cell>
          <cell r="Q12">
            <v>9.2579999999999991</v>
          </cell>
          <cell r="R12">
            <v>11.004</v>
          </cell>
          <cell r="S12">
            <v>18.741</v>
          </cell>
          <cell r="T12">
            <v>21.492999999999999</v>
          </cell>
          <cell r="U12">
            <v>22.446999999999999</v>
          </cell>
          <cell r="V12">
            <v>25.189</v>
          </cell>
          <cell r="W12">
            <v>34.548999999999999</v>
          </cell>
          <cell r="X12">
            <v>47.86</v>
          </cell>
          <cell r="Y12">
            <v>55.57</v>
          </cell>
          <cell r="Z12">
            <v>62.024999999999999</v>
          </cell>
          <cell r="AA12">
            <v>75.849999999999994</v>
          </cell>
          <cell r="AB12">
            <v>64.62</v>
          </cell>
          <cell r="AC12">
            <v>81.319999999999993</v>
          </cell>
          <cell r="AD12">
            <v>86.319000000000003</v>
          </cell>
          <cell r="AE12">
            <v>109.49</v>
          </cell>
          <cell r="AF12">
            <v>72.62</v>
          </cell>
          <cell r="AG12">
            <v>75.221000000000004</v>
          </cell>
          <cell r="AH12">
            <v>94.950900000000004</v>
          </cell>
          <cell r="AI12">
            <v>120.43900000000001</v>
          </cell>
          <cell r="AK12">
            <v>6.2809999999999997</v>
          </cell>
          <cell r="AL12">
            <v>16.22</v>
          </cell>
          <cell r="AM12">
            <v>47.827999999999996</v>
          </cell>
          <cell r="AN12">
            <v>103.678</v>
          </cell>
          <cell r="AO12">
            <v>241.30500000000001</v>
          </cell>
          <cell r="AP12">
            <v>341.74900000000002</v>
          </cell>
          <cell r="AQ12">
            <v>363.23090000000002</v>
          </cell>
          <cell r="AR12">
            <v>435.87708000000003</v>
          </cell>
          <cell r="AS12">
            <v>514.33495440000002</v>
          </cell>
          <cell r="AT12">
            <v>597.65721701279995</v>
          </cell>
          <cell r="AU12">
            <v>684.79563925326613</v>
          </cell>
          <cell r="AV12">
            <v>774.65452303607981</v>
          </cell>
          <cell r="AW12">
            <v>866.13967289759478</v>
          </cell>
          <cell r="AY12">
            <v>0.21786524615684941</v>
          </cell>
          <cell r="AZ12">
            <v>0.14598674892081698</v>
          </cell>
          <cell r="BA12">
            <v>0.18056470146445058</v>
          </cell>
          <cell r="BB12">
            <v>0.16251612184062486</v>
          </cell>
          <cell r="BC12">
            <v>0.14627109272231789</v>
          </cell>
          <cell r="BD12">
            <v>0.1316494615901902</v>
          </cell>
        </row>
        <row r="13">
          <cell r="I13" t="str">
            <v>Cost of revenue</v>
          </cell>
          <cell r="L13">
            <v>1.3169999999999999</v>
          </cell>
          <cell r="M13">
            <v>2.319</v>
          </cell>
          <cell r="N13">
            <v>2.7930000000000001</v>
          </cell>
          <cell r="O13">
            <v>5.1669999999999998</v>
          </cell>
          <cell r="P13">
            <v>5.859</v>
          </cell>
          <cell r="Q13">
            <v>6.4779999999999998</v>
          </cell>
          <cell r="R13">
            <v>7.09</v>
          </cell>
          <cell r="S13">
            <v>12.175000000000001</v>
          </cell>
          <cell r="T13">
            <v>13.569000000000001</v>
          </cell>
          <cell r="U13">
            <v>13.675000000000001</v>
          </cell>
          <cell r="V13">
            <v>15.292999999999999</v>
          </cell>
          <cell r="W13">
            <v>21.058</v>
          </cell>
          <cell r="X13">
            <v>29.05</v>
          </cell>
          <cell r="Y13">
            <v>33.700000000000003</v>
          </cell>
          <cell r="Z13">
            <v>37.049999999999997</v>
          </cell>
          <cell r="AA13">
            <v>45.05</v>
          </cell>
          <cell r="AB13">
            <v>37.99</v>
          </cell>
          <cell r="AC13">
            <v>48.28</v>
          </cell>
          <cell r="AD13">
            <v>53.03</v>
          </cell>
          <cell r="AE13">
            <v>67.66</v>
          </cell>
          <cell r="AF13">
            <v>42.725000000000001</v>
          </cell>
          <cell r="AG13">
            <v>45.884810000000002</v>
          </cell>
          <cell r="AH13">
            <v>56.97054</v>
          </cell>
          <cell r="AI13">
            <v>72.263400000000004</v>
          </cell>
          <cell r="AK13">
            <v>4.992</v>
          </cell>
          <cell r="AL13">
            <v>11.596</v>
          </cell>
          <cell r="AM13">
            <v>31.602</v>
          </cell>
          <cell r="AN13">
            <v>63.594999999999999</v>
          </cell>
          <cell r="AO13">
            <v>144.85</v>
          </cell>
          <cell r="AP13">
            <v>206.96</v>
          </cell>
          <cell r="AQ13">
            <v>217.84375</v>
          </cell>
          <cell r="AR13">
            <v>261.52624800000001</v>
          </cell>
          <cell r="AS13">
            <v>308.60097264000001</v>
          </cell>
          <cell r="AT13">
            <v>358.59433020767995</v>
          </cell>
          <cell r="AU13">
            <v>410.87738355195967</v>
          </cell>
          <cell r="AV13">
            <v>464.79271382164785</v>
          </cell>
          <cell r="AW13">
            <v>519.68380373855689</v>
          </cell>
          <cell r="AY13">
            <v>0.21767744370477529</v>
          </cell>
          <cell r="AZ13">
            <v>0.14244935885202167</v>
          </cell>
          <cell r="BA13">
            <v>0.18073590903999423</v>
          </cell>
          <cell r="BB13">
            <v>0.16251612184062489</v>
          </cell>
          <cell r="BC13">
            <v>0.14627109272231795</v>
          </cell>
          <cell r="BD13">
            <v>0.1316494615901902</v>
          </cell>
        </row>
        <row r="14">
          <cell r="I14" t="str">
            <v>Gross profit</v>
          </cell>
          <cell r="L14">
            <v>0.31000000000000005</v>
          </cell>
          <cell r="M14">
            <v>1.069</v>
          </cell>
          <cell r="N14">
            <v>1.3099999999999996</v>
          </cell>
          <cell r="O14">
            <v>1.9350000000000005</v>
          </cell>
          <cell r="P14">
            <v>2.9659999999999993</v>
          </cell>
          <cell r="Q14">
            <v>2.7799999999999994</v>
          </cell>
          <cell r="R14">
            <v>3.9139999999999997</v>
          </cell>
          <cell r="S14">
            <v>6.5659999999999989</v>
          </cell>
          <cell r="T14">
            <v>7.9239999999999977</v>
          </cell>
          <cell r="U14">
            <v>8.7719999999999985</v>
          </cell>
          <cell r="V14">
            <v>9.8960000000000008</v>
          </cell>
          <cell r="W14">
            <v>13.491</v>
          </cell>
          <cell r="X14">
            <v>18.809999999999999</v>
          </cell>
          <cell r="Y14">
            <v>21.869999999999997</v>
          </cell>
          <cell r="Z14">
            <v>24.975000000000001</v>
          </cell>
          <cell r="AA14">
            <v>30.799999999999997</v>
          </cell>
          <cell r="AB14">
            <v>26.630000000000003</v>
          </cell>
          <cell r="AC14">
            <v>33.039999999999992</v>
          </cell>
          <cell r="AD14">
            <v>33.289000000000001</v>
          </cell>
          <cell r="AE14">
            <v>41.83</v>
          </cell>
          <cell r="AF14">
            <v>29.895000000000003</v>
          </cell>
          <cell r="AG14">
            <v>29.336190000000002</v>
          </cell>
          <cell r="AH14">
            <v>37.980360000000005</v>
          </cell>
          <cell r="AI14">
            <v>48.175600000000003</v>
          </cell>
          <cell r="AK14">
            <v>1.2889999999999997</v>
          </cell>
          <cell r="AL14">
            <v>4.6239999999999988</v>
          </cell>
          <cell r="AM14">
            <v>16.225999999999996</v>
          </cell>
          <cell r="AN14">
            <v>40.082999999999998</v>
          </cell>
          <cell r="AO14">
            <v>96.455000000000013</v>
          </cell>
          <cell r="AP14">
            <v>134.78900000000002</v>
          </cell>
          <cell r="AQ14">
            <v>145.38715000000002</v>
          </cell>
          <cell r="AR14">
            <v>174.35083200000003</v>
          </cell>
          <cell r="AS14">
            <v>205.73398176000001</v>
          </cell>
          <cell r="AT14">
            <v>239.06288680512</v>
          </cell>
          <cell r="AU14">
            <v>273.91825570130646</v>
          </cell>
          <cell r="AV14">
            <v>309.86180921443196</v>
          </cell>
          <cell r="AW14">
            <v>346.45586915903789</v>
          </cell>
          <cell r="AY14">
            <v>0.21814716721051794</v>
          </cell>
          <cell r="AZ14">
            <v>0.15137605536797141</v>
          </cell>
          <cell r="BA14">
            <v>0.18030807617790079</v>
          </cell>
          <cell r="BB14">
            <v>0.16251612184062489</v>
          </cell>
          <cell r="BC14">
            <v>0.14627109272231786</v>
          </cell>
          <cell r="BD14">
            <v>0.13164946159019011</v>
          </cell>
        </row>
        <row r="15">
          <cell r="I15" t="str">
            <v>Gross margin</v>
          </cell>
          <cell r="L15">
            <v>0.19053472649047329</v>
          </cell>
          <cell r="M15">
            <v>0.3155253837072019</v>
          </cell>
          <cell r="N15">
            <v>0.31927857665123072</v>
          </cell>
          <cell r="O15">
            <v>0.27245846240495641</v>
          </cell>
          <cell r="P15">
            <v>0.33609065155807361</v>
          </cell>
          <cell r="Q15">
            <v>0.30028083819399431</v>
          </cell>
          <cell r="R15">
            <v>0.35568884042166482</v>
          </cell>
          <cell r="S15">
            <v>0.35035483698842107</v>
          </cell>
          <cell r="T15">
            <v>0.36867817428930344</v>
          </cell>
          <cell r="U15">
            <v>0.39078718759745174</v>
          </cell>
          <cell r="V15">
            <v>0.39286990352931839</v>
          </cell>
          <cell r="W15">
            <v>0.39048887087904138</v>
          </cell>
          <cell r="X15">
            <v>0.39302131216046798</v>
          </cell>
          <cell r="Y15">
            <v>0.39355767500449879</v>
          </cell>
          <cell r="Z15">
            <v>0.40266021765417176</v>
          </cell>
          <cell r="AA15">
            <v>0.40606460118655241</v>
          </cell>
          <cell r="AB15">
            <v>0.4121015165583411</v>
          </cell>
          <cell r="AC15">
            <v>0.40629611411706829</v>
          </cell>
          <cell r="AD15">
            <v>0.38565089957019894</v>
          </cell>
          <cell r="AE15">
            <v>0.38204402228514017</v>
          </cell>
          <cell r="AF15">
            <v>0.41166345359405127</v>
          </cell>
          <cell r="AG15">
            <v>0.39</v>
          </cell>
          <cell r="AH15">
            <v>0.4</v>
          </cell>
          <cell r="AI15">
            <v>0.4</v>
          </cell>
          <cell r="AK15">
            <v>0.20522209839197575</v>
          </cell>
          <cell r="AL15">
            <v>0.28508014796547465</v>
          </cell>
          <cell r="AM15">
            <v>0.33925733879735714</v>
          </cell>
          <cell r="AN15">
            <v>0.38661046702289781</v>
          </cell>
          <cell r="AO15">
            <v>0.39972234309276644</v>
          </cell>
          <cell r="AP15">
            <v>0.39440934721096477</v>
          </cell>
          <cell r="AQ15">
            <v>0.4002609634808052</v>
          </cell>
          <cell r="AR15">
            <v>0.4</v>
          </cell>
          <cell r="AS15">
            <v>0.4</v>
          </cell>
          <cell r="AT15">
            <v>0.4</v>
          </cell>
          <cell r="AU15">
            <v>0.4</v>
          </cell>
          <cell r="AV15">
            <v>0.4</v>
          </cell>
          <cell r="AW15">
            <v>0.39999999999999997</v>
          </cell>
        </row>
        <row r="17">
          <cell r="I17" t="str">
            <v>Sales and marketing (ex-SBC)</v>
          </cell>
          <cell r="L17">
            <v>0.73399999999999999</v>
          </cell>
          <cell r="M17">
            <v>1.0569999999999999</v>
          </cell>
          <cell r="N17">
            <v>1.0720000000000001</v>
          </cell>
          <cell r="O17">
            <v>1.647</v>
          </cell>
          <cell r="P17">
            <v>2.0019999999999998</v>
          </cell>
          <cell r="Q17">
            <v>1.9119999999999999</v>
          </cell>
          <cell r="R17">
            <v>1.9810000000000001</v>
          </cell>
          <cell r="S17">
            <v>2.4849999999999999</v>
          </cell>
          <cell r="T17">
            <v>3.3689999999999998</v>
          </cell>
          <cell r="U17">
            <v>3.5419999999999998</v>
          </cell>
          <cell r="V17">
            <v>3.1539999999999999</v>
          </cell>
          <cell r="W17">
            <v>4.0590000000000002</v>
          </cell>
          <cell r="X17">
            <v>8.76</v>
          </cell>
          <cell r="Y17">
            <v>10.44</v>
          </cell>
          <cell r="Z17">
            <v>9.67</v>
          </cell>
          <cell r="AA17">
            <v>12.16</v>
          </cell>
          <cell r="AB17">
            <v>12.98</v>
          </cell>
          <cell r="AC17">
            <v>13.98</v>
          </cell>
          <cell r="AD17">
            <v>13.793000000000001</v>
          </cell>
          <cell r="AE17">
            <v>16.04</v>
          </cell>
          <cell r="AF17">
            <v>13.076000000000001</v>
          </cell>
          <cell r="AG17">
            <v>13.53978</v>
          </cell>
          <cell r="AH17">
            <v>13.7678805</v>
          </cell>
          <cell r="AI17">
            <v>16.861460000000001</v>
          </cell>
          <cell r="AK17">
            <v>3.4430000000000001</v>
          </cell>
          <cell r="AL17">
            <v>4.51</v>
          </cell>
          <cell r="AM17">
            <v>8.379999999999999</v>
          </cell>
          <cell r="AN17">
            <v>14.123999999999999</v>
          </cell>
          <cell r="AO17">
            <v>41.03</v>
          </cell>
          <cell r="AP17">
            <v>56.792999999999999</v>
          </cell>
          <cell r="AQ17">
            <v>57.245120500000006</v>
          </cell>
          <cell r="AR17">
            <v>61.022791200000007</v>
          </cell>
          <cell r="AS17">
            <v>64.291869300000002</v>
          </cell>
          <cell r="AT17">
            <v>65.742293871407995</v>
          </cell>
          <cell r="AU17">
            <v>65.055585729060283</v>
          </cell>
          <cell r="AV17">
            <v>61.972361842886386</v>
          </cell>
          <cell r="AW17">
            <v>69.291173831807583</v>
          </cell>
          <cell r="AY17">
            <v>0.14146741186431563</v>
          </cell>
          <cell r="AZ17">
            <v>4.2206428524007189E-2</v>
          </cell>
          <cell r="BA17">
            <v>4.7214048809595309E-2</v>
          </cell>
          <cell r="BB17">
            <v>2.1560693566395745E-2</v>
          </cell>
          <cell r="BC17">
            <v>-1.2173517463105202E-2</v>
          </cell>
          <cell r="BD17">
            <v>1.7679489477738456E-2</v>
          </cell>
        </row>
        <row r="18">
          <cell r="I18" t="str">
            <v>Technology and development (ex-SBC)</v>
          </cell>
          <cell r="L18">
            <v>0.218</v>
          </cell>
          <cell r="M18">
            <v>0.25700000000000001</v>
          </cell>
          <cell r="N18">
            <v>0.27500000000000002</v>
          </cell>
          <cell r="O18">
            <v>0.33300000000000002</v>
          </cell>
          <cell r="P18">
            <v>0.48599999999999999</v>
          </cell>
          <cell r="Q18">
            <v>0.55900000000000005</v>
          </cell>
          <cell r="R18">
            <v>0.52200000000000002</v>
          </cell>
          <cell r="S18">
            <v>0.59599999999999997</v>
          </cell>
          <cell r="T18">
            <v>0.64400000000000002</v>
          </cell>
          <cell r="U18">
            <v>0.91799999999999993</v>
          </cell>
          <cell r="V18">
            <v>1.133</v>
          </cell>
          <cell r="W18">
            <v>1.4790000000000001</v>
          </cell>
          <cell r="X18">
            <v>5.89</v>
          </cell>
          <cell r="Y18">
            <v>6.1</v>
          </cell>
          <cell r="Z18">
            <v>7.83</v>
          </cell>
          <cell r="AA18">
            <v>6.76</v>
          </cell>
          <cell r="AB18">
            <v>8.11</v>
          </cell>
          <cell r="AC18">
            <v>8.34</v>
          </cell>
          <cell r="AD18">
            <v>7.8840000000000003</v>
          </cell>
          <cell r="AE18">
            <v>8.9700000000000006</v>
          </cell>
          <cell r="AF18">
            <v>7.3390000000000004</v>
          </cell>
          <cell r="AG18">
            <v>6.0176800000000004</v>
          </cell>
          <cell r="AH18">
            <v>7.5960720000000004</v>
          </cell>
          <cell r="AI18">
            <v>9.6351200000000006</v>
          </cell>
          <cell r="AK18">
            <v>0.65900000000000003</v>
          </cell>
          <cell r="AL18">
            <v>1.083</v>
          </cell>
          <cell r="AM18">
            <v>2.1629999999999998</v>
          </cell>
          <cell r="AN18">
            <v>4.1739999999999995</v>
          </cell>
          <cell r="AO18">
            <v>26.58</v>
          </cell>
          <cell r="AP18">
            <v>33.304000000000002</v>
          </cell>
          <cell r="AQ18">
            <v>30.587872000000001</v>
          </cell>
          <cell r="AR18">
            <v>34.870166400000002</v>
          </cell>
          <cell r="AS18">
            <v>38.575121580000001</v>
          </cell>
          <cell r="AT18">
            <v>41.836005190895989</v>
          </cell>
          <cell r="AU18">
            <v>44.511716551462293</v>
          </cell>
          <cell r="AV18">
            <v>46.479271382164789</v>
          </cell>
          <cell r="AW18">
            <v>51.968380373855688</v>
          </cell>
          <cell r="AY18">
            <v>9.4711501714361046E-2</v>
          </cell>
          <cell r="AZ18">
            <v>5.019585993386106E-2</v>
          </cell>
          <cell r="BA18">
            <v>0.11002726950919078</v>
          </cell>
          <cell r="BB18">
            <v>8.4776098687515108E-2</v>
          </cell>
          <cell r="BC18">
            <v>6.410382085631175E-2</v>
          </cell>
          <cell r="BD18">
            <v>7.4969951371615093E-2</v>
          </cell>
        </row>
        <row r="19">
          <cell r="I19" t="str">
            <v>General and administrative (ex-SBC)</v>
          </cell>
          <cell r="L19">
            <v>1.4159999999999999</v>
          </cell>
          <cell r="M19">
            <v>1.4710000000000001</v>
          </cell>
          <cell r="N19">
            <v>1.585</v>
          </cell>
          <cell r="O19">
            <v>1.7529999999999999</v>
          </cell>
          <cell r="P19">
            <v>2.2229999999999999</v>
          </cell>
          <cell r="Q19">
            <v>2.3969999999999998</v>
          </cell>
          <cell r="R19">
            <v>2.6469999999999998</v>
          </cell>
          <cell r="S19">
            <v>4.9960000000000004</v>
          </cell>
          <cell r="T19">
            <v>3.8319999999999999</v>
          </cell>
          <cell r="U19">
            <v>4.5330000000000004</v>
          </cell>
          <cell r="V19">
            <v>5.21</v>
          </cell>
          <cell r="W19">
            <v>7.0510000000000002</v>
          </cell>
          <cell r="X19">
            <v>8.68</v>
          </cell>
          <cell r="Y19">
            <v>9.69</v>
          </cell>
          <cell r="Z19">
            <v>8.7800000000000011</v>
          </cell>
          <cell r="AA19">
            <v>10.7</v>
          </cell>
          <cell r="AB19">
            <v>11.590000000000002</v>
          </cell>
          <cell r="AC19">
            <v>12.569999999999999</v>
          </cell>
          <cell r="AD19">
            <v>12.452999999999999</v>
          </cell>
          <cell r="AE19">
            <v>12.209999999999999</v>
          </cell>
          <cell r="AF19">
            <v>18.085999999999999</v>
          </cell>
          <cell r="AG19">
            <v>16.54862</v>
          </cell>
          <cell r="AH19">
            <v>15.192144000000001</v>
          </cell>
          <cell r="AI19">
            <v>14.452680000000001</v>
          </cell>
          <cell r="AK19">
            <v>5.577</v>
          </cell>
          <cell r="AL19">
            <v>6.2249999999999996</v>
          </cell>
          <cell r="AM19">
            <v>12.263</v>
          </cell>
          <cell r="AN19">
            <v>20.625999999999998</v>
          </cell>
          <cell r="AO19">
            <v>37.849999999999994</v>
          </cell>
          <cell r="AP19">
            <v>48.823</v>
          </cell>
          <cell r="AQ19">
            <v>64.279443999999998</v>
          </cell>
          <cell r="AR19">
            <v>56.664020400000005</v>
          </cell>
          <cell r="AS19">
            <v>61.720194528000007</v>
          </cell>
          <cell r="AT19">
            <v>65.742293871408009</v>
          </cell>
          <cell r="AU19">
            <v>68.47956392532663</v>
          </cell>
          <cell r="AV19">
            <v>69.718907073247195</v>
          </cell>
          <cell r="AW19">
            <v>69.291173831807612</v>
          </cell>
          <cell r="AY19">
            <v>0.14396788826083837</v>
          </cell>
          <cell r="AZ19">
            <v>8.1270301804842834E-2</v>
          </cell>
          <cell r="BA19">
            <v>7.5290584056381784E-3</v>
          </cell>
          <cell r="BB19">
            <v>6.516740202804179E-2</v>
          </cell>
          <cell r="BC19">
            <v>4.1456403776961422E-2</v>
          </cell>
          <cell r="BD19">
            <v>1.7679489477738453E-2</v>
          </cell>
        </row>
        <row r="20">
          <cell r="I20" t="str">
            <v>Stock-based compensation</v>
          </cell>
          <cell r="L20">
            <v>3.3000000000000002E-2</v>
          </cell>
          <cell r="M20">
            <v>0.04</v>
          </cell>
          <cell r="N20">
            <v>7.0000000000000007E-2</v>
          </cell>
          <cell r="O20">
            <v>6.9000000000000006E-2</v>
          </cell>
          <cell r="P20">
            <v>7.6999999999999999E-2</v>
          </cell>
          <cell r="Q20">
            <v>0.115</v>
          </cell>
          <cell r="R20">
            <v>9.7000000000000003E-2</v>
          </cell>
          <cell r="S20">
            <v>0.123</v>
          </cell>
          <cell r="T20">
            <v>0.10199999999999999</v>
          </cell>
          <cell r="U20">
            <v>0.39700000000000002</v>
          </cell>
          <cell r="V20">
            <v>0.60599999999999998</v>
          </cell>
          <cell r="W20">
            <v>0.72799999999999998</v>
          </cell>
          <cell r="X20">
            <v>1.23</v>
          </cell>
          <cell r="Y20">
            <v>1.1000000000000001</v>
          </cell>
          <cell r="Z20">
            <v>3.35</v>
          </cell>
          <cell r="AA20">
            <v>2.33</v>
          </cell>
          <cell r="AB20">
            <v>1.77</v>
          </cell>
          <cell r="AC20">
            <v>3.62</v>
          </cell>
          <cell r="AD20">
            <v>1.86</v>
          </cell>
          <cell r="AE20">
            <v>2.25</v>
          </cell>
          <cell r="AF20">
            <v>3.7720000000000002</v>
          </cell>
          <cell r="AG20">
            <v>4</v>
          </cell>
          <cell r="AH20">
            <v>4</v>
          </cell>
          <cell r="AI20">
            <v>4</v>
          </cell>
          <cell r="AK20">
            <v>0.129</v>
          </cell>
          <cell r="AL20">
            <v>0.21200000000000002</v>
          </cell>
          <cell r="AM20">
            <v>0.41200000000000003</v>
          </cell>
          <cell r="AN20">
            <v>1.833</v>
          </cell>
          <cell r="AO20">
            <v>8.01</v>
          </cell>
          <cell r="AP20">
            <v>9.5</v>
          </cell>
          <cell r="AQ20">
            <v>15.772</v>
          </cell>
          <cell r="AR20">
            <v>15.255697800000002</v>
          </cell>
          <cell r="AS20">
            <v>16.715886018000003</v>
          </cell>
          <cell r="AT20">
            <v>17.929716510384001</v>
          </cell>
          <cell r="AU20">
            <v>20.543869177597983</v>
          </cell>
          <cell r="AV20">
            <v>23.239635691082395</v>
          </cell>
          <cell r="AW20">
            <v>25.984190186927844</v>
          </cell>
          <cell r="AY20">
            <v>0.2395570517540192</v>
          </cell>
          <cell r="AZ20">
            <v>0.20726311479204809</v>
          </cell>
          <cell r="BA20">
            <v>4.3667640595357403E-2</v>
          </cell>
          <cell r="BB20">
            <v>0.1042906318411693</v>
          </cell>
          <cell r="BC20">
            <v>0.11609193920269505</v>
          </cell>
          <cell r="BD20">
            <v>0.1316494615901902</v>
          </cell>
        </row>
        <row r="21">
          <cell r="I21" t="str">
            <v>Non-recurring items</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0.36</v>
          </cell>
          <cell r="AC21">
            <v>0.37</v>
          </cell>
          <cell r="AD21">
            <v>3.14</v>
          </cell>
          <cell r="AE21">
            <v>12.38</v>
          </cell>
          <cell r="AF21">
            <v>0.52400000000000002</v>
          </cell>
          <cell r="AG21">
            <v>0</v>
          </cell>
          <cell r="AH21">
            <v>0</v>
          </cell>
          <cell r="AI21">
            <v>0</v>
          </cell>
          <cell r="AK21">
            <v>0</v>
          </cell>
          <cell r="AL21">
            <v>0</v>
          </cell>
          <cell r="AM21">
            <v>0</v>
          </cell>
          <cell r="AN21">
            <v>0</v>
          </cell>
          <cell r="AO21">
            <v>0</v>
          </cell>
          <cell r="AP21">
            <v>16.25</v>
          </cell>
          <cell r="AQ21">
            <v>0.52400000000000002</v>
          </cell>
          <cell r="AR21">
            <v>0</v>
          </cell>
          <cell r="AS21">
            <v>0</v>
          </cell>
          <cell r="AT21">
            <v>0</v>
          </cell>
          <cell r="AU21">
            <v>0</v>
          </cell>
          <cell r="AV21">
            <v>0</v>
          </cell>
          <cell r="AW21">
            <v>0</v>
          </cell>
        </row>
        <row r="22">
          <cell r="I22" t="str">
            <v>Depreciation (included in expense lines)</v>
          </cell>
          <cell r="L22">
            <v>5.5555555555555219E-4</v>
          </cell>
          <cell r="M22">
            <v>1.1111111111111044E-3</v>
          </cell>
          <cell r="N22">
            <v>5.9259259259259248E-3</v>
          </cell>
          <cell r="O22">
            <v>7.0370370370370083E-3</v>
          </cell>
          <cell r="P22">
            <v>1.4074074074074072E-2</v>
          </cell>
          <cell r="Q22">
            <v>1.4259259259259256E-2</v>
          </cell>
          <cell r="R22">
            <v>1.8148148148148149E-2</v>
          </cell>
          <cell r="S22">
            <v>7.2037037037037024E-2</v>
          </cell>
          <cell r="T22">
            <v>4.7962962962962964E-2</v>
          </cell>
          <cell r="U22">
            <v>0.12444444444444444</v>
          </cell>
          <cell r="V22">
            <v>0.15300000000000005</v>
          </cell>
          <cell r="W22">
            <v>0.23699999999999993</v>
          </cell>
          <cell r="X22">
            <v>0.4830000000000001</v>
          </cell>
          <cell r="Y22">
            <v>0.56399999999999995</v>
          </cell>
          <cell r="Z22">
            <v>0.69399999999999995</v>
          </cell>
          <cell r="AA22">
            <v>0.94300000000000006</v>
          </cell>
          <cell r="AB22">
            <v>1.1839999999999999</v>
          </cell>
          <cell r="AC22">
            <v>1.3499999999999999</v>
          </cell>
          <cell r="AD22">
            <v>1.5499999999999998</v>
          </cell>
          <cell r="AE22">
            <v>1.4700000000000002</v>
          </cell>
          <cell r="AF22">
            <v>1.6460000000000004</v>
          </cell>
          <cell r="AG22">
            <v>1.5</v>
          </cell>
          <cell r="AH22">
            <v>1.5</v>
          </cell>
          <cell r="AI22">
            <v>1.5</v>
          </cell>
          <cell r="AK22">
            <v>6.7222222222222211E-2</v>
          </cell>
          <cell r="AL22">
            <v>1.462962962962959E-2</v>
          </cell>
          <cell r="AM22">
            <v>0.1185185185185185</v>
          </cell>
          <cell r="AN22">
            <v>0.56240740740740747</v>
          </cell>
          <cell r="AO22">
            <v>2.6840000000000002</v>
          </cell>
          <cell r="AP22">
            <v>5.5540000000000003</v>
          </cell>
          <cell r="AQ22">
            <v>6.1460000000000008</v>
          </cell>
          <cell r="AR22">
            <v>4.3587708000000003</v>
          </cell>
          <cell r="AS22">
            <v>4.7575983282000003</v>
          </cell>
          <cell r="AT22">
            <v>5.0800863446087989</v>
          </cell>
          <cell r="AU22">
            <v>5.3071662042128116</v>
          </cell>
          <cell r="AV22">
            <v>5.8099089227705987</v>
          </cell>
          <cell r="AW22">
            <v>6.4960475467319609</v>
          </cell>
        </row>
        <row r="23">
          <cell r="I23" t="str">
            <v>Amortization (included in expense lines)</v>
          </cell>
          <cell r="L23">
            <v>3.344444444444445E-2</v>
          </cell>
          <cell r="M23">
            <v>3.2888888888888891E-2</v>
          </cell>
          <cell r="N23">
            <v>3.0074074074074073E-2</v>
          </cell>
          <cell r="O23">
            <v>3.4962962962962967E-2</v>
          </cell>
          <cell r="P23">
            <v>2.792592592592593E-2</v>
          </cell>
          <cell r="Q23">
            <v>3.0740740740740742E-2</v>
          </cell>
          <cell r="R23">
            <v>3.585185185185185E-2</v>
          </cell>
          <cell r="S23">
            <v>9.9629629629629651E-3</v>
          </cell>
          <cell r="T23">
            <v>4.0037037037037031E-2</v>
          </cell>
          <cell r="U23">
            <v>2.3555555555555552E-2</v>
          </cell>
          <cell r="V23">
            <v>6.6999999999999948E-2</v>
          </cell>
          <cell r="W23">
            <v>6.6000000000000059E-2</v>
          </cell>
          <cell r="X23">
            <v>6.6999999999999948E-2</v>
          </cell>
          <cell r="Y23">
            <v>6.6000000000000059E-2</v>
          </cell>
          <cell r="Z23">
            <v>6.6000000000000059E-2</v>
          </cell>
          <cell r="AA23">
            <v>6.6999999999999948E-2</v>
          </cell>
          <cell r="AB23">
            <v>6.6000000000000059E-2</v>
          </cell>
          <cell r="AC23">
            <v>0.1</v>
          </cell>
          <cell r="AD23">
            <v>0.1</v>
          </cell>
          <cell r="AE23">
            <v>1.5</v>
          </cell>
          <cell r="AF23">
            <v>2.2999999999999998</v>
          </cell>
          <cell r="AG23">
            <v>2.2999999999999998</v>
          </cell>
          <cell r="AH23">
            <v>2.2999999999999998</v>
          </cell>
          <cell r="AI23">
            <v>2.2999999999999998</v>
          </cell>
          <cell r="AK23">
            <v>3.8777777777777786E-2</v>
          </cell>
          <cell r="AL23">
            <v>0.13137037037037039</v>
          </cell>
          <cell r="AM23">
            <v>0.10448148148148149</v>
          </cell>
          <cell r="AN23">
            <v>0.1965925925925926</v>
          </cell>
          <cell r="AO23">
            <v>0.26600000000000001</v>
          </cell>
          <cell r="AP23">
            <v>1.766</v>
          </cell>
          <cell r="AQ23">
            <v>9.1999999999999993</v>
          </cell>
          <cell r="AR23">
            <v>10</v>
          </cell>
          <cell r="AS23">
            <v>10</v>
          </cell>
          <cell r="AT23">
            <v>10</v>
          </cell>
          <cell r="AU23">
            <v>10</v>
          </cell>
          <cell r="AV23">
            <v>10</v>
          </cell>
          <cell r="AW23">
            <v>10</v>
          </cell>
        </row>
        <row r="24">
          <cell r="I24" t="str">
            <v>Total operating expenses (adjusted)</v>
          </cell>
          <cell r="L24">
            <v>2.3345555555555553</v>
          </cell>
          <cell r="M24">
            <v>2.7521111111111112</v>
          </cell>
          <cell r="N24">
            <v>2.901925925925926</v>
          </cell>
          <cell r="O24">
            <v>3.6980370370370368</v>
          </cell>
          <cell r="P24">
            <v>4.6830740740740735</v>
          </cell>
          <cell r="Q24">
            <v>4.8372592592592598</v>
          </cell>
          <cell r="R24">
            <v>5.1141481481481481</v>
          </cell>
          <cell r="S24">
            <v>8.0670370370370375</v>
          </cell>
          <cell r="T24">
            <v>7.8049629629629624</v>
          </cell>
          <cell r="U24">
            <v>8.969444444444445</v>
          </cell>
          <cell r="V24">
            <v>9.43</v>
          </cell>
          <cell r="W24">
            <v>12.523</v>
          </cell>
          <cell r="X24">
            <v>23.262999999999998</v>
          </cell>
          <cell r="Y24">
            <v>26.163999999999998</v>
          </cell>
          <cell r="Z24">
            <v>26.214000000000002</v>
          </cell>
          <cell r="AA24">
            <v>29.553000000000001</v>
          </cell>
          <cell r="AB24">
            <v>32.613999999999997</v>
          </cell>
          <cell r="AC24">
            <v>34.79</v>
          </cell>
          <cell r="AD24">
            <v>34.029999999999994</v>
          </cell>
          <cell r="AE24">
            <v>35.72</v>
          </cell>
          <cell r="AF24">
            <v>36.201000000000001</v>
          </cell>
          <cell r="AG24">
            <v>33.806080000000001</v>
          </cell>
          <cell r="AH24">
            <v>34.256096500000005</v>
          </cell>
          <cell r="AI24">
            <v>38.649260000000005</v>
          </cell>
          <cell r="AK24">
            <v>9.6402222222222225</v>
          </cell>
          <cell r="AL24">
            <v>11.686629629629628</v>
          </cell>
          <cell r="AM24">
            <v>22.701518518518515</v>
          </cell>
          <cell r="AN24">
            <v>38.727407407407398</v>
          </cell>
          <cell r="AO24">
            <v>105.19399999999999</v>
          </cell>
          <cell r="AP24">
            <v>137.15400000000002</v>
          </cell>
          <cell r="AQ24">
            <v>142.91243650000001</v>
          </cell>
          <cell r="AR24">
            <v>142.55697800000002</v>
          </cell>
          <cell r="AS24">
            <v>154.58718540800001</v>
          </cell>
          <cell r="AT24">
            <v>163.32059293371199</v>
          </cell>
          <cell r="AU24">
            <v>168.0468662058492</v>
          </cell>
          <cell r="AV24">
            <v>168.17054029829836</v>
          </cell>
          <cell r="AW24">
            <v>180.55072803747089</v>
          </cell>
          <cell r="AY24">
            <v>0.10662166983913325</v>
          </cell>
          <cell r="AZ24">
            <v>4.0690693038435456E-2</v>
          </cell>
          <cell r="BA24">
            <v>4.5499047462018473E-2</v>
          </cell>
          <cell r="BB24">
            <v>5.6364940877985978E-2</v>
          </cell>
          <cell r="BC24">
            <v>2.8471219881232489E-2</v>
          </cell>
          <cell r="BD24">
            <v>3.3997364971777126E-2</v>
          </cell>
        </row>
        <row r="25">
          <cell r="I25" t="str">
            <v>Total operating expenses (GAAP)</v>
          </cell>
          <cell r="L25">
            <v>2.4009999999999998</v>
          </cell>
          <cell r="M25">
            <v>2.8250000000000002</v>
          </cell>
          <cell r="N25">
            <v>3.0019999999999998</v>
          </cell>
          <cell r="O25">
            <v>3.8019999999999996</v>
          </cell>
          <cell r="P25">
            <v>4.7879999999999994</v>
          </cell>
          <cell r="Q25">
            <v>4.9830000000000005</v>
          </cell>
          <cell r="R25">
            <v>5.2470000000000008</v>
          </cell>
          <cell r="S25">
            <v>8.1999999999999993</v>
          </cell>
          <cell r="T25">
            <v>7.9470000000000001</v>
          </cell>
          <cell r="U25">
            <v>9.39</v>
          </cell>
          <cell r="V25">
            <v>10.103</v>
          </cell>
          <cell r="W25">
            <v>13.317</v>
          </cell>
          <cell r="X25">
            <v>24.56</v>
          </cell>
          <cell r="Y25">
            <v>27.33</v>
          </cell>
          <cell r="Z25">
            <v>29.630000000000003</v>
          </cell>
          <cell r="AA25">
            <v>31.950000000000003</v>
          </cell>
          <cell r="AB25">
            <v>34.81</v>
          </cell>
          <cell r="AC25">
            <v>38.879999999999995</v>
          </cell>
          <cell r="AD25">
            <v>39.129999999999995</v>
          </cell>
          <cell r="AE25">
            <v>51.85</v>
          </cell>
          <cell r="AF25">
            <v>42.796999999999997</v>
          </cell>
          <cell r="AG25">
            <v>40.106079999999999</v>
          </cell>
          <cell r="AH25">
            <v>40.556096500000002</v>
          </cell>
          <cell r="AI25">
            <v>44.949260000000002</v>
          </cell>
          <cell r="AK25">
            <v>9.8079999999999998</v>
          </cell>
          <cell r="AL25">
            <v>12.03</v>
          </cell>
          <cell r="AM25">
            <v>23.217999999999996</v>
          </cell>
          <cell r="AN25">
            <v>40.756999999999991</v>
          </cell>
          <cell r="AO25">
            <v>113.47</v>
          </cell>
          <cell r="AP25">
            <v>164.67000000000002</v>
          </cell>
          <cell r="AQ25">
            <v>168.40843649999999</v>
          </cell>
          <cell r="AR25">
            <v>167.81267580000002</v>
          </cell>
          <cell r="AS25">
            <v>181.303071426</v>
          </cell>
          <cell r="AT25">
            <v>191.25030944409599</v>
          </cell>
          <cell r="AU25">
            <v>198.59073538344717</v>
          </cell>
          <cell r="AV25">
            <v>201.41017598938075</v>
          </cell>
          <cell r="AW25">
            <v>216.53491822439872</v>
          </cell>
          <cell r="AY25">
            <v>0.13932572239557731</v>
          </cell>
          <cell r="AZ25">
            <v>3.2595493441354199E-2</v>
          </cell>
          <cell r="BA25">
            <v>4.3308552557735365E-2</v>
          </cell>
          <cell r="BB25">
            <v>5.7737919413947743E-2</v>
          </cell>
          <cell r="BC25">
            <v>3.5679585411652975E-2</v>
          </cell>
          <cell r="BD25">
            <v>4.2258065478892909E-2</v>
          </cell>
        </row>
        <row r="26">
          <cell r="I26" t="str">
            <v>Operating income (adjusted)</v>
          </cell>
          <cell r="L26">
            <v>-2.0245555555555552</v>
          </cell>
          <cell r="M26">
            <v>-1.6831111111111112</v>
          </cell>
          <cell r="N26">
            <v>-1.5919259259259264</v>
          </cell>
          <cell r="O26">
            <v>-1.7630370370370363</v>
          </cell>
          <cell r="P26">
            <v>-1.7170740740740742</v>
          </cell>
          <cell r="Q26">
            <v>-2.0572592592592605</v>
          </cell>
          <cell r="R26">
            <v>-1.2001481481481484</v>
          </cell>
          <cell r="S26">
            <v>-1.5010370370370385</v>
          </cell>
          <cell r="T26">
            <v>0.11903703703703528</v>
          </cell>
          <cell r="U26">
            <v>-0.19744444444444653</v>
          </cell>
          <cell r="V26">
            <v>0.46600000000000108</v>
          </cell>
          <cell r="W26">
            <v>0.96799999999999997</v>
          </cell>
          <cell r="X26">
            <v>-4.4529999999999994</v>
          </cell>
          <cell r="Y26">
            <v>-4.2940000000000005</v>
          </cell>
          <cell r="Z26">
            <v>-1.2390000000000008</v>
          </cell>
          <cell r="AA26">
            <v>1.2469999999999963</v>
          </cell>
          <cell r="AB26">
            <v>-5.9839999999999947</v>
          </cell>
          <cell r="AC26">
            <v>-1.7500000000000071</v>
          </cell>
          <cell r="AD26">
            <v>-0.74099999999999255</v>
          </cell>
          <cell r="AE26">
            <v>6.1099999999999994</v>
          </cell>
          <cell r="AF26">
            <v>-6.3059999999999974</v>
          </cell>
          <cell r="AG26">
            <v>-4.4698899999999995</v>
          </cell>
          <cell r="AH26">
            <v>3.7242634999999993</v>
          </cell>
          <cell r="AI26">
            <v>9.5263399999999976</v>
          </cell>
          <cell r="AK26">
            <v>-8.3512222222222228</v>
          </cell>
          <cell r="AL26">
            <v>-7.0626296296296296</v>
          </cell>
          <cell r="AM26">
            <v>-6.4755185185185198</v>
          </cell>
          <cell r="AN26">
            <v>1.3555925925926005</v>
          </cell>
          <cell r="AO26">
            <v>-8.7389999999999759</v>
          </cell>
          <cell r="AP26">
            <v>-2.3650000000000091</v>
          </cell>
          <cell r="AQ26">
            <v>2.4747135000000071</v>
          </cell>
          <cell r="AR26">
            <v>31.79385400000001</v>
          </cell>
          <cell r="AS26">
            <v>51.146796351999996</v>
          </cell>
          <cell r="AT26">
            <v>75.742293871408009</v>
          </cell>
          <cell r="AU26">
            <v>105.87138949545727</v>
          </cell>
          <cell r="AV26">
            <v>141.69126891613359</v>
          </cell>
          <cell r="AW26">
            <v>165.905141121567</v>
          </cell>
          <cell r="AY26" t="str">
            <v>NM</v>
          </cell>
          <cell r="AZ26" t="str">
            <v>NM</v>
          </cell>
          <cell r="BA26">
            <v>2.1280319144694206</v>
          </cell>
          <cell r="BB26">
            <v>0.49329340057583848</v>
          </cell>
          <cell r="BC26">
            <v>0.40445625865558277</v>
          </cell>
          <cell r="BD26">
            <v>0.29869488549163914</v>
          </cell>
        </row>
        <row r="27">
          <cell r="I27" t="str">
            <v>Adjusted operating margin</v>
          </cell>
          <cell r="L27">
            <v>-1.2443488356211156</v>
          </cell>
          <cell r="M27">
            <v>-0.49678604224058776</v>
          </cell>
          <cell r="N27">
            <v>-0.38799072043039884</v>
          </cell>
          <cell r="O27">
            <v>-0.24824514742847595</v>
          </cell>
          <cell r="P27">
            <v>-0.19456930017836535</v>
          </cell>
          <cell r="Q27">
            <v>-0.22221422113407438</v>
          </cell>
          <cell r="R27">
            <v>-0.10906471720721088</v>
          </cell>
          <cell r="S27">
            <v>-8.0093753643724369E-2</v>
          </cell>
          <cell r="T27">
            <v>5.538409576933666E-3</v>
          </cell>
          <cell r="U27">
            <v>-8.7960281750098686E-3</v>
          </cell>
          <cell r="V27">
            <v>1.8500138949541511E-2</v>
          </cell>
          <cell r="W27">
            <v>2.8018177081825812E-2</v>
          </cell>
          <cell r="X27">
            <v>-9.3042206435436675E-2</v>
          </cell>
          <cell r="Y27">
            <v>-7.7271909303581077E-2</v>
          </cell>
          <cell r="Z27">
            <v>-1.9975816203143905E-2</v>
          </cell>
          <cell r="AA27">
            <v>1.6440342781806148E-2</v>
          </cell>
          <cell r="AB27">
            <v>-9.2602909316001153E-2</v>
          </cell>
          <cell r="AC27">
            <v>-2.1519921298573625E-2</v>
          </cell>
          <cell r="AD27">
            <v>-8.5844367983872912E-3</v>
          </cell>
          <cell r="AE27">
            <v>5.5804183030413734E-2</v>
          </cell>
          <cell r="AF27">
            <v>-8.6835582484164106E-2</v>
          </cell>
          <cell r="AG27">
            <v>-5.9423432286196662E-2</v>
          </cell>
          <cell r="AH27">
            <v>3.9223045805779608E-2</v>
          </cell>
          <cell r="AI27">
            <v>7.9096804191333345E-2</v>
          </cell>
          <cell r="AK27">
            <v>-1.3296007359054647</v>
          </cell>
          <cell r="AL27">
            <v>-0.43542722747408324</v>
          </cell>
          <cell r="AM27">
            <v>-0.1353917897156168</v>
          </cell>
          <cell r="AN27">
            <v>1.3075026452985208E-2</v>
          </cell>
          <cell r="AO27">
            <v>-3.6215577795735587E-2</v>
          </cell>
          <cell r="AP27">
            <v>-6.9202835999520379E-3</v>
          </cell>
          <cell r="AQ27">
            <v>6.8130588559508756E-3</v>
          </cell>
          <cell r="AR27">
            <v>7.2942247846571814E-2</v>
          </cell>
          <cell r="AS27">
            <v>9.9442582920823544E-2</v>
          </cell>
          <cell r="AT27">
            <v>0.12673199907127675</v>
          </cell>
          <cell r="AU27">
            <v>0.15460289672829181</v>
          </cell>
          <cell r="AV27">
            <v>0.18290898032946007</v>
          </cell>
          <cell r="AW27">
            <v>0.1915454819966228</v>
          </cell>
        </row>
        <row r="28">
          <cell r="I28" t="str">
            <v>Operating income (GAAP)</v>
          </cell>
          <cell r="L28">
            <v>-2.0909999999999997</v>
          </cell>
          <cell r="M28">
            <v>-1.7560000000000002</v>
          </cell>
          <cell r="N28">
            <v>-1.6920000000000002</v>
          </cell>
          <cell r="O28">
            <v>-1.8669999999999991</v>
          </cell>
          <cell r="P28">
            <v>-1.8220000000000001</v>
          </cell>
          <cell r="Q28">
            <v>-2.2030000000000012</v>
          </cell>
          <cell r="R28">
            <v>-1.3330000000000011</v>
          </cell>
          <cell r="S28">
            <v>-1.6340000000000003</v>
          </cell>
          <cell r="T28">
            <v>-2.3000000000002352E-2</v>
          </cell>
          <cell r="U28">
            <v>-0.6180000000000021</v>
          </cell>
          <cell r="V28">
            <v>-0.20699999999999896</v>
          </cell>
          <cell r="W28">
            <v>0.17399999999999949</v>
          </cell>
          <cell r="X28">
            <v>-5.75</v>
          </cell>
          <cell r="Y28">
            <v>-5.4600000000000009</v>
          </cell>
          <cell r="Z28">
            <v>-4.6550000000000011</v>
          </cell>
          <cell r="AA28">
            <v>-1.1500000000000057</v>
          </cell>
          <cell r="AB28">
            <v>-8.18</v>
          </cell>
          <cell r="AC28">
            <v>-5.8400000000000034</v>
          </cell>
          <cell r="AD28">
            <v>-5.840999999999994</v>
          </cell>
          <cell r="AE28">
            <v>-10.020000000000003</v>
          </cell>
          <cell r="AF28">
            <v>-12.901999999999994</v>
          </cell>
          <cell r="AG28">
            <v>-10.769889999999997</v>
          </cell>
          <cell r="AH28">
            <v>-2.5757364999999979</v>
          </cell>
          <cell r="AI28">
            <v>3.2263400000000004</v>
          </cell>
          <cell r="AK28">
            <v>-8.5190000000000001</v>
          </cell>
          <cell r="AL28">
            <v>-7.4060000000000006</v>
          </cell>
          <cell r="AM28">
            <v>-6.9920000000000009</v>
          </cell>
          <cell r="AN28">
            <v>-0.67399999999999238</v>
          </cell>
          <cell r="AO28">
            <v>-17.014999999999986</v>
          </cell>
          <cell r="AP28">
            <v>-29.881</v>
          </cell>
          <cell r="AQ28">
            <v>-23.021286499999974</v>
          </cell>
          <cell r="AR28">
            <v>6.5381562000000031</v>
          </cell>
          <cell r="AS28">
            <v>24.430910334000004</v>
          </cell>
          <cell r="AT28">
            <v>47.812577361024012</v>
          </cell>
          <cell r="AU28">
            <v>75.327520317859296</v>
          </cell>
          <cell r="AV28">
            <v>108.45163322505121</v>
          </cell>
          <cell r="AW28">
            <v>129.92095093463917</v>
          </cell>
          <cell r="AY28" t="str">
            <v>NM</v>
          </cell>
          <cell r="AZ28" t="str">
            <v>NM</v>
          </cell>
          <cell r="BA28" t="str">
            <v>NM</v>
          </cell>
          <cell r="BB28">
            <v>1.2585660366838958</v>
          </cell>
          <cell r="BC28">
            <v>0.64348400716176324</v>
          </cell>
          <cell r="BD28">
            <v>0.39544378304073552</v>
          </cell>
        </row>
        <row r="29">
          <cell r="I29" t="str">
            <v>GAAP operating margin</v>
          </cell>
          <cell r="L29">
            <v>-1.2851874615857404</v>
          </cell>
          <cell r="M29">
            <v>-0.51829988193624565</v>
          </cell>
          <cell r="N29">
            <v>-0.41238118449914701</v>
          </cell>
          <cell r="O29">
            <v>-0.26288369473387763</v>
          </cell>
          <cell r="P29">
            <v>-0.20645892351274789</v>
          </cell>
          <cell r="Q29">
            <v>-0.23795636206524101</v>
          </cell>
          <cell r="R29">
            <v>-0.12113776808433308</v>
          </cell>
          <cell r="S29">
            <v>-8.7188517154901043E-2</v>
          </cell>
          <cell r="T29">
            <v>-1.070115851672747E-3</v>
          </cell>
          <cell r="U29">
            <v>-2.7531518688466261E-2</v>
          </cell>
          <cell r="V29">
            <v>-8.2178728810194512E-3</v>
          </cell>
          <cell r="W29">
            <v>5.0363252192537986E-3</v>
          </cell>
          <cell r="X29">
            <v>-0.12014208106978688</v>
          </cell>
          <cell r="Y29">
            <v>-9.8254453842001099E-2</v>
          </cell>
          <cell r="Z29">
            <v>-7.5050382910116911E-2</v>
          </cell>
          <cell r="AA29">
            <v>-1.5161502966381092E-2</v>
          </cell>
          <cell r="AB29">
            <v>-0.12658619622407921</v>
          </cell>
          <cell r="AC29">
            <v>-7.1815051647811171E-2</v>
          </cell>
          <cell r="AD29">
            <v>-6.7667605046397586E-2</v>
          </cell>
          <cell r="AE29">
            <v>-9.1515206868207175E-2</v>
          </cell>
          <cell r="AF29">
            <v>-0.17766455521894786</v>
          </cell>
          <cell r="AG29">
            <v>-0.14317663950226661</v>
          </cell>
          <cell r="AH29">
            <v>-2.7127036183964531E-2</v>
          </cell>
          <cell r="AI29">
            <v>2.678816662376805E-2</v>
          </cell>
          <cell r="AK29">
            <v>-1.3563126890622512</v>
          </cell>
          <cell r="AL29">
            <v>-0.4565967940813811</v>
          </cell>
          <cell r="AM29">
            <v>-0.14619051601572303</v>
          </cell>
          <cell r="AN29">
            <v>-6.5008970080440631E-3</v>
          </cell>
          <cell r="AO29">
            <v>-7.0512422038498931E-2</v>
          </cell>
          <cell r="AP29">
            <v>-8.743551553918226E-2</v>
          </cell>
          <cell r="AQ29">
            <v>-6.3379207275592389E-2</v>
          </cell>
          <cell r="AR29">
            <v>1.5000000000000006E-2</v>
          </cell>
          <cell r="AS29">
            <v>4.7500000000000007E-2</v>
          </cell>
          <cell r="AT29">
            <v>8.0000000000000029E-2</v>
          </cell>
          <cell r="AU29">
            <v>0.11000000000000003</v>
          </cell>
          <cell r="AV29">
            <v>0.14000000000000004</v>
          </cell>
          <cell r="AW29">
            <v>0.14999999999999994</v>
          </cell>
        </row>
        <row r="31">
          <cell r="I31" t="str">
            <v>Adjusted EBITDA</v>
          </cell>
          <cell r="L31">
            <v>-2.0239999999999996</v>
          </cell>
          <cell r="M31">
            <v>-1.6820000000000002</v>
          </cell>
          <cell r="N31">
            <v>-1.5860000000000005</v>
          </cell>
          <cell r="O31">
            <v>-1.7559999999999993</v>
          </cell>
          <cell r="P31">
            <v>-1.7030000000000001</v>
          </cell>
          <cell r="Q31">
            <v>-2.043000000000001</v>
          </cell>
          <cell r="R31">
            <v>-1.1820000000000002</v>
          </cell>
          <cell r="S31">
            <v>-1.4290000000000014</v>
          </cell>
          <cell r="T31">
            <v>0.16699999999999823</v>
          </cell>
          <cell r="U31">
            <v>-9.9000000000002086E-2</v>
          </cell>
          <cell r="V31">
            <v>0.6190000000000011</v>
          </cell>
          <cell r="W31">
            <v>1.2049999999999998</v>
          </cell>
          <cell r="X31">
            <v>-4.8999999999999995</v>
          </cell>
          <cell r="Y31">
            <v>-3.6100000000000003</v>
          </cell>
          <cell r="Z31">
            <v>-0.54500000000000082</v>
          </cell>
          <cell r="AA31">
            <v>2.1899999999999964</v>
          </cell>
          <cell r="AB31">
            <v>-4.7999999999999945</v>
          </cell>
          <cell r="AC31">
            <v>-0.40000000000000724</v>
          </cell>
          <cell r="AD31">
            <v>0.80900000000000727</v>
          </cell>
          <cell r="AE31">
            <v>7.58</v>
          </cell>
          <cell r="AF31">
            <v>-4.6599999999999966</v>
          </cell>
          <cell r="AG31">
            <v>-2.9698899999999995</v>
          </cell>
          <cell r="AH31">
            <v>5.2242634999999993</v>
          </cell>
          <cell r="AI31">
            <v>11.026339999999998</v>
          </cell>
          <cell r="AK31">
            <v>-8.2840000000000007</v>
          </cell>
          <cell r="AL31">
            <v>-7.048</v>
          </cell>
          <cell r="AM31">
            <v>-6.3570000000000011</v>
          </cell>
          <cell r="AN31">
            <v>1.8920000000000079</v>
          </cell>
          <cell r="AO31">
            <v>-6.6749999999999758</v>
          </cell>
          <cell r="AP31">
            <v>3.5189999999999912</v>
          </cell>
          <cell r="AQ31">
            <v>8.6207135000000079</v>
          </cell>
          <cell r="AR31">
            <v>36.152624800000012</v>
          </cell>
          <cell r="AS31">
            <v>55.904394680199999</v>
          </cell>
          <cell r="AT31">
            <v>80.822380216016811</v>
          </cell>
          <cell r="AU31">
            <v>111.17855569967007</v>
          </cell>
          <cell r="AV31">
            <v>147.5011778389042</v>
          </cell>
          <cell r="AW31">
            <v>172.40118866829897</v>
          </cell>
          <cell r="AY31" t="str">
            <v>NM</v>
          </cell>
          <cell r="AZ31">
            <v>1.5138665981685862</v>
          </cell>
          <cell r="BA31">
            <v>1.1086094154062542</v>
          </cell>
          <cell r="BB31">
            <v>0.45420979191117777</v>
          </cell>
          <cell r="BC31">
            <v>0.38181482033973757</v>
          </cell>
          <cell r="BD31">
            <v>0.28726967926599195</v>
          </cell>
        </row>
        <row r="32">
          <cell r="I32" t="str">
            <v>Adjusted EBITDA margin</v>
          </cell>
          <cell r="L32">
            <v>-1.2440073755377994</v>
          </cell>
          <cell r="M32">
            <v>-0.49645808736717834</v>
          </cell>
          <cell r="N32">
            <v>-0.38654642944187195</v>
          </cell>
          <cell r="O32">
            <v>-0.24725429456491119</v>
          </cell>
          <cell r="P32">
            <v>-0.1929745042492918</v>
          </cell>
          <cell r="Q32">
            <v>-0.22067401166558664</v>
          </cell>
          <cell r="R32">
            <v>-0.10741548527808072</v>
          </cell>
          <cell r="S32">
            <v>-7.6249933301318046E-2</v>
          </cell>
          <cell r="T32">
            <v>7.7699716186664606E-3</v>
          </cell>
          <cell r="U32">
            <v>-4.4103889161136046E-3</v>
          </cell>
          <cell r="V32">
            <v>2.4574218905077657E-2</v>
          </cell>
          <cell r="W32">
            <v>3.4877999363223243E-2</v>
          </cell>
          <cell r="X32">
            <v>-0.10238194734642707</v>
          </cell>
          <cell r="Y32">
            <v>-6.496310959150621E-2</v>
          </cell>
          <cell r="Z32">
            <v>-8.7867795243853422E-3</v>
          </cell>
          <cell r="AA32">
            <v>2.8872775214238585E-2</v>
          </cell>
          <cell r="AB32">
            <v>-7.4280408542246892E-2</v>
          </cell>
          <cell r="AC32">
            <v>-4.918839153959755E-3</v>
          </cell>
          <cell r="AD32">
            <v>9.3722123750275988E-3</v>
          </cell>
          <cell r="AE32">
            <v>6.9230066672755511E-2</v>
          </cell>
          <cell r="AF32">
            <v>-6.4169650234095238E-2</v>
          </cell>
          <cell r="AG32">
            <v>-3.9482192472846671E-2</v>
          </cell>
          <cell r="AH32">
            <v>5.5020684374766315E-2</v>
          </cell>
          <cell r="AI32">
            <v>9.1551241707420322E-2</v>
          </cell>
          <cell r="AK32">
            <v>-1.3188982646075467</v>
          </cell>
          <cell r="AL32">
            <v>-0.43452527743526514</v>
          </cell>
          <cell r="AM32">
            <v>-0.13291377435811663</v>
          </cell>
          <cell r="AN32">
            <v>1.8248808811898453E-2</v>
          </cell>
          <cell r="AO32">
            <v>-2.7662087399763682E-2</v>
          </cell>
          <cell r="AP32">
            <v>1.0297030861831319E-2</v>
          </cell>
          <cell r="AQ32">
            <v>2.3733425487754502E-2</v>
          </cell>
          <cell r="AR32">
            <v>8.2942247846571809E-2</v>
          </cell>
          <cell r="AS32">
            <v>0.10869258292082355</v>
          </cell>
          <cell r="AT32">
            <v>0.13523199907127675</v>
          </cell>
          <cell r="AU32">
            <v>0.16235289672829178</v>
          </cell>
          <cell r="AV32">
            <v>0.19040898032946008</v>
          </cell>
          <cell r="AW32">
            <v>0.19904548199662281</v>
          </cell>
        </row>
        <row r="33">
          <cell r="I33" t="str">
            <v>Incremental EBITDA margin</v>
          </cell>
          <cell r="L33" t="str">
            <v>NA</v>
          </cell>
          <cell r="M33" t="str">
            <v>NA</v>
          </cell>
          <cell r="N33" t="str">
            <v>NA</v>
          </cell>
          <cell r="O33" t="str">
            <v>NA</v>
          </cell>
          <cell r="P33">
            <v>4.4595721033620382E-2</v>
          </cell>
          <cell r="Q33">
            <v>-6.1499148211243769E-2</v>
          </cell>
          <cell r="R33">
            <v>5.8542240255035558E-2</v>
          </cell>
          <cell r="S33">
            <v>2.8095197181888305E-2</v>
          </cell>
          <cell r="T33">
            <v>0.1476160404167981</v>
          </cell>
          <cell r="U33">
            <v>0.14739555690348011</v>
          </cell>
          <cell r="V33">
            <v>0.12696510398308081</v>
          </cell>
          <cell r="W33">
            <v>0.16662449392712558</v>
          </cell>
          <cell r="X33">
            <v>-0.19217203322334728</v>
          </cell>
          <cell r="Y33">
            <v>-0.10599885276092134</v>
          </cell>
          <cell r="Z33">
            <v>-3.159952220653714E-2</v>
          </cell>
          <cell r="AA33">
            <v>2.3849301469697989E-2</v>
          </cell>
          <cell r="AB33">
            <v>5.9665871121721325E-3</v>
          </cell>
          <cell r="AC33">
            <v>0.12466019417475704</v>
          </cell>
          <cell r="AD33">
            <v>5.5733926072281545E-2</v>
          </cell>
          <cell r="AE33">
            <v>0.16022592152199774</v>
          </cell>
          <cell r="AF33">
            <v>1.7499999999999738E-2</v>
          </cell>
          <cell r="AG33">
            <v>0.42136251844564626</v>
          </cell>
          <cell r="AH33">
            <v>0.51150540437215342</v>
          </cell>
          <cell r="AI33">
            <v>0.31476299205406827</v>
          </cell>
          <cell r="AL33">
            <v>0.12435858738303658</v>
          </cell>
          <cell r="AM33">
            <v>2.1861554036952641E-2</v>
          </cell>
          <cell r="AN33">
            <v>0.14769919427036721</v>
          </cell>
          <cell r="AO33">
            <v>-6.2247960065975307E-2</v>
          </cell>
          <cell r="AP33">
            <v>0.10148938712118161</v>
          </cell>
          <cell r="AQ33">
            <v>0.23748893254321163</v>
          </cell>
          <cell r="AR33">
            <v>0.3789863596406583</v>
          </cell>
          <cell r="AS33">
            <v>0.25174999999999992</v>
          </cell>
          <cell r="AT33">
            <v>0.29905555555555591</v>
          </cell>
          <cell r="AU33">
            <v>0.34836728395061722</v>
          </cell>
          <cell r="AV33">
            <v>0.40421848803536059</v>
          </cell>
          <cell r="AW33">
            <v>0.27217543904215052</v>
          </cell>
        </row>
        <row r="35">
          <cell r="I35" t="str">
            <v>Interest &amp; other income / (expense) (adjusted)</v>
          </cell>
          <cell r="L35">
            <v>-3.5999999999999997E-2</v>
          </cell>
          <cell r="M35">
            <v>-0.04</v>
          </cell>
          <cell r="N35">
            <v>-3.5999999999999997E-2</v>
          </cell>
          <cell r="O35">
            <v>-3.2000000000000001E-2</v>
          </cell>
          <cell r="P35">
            <v>-1.7000000000000001E-2</v>
          </cell>
          <cell r="Q35">
            <v>2E-3</v>
          </cell>
          <cell r="R35">
            <v>0</v>
          </cell>
          <cell r="S35">
            <v>-9.1999999999999998E-2</v>
          </cell>
          <cell r="T35">
            <v>0</v>
          </cell>
          <cell r="U35">
            <v>-1.0000000000000009E-3</v>
          </cell>
          <cell r="V35">
            <v>-3.6999999999999998E-2</v>
          </cell>
          <cell r="W35">
            <v>-3.5000000000000003E-2</v>
          </cell>
          <cell r="X35">
            <v>-0.20000000000000018</v>
          </cell>
          <cell r="Y35">
            <v>-7.9999999999999988E-2</v>
          </cell>
          <cell r="Z35">
            <v>-0.23</v>
          </cell>
          <cell r="AA35">
            <v>-0.26</v>
          </cell>
          <cell r="AB35">
            <v>-0.21</v>
          </cell>
          <cell r="AC35">
            <v>-0.22</v>
          </cell>
          <cell r="AD35">
            <v>-0.24</v>
          </cell>
          <cell r="AE35">
            <v>-0.22</v>
          </cell>
          <cell r="AF35">
            <v>-2.8000000000000001E-2</v>
          </cell>
          <cell r="AG35">
            <v>6.1274374999999943E-2</v>
          </cell>
          <cell r="AH35">
            <v>5.7730601221721585E-2</v>
          </cell>
          <cell r="AI35">
            <v>5.3052966025279605E-2</v>
          </cell>
          <cell r="AK35">
            <v>0.16</v>
          </cell>
          <cell r="AL35">
            <v>-0.14399999999999999</v>
          </cell>
          <cell r="AM35">
            <v>-0.107</v>
          </cell>
          <cell r="AN35">
            <v>-7.3000000000000009E-2</v>
          </cell>
          <cell r="AO35">
            <v>-0.77000000000000013</v>
          </cell>
          <cell r="AP35">
            <v>-0.8899999999999999</v>
          </cell>
          <cell r="AQ35">
            <v>0.14405794224700114</v>
          </cell>
          <cell r="AR35">
            <v>0.82068813836193844</v>
          </cell>
          <cell r="AS35">
            <v>1.0319393661137222</v>
          </cell>
          <cell r="AT35">
            <v>1.3646932508883947</v>
          </cell>
          <cell r="AU35">
            <v>1.8662379859971197</v>
          </cell>
          <cell r="AV35">
            <v>2.5788979745538803</v>
          </cell>
          <cell r="AW35">
            <v>3.5396049710415198</v>
          </cell>
        </row>
        <row r="36">
          <cell r="I36" t="str">
            <v>Non-recurring benefit / (expense)</v>
          </cell>
          <cell r="L36">
            <v>0</v>
          </cell>
          <cell r="M36">
            <v>0</v>
          </cell>
          <cell r="N36">
            <v>0</v>
          </cell>
          <cell r="O36">
            <v>0</v>
          </cell>
          <cell r="P36">
            <v>0</v>
          </cell>
          <cell r="Q36">
            <v>0</v>
          </cell>
          <cell r="R36">
            <v>0</v>
          </cell>
          <cell r="S36">
            <v>0</v>
          </cell>
          <cell r="T36">
            <v>0</v>
          </cell>
          <cell r="U36">
            <v>-2.5999999999999999E-2</v>
          </cell>
          <cell r="V36">
            <v>0</v>
          </cell>
          <cell r="W36">
            <v>0</v>
          </cell>
          <cell r="X36">
            <v>-0.92999999999999994</v>
          </cell>
          <cell r="Y36">
            <v>0.12</v>
          </cell>
          <cell r="Z36">
            <v>0.03</v>
          </cell>
          <cell r="AA36">
            <v>0.16</v>
          </cell>
          <cell r="AB36">
            <v>0.14000000000000001</v>
          </cell>
          <cell r="AC36">
            <v>-0.03</v>
          </cell>
          <cell r="AD36">
            <v>-0.14000000000000001</v>
          </cell>
          <cell r="AE36">
            <v>0.36</v>
          </cell>
          <cell r="AF36">
            <v>0</v>
          </cell>
          <cell r="AG36">
            <v>0</v>
          </cell>
          <cell r="AH36">
            <v>0</v>
          </cell>
          <cell r="AI36">
            <v>0</v>
          </cell>
          <cell r="AK36">
            <v>0</v>
          </cell>
          <cell r="AL36">
            <v>0</v>
          </cell>
          <cell r="AM36">
            <v>0</v>
          </cell>
          <cell r="AN36">
            <v>-2.5999999999999999E-2</v>
          </cell>
          <cell r="AO36">
            <v>-0.61999999999999988</v>
          </cell>
          <cell r="AP36">
            <v>0.32999999999999996</v>
          </cell>
          <cell r="AQ36">
            <v>0</v>
          </cell>
          <cell r="AR36">
            <v>0</v>
          </cell>
          <cell r="AS36">
            <v>0</v>
          </cell>
          <cell r="AT36">
            <v>0</v>
          </cell>
          <cell r="AU36">
            <v>0</v>
          </cell>
          <cell r="AV36">
            <v>0</v>
          </cell>
          <cell r="AW36">
            <v>0</v>
          </cell>
        </row>
        <row r="37">
          <cell r="I37" t="str">
            <v>Interest &amp; other income / (expense) (GAAP)</v>
          </cell>
          <cell r="L37">
            <v>-3.5999999999999997E-2</v>
          </cell>
          <cell r="M37">
            <v>-0.04</v>
          </cell>
          <cell r="N37">
            <v>-3.5999999999999997E-2</v>
          </cell>
          <cell r="O37">
            <v>-3.2000000000000001E-2</v>
          </cell>
          <cell r="P37">
            <v>-1.7000000000000001E-2</v>
          </cell>
          <cell r="Q37">
            <v>2E-3</v>
          </cell>
          <cell r="R37">
            <v>0</v>
          </cell>
          <cell r="S37">
            <v>-9.1999999999999998E-2</v>
          </cell>
          <cell r="T37">
            <v>0</v>
          </cell>
          <cell r="U37">
            <v>-2.7E-2</v>
          </cell>
          <cell r="V37">
            <v>-3.6999999999999998E-2</v>
          </cell>
          <cell r="W37">
            <v>-3.5000000000000003E-2</v>
          </cell>
          <cell r="X37">
            <v>-1.1300000000000001</v>
          </cell>
          <cell r="Y37">
            <v>4.0000000000000008E-2</v>
          </cell>
          <cell r="Z37">
            <v>-0.2</v>
          </cell>
          <cell r="AA37">
            <v>-0.1</v>
          </cell>
          <cell r="AB37">
            <v>-6.9999999999999979E-2</v>
          </cell>
          <cell r="AC37">
            <v>-0.25</v>
          </cell>
          <cell r="AD37">
            <v>-0.38</v>
          </cell>
          <cell r="AE37">
            <v>0.13999999999999999</v>
          </cell>
          <cell r="AF37">
            <v>-2.8000000000000001E-2</v>
          </cell>
          <cell r="AG37">
            <v>6.1274374999999943E-2</v>
          </cell>
          <cell r="AH37">
            <v>5.7730601221721585E-2</v>
          </cell>
          <cell r="AI37">
            <v>5.3052966025279605E-2</v>
          </cell>
          <cell r="AK37">
            <v>0.16</v>
          </cell>
          <cell r="AL37">
            <v>-0.14399999999999999</v>
          </cell>
          <cell r="AM37">
            <v>-0.107</v>
          </cell>
          <cell r="AN37">
            <v>-9.9000000000000005E-2</v>
          </cell>
          <cell r="AO37">
            <v>-1.3900000000000001</v>
          </cell>
          <cell r="AP37">
            <v>-0.55999999999999994</v>
          </cell>
          <cell r="AQ37">
            <v>0.14405794224700114</v>
          </cell>
          <cell r="AR37">
            <v>0.82068813836193844</v>
          </cell>
          <cell r="AS37">
            <v>1.0319393661137222</v>
          </cell>
          <cell r="AT37">
            <v>1.3646932508883947</v>
          </cell>
          <cell r="AU37">
            <v>1.8662379859971197</v>
          </cell>
          <cell r="AV37">
            <v>2.5788979745538803</v>
          </cell>
          <cell r="AW37">
            <v>3.5396049710415198</v>
          </cell>
        </row>
        <row r="38">
          <cell r="I38" t="str">
            <v>Pre-tax income (adjusted)</v>
          </cell>
          <cell r="L38">
            <v>-2.0605555555555553</v>
          </cell>
          <cell r="M38">
            <v>-1.7231111111111113</v>
          </cell>
          <cell r="N38">
            <v>-1.6279259259259264</v>
          </cell>
          <cell r="O38">
            <v>-1.7950370370370363</v>
          </cell>
          <cell r="P38">
            <v>-1.7340740740740741</v>
          </cell>
          <cell r="Q38">
            <v>-2.0552592592592607</v>
          </cell>
          <cell r="R38">
            <v>-1.2001481481481484</v>
          </cell>
          <cell r="S38">
            <v>-1.5930370370370386</v>
          </cell>
          <cell r="T38">
            <v>0.11903703703703528</v>
          </cell>
          <cell r="U38">
            <v>-0.19844444444444653</v>
          </cell>
          <cell r="V38">
            <v>0.4290000000000011</v>
          </cell>
          <cell r="W38">
            <v>0.93299999999999994</v>
          </cell>
          <cell r="X38">
            <v>-4.6529999999999996</v>
          </cell>
          <cell r="Y38">
            <v>-4.3740000000000006</v>
          </cell>
          <cell r="Z38">
            <v>-1.4690000000000007</v>
          </cell>
          <cell r="AA38">
            <v>0.98699999999999632</v>
          </cell>
          <cell r="AB38">
            <v>-6.1939999999999946</v>
          </cell>
          <cell r="AC38">
            <v>-1.9700000000000071</v>
          </cell>
          <cell r="AD38">
            <v>-0.98099999999999254</v>
          </cell>
          <cell r="AE38">
            <v>5.89</v>
          </cell>
          <cell r="AF38">
            <v>-6.333999999999997</v>
          </cell>
          <cell r="AG38">
            <v>-4.4086156249999995</v>
          </cell>
          <cell r="AH38">
            <v>3.7819941012217209</v>
          </cell>
          <cell r="AI38">
            <v>9.5793929660252779</v>
          </cell>
          <cell r="AK38">
            <v>-8.1912222222222226</v>
          </cell>
          <cell r="AL38">
            <v>-7.2066296296296297</v>
          </cell>
          <cell r="AM38">
            <v>-6.58251851851852</v>
          </cell>
          <cell r="AN38">
            <v>1.2825925925926005</v>
          </cell>
          <cell r="AO38">
            <v>-9.5089999999999755</v>
          </cell>
          <cell r="AP38">
            <v>-3.2550000000000088</v>
          </cell>
          <cell r="AQ38">
            <v>2.6187714422470081</v>
          </cell>
          <cell r="AR38">
            <v>32.614542138361948</v>
          </cell>
          <cell r="AS38">
            <v>52.178735718113721</v>
          </cell>
          <cell r="AT38">
            <v>77.106987122296403</v>
          </cell>
          <cell r="AU38">
            <v>107.73762748145438</v>
          </cell>
          <cell r="AV38">
            <v>144.27016689068748</v>
          </cell>
          <cell r="AW38">
            <v>169.44474609260851</v>
          </cell>
          <cell r="AY38" t="str">
            <v>NM</v>
          </cell>
          <cell r="AZ38" t="str">
            <v>NM</v>
          </cell>
          <cell r="BA38">
            <v>2.0879152988706675</v>
          </cell>
          <cell r="BB38">
            <v>0.48931091995013226</v>
          </cell>
          <cell r="BC38">
            <v>0.40354926377010225</v>
          </cell>
          <cell r="BD38">
            <v>0.30010408992470122</v>
          </cell>
        </row>
        <row r="39">
          <cell r="I39" t="str">
            <v>Pre-tax income (GAAP)</v>
          </cell>
          <cell r="L39">
            <v>-2.1269999999999998</v>
          </cell>
          <cell r="M39">
            <v>-1.7960000000000003</v>
          </cell>
          <cell r="N39">
            <v>-1.7280000000000002</v>
          </cell>
          <cell r="O39">
            <v>-1.8989999999999991</v>
          </cell>
          <cell r="P39">
            <v>-1.839</v>
          </cell>
          <cell r="Q39">
            <v>-2.2010000000000014</v>
          </cell>
          <cell r="R39">
            <v>-1.3330000000000011</v>
          </cell>
          <cell r="S39">
            <v>-1.7260000000000004</v>
          </cell>
          <cell r="T39">
            <v>-2.3000000000002352E-2</v>
          </cell>
          <cell r="U39">
            <v>-0.64500000000000213</v>
          </cell>
          <cell r="V39">
            <v>-0.24399999999999897</v>
          </cell>
          <cell r="W39">
            <v>0.13899999999999949</v>
          </cell>
          <cell r="X39">
            <v>-6.88</v>
          </cell>
          <cell r="Y39">
            <v>-5.4200000000000008</v>
          </cell>
          <cell r="Z39">
            <v>-4.8550000000000013</v>
          </cell>
          <cell r="AA39">
            <v>-1.2500000000000058</v>
          </cell>
          <cell r="AB39">
            <v>-8.25</v>
          </cell>
          <cell r="AC39">
            <v>-6.0900000000000034</v>
          </cell>
          <cell r="AD39">
            <v>-6.2209999999999939</v>
          </cell>
          <cell r="AE39">
            <v>-9.8800000000000026</v>
          </cell>
          <cell r="AF39">
            <v>-12.929999999999994</v>
          </cell>
          <cell r="AG39">
            <v>-10.708615624999997</v>
          </cell>
          <cell r="AH39">
            <v>-2.5180058987782763</v>
          </cell>
          <cell r="AI39">
            <v>3.2793929660252799</v>
          </cell>
          <cell r="AK39">
            <v>-8.359</v>
          </cell>
          <cell r="AL39">
            <v>-7.5500000000000007</v>
          </cell>
          <cell r="AM39">
            <v>-7.0990000000000011</v>
          </cell>
          <cell r="AN39">
            <v>-0.77299999999999236</v>
          </cell>
          <cell r="AO39">
            <v>-18.404999999999987</v>
          </cell>
          <cell r="AP39">
            <v>-30.440999999999999</v>
          </cell>
          <cell r="AQ39">
            <v>-22.877228557752971</v>
          </cell>
          <cell r="AR39">
            <v>7.3588443383619415</v>
          </cell>
          <cell r="AS39">
            <v>25.462849700113726</v>
          </cell>
          <cell r="AT39">
            <v>49.177270611912405</v>
          </cell>
          <cell r="AU39">
            <v>77.193758303856413</v>
          </cell>
          <cell r="AV39">
            <v>111.03053119960509</v>
          </cell>
          <cell r="AW39">
            <v>133.46055590568068</v>
          </cell>
          <cell r="AY39" t="str">
            <v>NM</v>
          </cell>
          <cell r="AZ39" t="str">
            <v>NM</v>
          </cell>
          <cell r="BA39" t="str">
            <v>NM</v>
          </cell>
          <cell r="BB39">
            <v>1.1890592832904949</v>
          </cell>
          <cell r="BC39">
            <v>0.63372317736141082</v>
          </cell>
          <cell r="BD39">
            <v>0.39485641058313292</v>
          </cell>
        </row>
        <row r="41">
          <cell r="I41" t="str">
            <v>Income tax (expense) / benefit (adjusted)</v>
          </cell>
          <cell r="L41">
            <v>0</v>
          </cell>
          <cell r="M41">
            <v>0</v>
          </cell>
          <cell r="N41">
            <v>0</v>
          </cell>
          <cell r="O41">
            <v>0</v>
          </cell>
          <cell r="P41">
            <v>0</v>
          </cell>
          <cell r="Q41">
            <v>0</v>
          </cell>
          <cell r="R41">
            <v>0</v>
          </cell>
          <cell r="S41">
            <v>-2.1999999999999999E-2</v>
          </cell>
          <cell r="T41">
            <v>-4.761481481481411E-2</v>
          </cell>
          <cell r="U41">
            <v>0.49299999999999999</v>
          </cell>
          <cell r="V41">
            <v>-0.17160000000000045</v>
          </cell>
          <cell r="W41">
            <v>-0.37319999999999998</v>
          </cell>
          <cell r="X41">
            <v>0</v>
          </cell>
          <cell r="Y41">
            <v>0</v>
          </cell>
          <cell r="Z41">
            <v>-0.04</v>
          </cell>
          <cell r="AA41">
            <v>-0.39479999999999854</v>
          </cell>
          <cell r="AB41">
            <v>-0.02</v>
          </cell>
          <cell r="AC41">
            <v>-0.02</v>
          </cell>
          <cell r="AD41">
            <v>0.01</v>
          </cell>
          <cell r="AE41">
            <v>-2.3559999999999999</v>
          </cell>
          <cell r="AF41">
            <v>-1.7000000000000001E-2</v>
          </cell>
          <cell r="AG41">
            <v>0</v>
          </cell>
          <cell r="AH41">
            <v>-1.5127976404886885</v>
          </cell>
          <cell r="AI41">
            <v>-3.8317571864101114</v>
          </cell>
          <cell r="AK41">
            <v>0</v>
          </cell>
          <cell r="AL41">
            <v>0</v>
          </cell>
          <cell r="AM41">
            <v>-2.1999999999999999E-2</v>
          </cell>
          <cell r="AN41">
            <v>-9.9414814814814512E-2</v>
          </cell>
          <cell r="AO41">
            <v>-0.43479999999999852</v>
          </cell>
          <cell r="AP41">
            <v>-2.3859999999999997</v>
          </cell>
          <cell r="AQ41">
            <v>-5.3615548268988</v>
          </cell>
          <cell r="AR41">
            <v>-12.39352601257754</v>
          </cell>
          <cell r="AS41">
            <v>-18.784344858520939</v>
          </cell>
          <cell r="AT41">
            <v>-26.98744549280374</v>
          </cell>
          <cell r="AU41">
            <v>-37.708169618509032</v>
          </cell>
          <cell r="AV41">
            <v>-50.494558411740613</v>
          </cell>
          <cell r="AW41">
            <v>-59.305661132412972</v>
          </cell>
        </row>
        <row r="42">
          <cell r="I42" t="str">
            <v>Tax rate (adjusted)</v>
          </cell>
          <cell r="L42">
            <v>0.4</v>
          </cell>
          <cell r="M42">
            <v>0.4</v>
          </cell>
          <cell r="N42">
            <v>0.4</v>
          </cell>
          <cell r="O42">
            <v>0.4</v>
          </cell>
          <cell r="P42">
            <v>0.4</v>
          </cell>
          <cell r="Q42">
            <v>0.4</v>
          </cell>
          <cell r="R42">
            <v>0.4</v>
          </cell>
          <cell r="S42">
            <v>0.4</v>
          </cell>
          <cell r="T42">
            <v>0.4</v>
          </cell>
          <cell r="U42">
            <v>0.4</v>
          </cell>
          <cell r="V42">
            <v>0.4</v>
          </cell>
          <cell r="W42">
            <v>0.4</v>
          </cell>
          <cell r="X42">
            <v>0.4</v>
          </cell>
          <cell r="Y42">
            <v>0.4</v>
          </cell>
          <cell r="Z42">
            <v>0.4</v>
          </cell>
          <cell r="AA42">
            <v>0.4</v>
          </cell>
          <cell r="AB42">
            <v>0.4</v>
          </cell>
          <cell r="AC42">
            <v>0.4</v>
          </cell>
          <cell r="AD42">
            <v>0.4</v>
          </cell>
          <cell r="AE42">
            <v>0.4</v>
          </cell>
          <cell r="AF42">
            <v>0.4</v>
          </cell>
          <cell r="AG42">
            <v>0.4</v>
          </cell>
          <cell r="AH42">
            <v>0.4</v>
          </cell>
          <cell r="AI42">
            <v>0.4</v>
          </cell>
          <cell r="AK42">
            <v>0</v>
          </cell>
          <cell r="AL42">
            <v>0</v>
          </cell>
          <cell r="AM42">
            <v>-3.3421858120273669E-3</v>
          </cell>
          <cell r="AN42">
            <v>7.7510828761189005E-2</v>
          </cell>
          <cell r="AO42">
            <v>0.4</v>
          </cell>
          <cell r="AP42">
            <v>-0.73302611367127291</v>
          </cell>
          <cell r="AQ42">
            <v>2.0473550079263032</v>
          </cell>
          <cell r="AR42">
            <v>0.38</v>
          </cell>
          <cell r="AS42">
            <v>0.36</v>
          </cell>
          <cell r="AT42">
            <v>0.35</v>
          </cell>
          <cell r="AU42">
            <v>0.35</v>
          </cell>
          <cell r="AV42">
            <v>0.35</v>
          </cell>
          <cell r="AW42">
            <v>0.35</v>
          </cell>
        </row>
        <row r="43">
          <cell r="I43" t="str">
            <v>Income tax (expense) / benefit (GAAP)</v>
          </cell>
          <cell r="L43">
            <v>0</v>
          </cell>
          <cell r="M43">
            <v>0</v>
          </cell>
          <cell r="N43">
            <v>0</v>
          </cell>
          <cell r="O43">
            <v>0</v>
          </cell>
          <cell r="P43">
            <v>0</v>
          </cell>
          <cell r="Q43">
            <v>0</v>
          </cell>
          <cell r="R43">
            <v>0</v>
          </cell>
          <cell r="S43">
            <v>-2.1999999999999999E-2</v>
          </cell>
          <cell r="T43">
            <v>0</v>
          </cell>
          <cell r="U43">
            <v>0.49299999999999999</v>
          </cell>
          <cell r="V43">
            <v>2E-3</v>
          </cell>
          <cell r="W43">
            <v>-8.9999999999999993E-3</v>
          </cell>
          <cell r="X43">
            <v>0</v>
          </cell>
          <cell r="Y43">
            <v>0</v>
          </cell>
          <cell r="Z43">
            <v>-0.04</v>
          </cell>
          <cell r="AA43">
            <v>-0.02</v>
          </cell>
          <cell r="AB43">
            <v>-0.02</v>
          </cell>
          <cell r="AC43">
            <v>-0.02</v>
          </cell>
          <cell r="AD43">
            <v>0.01</v>
          </cell>
          <cell r="AE43">
            <v>0.08</v>
          </cell>
          <cell r="AF43">
            <v>-1.7000000000000001E-2</v>
          </cell>
          <cell r="AG43">
            <v>0</v>
          </cell>
          <cell r="AH43">
            <v>0</v>
          </cell>
          <cell r="AI43">
            <v>-1.3117571864101121</v>
          </cell>
          <cell r="AK43">
            <v>0</v>
          </cell>
          <cell r="AL43">
            <v>0</v>
          </cell>
          <cell r="AM43">
            <v>-2.1999999999999999E-2</v>
          </cell>
          <cell r="AN43">
            <v>0.48599999999999999</v>
          </cell>
          <cell r="AO43">
            <v>-0.06</v>
          </cell>
          <cell r="AP43">
            <v>0.05</v>
          </cell>
          <cell r="AQ43">
            <v>-1.328757186410112</v>
          </cell>
          <cell r="AR43">
            <v>-2.796360848577538</v>
          </cell>
          <cell r="AS43">
            <v>-9.1666258920409405</v>
          </cell>
          <cell r="AT43">
            <v>-17.212044714169341</v>
          </cell>
          <cell r="AU43">
            <v>-27.017815406349744</v>
          </cell>
          <cell r="AV43">
            <v>-38.86068591986178</v>
          </cell>
          <cell r="AW43">
            <v>-46.711194566988233</v>
          </cell>
        </row>
        <row r="44">
          <cell r="I44" t="str">
            <v>Tax rate (GAAP)</v>
          </cell>
          <cell r="L44">
            <v>0</v>
          </cell>
          <cell r="M44">
            <v>0</v>
          </cell>
          <cell r="N44">
            <v>0</v>
          </cell>
          <cell r="O44">
            <v>0</v>
          </cell>
          <cell r="P44">
            <v>0</v>
          </cell>
          <cell r="Q44">
            <v>0</v>
          </cell>
          <cell r="R44">
            <v>0</v>
          </cell>
          <cell r="S44">
            <v>-1.2746234067207412E-2</v>
          </cell>
          <cell r="T44">
            <v>0</v>
          </cell>
          <cell r="U44">
            <v>0.76434108527131528</v>
          </cell>
          <cell r="V44">
            <v>8.196721311475445E-3</v>
          </cell>
          <cell r="W44">
            <v>6.4748201438849157E-2</v>
          </cell>
          <cell r="X44">
            <v>0</v>
          </cell>
          <cell r="Y44">
            <v>0</v>
          </cell>
          <cell r="Z44">
            <v>-8.2389289392378971E-3</v>
          </cell>
          <cell r="AA44">
            <v>-1.5999999999999927E-2</v>
          </cell>
          <cell r="AB44">
            <v>-2.4242424242424242E-3</v>
          </cell>
          <cell r="AC44">
            <v>-3.2840722495894891E-3</v>
          </cell>
          <cell r="AD44">
            <v>1.6074586079408472E-3</v>
          </cell>
          <cell r="AE44">
            <v>8.0971659919028324E-3</v>
          </cell>
          <cell r="AF44">
            <v>-1.3147718484145404E-3</v>
          </cell>
          <cell r="AG44">
            <v>0</v>
          </cell>
          <cell r="AH44">
            <v>0</v>
          </cell>
          <cell r="AI44">
            <v>0.4</v>
          </cell>
          <cell r="AK44">
            <v>0</v>
          </cell>
          <cell r="AL44">
            <v>0</v>
          </cell>
          <cell r="AM44">
            <v>-3.0990280321171989E-3</v>
          </cell>
          <cell r="AN44">
            <v>0.62871927554981211</v>
          </cell>
          <cell r="AO44">
            <v>-3.2599837000815016E-3</v>
          </cell>
          <cell r="AP44">
            <v>1.6425215991590291E-3</v>
          </cell>
          <cell r="AQ44">
            <v>-5.8082087305973223E-2</v>
          </cell>
          <cell r="AR44">
            <v>0.38</v>
          </cell>
          <cell r="AS44">
            <v>0.36</v>
          </cell>
          <cell r="AT44">
            <v>0.35</v>
          </cell>
          <cell r="AU44">
            <v>0.35</v>
          </cell>
          <cell r="AV44">
            <v>0.35</v>
          </cell>
          <cell r="AW44">
            <v>0.35</v>
          </cell>
        </row>
        <row r="45">
          <cell r="I45" t="str">
            <v>Net income (adjusted)</v>
          </cell>
          <cell r="L45">
            <v>-2.0605555555555553</v>
          </cell>
          <cell r="M45">
            <v>-1.7231111111111113</v>
          </cell>
          <cell r="N45">
            <v>-1.6279259259259264</v>
          </cell>
          <cell r="O45">
            <v>-1.7950370370370363</v>
          </cell>
          <cell r="P45">
            <v>-1.7340740740740741</v>
          </cell>
          <cell r="Q45">
            <v>-2.0552592592592607</v>
          </cell>
          <cell r="R45">
            <v>-1.2001481481481484</v>
          </cell>
          <cell r="S45">
            <v>-1.6150370370370386</v>
          </cell>
          <cell r="T45">
            <v>7.1422222222221166E-2</v>
          </cell>
          <cell r="U45">
            <v>0.29455555555555346</v>
          </cell>
          <cell r="V45">
            <v>0.25740000000000063</v>
          </cell>
          <cell r="W45">
            <v>0.55979999999999996</v>
          </cell>
          <cell r="X45">
            <v>-4.6529999999999996</v>
          </cell>
          <cell r="Y45">
            <v>-4.3740000000000006</v>
          </cell>
          <cell r="Z45">
            <v>-1.5090000000000008</v>
          </cell>
          <cell r="AA45">
            <v>0.59219999999999784</v>
          </cell>
          <cell r="AB45">
            <v>-6.2139999999999942</v>
          </cell>
          <cell r="AC45">
            <v>-1.9900000000000071</v>
          </cell>
          <cell r="AD45">
            <v>-0.97099999999999254</v>
          </cell>
          <cell r="AE45">
            <v>3.5339999999999998</v>
          </cell>
          <cell r="AF45">
            <v>-6.3509999999999973</v>
          </cell>
          <cell r="AG45">
            <v>-4.4086156249999995</v>
          </cell>
          <cell r="AH45">
            <v>2.2691964607330322</v>
          </cell>
          <cell r="AI45">
            <v>5.747635779615166</v>
          </cell>
          <cell r="AK45">
            <v>-8.1912222222222226</v>
          </cell>
          <cell r="AL45">
            <v>-7.2066296296296297</v>
          </cell>
          <cell r="AM45">
            <v>-6.6045185185185202</v>
          </cell>
          <cell r="AN45">
            <v>1.1831777777777859</v>
          </cell>
          <cell r="AO45">
            <v>-9.9437999999999747</v>
          </cell>
          <cell r="AP45">
            <v>-5.6410000000000089</v>
          </cell>
          <cell r="AQ45">
            <v>-2.7427833846517919</v>
          </cell>
          <cell r="AR45">
            <v>20.221016125784409</v>
          </cell>
          <cell r="AS45">
            <v>33.394390859592782</v>
          </cell>
          <cell r="AT45">
            <v>50.119541629492659</v>
          </cell>
          <cell r="AU45">
            <v>70.02945786294535</v>
          </cell>
          <cell r="AV45">
            <v>93.775608478946864</v>
          </cell>
          <cell r="AW45">
            <v>110.13908496019553</v>
          </cell>
          <cell r="AY45" t="str">
            <v>NM</v>
          </cell>
          <cell r="AZ45" t="str">
            <v>NM</v>
          </cell>
          <cell r="BA45" t="str">
            <v>NM</v>
          </cell>
          <cell r="BB45">
            <v>0.51295471653277425</v>
          </cell>
          <cell r="BC45">
            <v>0.41082166957209648</v>
          </cell>
          <cell r="BD45">
            <v>0.30010408992470139</v>
          </cell>
        </row>
        <row r="46">
          <cell r="I46" t="str">
            <v>Net income (GAAP)</v>
          </cell>
          <cell r="L46">
            <v>-2.1269999999999998</v>
          </cell>
          <cell r="M46">
            <v>-1.7960000000000003</v>
          </cell>
          <cell r="N46">
            <v>-1.7280000000000002</v>
          </cell>
          <cell r="O46">
            <v>-1.8989999999999991</v>
          </cell>
          <cell r="P46">
            <v>-1.839</v>
          </cell>
          <cell r="Q46">
            <v>-2.2010000000000014</v>
          </cell>
          <cell r="R46">
            <v>-1.3330000000000011</v>
          </cell>
          <cell r="S46">
            <v>-1.7480000000000004</v>
          </cell>
          <cell r="T46">
            <v>-2.3000000000002352E-2</v>
          </cell>
          <cell r="U46">
            <v>-0.15200000000000213</v>
          </cell>
          <cell r="V46">
            <v>-0.24199999999999897</v>
          </cell>
          <cell r="W46">
            <v>0.12999999999999948</v>
          </cell>
          <cell r="X46">
            <v>-6.88</v>
          </cell>
          <cell r="Y46">
            <v>-5.4200000000000008</v>
          </cell>
          <cell r="Z46">
            <v>-4.8950000000000014</v>
          </cell>
          <cell r="AA46">
            <v>-1.2700000000000058</v>
          </cell>
          <cell r="AB46">
            <v>-8.27</v>
          </cell>
          <cell r="AC46">
            <v>-6.110000000000003</v>
          </cell>
          <cell r="AD46">
            <v>-6.2109999999999941</v>
          </cell>
          <cell r="AE46">
            <v>-9.8000000000000025</v>
          </cell>
          <cell r="AF46">
            <v>-12.946999999999994</v>
          </cell>
          <cell r="AG46">
            <v>-10.708615624999997</v>
          </cell>
          <cell r="AH46">
            <v>-2.5180058987782763</v>
          </cell>
          <cell r="AI46">
            <v>1.9676357796151678</v>
          </cell>
          <cell r="AK46">
            <v>-8.359</v>
          </cell>
          <cell r="AL46">
            <v>-7.5500000000000007</v>
          </cell>
          <cell r="AM46">
            <v>-7.1210000000000013</v>
          </cell>
          <cell r="AN46">
            <v>-0.28699999999999237</v>
          </cell>
          <cell r="AO46">
            <v>-18.464999999999986</v>
          </cell>
          <cell r="AP46">
            <v>-30.390999999999998</v>
          </cell>
          <cell r="AQ46">
            <v>-24.205985744163083</v>
          </cell>
          <cell r="AR46">
            <v>4.5624834897844035</v>
          </cell>
          <cell r="AS46">
            <v>16.296223808072785</v>
          </cell>
          <cell r="AT46">
            <v>31.965225897743064</v>
          </cell>
          <cell r="AU46">
            <v>50.175942897506673</v>
          </cell>
          <cell r="AV46">
            <v>72.169845279743313</v>
          </cell>
          <cell r="AW46">
            <v>86.749361338692438</v>
          </cell>
          <cell r="AY46" t="str">
            <v>NM</v>
          </cell>
          <cell r="AZ46" t="str">
            <v>NM</v>
          </cell>
          <cell r="BA46" t="str">
            <v>NM</v>
          </cell>
          <cell r="BB46">
            <v>1.2238120482827595</v>
          </cell>
          <cell r="BC46">
            <v>0.64218821540529458</v>
          </cell>
          <cell r="BD46">
            <v>0.39485641058313287</v>
          </cell>
        </row>
        <row r="48">
          <cell r="I48" t="str">
            <v>EPS (adjusted non-GAAP)</v>
          </cell>
          <cell r="L48">
            <v>-3.590624242522529E-2</v>
          </cell>
          <cell r="M48">
            <v>-3.0026099084949791E-2</v>
          </cell>
          <cell r="N48">
            <v>-2.8367448181151309E-2</v>
          </cell>
          <cell r="O48">
            <v>-3.1279445409921246E-2</v>
          </cell>
          <cell r="P48">
            <v>-3.0217134364142143E-2</v>
          </cell>
          <cell r="Q48">
            <v>-3.5813951732912797E-2</v>
          </cell>
          <cell r="R48">
            <v>-2.0913199955909061E-2</v>
          </cell>
          <cell r="S48">
            <v>-2.8142852650208963E-2</v>
          </cell>
          <cell r="T48">
            <v>9.8718743586706861E-4</v>
          </cell>
          <cell r="U48">
            <v>4.0713035041748894E-3</v>
          </cell>
          <cell r="V48">
            <v>3.5268920172539914E-3</v>
          </cell>
          <cell r="W48">
            <v>7.8057570679401196E-3</v>
          </cell>
          <cell r="X48">
            <v>-7.2294109777976442E-2</v>
          </cell>
          <cell r="Y48">
            <v>-5.9890504712372228E-2</v>
          </cell>
          <cell r="Z48">
            <v>-1.9987135119550099E-2</v>
          </cell>
          <cell r="AA48">
            <v>7.117788461538435E-3</v>
          </cell>
          <cell r="AB48">
            <v>-7.87409556876211E-2</v>
          </cell>
          <cell r="AC48">
            <v>-2.5014770027528908E-2</v>
          </cell>
          <cell r="AD48">
            <v>-9.1584359428712857E-3</v>
          </cell>
          <cell r="AE48">
            <v>3.2596156736950203E-2</v>
          </cell>
          <cell r="AF48">
            <v>-5.9609735036557983E-2</v>
          </cell>
          <cell r="AG48">
            <v>-4.1275556076629326E-2</v>
          </cell>
          <cell r="AH48">
            <v>2.0756355406055204E-2</v>
          </cell>
          <cell r="AI48">
            <v>5.2445247521600215E-2</v>
          </cell>
          <cell r="AK48">
            <v>-0.12795726143807409</v>
          </cell>
          <cell r="AL48">
            <v>-0.12557923510124763</v>
          </cell>
          <cell r="AM48">
            <v>-0.11508713870317294</v>
          </cell>
          <cell r="AN48">
            <v>1.6353708975691186E-2</v>
          </cell>
          <cell r="AO48">
            <v>-0.1367343741172681</v>
          </cell>
          <cell r="AP48">
            <v>-6.0875005167624077E-2</v>
          </cell>
          <cell r="AQ48">
            <v>-2.564710349977287E-2</v>
          </cell>
          <cell r="AR48">
            <v>0.18250615671531625</v>
          </cell>
          <cell r="AS48">
            <v>0.29703821482547654</v>
          </cell>
          <cell r="AT48">
            <v>0.43934760098320236</v>
          </cell>
          <cell r="AU48">
            <v>0.60498198315057949</v>
          </cell>
          <cell r="AV48">
            <v>0.79838108968794552</v>
          </cell>
          <cell r="AW48">
            <v>0.92409938434845684</v>
          </cell>
          <cell r="AY48" t="str">
            <v>NM</v>
          </cell>
          <cell r="AZ48" t="str">
            <v>NM</v>
          </cell>
          <cell r="BA48" t="str">
            <v>NM</v>
          </cell>
          <cell r="BB48">
            <v>0.49103661068379001</v>
          </cell>
          <cell r="BC48">
            <v>0.39037720360436473</v>
          </cell>
          <cell r="BD48">
            <v>0.28125864052844035</v>
          </cell>
        </row>
        <row r="49">
          <cell r="I49" t="str">
            <v>EPS (GAAP)</v>
          </cell>
          <cell r="L49">
            <v>-3.7064071110600574E-2</v>
          </cell>
          <cell r="M49">
            <v>-3.1296225535796265E-2</v>
          </cell>
          <cell r="N49">
            <v>-3.0111290493238276E-2</v>
          </cell>
          <cell r="O49">
            <v>-3.3091053614964963E-2</v>
          </cell>
          <cell r="P49">
            <v>-3.204552269506087E-2</v>
          </cell>
          <cell r="Q49">
            <v>-3.8353559245149001E-2</v>
          </cell>
          <cell r="R49">
            <v>-2.3228211937202922E-2</v>
          </cell>
          <cell r="S49">
            <v>-3.0459800799872983E-2</v>
          </cell>
          <cell r="T49">
            <v>-3.5928911867288895E-4</v>
          </cell>
          <cell r="U49">
            <v>-2.3744324364467087E-3</v>
          </cell>
          <cell r="V49">
            <v>-3.7803463790795594E-3</v>
          </cell>
          <cell r="W49">
            <v>1.8126981401075592E-3</v>
          </cell>
          <cell r="X49">
            <v>-0.10689522357027251</v>
          </cell>
          <cell r="Y49">
            <v>-7.4212742464805095E-2</v>
          </cell>
          <cell r="Z49">
            <v>-6.4835670251953414E-2</v>
          </cell>
          <cell r="AA49">
            <v>-1.6282051282051357E-2</v>
          </cell>
          <cell r="AB49">
            <v>-0.10479364395504137</v>
          </cell>
          <cell r="AC49">
            <v>-7.6804143149849832E-2</v>
          </cell>
          <cell r="AD49">
            <v>-5.8581921360632269E-2</v>
          </cell>
          <cell r="AE49">
            <v>-9.2305933568107221E-2</v>
          </cell>
          <cell r="AF49">
            <v>-0.12151901110349805</v>
          </cell>
          <cell r="AG49">
            <v>-0.10025915215340563</v>
          </cell>
          <cell r="AH49">
            <v>-2.3515978759842932E-2</v>
          </cell>
          <cell r="AI49">
            <v>1.795401612959957E-2</v>
          </cell>
          <cell r="AK49">
            <v>-0.1305781627385379</v>
          </cell>
          <cell r="AL49">
            <v>-0.13156264075460011</v>
          </cell>
          <cell r="AM49">
            <v>-0.12408709467728575</v>
          </cell>
          <cell r="AN49">
            <v>-4.483303350395906E-3</v>
          </cell>
          <cell r="AO49">
            <v>-0.25390697902968284</v>
          </cell>
          <cell r="AP49">
            <v>-0.3279653043873888</v>
          </cell>
          <cell r="AQ49">
            <v>-0.22634431328720919</v>
          </cell>
          <cell r="AR49">
            <v>4.1179005130996309E-2</v>
          </cell>
          <cell r="AS49">
            <v>0.14495252357495456</v>
          </cell>
          <cell r="AT49">
            <v>0.28020697828560143</v>
          </cell>
          <cell r="AU49">
            <v>0.43346817706332452</v>
          </cell>
          <cell r="AV49">
            <v>0.61443525295799806</v>
          </cell>
          <cell r="AW49">
            <v>0.72785270945985525</v>
          </cell>
          <cell r="AY49" t="str">
            <v>NM</v>
          </cell>
          <cell r="AZ49" t="str">
            <v>NM</v>
          </cell>
          <cell r="BA49" t="str">
            <v>NM</v>
          </cell>
          <cell r="BB49">
            <v>1.1915957847489864</v>
          </cell>
          <cell r="BC49">
            <v>0.61839097596155157</v>
          </cell>
          <cell r="BD49">
            <v>0.37463749418696152</v>
          </cell>
        </row>
        <row r="51">
          <cell r="I51" t="str">
            <v>Average basic shares</v>
          </cell>
          <cell r="L51">
            <v>57.387112000000002</v>
          </cell>
          <cell r="M51">
            <v>57.387112000000002</v>
          </cell>
          <cell r="N51">
            <v>57.387112000000002</v>
          </cell>
          <cell r="O51">
            <v>57.387112000000002</v>
          </cell>
          <cell r="P51">
            <v>57.387112000000002</v>
          </cell>
          <cell r="Q51">
            <v>57.387112000000002</v>
          </cell>
          <cell r="R51">
            <v>57.387112000000002</v>
          </cell>
          <cell r="S51">
            <v>57.387112000000002</v>
          </cell>
          <cell r="T51">
            <v>64.015298000000001</v>
          </cell>
          <cell r="U51">
            <v>64.015298000000001</v>
          </cell>
          <cell r="V51">
            <v>64.015298000000001</v>
          </cell>
          <cell r="W51">
            <v>64.015298000000001</v>
          </cell>
          <cell r="X51">
            <v>64.362089999999995</v>
          </cell>
          <cell r="Y51">
            <v>73.033280000000005</v>
          </cell>
          <cell r="Z51">
            <v>75.498564000000002</v>
          </cell>
          <cell r="AA51">
            <v>78</v>
          </cell>
          <cell r="AB51">
            <v>78.917000000000002</v>
          </cell>
          <cell r="AC51">
            <v>79.552999999999997</v>
          </cell>
          <cell r="AD51">
            <v>106.02247</v>
          </cell>
          <cell r="AE51">
            <v>106.1686895</v>
          </cell>
          <cell r="AF51">
            <v>106.54300000000001</v>
          </cell>
          <cell r="AG51">
            <v>106.8093575</v>
          </cell>
          <cell r="AH51">
            <v>107.07638089375</v>
          </cell>
          <cell r="AI51">
            <v>107.34407184598437</v>
          </cell>
          <cell r="AK51">
            <v>64.015298000000001</v>
          </cell>
          <cell r="AL51">
            <v>57.387112000000002</v>
          </cell>
          <cell r="AM51">
            <v>57.387112000000002</v>
          </cell>
          <cell r="AN51">
            <v>64.015298000000001</v>
          </cell>
          <cell r="AO51">
            <v>72.7234835</v>
          </cell>
          <cell r="AP51">
            <v>92.665289875000013</v>
          </cell>
          <cell r="AQ51">
            <v>106.9432025599336</v>
          </cell>
          <cell r="AR51">
            <v>108.54735059833259</v>
          </cell>
          <cell r="AS51">
            <v>110.17556085730756</v>
          </cell>
          <cell r="AT51">
            <v>111.82819427016716</v>
          </cell>
          <cell r="AU51">
            <v>113.50561718421966</v>
          </cell>
          <cell r="AV51">
            <v>115.20820144198294</v>
          </cell>
          <cell r="AW51">
            <v>116.93632446361266</v>
          </cell>
          <cell r="AY51">
            <v>0.14282969911605556</v>
          </cell>
          <cell r="AZ51">
            <v>5.9390466678526925E-2</v>
          </cell>
          <cell r="BA51">
            <v>1.5000000000005106E-2</v>
          </cell>
          <cell r="BB51">
            <v>1.5000000000005148E-2</v>
          </cell>
          <cell r="BC51">
            <v>1.5000000000005113E-2</v>
          </cell>
          <cell r="BD51">
            <v>1.500000000000529E-2</v>
          </cell>
        </row>
        <row r="52">
          <cell r="I52" t="str">
            <v>Average diluted shares</v>
          </cell>
          <cell r="L52">
            <v>66.353918000000007</v>
          </cell>
          <cell r="M52">
            <v>66.353918000000007</v>
          </cell>
          <cell r="N52">
            <v>66.353918000000007</v>
          </cell>
          <cell r="O52">
            <v>66.353918000000007</v>
          </cell>
          <cell r="P52">
            <v>66.353918000000007</v>
          </cell>
          <cell r="Q52">
            <v>66.353918000000007</v>
          </cell>
          <cell r="R52">
            <v>66.353918000000007</v>
          </cell>
          <cell r="S52">
            <v>66.353918000000007</v>
          </cell>
          <cell r="T52">
            <v>72.349201000000008</v>
          </cell>
          <cell r="U52">
            <v>72.349201000000008</v>
          </cell>
          <cell r="V52">
            <v>72.982104000000007</v>
          </cell>
          <cell r="W52">
            <v>71.716298000000009</v>
          </cell>
          <cell r="X52">
            <v>64.362089999999995</v>
          </cell>
          <cell r="Y52">
            <v>73.033280000000005</v>
          </cell>
          <cell r="Z52">
            <v>82.173000000000002</v>
          </cell>
          <cell r="AA52">
            <v>83.2</v>
          </cell>
          <cell r="AB52">
            <v>83.302000000000007</v>
          </cell>
          <cell r="AC52">
            <v>83.191999999999993</v>
          </cell>
          <cell r="AD52">
            <v>108.27146999999999</v>
          </cell>
          <cell r="AE52">
            <v>108.41768949999999</v>
          </cell>
          <cell r="AF52">
            <v>108.792</v>
          </cell>
          <cell r="AG52">
            <v>109.0583575</v>
          </cell>
          <cell r="AH52">
            <v>109.32538089374999</v>
          </cell>
          <cell r="AI52">
            <v>109.59307184598437</v>
          </cell>
          <cell r="AK52">
            <v>72.982104000000007</v>
          </cell>
          <cell r="AL52">
            <v>66.353918000000007</v>
          </cell>
          <cell r="AM52">
            <v>66.353918000000007</v>
          </cell>
          <cell r="AN52">
            <v>72.349201000000008</v>
          </cell>
          <cell r="AO52">
            <v>75.692092500000001</v>
          </cell>
          <cell r="AP52">
            <v>95.795789874999997</v>
          </cell>
          <cell r="AQ52">
            <v>109.19220255993359</v>
          </cell>
          <cell r="AR52">
            <v>110.79635059833258</v>
          </cell>
          <cell r="AS52">
            <v>112.42456085730755</v>
          </cell>
          <cell r="AT52">
            <v>114.07719427016715</v>
          </cell>
          <cell r="AU52">
            <v>115.75461718421965</v>
          </cell>
          <cell r="AV52">
            <v>117.45720144198293</v>
          </cell>
          <cell r="AW52">
            <v>119.18532446361266</v>
          </cell>
          <cell r="AY52">
            <v>0.13542464036768209</v>
          </cell>
          <cell r="AZ52">
            <v>5.4803573344077823E-2</v>
          </cell>
          <cell r="BA52">
            <v>1.469550130923367E-2</v>
          </cell>
          <cell r="BB52">
            <v>1.4699911250965893E-2</v>
          </cell>
          <cell r="BC52">
            <v>1.470425861063338E-2</v>
          </cell>
          <cell r="BD52">
            <v>1.4708544239354915E-2</v>
          </cell>
        </row>
        <row r="53">
          <cell r="I53" t="str">
            <v>Period-end basic shares (balance sheet)</v>
          </cell>
          <cell r="L53">
            <v>57.387112000000002</v>
          </cell>
          <cell r="M53">
            <v>57.387112000000002</v>
          </cell>
          <cell r="N53">
            <v>57.387112000000002</v>
          </cell>
          <cell r="O53">
            <v>57.387112000000002</v>
          </cell>
          <cell r="P53">
            <v>57.387112000000002</v>
          </cell>
          <cell r="Q53">
            <v>57.387112000000002</v>
          </cell>
          <cell r="R53">
            <v>57.387112000000002</v>
          </cell>
          <cell r="S53">
            <v>57.387112000000002</v>
          </cell>
          <cell r="T53">
            <v>64.015298000000001</v>
          </cell>
          <cell r="U53">
            <v>64.015298000000001</v>
          </cell>
          <cell r="V53">
            <v>64.015298000000001</v>
          </cell>
          <cell r="W53">
            <v>64.015298000000001</v>
          </cell>
          <cell r="X53">
            <v>65.841376999999994</v>
          </cell>
          <cell r="Y53">
            <v>76.122017</v>
          </cell>
          <cell r="Z53">
            <v>76.757514999999998</v>
          </cell>
          <cell r="AA53">
            <v>79.182912999999999</v>
          </cell>
          <cell r="AB53">
            <v>79.460999999999999</v>
          </cell>
          <cell r="AC53">
            <v>81.274675000000002</v>
          </cell>
          <cell r="AD53">
            <v>106.191141</v>
          </cell>
          <cell r="AE53">
            <v>106.314909</v>
          </cell>
          <cell r="AF53">
            <v>106.837523</v>
          </cell>
          <cell r="AG53">
            <v>107.1038805</v>
          </cell>
          <cell r="AH53">
            <v>107.37090389375</v>
          </cell>
          <cell r="AI53">
            <v>107.63859484598437</v>
          </cell>
          <cell r="AK53">
            <v>64.015298000000001</v>
          </cell>
          <cell r="AL53">
            <v>57.387112000000002</v>
          </cell>
          <cell r="AM53">
            <v>57.387112000000002</v>
          </cell>
          <cell r="AN53">
            <v>64.015298000000001</v>
          </cell>
          <cell r="AO53">
            <v>79.182912999999999</v>
          </cell>
          <cell r="AP53">
            <v>106.314909</v>
          </cell>
          <cell r="AQ53">
            <v>107.63859484598437</v>
          </cell>
          <cell r="AR53">
            <v>108.54735059833259</v>
          </cell>
          <cell r="AS53">
            <v>110.17556085730756</v>
          </cell>
          <cell r="AT53">
            <v>111.82819427016716</v>
          </cell>
          <cell r="AU53">
            <v>113.50561718421966</v>
          </cell>
          <cell r="AV53">
            <v>115.20820144198294</v>
          </cell>
          <cell r="AW53">
            <v>116.93632446361266</v>
          </cell>
        </row>
        <row r="54">
          <cell r="I54" t="str">
            <v>Options vested and expected to vest</v>
          </cell>
          <cell r="W54">
            <v>7.6504979999999998</v>
          </cell>
          <cell r="X54">
            <v>7.6346759999999998</v>
          </cell>
          <cell r="Y54">
            <v>7.246937</v>
          </cell>
          <cell r="Z54">
            <v>6.948963</v>
          </cell>
          <cell r="AA54">
            <v>5.5580600000000002</v>
          </cell>
          <cell r="AB54">
            <v>5.8344440000000004</v>
          </cell>
          <cell r="AC54">
            <v>5.5506149999999996</v>
          </cell>
          <cell r="AD54">
            <v>6.3335650000000001</v>
          </cell>
          <cell r="AE54">
            <v>7.4787809999999997</v>
          </cell>
          <cell r="AF54">
            <v>8.5</v>
          </cell>
          <cell r="AG54">
            <v>8.5</v>
          </cell>
          <cell r="AH54">
            <v>8.5</v>
          </cell>
          <cell r="AI54">
            <v>8.5</v>
          </cell>
          <cell r="AL54">
            <v>0</v>
          </cell>
          <cell r="AM54">
            <v>0</v>
          </cell>
          <cell r="AN54">
            <v>7.6504979999999998</v>
          </cell>
          <cell r="AO54">
            <v>5.5580600000000002</v>
          </cell>
          <cell r="AP54">
            <v>7.4787809999999997</v>
          </cell>
          <cell r="AQ54">
            <v>8.5</v>
          </cell>
          <cell r="AR54">
            <v>8.5</v>
          </cell>
          <cell r="AS54">
            <v>8.5</v>
          </cell>
          <cell r="AT54">
            <v>8.5</v>
          </cell>
          <cell r="AU54">
            <v>8.5</v>
          </cell>
          <cell r="AV54">
            <v>8.5</v>
          </cell>
          <cell r="AW54">
            <v>8.5</v>
          </cell>
        </row>
        <row r="55">
          <cell r="I55" t="str">
            <v>RSUs (unvested)</v>
          </cell>
          <cell r="W55">
            <v>0</v>
          </cell>
          <cell r="X55">
            <v>0</v>
          </cell>
          <cell r="Y55">
            <v>0.17307</v>
          </cell>
          <cell r="Z55">
            <v>0.42010700000000001</v>
          </cell>
          <cell r="AA55">
            <v>0.44454900000000003</v>
          </cell>
          <cell r="AB55">
            <v>0.38200400000000001</v>
          </cell>
          <cell r="AC55">
            <v>0.54940299999999997</v>
          </cell>
          <cell r="AD55">
            <v>0.50913900000000001</v>
          </cell>
          <cell r="AE55">
            <v>1.1772879999999999</v>
          </cell>
          <cell r="AF55">
            <v>1.1772879999999999</v>
          </cell>
          <cell r="AG55">
            <v>1.1772879999999999</v>
          </cell>
          <cell r="AH55">
            <v>1.1772879999999999</v>
          </cell>
          <cell r="AI55">
            <v>1.1772879999999999</v>
          </cell>
          <cell r="AL55">
            <v>0</v>
          </cell>
          <cell r="AM55">
            <v>0</v>
          </cell>
          <cell r="AN55">
            <v>0</v>
          </cell>
          <cell r="AO55">
            <v>0.44454900000000003</v>
          </cell>
          <cell r="AP55">
            <v>1.1772879999999999</v>
          </cell>
          <cell r="AQ55">
            <v>1.1772879999999999</v>
          </cell>
          <cell r="AR55">
            <v>1.1772879999999999</v>
          </cell>
          <cell r="AS55">
            <v>1.1772879999999999</v>
          </cell>
          <cell r="AT55">
            <v>1.1772879999999999</v>
          </cell>
          <cell r="AU55">
            <v>1.1772879999999999</v>
          </cell>
          <cell r="AV55">
            <v>1.1772879999999999</v>
          </cell>
          <cell r="AW55">
            <v>1.1772879999999999</v>
          </cell>
        </row>
        <row r="56">
          <cell r="I56" t="str">
            <v>Period-end fully diluted shares (for market cap)</v>
          </cell>
          <cell r="W56">
            <v>71.665796</v>
          </cell>
          <cell r="X56">
            <v>73.476052999999993</v>
          </cell>
          <cell r="Y56">
            <v>83.542023999999998</v>
          </cell>
          <cell r="Z56">
            <v>84.126585000000006</v>
          </cell>
          <cell r="AA56">
            <v>85.185521999999992</v>
          </cell>
          <cell r="AB56">
            <v>85.677447999999998</v>
          </cell>
          <cell r="AC56">
            <v>87.374692999999994</v>
          </cell>
          <cell r="AD56">
            <v>113.03384500000001</v>
          </cell>
          <cell r="AE56">
            <v>114.970978</v>
          </cell>
          <cell r="AF56">
            <v>116.51481100000001</v>
          </cell>
          <cell r="AG56">
            <v>116.78116850000001</v>
          </cell>
          <cell r="AH56">
            <v>117.04819189375</v>
          </cell>
          <cell r="AI56">
            <v>117.31588284598438</v>
          </cell>
          <cell r="AK56">
            <v>64.015298000000001</v>
          </cell>
          <cell r="AL56">
            <v>57.387112000000002</v>
          </cell>
          <cell r="AM56">
            <v>57.387112000000002</v>
          </cell>
          <cell r="AN56">
            <v>71.665796</v>
          </cell>
          <cell r="AO56">
            <v>85.185521999999992</v>
          </cell>
          <cell r="AP56">
            <v>114.970978</v>
          </cell>
          <cell r="AQ56">
            <v>117.31588284598438</v>
          </cell>
          <cell r="AR56">
            <v>118.22463859833259</v>
          </cell>
          <cell r="AS56">
            <v>119.85284885730756</v>
          </cell>
          <cell r="AT56">
            <v>121.50548227016716</v>
          </cell>
          <cell r="AU56">
            <v>123.18290518421966</v>
          </cell>
          <cell r="AV56">
            <v>124.88548944198294</v>
          </cell>
          <cell r="AW56">
            <v>126.61361246361267</v>
          </cell>
        </row>
        <row r="57">
          <cell r="I57" t="str">
            <v>Period-end fully diluted shares (for valuation)</v>
          </cell>
          <cell r="W57">
            <v>71.665796</v>
          </cell>
          <cell r="X57">
            <v>73.476052999999993</v>
          </cell>
          <cell r="Y57">
            <v>83.498756499999999</v>
          </cell>
          <cell r="Z57">
            <v>84.021558249999998</v>
          </cell>
          <cell r="AA57">
            <v>85.074384749999993</v>
          </cell>
          <cell r="AB57">
            <v>85.581947</v>
          </cell>
          <cell r="AC57">
            <v>87.237342249999998</v>
          </cell>
          <cell r="AD57">
            <v>112.90656025000001</v>
          </cell>
          <cell r="AE57">
            <v>114.67665599999999</v>
          </cell>
          <cell r="AF57">
            <v>116.220489</v>
          </cell>
          <cell r="AG57">
            <v>116.4868465</v>
          </cell>
          <cell r="AH57">
            <v>116.75386989374999</v>
          </cell>
          <cell r="AI57">
            <v>117.02156084598437</v>
          </cell>
          <cell r="AK57">
            <v>64.015298000000001</v>
          </cell>
          <cell r="AL57">
            <v>57.387112000000002</v>
          </cell>
          <cell r="AM57">
            <v>57.387112000000002</v>
          </cell>
          <cell r="AN57">
            <v>71.665796</v>
          </cell>
          <cell r="AO57">
            <v>85.074384749999993</v>
          </cell>
          <cell r="AP57">
            <v>114.67665599999999</v>
          </cell>
          <cell r="AQ57">
            <v>117.02156084598437</v>
          </cell>
          <cell r="AR57">
            <v>117.93031659833258</v>
          </cell>
          <cell r="AS57">
            <v>119.55852685730756</v>
          </cell>
          <cell r="AT57">
            <v>121.21116027016716</v>
          </cell>
          <cell r="AU57">
            <v>122.88858318421966</v>
          </cell>
          <cell r="AV57">
            <v>124.59116744198293</v>
          </cell>
          <cell r="AW57">
            <v>126.31929046361266</v>
          </cell>
        </row>
        <row r="61">
          <cell r="I61" t="str">
            <v>Millennial Media</v>
          </cell>
          <cell r="L61">
            <v>40178</v>
          </cell>
          <cell r="P61">
            <v>40543</v>
          </cell>
          <cell r="T61">
            <v>40908</v>
          </cell>
          <cell r="X61">
            <v>41274</v>
          </cell>
          <cell r="AB61">
            <v>41639</v>
          </cell>
          <cell r="AF61">
            <v>42004</v>
          </cell>
          <cell r="AY61" t="str">
            <v>CAGR</v>
          </cell>
        </row>
        <row r="62">
          <cell r="I62" t="str">
            <v>(USD millions)</v>
          </cell>
          <cell r="L62">
            <v>1</v>
          </cell>
          <cell r="M62">
            <v>2</v>
          </cell>
          <cell r="N62">
            <v>3</v>
          </cell>
          <cell r="O62">
            <v>4</v>
          </cell>
          <cell r="P62">
            <v>1</v>
          </cell>
          <cell r="Q62">
            <v>2</v>
          </cell>
          <cell r="R62">
            <v>3</v>
          </cell>
          <cell r="S62">
            <v>4</v>
          </cell>
          <cell r="T62">
            <v>1</v>
          </cell>
          <cell r="U62">
            <v>2</v>
          </cell>
          <cell r="V62">
            <v>3</v>
          </cell>
          <cell r="W62">
            <v>4</v>
          </cell>
          <cell r="X62">
            <v>1</v>
          </cell>
          <cell r="Y62">
            <v>2</v>
          </cell>
          <cell r="Z62">
            <v>3</v>
          </cell>
          <cell r="AA62">
            <v>4</v>
          </cell>
          <cell r="AB62">
            <v>1</v>
          </cell>
          <cell r="AC62">
            <v>2</v>
          </cell>
          <cell r="AD62">
            <v>3</v>
          </cell>
          <cell r="AE62">
            <v>4</v>
          </cell>
          <cell r="AF62">
            <v>1</v>
          </cell>
          <cell r="AG62">
            <v>2</v>
          </cell>
          <cell r="AH62">
            <v>3</v>
          </cell>
          <cell r="AI62">
            <v>4</v>
          </cell>
          <cell r="AK62">
            <v>39813</v>
          </cell>
          <cell r="AL62">
            <v>40178</v>
          </cell>
          <cell r="AM62">
            <v>40543</v>
          </cell>
          <cell r="AN62">
            <v>40908</v>
          </cell>
          <cell r="AO62">
            <v>41274</v>
          </cell>
          <cell r="AP62">
            <v>41639</v>
          </cell>
          <cell r="AQ62">
            <v>42004</v>
          </cell>
          <cell r="AR62">
            <v>42369</v>
          </cell>
          <cell r="AS62">
            <v>42735</v>
          </cell>
          <cell r="AT62">
            <v>43100</v>
          </cell>
          <cell r="AU62">
            <v>43465</v>
          </cell>
          <cell r="AV62">
            <v>43830</v>
          </cell>
          <cell r="AW62">
            <v>44196</v>
          </cell>
          <cell r="AY62" t="str">
            <v>2012-2015</v>
          </cell>
          <cell r="AZ62" t="str">
            <v>2013-2016</v>
          </cell>
          <cell r="BA62" t="str">
            <v>2014-2017</v>
          </cell>
          <cell r="BB62" t="str">
            <v>2015-2018</v>
          </cell>
          <cell r="BC62" t="str">
            <v>2015-2018</v>
          </cell>
          <cell r="BD62" t="str">
            <v>2015-2018</v>
          </cell>
        </row>
        <row r="63">
          <cell r="I63" t="str">
            <v>Millennial Media | growth and margin analysis</v>
          </cell>
        </row>
        <row r="64">
          <cell r="I64" t="str">
            <v>Y/Y growth</v>
          </cell>
        </row>
        <row r="65">
          <cell r="I65" t="str">
            <v>Total Revenue</v>
          </cell>
          <cell r="P65">
            <v>4.4240934234787952</v>
          </cell>
          <cell r="Q65">
            <v>1.7325855962219596</v>
          </cell>
          <cell r="R65">
            <v>1.6819400438703389</v>
          </cell>
          <cell r="S65">
            <v>1.6388341312306389</v>
          </cell>
          <cell r="T65">
            <v>1.4354674220963175</v>
          </cell>
          <cell r="U65">
            <v>1.4246057463815078</v>
          </cell>
          <cell r="V65">
            <v>1.2890766993820431</v>
          </cell>
          <cell r="W65">
            <v>0.84349821247532142</v>
          </cell>
          <cell r="X65">
            <v>1.22677150700228</v>
          </cell>
          <cell r="Y65">
            <v>1.4756092128124028</v>
          </cell>
          <cell r="Z65">
            <v>1.4623843741315654</v>
          </cell>
          <cell r="AA65">
            <v>1.1954325740252973</v>
          </cell>
          <cell r="AB65">
            <v>0.35018804847471796</v>
          </cell>
          <cell r="AC65">
            <v>0.46337952132445559</v>
          </cell>
          <cell r="AD65">
            <v>0.39168077388149958</v>
          </cell>
          <cell r="AE65">
            <v>0.44350692155570215</v>
          </cell>
          <cell r="AF65">
            <v>0.12380068090374485</v>
          </cell>
          <cell r="AG65">
            <v>-7.4999999999999845E-2</v>
          </cell>
          <cell r="AH65">
            <v>0.10000000000000009</v>
          </cell>
          <cell r="AI65">
            <v>0.10000000000000009</v>
          </cell>
          <cell r="AL65">
            <v>1.5823913389587645</v>
          </cell>
          <cell r="AM65">
            <v>1.9487053020961773</v>
          </cell>
          <cell r="AN65">
            <v>1.1677260182319982</v>
          </cell>
          <cell r="AO65">
            <v>1.3274465171010243</v>
          </cell>
          <cell r="AP65">
            <v>0.4162532894055242</v>
          </cell>
          <cell r="AQ65">
            <v>6.2858706243471119E-2</v>
          </cell>
          <cell r="AR65">
            <v>0.19999999999999996</v>
          </cell>
          <cell r="AS65">
            <v>0.17999999999999994</v>
          </cell>
          <cell r="AT65">
            <v>0.16199999999999992</v>
          </cell>
          <cell r="AU65">
            <v>0.14579999999999993</v>
          </cell>
          <cell r="AV65">
            <v>0.13122000000000011</v>
          </cell>
          <cell r="AW65">
            <v>0.11809800000000004</v>
          </cell>
        </row>
        <row r="66">
          <cell r="I66" t="str">
            <v>Millennial Media revenue</v>
          </cell>
          <cell r="X66">
            <v>0.53212673893825913</v>
          </cell>
          <cell r="Y66">
            <v>0.75573573306009734</v>
          </cell>
          <cell r="Z66">
            <v>0.88042399460081788</v>
          </cell>
          <cell r="AA66">
            <v>0.67761729717213193</v>
          </cell>
          <cell r="AB66">
            <v>0.50130580018220483</v>
          </cell>
          <cell r="AC66">
            <v>0.44652508182994599</v>
          </cell>
          <cell r="AD66">
            <v>0.18357049360300648</v>
          </cell>
          <cell r="AE66">
            <v>0.27173913043478248</v>
          </cell>
          <cell r="AF66">
            <v>7.9733364264722439E-2</v>
          </cell>
          <cell r="AG66">
            <v>-0.11458374993422082</v>
          </cell>
          <cell r="AH66">
            <v>4.9188794349012799E-2</v>
          </cell>
          <cell r="AI66">
            <v>0.10000000000000009</v>
          </cell>
          <cell r="AL66" t="str">
            <v>NA</v>
          </cell>
          <cell r="AM66" t="str">
            <v>NA</v>
          </cell>
          <cell r="AN66" t="str">
            <v>NA</v>
          </cell>
          <cell r="AO66" t="str">
            <v>NA</v>
          </cell>
          <cell r="AP66">
            <v>0.3295547287903775</v>
          </cell>
          <cell r="AQ66">
            <v>3.1911734340817954E-2</v>
          </cell>
          <cell r="AR66">
            <v>0.15017187483665539</v>
          </cell>
          <cell r="AS66">
            <v>0.12496372752405738</v>
          </cell>
          <cell r="AT66">
            <v>0.10515181276306707</v>
          </cell>
          <cell r="AU66">
            <v>8.6860900245709249E-2</v>
          </cell>
          <cell r="AV66">
            <v>6.9875362053253065E-2</v>
          </cell>
          <cell r="AW66">
            <v>5.3988366829881285E-2</v>
          </cell>
        </row>
        <row r="67">
          <cell r="I67" t="str">
            <v>Jumptap revenue</v>
          </cell>
          <cell r="X67" t="str">
            <v>NA</v>
          </cell>
          <cell r="Y67" t="str">
            <v>NA</v>
          </cell>
          <cell r="Z67" t="str">
            <v>NA</v>
          </cell>
          <cell r="AA67" t="str">
            <v>NA</v>
          </cell>
          <cell r="AB67">
            <v>1.6878767582049647E-2</v>
          </cell>
          <cell r="AC67">
            <v>0.50448666377869888</v>
          </cell>
          <cell r="AD67">
            <v>1.0641244286786278</v>
          </cell>
          <cell r="AE67">
            <v>1</v>
          </cell>
          <cell r="AF67">
            <v>0.26729956115667597</v>
          </cell>
          <cell r="AG67">
            <v>1.7823413269713484E-2</v>
          </cell>
          <cell r="AH67">
            <v>0.19414128494943483</v>
          </cell>
          <cell r="AI67">
            <v>0.10000000000000009</v>
          </cell>
          <cell r="AL67" t="str">
            <v>NA</v>
          </cell>
          <cell r="AM67" t="str">
            <v>NA</v>
          </cell>
          <cell r="AN67">
            <v>0.95171009771986981</v>
          </cell>
          <cell r="AO67">
            <v>0.32761714023448918</v>
          </cell>
          <cell r="AP67">
            <v>0.65830164367201993</v>
          </cell>
          <cell r="AQ67">
            <v>0.13212964851541864</v>
          </cell>
          <cell r="AR67">
            <v>0.30166088085783715</v>
          </cell>
          <cell r="AS67">
            <v>0.27921862960678023</v>
          </cell>
          <cell r="AT67">
            <v>0.25212692977940643</v>
          </cell>
          <cell r="AU67">
            <v>0.22827361644033739</v>
          </cell>
          <cell r="AV67">
            <v>0.20717685777247197</v>
          </cell>
          <cell r="AW67">
            <v>0.18844992085971257</v>
          </cell>
        </row>
        <row r="68">
          <cell r="I68" t="str">
            <v>Gross profit</v>
          </cell>
          <cell r="P68">
            <v>8.5677419354838662</v>
          </cell>
          <cell r="Q68">
            <v>1.6005612722170248</v>
          </cell>
          <cell r="R68">
            <v>1.9877862595419855</v>
          </cell>
          <cell r="S68">
            <v>2.3932816537467687</v>
          </cell>
          <cell r="T68">
            <v>1.671611598111935</v>
          </cell>
          <cell r="U68">
            <v>2.1553956834532375</v>
          </cell>
          <cell r="V68">
            <v>1.5283597342871746</v>
          </cell>
          <cell r="W68">
            <v>1.0546756015839174</v>
          </cell>
          <cell r="X68">
            <v>1.3738011105502275</v>
          </cell>
          <cell r="Y68">
            <v>1.4931600547195623</v>
          </cell>
          <cell r="Z68">
            <v>1.5237469684721097</v>
          </cell>
          <cell r="AA68">
            <v>1.2830034838040172</v>
          </cell>
          <cell r="AB68">
            <v>0.41573631047315285</v>
          </cell>
          <cell r="AC68">
            <v>0.51074531321444883</v>
          </cell>
          <cell r="AD68">
            <v>0.33289289289289292</v>
          </cell>
          <cell r="AE68">
            <v>0.35811688311688328</v>
          </cell>
          <cell r="AF68">
            <v>0.12260608336462631</v>
          </cell>
          <cell r="AG68">
            <v>-0.11210078692493919</v>
          </cell>
          <cell r="AH68">
            <v>0.14092823455195425</v>
          </cell>
          <cell r="AI68">
            <v>0.15169973703083928</v>
          </cell>
          <cell r="AL68">
            <v>2.587276958882855</v>
          </cell>
          <cell r="AM68">
            <v>2.5090830449826989</v>
          </cell>
          <cell r="AN68">
            <v>1.4702945889313455</v>
          </cell>
          <cell r="AO68">
            <v>1.4063817578524564</v>
          </cell>
          <cell r="AP68">
            <v>0.39742885283292728</v>
          </cell>
          <cell r="AQ68">
            <v>7.8627707008732228E-2</v>
          </cell>
          <cell r="AR68">
            <v>0.1992176199891118</v>
          </cell>
          <cell r="AS68">
            <v>0.17999999999999994</v>
          </cell>
          <cell r="AT68">
            <v>0.16199999999999992</v>
          </cell>
          <cell r="AU68">
            <v>0.14579999999999993</v>
          </cell>
          <cell r="AV68">
            <v>0.13122000000000011</v>
          </cell>
          <cell r="AW68">
            <v>0.11809799999999981</v>
          </cell>
        </row>
        <row r="69">
          <cell r="I69" t="str">
            <v>Sales and marketing</v>
          </cell>
          <cell r="P69">
            <v>1.7275204359673024</v>
          </cell>
          <cell r="Q69">
            <v>0.80889309366130568</v>
          </cell>
          <cell r="R69">
            <v>0.84794776119402981</v>
          </cell>
          <cell r="S69">
            <v>0.50880388585306613</v>
          </cell>
          <cell r="T69">
            <v>0.68281718281718295</v>
          </cell>
          <cell r="U69">
            <v>0.85251046025104604</v>
          </cell>
          <cell r="V69">
            <v>0.59212518929833413</v>
          </cell>
          <cell r="W69">
            <v>0.63340040241448703</v>
          </cell>
          <cell r="X69">
            <v>1.600178094390027</v>
          </cell>
          <cell r="Y69">
            <v>1.9474872953133824</v>
          </cell>
          <cell r="Z69">
            <v>2.0659480025364618</v>
          </cell>
          <cell r="AA69">
            <v>1.9958117762995813</v>
          </cell>
          <cell r="AB69">
            <v>0.4817351598173516</v>
          </cell>
          <cell r="AC69">
            <v>0.33908045977011514</v>
          </cell>
          <cell r="AD69">
            <v>0.42637021716649448</v>
          </cell>
          <cell r="AE69">
            <v>0.31907894736842102</v>
          </cell>
          <cell r="AF69">
            <v>7.395993836671888E-3</v>
          </cell>
          <cell r="AG69">
            <v>-3.1489270386266144E-2</v>
          </cell>
          <cell r="AH69">
            <v>-1.8211774088305877E-3</v>
          </cell>
          <cell r="AI69">
            <v>5.1213216957606056E-2</v>
          </cell>
          <cell r="AL69">
            <v>0.30990415335463251</v>
          </cell>
          <cell r="AM69">
            <v>0.85809312638580915</v>
          </cell>
          <cell r="AN69">
            <v>0.68544152744630082</v>
          </cell>
          <cell r="AO69">
            <v>1.9049844236760127</v>
          </cell>
          <cell r="AP69">
            <v>0.38418230563002664</v>
          </cell>
          <cell r="AQ69">
            <v>7.9608490482983019E-3</v>
          </cell>
          <cell r="AR69">
            <v>6.5991138930347804E-2</v>
          </cell>
          <cell r="AS69">
            <v>5.3571428571428381E-2</v>
          </cell>
          <cell r="AT69">
            <v>2.2559999999999913E-2</v>
          </cell>
          <cell r="AU69">
            <v>-1.0445454545454647E-2</v>
          </cell>
          <cell r="AV69">
            <v>-4.7393684210526144E-2</v>
          </cell>
          <cell r="AW69">
            <v>0.11809800000000004</v>
          </cell>
        </row>
        <row r="70">
          <cell r="I70" t="str">
            <v>Technology and development</v>
          </cell>
          <cell r="P70">
            <v>1.2293577981651373</v>
          </cell>
          <cell r="Q70">
            <v>1.1750972762645917</v>
          </cell>
          <cell r="R70">
            <v>0.89818181818181819</v>
          </cell>
          <cell r="S70">
            <v>0.78978978978978964</v>
          </cell>
          <cell r="T70">
            <v>0.32510288065843618</v>
          </cell>
          <cell r="U70">
            <v>0.64221824686940931</v>
          </cell>
          <cell r="V70">
            <v>1.1704980842911876</v>
          </cell>
          <cell r="W70">
            <v>1.4815436241610742</v>
          </cell>
          <cell r="X70">
            <v>8.1459627329192532</v>
          </cell>
          <cell r="Y70">
            <v>5.6448801742919388</v>
          </cell>
          <cell r="Z70">
            <v>5.9108561341571049</v>
          </cell>
          <cell r="AA70">
            <v>3.5706558485463145</v>
          </cell>
          <cell r="AB70">
            <v>0.3769100169779287</v>
          </cell>
          <cell r="AC70">
            <v>0.36721311475409846</v>
          </cell>
          <cell r="AD70">
            <v>6.8965517241379448E-3</v>
          </cell>
          <cell r="AE70">
            <v>0.32692307692307709</v>
          </cell>
          <cell r="AF70">
            <v>-9.5067817509247754E-2</v>
          </cell>
          <cell r="AG70">
            <v>-0.27845563549160668</v>
          </cell>
          <cell r="AH70">
            <v>-3.6520547945205428E-2</v>
          </cell>
          <cell r="AI70">
            <v>7.4149386845038912E-2</v>
          </cell>
          <cell r="AL70">
            <v>0.64339908952959024</v>
          </cell>
          <cell r="AM70">
            <v>0.99722991689750673</v>
          </cell>
          <cell r="AN70">
            <v>0.92972723069810437</v>
          </cell>
          <cell r="AO70">
            <v>5.3679923334930528</v>
          </cell>
          <cell r="AP70">
            <v>0.2529721595184351</v>
          </cell>
          <cell r="AQ70">
            <v>-8.1555608935863555E-2</v>
          </cell>
          <cell r="AR70">
            <v>0.13999974892009481</v>
          </cell>
          <cell r="AS70">
            <v>0.10624999999999996</v>
          </cell>
          <cell r="AT70">
            <v>8.4533333333332905E-2</v>
          </cell>
          <cell r="AU70">
            <v>6.3957142857142824E-2</v>
          </cell>
          <cell r="AV70">
            <v>4.4203076923077234E-2</v>
          </cell>
          <cell r="AW70">
            <v>0.11809800000000004</v>
          </cell>
        </row>
        <row r="71">
          <cell r="I71" t="str">
            <v>General and administrative</v>
          </cell>
          <cell r="P71">
            <v>0.56991525423728806</v>
          </cell>
          <cell r="Q71">
            <v>0.62950373895309286</v>
          </cell>
          <cell r="R71">
            <v>0.67003154574132484</v>
          </cell>
          <cell r="S71">
            <v>1.8499714774671996</v>
          </cell>
          <cell r="T71">
            <v>0.72379667116509228</v>
          </cell>
          <cell r="U71">
            <v>0.89111389236545713</v>
          </cell>
          <cell r="V71">
            <v>0.96826596146581045</v>
          </cell>
          <cell r="W71">
            <v>0.41132906325060037</v>
          </cell>
          <cell r="X71">
            <v>1.2651356993736953</v>
          </cell>
          <cell r="Y71">
            <v>1.1376571806750495</v>
          </cell>
          <cell r="Z71">
            <v>0.68522072936660283</v>
          </cell>
          <cell r="AA71">
            <v>0.51751524606438792</v>
          </cell>
          <cell r="AB71">
            <v>0.3352534562211984</v>
          </cell>
          <cell r="AC71">
            <v>0.29721362229102155</v>
          </cell>
          <cell r="AD71">
            <v>0.4183371298405465</v>
          </cell>
          <cell r="AE71">
            <v>0.14112149532710272</v>
          </cell>
          <cell r="AF71">
            <v>0.560483175150992</v>
          </cell>
          <cell r="AG71">
            <v>0.31651710421638835</v>
          </cell>
          <cell r="AH71">
            <v>0.21995856420139748</v>
          </cell>
          <cell r="AI71">
            <v>0.18367567567567589</v>
          </cell>
          <cell r="AL71">
            <v>0.11619150080688545</v>
          </cell>
          <cell r="AM71">
            <v>0.9699598393574298</v>
          </cell>
          <cell r="AN71">
            <v>0.68197015412215589</v>
          </cell>
          <cell r="AO71">
            <v>0.83506254242218558</v>
          </cell>
          <cell r="AP71">
            <v>0.28990752972258926</v>
          </cell>
          <cell r="AQ71">
            <v>0.31658120148290769</v>
          </cell>
          <cell r="AR71">
            <v>-0.11847370055036555</v>
          </cell>
          <cell r="AS71">
            <v>8.9230769230769225E-2</v>
          </cell>
          <cell r="AT71">
            <v>6.5166666666666595E-2</v>
          </cell>
          <cell r="AU71">
            <v>4.1636363636363694E-2</v>
          </cell>
          <cell r="AV71">
            <v>1.8097999999999947E-2</v>
          </cell>
          <cell r="AW71">
            <v>-6.1351111111108692E-3</v>
          </cell>
        </row>
        <row r="72">
          <cell r="I72" t="str">
            <v>Stock-based compensation (SBC)</v>
          </cell>
          <cell r="P72">
            <v>1.333333333333333</v>
          </cell>
          <cell r="Q72">
            <v>1.875</v>
          </cell>
          <cell r="R72">
            <v>0.38571428571428568</v>
          </cell>
          <cell r="S72">
            <v>0.78260869565217384</v>
          </cell>
          <cell r="T72">
            <v>0.32467532467532467</v>
          </cell>
          <cell r="U72">
            <v>2.4521739130434783</v>
          </cell>
          <cell r="V72">
            <v>5.2474226804123711</v>
          </cell>
          <cell r="W72">
            <v>4.9186991869918701</v>
          </cell>
          <cell r="X72">
            <v>11.058823529411764</v>
          </cell>
          <cell r="Y72">
            <v>1.770780856423174</v>
          </cell>
          <cell r="Z72">
            <v>4.5280528052805282</v>
          </cell>
          <cell r="AA72">
            <v>2.2005494505494507</v>
          </cell>
          <cell r="AB72">
            <v>0.43902439024390238</v>
          </cell>
          <cell r="AC72">
            <v>2.2909090909090906</v>
          </cell>
          <cell r="AD72">
            <v>-0.44477611940298512</v>
          </cell>
          <cell r="AE72">
            <v>-3.4334763948497882E-2</v>
          </cell>
          <cell r="AF72">
            <v>1.1310734463276839</v>
          </cell>
          <cell r="AG72">
            <v>0.1049723756906078</v>
          </cell>
          <cell r="AH72">
            <v>1.150537634408602</v>
          </cell>
          <cell r="AI72">
            <v>0.77777777777777768</v>
          </cell>
          <cell r="AL72">
            <v>0.64341085271317833</v>
          </cell>
          <cell r="AM72">
            <v>0.94339622641509435</v>
          </cell>
          <cell r="AN72">
            <v>3.4490291262135919</v>
          </cell>
          <cell r="AO72">
            <v>3.3698854337152211</v>
          </cell>
          <cell r="AP72">
            <v>0.18601747815230962</v>
          </cell>
          <cell r="AQ72">
            <v>0.66021052631578958</v>
          </cell>
          <cell r="AR72">
            <v>-3.2735366472229188E-2</v>
          </cell>
          <cell r="AS72">
            <v>9.5714285714285863E-2</v>
          </cell>
          <cell r="AT72">
            <v>7.2615384615384526E-2</v>
          </cell>
          <cell r="AU72">
            <v>0.14579999999999971</v>
          </cell>
          <cell r="AV72">
            <v>0.13122000000000011</v>
          </cell>
          <cell r="AW72">
            <v>0.11809800000000004</v>
          </cell>
        </row>
        <row r="73">
          <cell r="I73" t="str">
            <v>Depreciation</v>
          </cell>
          <cell r="P73">
            <v>24.333333333333485</v>
          </cell>
          <cell r="Q73">
            <v>11.833333333333409</v>
          </cell>
          <cell r="R73">
            <v>2.0625000000000009</v>
          </cell>
          <cell r="S73">
            <v>9.2368421052631984</v>
          </cell>
          <cell r="T73">
            <v>2.4078947368421058</v>
          </cell>
          <cell r="U73">
            <v>7.7272727272727284</v>
          </cell>
          <cell r="V73">
            <v>7.4306122448979615</v>
          </cell>
          <cell r="W73">
            <v>2.2899742930591258</v>
          </cell>
          <cell r="X73">
            <v>9.0702702702702727</v>
          </cell>
          <cell r="Y73">
            <v>3.5321428571428566</v>
          </cell>
          <cell r="Z73">
            <v>3.5359477124182987</v>
          </cell>
          <cell r="AA73">
            <v>2.9789029535864993</v>
          </cell>
          <cell r="AB73">
            <v>1.4513457556935814</v>
          </cell>
          <cell r="AC73">
            <v>1.3936170212765959</v>
          </cell>
          <cell r="AD73">
            <v>1.23342939481268</v>
          </cell>
          <cell r="AE73">
            <v>0.55885471898197259</v>
          </cell>
          <cell r="AF73">
            <v>0.39020270270270307</v>
          </cell>
          <cell r="AG73">
            <v>0.11111111111111116</v>
          </cell>
          <cell r="AH73">
            <v>-3.2258064516128893E-2</v>
          </cell>
          <cell r="AI73">
            <v>2.0408163265305923E-2</v>
          </cell>
          <cell r="AL73">
            <v>-0.78236914600551022</v>
          </cell>
          <cell r="AM73">
            <v>7.1012658227848302</v>
          </cell>
          <cell r="AN73">
            <v>3.7453125000000016</v>
          </cell>
          <cell r="AO73">
            <v>3.7723411261112938</v>
          </cell>
          <cell r="AP73">
            <v>1.0692995529061102</v>
          </cell>
          <cell r="AQ73">
            <v>0.10658984515664405</v>
          </cell>
          <cell r="AR73">
            <v>-0.29079550927432485</v>
          </cell>
          <cell r="AS73">
            <v>9.1499999999999915E-2</v>
          </cell>
          <cell r="AT73">
            <v>6.778378378378358E-2</v>
          </cell>
          <cell r="AU73">
            <v>4.4699999999999962E-2</v>
          </cell>
          <cell r="AV73">
            <v>9.4729032258064949E-2</v>
          </cell>
          <cell r="AW73">
            <v>0.11809800000000004</v>
          </cell>
        </row>
        <row r="74">
          <cell r="I74" t="str">
            <v>Amortization</v>
          </cell>
          <cell r="P74">
            <v>-0.16500553709856036</v>
          </cell>
          <cell r="Q74">
            <v>-6.5315315315315314E-2</v>
          </cell>
          <cell r="R74">
            <v>0.19211822660098532</v>
          </cell>
          <cell r="S74">
            <v>-0.71504237288135597</v>
          </cell>
          <cell r="T74">
            <v>0.43368700265251947</v>
          </cell>
          <cell r="U74">
            <v>-0.23373493975903625</v>
          </cell>
          <cell r="V74">
            <v>0.86880165289256062</v>
          </cell>
          <cell r="W74">
            <v>5.6245353159851348</v>
          </cell>
          <cell r="X74">
            <v>0.67345050878815815</v>
          </cell>
          <cell r="Y74">
            <v>1.8018867924528332</v>
          </cell>
          <cell r="Z74">
            <v>-1.4925373134326736E-2</v>
          </cell>
          <cell r="AA74">
            <v>1.5151515151513362E-2</v>
          </cell>
          <cell r="AB74">
            <v>-1.4925373134326736E-2</v>
          </cell>
          <cell r="AC74">
            <v>0.51515151515151381</v>
          </cell>
          <cell r="AD74">
            <v>0.51515151515151381</v>
          </cell>
          <cell r="AE74">
            <v>21.388059701492555</v>
          </cell>
          <cell r="AF74">
            <v>33.848484848484816</v>
          </cell>
          <cell r="AG74">
            <v>21.999999999999996</v>
          </cell>
          <cell r="AH74">
            <v>21.999999999999996</v>
          </cell>
          <cell r="AI74">
            <v>0.53333333333333321</v>
          </cell>
          <cell r="AL74">
            <v>2.3877745940783188</v>
          </cell>
          <cell r="AM74">
            <v>-0.20468001127713564</v>
          </cell>
          <cell r="AN74">
            <v>0.88160226869904279</v>
          </cell>
          <cell r="AO74">
            <v>0.35305199698568202</v>
          </cell>
          <cell r="AP74">
            <v>5.6390977443609023</v>
          </cell>
          <cell r="AQ74">
            <v>4.2095130237825593</v>
          </cell>
          <cell r="AR74">
            <v>8.6956521739130599E-2</v>
          </cell>
          <cell r="AS74">
            <v>0</v>
          </cell>
          <cell r="AT74">
            <v>0</v>
          </cell>
          <cell r="AU74">
            <v>0</v>
          </cell>
          <cell r="AV74">
            <v>0</v>
          </cell>
          <cell r="AW74">
            <v>0</v>
          </cell>
        </row>
        <row r="75">
          <cell r="I75" t="str">
            <v>Total operating expenses (adjusted)</v>
          </cell>
          <cell r="P75">
            <v>1.0059809940824649</v>
          </cell>
          <cell r="Q75">
            <v>0.75765405681833498</v>
          </cell>
          <cell r="R75">
            <v>0.76232897692464774</v>
          </cell>
          <cell r="S75">
            <v>1.181437599527277</v>
          </cell>
          <cell r="T75">
            <v>0.66663239562490628</v>
          </cell>
          <cell r="U75">
            <v>0.85424099964779554</v>
          </cell>
          <cell r="V75">
            <v>0.84390434669254488</v>
          </cell>
          <cell r="W75">
            <v>0.55236674165557131</v>
          </cell>
          <cell r="X75">
            <v>1.9805394478347109</v>
          </cell>
          <cell r="Y75">
            <v>1.9170145555899656</v>
          </cell>
          <cell r="Z75">
            <v>1.7798515376458117</v>
          </cell>
          <cell r="AA75">
            <v>1.3598977880699512</v>
          </cell>
          <cell r="AB75">
            <v>0.40196879164338228</v>
          </cell>
          <cell r="AC75">
            <v>0.32968964990062699</v>
          </cell>
          <cell r="AD75">
            <v>0.29816128786144769</v>
          </cell>
          <cell r="AE75">
            <v>0.20867593814502761</v>
          </cell>
          <cell r="AF75">
            <v>0.10998344269332194</v>
          </cell>
          <cell r="AG75">
            <v>-2.8281690140845028E-2</v>
          </cell>
          <cell r="AH75">
            <v>6.6440346752867363E-3</v>
          </cell>
          <cell r="AI75">
            <v>8.2006159014557767E-2</v>
          </cell>
          <cell r="AL75">
            <v>0.21227803262565015</v>
          </cell>
          <cell r="AM75">
            <v>0.94252057590345406</v>
          </cell>
          <cell r="AN75">
            <v>0.70593907080779372</v>
          </cell>
          <cell r="AO75">
            <v>1.7162675490608628</v>
          </cell>
          <cell r="AP75">
            <v>0.3038196094834309</v>
          </cell>
          <cell r="AQ75">
            <v>4.1985188182626754E-2</v>
          </cell>
          <cell r="AR75">
            <v>-2.4872467974471624E-3</v>
          </cell>
          <cell r="AS75">
            <v>8.4388765648497399E-2</v>
          </cell>
          <cell r="AT75">
            <v>5.649502901978587E-2</v>
          </cell>
          <cell r="AU75">
            <v>2.8938624255763656E-2</v>
          </cell>
          <cell r="AV75">
            <v>7.3595000752746387E-4</v>
          </cell>
          <cell r="AW75">
            <v>7.3616863674295985E-2</v>
          </cell>
        </row>
        <row r="76">
          <cell r="I76" t="str">
            <v>Operating income (adjusted)</v>
          </cell>
          <cell r="P76">
            <v>-0.15187604046612857</v>
          </cell>
          <cell r="Q76">
            <v>0.2222955725728375</v>
          </cell>
          <cell r="R76">
            <v>-0.24610301986878236</v>
          </cell>
          <cell r="S76">
            <v>-0.14860720137809214</v>
          </cell>
          <cell r="T76">
            <v>-1.0693255106662918</v>
          </cell>
          <cell r="U76">
            <v>-0.90402549238468921</v>
          </cell>
          <cell r="V76">
            <v>-1.3882853968645854</v>
          </cell>
          <cell r="W76">
            <v>-1.6448874851954198</v>
          </cell>
          <cell r="X76">
            <v>-38.408525202240746</v>
          </cell>
          <cell r="Y76">
            <v>20.747889701744285</v>
          </cell>
          <cell r="Z76">
            <v>-3.658798283261798</v>
          </cell>
          <cell r="AA76">
            <v>0.28822314049586395</v>
          </cell>
          <cell r="AB76">
            <v>0.34381315966763881</v>
          </cell>
          <cell r="AC76">
            <v>-0.59245458779692428</v>
          </cell>
          <cell r="AD76">
            <v>-0.40193704600484903</v>
          </cell>
          <cell r="AE76">
            <v>3.899759422614288</v>
          </cell>
          <cell r="AF76">
            <v>5.3810160427808063E-2</v>
          </cell>
          <cell r="AG76">
            <v>1.5542228571428467</v>
          </cell>
          <cell r="AH76">
            <v>-6.0259966261808859</v>
          </cell>
          <cell r="AI76">
            <v>0.55913911620294576</v>
          </cell>
          <cell r="AL76">
            <v>-0.15429988070054068</v>
          </cell>
          <cell r="AM76">
            <v>-8.3129250987199033E-2</v>
          </cell>
          <cell r="AN76">
            <v>-1.2093411653006492</v>
          </cell>
          <cell r="AO76">
            <v>-7.446627141334881</v>
          </cell>
          <cell r="AP76">
            <v>-0.72937407025975332</v>
          </cell>
          <cell r="AQ76">
            <v>-2.046390486257927</v>
          </cell>
          <cell r="AR76">
            <v>11.847488810320838</v>
          </cell>
          <cell r="AS76">
            <v>0.60870073668954938</v>
          </cell>
          <cell r="AT76">
            <v>0.48088051009369348</v>
          </cell>
          <cell r="AU76">
            <v>0.39778430364415862</v>
          </cell>
          <cell r="AV76">
            <v>0.33833389352288878</v>
          </cell>
          <cell r="AW76">
            <v>0.17089177329455274</v>
          </cell>
        </row>
        <row r="77">
          <cell r="I77" t="str">
            <v>Adjusted EBITDA</v>
          </cell>
          <cell r="P77">
            <v>-0.15859683794466384</v>
          </cell>
          <cell r="Q77">
            <v>0.21462544589774124</v>
          </cell>
          <cell r="R77">
            <v>-0.25472887767969754</v>
          </cell>
          <cell r="S77">
            <v>-0.1862186788154887</v>
          </cell>
          <cell r="T77">
            <v>-1.0980622431004099</v>
          </cell>
          <cell r="U77">
            <v>-0.95154185022026327</v>
          </cell>
          <cell r="V77">
            <v>-1.5236886632825728</v>
          </cell>
          <cell r="W77">
            <v>-1.8432470258922313</v>
          </cell>
          <cell r="X77">
            <v>-30.34131736526977</v>
          </cell>
          <cell r="Y77">
            <v>35.464646464645696</v>
          </cell>
          <cell r="Z77">
            <v>-1.8804523424878834</v>
          </cell>
          <cell r="AA77">
            <v>0.8174273858921135</v>
          </cell>
          <cell r="AB77">
            <v>-2.0408163265307144E-2</v>
          </cell>
          <cell r="AC77">
            <v>-0.88919667590027496</v>
          </cell>
          <cell r="AD77">
            <v>-2.4844036697247818</v>
          </cell>
          <cell r="AE77">
            <v>2.4611872146118778</v>
          </cell>
          <cell r="AF77">
            <v>-2.916666666666623E-2</v>
          </cell>
          <cell r="AG77">
            <v>6.4247249999998646</v>
          </cell>
          <cell r="AH77">
            <v>5.4576804697156396</v>
          </cell>
          <cell r="AI77">
            <v>0.4546622691292872</v>
          </cell>
          <cell r="AL77">
            <v>-0.14920328343795275</v>
          </cell>
          <cell r="AM77">
            <v>-9.8041997729852337E-2</v>
          </cell>
          <cell r="AN77">
            <v>-1.2976246657228265</v>
          </cell>
          <cell r="AO77">
            <v>-4.5280126849894016</v>
          </cell>
          <cell r="AP77">
            <v>-1.5271910112359557</v>
          </cell>
          <cell r="AQ77">
            <v>1.4497622904234242</v>
          </cell>
          <cell r="AR77">
            <v>3.1936928770454998</v>
          </cell>
          <cell r="AS77">
            <v>0.54634400654084669</v>
          </cell>
          <cell r="AT77">
            <v>0.44572498599367116</v>
          </cell>
          <cell r="AU77">
            <v>0.37559120880279995</v>
          </cell>
          <cell r="AV77">
            <v>0.32670528871910798</v>
          </cell>
          <cell r="AW77">
            <v>0.16881228471673437</v>
          </cell>
        </row>
        <row r="78">
          <cell r="I78" t="str">
            <v>Net income (adjusted)</v>
          </cell>
          <cell r="P78">
            <v>-0.1584434259009615</v>
          </cell>
          <cell r="Q78">
            <v>0.19276072564697855</v>
          </cell>
          <cell r="R78">
            <v>-0.26277471902443472</v>
          </cell>
          <cell r="S78">
            <v>-0.10027648248256382</v>
          </cell>
          <cell r="T78">
            <v>-1.0411875266979917</v>
          </cell>
          <cell r="U78">
            <v>-1.1433179557413671</v>
          </cell>
          <cell r="V78">
            <v>-1.2144735217874341</v>
          </cell>
          <cell r="W78">
            <v>-1.346617437967252</v>
          </cell>
          <cell r="X78">
            <v>-66.147790914748938</v>
          </cell>
          <cell r="Y78">
            <v>-15.849490758204558</v>
          </cell>
          <cell r="Z78">
            <v>-6.8624708624708513</v>
          </cell>
          <cell r="AA78">
            <v>5.7877813504819464E-2</v>
          </cell>
          <cell r="AB78">
            <v>0.33548248441865347</v>
          </cell>
          <cell r="AC78">
            <v>-0.54503886602651885</v>
          </cell>
          <cell r="AD78">
            <v>-0.35652750165673164</v>
          </cell>
          <cell r="AE78">
            <v>4.9675785207700311</v>
          </cell>
          <cell r="AF78">
            <v>2.2046990666237942E-2</v>
          </cell>
          <cell r="AG78">
            <v>1.2153847361808965</v>
          </cell>
          <cell r="AH78">
            <v>-3.3369685486437173</v>
          </cell>
          <cell r="AI78">
            <v>0.62638250696524223</v>
          </cell>
          <cell r="AL78">
            <v>-0.12020093776988017</v>
          </cell>
          <cell r="AM78">
            <v>-8.3549612239758431E-2</v>
          </cell>
          <cell r="AN78">
            <v>-1.1791467121275008</v>
          </cell>
          <cell r="AO78">
            <v>-9.4043160603270994</v>
          </cell>
          <cell r="AP78">
            <v>-0.43271184054385414</v>
          </cell>
          <cell r="AQ78">
            <v>-0.51377709898036028</v>
          </cell>
          <cell r="AR78">
            <v>-8.372443715000685</v>
          </cell>
          <cell r="AS78">
            <v>0.65146947373285635</v>
          </cell>
          <cell r="AT78">
            <v>0.50083712681632742</v>
          </cell>
          <cell r="AU78">
            <v>0.39724856984200296</v>
          </cell>
          <cell r="AV78">
            <v>0.33908802582014985</v>
          </cell>
          <cell r="AW78">
            <v>0.17449608428744412</v>
          </cell>
        </row>
        <row r="79">
          <cell r="I79" t="str">
            <v>EPS (adjusted)</v>
          </cell>
          <cell r="P79">
            <v>-0.15844342590096161</v>
          </cell>
          <cell r="Q79">
            <v>0.19276072564697877</v>
          </cell>
          <cell r="R79">
            <v>-0.26277471902443472</v>
          </cell>
          <cell r="S79">
            <v>-0.10027648248256393</v>
          </cell>
          <cell r="T79">
            <v>-1.032669790059197</v>
          </cell>
          <cell r="U79">
            <v>-1.1136792592601108</v>
          </cell>
          <cell r="V79">
            <v>-1.168644302387472</v>
          </cell>
          <cell r="W79">
            <v>-1.2773619705492849</v>
          </cell>
          <cell r="X79">
            <v>-74.232404659282281</v>
          </cell>
          <cell r="Y79">
            <v>-15.710400403938918</v>
          </cell>
          <cell r="Z79">
            <v>-6.6670674978906543</v>
          </cell>
          <cell r="AA79">
            <v>-8.8136051431489726E-2</v>
          </cell>
          <cell r="AB79">
            <v>8.9175258253316514E-2</v>
          </cell>
          <cell r="AC79">
            <v>-0.58232494203106389</v>
          </cell>
          <cell r="AD79">
            <v>-0.5417834578046602</v>
          </cell>
          <cell r="AE79">
            <v>3.5795343473729604</v>
          </cell>
          <cell r="AF79">
            <v>-0.24296403928547627</v>
          </cell>
          <cell r="AG79">
            <v>0.65004739324828176</v>
          </cell>
          <cell r="AH79">
            <v>-3.2663646429946884</v>
          </cell>
          <cell r="AI79">
            <v>0.60893960428621852</v>
          </cell>
          <cell r="AL79">
            <v>-1.8584536040397559E-2</v>
          </cell>
          <cell r="AM79">
            <v>-8.354961223975832E-2</v>
          </cell>
          <cell r="AN79">
            <v>-1.1420984930198834</v>
          </cell>
          <cell r="AO79">
            <v>-9.3610619658522491</v>
          </cell>
          <cell r="AP79">
            <v>-0.55479369719120097</v>
          </cell>
          <cell r="AQ79">
            <v>-0.57869238073735563</v>
          </cell>
          <cell r="AR79">
            <v>-8.1160533475810439</v>
          </cell>
          <cell r="AS79">
            <v>0.62755175042568045</v>
          </cell>
          <cell r="AT79">
            <v>0.47909453752049735</v>
          </cell>
          <cell r="AU79">
            <v>0.37700076612848021</v>
          </cell>
          <cell r="AV79">
            <v>0.31967746465803293</v>
          </cell>
          <cell r="AW79">
            <v>0.15746652354911039</v>
          </cell>
        </row>
        <row r="81">
          <cell r="I81" t="str">
            <v>Q/Q growth</v>
          </cell>
        </row>
        <row r="82">
          <cell r="I82" t="str">
            <v>Total Revenue</v>
          </cell>
          <cell r="M82">
            <v>1.082360172095882</v>
          </cell>
          <cell r="N82">
            <v>0.21103896103896091</v>
          </cell>
          <cell r="O82">
            <v>0.73092858883743617</v>
          </cell>
          <cell r="P82">
            <v>0.24260771613629939</v>
          </cell>
          <cell r="Q82">
            <v>4.9065155807365368E-2</v>
          </cell>
          <cell r="R82">
            <v>0.1885936487362283</v>
          </cell>
          <cell r="S82">
            <v>0.70310796074154847</v>
          </cell>
          <cell r="T82">
            <v>0.14684381836614913</v>
          </cell>
          <cell r="U82">
            <v>4.438654445633472E-2</v>
          </cell>
          <cell r="V82">
            <v>0.12215440816144696</v>
          </cell>
          <cell r="W82">
            <v>0.37159077375044669</v>
          </cell>
          <cell r="X82">
            <v>0.38527887927291671</v>
          </cell>
          <cell r="Y82">
            <v>0.16109486000835771</v>
          </cell>
          <cell r="Z82">
            <v>0.11615979845240232</v>
          </cell>
          <cell r="AA82">
            <v>0.22289399435711399</v>
          </cell>
          <cell r="AB82">
            <v>-0.14805537244561617</v>
          </cell>
          <cell r="AC82">
            <v>0.2584339213865674</v>
          </cell>
          <cell r="AD82">
            <v>6.147319232661097E-2</v>
          </cell>
          <cell r="AE82">
            <v>0.26843452774012655</v>
          </cell>
          <cell r="AF82">
            <v>-0.33674308155995969</v>
          </cell>
          <cell r="AG82">
            <v>3.581657945469563E-2</v>
          </cell>
          <cell r="AH82">
            <v>0.26229244492894277</v>
          </cell>
          <cell r="AI82">
            <v>0.26843452774012677</v>
          </cell>
        </row>
        <row r="83">
          <cell r="I83" t="str">
            <v>Millennial Media revenue</v>
          </cell>
          <cell r="X83">
            <v>-4.6860980057309876E-2</v>
          </cell>
          <cell r="Y83">
            <v>0.19681141815973291</v>
          </cell>
          <cell r="Z83">
            <v>0.20184720002029888</v>
          </cell>
          <cell r="AA83">
            <v>0.22366254275218478</v>
          </cell>
          <cell r="AB83">
            <v>-0.14703243616287076</v>
          </cell>
          <cell r="AC83">
            <v>0.15314130830535211</v>
          </cell>
          <cell r="AD83">
            <v>-1.6628953323159501E-2</v>
          </cell>
          <cell r="AE83">
            <v>0.31481778776689651</v>
          </cell>
          <cell r="AF83">
            <v>-0.27581253476435541</v>
          </cell>
          <cell r="AG83">
            <v>-5.4386863657807205E-2</v>
          </cell>
          <cell r="AH83">
            <v>0.16526196891456535</v>
          </cell>
          <cell r="AI83">
            <v>0.37849315045436382</v>
          </cell>
        </row>
        <row r="84">
          <cell r="I84" t="str">
            <v>Jumptap revenue</v>
          </cell>
          <cell r="X84" t="str">
            <v>NA</v>
          </cell>
          <cell r="Y84">
            <v>8.231748158070995E-2</v>
          </cell>
          <cell r="Z84">
            <v>-9.2827526455845022E-2</v>
          </cell>
          <cell r="AA84">
            <v>0.22041066921345309</v>
          </cell>
          <cell r="AB84">
            <v>-0.1513694801565123</v>
          </cell>
          <cell r="AC84">
            <v>0.60130417599789143</v>
          </cell>
          <cell r="AD84">
            <v>0.24462177615071412</v>
          </cell>
          <cell r="AE84">
            <v>0.18249719082556726</v>
          </cell>
          <cell r="AF84">
            <v>-0.46226545730909308</v>
          </cell>
          <cell r="AG84">
            <v>0.28607705080371493</v>
          </cell>
          <cell r="AH84">
            <v>0.46022799993776387</v>
          </cell>
          <cell r="AI84">
            <v>8.9273879315882709E-2</v>
          </cell>
        </row>
        <row r="85">
          <cell r="I85" t="str">
            <v>Gross profit</v>
          </cell>
          <cell r="M85">
            <v>2.448387096774193</v>
          </cell>
          <cell r="N85">
            <v>0.22544434050514472</v>
          </cell>
          <cell r="O85">
            <v>0.47709923664122211</v>
          </cell>
          <cell r="P85">
            <v>0.53281653746769941</v>
          </cell>
          <cell r="Q85">
            <v>-6.2710721510451761E-2</v>
          </cell>
          <cell r="R85">
            <v>0.40791366906474846</v>
          </cell>
          <cell r="S85">
            <v>0.67756770567194669</v>
          </cell>
          <cell r="T85">
            <v>0.20682302771854988</v>
          </cell>
          <cell r="U85">
            <v>0.10701665825340756</v>
          </cell>
          <cell r="V85">
            <v>0.12813497492020098</v>
          </cell>
          <cell r="W85">
            <v>0.36327809215844775</v>
          </cell>
          <cell r="X85">
            <v>0.39426284189459637</v>
          </cell>
          <cell r="Y85">
            <v>0.16267942583732053</v>
          </cell>
          <cell r="Z85">
            <v>0.1419753086419755</v>
          </cell>
          <cell r="AA85">
            <v>0.23323323323323297</v>
          </cell>
          <cell r="AB85">
            <v>-0.13538961038961028</v>
          </cell>
          <cell r="AC85">
            <v>0.24070597070972544</v>
          </cell>
          <cell r="AD85">
            <v>7.536319612591047E-3</v>
          </cell>
          <cell r="AE85">
            <v>0.25657123974886598</v>
          </cell>
          <cell r="AF85">
            <v>-0.28532153956490547</v>
          </cell>
          <cell r="AG85">
            <v>-1.8692423482187692E-2</v>
          </cell>
          <cell r="AH85">
            <v>0.29465891787583876</v>
          </cell>
          <cell r="AI85">
            <v>0.26843452774012677</v>
          </cell>
        </row>
        <row r="86">
          <cell r="I86" t="str">
            <v>Sales and marketing</v>
          </cell>
          <cell r="M86">
            <v>0.44005449591280654</v>
          </cell>
          <cell r="N86">
            <v>1.4191106906338735E-2</v>
          </cell>
          <cell r="O86">
            <v>0.53638059701492535</v>
          </cell>
          <cell r="P86">
            <v>0.21554341226472351</v>
          </cell>
          <cell r="Q86">
            <v>-4.4955044955044876E-2</v>
          </cell>
          <cell r="R86">
            <v>3.608786610878667E-2</v>
          </cell>
          <cell r="S86">
            <v>0.25441696113074186</v>
          </cell>
          <cell r="T86">
            <v>0.35573440643863186</v>
          </cell>
          <cell r="U86">
            <v>5.1350549124369316E-2</v>
          </cell>
          <cell r="V86">
            <v>-0.10954263128176167</v>
          </cell>
          <cell r="W86">
            <v>0.2869372225745086</v>
          </cell>
          <cell r="X86">
            <v>1.1581670362158167</v>
          </cell>
          <cell r="Y86">
            <v>0.1917808219178081</v>
          </cell>
          <cell r="Z86">
            <v>-7.3754789272030608E-2</v>
          </cell>
          <cell r="AA86">
            <v>0.25749741468459164</v>
          </cell>
          <cell r="AB86">
            <v>6.7434210526315708E-2</v>
          </cell>
          <cell r="AC86">
            <v>7.7041602465331316E-2</v>
          </cell>
          <cell r="AD86">
            <v>-1.3376251788268956E-2</v>
          </cell>
          <cell r="AE86">
            <v>0.16290872181541349</v>
          </cell>
          <cell r="AF86">
            <v>-0.18478802992518695</v>
          </cell>
          <cell r="AG86">
            <v>3.5468033037626245E-2</v>
          </cell>
          <cell r="AH86">
            <v>1.684669174831499E-2</v>
          </cell>
          <cell r="AI86">
            <v>0.22469540609391547</v>
          </cell>
        </row>
        <row r="87">
          <cell r="I87" t="str">
            <v>Technology and development</v>
          </cell>
          <cell r="M87">
            <v>0.17889908256880727</v>
          </cell>
          <cell r="N87">
            <v>7.0038910505836549E-2</v>
          </cell>
          <cell r="O87">
            <v>0.21090909090909093</v>
          </cell>
          <cell r="P87">
            <v>0.45945945945945943</v>
          </cell>
          <cell r="Q87">
            <v>0.15020576131687258</v>
          </cell>
          <cell r="R87">
            <v>-6.6189624329159313E-2</v>
          </cell>
          <cell r="S87">
            <v>0.14176245210727956</v>
          </cell>
          <cell r="T87">
            <v>8.0536912751677958E-2</v>
          </cell>
          <cell r="U87">
            <v>0.42546583850931663</v>
          </cell>
          <cell r="V87">
            <v>0.23420479302832264</v>
          </cell>
          <cell r="W87">
            <v>0.30538393645189776</v>
          </cell>
          <cell r="X87">
            <v>2.9824205544286677</v>
          </cell>
          <cell r="Y87">
            <v>3.5653650254668934E-2</v>
          </cell>
          <cell r="Z87">
            <v>0.28360655737704921</v>
          </cell>
          <cell r="AA87">
            <v>-0.13665389527458494</v>
          </cell>
          <cell r="AB87">
            <v>0.19970414201183417</v>
          </cell>
          <cell r="AC87">
            <v>2.8360049321825009E-2</v>
          </cell>
          <cell r="AD87">
            <v>-5.4676258992805704E-2</v>
          </cell>
          <cell r="AE87">
            <v>0.13774733637747349</v>
          </cell>
          <cell r="AF87">
            <v>-0.18182831661092536</v>
          </cell>
          <cell r="AG87">
            <v>-0.18004087750374709</v>
          </cell>
          <cell r="AH87">
            <v>0.26229244492894277</v>
          </cell>
          <cell r="AI87">
            <v>0.26843452774012677</v>
          </cell>
        </row>
        <row r="88">
          <cell r="I88" t="str">
            <v>General and administrative</v>
          </cell>
          <cell r="M88">
            <v>3.8841807909604675E-2</v>
          </cell>
          <cell r="N88">
            <v>7.7498300475866699E-2</v>
          </cell>
          <cell r="O88">
            <v>0.10599369085173493</v>
          </cell>
          <cell r="P88">
            <v>0.26811180832857961</v>
          </cell>
          <cell r="Q88">
            <v>7.8272604588394135E-2</v>
          </cell>
          <cell r="R88">
            <v>0.10429703796412193</v>
          </cell>
          <cell r="S88">
            <v>0.88741972043823236</v>
          </cell>
          <cell r="T88">
            <v>-0.23298638911128911</v>
          </cell>
          <cell r="U88">
            <v>0.18293319415448872</v>
          </cell>
          <cell r="V88">
            <v>0.14934921685418034</v>
          </cell>
          <cell r="W88">
            <v>0.35335892514395395</v>
          </cell>
          <cell r="X88">
            <v>0.23103105942419511</v>
          </cell>
          <cell r="Y88">
            <v>0.11635944700460832</v>
          </cell>
          <cell r="Z88">
            <v>-9.3911248710010109E-2</v>
          </cell>
          <cell r="AA88">
            <v>0.21867881548974921</v>
          </cell>
          <cell r="AB88">
            <v>8.3177570093458275E-2</v>
          </cell>
          <cell r="AC88">
            <v>8.4555651423640743E-2</v>
          </cell>
          <cell r="AD88">
            <v>-9.3078758949880491E-3</v>
          </cell>
          <cell r="AE88">
            <v>-1.9513370272223551E-2</v>
          </cell>
          <cell r="AF88">
            <v>0.4812448812448813</v>
          </cell>
          <cell r="AG88">
            <v>-8.5003870396992087E-2</v>
          </cell>
          <cell r="AH88">
            <v>-8.1969130960768855E-2</v>
          </cell>
          <cell r="AI88">
            <v>-4.8674104194904921E-2</v>
          </cell>
        </row>
        <row r="89">
          <cell r="I89" t="str">
            <v>Stock-based compensation (SBC)</v>
          </cell>
          <cell r="M89">
            <v>0.21212121212121215</v>
          </cell>
          <cell r="N89">
            <v>0.75000000000000022</v>
          </cell>
          <cell r="O89">
            <v>-1.4285714285714346E-2</v>
          </cell>
          <cell r="P89">
            <v>0.1159420289855071</v>
          </cell>
          <cell r="Q89">
            <v>0.49350649350649367</v>
          </cell>
          <cell r="R89">
            <v>-0.15652173913043477</v>
          </cell>
          <cell r="S89">
            <v>0.268041237113402</v>
          </cell>
          <cell r="T89">
            <v>-0.17073170731707321</v>
          </cell>
          <cell r="U89">
            <v>2.8921568627450984</v>
          </cell>
          <cell r="V89">
            <v>0.52644836272040285</v>
          </cell>
          <cell r="W89">
            <v>0.20132013201320142</v>
          </cell>
          <cell r="X89">
            <v>0.68956043956043955</v>
          </cell>
          <cell r="Y89">
            <v>-0.10569105691056901</v>
          </cell>
          <cell r="Z89">
            <v>2.0454545454545454</v>
          </cell>
          <cell r="AA89">
            <v>-0.30447761194029854</v>
          </cell>
          <cell r="AB89">
            <v>-0.24034334763948495</v>
          </cell>
          <cell r="AC89">
            <v>1.0451977401129944</v>
          </cell>
          <cell r="AD89">
            <v>-0.48618784530386738</v>
          </cell>
          <cell r="AE89">
            <v>0.20967741935483875</v>
          </cell>
          <cell r="AF89">
            <v>0.67644444444444463</v>
          </cell>
          <cell r="AG89">
            <v>6.0445387062566303E-2</v>
          </cell>
          <cell r="AH89">
            <v>0</v>
          </cell>
          <cell r="AI89">
            <v>0</v>
          </cell>
        </row>
        <row r="90">
          <cell r="I90" t="str">
            <v>Depreciation</v>
          </cell>
          <cell r="M90">
            <v>1</v>
          </cell>
          <cell r="N90">
            <v>4.3333333333333641</v>
          </cell>
          <cell r="O90">
            <v>0.18749999999999534</v>
          </cell>
          <cell r="P90">
            <v>1.000000000000008</v>
          </cell>
          <cell r="Q90">
            <v>1.3157894736842035E-2</v>
          </cell>
          <cell r="R90">
            <v>0.27272727272727315</v>
          </cell>
          <cell r="S90">
            <v>2.9693877551020398</v>
          </cell>
          <cell r="T90">
            <v>-0.33419023136246773</v>
          </cell>
          <cell r="U90">
            <v>1.5945945945945943</v>
          </cell>
          <cell r="V90">
            <v>0.22946428571428612</v>
          </cell>
          <cell r="W90">
            <v>0.54901960784313619</v>
          </cell>
          <cell r="X90">
            <v>1.0379746835443049</v>
          </cell>
          <cell r="Y90">
            <v>0.16770186335403703</v>
          </cell>
          <cell r="Z90">
            <v>0.23049645390070927</v>
          </cell>
          <cell r="AA90">
            <v>0.35878962536023074</v>
          </cell>
          <cell r="AB90">
            <v>0.25556733828207823</v>
          </cell>
          <cell r="AC90">
            <v>0.14020270270270263</v>
          </cell>
          <cell r="AD90">
            <v>0.14814814814814814</v>
          </cell>
          <cell r="AE90">
            <v>-5.161290322580625E-2</v>
          </cell>
          <cell r="AF90">
            <v>0.11972789115646276</v>
          </cell>
          <cell r="AG90">
            <v>-8.8699878493317286E-2</v>
          </cell>
          <cell r="AH90">
            <v>0</v>
          </cell>
          <cell r="AI90">
            <v>0</v>
          </cell>
        </row>
        <row r="91">
          <cell r="I91" t="str">
            <v>Amortization</v>
          </cell>
          <cell r="M91">
            <v>-1.6611295681063232E-2</v>
          </cell>
          <cell r="N91">
            <v>-8.5585585585585711E-2</v>
          </cell>
          <cell r="O91">
            <v>0.16256157635467994</v>
          </cell>
          <cell r="P91">
            <v>-0.20127118644067787</v>
          </cell>
          <cell r="Q91">
            <v>0.10079575596816959</v>
          </cell>
          <cell r="R91">
            <v>0.16626506024096366</v>
          </cell>
          <cell r="S91">
            <v>-0.72210743801652888</v>
          </cell>
          <cell r="T91">
            <v>3.0185873605947942</v>
          </cell>
          <cell r="U91">
            <v>-0.41165587419056426</v>
          </cell>
          <cell r="V91">
            <v>1.8443396226415079</v>
          </cell>
          <cell r="W91">
            <v>-1.4925373134326736E-2</v>
          </cell>
          <cell r="X91">
            <v>1.5151515151513362E-2</v>
          </cell>
          <cell r="Y91">
            <v>-1.4925373134326736E-2</v>
          </cell>
          <cell r="Z91">
            <v>0</v>
          </cell>
          <cell r="AA91">
            <v>1.5151515151513362E-2</v>
          </cell>
          <cell r="AB91">
            <v>-1.4925373134326736E-2</v>
          </cell>
          <cell r="AC91">
            <v>0.51515151515151381</v>
          </cell>
          <cell r="AD91">
            <v>0</v>
          </cell>
          <cell r="AE91">
            <v>14</v>
          </cell>
          <cell r="AF91">
            <v>0.53333333333333321</v>
          </cell>
          <cell r="AG91">
            <v>0</v>
          </cell>
          <cell r="AH91">
            <v>0</v>
          </cell>
          <cell r="AI91">
            <v>0</v>
          </cell>
        </row>
        <row r="92">
          <cell r="I92" t="str">
            <v>Total operating expenses (adjusted)</v>
          </cell>
          <cell r="M92">
            <v>0.17885869306553737</v>
          </cell>
          <cell r="N92">
            <v>5.4436324976112616E-2</v>
          </cell>
          <cell r="O92">
            <v>0.27433888094751868</v>
          </cell>
          <cell r="P92">
            <v>0.26636754233977977</v>
          </cell>
          <cell r="Q92">
            <v>3.2923926195993714E-2</v>
          </cell>
          <cell r="R92">
            <v>5.7240861828706135E-2</v>
          </cell>
          <cell r="S92">
            <v>0.57739604003418266</v>
          </cell>
          <cell r="T92">
            <v>-3.2487029980258098E-2</v>
          </cell>
          <cell r="U92">
            <v>0.14919756660054873</v>
          </cell>
          <cell r="V92">
            <v>5.1347166305357517E-2</v>
          </cell>
          <cell r="W92">
            <v>0.32799575821845184</v>
          </cell>
          <cell r="X92">
            <v>0.85762197556496034</v>
          </cell>
          <cell r="Y92">
            <v>0.12470446631990706</v>
          </cell>
          <cell r="Z92">
            <v>1.9110227793917023E-3</v>
          </cell>
          <cell r="AA92">
            <v>0.12737468528267337</v>
          </cell>
          <cell r="AB92">
            <v>0.10357662504652643</v>
          </cell>
          <cell r="AC92">
            <v>6.6719813576991527E-2</v>
          </cell>
          <cell r="AD92">
            <v>-2.1845357861454584E-2</v>
          </cell>
          <cell r="AE92">
            <v>4.9662062885689195E-2</v>
          </cell>
          <cell r="AF92">
            <v>1.3465845464725623E-2</v>
          </cell>
          <cell r="AG92">
            <v>-6.6156183530841628E-2</v>
          </cell>
          <cell r="AH92">
            <v>1.3311703101927419E-2</v>
          </cell>
          <cell r="AI92">
            <v>0.12824471988511599</v>
          </cell>
        </row>
        <row r="93">
          <cell r="I93" t="str">
            <v>Operating income (adjusted)</v>
          </cell>
          <cell r="M93">
            <v>-0.16865155589704173</v>
          </cell>
          <cell r="N93">
            <v>-5.4176568963999472E-2</v>
          </cell>
          <cell r="O93">
            <v>0.10748685496254162</v>
          </cell>
          <cell r="P93">
            <v>-2.6070333179277649E-2</v>
          </cell>
          <cell r="Q93">
            <v>0.19811910873363447</v>
          </cell>
          <cell r="R93">
            <v>-0.41662765995751294</v>
          </cell>
          <cell r="S93">
            <v>0.25070978891494966</v>
          </cell>
          <cell r="T93">
            <v>-1.0793031977891816</v>
          </cell>
          <cell r="U93">
            <v>-2.6586807716241863</v>
          </cell>
          <cell r="V93">
            <v>-3.3601575689363901</v>
          </cell>
          <cell r="W93">
            <v>1.0772532188841155</v>
          </cell>
          <cell r="X93">
            <v>-5.6002066115702478</v>
          </cell>
          <cell r="Y93">
            <v>-3.5706265439029661E-2</v>
          </cell>
          <cell r="Z93">
            <v>-0.71145784816022339</v>
          </cell>
          <cell r="AA93">
            <v>-2.0064568200161386</v>
          </cell>
          <cell r="AB93">
            <v>-5.7987169206094729</v>
          </cell>
          <cell r="AC93">
            <v>-0.7075534759358274</v>
          </cell>
          <cell r="AD93">
            <v>-0.57657142857143451</v>
          </cell>
          <cell r="AE93">
            <v>-9.2456140350878009</v>
          </cell>
          <cell r="AF93">
            <v>-2.0320785597381339</v>
          </cell>
          <cell r="AG93">
            <v>-0.29116872819536932</v>
          </cell>
          <cell r="AH93">
            <v>-1.8331890717668666</v>
          </cell>
          <cell r="AI93">
            <v>1.5579124570535892</v>
          </cell>
        </row>
        <row r="94">
          <cell r="I94" t="str">
            <v>Adjusted EBITDA</v>
          </cell>
          <cell r="M94">
            <v>-0.16897233201581008</v>
          </cell>
          <cell r="N94">
            <v>-5.7074910820451574E-2</v>
          </cell>
          <cell r="O94">
            <v>0.10718789407313922</v>
          </cell>
          <cell r="P94">
            <v>-3.0182232346241067E-2</v>
          </cell>
          <cell r="Q94">
            <v>0.19964768056371174</v>
          </cell>
          <cell r="R94">
            <v>-0.4214390602055802</v>
          </cell>
          <cell r="S94">
            <v>0.20896785109983185</v>
          </cell>
          <cell r="T94">
            <v>-1.1168649405178432</v>
          </cell>
          <cell r="U94">
            <v>-1.5928143712575038</v>
          </cell>
          <cell r="V94">
            <v>-7.2525252525251318</v>
          </cell>
          <cell r="W94">
            <v>0.94668820678513366</v>
          </cell>
          <cell r="X94">
            <v>-5.0663900414937757</v>
          </cell>
          <cell r="Y94">
            <v>-0.26326530612244881</v>
          </cell>
          <cell r="Z94">
            <v>-0.8490304709141272</v>
          </cell>
          <cell r="AA94">
            <v>-5.018348623853198</v>
          </cell>
          <cell r="AB94">
            <v>-3.1917808219178094</v>
          </cell>
          <cell r="AC94">
            <v>-0.91666666666666508</v>
          </cell>
          <cell r="AD94">
            <v>-3.0224999999999818</v>
          </cell>
          <cell r="AE94">
            <v>8.3695920889986795</v>
          </cell>
          <cell r="AF94">
            <v>-1.6147757255936672</v>
          </cell>
          <cell r="AG94">
            <v>-0.36268454935622285</v>
          </cell>
          <cell r="AH94">
            <v>-2.7590764304401847</v>
          </cell>
          <cell r="AI94">
            <v>1.1106018101881729</v>
          </cell>
        </row>
        <row r="95">
          <cell r="I95" t="str">
            <v>Net income (adjusted)</v>
          </cell>
          <cell r="M95">
            <v>-0.16376381774063076</v>
          </cell>
          <cell r="N95">
            <v>-5.5240306078582879E-2</v>
          </cell>
          <cell r="O95">
            <v>0.10265277335396017</v>
          </cell>
          <cell r="P95">
            <v>-3.3961952709115284E-2</v>
          </cell>
          <cell r="Q95">
            <v>0.18521999145664325</v>
          </cell>
          <cell r="R95">
            <v>-0.41605997260866456</v>
          </cell>
          <cell r="S95">
            <v>0.34569806196765929</v>
          </cell>
          <cell r="T95">
            <v>-1.0442232720267846</v>
          </cell>
          <cell r="U95">
            <v>3.1241443683883325</v>
          </cell>
          <cell r="V95">
            <v>-0.12614107883816594</v>
          </cell>
          <cell r="W95">
            <v>1.1748251748251692</v>
          </cell>
          <cell r="X95">
            <v>-9.3118971061093241</v>
          </cell>
          <cell r="Y95">
            <v>-5.9961315280464E-2</v>
          </cell>
          <cell r="Z95">
            <v>-0.6550068587105623</v>
          </cell>
          <cell r="AA95">
            <v>-1.3924453280318074</v>
          </cell>
          <cell r="AB95">
            <v>-11.493076663289457</v>
          </cell>
          <cell r="AC95">
            <v>-0.67975539105246074</v>
          </cell>
          <cell r="AD95">
            <v>-0.51206030150754311</v>
          </cell>
          <cell r="AE95">
            <v>-4.6395468589083695</v>
          </cell>
          <cell r="AF95">
            <v>-2.7971137521222404</v>
          </cell>
          <cell r="AG95">
            <v>-0.3058391395055895</v>
          </cell>
          <cell r="AH95">
            <v>-1.5147185996132362</v>
          </cell>
          <cell r="AI95">
            <v>1.5328947400871904</v>
          </cell>
        </row>
        <row r="96">
          <cell r="I96" t="str">
            <v>EPS (adjusted)</v>
          </cell>
          <cell r="M96">
            <v>-0.16376381774063076</v>
          </cell>
          <cell r="N96">
            <v>-5.5240306078582768E-2</v>
          </cell>
          <cell r="O96">
            <v>0.10265277335396017</v>
          </cell>
          <cell r="P96">
            <v>-3.3961952709115395E-2</v>
          </cell>
          <cell r="Q96">
            <v>0.18521999145664347</v>
          </cell>
          <cell r="R96">
            <v>-0.41605997260866467</v>
          </cell>
          <cell r="S96">
            <v>0.34569806196765929</v>
          </cell>
          <cell r="T96">
            <v>-1.0350777317472732</v>
          </cell>
          <cell r="U96">
            <v>3.1241443683883325</v>
          </cell>
          <cell r="V96">
            <v>-0.13371920967391282</v>
          </cell>
          <cell r="W96">
            <v>1.2132112437107208</v>
          </cell>
          <cell r="X96">
            <v>-10.261639729335608</v>
          </cell>
          <cell r="Y96">
            <v>-0.17157144757293663</v>
          </cell>
          <cell r="Z96">
            <v>-0.66627205405031198</v>
          </cell>
          <cell r="AA96">
            <v>-1.3561184941695963</v>
          </cell>
          <cell r="AB96">
            <v>-12.062559123961668</v>
          </cell>
          <cell r="AC96">
            <v>-0.68231564109068221</v>
          </cell>
          <cell r="AD96">
            <v>-0.63387886705364993</v>
          </cell>
          <cell r="AE96">
            <v>-4.5591401130366913</v>
          </cell>
          <cell r="AF96">
            <v>-2.828735071978159</v>
          </cell>
          <cell r="AG96">
            <v>-0.30757021397066286</v>
          </cell>
          <cell r="AH96">
            <v>-1.5028728230219455</v>
          </cell>
          <cell r="AI96">
            <v>1.5267079164726809</v>
          </cell>
        </row>
        <row r="98">
          <cell r="I98" t="str">
            <v>% of revenue</v>
          </cell>
        </row>
        <row r="99">
          <cell r="I99" t="str">
            <v>Gross margin</v>
          </cell>
          <cell r="L99">
            <v>0.19053472649047329</v>
          </cell>
          <cell r="M99">
            <v>0.3155253837072019</v>
          </cell>
          <cell r="N99">
            <v>0.31927857665123072</v>
          </cell>
          <cell r="O99">
            <v>0.27245846240495641</v>
          </cell>
          <cell r="P99">
            <v>0.33609065155807361</v>
          </cell>
          <cell r="Q99">
            <v>0.30028083819399431</v>
          </cell>
          <cell r="R99">
            <v>0.35568884042166482</v>
          </cell>
          <cell r="S99">
            <v>0.35035483698842107</v>
          </cell>
          <cell r="T99">
            <v>0.36867817428930344</v>
          </cell>
          <cell r="U99">
            <v>0.39078718759745174</v>
          </cell>
          <cell r="V99">
            <v>0.39286990352931839</v>
          </cell>
          <cell r="W99">
            <v>0.39048887087904138</v>
          </cell>
          <cell r="X99">
            <v>0.39302131216046798</v>
          </cell>
          <cell r="Y99">
            <v>0.39355767500449879</v>
          </cell>
          <cell r="Z99">
            <v>0.40266021765417176</v>
          </cell>
          <cell r="AA99">
            <v>0.40606460118655241</v>
          </cell>
          <cell r="AB99">
            <v>0.4121015165583411</v>
          </cell>
          <cell r="AC99">
            <v>0.40629611411706829</v>
          </cell>
          <cell r="AD99">
            <v>0.38565089957019894</v>
          </cell>
          <cell r="AE99">
            <v>0.38204402228514017</v>
          </cell>
          <cell r="AF99">
            <v>0.41166345359405127</v>
          </cell>
          <cell r="AG99">
            <v>0.39</v>
          </cell>
          <cell r="AH99">
            <v>0.4</v>
          </cell>
          <cell r="AI99">
            <v>0.4</v>
          </cell>
          <cell r="AK99">
            <v>0.20522209839197575</v>
          </cell>
          <cell r="AL99">
            <v>0.28508014796547465</v>
          </cell>
          <cell r="AM99">
            <v>0.33925733879735714</v>
          </cell>
          <cell r="AN99">
            <v>0.38661046702289781</v>
          </cell>
          <cell r="AO99">
            <v>0.39972234309276644</v>
          </cell>
          <cell r="AP99">
            <v>0.39440934721096477</v>
          </cell>
          <cell r="AQ99">
            <v>0.4002609634808052</v>
          </cell>
          <cell r="AR99">
            <v>0.4</v>
          </cell>
          <cell r="AS99">
            <v>0.4</v>
          </cell>
          <cell r="AT99">
            <v>0.4</v>
          </cell>
          <cell r="AU99">
            <v>0.4</v>
          </cell>
          <cell r="AV99">
            <v>0.4</v>
          </cell>
          <cell r="AW99">
            <v>0.39999999999999997</v>
          </cell>
        </row>
        <row r="100">
          <cell r="I100" t="str">
            <v>Sales and marketing</v>
          </cell>
          <cell r="L100">
            <v>0.45113706207744314</v>
          </cell>
          <cell r="M100">
            <v>0.31198347107438018</v>
          </cell>
          <cell r="N100">
            <v>0.26127223982451869</v>
          </cell>
          <cell r="O100">
            <v>0.23190650520980005</v>
          </cell>
          <cell r="P100">
            <v>0.22685552407932011</v>
          </cell>
          <cell r="Q100">
            <v>0.20652408727586952</v>
          </cell>
          <cell r="R100">
            <v>0.18002544529262088</v>
          </cell>
          <cell r="S100">
            <v>0.1325969798836775</v>
          </cell>
          <cell r="T100">
            <v>0.15674870888196157</v>
          </cell>
          <cell r="U100">
            <v>0.15779391455428343</v>
          </cell>
          <cell r="V100">
            <v>0.12521338679582358</v>
          </cell>
          <cell r="W100">
            <v>0.11748531071811051</v>
          </cell>
          <cell r="X100">
            <v>0.18303384872544923</v>
          </cell>
          <cell r="Y100">
            <v>0.18787115350008995</v>
          </cell>
          <cell r="Z100">
            <v>0.1559048770656993</v>
          </cell>
          <cell r="AA100">
            <v>0.16031641397495058</v>
          </cell>
          <cell r="AB100">
            <v>0.2008666047663262</v>
          </cell>
          <cell r="AC100">
            <v>0.17191342843089033</v>
          </cell>
          <cell r="AD100">
            <v>0.15979100777349137</v>
          </cell>
          <cell r="AE100">
            <v>0.14649739702255915</v>
          </cell>
          <cell r="AF100">
            <v>0.18006058936931973</v>
          </cell>
          <cell r="AG100">
            <v>0.18</v>
          </cell>
          <cell r="AH100">
            <v>0.14499999999999999</v>
          </cell>
          <cell r="AI100">
            <v>0.14000000000000001</v>
          </cell>
          <cell r="AK100">
            <v>0.54816112084063051</v>
          </cell>
          <cell r="AL100">
            <v>0.27805178791615293</v>
          </cell>
          <cell r="AM100">
            <v>0.17521117337124698</v>
          </cell>
          <cell r="AN100">
            <v>0.13622947973533439</v>
          </cell>
          <cell r="AO100">
            <v>0.17003377468349185</v>
          </cell>
          <cell r="AP100">
            <v>0.16618336849559179</v>
          </cell>
          <cell r="AQ100">
            <v>0.15759980910214413</v>
          </cell>
          <cell r="AR100">
            <v>0.14000000000000001</v>
          </cell>
          <cell r="AS100">
            <v>0.125</v>
          </cell>
          <cell r="AT100">
            <v>0.11</v>
          </cell>
          <cell r="AU100">
            <v>9.5000000000000001E-2</v>
          </cell>
          <cell r="AV100">
            <v>0.08</v>
          </cell>
          <cell r="AW100">
            <v>0.08</v>
          </cell>
        </row>
        <row r="101">
          <cell r="I101" t="str">
            <v>Technology and development</v>
          </cell>
          <cell r="L101">
            <v>0.13398893669330056</v>
          </cell>
          <cell r="M101">
            <v>7.5855962219598588E-2</v>
          </cell>
          <cell r="N101">
            <v>6.7024128686327081E-2</v>
          </cell>
          <cell r="O101">
            <v>4.6888200506899465E-2</v>
          </cell>
          <cell r="P101">
            <v>5.5070821529745045E-2</v>
          </cell>
          <cell r="Q101">
            <v>6.038021170879241E-2</v>
          </cell>
          <cell r="R101">
            <v>4.7437295528898589E-2</v>
          </cell>
          <cell r="S101">
            <v>3.1801931593831705E-2</v>
          </cell>
          <cell r="T101">
            <v>2.9963243846833857E-2</v>
          </cell>
          <cell r="U101">
            <v>4.0896333585779834E-2</v>
          </cell>
          <cell r="V101">
            <v>4.4979951566159831E-2</v>
          </cell>
          <cell r="W101">
            <v>4.2808764363657416E-2</v>
          </cell>
          <cell r="X101">
            <v>0.12306727956539908</v>
          </cell>
          <cell r="Y101">
            <v>0.10977145942055065</v>
          </cell>
          <cell r="Z101">
            <v>0.12623941958887547</v>
          </cell>
          <cell r="AA101">
            <v>8.9123269611074488E-2</v>
          </cell>
          <cell r="AB101">
            <v>0.12550294026617145</v>
          </cell>
          <cell r="AC101">
            <v>0.10255779636005903</v>
          </cell>
          <cell r="AD101">
            <v>9.1335627150453555E-2</v>
          </cell>
          <cell r="AE101">
            <v>8.1925289980820173E-2</v>
          </cell>
          <cell r="AF101">
            <v>0.10106031396309556</v>
          </cell>
          <cell r="AG101">
            <v>0.08</v>
          </cell>
          <cell r="AH101">
            <v>0.08</v>
          </cell>
          <cell r="AI101">
            <v>0.08</v>
          </cell>
          <cell r="AK101">
            <v>0.10491959879000161</v>
          </cell>
          <cell r="AL101">
            <v>6.6769420468557342E-2</v>
          </cell>
          <cell r="AM101">
            <v>4.5224554654177469E-2</v>
          </cell>
          <cell r="AN101">
            <v>4.0259264260498848E-2</v>
          </cell>
          <cell r="AO101">
            <v>0.11015105364580095</v>
          </cell>
          <cell r="AP101">
            <v>9.7451638483214281E-2</v>
          </cell>
          <cell r="AQ101">
            <v>8.4210544862785619E-2</v>
          </cell>
          <cell r="AR101">
            <v>0.08</v>
          </cell>
          <cell r="AS101">
            <v>7.4999999999999997E-2</v>
          </cell>
          <cell r="AT101">
            <v>6.9999999999999993E-2</v>
          </cell>
          <cell r="AU101">
            <v>6.4999999999999988E-2</v>
          </cell>
          <cell r="AV101">
            <v>0.06</v>
          </cell>
          <cell r="AW101">
            <v>0.06</v>
          </cell>
        </row>
        <row r="102">
          <cell r="I102" t="str">
            <v>General and administrative</v>
          </cell>
          <cell r="L102">
            <v>0.87031346035648427</v>
          </cell>
          <cell r="M102">
            <v>0.43417945690672965</v>
          </cell>
          <cell r="N102">
            <v>0.38630270533755789</v>
          </cell>
          <cell r="O102">
            <v>0.2468318783441284</v>
          </cell>
          <cell r="P102">
            <v>0.25189801699716713</v>
          </cell>
          <cell r="Q102">
            <v>0.2589112119248218</v>
          </cell>
          <cell r="R102">
            <v>0.24054889131225007</v>
          </cell>
          <cell r="S102">
            <v>0.26658129235366312</v>
          </cell>
          <cell r="T102">
            <v>0.17829060624389337</v>
          </cell>
          <cell r="U102">
            <v>0.2019423530984096</v>
          </cell>
          <cell r="V102">
            <v>0.20683631744015243</v>
          </cell>
          <cell r="W102">
            <v>0.20408694897102667</v>
          </cell>
          <cell r="X102">
            <v>0.18136230672795653</v>
          </cell>
          <cell r="Y102">
            <v>0.17437466258772719</v>
          </cell>
          <cell r="Z102">
            <v>0.14155582426440955</v>
          </cell>
          <cell r="AA102">
            <v>0.14106789716545814</v>
          </cell>
          <cell r="AB102">
            <v>0.17935623645930054</v>
          </cell>
          <cell r="AC102">
            <v>0.15457452041318248</v>
          </cell>
          <cell r="AD102">
            <v>0.14426719493970042</v>
          </cell>
          <cell r="AE102">
            <v>0.11151703351904284</v>
          </cell>
          <cell r="AF102">
            <v>0.24904984852657666</v>
          </cell>
          <cell r="AG102">
            <v>0.21999999999999997</v>
          </cell>
          <cell r="AH102">
            <v>0.16</v>
          </cell>
          <cell r="AI102">
            <v>0.12</v>
          </cell>
          <cell r="AK102">
            <v>0.88791593695271454</v>
          </cell>
          <cell r="AL102">
            <v>0.38378545006165227</v>
          </cell>
          <cell r="AM102">
            <v>0.2563979259011458</v>
          </cell>
          <cell r="AN102">
            <v>0.19894288084260883</v>
          </cell>
          <cell r="AO102">
            <v>0.15685543192225604</v>
          </cell>
          <cell r="AP102">
            <v>0.14286215906996069</v>
          </cell>
          <cell r="AQ102">
            <v>0.17696579228253984</v>
          </cell>
          <cell r="AR102">
            <v>0.13</v>
          </cell>
          <cell r="AS102">
            <v>0.12000000000000001</v>
          </cell>
          <cell r="AT102">
            <v>0.11000000000000003</v>
          </cell>
          <cell r="AU102">
            <v>0.10000000000000002</v>
          </cell>
          <cell r="AV102">
            <v>9.0000000000000011E-2</v>
          </cell>
          <cell r="AW102">
            <v>8.0000000000000029E-2</v>
          </cell>
        </row>
        <row r="103">
          <cell r="I103" t="str">
            <v>Stock-based compensation (SBC)</v>
          </cell>
          <cell r="L103">
            <v>2.0282728948985865E-2</v>
          </cell>
          <cell r="M103">
            <v>1.1806375442739079E-2</v>
          </cell>
          <cell r="N103">
            <v>1.7060687301974169E-2</v>
          </cell>
          <cell r="O103">
            <v>9.7155730780061952E-3</v>
          </cell>
          <cell r="P103">
            <v>8.7252124645892364E-3</v>
          </cell>
          <cell r="Q103">
            <v>1.2421689349751568E-2</v>
          </cell>
          <cell r="R103">
            <v>8.8149763722282816E-3</v>
          </cell>
          <cell r="S103">
            <v>6.5631503121498323E-3</v>
          </cell>
          <cell r="T103">
            <v>4.7457311682873498E-3</v>
          </cell>
          <cell r="U103">
            <v>1.7686105047445094E-2</v>
          </cell>
          <cell r="V103">
            <v>2.4058120608201991E-2</v>
          </cell>
          <cell r="W103">
            <v>2.1071521606992966E-2</v>
          </cell>
          <cell r="X103">
            <v>2.5699958211450064E-2</v>
          </cell>
          <cell r="Y103">
            <v>1.9794853338132086E-2</v>
          </cell>
          <cell r="Z103">
            <v>5.4010479645304317E-2</v>
          </cell>
          <cell r="AA103">
            <v>3.0718523401450235E-2</v>
          </cell>
          <cell r="AB103">
            <v>2.7390900649953573E-2</v>
          </cell>
          <cell r="AC103">
            <v>4.4515494343334981E-2</v>
          </cell>
          <cell r="AD103">
            <v>2.1547979008097871E-2</v>
          </cell>
          <cell r="AE103">
            <v>2.054982190154352E-2</v>
          </cell>
          <cell r="AF103">
            <v>5.1941613880473698E-2</v>
          </cell>
          <cell r="AG103">
            <v>5.317663950226665E-2</v>
          </cell>
          <cell r="AH103">
            <v>4.2127036183964552E-2</v>
          </cell>
          <cell r="AI103">
            <v>3.3211833376231951E-2</v>
          </cell>
          <cell r="AK103">
            <v>2.0538130870880435E-2</v>
          </cell>
          <cell r="AL103">
            <v>1.3070283600493221E-2</v>
          </cell>
          <cell r="AM103">
            <v>8.6142008865099963E-3</v>
          </cell>
          <cell r="AN103">
            <v>1.7679739192499856E-2</v>
          </cell>
          <cell r="AO103">
            <v>3.3194504879716542E-2</v>
          </cell>
          <cell r="AP103">
            <v>2.779817936555776E-2</v>
          </cell>
          <cell r="AQ103">
            <v>4.342141596433563E-2</v>
          </cell>
          <cell r="AR103">
            <v>3.5000000000000003E-2</v>
          </cell>
          <cell r="AS103">
            <v>3.2500000000000001E-2</v>
          </cell>
          <cell r="AT103">
            <v>3.0000000000000002E-2</v>
          </cell>
          <cell r="AU103">
            <v>0.03</v>
          </cell>
          <cell r="AV103">
            <v>0.03</v>
          </cell>
          <cell r="AW103">
            <v>0.03</v>
          </cell>
        </row>
        <row r="104">
          <cell r="I104" t="str">
            <v>Depreciation</v>
          </cell>
          <cell r="L104">
            <v>3.4146008331625827E-4</v>
          </cell>
          <cell r="M104">
            <v>3.2795487340941688E-4</v>
          </cell>
          <cell r="N104">
            <v>1.4442909885269133E-3</v>
          </cell>
          <cell r="O104">
            <v>9.9085286356477152E-4</v>
          </cell>
          <cell r="P104">
            <v>1.5947959290735494E-3</v>
          </cell>
          <cell r="Q104">
            <v>1.5402094684877142E-3</v>
          </cell>
          <cell r="R104">
            <v>1.6492319291301482E-3</v>
          </cell>
          <cell r="S104">
            <v>3.8438203424063298E-3</v>
          </cell>
          <cell r="T104">
            <v>2.231562041732795E-3</v>
          </cell>
          <cell r="U104">
            <v>5.5439232166634494E-3</v>
          </cell>
          <cell r="V104">
            <v>6.0740799555361489E-3</v>
          </cell>
          <cell r="W104">
            <v>6.8598222813974338E-3</v>
          </cell>
          <cell r="X104">
            <v>1.00919348098621E-2</v>
          </cell>
          <cell r="Y104">
            <v>1.0149361166096814E-2</v>
          </cell>
          <cell r="Z104">
            <v>1.1189036678758564E-2</v>
          </cell>
          <cell r="AA104">
            <v>1.2432432432432434E-2</v>
          </cell>
          <cell r="AB104">
            <v>1.8322500773754254E-2</v>
          </cell>
          <cell r="AC104">
            <v>1.6601082144613873E-2</v>
          </cell>
          <cell r="AD104">
            <v>1.7956649173414888E-2</v>
          </cell>
          <cell r="AE104">
            <v>1.342588364234177E-2</v>
          </cell>
          <cell r="AF104">
            <v>2.2665932250068854E-2</v>
          </cell>
          <cell r="AG104">
            <v>1.9941239813349994E-2</v>
          </cell>
          <cell r="AH104">
            <v>1.5797638568986708E-2</v>
          </cell>
          <cell r="AI104">
            <v>1.2454437516086981E-2</v>
          </cell>
          <cell r="AK104">
            <v>1.0702471297917881E-2</v>
          </cell>
          <cell r="AL104">
            <v>9.0195003881810053E-4</v>
          </cell>
          <cell r="AM104">
            <v>2.478015357500178E-3</v>
          </cell>
          <cell r="AN104">
            <v>5.4245588013600524E-3</v>
          </cell>
          <cell r="AO104">
            <v>1.1122852821118502E-2</v>
          </cell>
          <cell r="AP104">
            <v>1.6251693494348192E-2</v>
          </cell>
          <cell r="AQ104">
            <v>1.6920366631803629E-2</v>
          </cell>
          <cell r="AR104">
            <v>0.01</v>
          </cell>
          <cell r="AS104">
            <v>9.2499999999999995E-3</v>
          </cell>
          <cell r="AT104">
            <v>8.4999999999999989E-3</v>
          </cell>
          <cell r="AU104">
            <v>7.7499999999999991E-3</v>
          </cell>
          <cell r="AV104">
            <v>7.4999999999999997E-3</v>
          </cell>
          <cell r="AW104">
            <v>7.4999999999999997E-3</v>
          </cell>
        </row>
        <row r="105">
          <cell r="I105" t="str">
            <v>Amortization</v>
          </cell>
          <cell r="L105">
            <v>2.0555897015638876E-2</v>
          </cell>
          <cell r="M105">
            <v>9.7074642529187995E-3</v>
          </cell>
          <cell r="N105">
            <v>7.3297767667740857E-3</v>
          </cell>
          <cell r="O105">
            <v>4.9229742273955174E-3</v>
          </cell>
          <cell r="P105">
            <v>3.1644108697933067E-3</v>
          </cell>
          <cell r="Q105">
            <v>3.3204515814150731E-3</v>
          </cell>
          <cell r="R105">
            <v>3.2580745048938434E-3</v>
          </cell>
          <cell r="S105">
            <v>5.31613199026891E-4</v>
          </cell>
          <cell r="T105">
            <v>1.8627942603190357E-3</v>
          </cell>
          <cell r="U105">
            <v>1.0493854660112956E-3</v>
          </cell>
          <cell r="V105">
            <v>2.6598912223589643E-3</v>
          </cell>
          <cell r="W105">
            <v>1.9103302555790343E-3</v>
          </cell>
          <cell r="X105">
            <v>1.3999164229001244E-3</v>
          </cell>
          <cell r="Y105">
            <v>1.1876912002879263E-3</v>
          </cell>
          <cell r="Z105">
            <v>1.064087061668683E-3</v>
          </cell>
          <cell r="AA105">
            <v>8.8332234673698024E-4</v>
          </cell>
          <cell r="AB105">
            <v>1.0213556174558968E-3</v>
          </cell>
          <cell r="AC105">
            <v>1.2297097884899166E-3</v>
          </cell>
          <cell r="AD105">
            <v>1.1584934950590253E-3</v>
          </cell>
          <cell r="AE105">
            <v>1.369988126769568E-2</v>
          </cell>
          <cell r="AF105">
            <v>3.1671715780776641E-2</v>
          </cell>
          <cell r="AG105">
            <v>3.0576567713803321E-2</v>
          </cell>
          <cell r="AH105">
            <v>2.4223045805779615E-2</v>
          </cell>
          <cell r="AI105">
            <v>1.9096804191333368E-2</v>
          </cell>
          <cell r="AK105">
            <v>6.1738222859063505E-3</v>
          </cell>
          <cell r="AL105">
            <v>8.0992830068045869E-3</v>
          </cell>
          <cell r="AM105">
            <v>2.1845254135962511E-3</v>
          </cell>
          <cell r="AN105">
            <v>1.8961842685294142E-3</v>
          </cell>
          <cell r="AO105">
            <v>1.1023393630467666E-3</v>
          </cell>
          <cell r="AP105">
            <v>5.167535237850001E-3</v>
          </cell>
          <cell r="AQ105">
            <v>2.5328241622615252E-2</v>
          </cell>
          <cell r="AR105">
            <v>2.2942247846571787E-2</v>
          </cell>
          <cell r="AS105">
            <v>1.9442582920823549E-2</v>
          </cell>
          <cell r="AT105">
            <v>1.6731999071276725E-2</v>
          </cell>
          <cell r="AU105">
            <v>1.4602896728291783E-2</v>
          </cell>
          <cell r="AV105">
            <v>1.2908980329460036E-2</v>
          </cell>
          <cell r="AW105">
            <v>1.1545481996622867E-2</v>
          </cell>
        </row>
        <row r="106">
          <cell r="I106" t="str">
            <v>Total operating expenses (GAAP)</v>
          </cell>
          <cell r="L106">
            <v>1.4757221880762137</v>
          </cell>
          <cell r="M106">
            <v>0.8338252656434475</v>
          </cell>
          <cell r="N106">
            <v>0.73165976115037779</v>
          </cell>
          <cell r="O106">
            <v>0.53534215713883404</v>
          </cell>
          <cell r="P106">
            <v>0.54254957507082147</v>
          </cell>
          <cell r="Q106">
            <v>0.53823720025923538</v>
          </cell>
          <cell r="R106">
            <v>0.4768266085059979</v>
          </cell>
          <cell r="S106">
            <v>0.43754335414332207</v>
          </cell>
          <cell r="T106">
            <v>0.36974829014097615</v>
          </cell>
          <cell r="U106">
            <v>0.418318706285918</v>
          </cell>
          <cell r="V106">
            <v>0.40108777641033783</v>
          </cell>
          <cell r="W106">
            <v>0.38545254565978754</v>
          </cell>
          <cell r="X106">
            <v>0.51316339323025484</v>
          </cell>
          <cell r="Y106">
            <v>0.49181212884649989</v>
          </cell>
          <cell r="Z106">
            <v>0.47771060056428866</v>
          </cell>
          <cell r="AA106">
            <v>0.42122610415293349</v>
          </cell>
          <cell r="AB106">
            <v>0.53868771278242034</v>
          </cell>
          <cell r="AC106">
            <v>0.4781111657648795</v>
          </cell>
          <cell r="AD106">
            <v>0.45331850461659651</v>
          </cell>
          <cell r="AE106">
            <v>0.47355922915334736</v>
          </cell>
          <cell r="AF106">
            <v>0.58932800881299907</v>
          </cell>
          <cell r="AG106">
            <v>0.53317663950226657</v>
          </cell>
          <cell r="AH106">
            <v>0.42712703618396458</v>
          </cell>
          <cell r="AI106">
            <v>0.37321183337623193</v>
          </cell>
          <cell r="AK106">
            <v>1.5615347874542271</v>
          </cell>
          <cell r="AL106">
            <v>0.74167694204685575</v>
          </cell>
          <cell r="AM106">
            <v>0.48544785481308017</v>
          </cell>
          <cell r="AN106">
            <v>0.39311136403094188</v>
          </cell>
          <cell r="AO106">
            <v>0.47023476513126539</v>
          </cell>
          <cell r="AP106">
            <v>0.48184486275014704</v>
          </cell>
          <cell r="AQ106">
            <v>0.46364017075639763</v>
          </cell>
          <cell r="AR106">
            <v>0.38500000000000001</v>
          </cell>
          <cell r="AS106">
            <v>0.35249999999999998</v>
          </cell>
          <cell r="AT106">
            <v>0.32</v>
          </cell>
          <cell r="AU106">
            <v>0.28999999999999998</v>
          </cell>
          <cell r="AV106">
            <v>0.26</v>
          </cell>
          <cell r="AW106">
            <v>0.25000000000000006</v>
          </cell>
        </row>
        <row r="107">
          <cell r="I107" t="str">
            <v>Total operating expenses (adjusted)</v>
          </cell>
          <cell r="L107">
            <v>1.434883562111589</v>
          </cell>
          <cell r="M107">
            <v>0.8123114259477896</v>
          </cell>
          <cell r="N107">
            <v>0.70726929708162956</v>
          </cell>
          <cell r="O107">
            <v>0.52070360983343233</v>
          </cell>
          <cell r="P107">
            <v>0.53065995173643898</v>
          </cell>
          <cell r="Q107">
            <v>0.52249505932806872</v>
          </cell>
          <cell r="R107">
            <v>0.46475355762887571</v>
          </cell>
          <cell r="S107">
            <v>0.43044859063214541</v>
          </cell>
          <cell r="T107">
            <v>0.36313976471236975</v>
          </cell>
          <cell r="U107">
            <v>0.39958321577246159</v>
          </cell>
          <cell r="V107">
            <v>0.37436976457977689</v>
          </cell>
          <cell r="W107">
            <v>0.36247069379721553</v>
          </cell>
          <cell r="X107">
            <v>0.48606351859590469</v>
          </cell>
          <cell r="Y107">
            <v>0.47082958430807986</v>
          </cell>
          <cell r="Z107">
            <v>0.42263603385731563</v>
          </cell>
          <cell r="AA107">
            <v>0.38962425840474624</v>
          </cell>
          <cell r="AB107">
            <v>0.50470442587434228</v>
          </cell>
          <cell r="AC107">
            <v>0.42781603541564195</v>
          </cell>
          <cell r="AD107">
            <v>0.39423533636858621</v>
          </cell>
          <cell r="AE107">
            <v>0.32623983925472644</v>
          </cell>
          <cell r="AF107">
            <v>0.49849903607821533</v>
          </cell>
          <cell r="AG107">
            <v>0.44942343228619669</v>
          </cell>
          <cell r="AH107">
            <v>0.3607769541942204</v>
          </cell>
          <cell r="AI107">
            <v>0.32090319580866666</v>
          </cell>
          <cell r="AK107">
            <v>1.5348228342974404</v>
          </cell>
          <cell r="AL107">
            <v>0.7205073754395579</v>
          </cell>
          <cell r="AM107">
            <v>0.47464912851297392</v>
          </cell>
          <cell r="AN107">
            <v>0.37353544056991261</v>
          </cell>
          <cell r="AO107">
            <v>0.43593792088850203</v>
          </cell>
          <cell r="AP107">
            <v>0.40132963081091683</v>
          </cell>
          <cell r="AQ107">
            <v>0.39344790462485435</v>
          </cell>
          <cell r="AR107">
            <v>0.32705775215342819</v>
          </cell>
          <cell r="AS107">
            <v>0.30055741707917644</v>
          </cell>
          <cell r="AT107">
            <v>0.27326800092872328</v>
          </cell>
          <cell r="AU107">
            <v>0.24539710327170822</v>
          </cell>
          <cell r="AV107">
            <v>0.21709101967053998</v>
          </cell>
          <cell r="AW107">
            <v>0.20845451800337716</v>
          </cell>
        </row>
        <row r="108">
          <cell r="I108" t="str">
            <v>Operating margin (adjusted)</v>
          </cell>
          <cell r="L108">
            <v>-1.2443488356211156</v>
          </cell>
          <cell r="M108">
            <v>-0.49678604224058776</v>
          </cell>
          <cell r="N108">
            <v>-0.38799072043039884</v>
          </cell>
          <cell r="O108">
            <v>-0.24824514742847595</v>
          </cell>
          <cell r="P108">
            <v>-0.19456930017836535</v>
          </cell>
          <cell r="Q108">
            <v>-0.22221422113407438</v>
          </cell>
          <cell r="R108">
            <v>-0.10906471720721088</v>
          </cell>
          <cell r="S108">
            <v>-8.0093753643724369E-2</v>
          </cell>
          <cell r="T108">
            <v>5.538409576933666E-3</v>
          </cell>
          <cell r="U108">
            <v>-8.7960281750098686E-3</v>
          </cell>
          <cell r="V108">
            <v>1.8500138949541511E-2</v>
          </cell>
          <cell r="W108">
            <v>2.8018177081825812E-2</v>
          </cell>
          <cell r="X108">
            <v>-9.3042206435436675E-2</v>
          </cell>
          <cell r="Y108">
            <v>-7.7271909303581077E-2</v>
          </cell>
          <cell r="Z108">
            <v>-1.9975816203143905E-2</v>
          </cell>
          <cell r="AA108">
            <v>1.6440342781806148E-2</v>
          </cell>
          <cell r="AB108">
            <v>-9.2602909316001153E-2</v>
          </cell>
          <cell r="AC108">
            <v>-2.1519921298573625E-2</v>
          </cell>
          <cell r="AD108">
            <v>-8.5844367983872912E-3</v>
          </cell>
          <cell r="AE108">
            <v>5.5804183030413734E-2</v>
          </cell>
          <cell r="AF108">
            <v>-8.6835582484164106E-2</v>
          </cell>
          <cell r="AG108">
            <v>-5.9423432286196662E-2</v>
          </cell>
          <cell r="AH108">
            <v>3.9223045805779608E-2</v>
          </cell>
          <cell r="AI108">
            <v>7.9096804191333345E-2</v>
          </cell>
          <cell r="AK108">
            <v>-1.3296007359054647</v>
          </cell>
          <cell r="AL108">
            <v>-0.43542722747408324</v>
          </cell>
          <cell r="AM108">
            <v>-0.1353917897156168</v>
          </cell>
          <cell r="AN108">
            <v>1.3075026452985208E-2</v>
          </cell>
          <cell r="AO108">
            <v>-3.6215577795735587E-2</v>
          </cell>
          <cell r="AP108">
            <v>-6.9202835999520379E-3</v>
          </cell>
          <cell r="AQ108">
            <v>6.8130588559508756E-3</v>
          </cell>
          <cell r="AR108">
            <v>7.2942247846571814E-2</v>
          </cell>
          <cell r="AS108">
            <v>9.9442582920823544E-2</v>
          </cell>
          <cell r="AT108">
            <v>0.12673199907127675</v>
          </cell>
          <cell r="AU108">
            <v>0.15460289672829181</v>
          </cell>
          <cell r="AV108">
            <v>0.18290898032946007</v>
          </cell>
          <cell r="AW108">
            <v>0.1915454819966228</v>
          </cell>
        </row>
        <row r="109">
          <cell r="I109" t="str">
            <v>Adjusted EBITDA margin</v>
          </cell>
          <cell r="L109">
            <v>-1.2440073755377994</v>
          </cell>
          <cell r="M109">
            <v>-0.49645808736717834</v>
          </cell>
          <cell r="N109">
            <v>-0.38654642944187195</v>
          </cell>
          <cell r="O109">
            <v>-0.24725429456491119</v>
          </cell>
          <cell r="P109">
            <v>-0.1929745042492918</v>
          </cell>
          <cell r="Q109">
            <v>-0.22067401166558664</v>
          </cell>
          <cell r="R109">
            <v>-0.10741548527808072</v>
          </cell>
          <cell r="S109">
            <v>-7.6249933301318046E-2</v>
          </cell>
          <cell r="T109">
            <v>7.7699716186664606E-3</v>
          </cell>
          <cell r="U109">
            <v>-4.4103889161136046E-3</v>
          </cell>
          <cell r="V109">
            <v>2.4574218905077657E-2</v>
          </cell>
          <cell r="W109">
            <v>3.4877999363223243E-2</v>
          </cell>
          <cell r="X109">
            <v>-0.10238194734642707</v>
          </cell>
          <cell r="Y109">
            <v>-6.496310959150621E-2</v>
          </cell>
          <cell r="Z109">
            <v>-8.7867795243853422E-3</v>
          </cell>
          <cell r="AA109">
            <v>2.8872775214238585E-2</v>
          </cell>
          <cell r="AB109">
            <v>-7.4280408542246892E-2</v>
          </cell>
          <cell r="AC109">
            <v>-4.918839153959755E-3</v>
          </cell>
          <cell r="AD109">
            <v>9.3722123750275988E-3</v>
          </cell>
          <cell r="AE109">
            <v>6.9230066672755511E-2</v>
          </cell>
          <cell r="AF109">
            <v>-6.4169650234095238E-2</v>
          </cell>
          <cell r="AG109">
            <v>-3.9482192472846671E-2</v>
          </cell>
          <cell r="AH109">
            <v>5.5020684374766315E-2</v>
          </cell>
          <cell r="AI109">
            <v>9.1551241707420322E-2</v>
          </cell>
          <cell r="AK109">
            <v>-1.3188982646075467</v>
          </cell>
          <cell r="AL109">
            <v>-0.43452527743526514</v>
          </cell>
          <cell r="AM109">
            <v>-0.13291377435811663</v>
          </cell>
          <cell r="AN109">
            <v>1.8248808811898453E-2</v>
          </cell>
          <cell r="AO109">
            <v>-2.7662087399763682E-2</v>
          </cell>
          <cell r="AP109">
            <v>1.0297030861831319E-2</v>
          </cell>
          <cell r="AQ109">
            <v>2.3733425487754502E-2</v>
          </cell>
          <cell r="AR109">
            <v>8.2942247846571809E-2</v>
          </cell>
          <cell r="AS109">
            <v>0.10869258292082355</v>
          </cell>
          <cell r="AT109">
            <v>0.13523199907127675</v>
          </cell>
          <cell r="AU109">
            <v>0.16235289672829178</v>
          </cell>
          <cell r="AV109">
            <v>0.19040898032946008</v>
          </cell>
          <cell r="AW109">
            <v>0.19904548199662281</v>
          </cell>
        </row>
        <row r="110">
          <cell r="I110" t="str">
            <v>Net income margin (adjusted)</v>
          </cell>
          <cell r="L110">
            <v>-1.2664754490200094</v>
          </cell>
          <cell r="M110">
            <v>-0.50859241768332686</v>
          </cell>
          <cell r="N110">
            <v>-0.39676478818569988</v>
          </cell>
          <cell r="O110">
            <v>-0.25275092045016001</v>
          </cell>
          <cell r="P110">
            <v>-0.19649564578743051</v>
          </cell>
          <cell r="Q110">
            <v>-0.22199819175407873</v>
          </cell>
          <cell r="R110">
            <v>-0.10906471720721088</v>
          </cell>
          <cell r="S110">
            <v>-8.6176673445229099E-2</v>
          </cell>
          <cell r="T110">
            <v>3.3230457461601998E-3</v>
          </cell>
          <cell r="U110">
            <v>1.3122268256584553E-2</v>
          </cell>
          <cell r="V110">
            <v>1.0218746278137307E-2</v>
          </cell>
          <cell r="W110">
            <v>1.6203073895047614E-2</v>
          </cell>
          <cell r="X110">
            <v>-9.7221061429168407E-2</v>
          </cell>
          <cell r="Y110">
            <v>-7.8711535000899779E-2</v>
          </cell>
          <cell r="Z110">
            <v>-2.4328899637243061E-2</v>
          </cell>
          <cell r="AA110">
            <v>7.8075148319050481E-3</v>
          </cell>
          <cell r="AB110">
            <v>-9.6162178891983807E-2</v>
          </cell>
          <cell r="AC110">
            <v>-2.4471224790949424E-2</v>
          </cell>
          <cell r="AD110">
            <v>-1.1248971837023048E-2</v>
          </cell>
          <cell r="AE110">
            <v>3.2276920266691024E-2</v>
          </cell>
          <cell r="AF110">
            <v>-8.7455246488570601E-2</v>
          </cell>
          <cell r="AG110">
            <v>-5.8608840948671241E-2</v>
          </cell>
          <cell r="AH110">
            <v>2.3898630352456186E-2</v>
          </cell>
          <cell r="AI110">
            <v>4.772238045496198E-2</v>
          </cell>
          <cell r="AK110">
            <v>-1.3041270852128997</v>
          </cell>
          <cell r="AL110">
            <v>-0.44430515595743714</v>
          </cell>
          <cell r="AM110">
            <v>-0.13808895455629591</v>
          </cell>
          <cell r="AN110">
            <v>1.1412042842047358E-2</v>
          </cell>
          <cell r="AO110">
            <v>-4.1208429166407552E-2</v>
          </cell>
          <cell r="AP110">
            <v>-1.6506266294853852E-2</v>
          </cell>
          <cell r="AQ110">
            <v>-7.5510739440168544E-3</v>
          </cell>
          <cell r="AR110">
            <v>4.639155636672708E-2</v>
          </cell>
          <cell r="AS110">
            <v>6.4927321337802477E-2</v>
          </cell>
          <cell r="AT110">
            <v>8.3860012399748621E-2</v>
          </cell>
          <cell r="AU110">
            <v>0.10226329411108519</v>
          </cell>
          <cell r="AV110">
            <v>0.12105474852378707</v>
          </cell>
          <cell r="AW110">
            <v>0.1271608822532454</v>
          </cell>
        </row>
        <row r="112">
          <cell r="I112" t="str">
            <v>% of gross profit (proxy for net revenue)</v>
          </cell>
        </row>
        <row r="113">
          <cell r="I113" t="str">
            <v>Gross profit</v>
          </cell>
          <cell r="L113">
            <v>1</v>
          </cell>
          <cell r="M113">
            <v>1</v>
          </cell>
          <cell r="N113">
            <v>1</v>
          </cell>
          <cell r="O113">
            <v>1</v>
          </cell>
          <cell r="P113">
            <v>1</v>
          </cell>
          <cell r="Q113">
            <v>1</v>
          </cell>
          <cell r="R113">
            <v>1</v>
          </cell>
          <cell r="S113">
            <v>1</v>
          </cell>
          <cell r="T113">
            <v>1</v>
          </cell>
          <cell r="U113">
            <v>1</v>
          </cell>
          <cell r="V113">
            <v>1</v>
          </cell>
          <cell r="W113">
            <v>1</v>
          </cell>
          <cell r="X113">
            <v>1</v>
          </cell>
          <cell r="Y113">
            <v>1</v>
          </cell>
          <cell r="Z113">
            <v>1</v>
          </cell>
          <cell r="AA113">
            <v>1</v>
          </cell>
          <cell r="AB113">
            <v>1</v>
          </cell>
          <cell r="AC113">
            <v>1</v>
          </cell>
          <cell r="AD113">
            <v>1</v>
          </cell>
          <cell r="AE113">
            <v>1</v>
          </cell>
          <cell r="AF113">
            <v>1</v>
          </cell>
          <cell r="AG113">
            <v>1</v>
          </cell>
          <cell r="AH113">
            <v>1</v>
          </cell>
          <cell r="AI113">
            <v>1</v>
          </cell>
          <cell r="AK113">
            <v>1</v>
          </cell>
          <cell r="AL113">
            <v>1</v>
          </cell>
          <cell r="AM113">
            <v>1</v>
          </cell>
          <cell r="AN113">
            <v>1</v>
          </cell>
          <cell r="AO113">
            <v>1</v>
          </cell>
          <cell r="AP113">
            <v>1</v>
          </cell>
          <cell r="AQ113">
            <v>1</v>
          </cell>
          <cell r="AR113">
            <v>1</v>
          </cell>
          <cell r="AS113">
            <v>1</v>
          </cell>
          <cell r="AT113">
            <v>1</v>
          </cell>
          <cell r="AU113">
            <v>1</v>
          </cell>
          <cell r="AV113">
            <v>1</v>
          </cell>
          <cell r="AW113">
            <v>1</v>
          </cell>
        </row>
        <row r="114">
          <cell r="I114" t="str">
            <v>Sales and marketing</v>
          </cell>
          <cell r="L114">
            <v>2.3677419354838705</v>
          </cell>
          <cell r="M114">
            <v>0.98877455565949479</v>
          </cell>
          <cell r="N114">
            <v>0.81832061068702322</v>
          </cell>
          <cell r="O114">
            <v>0.8511627906976742</v>
          </cell>
          <cell r="P114">
            <v>0.67498314227916389</v>
          </cell>
          <cell r="Q114">
            <v>0.68776978417266199</v>
          </cell>
          <cell r="R114">
            <v>0.50613183444047016</v>
          </cell>
          <cell r="S114">
            <v>0.37846481876332627</v>
          </cell>
          <cell r="T114">
            <v>0.42516405855628481</v>
          </cell>
          <cell r="U114">
            <v>0.4037847697218423</v>
          </cell>
          <cell r="V114">
            <v>0.31871463217461599</v>
          </cell>
          <cell r="W114">
            <v>0.30086724482988664</v>
          </cell>
          <cell r="X114">
            <v>0.46570972886762363</v>
          </cell>
          <cell r="Y114">
            <v>0.47736625514403297</v>
          </cell>
          <cell r="Z114">
            <v>0.38718718718718714</v>
          </cell>
          <cell r="AA114">
            <v>0.39480519480519483</v>
          </cell>
          <cell r="AB114">
            <v>0.48742020277882087</v>
          </cell>
          <cell r="AC114">
            <v>0.42312348668280886</v>
          </cell>
          <cell r="AD114">
            <v>0.41434107362792516</v>
          </cell>
          <cell r="AE114">
            <v>0.38345684915132677</v>
          </cell>
          <cell r="AF114">
            <v>0.43739755812008696</v>
          </cell>
          <cell r="AG114">
            <v>0.46153846153846151</v>
          </cell>
          <cell r="AH114">
            <v>0.36249999999999999</v>
          </cell>
          <cell r="AI114">
            <v>0.35</v>
          </cell>
          <cell r="AK114">
            <v>2.6710628394103964</v>
          </cell>
          <cell r="AL114">
            <v>0.97534602076124588</v>
          </cell>
          <cell r="AM114">
            <v>0.51645507210649588</v>
          </cell>
          <cell r="AN114">
            <v>0.35236883466806374</v>
          </cell>
          <cell r="AO114">
            <v>0.42537971074594366</v>
          </cell>
          <cell r="AP114">
            <v>0.42134743933110264</v>
          </cell>
          <cell r="AQ114">
            <v>0.39374264162960754</v>
          </cell>
          <cell r="AR114">
            <v>0.35</v>
          </cell>
          <cell r="AS114">
            <v>0.3125</v>
          </cell>
          <cell r="AT114">
            <v>0.27499999999999997</v>
          </cell>
          <cell r="AU114">
            <v>0.23749999999999999</v>
          </cell>
          <cell r="AV114">
            <v>0.19999999999999998</v>
          </cell>
          <cell r="AW114">
            <v>0.2</v>
          </cell>
        </row>
        <row r="115">
          <cell r="I115" t="str">
            <v>Technology and development</v>
          </cell>
          <cell r="L115">
            <v>0.70322580645161281</v>
          </cell>
          <cell r="M115">
            <v>0.24041159962581854</v>
          </cell>
          <cell r="N115">
            <v>0.20992366412213748</v>
          </cell>
          <cell r="O115">
            <v>0.17209302325581391</v>
          </cell>
          <cell r="P115">
            <v>0.16385704652730954</v>
          </cell>
          <cell r="Q115">
            <v>0.20107913669064756</v>
          </cell>
          <cell r="R115">
            <v>0.13336739908022485</v>
          </cell>
          <cell r="S115">
            <v>9.0770636612854103E-2</v>
          </cell>
          <cell r="T115">
            <v>8.1272084805653733E-2</v>
          </cell>
          <cell r="U115">
            <v>0.10465116279069768</v>
          </cell>
          <cell r="V115">
            <v>0.11449070331447049</v>
          </cell>
          <cell r="W115">
            <v>0.10962864131643318</v>
          </cell>
          <cell r="X115">
            <v>0.31313131313131315</v>
          </cell>
          <cell r="Y115">
            <v>0.27892089620484684</v>
          </cell>
          <cell r="Z115">
            <v>0.31351351351351348</v>
          </cell>
          <cell r="AA115">
            <v>0.2194805194805195</v>
          </cell>
          <cell r="AB115">
            <v>0.30454374765302283</v>
          </cell>
          <cell r="AC115">
            <v>0.25242130750605335</v>
          </cell>
          <cell r="AD115">
            <v>0.23683499053741477</v>
          </cell>
          <cell r="AE115">
            <v>0.21443939756155872</v>
          </cell>
          <cell r="AF115">
            <v>0.24549255728382671</v>
          </cell>
          <cell r="AG115">
            <v>0.20512820512820512</v>
          </cell>
          <cell r="AH115">
            <v>0.19999999999999998</v>
          </cell>
          <cell r="AI115">
            <v>0.2</v>
          </cell>
          <cell r="AK115">
            <v>0.51124903025601254</v>
          </cell>
          <cell r="AL115">
            <v>0.23421280276816614</v>
          </cell>
          <cell r="AM115">
            <v>0.13330457290767905</v>
          </cell>
          <cell r="AN115">
            <v>0.10413392211161838</v>
          </cell>
          <cell r="AO115">
            <v>0.27556891814835927</v>
          </cell>
          <cell r="AP115">
            <v>0.24708247705673311</v>
          </cell>
          <cell r="AQ115">
            <v>0.2103891024757002</v>
          </cell>
          <cell r="AR115">
            <v>0.19999999999999998</v>
          </cell>
          <cell r="AS115">
            <v>0.1875</v>
          </cell>
          <cell r="AT115">
            <v>0.17499999999999996</v>
          </cell>
          <cell r="AU115">
            <v>0.16249999999999998</v>
          </cell>
          <cell r="AV115">
            <v>0.15</v>
          </cell>
          <cell r="AW115">
            <v>0.15000000000000002</v>
          </cell>
        </row>
        <row r="116">
          <cell r="I116" t="str">
            <v>General and administrative</v>
          </cell>
          <cell r="L116">
            <v>4.5677419354838698</v>
          </cell>
          <cell r="M116">
            <v>1.3760523854069224</v>
          </cell>
          <cell r="N116">
            <v>1.2099236641221378</v>
          </cell>
          <cell r="O116">
            <v>0.90594315245478008</v>
          </cell>
          <cell r="P116">
            <v>0.74949426837491584</v>
          </cell>
          <cell r="Q116">
            <v>0.86223021582733828</v>
          </cell>
          <cell r="R116">
            <v>0.67629024016351558</v>
          </cell>
          <cell r="S116">
            <v>0.76088943039902546</v>
          </cell>
          <cell r="T116">
            <v>0.48359414437152964</v>
          </cell>
          <cell r="U116">
            <v>0.51675786593707262</v>
          </cell>
          <cell r="V116">
            <v>0.52647534357316084</v>
          </cell>
          <cell r="W116">
            <v>0.52264472611370549</v>
          </cell>
          <cell r="X116">
            <v>0.46145667198298779</v>
          </cell>
          <cell r="Y116">
            <v>0.44307270233196161</v>
          </cell>
          <cell r="Z116">
            <v>0.3515515515515516</v>
          </cell>
          <cell r="AA116">
            <v>0.34740259740259744</v>
          </cell>
          <cell r="AB116">
            <v>0.43522343221930154</v>
          </cell>
          <cell r="AC116">
            <v>0.38044794188861991</v>
          </cell>
          <cell r="AD116">
            <v>0.37408753642344317</v>
          </cell>
          <cell r="AE116">
            <v>0.29189576858713839</v>
          </cell>
          <cell r="AF116">
            <v>0.60498411105536032</v>
          </cell>
          <cell r="AG116">
            <v>0.5641025641025641</v>
          </cell>
          <cell r="AH116">
            <v>0.39999999999999997</v>
          </cell>
          <cell r="AI116">
            <v>0.3</v>
          </cell>
          <cell r="AK116">
            <v>4.3266097750193957</v>
          </cell>
          <cell r="AL116">
            <v>1.3462370242214536</v>
          </cell>
          <cell r="AM116">
            <v>0.75576235671145098</v>
          </cell>
          <cell r="AN116">
            <v>0.51458224184816503</v>
          </cell>
          <cell r="AO116">
            <v>0.39241096884557553</v>
          </cell>
          <cell r="AP116">
            <v>0.36221798514715586</v>
          </cell>
          <cell r="AQ116">
            <v>0.44212603383448945</v>
          </cell>
          <cell r="AR116">
            <v>0.32500000000000001</v>
          </cell>
          <cell r="AS116">
            <v>0.30000000000000004</v>
          </cell>
          <cell r="AT116">
            <v>0.27500000000000002</v>
          </cell>
          <cell r="AU116">
            <v>0.25000000000000006</v>
          </cell>
          <cell r="AV116">
            <v>0.22500000000000001</v>
          </cell>
          <cell r="AW116">
            <v>0.20000000000000009</v>
          </cell>
        </row>
        <row r="117">
          <cell r="I117" t="str">
            <v>Stock-based compensation (SBC)</v>
          </cell>
          <cell r="L117">
            <v>0.10645161290322579</v>
          </cell>
          <cell r="M117">
            <v>3.7418147801683822E-2</v>
          </cell>
          <cell r="N117">
            <v>5.3435114503816813E-2</v>
          </cell>
          <cell r="O117">
            <v>3.5658914728682163E-2</v>
          </cell>
          <cell r="P117">
            <v>2.5960890087660154E-2</v>
          </cell>
          <cell r="Q117">
            <v>4.1366906474820157E-2</v>
          </cell>
          <cell r="R117">
            <v>2.4782830863566686E-2</v>
          </cell>
          <cell r="S117">
            <v>1.8732866280840699E-2</v>
          </cell>
          <cell r="T117">
            <v>1.2872286723876834E-2</v>
          </cell>
          <cell r="U117">
            <v>4.5257637938896499E-2</v>
          </cell>
          <cell r="V117">
            <v>6.1236863379143081E-2</v>
          </cell>
          <cell r="W117">
            <v>5.3961900526276779E-2</v>
          </cell>
          <cell r="X117">
            <v>6.5390749601275916E-2</v>
          </cell>
          <cell r="Y117">
            <v>5.0297210791037959E-2</v>
          </cell>
          <cell r="Z117">
            <v>0.13413413413413414</v>
          </cell>
          <cell r="AA117">
            <v>7.5649350649350661E-2</v>
          </cell>
          <cell r="AB117">
            <v>6.6466391288021023E-2</v>
          </cell>
          <cell r="AC117">
            <v>0.10956416464891044</v>
          </cell>
          <cell r="AD117">
            <v>5.5874312836071978E-2</v>
          </cell>
          <cell r="AE117">
            <v>5.3789146545541483E-2</v>
          </cell>
          <cell r="AF117">
            <v>0.12617494564308412</v>
          </cell>
          <cell r="AG117">
            <v>0.13635035769811962</v>
          </cell>
          <cell r="AH117">
            <v>0.10531759045991138</v>
          </cell>
          <cell r="AI117">
            <v>8.3029583440579868E-2</v>
          </cell>
          <cell r="AK117">
            <v>0.100077579519007</v>
          </cell>
          <cell r="AL117">
            <v>4.5847750865051919E-2</v>
          </cell>
          <cell r="AM117">
            <v>2.5391347220510303E-2</v>
          </cell>
          <cell r="AN117">
            <v>4.5730110021704962E-2</v>
          </cell>
          <cell r="AO117">
            <v>8.304390648488931E-2</v>
          </cell>
          <cell r="AP117">
            <v>7.0480528826536284E-2</v>
          </cell>
          <cell r="AQ117">
            <v>0.10848276481105791</v>
          </cell>
          <cell r="AR117">
            <v>8.7499999999999994E-2</v>
          </cell>
          <cell r="AS117">
            <v>8.1250000000000017E-2</v>
          </cell>
          <cell r="AT117">
            <v>7.4999999999999997E-2</v>
          </cell>
          <cell r="AU117">
            <v>7.4999999999999997E-2</v>
          </cell>
          <cell r="AV117">
            <v>7.4999999999999997E-2</v>
          </cell>
          <cell r="AW117">
            <v>7.5000000000000011E-2</v>
          </cell>
        </row>
        <row r="118">
          <cell r="I118" t="str">
            <v>Depreciation</v>
          </cell>
          <cell r="L118">
            <v>1.7921146953404907E-3</v>
          </cell>
          <cell r="M118">
            <v>1.0393929944912108E-3</v>
          </cell>
          <cell r="N118">
            <v>4.5236075770426921E-3</v>
          </cell>
          <cell r="O118">
            <v>3.6367116470475487E-3</v>
          </cell>
          <cell r="P118">
            <v>4.7451362353587581E-3</v>
          </cell>
          <cell r="Q118">
            <v>5.1292299493738347E-3</v>
          </cell>
          <cell r="R118">
            <v>4.636726660232026E-3</v>
          </cell>
          <cell r="S118">
            <v>1.0971220992542954E-2</v>
          </cell>
          <cell r="T118">
            <v>6.052872660646514E-3</v>
          </cell>
          <cell r="U118">
            <v>1.4186553174241275E-2</v>
          </cell>
          <cell r="V118">
            <v>1.5460792239288606E-2</v>
          </cell>
          <cell r="W118">
            <v>1.7567267066933508E-2</v>
          </cell>
          <cell r="X118">
            <v>2.5677830940988841E-2</v>
          </cell>
          <cell r="Y118">
            <v>2.5788751714677642E-2</v>
          </cell>
          <cell r="Z118">
            <v>2.7787787787787784E-2</v>
          </cell>
          <cell r="AA118">
            <v>3.0616883116883122E-2</v>
          </cell>
          <cell r="AB118">
            <v>4.4461134059331574E-2</v>
          </cell>
          <cell r="AC118">
            <v>4.0859564164648914E-2</v>
          </cell>
          <cell r="AD118">
            <v>4.6561927363393305E-2</v>
          </cell>
          <cell r="AE118">
            <v>3.514224240975377E-2</v>
          </cell>
          <cell r="AF118">
            <v>5.5059374477337351E-2</v>
          </cell>
          <cell r="AG118">
            <v>5.1131384136794855E-2</v>
          </cell>
          <cell r="AH118">
            <v>3.9494096422466762E-2</v>
          </cell>
          <cell r="AI118">
            <v>3.1136093790217454E-2</v>
          </cell>
          <cell r="AK118">
            <v>5.2150676665804675E-2</v>
          </cell>
          <cell r="AL118">
            <v>3.1638472382416942E-3</v>
          </cell>
          <cell r="AM118">
            <v>7.3042350868062697E-3</v>
          </cell>
          <cell r="AN118">
            <v>1.4031070713454769E-2</v>
          </cell>
          <cell r="AO118">
            <v>2.782644756622259E-2</v>
          </cell>
          <cell r="AP118">
            <v>4.1205142852903422E-2</v>
          </cell>
          <cell r="AQ118">
            <v>4.2273337086530687E-2</v>
          </cell>
          <cell r="AR118">
            <v>2.4999999999999998E-2</v>
          </cell>
          <cell r="AS118">
            <v>2.3125E-2</v>
          </cell>
          <cell r="AT118">
            <v>2.1249999999999995E-2</v>
          </cell>
          <cell r="AU118">
            <v>1.9374999999999996E-2</v>
          </cell>
          <cell r="AV118">
            <v>1.8749999999999999E-2</v>
          </cell>
          <cell r="AW118">
            <v>1.8750000000000003E-2</v>
          </cell>
        </row>
        <row r="119">
          <cell r="I119" t="str">
            <v>Amortization</v>
          </cell>
          <cell r="L119">
            <v>0.10788530465949821</v>
          </cell>
          <cell r="M119">
            <v>3.0766032636940031E-2</v>
          </cell>
          <cell r="N119">
            <v>2.2957308453491664E-2</v>
          </cell>
          <cell r="O119">
            <v>1.8068714709541581E-2</v>
          </cell>
          <cell r="P119">
            <v>9.4153492670013272E-3</v>
          </cell>
          <cell r="Q119">
            <v>1.1057820410338398E-2</v>
          </cell>
          <cell r="R119">
            <v>9.1599008308257159E-3</v>
          </cell>
          <cell r="S119">
            <v>1.5173565280175094E-3</v>
          </cell>
          <cell r="T119">
            <v>5.0526296109334986E-3</v>
          </cell>
          <cell r="U119">
            <v>2.6853118508385265E-3</v>
          </cell>
          <cell r="V119">
            <v>6.770412287793042E-3</v>
          </cell>
          <cell r="W119">
            <v>4.8921503224371851E-3</v>
          </cell>
          <cell r="X119">
            <v>3.5619351408825066E-3</v>
          </cell>
          <cell r="Y119">
            <v>3.0178326474622802E-3</v>
          </cell>
          <cell r="Z119">
            <v>2.642642642642645E-3</v>
          </cell>
          <cell r="AA119">
            <v>2.175324675324674E-3</v>
          </cell>
          <cell r="AB119">
            <v>2.4784078107397693E-3</v>
          </cell>
          <cell r="AC119">
            <v>3.0266343825665868E-3</v>
          </cell>
          <cell r="AD119">
            <v>3.0039953137673105E-3</v>
          </cell>
          <cell r="AE119">
            <v>3.5859431030360989E-2</v>
          </cell>
          <cell r="AF119">
            <v>7.6935942465295185E-2</v>
          </cell>
          <cell r="AG119">
            <v>7.8401455676418777E-2</v>
          </cell>
          <cell r="AH119">
            <v>6.0557614514449035E-2</v>
          </cell>
          <cell r="AI119">
            <v>4.7742010478333423E-2</v>
          </cell>
          <cell r="AK119">
            <v>3.0083613481596428E-2</v>
          </cell>
          <cell r="AL119">
            <v>2.841054722542613E-2</v>
          </cell>
          <cell r="AM119">
            <v>6.4391397437126539E-3</v>
          </cell>
          <cell r="AN119">
            <v>4.9046376916047352E-3</v>
          </cell>
          <cell r="AO119">
            <v>2.7577626872634904E-3</v>
          </cell>
          <cell r="AP119">
            <v>1.3101959358701376E-2</v>
          </cell>
          <cell r="AQ119">
            <v>6.3279320077462134E-2</v>
          </cell>
          <cell r="AR119">
            <v>5.7355619616429467E-2</v>
          </cell>
          <cell r="AS119">
            <v>4.8606457302058877E-2</v>
          </cell>
          <cell r="AT119">
            <v>4.1829997678191802E-2</v>
          </cell>
          <cell r="AU119">
            <v>3.6507241820729452E-2</v>
          </cell>
          <cell r="AV119">
            <v>3.2272450823650087E-2</v>
          </cell>
          <cell r="AW119">
            <v>2.886370499155717E-2</v>
          </cell>
        </row>
        <row r="120">
          <cell r="I120" t="str">
            <v>Total operating expenses (GAAP)</v>
          </cell>
          <cell r="L120">
            <v>7.7451612903225788</v>
          </cell>
          <cell r="M120">
            <v>2.6426566884939198</v>
          </cell>
          <cell r="N120">
            <v>2.2916030534351148</v>
          </cell>
          <cell r="O120">
            <v>1.9648578811369501</v>
          </cell>
          <cell r="P120">
            <v>1.6142953472690493</v>
          </cell>
          <cell r="Q120">
            <v>1.7924460431654683</v>
          </cell>
          <cell r="R120">
            <v>1.3405723045477775</v>
          </cell>
          <cell r="S120">
            <v>1.2488577520560464</v>
          </cell>
          <cell r="T120">
            <v>1.002902574457345</v>
          </cell>
          <cell r="U120">
            <v>1.0704514363885091</v>
          </cell>
          <cell r="V120">
            <v>1.0209175424413903</v>
          </cell>
          <cell r="W120">
            <v>0.98710251278630201</v>
          </cell>
          <cell r="X120">
            <v>1.3056884635832005</v>
          </cell>
          <cell r="Y120">
            <v>1.2496570644718794</v>
          </cell>
          <cell r="Z120">
            <v>1.1863863863863864</v>
          </cell>
          <cell r="AA120">
            <v>1.0373376623376624</v>
          </cell>
          <cell r="AB120">
            <v>1.3071723619977469</v>
          </cell>
          <cell r="AC120">
            <v>1.1767554479418887</v>
          </cell>
          <cell r="AD120">
            <v>1.1754633662771483</v>
          </cell>
          <cell r="AE120">
            <v>1.2395409992828115</v>
          </cell>
          <cell r="AF120">
            <v>1.4315771868205382</v>
          </cell>
          <cell r="AG120">
            <v>1.3671195884673502</v>
          </cell>
          <cell r="AH120">
            <v>1.0678175904599114</v>
          </cell>
          <cell r="AI120">
            <v>0.93302958344057985</v>
          </cell>
          <cell r="AK120">
            <v>7.6089992242048119</v>
          </cell>
          <cell r="AL120">
            <v>2.6016435986159174</v>
          </cell>
          <cell r="AM120">
            <v>1.4309133489461361</v>
          </cell>
          <cell r="AN120">
            <v>1.016815108649552</v>
          </cell>
          <cell r="AO120">
            <v>1.1764035042247678</v>
          </cell>
          <cell r="AP120">
            <v>1.2216872296700769</v>
          </cell>
          <cell r="AQ120">
            <v>1.1583447127204844</v>
          </cell>
          <cell r="AR120">
            <v>0.96250000000000002</v>
          </cell>
          <cell r="AS120">
            <v>0.88124999999999998</v>
          </cell>
          <cell r="AT120">
            <v>0.79999999999999993</v>
          </cell>
          <cell r="AU120">
            <v>0.72499999999999998</v>
          </cell>
          <cell r="AV120">
            <v>0.64999999999999991</v>
          </cell>
          <cell r="AW120">
            <v>0.62500000000000011</v>
          </cell>
        </row>
        <row r="121">
          <cell r="I121" t="str">
            <v>Total operating expenses (adjusted)</v>
          </cell>
          <cell r="L121">
            <v>7.5308243727598541</v>
          </cell>
          <cell r="M121">
            <v>2.5744725080552957</v>
          </cell>
          <cell r="N121">
            <v>2.2152106304778068</v>
          </cell>
          <cell r="O121">
            <v>1.9111302516987265</v>
          </cell>
          <cell r="P121">
            <v>1.5789191079143878</v>
          </cell>
          <cell r="Q121">
            <v>1.7400213162803098</v>
          </cell>
          <cell r="R121">
            <v>1.306629572853385</v>
          </cell>
          <cell r="S121">
            <v>1.2286075292471883</v>
          </cell>
          <cell r="T121">
            <v>0.98497765812253468</v>
          </cell>
          <cell r="U121">
            <v>1.0225084865987741</v>
          </cell>
          <cell r="V121">
            <v>0.95291026677445423</v>
          </cell>
          <cell r="W121">
            <v>0.92824846193758803</v>
          </cell>
          <cell r="X121">
            <v>1.236735778841042</v>
          </cell>
          <cell r="Y121">
            <v>1.1963420210333791</v>
          </cell>
          <cell r="Z121">
            <v>1.0496096096096097</v>
          </cell>
          <cell r="AA121">
            <v>0.95951298701298715</v>
          </cell>
          <cell r="AB121">
            <v>1.2247089748404054</v>
          </cell>
          <cell r="AC121">
            <v>1.0529661016949154</v>
          </cell>
          <cell r="AD121">
            <v>1.0222596052750155</v>
          </cell>
          <cell r="AE121">
            <v>0.8539325842696629</v>
          </cell>
          <cell r="AF121">
            <v>1.2109382839939788</v>
          </cell>
          <cell r="AG121">
            <v>1.1523677750928119</v>
          </cell>
          <cell r="AH121">
            <v>0.90194238548555095</v>
          </cell>
          <cell r="AI121">
            <v>0.8022579895216666</v>
          </cell>
          <cell r="AK121">
            <v>7.4788380312042086</v>
          </cell>
          <cell r="AL121">
            <v>2.5273853005254394</v>
          </cell>
          <cell r="AM121">
            <v>1.3990828619819131</v>
          </cell>
          <cell r="AN121">
            <v>0.96618036093624227</v>
          </cell>
          <cell r="AO121">
            <v>1.090601835052615</v>
          </cell>
          <cell r="AP121">
            <v>1.0175459421762905</v>
          </cell>
          <cell r="AQ121">
            <v>0.98297845786233506</v>
          </cell>
          <cell r="AR121">
            <v>0.81764438038357046</v>
          </cell>
          <cell r="AS121">
            <v>0.75139354269794112</v>
          </cell>
          <cell r="AT121">
            <v>0.68317000232180813</v>
          </cell>
          <cell r="AU121">
            <v>0.61349275817927051</v>
          </cell>
          <cell r="AV121">
            <v>0.54272754917634991</v>
          </cell>
          <cell r="AW121">
            <v>0.52113629500844294</v>
          </cell>
        </row>
        <row r="122">
          <cell r="I122" t="str">
            <v>Operating income (adjusted)</v>
          </cell>
          <cell r="L122">
            <v>-6.5308243727598541</v>
          </cell>
          <cell r="M122">
            <v>-1.5744725080552959</v>
          </cell>
          <cell r="N122">
            <v>-1.2152106304778068</v>
          </cell>
          <cell r="O122">
            <v>-0.91113025169872652</v>
          </cell>
          <cell r="P122">
            <v>-0.57891910791438794</v>
          </cell>
          <cell r="Q122">
            <v>-0.74002131628030965</v>
          </cell>
          <cell r="R122">
            <v>-0.30662957285338488</v>
          </cell>
          <cell r="S122">
            <v>-0.22860752924718836</v>
          </cell>
          <cell r="T122">
            <v>1.5022341877465335E-2</v>
          </cell>
          <cell r="U122">
            <v>-2.2508486598774118E-2</v>
          </cell>
          <cell r="V122">
            <v>4.7089733225545778E-2</v>
          </cell>
          <cell r="W122">
            <v>7.1751538062411982E-2</v>
          </cell>
          <cell r="X122">
            <v>-0.23673577884104199</v>
          </cell>
          <cell r="Y122">
            <v>-0.19634202103337911</v>
          </cell>
          <cell r="Z122">
            <v>-4.960960960960964E-2</v>
          </cell>
          <cell r="AA122">
            <v>4.048701298701287E-2</v>
          </cell>
          <cell r="AB122">
            <v>-0.22470897484040533</v>
          </cell>
          <cell r="AC122">
            <v>-5.2966101694915481E-2</v>
          </cell>
          <cell r="AD122">
            <v>-2.2259605275015547E-2</v>
          </cell>
          <cell r="AE122">
            <v>0.14606741573033707</v>
          </cell>
          <cell r="AF122">
            <v>-0.21093828399397882</v>
          </cell>
          <cell r="AG122">
            <v>-0.15236777509281196</v>
          </cell>
          <cell r="AH122">
            <v>9.8057614514449012E-2</v>
          </cell>
          <cell r="AI122">
            <v>0.19774201047833337</v>
          </cell>
          <cell r="AK122">
            <v>-6.4788380312042086</v>
          </cell>
          <cell r="AL122">
            <v>-1.5273853005254394</v>
          </cell>
          <cell r="AM122">
            <v>-0.39908286198191306</v>
          </cell>
          <cell r="AN122">
            <v>3.3819639063757713E-2</v>
          </cell>
          <cell r="AO122">
            <v>-9.0601835052614946E-2</v>
          </cell>
          <cell r="AP122">
            <v>-1.7545942176290415E-2</v>
          </cell>
          <cell r="AQ122">
            <v>1.7021542137664894E-2</v>
          </cell>
          <cell r="AR122">
            <v>0.18235561961642952</v>
          </cell>
          <cell r="AS122">
            <v>0.24860645730205885</v>
          </cell>
          <cell r="AT122">
            <v>0.31682999767819187</v>
          </cell>
          <cell r="AU122">
            <v>0.38650724182072949</v>
          </cell>
          <cell r="AV122">
            <v>0.45727245082365015</v>
          </cell>
          <cell r="AW122">
            <v>0.478863704991557</v>
          </cell>
        </row>
        <row r="123">
          <cell r="I123" t="str">
            <v>Adjusted EBITDA</v>
          </cell>
          <cell r="L123">
            <v>-6.5290322580645137</v>
          </cell>
          <cell r="M123">
            <v>-1.5734331150608047</v>
          </cell>
          <cell r="N123">
            <v>-1.210687022900764</v>
          </cell>
          <cell r="O123">
            <v>-0.90749354005167904</v>
          </cell>
          <cell r="P123">
            <v>-0.57417397167902917</v>
          </cell>
          <cell r="Q123">
            <v>-0.73489208633093583</v>
          </cell>
          <cell r="R123">
            <v>-0.30199284619315286</v>
          </cell>
          <cell r="S123">
            <v>-0.21763630825464539</v>
          </cell>
          <cell r="T123">
            <v>2.1075214538111849E-2</v>
          </cell>
          <cell r="U123">
            <v>-1.1285909712722537E-2</v>
          </cell>
          <cell r="V123">
            <v>6.2550525464834389E-2</v>
          </cell>
          <cell r="W123">
            <v>8.931880512934548E-2</v>
          </cell>
          <cell r="X123">
            <v>-0.26049973418394468</v>
          </cell>
          <cell r="Y123">
            <v>-0.16506630086877003</v>
          </cell>
          <cell r="Z123">
            <v>-2.1821821821821852E-2</v>
          </cell>
          <cell r="AA123">
            <v>7.1103896103895989E-2</v>
          </cell>
          <cell r="AB123">
            <v>-0.18024784078107375</v>
          </cell>
          <cell r="AC123">
            <v>-1.2106537530266566E-2</v>
          </cell>
          <cell r="AD123">
            <v>2.4302322088377758E-2</v>
          </cell>
          <cell r="AE123">
            <v>0.18120965814009085</v>
          </cell>
          <cell r="AF123">
            <v>-0.15587890951664146</v>
          </cell>
          <cell r="AG123">
            <v>-0.10123639095601709</v>
          </cell>
          <cell r="AH123">
            <v>0.13755171093691579</v>
          </cell>
          <cell r="AI123">
            <v>0.22887810426855082</v>
          </cell>
          <cell r="AK123">
            <v>-6.4266873545384042</v>
          </cell>
          <cell r="AL123">
            <v>-1.5242214532871976</v>
          </cell>
          <cell r="AM123">
            <v>-0.39177862689510679</v>
          </cell>
          <cell r="AN123">
            <v>4.720205573435142E-2</v>
          </cell>
          <cell r="AO123">
            <v>-6.9203255404074182E-2</v>
          </cell>
          <cell r="AP123">
            <v>2.6107471677955848E-2</v>
          </cell>
          <cell r="AQ123">
            <v>5.929487922419558E-2</v>
          </cell>
          <cell r="AR123">
            <v>0.20735561961642951</v>
          </cell>
          <cell r="AS123">
            <v>0.27173145730205889</v>
          </cell>
          <cell r="AT123">
            <v>0.33807999767819186</v>
          </cell>
          <cell r="AU123">
            <v>0.40588224182072946</v>
          </cell>
          <cell r="AV123">
            <v>0.47602245082365013</v>
          </cell>
          <cell r="AW123">
            <v>0.49761370499155705</v>
          </cell>
        </row>
        <row r="124">
          <cell r="I124" t="str">
            <v>Net income (adjusted)</v>
          </cell>
          <cell r="L124">
            <v>-6.6469534050179186</v>
          </cell>
          <cell r="M124">
            <v>-1.6118906558569797</v>
          </cell>
          <cell r="N124">
            <v>-1.2426915465083412</v>
          </cell>
          <cell r="O124">
            <v>-0.92766771939898496</v>
          </cell>
          <cell r="P124">
            <v>-0.58465073299867654</v>
          </cell>
          <cell r="Q124">
            <v>-0.73930189181987815</v>
          </cell>
          <cell r="R124">
            <v>-0.30662957285338488</v>
          </cell>
          <cell r="S124">
            <v>-0.24596969799528462</v>
          </cell>
          <cell r="T124">
            <v>9.0134051264792008E-3</v>
          </cell>
          <cell r="U124">
            <v>3.3579064700815495E-2</v>
          </cell>
          <cell r="V124">
            <v>2.601050929668559E-2</v>
          </cell>
          <cell r="W124">
            <v>4.1494329553035357E-2</v>
          </cell>
          <cell r="X124">
            <v>-0.24736842105263157</v>
          </cell>
          <cell r="Y124">
            <v>-0.20000000000000004</v>
          </cell>
          <cell r="Z124">
            <v>-6.0420420420420451E-2</v>
          </cell>
          <cell r="AA124">
            <v>1.9227272727272659E-2</v>
          </cell>
          <cell r="AB124">
            <v>-0.23334585054449844</v>
          </cell>
          <cell r="AC124">
            <v>-6.0230024213075287E-2</v>
          </cell>
          <cell r="AD124">
            <v>-2.9168794496680358E-2</v>
          </cell>
          <cell r="AE124">
            <v>8.4484819507530479E-2</v>
          </cell>
          <cell r="AF124">
            <v>-0.2124435524335172</v>
          </cell>
          <cell r="AG124">
            <v>-0.15027907935556728</v>
          </cell>
          <cell r="AH124">
            <v>5.9746575881140462E-2</v>
          </cell>
          <cell r="AI124">
            <v>0.11930595113740494</v>
          </cell>
          <cell r="AK124">
            <v>-6.3547108007930371</v>
          </cell>
          <cell r="AL124">
            <v>-1.5585271690375502</v>
          </cell>
          <cell r="AM124">
            <v>-0.4070330653592088</v>
          </cell>
          <cell r="AN124">
            <v>2.9518194191497291E-2</v>
          </cell>
          <cell r="AO124">
            <v>-0.10309263387071664</v>
          </cell>
          <cell r="AP124">
            <v>-4.1850596116893873E-2</v>
          </cell>
          <cell r="AQ124">
            <v>-1.8865376923970181E-2</v>
          </cell>
          <cell r="AR124">
            <v>0.11597889091681769</v>
          </cell>
          <cell r="AS124">
            <v>0.16231830334450617</v>
          </cell>
          <cell r="AT124">
            <v>0.20965003099937154</v>
          </cell>
          <cell r="AU124">
            <v>0.25565823527771298</v>
          </cell>
          <cell r="AV124">
            <v>0.30263687130946765</v>
          </cell>
          <cell r="AW124">
            <v>0.3179022056331135</v>
          </cell>
        </row>
        <row r="129">
          <cell r="I129" t="str">
            <v>Millennial Media</v>
          </cell>
          <cell r="L129">
            <v>40178</v>
          </cell>
          <cell r="P129">
            <v>40543</v>
          </cell>
          <cell r="T129">
            <v>40908</v>
          </cell>
          <cell r="X129">
            <v>41274</v>
          </cell>
          <cell r="AB129">
            <v>41639</v>
          </cell>
          <cell r="AF129">
            <v>42004</v>
          </cell>
        </row>
        <row r="130">
          <cell r="I130" t="str">
            <v>(USD millions)</v>
          </cell>
          <cell r="L130">
            <v>1</v>
          </cell>
          <cell r="M130">
            <v>2</v>
          </cell>
          <cell r="N130">
            <v>3</v>
          </cell>
          <cell r="O130">
            <v>4</v>
          </cell>
          <cell r="P130">
            <v>1</v>
          </cell>
          <cell r="Q130">
            <v>2</v>
          </cell>
          <cell r="R130">
            <v>3</v>
          </cell>
          <cell r="S130">
            <v>4</v>
          </cell>
          <cell r="T130">
            <v>1</v>
          </cell>
          <cell r="U130">
            <v>2</v>
          </cell>
          <cell r="V130">
            <v>3</v>
          </cell>
          <cell r="W130">
            <v>4</v>
          </cell>
          <cell r="X130">
            <v>1</v>
          </cell>
          <cell r="Y130">
            <v>2</v>
          </cell>
          <cell r="Z130">
            <v>3</v>
          </cell>
          <cell r="AA130">
            <v>4</v>
          </cell>
          <cell r="AB130">
            <v>1</v>
          </cell>
          <cell r="AC130">
            <v>2</v>
          </cell>
          <cell r="AD130">
            <v>3</v>
          </cell>
          <cell r="AE130">
            <v>4</v>
          </cell>
          <cell r="AF130">
            <v>1</v>
          </cell>
          <cell r="AG130">
            <v>2</v>
          </cell>
          <cell r="AH130">
            <v>3</v>
          </cell>
          <cell r="AI130">
            <v>4</v>
          </cell>
          <cell r="AK130">
            <v>39813</v>
          </cell>
          <cell r="AL130">
            <v>40178</v>
          </cell>
          <cell r="AM130">
            <v>40543</v>
          </cell>
          <cell r="AN130">
            <v>40908</v>
          </cell>
          <cell r="AO130">
            <v>41274</v>
          </cell>
          <cell r="AP130">
            <v>41639</v>
          </cell>
          <cell r="AQ130">
            <v>42004</v>
          </cell>
          <cell r="AR130">
            <v>42369</v>
          </cell>
          <cell r="AS130">
            <v>42735</v>
          </cell>
          <cell r="AT130">
            <v>43100</v>
          </cell>
          <cell r="AU130">
            <v>43465</v>
          </cell>
          <cell r="AV130">
            <v>43830</v>
          </cell>
          <cell r="AW130">
            <v>44196</v>
          </cell>
        </row>
        <row r="132">
          <cell r="I132" t="str">
            <v>Balance Sheet</v>
          </cell>
        </row>
        <row r="133">
          <cell r="I133" t="str">
            <v>Assets:</v>
          </cell>
        </row>
        <row r="134">
          <cell r="I134" t="str">
            <v>Cash &amp; equivalents</v>
          </cell>
          <cell r="L134">
            <v>8.1489999999999991</v>
          </cell>
          <cell r="M134">
            <v>6.48</v>
          </cell>
          <cell r="N134">
            <v>4.8280000000000003</v>
          </cell>
          <cell r="O134">
            <v>19.170999999999999</v>
          </cell>
          <cell r="P134">
            <v>14.654999999999999</v>
          </cell>
          <cell r="Q134">
            <v>11.657999999999999</v>
          </cell>
          <cell r="R134">
            <v>9.7690000000000001</v>
          </cell>
          <cell r="S134">
            <v>27.803000000000001</v>
          </cell>
          <cell r="T134">
            <v>24.065999999999999</v>
          </cell>
          <cell r="U134">
            <v>21.657</v>
          </cell>
          <cell r="V134">
            <v>20.015000000000001</v>
          </cell>
          <cell r="W134">
            <v>16.707000000000001</v>
          </cell>
          <cell r="X134">
            <v>128.506</v>
          </cell>
          <cell r="Y134">
            <v>123.47199999999999</v>
          </cell>
          <cell r="Z134">
            <v>122.404</v>
          </cell>
          <cell r="AA134">
            <v>137.43899999999999</v>
          </cell>
          <cell r="AB134">
            <v>133.49600000000001</v>
          </cell>
          <cell r="AC134">
            <v>122.63500000000001</v>
          </cell>
          <cell r="AD134">
            <v>139.19899999999998</v>
          </cell>
          <cell r="AE134">
            <v>99.236999999999995</v>
          </cell>
          <cell r="AF134">
            <v>98.038999999999902</v>
          </cell>
          <cell r="AG134">
            <v>92.368961954754539</v>
          </cell>
          <cell r="AH134">
            <v>84.884745640447363</v>
          </cell>
          <cell r="AI134">
            <v>82.06881383619384</v>
          </cell>
          <cell r="AK134">
            <v>10.199999999999999</v>
          </cell>
          <cell r="AL134">
            <v>19.170999999999999</v>
          </cell>
          <cell r="AM134">
            <v>27.803000000000001</v>
          </cell>
          <cell r="AN134">
            <v>16.707000000000001</v>
          </cell>
          <cell r="AO134">
            <v>137.43899999999999</v>
          </cell>
          <cell r="AP134">
            <v>99.236999999999995</v>
          </cell>
          <cell r="AQ134">
            <v>82.06881383619384</v>
          </cell>
          <cell r="AR134">
            <v>103.19393661137222</v>
          </cell>
          <cell r="AS134">
            <v>136.46932508883947</v>
          </cell>
          <cell r="AT134">
            <v>186.62379859971196</v>
          </cell>
          <cell r="AU134">
            <v>257.88979745538802</v>
          </cell>
          <cell r="AV134">
            <v>353.96049710415195</v>
          </cell>
          <cell r="AW134">
            <v>467.83939334674039</v>
          </cell>
        </row>
        <row r="135">
          <cell r="I135" t="str">
            <v>Accounts receivable, net</v>
          </cell>
          <cell r="L135">
            <v>2.286</v>
          </cell>
          <cell r="M135">
            <v>3.5449999999999999</v>
          </cell>
          <cell r="N135">
            <v>4.1449999999999996</v>
          </cell>
          <cell r="O135">
            <v>6.4850000000000003</v>
          </cell>
          <cell r="P135">
            <v>8.798</v>
          </cell>
          <cell r="Q135">
            <v>10.146000000000001</v>
          </cell>
          <cell r="R135">
            <v>12.224</v>
          </cell>
          <cell r="S135">
            <v>19.978000000000002</v>
          </cell>
          <cell r="T135">
            <v>23.440999999999999</v>
          </cell>
          <cell r="U135">
            <v>22.555</v>
          </cell>
          <cell r="V135">
            <v>25.704999999999998</v>
          </cell>
          <cell r="W135">
            <v>34.985999999999997</v>
          </cell>
          <cell r="X135">
            <v>36.482999999999997</v>
          </cell>
          <cell r="Y135">
            <v>43.122999999999998</v>
          </cell>
          <cell r="Z135">
            <v>51.176000000000002</v>
          </cell>
          <cell r="AA135">
            <v>59.179000000000002</v>
          </cell>
          <cell r="AB135">
            <v>53.981000000000002</v>
          </cell>
          <cell r="AC135">
            <v>57.073</v>
          </cell>
          <cell r="AD135">
            <v>78.924999999999997</v>
          </cell>
          <cell r="AE135">
            <v>109.056</v>
          </cell>
          <cell r="AF135">
            <v>79.918000000000006</v>
          </cell>
          <cell r="AG135">
            <v>78.851612983205058</v>
          </cell>
          <cell r="AH135">
            <v>97.454104168729486</v>
          </cell>
          <cell r="AI135">
            <v>120.97619850998825</v>
          </cell>
          <cell r="AK135">
            <v>2.2799999999999998</v>
          </cell>
          <cell r="AL135">
            <v>6.4850000000000003</v>
          </cell>
          <cell r="AM135">
            <v>19.978000000000002</v>
          </cell>
          <cell r="AN135">
            <v>34.985999999999997</v>
          </cell>
          <cell r="AO135">
            <v>59.179000000000002</v>
          </cell>
          <cell r="AP135">
            <v>109.056</v>
          </cell>
          <cell r="AQ135">
            <v>120.97619850998825</v>
          </cell>
          <cell r="AR135">
            <v>139.2046061791317</v>
          </cell>
          <cell r="AS135">
            <v>157.22057349260743</v>
          </cell>
          <cell r="AT135">
            <v>174.50882498824146</v>
          </cell>
          <cell r="AU135">
            <v>190.5778702717561</v>
          </cell>
          <cell r="AV135">
            <v>204.98105593056709</v>
          </cell>
          <cell r="AW135">
            <v>217.3321027478101</v>
          </cell>
        </row>
        <row r="136">
          <cell r="I136" t="str">
            <v>Prepaid expenses &amp; other current assets</v>
          </cell>
          <cell r="L136">
            <v>0.04</v>
          </cell>
          <cell r="M136">
            <v>3.9E-2</v>
          </cell>
          <cell r="N136">
            <v>9.0999999999999998E-2</v>
          </cell>
          <cell r="O136">
            <v>5.8000000000000003E-2</v>
          </cell>
          <cell r="P136">
            <v>0.121</v>
          </cell>
          <cell r="Q136">
            <v>0.14599999999999999</v>
          </cell>
          <cell r="R136">
            <v>0.17100000000000001</v>
          </cell>
          <cell r="S136">
            <v>0.35199999999999998</v>
          </cell>
          <cell r="T136">
            <v>0.36799999999999999</v>
          </cell>
          <cell r="U136">
            <v>0.44400000000000001</v>
          </cell>
          <cell r="V136">
            <v>1.077</v>
          </cell>
          <cell r="W136">
            <v>1.417</v>
          </cell>
          <cell r="X136">
            <v>1.581</v>
          </cell>
          <cell r="Y136">
            <v>1.8080000000000001</v>
          </cell>
          <cell r="Z136">
            <v>2.1190000000000002</v>
          </cell>
          <cell r="AA136">
            <v>1.966</v>
          </cell>
          <cell r="AB136">
            <v>1.675</v>
          </cell>
          <cell r="AC136">
            <v>3.319</v>
          </cell>
          <cell r="AD136">
            <v>4.2030000000000003</v>
          </cell>
          <cell r="AE136">
            <v>4.2430000000000003</v>
          </cell>
          <cell r="AF136">
            <v>4.2570000000000006</v>
          </cell>
          <cell r="AG136">
            <v>3.6356521929886081</v>
          </cell>
          <cell r="AH136">
            <v>3.8552724215030656</v>
          </cell>
          <cell r="AI136">
            <v>4.1737892136032677</v>
          </cell>
          <cell r="AK136">
            <v>6.0999999999999999E-2</v>
          </cell>
          <cell r="AL136">
            <v>5.8000000000000003E-2</v>
          </cell>
          <cell r="AM136">
            <v>0.35199999999999998</v>
          </cell>
          <cell r="AN136">
            <v>1.417</v>
          </cell>
          <cell r="AO136">
            <v>1.966</v>
          </cell>
          <cell r="AP136">
            <v>4.2430000000000003</v>
          </cell>
          <cell r="AQ136">
            <v>4.1737892136032677</v>
          </cell>
          <cell r="AR136">
            <v>4.1590240412922679</v>
          </cell>
          <cell r="AS136">
            <v>4.4933663635727754</v>
          </cell>
          <cell r="AT136">
            <v>4.7398960244848247</v>
          </cell>
          <cell r="AU136">
            <v>4.9218191587745821</v>
          </cell>
          <cell r="AV136">
            <v>4.9916954133970197</v>
          </cell>
          <cell r="AW136">
            <v>5.3665429407003673</v>
          </cell>
        </row>
        <row r="137">
          <cell r="I137" t="str">
            <v>Total current assets</v>
          </cell>
          <cell r="L137">
            <v>10.474999999999998</v>
          </cell>
          <cell r="M137">
            <v>10.064</v>
          </cell>
          <cell r="N137">
            <v>9.0639999999999983</v>
          </cell>
          <cell r="O137">
            <v>25.713999999999999</v>
          </cell>
          <cell r="P137">
            <v>23.573999999999998</v>
          </cell>
          <cell r="Q137">
            <v>21.950000000000003</v>
          </cell>
          <cell r="R137">
            <v>22.164000000000001</v>
          </cell>
          <cell r="S137">
            <v>48.133000000000003</v>
          </cell>
          <cell r="T137">
            <v>47.875</v>
          </cell>
          <cell r="U137">
            <v>44.656000000000006</v>
          </cell>
          <cell r="V137">
            <v>46.796999999999997</v>
          </cell>
          <cell r="W137">
            <v>53.11</v>
          </cell>
          <cell r="X137">
            <v>166.57</v>
          </cell>
          <cell r="Y137">
            <v>168.40299999999999</v>
          </cell>
          <cell r="Z137">
            <v>175.69899999999998</v>
          </cell>
          <cell r="AA137">
            <v>198.584</v>
          </cell>
          <cell r="AB137">
            <v>189.15200000000002</v>
          </cell>
          <cell r="AC137">
            <v>183.02699999999999</v>
          </cell>
          <cell r="AD137">
            <v>222.32699999999997</v>
          </cell>
          <cell r="AE137">
            <v>212.536</v>
          </cell>
          <cell r="AF137">
            <v>182.21399999999991</v>
          </cell>
          <cell r="AG137">
            <v>174.85622713094821</v>
          </cell>
          <cell r="AH137">
            <v>186.19412223067991</v>
          </cell>
          <cell r="AI137">
            <v>207.21880155978536</v>
          </cell>
          <cell r="AK137">
            <v>12.540999999999999</v>
          </cell>
          <cell r="AL137">
            <v>25.713999999999999</v>
          </cell>
          <cell r="AM137">
            <v>48.133000000000003</v>
          </cell>
          <cell r="AN137">
            <v>53.11</v>
          </cell>
          <cell r="AO137">
            <v>198.584</v>
          </cell>
          <cell r="AP137">
            <v>212.536</v>
          </cell>
          <cell r="AQ137">
            <v>207.21880155978536</v>
          </cell>
          <cell r="AR137">
            <v>246.55756683179621</v>
          </cell>
          <cell r="AS137">
            <v>298.18326494501963</v>
          </cell>
          <cell r="AT137">
            <v>365.87251961243823</v>
          </cell>
          <cell r="AU137">
            <v>453.3894868859187</v>
          </cell>
          <cell r="AV137">
            <v>563.93324844811605</v>
          </cell>
          <cell r="AW137">
            <v>690.5380390352509</v>
          </cell>
        </row>
        <row r="138">
          <cell r="I138" t="str">
            <v>Property and equipment, net</v>
          </cell>
          <cell r="L138">
            <v>0.35299999999999998</v>
          </cell>
          <cell r="M138">
            <v>0.32800000000000001</v>
          </cell>
          <cell r="N138">
            <v>0.32400000000000001</v>
          </cell>
          <cell r="O138">
            <v>0.318</v>
          </cell>
          <cell r="P138">
            <v>0.35199999999999998</v>
          </cell>
          <cell r="Q138">
            <v>0.38600000000000001</v>
          </cell>
          <cell r="R138">
            <v>0.433</v>
          </cell>
          <cell r="S138">
            <v>0.74099999999999999</v>
          </cell>
          <cell r="T138">
            <v>0.91300000000000003</v>
          </cell>
          <cell r="U138">
            <v>1.482</v>
          </cell>
          <cell r="V138">
            <v>2.661</v>
          </cell>
          <cell r="W138">
            <v>3.6880000000000002</v>
          </cell>
          <cell r="X138">
            <v>3.903</v>
          </cell>
          <cell r="Y138">
            <v>4.7809999999999997</v>
          </cell>
          <cell r="Z138">
            <v>5.7770000000000001</v>
          </cell>
          <cell r="AA138">
            <v>6.85</v>
          </cell>
          <cell r="AB138">
            <v>7.8079999999999998</v>
          </cell>
          <cell r="AC138">
            <v>7.8460000000000001</v>
          </cell>
          <cell r="AD138">
            <v>13.211</v>
          </cell>
          <cell r="AE138">
            <v>12.663</v>
          </cell>
          <cell r="AF138">
            <v>15.032</v>
          </cell>
          <cell r="AG138">
            <v>15.745259999999998</v>
          </cell>
          <cell r="AH138">
            <v>17.642313999999995</v>
          </cell>
          <cell r="AI138">
            <v>19.262068999999993</v>
          </cell>
          <cell r="AK138">
            <v>0.38400000000000001</v>
          </cell>
          <cell r="AL138">
            <v>0.318</v>
          </cell>
          <cell r="AM138">
            <v>0.74099999999999999</v>
          </cell>
          <cell r="AN138">
            <v>3.6880000000000002</v>
          </cell>
          <cell r="AO138">
            <v>6.85</v>
          </cell>
          <cell r="AP138">
            <v>12.663</v>
          </cell>
          <cell r="AQ138">
            <v>19.262068999999993</v>
          </cell>
          <cell r="AR138">
            <v>13.620839799999994</v>
          </cell>
          <cell r="AS138">
            <v>8.378438128199992</v>
          </cell>
          <cell r="AT138">
            <v>3.4585244728087936</v>
          </cell>
          <cell r="AU138">
            <v>-1.2343093229783957</v>
          </cell>
          <cell r="AV138">
            <v>-5.4244004002077979</v>
          </cell>
          <cell r="AW138">
            <v>-8.9283528534758378</v>
          </cell>
        </row>
        <row r="139">
          <cell r="I139" t="str">
            <v>Goodwill</v>
          </cell>
          <cell r="L139">
            <v>0</v>
          </cell>
          <cell r="M139">
            <v>0</v>
          </cell>
          <cell r="N139">
            <v>0</v>
          </cell>
          <cell r="O139">
            <v>0</v>
          </cell>
          <cell r="P139">
            <v>0</v>
          </cell>
          <cell r="Q139">
            <v>0</v>
          </cell>
          <cell r="R139">
            <v>0</v>
          </cell>
          <cell r="S139">
            <v>0</v>
          </cell>
          <cell r="T139">
            <v>0</v>
          </cell>
          <cell r="U139">
            <v>1.3480000000000001</v>
          </cell>
          <cell r="V139">
            <v>1.3480000000000001</v>
          </cell>
          <cell r="W139">
            <v>1.3480000000000001</v>
          </cell>
          <cell r="X139">
            <v>1.3480000000000001</v>
          </cell>
          <cell r="Y139">
            <v>1.3480000000000001</v>
          </cell>
          <cell r="Z139">
            <v>1.3480000000000001</v>
          </cell>
          <cell r="AA139">
            <v>1.3480000000000001</v>
          </cell>
          <cell r="AB139">
            <v>1.3480000000000001</v>
          </cell>
          <cell r="AC139">
            <v>11.111000000000001</v>
          </cell>
          <cell r="AD139">
            <v>131.136</v>
          </cell>
          <cell r="AE139">
            <v>135.489</v>
          </cell>
          <cell r="AF139">
            <v>135.518</v>
          </cell>
          <cell r="AG139">
            <v>135.518</v>
          </cell>
          <cell r="AH139">
            <v>135.518</v>
          </cell>
          <cell r="AI139">
            <v>135.518</v>
          </cell>
          <cell r="AK139">
            <v>0</v>
          </cell>
          <cell r="AL139">
            <v>0</v>
          </cell>
          <cell r="AM139">
            <v>0</v>
          </cell>
          <cell r="AN139">
            <v>1.3480000000000001</v>
          </cell>
          <cell r="AO139">
            <v>1.3480000000000001</v>
          </cell>
          <cell r="AP139">
            <v>135.489</v>
          </cell>
          <cell r="AQ139">
            <v>135.518</v>
          </cell>
          <cell r="AR139">
            <v>135.518</v>
          </cell>
          <cell r="AS139">
            <v>135.518</v>
          </cell>
          <cell r="AT139">
            <v>135.518</v>
          </cell>
          <cell r="AU139">
            <v>135.518</v>
          </cell>
          <cell r="AV139">
            <v>135.518</v>
          </cell>
          <cell r="AW139">
            <v>135.518</v>
          </cell>
        </row>
        <row r="140">
          <cell r="I140" t="str">
            <v>Intangible assets, net</v>
          </cell>
          <cell r="L140">
            <v>0</v>
          </cell>
          <cell r="M140">
            <v>0</v>
          </cell>
          <cell r="N140">
            <v>0</v>
          </cell>
          <cell r="O140">
            <v>0</v>
          </cell>
          <cell r="P140">
            <v>7.1999999999999995E-2</v>
          </cell>
          <cell r="Q140">
            <v>7.0000000000000007E-2</v>
          </cell>
          <cell r="R140">
            <v>6.8000000000000005E-2</v>
          </cell>
          <cell r="S140">
            <v>6.6000000000000003E-2</v>
          </cell>
          <cell r="T140">
            <v>6.4000000000000001E-2</v>
          </cell>
          <cell r="U140">
            <v>1.3120000000000001</v>
          </cell>
          <cell r="V140">
            <v>1.2450000000000001</v>
          </cell>
          <cell r="W140">
            <v>1.179</v>
          </cell>
          <cell r="X140">
            <v>1.1120000000000001</v>
          </cell>
          <cell r="Y140">
            <v>1.046</v>
          </cell>
          <cell r="Z140">
            <v>0.98</v>
          </cell>
          <cell r="AA140">
            <v>0.91300000000000003</v>
          </cell>
          <cell r="AB140">
            <v>0.84699999999999998</v>
          </cell>
          <cell r="AC140">
            <v>2.7770000000000001</v>
          </cell>
          <cell r="AD140">
            <v>58.55</v>
          </cell>
          <cell r="AE140">
            <v>57.706000000000003</v>
          </cell>
          <cell r="AF140">
            <v>55.433</v>
          </cell>
          <cell r="AG140">
            <v>55.433</v>
          </cell>
          <cell r="AH140">
            <v>55.433</v>
          </cell>
          <cell r="AI140">
            <v>55.433</v>
          </cell>
          <cell r="AK140">
            <v>0</v>
          </cell>
          <cell r="AL140">
            <v>0</v>
          </cell>
          <cell r="AM140">
            <v>6.6000000000000003E-2</v>
          </cell>
          <cell r="AN140">
            <v>1.179</v>
          </cell>
          <cell r="AO140">
            <v>0.91300000000000003</v>
          </cell>
          <cell r="AP140">
            <v>57.706000000000003</v>
          </cell>
          <cell r="AQ140">
            <v>55.433</v>
          </cell>
          <cell r="AR140">
            <v>55.433</v>
          </cell>
          <cell r="AS140">
            <v>55.433</v>
          </cell>
          <cell r="AT140">
            <v>55.433</v>
          </cell>
          <cell r="AU140">
            <v>55.433</v>
          </cell>
          <cell r="AV140">
            <v>55.433</v>
          </cell>
          <cell r="AW140">
            <v>55.433</v>
          </cell>
        </row>
        <row r="141">
          <cell r="I141" t="str">
            <v>Other assets</v>
          </cell>
          <cell r="L141">
            <v>0.113</v>
          </cell>
          <cell r="M141">
            <v>0.11</v>
          </cell>
          <cell r="N141">
            <v>0.107</v>
          </cell>
          <cell r="O141">
            <v>0.104</v>
          </cell>
          <cell r="P141">
            <v>9.0999999999999998E-2</v>
          </cell>
          <cell r="Q141">
            <v>0.17100000000000001</v>
          </cell>
          <cell r="R141">
            <v>0.17100000000000001</v>
          </cell>
          <cell r="S141">
            <v>0.17499999999999999</v>
          </cell>
          <cell r="T141">
            <v>0.30299999999999999</v>
          </cell>
          <cell r="U141">
            <v>0.34799999999999998</v>
          </cell>
          <cell r="V141">
            <v>0.96899999999999997</v>
          </cell>
          <cell r="W141">
            <v>2.56</v>
          </cell>
          <cell r="X141">
            <v>0.77300000000000002</v>
          </cell>
          <cell r="Y141">
            <v>0.63600000000000001</v>
          </cell>
          <cell r="Z141">
            <v>0.63400000000000001</v>
          </cell>
          <cell r="AA141">
            <v>0.754</v>
          </cell>
          <cell r="AB141">
            <v>0.68700000000000006</v>
          </cell>
          <cell r="AC141">
            <v>0.73599999999999999</v>
          </cell>
          <cell r="AD141">
            <v>1.679</v>
          </cell>
          <cell r="AE141">
            <v>1.21</v>
          </cell>
          <cell r="AF141">
            <v>0.58299999999999996</v>
          </cell>
          <cell r="AG141">
            <v>0.58299999999999996</v>
          </cell>
          <cell r="AH141">
            <v>0.58299999999999996</v>
          </cell>
          <cell r="AI141">
            <v>0.58299999999999996</v>
          </cell>
          <cell r="AK141">
            <v>0.11700000000000001</v>
          </cell>
          <cell r="AL141">
            <v>0.104</v>
          </cell>
          <cell r="AM141">
            <v>0.17499999999999999</v>
          </cell>
          <cell r="AN141">
            <v>2.56</v>
          </cell>
          <cell r="AO141">
            <v>0.754</v>
          </cell>
          <cell r="AP141">
            <v>1.21</v>
          </cell>
          <cell r="AQ141">
            <v>0.58299999999999996</v>
          </cell>
          <cell r="AR141">
            <v>0.58299999999999996</v>
          </cell>
          <cell r="AS141">
            <v>0.58299999999999996</v>
          </cell>
          <cell r="AT141">
            <v>0.58299999999999996</v>
          </cell>
          <cell r="AU141">
            <v>0.58299999999999996</v>
          </cell>
          <cell r="AV141">
            <v>0.58299999999999996</v>
          </cell>
          <cell r="AW141">
            <v>0.58299999999999996</v>
          </cell>
        </row>
        <row r="142">
          <cell r="I142" t="str">
            <v>Total assets</v>
          </cell>
          <cell r="L142">
            <v>10.940999999999997</v>
          </cell>
          <cell r="M142">
            <v>10.501999999999999</v>
          </cell>
          <cell r="N142">
            <v>9.4949999999999974</v>
          </cell>
          <cell r="O142">
            <v>26.135999999999999</v>
          </cell>
          <cell r="P142">
            <v>24.088999999999999</v>
          </cell>
          <cell r="Q142">
            <v>22.577000000000002</v>
          </cell>
          <cell r="R142">
            <v>22.836000000000002</v>
          </cell>
          <cell r="S142">
            <v>49.115000000000002</v>
          </cell>
          <cell r="T142">
            <v>49.154999999999994</v>
          </cell>
          <cell r="U142">
            <v>49.146000000000001</v>
          </cell>
          <cell r="V142">
            <v>53.019999999999996</v>
          </cell>
          <cell r="W142">
            <v>61.885000000000005</v>
          </cell>
          <cell r="X142">
            <v>173.70599999999999</v>
          </cell>
          <cell r="Y142">
            <v>176.214</v>
          </cell>
          <cell r="Z142">
            <v>184.43799999999996</v>
          </cell>
          <cell r="AA142">
            <v>208.44900000000001</v>
          </cell>
          <cell r="AB142">
            <v>199.84200000000004</v>
          </cell>
          <cell r="AC142">
            <v>205.49699999999996</v>
          </cell>
          <cell r="AD142">
            <v>426.90299999999996</v>
          </cell>
          <cell r="AE142">
            <v>419.60399999999998</v>
          </cell>
          <cell r="AF142">
            <v>388.77999999999992</v>
          </cell>
          <cell r="AG142">
            <v>382.13548713094821</v>
          </cell>
          <cell r="AH142">
            <v>395.3704362306799</v>
          </cell>
          <cell r="AI142">
            <v>418.01487055978538</v>
          </cell>
          <cell r="AK142">
            <v>13.042</v>
          </cell>
          <cell r="AL142">
            <v>26.135999999999999</v>
          </cell>
          <cell r="AM142">
            <v>49.115000000000002</v>
          </cell>
          <cell r="AN142">
            <v>61.885000000000005</v>
          </cell>
          <cell r="AO142">
            <v>208.44900000000001</v>
          </cell>
          <cell r="AP142">
            <v>419.60399999999998</v>
          </cell>
          <cell r="AQ142">
            <v>418.01487055978538</v>
          </cell>
          <cell r="AR142">
            <v>451.71240663179623</v>
          </cell>
          <cell r="AS142">
            <v>498.09570307321968</v>
          </cell>
          <cell r="AT142">
            <v>560.86504408524695</v>
          </cell>
          <cell r="AU142">
            <v>643.68917756294024</v>
          </cell>
          <cell r="AV142">
            <v>750.04284804790825</v>
          </cell>
          <cell r="AW142">
            <v>873.14368618177502</v>
          </cell>
        </row>
        <row r="144">
          <cell r="I144" t="str">
            <v>Liabilities:</v>
          </cell>
        </row>
        <row r="145">
          <cell r="I145" t="str">
            <v>Accounts payable and accrued expenses</v>
          </cell>
          <cell r="L145">
            <v>0.125</v>
          </cell>
          <cell r="M145">
            <v>0.184</v>
          </cell>
          <cell r="N145">
            <v>0.17199999999999999</v>
          </cell>
          <cell r="O145">
            <v>0.30499999999999999</v>
          </cell>
          <cell r="P145">
            <v>0.45400000000000001</v>
          </cell>
          <cell r="Q145">
            <v>0.42399999999999999</v>
          </cell>
          <cell r="R145">
            <v>0.63100000000000001</v>
          </cell>
          <cell r="S145">
            <v>1.02</v>
          </cell>
          <cell r="T145">
            <v>0.80300000000000005</v>
          </cell>
          <cell r="U145">
            <v>1.2170000000000001</v>
          </cell>
          <cell r="V145">
            <v>1.589</v>
          </cell>
          <cell r="W145">
            <v>2.883</v>
          </cell>
          <cell r="X145">
            <v>3.9359999999999999</v>
          </cell>
          <cell r="Y145">
            <v>2.6869999999999998</v>
          </cell>
          <cell r="Z145">
            <v>3.1760000000000002</v>
          </cell>
          <cell r="AA145">
            <v>3.7879999999999998</v>
          </cell>
          <cell r="AB145">
            <v>4.415</v>
          </cell>
          <cell r="AC145">
            <v>3.78</v>
          </cell>
          <cell r="AD145">
            <v>24.818000000000001</v>
          </cell>
          <cell r="AE145">
            <v>7.617</v>
          </cell>
          <cell r="AF145">
            <v>10.272</v>
          </cell>
          <cell r="AG145">
            <v>8.0986435644740862</v>
          </cell>
          <cell r="AH145">
            <v>10.055268772729221</v>
          </cell>
          <cell r="AI145">
            <v>12.754450097036834</v>
          </cell>
          <cell r="AK145">
            <v>0.24099999999999999</v>
          </cell>
          <cell r="AL145">
            <v>0.30499999999999999</v>
          </cell>
          <cell r="AM145">
            <v>1.02</v>
          </cell>
          <cell r="AN145">
            <v>2.883</v>
          </cell>
          <cell r="AO145">
            <v>3.7879999999999998</v>
          </cell>
          <cell r="AP145">
            <v>7.617</v>
          </cell>
          <cell r="AQ145">
            <v>12.754450097036834</v>
          </cell>
          <cell r="AR145">
            <v>15.311999904432783</v>
          </cell>
          <cell r="AS145">
            <v>18.068159887230685</v>
          </cell>
          <cell r="AT145">
            <v>20.995201788962049</v>
          </cell>
          <cell r="AU145">
            <v>24.056302209792719</v>
          </cell>
          <cell r="AV145">
            <v>27.212970185761719</v>
          </cell>
          <cell r="AW145">
            <v>30.426767538759808</v>
          </cell>
        </row>
        <row r="146">
          <cell r="I146" t="str">
            <v>Accrued cost of revenue</v>
          </cell>
          <cell r="L146">
            <v>2.0550000000000002</v>
          </cell>
          <cell r="M146">
            <v>3.024</v>
          </cell>
          <cell r="N146">
            <v>3.585</v>
          </cell>
          <cell r="O146">
            <v>5.617</v>
          </cell>
          <cell r="P146">
            <v>7.726</v>
          </cell>
          <cell r="Q146">
            <v>8.109</v>
          </cell>
          <cell r="R146">
            <v>8.827</v>
          </cell>
          <cell r="S146">
            <v>13.054</v>
          </cell>
          <cell r="T146">
            <v>14.885</v>
          </cell>
          <cell r="U146">
            <v>13.629</v>
          </cell>
          <cell r="V146">
            <v>15.808</v>
          </cell>
          <cell r="W146">
            <v>20.963000000000001</v>
          </cell>
          <cell r="X146">
            <v>20.077999999999999</v>
          </cell>
          <cell r="Y146">
            <v>24.010999999999999</v>
          </cell>
          <cell r="Z146">
            <v>28.227</v>
          </cell>
          <cell r="AA146">
            <v>34.43</v>
          </cell>
          <cell r="AB146">
            <v>29.536999999999999</v>
          </cell>
          <cell r="AC146">
            <v>32.985999999999997</v>
          </cell>
          <cell r="AD146">
            <v>37.75</v>
          </cell>
          <cell r="AE146">
            <v>65.052999999999997</v>
          </cell>
          <cell r="AF146">
            <v>42.189</v>
          </cell>
          <cell r="AG146">
            <v>44.712998264229917</v>
          </cell>
          <cell r="AH146">
            <v>54.26780487058555</v>
          </cell>
          <cell r="AI146">
            <v>67.252386189947799</v>
          </cell>
          <cell r="AK146">
            <v>1.738</v>
          </cell>
          <cell r="AL146">
            <v>5.617</v>
          </cell>
          <cell r="AM146">
            <v>13.054</v>
          </cell>
          <cell r="AN146">
            <v>20.963000000000001</v>
          </cell>
          <cell r="AO146">
            <v>34.43</v>
          </cell>
          <cell r="AP146">
            <v>65.052999999999997</v>
          </cell>
          <cell r="AQ146">
            <v>67.252386189947799</v>
          </cell>
          <cell r="AR146">
            <v>77.15788031517917</v>
          </cell>
          <cell r="AS146">
            <v>86.821781692650646</v>
          </cell>
          <cell r="AT146">
            <v>95.978021480759011</v>
          </cell>
          <cell r="AU146">
            <v>104.34701217279111</v>
          </cell>
          <cell r="AV146">
            <v>111.67676162315544</v>
          </cell>
          <cell r="AW146">
            <v>117.75148026169981</v>
          </cell>
        </row>
        <row r="147">
          <cell r="I147" t="str">
            <v>Accrued payroll and other liabilities</v>
          </cell>
          <cell r="L147">
            <v>1.4490000000000001</v>
          </cell>
          <cell r="M147">
            <v>1.9379999999999999</v>
          </cell>
          <cell r="N147">
            <v>2.1970000000000001</v>
          </cell>
          <cell r="O147">
            <v>2.8610000000000002</v>
          </cell>
          <cell r="P147">
            <v>1.4850000000000001</v>
          </cell>
          <cell r="Q147">
            <v>1.694</v>
          </cell>
          <cell r="R147">
            <v>2.2410000000000001</v>
          </cell>
          <cell r="S147">
            <v>3.137</v>
          </cell>
          <cell r="T147">
            <v>2.1520000000000001</v>
          </cell>
          <cell r="U147">
            <v>2.8570000000000002</v>
          </cell>
          <cell r="V147">
            <v>3.7040000000000002</v>
          </cell>
          <cell r="W147">
            <v>5.1529999999999996</v>
          </cell>
          <cell r="X147">
            <v>3.3170000000000002</v>
          </cell>
          <cell r="Y147">
            <v>4.75</v>
          </cell>
          <cell r="Z147">
            <v>6.431</v>
          </cell>
          <cell r="AA147">
            <v>6.0380000000000003</v>
          </cell>
          <cell r="AB147">
            <v>3.7530000000000001</v>
          </cell>
          <cell r="AC147">
            <v>5.0640000000000001</v>
          </cell>
          <cell r="AD147">
            <v>20.47</v>
          </cell>
          <cell r="AE147">
            <v>8.7669999999999995</v>
          </cell>
          <cell r="AF147">
            <v>6.673</v>
          </cell>
          <cell r="AG147">
            <v>6.5173591189366835</v>
          </cell>
          <cell r="AH147">
            <v>6.457040840417096</v>
          </cell>
          <cell r="AI147">
            <v>7.2304391198281541</v>
          </cell>
          <cell r="AK147">
            <v>1.44</v>
          </cell>
          <cell r="AL147">
            <v>2.8610000000000002</v>
          </cell>
          <cell r="AM147">
            <v>3.137</v>
          </cell>
          <cell r="AN147">
            <v>5.1529999999999996</v>
          </cell>
          <cell r="AO147">
            <v>6.0380000000000003</v>
          </cell>
          <cell r="AP147">
            <v>8.7669999999999995</v>
          </cell>
          <cell r="AQ147">
            <v>7.2304391198281541</v>
          </cell>
          <cell r="AR147">
            <v>8.3906337900000008</v>
          </cell>
          <cell r="AS147">
            <v>9.0651535712999998</v>
          </cell>
          <cell r="AT147">
            <v>9.5625154722047991</v>
          </cell>
          <cell r="AU147">
            <v>9.9295367691723584</v>
          </cell>
          <cell r="AV147">
            <v>10.070508799469039</v>
          </cell>
          <cell r="AW147">
            <v>10.826745911219938</v>
          </cell>
        </row>
        <row r="148">
          <cell r="I148" t="str">
            <v>Deferred revenue</v>
          </cell>
          <cell r="L148">
            <v>3.4000000000000002E-2</v>
          </cell>
          <cell r="M148">
            <v>2.1999999999999999E-2</v>
          </cell>
          <cell r="N148">
            <v>8.3000000000000004E-2</v>
          </cell>
          <cell r="O148">
            <v>2.1999999999999999E-2</v>
          </cell>
          <cell r="P148">
            <v>2.5000000000000001E-2</v>
          </cell>
          <cell r="Q148">
            <v>8.9999999999999993E-3</v>
          </cell>
          <cell r="R148">
            <v>6.0000000000000001E-3</v>
          </cell>
          <cell r="S148">
            <v>0.35099999999999998</v>
          </cell>
          <cell r="T148">
            <v>0.434</v>
          </cell>
          <cell r="U148">
            <v>9.1999999999999998E-2</v>
          </cell>
          <cell r="V148">
            <v>6.5000000000000002E-2</v>
          </cell>
          <cell r="W148">
            <v>0.157</v>
          </cell>
          <cell r="X148">
            <v>7.0999999999999994E-2</v>
          </cell>
          <cell r="Y148">
            <v>0.1</v>
          </cell>
          <cell r="Z148">
            <v>0.219</v>
          </cell>
          <cell r="AA148">
            <v>0.16900000000000001</v>
          </cell>
          <cell r="AB148">
            <v>0.26700000000000002</v>
          </cell>
          <cell r="AC148">
            <v>0.498</v>
          </cell>
          <cell r="AD148">
            <v>1.0069999999999999</v>
          </cell>
          <cell r="AE148">
            <v>0.86799999999999999</v>
          </cell>
          <cell r="AF148">
            <v>0.89</v>
          </cell>
          <cell r="AG148">
            <v>0.75910180830760909</v>
          </cell>
          <cell r="AH148">
            <v>1.0609432707264186</v>
          </cell>
          <cell r="AI148">
            <v>1.2805808971357753</v>
          </cell>
          <cell r="AK148">
            <v>3.4000000000000002E-2</v>
          </cell>
          <cell r="AL148">
            <v>2.1999999999999999E-2</v>
          </cell>
          <cell r="AM148">
            <v>0.35099999999999998</v>
          </cell>
          <cell r="AN148">
            <v>0.157</v>
          </cell>
          <cell r="AO148">
            <v>0.16900000000000001</v>
          </cell>
          <cell r="AP148">
            <v>0.86799999999999999</v>
          </cell>
          <cell r="AQ148">
            <v>1.2805808971357753</v>
          </cell>
          <cell r="AR148">
            <v>1.5366970765629304</v>
          </cell>
          <cell r="AS148">
            <v>1.8133025503442577</v>
          </cell>
          <cell r="AT148">
            <v>2.1070575635000273</v>
          </cell>
          <cell r="AU148">
            <v>2.414266556258331</v>
          </cell>
          <cell r="AV148">
            <v>2.7310666137705497</v>
          </cell>
          <cell r="AW148">
            <v>3.0536001187236241</v>
          </cell>
        </row>
        <row r="149">
          <cell r="I149" t="str">
            <v>Total current liabilities</v>
          </cell>
          <cell r="L149">
            <v>3.6630000000000003</v>
          </cell>
          <cell r="M149">
            <v>5.1680000000000001</v>
          </cell>
          <cell r="N149">
            <v>6.0370000000000008</v>
          </cell>
          <cell r="O149">
            <v>8.8049999999999997</v>
          </cell>
          <cell r="P149">
            <v>9.69</v>
          </cell>
          <cell r="Q149">
            <v>10.236000000000001</v>
          </cell>
          <cell r="R149">
            <v>11.705</v>
          </cell>
          <cell r="S149">
            <v>17.561999999999998</v>
          </cell>
          <cell r="T149">
            <v>18.274000000000001</v>
          </cell>
          <cell r="U149">
            <v>17.794999999999998</v>
          </cell>
          <cell r="V149">
            <v>21.166</v>
          </cell>
          <cell r="W149">
            <v>29.155999999999999</v>
          </cell>
          <cell r="X149">
            <v>27.402000000000001</v>
          </cell>
          <cell r="Y149">
            <v>31.548000000000002</v>
          </cell>
          <cell r="Z149">
            <v>38.052999999999997</v>
          </cell>
          <cell r="AA149">
            <v>44.424999999999997</v>
          </cell>
          <cell r="AB149">
            <v>37.972000000000001</v>
          </cell>
          <cell r="AC149">
            <v>42.327999999999996</v>
          </cell>
          <cell r="AD149">
            <v>84.045000000000002</v>
          </cell>
          <cell r="AE149">
            <v>82.304999999999993</v>
          </cell>
          <cell r="AF149">
            <v>60.024000000000001</v>
          </cell>
          <cell r="AG149">
            <v>60.088102755948299</v>
          </cell>
          <cell r="AH149">
            <v>71.841057754458276</v>
          </cell>
          <cell r="AI149">
            <v>88.517856303948562</v>
          </cell>
          <cell r="AK149">
            <v>3.4529999999999998</v>
          </cell>
          <cell r="AL149">
            <v>8.8049999999999997</v>
          </cell>
          <cell r="AM149">
            <v>17.561999999999998</v>
          </cell>
          <cell r="AN149">
            <v>29.155999999999999</v>
          </cell>
          <cell r="AO149">
            <v>44.424999999999997</v>
          </cell>
          <cell r="AP149">
            <v>82.304999999999993</v>
          </cell>
          <cell r="AQ149">
            <v>88.517856303948562</v>
          </cell>
          <cell r="AR149">
            <v>102.39721108617488</v>
          </cell>
          <cell r="AS149">
            <v>115.7683977015256</v>
          </cell>
          <cell r="AT149">
            <v>128.64279630542589</v>
          </cell>
          <cell r="AU149">
            <v>140.74711770801451</v>
          </cell>
          <cell r="AV149">
            <v>151.69130722215672</v>
          </cell>
          <cell r="AW149">
            <v>162.0585938304032</v>
          </cell>
        </row>
        <row r="150">
          <cell r="I150" t="str">
            <v>Other long term liabilities</v>
          </cell>
          <cell r="L150">
            <v>2.0579999999999998</v>
          </cell>
          <cell r="M150">
            <v>1.84</v>
          </cell>
          <cell r="N150">
            <v>1.621</v>
          </cell>
          <cell r="O150">
            <v>1.385</v>
          </cell>
          <cell r="P150">
            <v>0.153</v>
          </cell>
          <cell r="Q150">
            <v>0.14599999999999999</v>
          </cell>
          <cell r="R150">
            <v>0.158</v>
          </cell>
          <cell r="S150">
            <v>0.245</v>
          </cell>
          <cell r="T150">
            <v>0.28899999999999998</v>
          </cell>
          <cell r="U150">
            <v>0.38700000000000001</v>
          </cell>
          <cell r="V150">
            <v>0.497</v>
          </cell>
          <cell r="W150">
            <v>0.29899999999999999</v>
          </cell>
          <cell r="X150">
            <v>0.307</v>
          </cell>
          <cell r="Y150">
            <v>0.28699999999999998</v>
          </cell>
          <cell r="Z150">
            <v>0.26700000000000002</v>
          </cell>
          <cell r="AA150">
            <v>0.24299999999999999</v>
          </cell>
          <cell r="AB150">
            <v>0.27700000000000002</v>
          </cell>
          <cell r="AC150">
            <v>0.5</v>
          </cell>
          <cell r="AD150">
            <v>5.8490000000000002</v>
          </cell>
          <cell r="AE150">
            <v>1.829</v>
          </cell>
          <cell r="AF150">
            <v>1.911</v>
          </cell>
          <cell r="AG150">
            <v>1.911</v>
          </cell>
          <cell r="AH150">
            <v>1.911</v>
          </cell>
          <cell r="AI150">
            <v>1.911</v>
          </cell>
          <cell r="AK150">
            <v>2.278</v>
          </cell>
          <cell r="AL150">
            <v>1.385</v>
          </cell>
          <cell r="AM150">
            <v>0.245</v>
          </cell>
          <cell r="AN150">
            <v>0.29899999999999999</v>
          </cell>
          <cell r="AO150">
            <v>0.24299999999999999</v>
          </cell>
          <cell r="AP150">
            <v>1.829</v>
          </cell>
          <cell r="AQ150">
            <v>1.911</v>
          </cell>
          <cell r="AR150">
            <v>1.911</v>
          </cell>
          <cell r="AS150">
            <v>1.911</v>
          </cell>
          <cell r="AT150">
            <v>1.911</v>
          </cell>
          <cell r="AU150">
            <v>1.911</v>
          </cell>
          <cell r="AV150">
            <v>1.911</v>
          </cell>
          <cell r="AW150">
            <v>1.911</v>
          </cell>
        </row>
        <row r="151">
          <cell r="I151" t="str">
            <v>Total liabilities</v>
          </cell>
          <cell r="L151">
            <v>5.7210000000000001</v>
          </cell>
          <cell r="M151">
            <v>7.008</v>
          </cell>
          <cell r="N151">
            <v>7.6580000000000013</v>
          </cell>
          <cell r="O151">
            <v>10.19</v>
          </cell>
          <cell r="P151">
            <v>9.843</v>
          </cell>
          <cell r="Q151">
            <v>10.382000000000001</v>
          </cell>
          <cell r="R151">
            <v>11.863</v>
          </cell>
          <cell r="S151">
            <v>17.806999999999999</v>
          </cell>
          <cell r="T151">
            <v>18.563000000000002</v>
          </cell>
          <cell r="U151">
            <v>18.181999999999999</v>
          </cell>
          <cell r="V151">
            <v>21.663</v>
          </cell>
          <cell r="W151">
            <v>29.454999999999998</v>
          </cell>
          <cell r="X151">
            <v>27.709</v>
          </cell>
          <cell r="Y151">
            <v>31.835000000000001</v>
          </cell>
          <cell r="Z151">
            <v>38.32</v>
          </cell>
          <cell r="AA151">
            <v>44.667999999999999</v>
          </cell>
          <cell r="AB151">
            <v>38.249000000000002</v>
          </cell>
          <cell r="AC151">
            <v>42.827999999999996</v>
          </cell>
          <cell r="AD151">
            <v>89.894000000000005</v>
          </cell>
          <cell r="AE151">
            <v>84.133999999999986</v>
          </cell>
          <cell r="AF151">
            <v>61.935000000000002</v>
          </cell>
          <cell r="AG151">
            <v>61.9991027559483</v>
          </cell>
          <cell r="AH151">
            <v>73.752057754458278</v>
          </cell>
          <cell r="AI151">
            <v>90.428856303948564</v>
          </cell>
          <cell r="AK151">
            <v>5.7309999999999999</v>
          </cell>
          <cell r="AL151">
            <v>10.19</v>
          </cell>
          <cell r="AM151">
            <v>17.806999999999999</v>
          </cell>
          <cell r="AN151">
            <v>29.454999999999998</v>
          </cell>
          <cell r="AO151">
            <v>44.667999999999999</v>
          </cell>
          <cell r="AP151">
            <v>84.133999999999986</v>
          </cell>
          <cell r="AQ151">
            <v>90.428856303948564</v>
          </cell>
          <cell r="AR151">
            <v>104.30821108617488</v>
          </cell>
          <cell r="AS151">
            <v>117.6793977015256</v>
          </cell>
          <cell r="AT151">
            <v>130.55379630542589</v>
          </cell>
          <cell r="AU151">
            <v>142.65811770801452</v>
          </cell>
          <cell r="AV151">
            <v>153.60230722215672</v>
          </cell>
          <cell r="AW151">
            <v>163.9695938304032</v>
          </cell>
        </row>
        <row r="153">
          <cell r="I153" t="str">
            <v>Shareholders' equity:</v>
          </cell>
        </row>
        <row r="154">
          <cell r="I154" t="str">
            <v>Redeemable convertible preferred stock</v>
          </cell>
          <cell r="L154">
            <v>23.878</v>
          </cell>
          <cell r="M154">
            <v>24.285</v>
          </cell>
          <cell r="N154">
            <v>24.702000000000002</v>
          </cell>
          <cell r="O154">
            <v>41.201999999999998</v>
          </cell>
          <cell r="P154">
            <v>41.911999999999999</v>
          </cell>
          <cell r="Q154">
            <v>42.63</v>
          </cell>
          <cell r="R154">
            <v>43.36</v>
          </cell>
          <cell r="S154">
            <v>71.622</v>
          </cell>
          <cell r="T154">
            <v>72.852000000000004</v>
          </cell>
          <cell r="U154">
            <v>74.100999999999999</v>
          </cell>
          <cell r="V154">
            <v>75.367999999999995</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K154">
            <v>23.475999999999999</v>
          </cell>
          <cell r="AL154">
            <v>41.201999999999998</v>
          </cell>
          <cell r="AM154">
            <v>71.622</v>
          </cell>
          <cell r="AN154">
            <v>0</v>
          </cell>
          <cell r="AO154">
            <v>0</v>
          </cell>
          <cell r="AP154">
            <v>0</v>
          </cell>
          <cell r="AQ154">
            <v>0</v>
          </cell>
          <cell r="AR154">
            <v>0</v>
          </cell>
          <cell r="AS154">
            <v>0</v>
          </cell>
          <cell r="AT154">
            <v>0</v>
          </cell>
          <cell r="AU154">
            <v>0</v>
          </cell>
          <cell r="AV154">
            <v>0</v>
          </cell>
          <cell r="AW154">
            <v>0</v>
          </cell>
        </row>
        <row r="155">
          <cell r="I155" t="str">
            <v>Common stock &amp; additional paid-in capital</v>
          </cell>
          <cell r="L155">
            <v>3.0000000000000001E-3</v>
          </cell>
          <cell r="M155">
            <v>3.0000000000000001E-3</v>
          </cell>
          <cell r="N155">
            <v>3.0000000000000001E-3</v>
          </cell>
          <cell r="O155">
            <v>1.7000000000000001E-2</v>
          </cell>
          <cell r="P155">
            <v>1.7999999999999999E-2</v>
          </cell>
          <cell r="Q155">
            <v>1.7999999999999999E-2</v>
          </cell>
          <cell r="R155">
            <v>1.7999999999999999E-2</v>
          </cell>
          <cell r="S155">
            <v>1.6E-2</v>
          </cell>
          <cell r="T155">
            <v>1.6E-2</v>
          </cell>
          <cell r="U155">
            <v>1.7000000000000001E-2</v>
          </cell>
          <cell r="V155">
            <v>1.7000000000000001E-2</v>
          </cell>
          <cell r="W155">
            <v>76.867999999999995</v>
          </cell>
          <cell r="X155">
            <v>194.608</v>
          </cell>
          <cell r="Y155">
            <v>195.25899999999999</v>
          </cell>
          <cell r="Z155">
            <v>198.762</v>
          </cell>
          <cell r="AA155">
            <v>213.90200000000002</v>
          </cell>
          <cell r="AB155">
            <v>215.5</v>
          </cell>
          <cell r="AC155">
            <v>219.66399999999999</v>
          </cell>
          <cell r="AD155">
            <v>398.63200000000001</v>
          </cell>
          <cell r="AE155">
            <v>400.822</v>
          </cell>
          <cell r="AF155">
            <v>405.173</v>
          </cell>
          <cell r="AG155">
            <v>409.173</v>
          </cell>
          <cell r="AH155">
            <v>413.173</v>
          </cell>
          <cell r="AI155">
            <v>417.173</v>
          </cell>
          <cell r="AK155">
            <v>3.0000000000000001E-3</v>
          </cell>
          <cell r="AL155">
            <v>1.7000000000000001E-2</v>
          </cell>
          <cell r="AM155">
            <v>1.6E-2</v>
          </cell>
          <cell r="AN155">
            <v>76.867999999999995</v>
          </cell>
          <cell r="AO155">
            <v>213.90200000000002</v>
          </cell>
          <cell r="AP155">
            <v>400.822</v>
          </cell>
          <cell r="AQ155">
            <v>417.173</v>
          </cell>
          <cell r="AR155">
            <v>432.42869780000001</v>
          </cell>
          <cell r="AS155">
            <v>449.144583818</v>
          </cell>
          <cell r="AT155">
            <v>467.07430032838403</v>
          </cell>
          <cell r="AU155">
            <v>487.618169505982</v>
          </cell>
          <cell r="AV155">
            <v>510.85780519706441</v>
          </cell>
          <cell r="AW155">
            <v>536.8419953839923</v>
          </cell>
        </row>
        <row r="156">
          <cell r="I156" t="str">
            <v>Accumulated other comprehensive income / (loss)</v>
          </cell>
          <cell r="L156">
            <v>0</v>
          </cell>
          <cell r="M156">
            <v>0</v>
          </cell>
          <cell r="N156">
            <v>0</v>
          </cell>
          <cell r="O156">
            <v>0</v>
          </cell>
          <cell r="P156">
            <v>0</v>
          </cell>
          <cell r="Q156">
            <v>7.0000000000000001E-3</v>
          </cell>
          <cell r="R156">
            <v>8.9999999999999993E-3</v>
          </cell>
          <cell r="S156">
            <v>-1.0999999999999999E-2</v>
          </cell>
          <cell r="T156">
            <v>-0.01</v>
          </cell>
          <cell r="U156">
            <v>-8.0000000000000002E-3</v>
          </cell>
          <cell r="V156">
            <v>-1.2999999999999999E-2</v>
          </cell>
          <cell r="W156">
            <v>-2.5000000000000001E-2</v>
          </cell>
          <cell r="X156">
            <v>-2.7E-2</v>
          </cell>
          <cell r="Y156">
            <v>-5.8999999999999997E-2</v>
          </cell>
          <cell r="Z156">
            <v>-5.1999999999999998E-2</v>
          </cell>
          <cell r="AA156">
            <v>-7.8E-2</v>
          </cell>
          <cell r="AB156">
            <v>-0.111</v>
          </cell>
          <cell r="AC156">
            <v>-0.14499999999999999</v>
          </cell>
          <cell r="AD156">
            <v>-0.17</v>
          </cell>
          <cell r="AE156">
            <v>-0.19600000000000001</v>
          </cell>
          <cell r="AF156">
            <v>-0.22500000000000001</v>
          </cell>
          <cell r="AG156">
            <v>-0.22500000000000001</v>
          </cell>
          <cell r="AH156">
            <v>-0.22500000000000001</v>
          </cell>
          <cell r="AI156">
            <v>-0.22500000000000001</v>
          </cell>
          <cell r="AK156">
            <v>0</v>
          </cell>
          <cell r="AL156">
            <v>0</v>
          </cell>
          <cell r="AM156">
            <v>-1.0999999999999999E-2</v>
          </cell>
          <cell r="AN156">
            <v>-2.5000000000000001E-2</v>
          </cell>
          <cell r="AO156">
            <v>-7.8E-2</v>
          </cell>
          <cell r="AP156">
            <v>-0.19600000000000001</v>
          </cell>
          <cell r="AQ156">
            <v>-0.22500000000000001</v>
          </cell>
          <cell r="AR156">
            <v>-0.22500000000000001</v>
          </cell>
          <cell r="AS156">
            <v>-0.22500000000000001</v>
          </cell>
          <cell r="AT156">
            <v>-0.22500000000000001</v>
          </cell>
          <cell r="AU156">
            <v>-0.22500000000000001</v>
          </cell>
          <cell r="AV156">
            <v>-0.22500000000000001</v>
          </cell>
          <cell r="AW156">
            <v>-0.22500000000000001</v>
          </cell>
        </row>
        <row r="157">
          <cell r="I157" t="str">
            <v>Retained earnings / (accumulated deficit)</v>
          </cell>
          <cell r="L157">
            <v>-18.661000000000001</v>
          </cell>
          <cell r="M157">
            <v>-20.794</v>
          </cell>
          <cell r="N157">
            <v>-22.867999999999999</v>
          </cell>
          <cell r="O157">
            <v>-25.273</v>
          </cell>
          <cell r="P157">
            <v>-27.684000000000001</v>
          </cell>
          <cell r="Q157">
            <v>-30.46</v>
          </cell>
          <cell r="R157">
            <v>-32.414000000000001</v>
          </cell>
          <cell r="S157">
            <v>-40.319000000000003</v>
          </cell>
          <cell r="T157">
            <v>-42.265999999999998</v>
          </cell>
          <cell r="U157">
            <v>-43.146000000000001</v>
          </cell>
          <cell r="V157">
            <v>-44.015000000000001</v>
          </cell>
          <cell r="W157">
            <v>-44.412999999999997</v>
          </cell>
          <cell r="X157">
            <v>-48.584000000000003</v>
          </cell>
          <cell r="Y157">
            <v>-50.820999999999998</v>
          </cell>
          <cell r="Z157">
            <v>-52.591999999999999</v>
          </cell>
          <cell r="AA157">
            <v>-50.042999999999999</v>
          </cell>
          <cell r="AB157">
            <v>-53.795999999999999</v>
          </cell>
          <cell r="AC157">
            <v>-56.85</v>
          </cell>
          <cell r="AD157">
            <v>-61.453000000000003</v>
          </cell>
          <cell r="AE157">
            <v>-65.156000000000006</v>
          </cell>
          <cell r="AF157">
            <v>-78.102999999999994</v>
          </cell>
          <cell r="AG157">
            <v>-88.811615624999988</v>
          </cell>
          <cell r="AH157">
            <v>-91.329621523778258</v>
          </cell>
          <cell r="AI157">
            <v>-89.361985744163093</v>
          </cell>
          <cell r="AK157">
            <v>-16.167999999999999</v>
          </cell>
          <cell r="AL157">
            <v>-25.273</v>
          </cell>
          <cell r="AM157">
            <v>-40.319000000000003</v>
          </cell>
          <cell r="AN157">
            <v>-44.412999999999997</v>
          </cell>
          <cell r="AO157">
            <v>-50.042999999999999</v>
          </cell>
          <cell r="AP157">
            <v>-65.156000000000006</v>
          </cell>
          <cell r="AQ157">
            <v>-89.361985744163093</v>
          </cell>
          <cell r="AR157">
            <v>-84.799502254378694</v>
          </cell>
          <cell r="AS157">
            <v>-68.503278446305913</v>
          </cell>
          <cell r="AT157">
            <v>-36.538052548562845</v>
          </cell>
          <cell r="AU157">
            <v>13.637890348943827</v>
          </cell>
          <cell r="AV157">
            <v>85.807735628687141</v>
          </cell>
          <cell r="AW157">
            <v>172.55709696737958</v>
          </cell>
        </row>
        <row r="158">
          <cell r="I158" t="str">
            <v>Total shareholders' equity</v>
          </cell>
          <cell r="L158">
            <v>5.2199999999999989</v>
          </cell>
          <cell r="M158">
            <v>3.4939999999999998</v>
          </cell>
          <cell r="N158">
            <v>1.8370000000000033</v>
          </cell>
          <cell r="O158">
            <v>15.946000000000002</v>
          </cell>
          <cell r="P158">
            <v>14.245999999999999</v>
          </cell>
          <cell r="Q158">
            <v>12.195</v>
          </cell>
          <cell r="R158">
            <v>10.972999999999999</v>
          </cell>
          <cell r="S158">
            <v>31.308000000000007</v>
          </cell>
          <cell r="T158">
            <v>30.592000000000006</v>
          </cell>
          <cell r="U158">
            <v>30.963999999999999</v>
          </cell>
          <cell r="V158">
            <v>31.356999999999985</v>
          </cell>
          <cell r="W158">
            <v>32.429999999999993</v>
          </cell>
          <cell r="X158">
            <v>145.99700000000001</v>
          </cell>
          <cell r="Y158">
            <v>144.37899999999999</v>
          </cell>
          <cell r="Z158">
            <v>146.11799999999999</v>
          </cell>
          <cell r="AA158">
            <v>163.78100000000001</v>
          </cell>
          <cell r="AB158">
            <v>161.59300000000002</v>
          </cell>
          <cell r="AC158">
            <v>162.66899999999998</v>
          </cell>
          <cell r="AD158">
            <v>337.00900000000001</v>
          </cell>
          <cell r="AE158">
            <v>335.46999999999997</v>
          </cell>
          <cell r="AF158">
            <v>326.84499999999997</v>
          </cell>
          <cell r="AG158">
            <v>320.13638437499998</v>
          </cell>
          <cell r="AH158">
            <v>321.61837847622172</v>
          </cell>
          <cell r="AI158">
            <v>327.58601425583686</v>
          </cell>
          <cell r="AK158">
            <v>7.3109999999999999</v>
          </cell>
          <cell r="AL158">
            <v>15.946000000000002</v>
          </cell>
          <cell r="AM158">
            <v>31.308000000000007</v>
          </cell>
          <cell r="AN158">
            <v>32.429999999999993</v>
          </cell>
          <cell r="AO158">
            <v>163.78100000000001</v>
          </cell>
          <cell r="AP158">
            <v>335.46999999999997</v>
          </cell>
          <cell r="AQ158">
            <v>327.58601425583686</v>
          </cell>
          <cell r="AR158">
            <v>347.40419554562129</v>
          </cell>
          <cell r="AS158">
            <v>380.41630537169408</v>
          </cell>
          <cell r="AT158">
            <v>430.31124777982114</v>
          </cell>
          <cell r="AU158">
            <v>501.03105985492579</v>
          </cell>
          <cell r="AV158">
            <v>596.44054082575155</v>
          </cell>
          <cell r="AW158">
            <v>709.17409235137188</v>
          </cell>
        </row>
        <row r="159">
          <cell r="I159" t="str">
            <v>Total liabilities &amp; shareholders' equity</v>
          </cell>
          <cell r="L159">
            <v>10.940999999999999</v>
          </cell>
          <cell r="M159">
            <v>10.501999999999999</v>
          </cell>
          <cell r="N159">
            <v>9.4950000000000045</v>
          </cell>
          <cell r="O159">
            <v>26.136000000000003</v>
          </cell>
          <cell r="P159">
            <v>24.088999999999999</v>
          </cell>
          <cell r="Q159">
            <v>22.577000000000002</v>
          </cell>
          <cell r="R159">
            <v>22.835999999999999</v>
          </cell>
          <cell r="S159">
            <v>49.115000000000009</v>
          </cell>
          <cell r="T159">
            <v>49.155000000000008</v>
          </cell>
          <cell r="U159">
            <v>49.146000000000001</v>
          </cell>
          <cell r="V159">
            <v>53.019999999999982</v>
          </cell>
          <cell r="W159">
            <v>61.884999999999991</v>
          </cell>
          <cell r="X159">
            <v>173.70600000000002</v>
          </cell>
          <cell r="Y159">
            <v>176.214</v>
          </cell>
          <cell r="Z159">
            <v>184.43799999999999</v>
          </cell>
          <cell r="AA159">
            <v>208.44900000000001</v>
          </cell>
          <cell r="AB159">
            <v>199.84200000000001</v>
          </cell>
          <cell r="AC159">
            <v>205.49699999999999</v>
          </cell>
          <cell r="AD159">
            <v>426.90300000000002</v>
          </cell>
          <cell r="AE159">
            <v>419.60399999999993</v>
          </cell>
          <cell r="AF159">
            <v>388.78</v>
          </cell>
          <cell r="AG159">
            <v>382.13548713094826</v>
          </cell>
          <cell r="AH159">
            <v>395.37043623068001</v>
          </cell>
          <cell r="AI159">
            <v>418.01487055978544</v>
          </cell>
          <cell r="AK159">
            <v>13.042</v>
          </cell>
          <cell r="AL159">
            <v>26.136000000000003</v>
          </cell>
          <cell r="AM159">
            <v>49.115000000000009</v>
          </cell>
          <cell r="AN159">
            <v>61.884999999999991</v>
          </cell>
          <cell r="AO159">
            <v>208.44900000000001</v>
          </cell>
          <cell r="AP159">
            <v>419.60399999999993</v>
          </cell>
          <cell r="AQ159">
            <v>418.01487055978544</v>
          </cell>
          <cell r="AR159">
            <v>451.71240663179617</v>
          </cell>
          <cell r="AS159">
            <v>498.09570307321968</v>
          </cell>
          <cell r="AT159">
            <v>560.86504408524706</v>
          </cell>
          <cell r="AU159">
            <v>643.68917756294036</v>
          </cell>
          <cell r="AV159">
            <v>750.04284804790825</v>
          </cell>
          <cell r="AW159">
            <v>873.14368618177514</v>
          </cell>
        </row>
        <row r="160">
          <cell r="I160" t="str">
            <v>Check</v>
          </cell>
          <cell r="L160" t="str">
            <v>OK</v>
          </cell>
          <cell r="M160" t="str">
            <v>OK</v>
          </cell>
          <cell r="N160" t="str">
            <v>OK</v>
          </cell>
          <cell r="O160" t="str">
            <v>OK</v>
          </cell>
          <cell r="P160" t="str">
            <v>OK</v>
          </cell>
          <cell r="Q160" t="str">
            <v>OK</v>
          </cell>
          <cell r="R160" t="str">
            <v>OK</v>
          </cell>
          <cell r="S160" t="str">
            <v>OK</v>
          </cell>
          <cell r="T160" t="str">
            <v>OK</v>
          </cell>
          <cell r="U160" t="str">
            <v>OK</v>
          </cell>
          <cell r="V160" t="str">
            <v>OK</v>
          </cell>
          <cell r="W160" t="str">
            <v>OK</v>
          </cell>
          <cell r="X160" t="str">
            <v>OK</v>
          </cell>
          <cell r="Y160" t="str">
            <v>OK</v>
          </cell>
          <cell r="Z160" t="str">
            <v>OK</v>
          </cell>
          <cell r="AA160" t="str">
            <v>OK</v>
          </cell>
          <cell r="AB160" t="str">
            <v>OK</v>
          </cell>
          <cell r="AC160" t="str">
            <v>OK</v>
          </cell>
          <cell r="AD160" t="str">
            <v>OK</v>
          </cell>
          <cell r="AE160" t="str">
            <v>OK</v>
          </cell>
          <cell r="AF160" t="str">
            <v>OK</v>
          </cell>
          <cell r="AG160" t="str">
            <v>OK</v>
          </cell>
          <cell r="AH160" t="str">
            <v>OK</v>
          </cell>
          <cell r="AI160" t="str">
            <v>OK</v>
          </cell>
          <cell r="AK160" t="str">
            <v>OK</v>
          </cell>
          <cell r="AL160" t="str">
            <v>OK</v>
          </cell>
          <cell r="AM160" t="str">
            <v>OK</v>
          </cell>
          <cell r="AN160" t="str">
            <v>OK</v>
          </cell>
          <cell r="AO160" t="str">
            <v>OK</v>
          </cell>
          <cell r="AP160" t="str">
            <v>OK</v>
          </cell>
          <cell r="AQ160" t="str">
            <v>OK</v>
          </cell>
          <cell r="AR160" t="str">
            <v>OK</v>
          </cell>
          <cell r="AS160" t="str">
            <v>OK</v>
          </cell>
          <cell r="AT160" t="str">
            <v>OK</v>
          </cell>
          <cell r="AU160" t="str">
            <v>OK</v>
          </cell>
          <cell r="AV160" t="str">
            <v>OK</v>
          </cell>
          <cell r="AW160" t="str">
            <v>OK</v>
          </cell>
        </row>
        <row r="162">
          <cell r="I162" t="str">
            <v>Balance sheet assumptions</v>
          </cell>
        </row>
        <row r="163">
          <cell r="I163" t="str">
            <v>Days sales outstanding</v>
          </cell>
          <cell r="L163">
            <v>128.29771051014137</v>
          </cell>
          <cell r="M163">
            <v>95.543923406139314</v>
          </cell>
          <cell r="N163">
            <v>92.247212405556908</v>
          </cell>
          <cell r="O163">
            <v>83.37954977471135</v>
          </cell>
          <cell r="P163">
            <v>91.033130311614741</v>
          </cell>
          <cell r="Q163">
            <v>100.07092514581986</v>
          </cell>
          <cell r="R163">
            <v>101.4362050163577</v>
          </cell>
          <cell r="S163">
            <v>97.339582999839934</v>
          </cell>
          <cell r="T163">
            <v>99.588531731261355</v>
          </cell>
          <cell r="U163">
            <v>91.751834877711943</v>
          </cell>
          <cell r="V163">
            <v>93.183048652189427</v>
          </cell>
          <cell r="W163">
            <v>92.467484587108146</v>
          </cell>
          <cell r="X163">
            <v>69.606225188048469</v>
          </cell>
          <cell r="Y163">
            <v>70.859617374482625</v>
          </cell>
          <cell r="Z163">
            <v>75.340725513905682</v>
          </cell>
          <cell r="AA163">
            <v>71.24301170072512</v>
          </cell>
          <cell r="AB163">
            <v>76.278862000928498</v>
          </cell>
          <cell r="AC163">
            <v>64.086058933841628</v>
          </cell>
          <cell r="AD163">
            <v>83.490761738435339</v>
          </cell>
          <cell r="AE163">
            <v>90.950552561877799</v>
          </cell>
          <cell r="AF163">
            <v>100.48901645552191</v>
          </cell>
          <cell r="AG163">
            <v>95.71978450869986</v>
          </cell>
          <cell r="AH163">
            <v>93.71978450869986</v>
          </cell>
          <cell r="AI163">
            <v>91.71978450869986</v>
          </cell>
          <cell r="AK163">
            <v>132.58557554529531</v>
          </cell>
          <cell r="AL163">
            <v>146.032444512947</v>
          </cell>
          <cell r="AM163">
            <v>152.56679141925235</v>
          </cell>
          <cell r="AN163">
            <v>123.253115415035</v>
          </cell>
          <cell r="AO163">
            <v>89.575971281158701</v>
          </cell>
          <cell r="AP163">
            <v>116.55543688496527</v>
          </cell>
          <cell r="AQ163">
            <v>121.64867170103977</v>
          </cell>
          <cell r="AR163">
            <v>116.64867170103977</v>
          </cell>
          <cell r="AS163">
            <v>111.64867170103977</v>
          </cell>
          <cell r="AT163">
            <v>106.64867170103977</v>
          </cell>
          <cell r="AU163">
            <v>101.64867170103977</v>
          </cell>
          <cell r="AV163">
            <v>96.648671701039774</v>
          </cell>
          <cell r="AW163">
            <v>91.648671701039774</v>
          </cell>
        </row>
        <row r="164">
          <cell r="I164" t="str">
            <v>Prepaid expenses &amp; other current assets - % of total opex</v>
          </cell>
          <cell r="L164">
            <v>4.1649312786339026E-3</v>
          </cell>
          <cell r="M164">
            <v>3.4513274336283183E-3</v>
          </cell>
          <cell r="N164">
            <v>7.5782811459027318E-3</v>
          </cell>
          <cell r="O164">
            <v>3.8137822198842722E-3</v>
          </cell>
          <cell r="P164">
            <v>6.3178780284043447E-3</v>
          </cell>
          <cell r="Q164">
            <v>7.3249046758980521E-3</v>
          </cell>
          <cell r="R164">
            <v>8.1475128644939963E-3</v>
          </cell>
          <cell r="S164">
            <v>1.0731707317073172E-2</v>
          </cell>
          <cell r="T164">
            <v>1.1576695608405687E-2</v>
          </cell>
          <cell r="U164">
            <v>1.1821086261980831E-2</v>
          </cell>
          <cell r="V164">
            <v>2.6650499851529248E-2</v>
          </cell>
          <cell r="W164">
            <v>2.660133663738079E-2</v>
          </cell>
          <cell r="X164">
            <v>1.6093241042345278E-2</v>
          </cell>
          <cell r="Y164">
            <v>1.653860226856934E-2</v>
          </cell>
          <cell r="Z164">
            <v>1.7878839014512319E-2</v>
          </cell>
          <cell r="AA164">
            <v>1.5383411580594678E-2</v>
          </cell>
          <cell r="AB164">
            <v>1.2029589198506175E-2</v>
          </cell>
          <cell r="AC164">
            <v>2.1341306584362143E-2</v>
          </cell>
          <cell r="AD164">
            <v>2.6852798364426278E-2</v>
          </cell>
          <cell r="AE164">
            <v>2.0458052073288331E-2</v>
          </cell>
          <cell r="AF164">
            <v>2.4867397247470623E-2</v>
          </cell>
          <cell r="AG164">
            <v>2.2662724660379475E-2</v>
          </cell>
          <cell r="AH164">
            <v>2.3765060953925048E-2</v>
          </cell>
          <cell r="AI164">
            <v>2.3213892807152262E-2</v>
          </cell>
          <cell r="AK164">
            <v>6.2194127243066881E-3</v>
          </cell>
          <cell r="AL164">
            <v>4.8212801330008315E-3</v>
          </cell>
          <cell r="AM164">
            <v>1.5160651218881903E-2</v>
          </cell>
          <cell r="AN164">
            <v>3.4767033883750041E-2</v>
          </cell>
          <cell r="AO164">
            <v>1.7326165506301224E-2</v>
          </cell>
          <cell r="AP164">
            <v>2.5766684884921356E-2</v>
          </cell>
          <cell r="AQ164">
            <v>2.4783729962383851E-2</v>
          </cell>
          <cell r="AR164">
            <v>2.4783729962383851E-2</v>
          </cell>
          <cell r="AS164">
            <v>2.4783729962383851E-2</v>
          </cell>
          <cell r="AT164">
            <v>2.4783729962383851E-2</v>
          </cell>
          <cell r="AU164">
            <v>2.4783729962383851E-2</v>
          </cell>
          <cell r="AV164">
            <v>2.4783729962383851E-2</v>
          </cell>
          <cell r="AW164">
            <v>2.4783729962383851E-2</v>
          </cell>
        </row>
        <row r="165">
          <cell r="I165" t="str">
            <v>Days payable outstanding - Accounts payable</v>
          </cell>
          <cell r="L165">
            <v>8.6667141230068339</v>
          </cell>
          <cell r="M165">
            <v>7.2451487710219933</v>
          </cell>
          <cell r="N165">
            <v>5.6232545649838874</v>
          </cell>
          <cell r="O165">
            <v>5.3900353203019158</v>
          </cell>
          <cell r="P165">
            <v>7.0755888376856113</v>
          </cell>
          <cell r="Q165">
            <v>5.976613152207471</v>
          </cell>
          <cell r="R165">
            <v>8.1266837094499298</v>
          </cell>
          <cell r="S165">
            <v>7.6499999999999995</v>
          </cell>
          <cell r="T165">
            <v>5.4037834401945615</v>
          </cell>
          <cell r="U165">
            <v>8.126311700182816</v>
          </cell>
          <cell r="V165">
            <v>9.4877108807951345</v>
          </cell>
          <cell r="W165">
            <v>12.501374180833887</v>
          </cell>
          <cell r="X165">
            <v>12.371979345955248</v>
          </cell>
          <cell r="Y165">
            <v>7.2806138724035598</v>
          </cell>
          <cell r="Z165">
            <v>7.8274898785425107</v>
          </cell>
          <cell r="AA165">
            <v>7.6779522752497229</v>
          </cell>
          <cell r="AB165">
            <v>10.611863319294551</v>
          </cell>
          <cell r="AC165">
            <v>7.1491559652029828</v>
          </cell>
          <cell r="AD165">
            <v>42.734181123892135</v>
          </cell>
          <cell r="AE165">
            <v>10.27974153857523</v>
          </cell>
          <cell r="AF165">
            <v>21.953469865418374</v>
          </cell>
          <cell r="AG165">
            <v>16.116605701996804</v>
          </cell>
          <cell r="AH165">
            <v>16.116605701996804</v>
          </cell>
          <cell r="AI165">
            <v>16.116605701996804</v>
          </cell>
          <cell r="AK165">
            <v>17.633263221153843</v>
          </cell>
          <cell r="AL165">
            <v>9.606868747844084</v>
          </cell>
          <cell r="AM165">
            <v>11.788969052591607</v>
          </cell>
          <cell r="AN165">
            <v>16.558153156694708</v>
          </cell>
          <cell r="AO165">
            <v>9.5517224715222646</v>
          </cell>
          <cell r="AP165">
            <v>13.442738935059914</v>
          </cell>
          <cell r="AQ165">
            <v>21.384882044780735</v>
          </cell>
          <cell r="AR165">
            <v>21.384882044780735</v>
          </cell>
          <cell r="AS165">
            <v>21.384882044780735</v>
          </cell>
          <cell r="AT165">
            <v>21.384882044780735</v>
          </cell>
          <cell r="AU165">
            <v>21.384882044780735</v>
          </cell>
          <cell r="AV165">
            <v>21.384882044780735</v>
          </cell>
          <cell r="AW165">
            <v>21.384882044780735</v>
          </cell>
        </row>
        <row r="166">
          <cell r="I166" t="str">
            <v>Days payable outstanding - Accrued cost of revenue</v>
          </cell>
          <cell r="L166">
            <v>142.48078018223237</v>
          </cell>
          <cell r="M166">
            <v>119.07244501940492</v>
          </cell>
          <cell r="N166">
            <v>117.20562567132116</v>
          </cell>
          <cell r="O166">
            <v>99.265011128314313</v>
          </cell>
          <cell r="P166">
            <v>120.4096902201741</v>
          </cell>
          <cell r="Q166">
            <v>114.30272653596789</v>
          </cell>
          <cell r="R166">
            <v>113.68341854724966</v>
          </cell>
          <cell r="S166">
            <v>97.905000000000001</v>
          </cell>
          <cell r="T166">
            <v>100.16851370771612</v>
          </cell>
          <cell r="U166">
            <v>91.00534277879342</v>
          </cell>
          <cell r="V166">
            <v>94.387497547897738</v>
          </cell>
          <cell r="W166">
            <v>90.900557389115789</v>
          </cell>
          <cell r="X166">
            <v>63.110925129087775</v>
          </cell>
          <cell r="Y166">
            <v>65.059478857566759</v>
          </cell>
          <cell r="Z166">
            <v>69.567555668016198</v>
          </cell>
          <cell r="AA166">
            <v>69.786667591564921</v>
          </cell>
          <cell r="AB166">
            <v>70.994927941563574</v>
          </cell>
          <cell r="AC166">
            <v>62.386788007456502</v>
          </cell>
          <cell r="AD166">
            <v>65.001826796153125</v>
          </cell>
          <cell r="AE166">
            <v>87.794148130357669</v>
          </cell>
          <cell r="AF166">
            <v>90.166952896430658</v>
          </cell>
          <cell r="AG166">
            <v>88.980550513394164</v>
          </cell>
          <cell r="AH166">
            <v>86.980550513394164</v>
          </cell>
          <cell r="AI166">
            <v>84.980550513394164</v>
          </cell>
          <cell r="AK166">
            <v>127.16436298076923</v>
          </cell>
          <cell r="AL166">
            <v>176.92387461193513</v>
          </cell>
          <cell r="AM166">
            <v>150.87568824757926</v>
          </cell>
          <cell r="AN166">
            <v>120.3983921691957</v>
          </cell>
          <cell r="AO166">
            <v>86.81779426993441</v>
          </cell>
          <cell r="AP166">
            <v>114.80773217046772</v>
          </cell>
          <cell r="AQ166">
            <v>112.75941612223639</v>
          </cell>
          <cell r="AR166">
            <v>107.75941612223639</v>
          </cell>
          <cell r="AS166">
            <v>102.75941612223639</v>
          </cell>
          <cell r="AT166">
            <v>97.759416122236388</v>
          </cell>
          <cell r="AU166">
            <v>92.759416122236388</v>
          </cell>
          <cell r="AV166">
            <v>87.759416122236388</v>
          </cell>
          <cell r="AW166">
            <v>82.759416122236388</v>
          </cell>
        </row>
        <row r="167">
          <cell r="I167" t="str">
            <v>Accrued liabilities - % of total opex</v>
          </cell>
          <cell r="L167">
            <v>0.15087463556851313</v>
          </cell>
          <cell r="M167">
            <v>0.17150442477876104</v>
          </cell>
          <cell r="N167">
            <v>0.1829613590939374</v>
          </cell>
          <cell r="O167">
            <v>0.18812467122567073</v>
          </cell>
          <cell r="P167">
            <v>7.7537593984962419E-2</v>
          </cell>
          <cell r="Q167">
            <v>8.4988962472406171E-2</v>
          </cell>
          <cell r="R167">
            <v>0.10677530017152657</v>
          </cell>
          <cell r="S167">
            <v>9.5640243902439026E-2</v>
          </cell>
          <cell r="T167">
            <v>6.7698502579589787E-2</v>
          </cell>
          <cell r="U167">
            <v>7.6064962726304586E-2</v>
          </cell>
          <cell r="V167">
            <v>9.165594377907553E-2</v>
          </cell>
          <cell r="W167">
            <v>9.6737253135090476E-2</v>
          </cell>
          <cell r="X167">
            <v>3.376425081433225E-2</v>
          </cell>
          <cell r="Y167">
            <v>4.3450420783022324E-2</v>
          </cell>
          <cell r="Z167">
            <v>5.426088423894701E-2</v>
          </cell>
          <cell r="AA167">
            <v>4.7245696400625974E-2</v>
          </cell>
          <cell r="AB167">
            <v>2.695346164895145E-2</v>
          </cell>
          <cell r="AC167">
            <v>3.2561728395061731E-2</v>
          </cell>
          <cell r="AD167">
            <v>0.13078200868898543</v>
          </cell>
          <cell r="AE167">
            <v>4.2270973963355829E-2</v>
          </cell>
          <cell r="AF167">
            <v>3.8980536018879831E-2</v>
          </cell>
          <cell r="AG167">
            <v>4.0625754991117827E-2</v>
          </cell>
          <cell r="AH167">
            <v>3.9803145504998833E-2</v>
          </cell>
          <cell r="AI167">
            <v>4.021445024805833E-2</v>
          </cell>
          <cell r="AK167">
            <v>0.14681892332789559</v>
          </cell>
          <cell r="AL167">
            <v>0.2378221113881962</v>
          </cell>
          <cell r="AM167">
            <v>0.13511068998191061</v>
          </cell>
          <cell r="AN167">
            <v>0.12643226930343257</v>
          </cell>
          <cell r="AO167">
            <v>5.3212302811315768E-2</v>
          </cell>
          <cell r="AP167">
            <v>5.3239812959251828E-2</v>
          </cell>
          <cell r="AQ167">
            <v>4.2933948382260258E-2</v>
          </cell>
          <cell r="AR167">
            <v>0.05</v>
          </cell>
          <cell r="AS167">
            <v>0.05</v>
          </cell>
          <cell r="AT167">
            <v>0.05</v>
          </cell>
          <cell r="AU167">
            <v>0.05</v>
          </cell>
          <cell r="AV167">
            <v>0.05</v>
          </cell>
          <cell r="AW167">
            <v>0.05</v>
          </cell>
        </row>
        <row r="168">
          <cell r="I168" t="str">
            <v>Deferred revenue - % of revenue</v>
          </cell>
          <cell r="L168">
            <v>5.2243392747387835E-3</v>
          </cell>
          <cell r="M168">
            <v>1.6233766233766233E-3</v>
          </cell>
          <cell r="N168">
            <v>5.0572751645137706E-3</v>
          </cell>
          <cell r="O168">
            <v>7.7442973810194304E-4</v>
          </cell>
          <cell r="P168">
            <v>7.0821529745042507E-4</v>
          </cell>
          <cell r="Q168">
            <v>2.4303305249513934E-4</v>
          </cell>
          <cell r="R168">
            <v>1.3631406761177754E-4</v>
          </cell>
          <cell r="S168">
            <v>4.682247478789819E-3</v>
          </cell>
          <cell r="T168">
            <v>5.0481552133252693E-3</v>
          </cell>
          <cell r="U168">
            <v>1.0246358087940483E-3</v>
          </cell>
          <cell r="V168">
            <v>6.4512287109452543E-4</v>
          </cell>
          <cell r="W168">
            <v>1.1360676141132884E-3</v>
          </cell>
          <cell r="X168">
            <v>3.7087338069368992E-4</v>
          </cell>
          <cell r="Y168">
            <v>4.4988303041209286E-4</v>
          </cell>
          <cell r="Z168">
            <v>8.8270858524788396E-4</v>
          </cell>
          <cell r="AA168">
            <v>5.5702043506921566E-4</v>
          </cell>
          <cell r="AB168">
            <v>1.0329619312906221E-3</v>
          </cell>
          <cell r="AC168">
            <v>1.530988686669946E-3</v>
          </cell>
          <cell r="AD168">
            <v>2.9165073738110958E-3</v>
          </cell>
          <cell r="AE168">
            <v>1.9819161567266419E-3</v>
          </cell>
          <cell r="AF168">
            <v>3.0638942440099144E-3</v>
          </cell>
          <cell r="AG168">
            <v>2.5229052003682782E-3</v>
          </cell>
          <cell r="AH168">
            <v>2.7933997221890961E-3</v>
          </cell>
          <cell r="AI168">
            <v>2.6581524612786871E-3</v>
          </cell>
          <cell r="AK168">
            <v>5.4131507721700374E-3</v>
          </cell>
          <cell r="AL168">
            <v>1.3563501849568433E-3</v>
          </cell>
          <cell r="AM168">
            <v>7.3387973571966214E-3</v>
          </cell>
          <cell r="AN168">
            <v>1.5143039024672544E-3</v>
          </cell>
          <cell r="AO168">
            <v>7.0035846749963741E-4</v>
          </cell>
          <cell r="AP168">
            <v>2.5398757567688564E-3</v>
          </cell>
          <cell r="AQ168">
            <v>3.5255285195609051E-3</v>
          </cell>
          <cell r="AR168">
            <v>3.5255285195609051E-3</v>
          </cell>
          <cell r="AS168">
            <v>3.5255285195609051E-3</v>
          </cell>
          <cell r="AT168">
            <v>3.5255285195609051E-3</v>
          </cell>
          <cell r="AU168">
            <v>3.5255285195609051E-3</v>
          </cell>
          <cell r="AV168">
            <v>3.5255285195609051E-3</v>
          </cell>
          <cell r="AW168">
            <v>3.5255285195609051E-3</v>
          </cell>
        </row>
        <row r="173">
          <cell r="I173" t="str">
            <v>Millennial Media</v>
          </cell>
          <cell r="L173">
            <v>40178</v>
          </cell>
          <cell r="P173">
            <v>40543</v>
          </cell>
          <cell r="T173">
            <v>40908</v>
          </cell>
          <cell r="X173">
            <v>41274</v>
          </cell>
          <cell r="AB173">
            <v>41639</v>
          </cell>
          <cell r="AF173">
            <v>42004</v>
          </cell>
        </row>
        <row r="174">
          <cell r="I174" t="str">
            <v>(USD millions)</v>
          </cell>
          <cell r="L174">
            <v>1</v>
          </cell>
          <cell r="M174">
            <v>2</v>
          </cell>
          <cell r="N174">
            <v>3</v>
          </cell>
          <cell r="O174">
            <v>4</v>
          </cell>
          <cell r="P174">
            <v>1</v>
          </cell>
          <cell r="Q174">
            <v>2</v>
          </cell>
          <cell r="R174">
            <v>3</v>
          </cell>
          <cell r="S174">
            <v>4</v>
          </cell>
          <cell r="T174">
            <v>1</v>
          </cell>
          <cell r="U174">
            <v>2</v>
          </cell>
          <cell r="V174">
            <v>3</v>
          </cell>
          <cell r="W174">
            <v>4</v>
          </cell>
          <cell r="X174">
            <v>1</v>
          </cell>
          <cell r="Y174">
            <v>2</v>
          </cell>
          <cell r="Z174">
            <v>3</v>
          </cell>
          <cell r="AA174">
            <v>4</v>
          </cell>
          <cell r="AB174">
            <v>1</v>
          </cell>
          <cell r="AC174">
            <v>2</v>
          </cell>
          <cell r="AD174">
            <v>3</v>
          </cell>
          <cell r="AE174">
            <v>4</v>
          </cell>
          <cell r="AF174">
            <v>1</v>
          </cell>
          <cell r="AG174">
            <v>2</v>
          </cell>
          <cell r="AH174">
            <v>3</v>
          </cell>
          <cell r="AI174">
            <v>4</v>
          </cell>
          <cell r="AK174">
            <v>39813</v>
          </cell>
          <cell r="AL174">
            <v>40178</v>
          </cell>
          <cell r="AM174">
            <v>40543</v>
          </cell>
          <cell r="AN174">
            <v>40908</v>
          </cell>
          <cell r="AO174">
            <v>41274</v>
          </cell>
          <cell r="AP174">
            <v>41639</v>
          </cell>
          <cell r="AQ174">
            <v>42004</v>
          </cell>
          <cell r="AR174">
            <v>42369</v>
          </cell>
          <cell r="AS174">
            <v>42735</v>
          </cell>
          <cell r="AT174">
            <v>43100</v>
          </cell>
          <cell r="AU174">
            <v>43465</v>
          </cell>
          <cell r="AV174">
            <v>43830</v>
          </cell>
          <cell r="AW174">
            <v>44196</v>
          </cell>
        </row>
        <row r="176">
          <cell r="I176" t="str">
            <v>Cash Flow Statement</v>
          </cell>
        </row>
        <row r="177">
          <cell r="I177" t="str">
            <v>Operating Cash Flow:</v>
          </cell>
        </row>
        <row r="178">
          <cell r="I178" t="str">
            <v>Net income</v>
          </cell>
          <cell r="L178">
            <v>-2.1269999999999998</v>
          </cell>
          <cell r="M178">
            <v>-1.796</v>
          </cell>
          <cell r="N178">
            <v>-1.728</v>
          </cell>
          <cell r="O178">
            <v>-1.899</v>
          </cell>
          <cell r="P178">
            <v>-1.839</v>
          </cell>
          <cell r="Q178">
            <v>-2.2010000000000001</v>
          </cell>
          <cell r="R178">
            <v>-1.333</v>
          </cell>
          <cell r="S178">
            <v>-1.748</v>
          </cell>
          <cell r="T178">
            <v>-2.3E-2</v>
          </cell>
          <cell r="U178">
            <v>-0.152</v>
          </cell>
          <cell r="V178">
            <v>-0.24199999999999999</v>
          </cell>
          <cell r="W178">
            <v>0.13</v>
          </cell>
          <cell r="X178">
            <v>-3.9729999999999999</v>
          </cell>
          <cell r="Y178">
            <v>-2.2370000000000001</v>
          </cell>
          <cell r="Z178">
            <v>-1.7709999999999999</v>
          </cell>
          <cell r="AA178">
            <v>2.5510000000000002</v>
          </cell>
          <cell r="AB178">
            <v>-3.7530000000000001</v>
          </cell>
          <cell r="AC178">
            <v>-3.0540000000000003</v>
          </cell>
          <cell r="AD178">
            <v>-6.2109999999999941</v>
          </cell>
          <cell r="AE178">
            <v>-2.0950000000000042</v>
          </cell>
          <cell r="AF178">
            <v>-12.946999999999994</v>
          </cell>
          <cell r="AG178">
            <v>-10.708615624999997</v>
          </cell>
          <cell r="AH178">
            <v>-2.5180058987782763</v>
          </cell>
          <cell r="AI178">
            <v>1.9676357796151678</v>
          </cell>
          <cell r="AK178">
            <v>-8.359</v>
          </cell>
          <cell r="AL178">
            <v>-7.55</v>
          </cell>
          <cell r="AM178">
            <v>-7.1210000000000004</v>
          </cell>
          <cell r="AN178">
            <v>-0.28699999999999998</v>
          </cell>
          <cell r="AO178">
            <v>-5.43</v>
          </cell>
          <cell r="AP178">
            <v>-15.112999999999998</v>
          </cell>
          <cell r="AQ178">
            <v>-24.205985744163097</v>
          </cell>
          <cell r="AR178">
            <v>4.5624834897844035</v>
          </cell>
          <cell r="AS178">
            <v>16.296223808072785</v>
          </cell>
          <cell r="AT178">
            <v>31.965225897743064</v>
          </cell>
          <cell r="AU178">
            <v>50.175942897506673</v>
          </cell>
          <cell r="AV178">
            <v>72.169845279743313</v>
          </cell>
          <cell r="AW178">
            <v>86.749361338692438</v>
          </cell>
        </row>
        <row r="179">
          <cell r="I179" t="str">
            <v>Stock-based compensation</v>
          </cell>
          <cell r="L179">
            <v>3.3000000000000002E-2</v>
          </cell>
          <cell r="M179">
            <v>0.04</v>
          </cell>
          <cell r="N179">
            <v>7.0000000000000007E-2</v>
          </cell>
          <cell r="O179">
            <v>6.9000000000000006E-2</v>
          </cell>
          <cell r="P179">
            <v>7.6999999999999999E-2</v>
          </cell>
          <cell r="Q179">
            <v>0.115</v>
          </cell>
          <cell r="R179">
            <v>9.7000000000000003E-2</v>
          </cell>
          <cell r="S179">
            <v>0.123</v>
          </cell>
          <cell r="T179">
            <v>0.10199999999999999</v>
          </cell>
          <cell r="U179">
            <v>0.39800000000000002</v>
          </cell>
          <cell r="V179">
            <v>0.60399999999999998</v>
          </cell>
          <cell r="W179">
            <v>0.7280000000000002</v>
          </cell>
          <cell r="X179">
            <v>1.0840000000000001</v>
          </cell>
          <cell r="Y179">
            <v>0.96300000000000008</v>
          </cell>
          <cell r="Z179">
            <v>3.2259999999999995</v>
          </cell>
          <cell r="AA179">
            <v>2.201000000000001</v>
          </cell>
          <cell r="AB179">
            <v>1.657</v>
          </cell>
          <cell r="AC179">
            <v>3.5049999999999999</v>
          </cell>
          <cell r="AD179">
            <v>1.6370000000000005</v>
          </cell>
          <cell r="AE179">
            <v>2.153999999999999</v>
          </cell>
          <cell r="AF179">
            <v>3.7719999999999998</v>
          </cell>
          <cell r="AG179">
            <v>4</v>
          </cell>
          <cell r="AH179">
            <v>4</v>
          </cell>
          <cell r="AI179">
            <v>4</v>
          </cell>
          <cell r="AK179">
            <v>0.129</v>
          </cell>
          <cell r="AL179">
            <v>0.21200000000000002</v>
          </cell>
          <cell r="AM179">
            <v>0.41200000000000003</v>
          </cell>
          <cell r="AN179">
            <v>1.8320000000000003</v>
          </cell>
          <cell r="AO179">
            <v>7.4740000000000002</v>
          </cell>
          <cell r="AP179">
            <v>8.9529999999999994</v>
          </cell>
          <cell r="AQ179">
            <v>15.772</v>
          </cell>
          <cell r="AR179">
            <v>15.255697800000002</v>
          </cell>
          <cell r="AS179">
            <v>16.715886018000003</v>
          </cell>
          <cell r="AT179">
            <v>17.929716510384001</v>
          </cell>
          <cell r="AU179">
            <v>20.543869177597983</v>
          </cell>
          <cell r="AV179">
            <v>23.239635691082395</v>
          </cell>
          <cell r="AW179">
            <v>25.984190186927844</v>
          </cell>
        </row>
        <row r="180">
          <cell r="I180" t="str">
            <v>Deferred income taxes</v>
          </cell>
          <cell r="L180">
            <v>0</v>
          </cell>
          <cell r="M180">
            <v>0</v>
          </cell>
          <cell r="N180">
            <v>0</v>
          </cell>
          <cell r="O180">
            <v>0</v>
          </cell>
          <cell r="P180">
            <v>0</v>
          </cell>
          <cell r="Q180">
            <v>0</v>
          </cell>
          <cell r="R180">
            <v>0</v>
          </cell>
          <cell r="S180">
            <v>0</v>
          </cell>
          <cell r="T180">
            <v>0</v>
          </cell>
          <cell r="U180">
            <v>-0.48199999999999998</v>
          </cell>
          <cell r="V180">
            <v>-1E-3</v>
          </cell>
          <cell r="W180">
            <v>2.0000000000000018E-3</v>
          </cell>
          <cell r="X180">
            <v>0</v>
          </cell>
          <cell r="Y180">
            <v>0</v>
          </cell>
          <cell r="Z180">
            <v>0</v>
          </cell>
          <cell r="AA180">
            <v>0</v>
          </cell>
          <cell r="AB180">
            <v>0</v>
          </cell>
          <cell r="AC180">
            <v>0</v>
          </cell>
          <cell r="AD180">
            <v>0</v>
          </cell>
          <cell r="AE180">
            <v>0</v>
          </cell>
          <cell r="AF180">
            <v>0</v>
          </cell>
          <cell r="AG180">
            <v>0</v>
          </cell>
          <cell r="AH180">
            <v>0</v>
          </cell>
          <cell r="AI180">
            <v>0</v>
          </cell>
          <cell r="AK180">
            <v>0</v>
          </cell>
          <cell r="AL180">
            <v>0</v>
          </cell>
          <cell r="AM180">
            <v>0</v>
          </cell>
          <cell r="AN180">
            <v>-0.48099999999999998</v>
          </cell>
          <cell r="AO180">
            <v>0</v>
          </cell>
          <cell r="AP180">
            <v>0</v>
          </cell>
          <cell r="AQ180">
            <v>0</v>
          </cell>
          <cell r="AR180">
            <v>0</v>
          </cell>
          <cell r="AS180">
            <v>0</v>
          </cell>
          <cell r="AT180">
            <v>0</v>
          </cell>
          <cell r="AU180">
            <v>0</v>
          </cell>
          <cell r="AV180">
            <v>0</v>
          </cell>
          <cell r="AW180">
            <v>0</v>
          </cell>
        </row>
        <row r="181">
          <cell r="I181" t="str">
            <v>Depreciation &amp; amortization</v>
          </cell>
          <cell r="L181">
            <v>3.4000000000000002E-2</v>
          </cell>
          <cell r="M181">
            <v>3.4000000000000002E-2</v>
          </cell>
          <cell r="N181">
            <v>3.5999999999999997E-2</v>
          </cell>
          <cell r="O181">
            <v>4.2000000000000003E-2</v>
          </cell>
          <cell r="P181">
            <v>4.2000000000000003E-2</v>
          </cell>
          <cell r="Q181">
            <v>4.4999999999999998E-2</v>
          </cell>
          <cell r="R181">
            <v>5.3999999999999999E-2</v>
          </cell>
          <cell r="S181">
            <v>8.2000000000000003E-2</v>
          </cell>
          <cell r="T181">
            <v>8.7999999999999995E-2</v>
          </cell>
          <cell r="U181">
            <v>0.14799999999999999</v>
          </cell>
          <cell r="V181">
            <v>0.22</v>
          </cell>
          <cell r="W181">
            <v>0.30300000000000005</v>
          </cell>
          <cell r="X181">
            <v>0.44</v>
          </cell>
          <cell r="Y181">
            <v>0.52200000000000002</v>
          </cell>
          <cell r="Z181">
            <v>0.63100000000000001</v>
          </cell>
          <cell r="AA181">
            <v>0.77200000000000024</v>
          </cell>
          <cell r="AB181">
            <v>0.94099999999999995</v>
          </cell>
          <cell r="AC181">
            <v>1.0609999999999999</v>
          </cell>
          <cell r="AD181">
            <v>1.1420000000000003</v>
          </cell>
          <cell r="AE181">
            <v>2.7690000000000001</v>
          </cell>
          <cell r="AF181">
            <v>3.9460000000000002</v>
          </cell>
          <cell r="AG181">
            <v>3.8</v>
          </cell>
          <cell r="AH181">
            <v>3.8</v>
          </cell>
          <cell r="AI181">
            <v>3.8</v>
          </cell>
          <cell r="AK181">
            <v>0.106</v>
          </cell>
          <cell r="AL181">
            <v>0.14600000000000002</v>
          </cell>
          <cell r="AM181">
            <v>0.22299999999999998</v>
          </cell>
          <cell r="AN181">
            <v>0.75900000000000001</v>
          </cell>
          <cell r="AO181">
            <v>2.3650000000000002</v>
          </cell>
          <cell r="AP181">
            <v>5.9130000000000003</v>
          </cell>
          <cell r="AQ181">
            <v>15.346</v>
          </cell>
          <cell r="AR181">
            <v>14.3587708</v>
          </cell>
          <cell r="AS181">
            <v>14.7575983282</v>
          </cell>
          <cell r="AT181">
            <v>15.080086344608798</v>
          </cell>
          <cell r="AU181">
            <v>15.307166204212812</v>
          </cell>
          <cell r="AV181">
            <v>15.8099089227706</v>
          </cell>
          <cell r="AW181">
            <v>16.496047546731962</v>
          </cell>
        </row>
        <row r="182">
          <cell r="I182" t="str">
            <v>Others</v>
          </cell>
          <cell r="L182">
            <v>1.6E-2</v>
          </cell>
          <cell r="M182">
            <v>3.4000000000000002E-2</v>
          </cell>
          <cell r="N182">
            <v>4.1000000000000002E-2</v>
          </cell>
          <cell r="O182">
            <v>7.0000000000000007E-2</v>
          </cell>
          <cell r="P182">
            <v>4.9000000000000002E-2</v>
          </cell>
          <cell r="Q182">
            <v>0.153</v>
          </cell>
          <cell r="R182">
            <v>0.23300000000000001</v>
          </cell>
          <cell r="S182">
            <v>0.53900000000000003</v>
          </cell>
          <cell r="T182">
            <v>-4.7E-2</v>
          </cell>
          <cell r="U182">
            <v>0.183</v>
          </cell>
          <cell r="V182">
            <v>3.3000000000000002E-2</v>
          </cell>
          <cell r="W182">
            <v>0.26600000000000001</v>
          </cell>
          <cell r="X182">
            <v>1.2749999999999999</v>
          </cell>
          <cell r="Y182">
            <v>0.2200000000000002</v>
          </cell>
          <cell r="Z182">
            <v>0.48299999999999965</v>
          </cell>
          <cell r="AA182">
            <v>0.52300000000000013</v>
          </cell>
          <cell r="AB182">
            <v>0.496</v>
          </cell>
          <cell r="AC182">
            <v>0.42300000000000004</v>
          </cell>
          <cell r="AD182">
            <v>0.32699999999999996</v>
          </cell>
          <cell r="AE182">
            <v>0.60799999999999987</v>
          </cell>
          <cell r="AF182">
            <v>0</v>
          </cell>
          <cell r="AG182">
            <v>0</v>
          </cell>
          <cell r="AH182">
            <v>0</v>
          </cell>
          <cell r="AI182">
            <v>0</v>
          </cell>
          <cell r="AK182">
            <v>6.5000000000000002E-2</v>
          </cell>
          <cell r="AL182">
            <v>0.161</v>
          </cell>
          <cell r="AM182">
            <v>0.97400000000000009</v>
          </cell>
          <cell r="AN182">
            <v>0.43500000000000005</v>
          </cell>
          <cell r="AO182">
            <v>2.5009999999999999</v>
          </cell>
          <cell r="AP182">
            <v>1.8539999999999999</v>
          </cell>
          <cell r="AQ182">
            <v>0</v>
          </cell>
          <cell r="AR182">
            <v>0</v>
          </cell>
          <cell r="AS182">
            <v>0</v>
          </cell>
          <cell r="AT182">
            <v>0</v>
          </cell>
          <cell r="AU182">
            <v>0</v>
          </cell>
          <cell r="AV182">
            <v>0</v>
          </cell>
          <cell r="AW182">
            <v>0</v>
          </cell>
        </row>
        <row r="183">
          <cell r="I183" t="str">
            <v>Funds from operations (FFO)</v>
          </cell>
          <cell r="L183">
            <v>-2.044</v>
          </cell>
          <cell r="M183">
            <v>-1.6879999999999999</v>
          </cell>
          <cell r="N183">
            <v>-1.581</v>
          </cell>
          <cell r="O183">
            <v>-1.718</v>
          </cell>
          <cell r="P183">
            <v>-1.671</v>
          </cell>
          <cell r="Q183">
            <v>-1.8879999999999999</v>
          </cell>
          <cell r="R183">
            <v>-0.94899999999999995</v>
          </cell>
          <cell r="S183">
            <v>-1.004</v>
          </cell>
          <cell r="T183">
            <v>0.11999999999999998</v>
          </cell>
          <cell r="U183">
            <v>9.5000000000000029E-2</v>
          </cell>
          <cell r="V183">
            <v>0.61399999999999999</v>
          </cell>
          <cell r="W183">
            <v>1.4290000000000003</v>
          </cell>
          <cell r="X183">
            <v>-1.1739999999999999</v>
          </cell>
          <cell r="Y183">
            <v>-0.53199999999999981</v>
          </cell>
          <cell r="Z183">
            <v>2.5689999999999991</v>
          </cell>
          <cell r="AA183">
            <v>6.0470000000000006</v>
          </cell>
          <cell r="AB183">
            <v>-0.65900000000000025</v>
          </cell>
          <cell r="AC183">
            <v>1.9349999999999996</v>
          </cell>
          <cell r="AD183">
            <v>-3.1049999999999933</v>
          </cell>
          <cell r="AE183">
            <v>3.4359999999999946</v>
          </cell>
          <cell r="AF183">
            <v>-5.2289999999999939</v>
          </cell>
          <cell r="AG183">
            <v>-2.9086156249999968</v>
          </cell>
          <cell r="AH183">
            <v>5.2819941012217235</v>
          </cell>
          <cell r="AI183">
            <v>9.7676357796151674</v>
          </cell>
          <cell r="AK183">
            <v>-8.0590000000000011</v>
          </cell>
          <cell r="AL183">
            <v>-7.0310000000000006</v>
          </cell>
          <cell r="AM183">
            <v>-5.5120000000000005</v>
          </cell>
          <cell r="AN183">
            <v>2.2580000000000005</v>
          </cell>
          <cell r="AO183">
            <v>6.91</v>
          </cell>
          <cell r="AP183">
            <v>1.6070000000000018</v>
          </cell>
          <cell r="AQ183">
            <v>6.9120142558369029</v>
          </cell>
          <cell r="AR183">
            <v>34.176952089784407</v>
          </cell>
          <cell r="AS183">
            <v>47.769708154272791</v>
          </cell>
          <cell r="AT183">
            <v>64.975028752735867</v>
          </cell>
          <cell r="AU183">
            <v>86.026978279317461</v>
          </cell>
          <cell r="AV183">
            <v>111.21938989359631</v>
          </cell>
          <cell r="AW183">
            <v>129.22959907235224</v>
          </cell>
        </row>
        <row r="185">
          <cell r="I185" t="str">
            <v>Changes in working capital:</v>
          </cell>
        </row>
        <row r="186">
          <cell r="I186" t="str">
            <v>Accounts receivable</v>
          </cell>
          <cell r="L186">
            <v>-2.3E-2</v>
          </cell>
          <cell r="M186">
            <v>-1.292</v>
          </cell>
          <cell r="N186">
            <v>-0.64100000000000001</v>
          </cell>
          <cell r="O186">
            <v>-2.41</v>
          </cell>
          <cell r="P186">
            <v>-2.3420000000000001</v>
          </cell>
          <cell r="Q186">
            <v>-1.502</v>
          </cell>
          <cell r="R186">
            <v>-2.3119999999999998</v>
          </cell>
          <cell r="S186">
            <v>-8.2140000000000004</v>
          </cell>
          <cell r="T186">
            <v>-3.4159999999999999</v>
          </cell>
          <cell r="U186">
            <v>0.77400000000000002</v>
          </cell>
          <cell r="V186">
            <v>-3.1419999999999999</v>
          </cell>
          <cell r="W186">
            <v>-9.5569999999999986</v>
          </cell>
          <cell r="X186">
            <v>-1.8080000000000001</v>
          </cell>
          <cell r="Y186">
            <v>-6.9749999999999996</v>
          </cell>
          <cell r="Z186">
            <v>-8.5290000000000017</v>
          </cell>
          <cell r="AA186">
            <v>-8.5190000000000001</v>
          </cell>
          <cell r="AB186">
            <v>4.7089999999999996</v>
          </cell>
          <cell r="AC186">
            <v>-3.3609999999999998</v>
          </cell>
          <cell r="AD186">
            <v>-1.7669999999999999</v>
          </cell>
          <cell r="AE186">
            <v>-27.698</v>
          </cell>
          <cell r="AF186">
            <v>29.137999999999991</v>
          </cell>
          <cell r="AG186">
            <v>1.0663870167949483</v>
          </cell>
          <cell r="AH186">
            <v>-18.602491185524428</v>
          </cell>
          <cell r="AI186">
            <v>-23.522094341258764</v>
          </cell>
          <cell r="AK186">
            <v>-1.5680000000000001</v>
          </cell>
          <cell r="AL186">
            <v>-4.3659999999999997</v>
          </cell>
          <cell r="AM186">
            <v>-14.370000000000001</v>
          </cell>
          <cell r="AN186">
            <v>-15.340999999999998</v>
          </cell>
          <cell r="AO186">
            <v>-25.831000000000003</v>
          </cell>
          <cell r="AP186">
            <v>-28.117000000000001</v>
          </cell>
          <cell r="AQ186">
            <v>-11.920198509988253</v>
          </cell>
          <cell r="AR186">
            <v>-18.228407669143451</v>
          </cell>
          <cell r="AS186">
            <v>-18.015967313475727</v>
          </cell>
          <cell r="AT186">
            <v>-17.288251495634029</v>
          </cell>
          <cell r="AU186">
            <v>-16.06904528351464</v>
          </cell>
          <cell r="AV186">
            <v>-14.403185658810997</v>
          </cell>
          <cell r="AW186">
            <v>-12.351046817243002</v>
          </cell>
        </row>
        <row r="187">
          <cell r="I187" t="str">
            <v>Prepaid expenses &amp; other current assets</v>
          </cell>
          <cell r="L187">
            <v>2.1999999999999999E-2</v>
          </cell>
          <cell r="M187">
            <v>1E-3</v>
          </cell>
          <cell r="N187">
            <v>-5.1999999999999998E-2</v>
          </cell>
          <cell r="O187">
            <v>3.3000000000000002E-2</v>
          </cell>
          <cell r="P187">
            <v>-6.4000000000000001E-2</v>
          </cell>
          <cell r="Q187">
            <v>-6.2E-2</v>
          </cell>
          <cell r="R187">
            <v>-2.4E-2</v>
          </cell>
          <cell r="S187">
            <v>-0.14399999999999999</v>
          </cell>
          <cell r="T187">
            <v>2.8000000000000001E-2</v>
          </cell>
          <cell r="U187">
            <v>-0.12</v>
          </cell>
          <cell r="V187">
            <v>-0.57999999999999996</v>
          </cell>
          <cell r="W187">
            <v>-0.35499999999999998</v>
          </cell>
          <cell r="X187">
            <v>-0.14299999999999999</v>
          </cell>
          <cell r="Y187">
            <v>-0.24600000000000002</v>
          </cell>
          <cell r="Z187">
            <v>-0.30599999999999994</v>
          </cell>
          <cell r="AA187">
            <v>0.15299999999999991</v>
          </cell>
          <cell r="AB187">
            <v>0.27600000000000002</v>
          </cell>
          <cell r="AC187">
            <v>-1.607</v>
          </cell>
          <cell r="AD187">
            <v>3.2000000000000028E-2</v>
          </cell>
          <cell r="AE187">
            <v>0</v>
          </cell>
          <cell r="AF187">
            <v>-1.4000000000000234E-2</v>
          </cell>
          <cell r="AG187">
            <v>0.62134780701139247</v>
          </cell>
          <cell r="AH187">
            <v>-0.21962022851445751</v>
          </cell>
          <cell r="AI187">
            <v>-0.31851679210020212</v>
          </cell>
          <cell r="AK187">
            <v>0.42099999999999999</v>
          </cell>
          <cell r="AL187">
            <v>4.0000000000000036E-3</v>
          </cell>
          <cell r="AM187">
            <v>-0.29399999999999998</v>
          </cell>
          <cell r="AN187">
            <v>-1.0269999999999999</v>
          </cell>
          <cell r="AO187">
            <v>-0.54200000000000004</v>
          </cell>
          <cell r="AP187">
            <v>-1.2989999999999999</v>
          </cell>
          <cell r="AQ187">
            <v>6.9210786396732615E-2</v>
          </cell>
          <cell r="AR187">
            <v>1.476517231099983E-2</v>
          </cell>
          <cell r="AS187">
            <v>-0.33434232228050753</v>
          </cell>
          <cell r="AT187">
            <v>-0.24652966091204931</v>
          </cell>
          <cell r="AU187">
            <v>-0.18192313428975737</v>
          </cell>
          <cell r="AV187">
            <v>-6.9876254622437628E-2</v>
          </cell>
          <cell r="AW187">
            <v>-0.37484752730334758</v>
          </cell>
        </row>
        <row r="188">
          <cell r="I188" t="str">
            <v>Accounts payable and accrued expenses</v>
          </cell>
          <cell r="L188">
            <v>-0.115</v>
          </cell>
          <cell r="M188">
            <v>5.8000000000000003E-2</v>
          </cell>
          <cell r="N188">
            <v>-1.2E-2</v>
          </cell>
          <cell r="O188">
            <v>0.13300000000000001</v>
          </cell>
          <cell r="P188">
            <v>0.14899999999999999</v>
          </cell>
          <cell r="Q188">
            <v>-0.03</v>
          </cell>
          <cell r="R188">
            <v>0.20699999999999999</v>
          </cell>
          <cell r="S188">
            <v>0.39</v>
          </cell>
          <cell r="T188">
            <v>-0.218</v>
          </cell>
          <cell r="U188">
            <v>0.34799999999999998</v>
          </cell>
          <cell r="V188">
            <v>0.373</v>
          </cell>
          <cell r="W188">
            <v>1.3140000000000001</v>
          </cell>
          <cell r="X188">
            <v>-0.55700000000000005</v>
          </cell>
          <cell r="Y188">
            <v>2.3450000000000002</v>
          </cell>
          <cell r="Z188">
            <v>0.48599999999999988</v>
          </cell>
          <cell r="AA188">
            <v>0.61</v>
          </cell>
          <cell r="AB188">
            <v>0.64300000000000002</v>
          </cell>
          <cell r="AC188">
            <v>-0.88800000000000001</v>
          </cell>
          <cell r="AD188">
            <v>2.6219999999999999</v>
          </cell>
          <cell r="AE188">
            <v>-7.117</v>
          </cell>
          <cell r="AF188">
            <v>2.6550000000000002</v>
          </cell>
          <cell r="AG188">
            <v>-2.1733564355259141</v>
          </cell>
          <cell r="AH188">
            <v>1.9566252082551348</v>
          </cell>
          <cell r="AI188">
            <v>2.699181324307613</v>
          </cell>
          <cell r="AK188">
            <v>7.0999999999999994E-2</v>
          </cell>
          <cell r="AL188">
            <v>6.4000000000000001E-2</v>
          </cell>
          <cell r="AM188">
            <v>0.71599999999999997</v>
          </cell>
          <cell r="AN188">
            <v>1.8170000000000002</v>
          </cell>
          <cell r="AO188">
            <v>2.8839999999999999</v>
          </cell>
          <cell r="AP188">
            <v>-4.74</v>
          </cell>
          <cell r="AQ188">
            <v>5.137450097036834</v>
          </cell>
          <cell r="AR188">
            <v>2.5575498073959491</v>
          </cell>
          <cell r="AS188">
            <v>2.756159982797902</v>
          </cell>
          <cell r="AT188">
            <v>2.9270419017313642</v>
          </cell>
          <cell r="AU188">
            <v>3.0611004208306696</v>
          </cell>
          <cell r="AV188">
            <v>3.1566679759690004</v>
          </cell>
          <cell r="AW188">
            <v>3.213797352998089</v>
          </cell>
        </row>
        <row r="189">
          <cell r="I189" t="str">
            <v>Accrued liabilities</v>
          </cell>
          <cell r="L189">
            <v>7.5999999999999998E-2</v>
          </cell>
          <cell r="M189">
            <v>1.458</v>
          </cell>
          <cell r="N189">
            <v>0.82</v>
          </cell>
          <cell r="O189">
            <v>2.6960000000000002</v>
          </cell>
          <cell r="P189">
            <v>1.734</v>
          </cell>
          <cell r="Q189">
            <v>0.59</v>
          </cell>
          <cell r="R189">
            <v>1.264</v>
          </cell>
          <cell r="S189">
            <v>5.1239999999999997</v>
          </cell>
          <cell r="T189">
            <v>0.84199999999999997</v>
          </cell>
          <cell r="U189">
            <v>-0.55100000000000005</v>
          </cell>
          <cell r="V189">
            <v>3</v>
          </cell>
          <cell r="W189">
            <v>4.6510000000000007</v>
          </cell>
          <cell r="X189">
            <v>-2.7269999999999999</v>
          </cell>
          <cell r="Y189">
            <v>5.3699999999999992</v>
          </cell>
          <cell r="Z189">
            <v>5.8840000000000021</v>
          </cell>
          <cell r="AA189">
            <v>5.8089999999999993</v>
          </cell>
          <cell r="AB189">
            <v>-7.1259999999999994</v>
          </cell>
          <cell r="AC189">
            <v>4.7399999999999993</v>
          </cell>
          <cell r="AD189">
            <v>0.92100000000000026</v>
          </cell>
          <cell r="AE189">
            <v>11.823999999999998</v>
          </cell>
          <cell r="AF189">
            <v>-24.957999999999998</v>
          </cell>
          <cell r="AG189">
            <v>2.3683573831666003</v>
          </cell>
          <cell r="AH189">
            <v>9.494488327836045</v>
          </cell>
          <cell r="AI189">
            <v>13.757979598773307</v>
          </cell>
          <cell r="AK189">
            <v>0.90900000000000003</v>
          </cell>
          <cell r="AL189">
            <v>5.0500000000000007</v>
          </cell>
          <cell r="AM189">
            <v>8.7119999999999997</v>
          </cell>
          <cell r="AN189">
            <v>7.9420000000000002</v>
          </cell>
          <cell r="AO189">
            <v>14.336</v>
          </cell>
          <cell r="AP189">
            <v>10.358999999999998</v>
          </cell>
          <cell r="AQ189">
            <v>0.662825309775954</v>
          </cell>
          <cell r="AR189">
            <v>11.065688795403219</v>
          </cell>
          <cell r="AS189">
            <v>10.338421158771474</v>
          </cell>
          <cell r="AT189">
            <v>9.6536016890131648</v>
          </cell>
          <cell r="AU189">
            <v>8.7360119889996586</v>
          </cell>
          <cell r="AV189">
            <v>7.4707214806610125</v>
          </cell>
          <cell r="AW189">
            <v>6.8309557502952671</v>
          </cell>
        </row>
        <row r="190">
          <cell r="I190" t="str">
            <v>Deferred revenue</v>
          </cell>
          <cell r="L190">
            <v>-1E-3</v>
          </cell>
          <cell r="M190">
            <v>-1.2E-2</v>
          </cell>
          <cell r="N190">
            <v>6.0999999999999999E-2</v>
          </cell>
          <cell r="O190">
            <v>-6.0999999999999999E-2</v>
          </cell>
          <cell r="P190">
            <v>3.0000000000000001E-3</v>
          </cell>
          <cell r="Q190">
            <v>-1.6E-2</v>
          </cell>
          <cell r="R190">
            <v>-3.0000000000000001E-3</v>
          </cell>
          <cell r="S190">
            <v>0.34499999999999997</v>
          </cell>
          <cell r="T190">
            <v>8.3000000000000004E-2</v>
          </cell>
          <cell r="U190">
            <v>-0.34200000000000003</v>
          </cell>
          <cell r="V190">
            <v>-2.8000000000000001E-2</v>
          </cell>
          <cell r="W190">
            <v>9.3000000000000013E-2</v>
          </cell>
          <cell r="X190">
            <v>-8.5999999999999993E-2</v>
          </cell>
          <cell r="Y190">
            <v>2.8999999999999991E-2</v>
          </cell>
          <cell r="Z190">
            <v>2.2999999999999993E-2</v>
          </cell>
          <cell r="AA190">
            <v>4.6000000000000013E-2</v>
          </cell>
          <cell r="AB190">
            <v>9.8000000000000004E-2</v>
          </cell>
          <cell r="AC190">
            <v>0.22800000000000001</v>
          </cell>
          <cell r="AD190">
            <v>-1.2000000000000011E-2</v>
          </cell>
          <cell r="AE190">
            <v>-0.19800000000000001</v>
          </cell>
          <cell r="AF190">
            <v>2.200000000000002E-2</v>
          </cell>
          <cell r="AG190">
            <v>-0.13089819169239092</v>
          </cell>
          <cell r="AH190">
            <v>0.30184146241880949</v>
          </cell>
          <cell r="AI190">
            <v>0.21963762640935669</v>
          </cell>
          <cell r="AK190">
            <v>-6.6000000000000003E-2</v>
          </cell>
          <cell r="AL190">
            <v>-1.2999999999999998E-2</v>
          </cell>
          <cell r="AM190">
            <v>0.32899999999999996</v>
          </cell>
          <cell r="AN190">
            <v>-0.19400000000000001</v>
          </cell>
          <cell r="AO190">
            <v>1.2000000000000004E-2</v>
          </cell>
          <cell r="AP190">
            <v>0.11599999999999999</v>
          </cell>
          <cell r="AQ190">
            <v>0.41258089713577528</v>
          </cell>
          <cell r="AR190">
            <v>0.25611617942715514</v>
          </cell>
          <cell r="AS190">
            <v>0.27660547378132727</v>
          </cell>
          <cell r="AT190">
            <v>0.29375501315576957</v>
          </cell>
          <cell r="AU190">
            <v>0.30720899275830371</v>
          </cell>
          <cell r="AV190">
            <v>0.31680005751221874</v>
          </cell>
          <cell r="AW190">
            <v>0.32253350495307442</v>
          </cell>
        </row>
        <row r="191">
          <cell r="I191" t="str">
            <v>Other assets &amp; liabilities</v>
          </cell>
          <cell r="L191">
            <v>2.9000000000000001E-2</v>
          </cell>
          <cell r="M191">
            <v>0.03</v>
          </cell>
          <cell r="N191">
            <v>0.03</v>
          </cell>
          <cell r="O191">
            <v>0.03</v>
          </cell>
          <cell r="P191">
            <v>1.0999999999999999E-2</v>
          </cell>
          <cell r="Q191">
            <v>-4.5999999999999999E-2</v>
          </cell>
          <cell r="R191">
            <v>1.2999999999999999E-2</v>
          </cell>
          <cell r="S191">
            <v>-4.2000000000000003E-2</v>
          </cell>
          <cell r="T191">
            <v>-0.108</v>
          </cell>
          <cell r="U191">
            <v>8.8999999999999996E-2</v>
          </cell>
          <cell r="V191">
            <v>5.5E-2</v>
          </cell>
          <cell r="W191">
            <v>1.7510000000000001</v>
          </cell>
          <cell r="X191">
            <v>-0.19799999999999998</v>
          </cell>
          <cell r="Y191">
            <v>8.299999999999999E-2</v>
          </cell>
          <cell r="Z191">
            <v>2.6999999999999996E-2</v>
          </cell>
          <cell r="AA191">
            <v>-0.21799999999999994</v>
          </cell>
          <cell r="AB191">
            <v>8.1000000000000003E-2</v>
          </cell>
          <cell r="AC191">
            <v>7.6999999999999999E-2</v>
          </cell>
          <cell r="AD191">
            <v>19.042999999999999</v>
          </cell>
          <cell r="AE191">
            <v>-18.545999999999999</v>
          </cell>
          <cell r="AF191">
            <v>1.5451999999999699</v>
          </cell>
          <cell r="AG191">
            <v>0</v>
          </cell>
          <cell r="AH191">
            <v>0</v>
          </cell>
          <cell r="AI191">
            <v>0</v>
          </cell>
          <cell r="AK191">
            <v>-6.4000000000000001E-2</v>
          </cell>
          <cell r="AL191">
            <v>0.11899999999999999</v>
          </cell>
          <cell r="AM191">
            <v>-6.4000000000000001E-2</v>
          </cell>
          <cell r="AN191">
            <v>1.7870000000000001</v>
          </cell>
          <cell r="AO191">
            <v>-0.30599999999999994</v>
          </cell>
          <cell r="AP191">
            <v>0.65500000000000114</v>
          </cell>
          <cell r="AQ191">
            <v>1.5451999999999699</v>
          </cell>
          <cell r="AR191">
            <v>0</v>
          </cell>
          <cell r="AS191">
            <v>0</v>
          </cell>
          <cell r="AT191">
            <v>0</v>
          </cell>
          <cell r="AU191">
            <v>0</v>
          </cell>
          <cell r="AV191">
            <v>0</v>
          </cell>
          <cell r="AW191">
            <v>0</v>
          </cell>
        </row>
        <row r="192">
          <cell r="I192" t="str">
            <v>Changes in working capital</v>
          </cell>
          <cell r="L192">
            <v>-1.2000000000000007E-2</v>
          </cell>
          <cell r="M192">
            <v>0.24299999999999986</v>
          </cell>
          <cell r="N192">
            <v>0.20599999999999988</v>
          </cell>
          <cell r="O192">
            <v>0.42099999999999993</v>
          </cell>
          <cell r="P192">
            <v>-0.50900000000000012</v>
          </cell>
          <cell r="Q192">
            <v>-1.0660000000000001</v>
          </cell>
          <cell r="R192">
            <v>-0.85499999999999998</v>
          </cell>
          <cell r="S192">
            <v>-2.5410000000000013</v>
          </cell>
          <cell r="T192">
            <v>-2.7889999999999997</v>
          </cell>
          <cell r="U192">
            <v>0.19799999999999993</v>
          </cell>
          <cell r="V192">
            <v>-0.32200000000000023</v>
          </cell>
          <cell r="W192">
            <v>-2.102999999999998</v>
          </cell>
          <cell r="X192">
            <v>-5.5190000000000001</v>
          </cell>
          <cell r="Y192">
            <v>0.60599999999999976</v>
          </cell>
          <cell r="Z192">
            <v>-2.4149999999999978</v>
          </cell>
          <cell r="AA192">
            <v>-2.1189999999999998</v>
          </cell>
          <cell r="AB192">
            <v>-1.3190000000000002</v>
          </cell>
          <cell r="AC192">
            <v>-0.81100000000000061</v>
          </cell>
          <cell r="AD192">
            <v>20.838999999999999</v>
          </cell>
          <cell r="AE192">
            <v>-41.734999999999999</v>
          </cell>
          <cell r="AF192">
            <v>8.3881999999999639</v>
          </cell>
          <cell r="AG192">
            <v>1.7518375797546359</v>
          </cell>
          <cell r="AH192">
            <v>-7.0691564155288988</v>
          </cell>
          <cell r="AI192">
            <v>-7.1638125838686886</v>
          </cell>
          <cell r="AK192">
            <v>-0.29700000000000004</v>
          </cell>
          <cell r="AL192">
            <v>0.85800000000000065</v>
          </cell>
          <cell r="AM192">
            <v>-4.9710000000000027</v>
          </cell>
          <cell r="AN192">
            <v>-5.0159999999999982</v>
          </cell>
          <cell r="AO192">
            <v>-9.4470000000000027</v>
          </cell>
          <cell r="AP192">
            <v>-23.026</v>
          </cell>
          <cell r="AQ192">
            <v>-4.0929314196429871</v>
          </cell>
          <cell r="AR192">
            <v>-4.3342877146061261</v>
          </cell>
          <cell r="AS192">
            <v>-4.9791230204055292</v>
          </cell>
          <cell r="AT192">
            <v>-4.6603825526457792</v>
          </cell>
          <cell r="AU192">
            <v>-4.1466470152157662</v>
          </cell>
          <cell r="AV192">
            <v>-3.5288723992912034</v>
          </cell>
          <cell r="AW192">
            <v>-2.3586077362999203</v>
          </cell>
        </row>
        <row r="193">
          <cell r="I193" t="str">
            <v>Operating Cash Flow</v>
          </cell>
          <cell r="L193">
            <v>-2.056</v>
          </cell>
          <cell r="M193">
            <v>-1.4450000000000001</v>
          </cell>
          <cell r="N193">
            <v>-1.375</v>
          </cell>
          <cell r="O193">
            <v>-1.2970000000000002</v>
          </cell>
          <cell r="P193">
            <v>-2.1800000000000002</v>
          </cell>
          <cell r="Q193">
            <v>-2.9539999999999997</v>
          </cell>
          <cell r="R193">
            <v>-1.8039999999999998</v>
          </cell>
          <cell r="S193">
            <v>-3.5450000000000013</v>
          </cell>
          <cell r="T193">
            <v>-2.6689999999999996</v>
          </cell>
          <cell r="U193">
            <v>0.29299999999999993</v>
          </cell>
          <cell r="V193">
            <v>0.29199999999999976</v>
          </cell>
          <cell r="W193">
            <v>-0.67399999999999771</v>
          </cell>
          <cell r="X193">
            <v>-6.6929999999999996</v>
          </cell>
          <cell r="Y193">
            <v>7.3999999999999955E-2</v>
          </cell>
          <cell r="Z193">
            <v>0.15400000000000125</v>
          </cell>
          <cell r="AA193">
            <v>3.9280000000000008</v>
          </cell>
          <cell r="AB193">
            <v>-1.9780000000000004</v>
          </cell>
          <cell r="AC193">
            <v>1.123999999999999</v>
          </cell>
          <cell r="AD193">
            <v>17.734000000000005</v>
          </cell>
          <cell r="AE193">
            <v>-38.299000000000007</v>
          </cell>
          <cell r="AF193">
            <v>3.15919999999997</v>
          </cell>
          <cell r="AG193">
            <v>-1.1567780452453609</v>
          </cell>
          <cell r="AH193">
            <v>-1.7871623143071753</v>
          </cell>
          <cell r="AI193">
            <v>2.6038231957464788</v>
          </cell>
          <cell r="AK193">
            <v>-8.3560000000000016</v>
          </cell>
          <cell r="AL193">
            <v>-6.173</v>
          </cell>
          <cell r="AM193">
            <v>-10.483000000000004</v>
          </cell>
          <cell r="AN193">
            <v>-2.7579999999999978</v>
          </cell>
          <cell r="AO193">
            <v>-2.5370000000000026</v>
          </cell>
          <cell r="AP193">
            <v>-21.418999999999997</v>
          </cell>
          <cell r="AQ193">
            <v>2.8190828361939158</v>
          </cell>
          <cell r="AR193">
            <v>29.842664375178281</v>
          </cell>
          <cell r="AS193">
            <v>42.79058513386726</v>
          </cell>
          <cell r="AT193">
            <v>60.314646200090088</v>
          </cell>
          <cell r="AU193">
            <v>81.880331264101699</v>
          </cell>
          <cell r="AV193">
            <v>107.69051749430511</v>
          </cell>
          <cell r="AW193">
            <v>126.87099133605233</v>
          </cell>
        </row>
        <row r="195">
          <cell r="I195" t="str">
            <v>Investing Cash Flow:</v>
          </cell>
        </row>
        <row r="196">
          <cell r="I196" t="str">
            <v>Purchases of property and equipment</v>
          </cell>
          <cell r="L196">
            <v>-3.0000000000000001E-3</v>
          </cell>
          <cell r="M196">
            <v>-6.0000000000000001E-3</v>
          </cell>
          <cell r="N196">
            <v>-3.2000000000000001E-2</v>
          </cell>
          <cell r="O196">
            <v>-3.7999999999999999E-2</v>
          </cell>
          <cell r="P196">
            <v>-7.5999999999999998E-2</v>
          </cell>
          <cell r="Q196">
            <v>-7.6999999999999999E-2</v>
          </cell>
          <cell r="R196">
            <v>-9.8000000000000004E-2</v>
          </cell>
          <cell r="S196">
            <v>-0.38900000000000001</v>
          </cell>
          <cell r="T196">
            <v>-0.25900000000000001</v>
          </cell>
          <cell r="U196">
            <v>-0.67200000000000004</v>
          </cell>
          <cell r="V196">
            <v>-1.331</v>
          </cell>
          <cell r="W196">
            <v>-1.266</v>
          </cell>
          <cell r="X196">
            <v>-0.58799999999999997</v>
          </cell>
          <cell r="Y196">
            <v>-1.3340000000000001</v>
          </cell>
          <cell r="Z196">
            <v>-1.5579999999999998</v>
          </cell>
          <cell r="AA196">
            <v>-1.7799999999999998</v>
          </cell>
          <cell r="AB196">
            <v>-1.84</v>
          </cell>
          <cell r="AC196">
            <v>-0.93099999999999983</v>
          </cell>
          <cell r="AD196">
            <v>-1.3680000000000001</v>
          </cell>
          <cell r="AE196">
            <v>-0.94099999999999961</v>
          </cell>
          <cell r="AF196">
            <v>-4.3571999999999997</v>
          </cell>
          <cell r="AG196">
            <v>-4.5132599999999998</v>
          </cell>
          <cell r="AH196">
            <v>-5.6970539999999996</v>
          </cell>
          <cell r="AI196">
            <v>-5.4197550000000003</v>
          </cell>
          <cell r="AK196">
            <v>-0.36299999999999999</v>
          </cell>
          <cell r="AL196">
            <v>-7.9000000000000001E-2</v>
          </cell>
          <cell r="AM196">
            <v>-0.64</v>
          </cell>
          <cell r="AN196">
            <v>-3.528</v>
          </cell>
          <cell r="AO196">
            <v>-5.26</v>
          </cell>
          <cell r="AP196">
            <v>-5.08</v>
          </cell>
          <cell r="AQ196">
            <v>-19.987268999999998</v>
          </cell>
          <cell r="AR196">
            <v>-8.7175416000000006</v>
          </cell>
          <cell r="AS196">
            <v>-9.5151966564000006</v>
          </cell>
          <cell r="AT196">
            <v>-10.160172689217598</v>
          </cell>
          <cell r="AU196">
            <v>-10.614332408425623</v>
          </cell>
          <cell r="AV196">
            <v>-11.619817845541197</v>
          </cell>
          <cell r="AW196">
            <v>-12.992095093463922</v>
          </cell>
        </row>
        <row r="197">
          <cell r="I197" t="str">
            <v>Payments for acquisitions, net of cash acquired</v>
          </cell>
          <cell r="L197">
            <v>0</v>
          </cell>
          <cell r="M197">
            <v>0</v>
          </cell>
          <cell r="N197">
            <v>0</v>
          </cell>
          <cell r="O197">
            <v>0</v>
          </cell>
          <cell r="P197">
            <v>-7.1999999999999995E-2</v>
          </cell>
          <cell r="Q197">
            <v>0</v>
          </cell>
          <cell r="R197">
            <v>0</v>
          </cell>
          <cell r="S197">
            <v>0</v>
          </cell>
          <cell r="T197">
            <v>0</v>
          </cell>
          <cell r="U197">
            <v>-2.06</v>
          </cell>
          <cell r="V197">
            <v>0</v>
          </cell>
          <cell r="W197">
            <v>0</v>
          </cell>
          <cell r="X197">
            <v>0</v>
          </cell>
          <cell r="Y197">
            <v>0</v>
          </cell>
          <cell r="Z197">
            <v>0</v>
          </cell>
          <cell r="AA197">
            <v>0</v>
          </cell>
          <cell r="AB197">
            <v>0</v>
          </cell>
          <cell r="AC197">
            <v>-11.676</v>
          </cell>
          <cell r="AD197">
            <v>0</v>
          </cell>
          <cell r="AE197">
            <v>13.644</v>
          </cell>
          <cell r="AF197">
            <v>0</v>
          </cell>
          <cell r="AG197">
            <v>0</v>
          </cell>
          <cell r="AH197">
            <v>0</v>
          </cell>
          <cell r="AI197">
            <v>0</v>
          </cell>
          <cell r="AK197">
            <v>1.0999999999999999E-2</v>
          </cell>
          <cell r="AL197">
            <v>0</v>
          </cell>
          <cell r="AM197">
            <v>-7.1999999999999995E-2</v>
          </cell>
          <cell r="AN197">
            <v>-2.06</v>
          </cell>
          <cell r="AO197">
            <v>0</v>
          </cell>
          <cell r="AP197">
            <v>1.968</v>
          </cell>
          <cell r="AQ197">
            <v>0</v>
          </cell>
          <cell r="AR197">
            <v>0</v>
          </cell>
          <cell r="AS197">
            <v>0</v>
          </cell>
          <cell r="AT197">
            <v>0</v>
          </cell>
          <cell r="AU197">
            <v>0</v>
          </cell>
          <cell r="AV197">
            <v>0</v>
          </cell>
          <cell r="AW197">
            <v>0</v>
          </cell>
        </row>
        <row r="198">
          <cell r="I198" t="str">
            <v>Investing Cash Flow</v>
          </cell>
          <cell r="L198">
            <v>-3.0000000000000001E-3</v>
          </cell>
          <cell r="M198">
            <v>-6.0000000000000001E-3</v>
          </cell>
          <cell r="N198">
            <v>-3.2000000000000001E-2</v>
          </cell>
          <cell r="O198">
            <v>-3.7999999999999999E-2</v>
          </cell>
          <cell r="P198">
            <v>-0.14799999999999999</v>
          </cell>
          <cell r="Q198">
            <v>-7.6999999999999999E-2</v>
          </cell>
          <cell r="R198">
            <v>-9.8000000000000004E-2</v>
          </cell>
          <cell r="S198">
            <v>-0.38900000000000001</v>
          </cell>
          <cell r="T198">
            <v>-0.25900000000000001</v>
          </cell>
          <cell r="U198">
            <v>-2.7320000000000002</v>
          </cell>
          <cell r="V198">
            <v>-1.331</v>
          </cell>
          <cell r="W198">
            <v>-1.266</v>
          </cell>
          <cell r="X198">
            <v>-0.58799999999999997</v>
          </cell>
          <cell r="Y198">
            <v>-1.3340000000000001</v>
          </cell>
          <cell r="Z198">
            <v>-1.5579999999999998</v>
          </cell>
          <cell r="AA198">
            <v>-1.7799999999999998</v>
          </cell>
          <cell r="AB198">
            <v>-1.84</v>
          </cell>
          <cell r="AC198">
            <v>-12.606999999999999</v>
          </cell>
          <cell r="AD198">
            <v>-1.3680000000000001</v>
          </cell>
          <cell r="AE198">
            <v>12.703000000000001</v>
          </cell>
          <cell r="AF198">
            <v>-4.3571999999999997</v>
          </cell>
          <cell r="AG198">
            <v>-4.5132599999999998</v>
          </cell>
          <cell r="AH198">
            <v>-5.6970539999999996</v>
          </cell>
          <cell r="AI198">
            <v>-5.4197550000000003</v>
          </cell>
          <cell r="AK198">
            <v>-0.35199999999999998</v>
          </cell>
          <cell r="AL198">
            <v>-7.9000000000000001E-2</v>
          </cell>
          <cell r="AM198">
            <v>-0.71199999999999997</v>
          </cell>
          <cell r="AN198">
            <v>-5.5880000000000001</v>
          </cell>
          <cell r="AO198">
            <v>-5.26</v>
          </cell>
          <cell r="AP198">
            <v>-3.1120000000000001</v>
          </cell>
          <cell r="AQ198">
            <v>-19.987268999999998</v>
          </cell>
          <cell r="AR198">
            <v>-8.7175416000000006</v>
          </cell>
          <cell r="AS198">
            <v>-9.5151966564000006</v>
          </cell>
          <cell r="AT198">
            <v>-10.160172689217598</v>
          </cell>
          <cell r="AU198">
            <v>-10.614332408425623</v>
          </cell>
          <cell r="AV198">
            <v>-11.619817845541197</v>
          </cell>
          <cell r="AW198">
            <v>-12.992095093463922</v>
          </cell>
        </row>
        <row r="200">
          <cell r="I200" t="str">
            <v>Financing Cash Flow:</v>
          </cell>
        </row>
        <row r="201">
          <cell r="I201" t="str">
            <v>Proceeds from / (repayment of) long-term debt</v>
          </cell>
          <cell r="L201">
            <v>3.0000000000000001E-3</v>
          </cell>
          <cell r="M201">
            <v>-0.246</v>
          </cell>
          <cell r="N201">
            <v>-0.247</v>
          </cell>
          <cell r="O201">
            <v>-0.26</v>
          </cell>
          <cell r="P201">
            <v>-2.25</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-14.356</v>
          </cell>
          <cell r="AF201">
            <v>0</v>
          </cell>
          <cell r="AG201">
            <v>0</v>
          </cell>
          <cell r="AH201">
            <v>0</v>
          </cell>
          <cell r="AI201">
            <v>0</v>
          </cell>
          <cell r="AK201">
            <v>3</v>
          </cell>
          <cell r="AL201">
            <v>-0.75</v>
          </cell>
          <cell r="AM201">
            <v>-2.25</v>
          </cell>
          <cell r="AN201">
            <v>0</v>
          </cell>
          <cell r="AO201">
            <v>0</v>
          </cell>
          <cell r="AP201">
            <v>-14.356</v>
          </cell>
          <cell r="AQ201">
            <v>0</v>
          </cell>
          <cell r="AR201">
            <v>0</v>
          </cell>
          <cell r="AS201">
            <v>0</v>
          </cell>
          <cell r="AT201">
            <v>0</v>
          </cell>
          <cell r="AU201">
            <v>0</v>
          </cell>
          <cell r="AV201">
            <v>0</v>
          </cell>
          <cell r="AW201">
            <v>0</v>
          </cell>
        </row>
        <row r="202">
          <cell r="I202" t="str">
            <v>Proceeds from exercises of stock options</v>
          </cell>
          <cell r="L202">
            <v>5.0000000000000001E-3</v>
          </cell>
          <cell r="M202">
            <v>2.8000000000000001E-2</v>
          </cell>
          <cell r="N202">
            <v>1E-3</v>
          </cell>
          <cell r="O202">
            <v>1.9E-2</v>
          </cell>
          <cell r="P202">
            <v>6.2E-2</v>
          </cell>
          <cell r="Q202">
            <v>2.8000000000000001E-2</v>
          </cell>
          <cell r="R202">
            <v>1.2E-2</v>
          </cell>
          <cell r="S202">
            <v>2.5000000000000001E-2</v>
          </cell>
          <cell r="T202">
            <v>3.9E-2</v>
          </cell>
          <cell r="U202">
            <v>4.8000000000000001E-2</v>
          </cell>
          <cell r="V202">
            <v>3.5000000000000003E-2</v>
          </cell>
          <cell r="W202">
            <v>4.4000000000000004E-2</v>
          </cell>
          <cell r="X202">
            <v>-0.34499999999999997</v>
          </cell>
          <cell r="Y202">
            <v>0.57699999999999996</v>
          </cell>
          <cell r="Z202">
            <v>0.26700000000000002</v>
          </cell>
          <cell r="AA202">
            <v>-0.499</v>
          </cell>
          <cell r="AB202">
            <v>0.20200000000000001</v>
          </cell>
          <cell r="AC202">
            <v>0.75499999999999989</v>
          </cell>
          <cell r="AD202">
            <v>0.26900000000000007</v>
          </cell>
          <cell r="AE202">
            <v>0.23599999999999993</v>
          </cell>
          <cell r="AF202">
            <v>0</v>
          </cell>
          <cell r="AG202">
            <v>0</v>
          </cell>
          <cell r="AH202">
            <v>0</v>
          </cell>
          <cell r="AI202">
            <v>0</v>
          </cell>
          <cell r="AK202">
            <v>1.4999999999999999E-2</v>
          </cell>
          <cell r="AL202">
            <v>5.3000000000000005E-2</v>
          </cell>
          <cell r="AM202">
            <v>0.127</v>
          </cell>
          <cell r="AN202">
            <v>0.16600000000000001</v>
          </cell>
          <cell r="AO202">
            <v>0</v>
          </cell>
          <cell r="AP202">
            <v>1.462</v>
          </cell>
          <cell r="AQ202">
            <v>0</v>
          </cell>
          <cell r="AR202">
            <v>0</v>
          </cell>
          <cell r="AS202">
            <v>0</v>
          </cell>
          <cell r="AT202">
            <v>0</v>
          </cell>
          <cell r="AU202">
            <v>0</v>
          </cell>
          <cell r="AV202">
            <v>0</v>
          </cell>
          <cell r="AW202">
            <v>0</v>
          </cell>
        </row>
        <row r="203">
          <cell r="I203" t="str">
            <v>Repurchase of common stock</v>
          </cell>
          <cell r="L203">
            <v>0</v>
          </cell>
          <cell r="M203">
            <v>0</v>
          </cell>
          <cell r="N203">
            <v>0</v>
          </cell>
          <cell r="O203">
            <v>0</v>
          </cell>
          <cell r="P203">
            <v>0</v>
          </cell>
          <cell r="Q203">
            <v>0</v>
          </cell>
          <cell r="R203">
            <v>0</v>
          </cell>
          <cell r="S203">
            <v>-5.5049999999999999</v>
          </cell>
          <cell r="T203">
            <v>-0.82699999999999996</v>
          </cell>
          <cell r="U203">
            <v>0</v>
          </cell>
          <cell r="V203">
            <v>0</v>
          </cell>
          <cell r="W203">
            <v>0</v>
          </cell>
          <cell r="X203">
            <v>5.1999999999999998E-2</v>
          </cell>
          <cell r="Y203">
            <v>-5.1999999999999998E-2</v>
          </cell>
          <cell r="Z203">
            <v>0</v>
          </cell>
          <cell r="AA203">
            <v>0</v>
          </cell>
          <cell r="AB203">
            <v>0</v>
          </cell>
          <cell r="AC203">
            <v>0</v>
          </cell>
          <cell r="AD203">
            <v>0</v>
          </cell>
          <cell r="AE203">
            <v>0</v>
          </cell>
          <cell r="AF203">
            <v>0</v>
          </cell>
          <cell r="AG203">
            <v>0</v>
          </cell>
          <cell r="AH203">
            <v>0</v>
          </cell>
          <cell r="AI203">
            <v>0</v>
          </cell>
          <cell r="AK203">
            <v>0</v>
          </cell>
          <cell r="AL203">
            <v>0</v>
          </cell>
          <cell r="AM203">
            <v>-5.5049999999999999</v>
          </cell>
          <cell r="AN203">
            <v>-0.82699999999999996</v>
          </cell>
          <cell r="AO203">
            <v>0</v>
          </cell>
          <cell r="AP203">
            <v>0</v>
          </cell>
          <cell r="AQ203">
            <v>0</v>
          </cell>
          <cell r="AR203">
            <v>0</v>
          </cell>
          <cell r="AS203">
            <v>0</v>
          </cell>
          <cell r="AT203">
            <v>0</v>
          </cell>
          <cell r="AU203">
            <v>0</v>
          </cell>
          <cell r="AV203">
            <v>0</v>
          </cell>
          <cell r="AW203">
            <v>0</v>
          </cell>
        </row>
        <row r="204">
          <cell r="I204" t="str">
            <v>Proceeds from sale of common stock</v>
          </cell>
          <cell r="L204">
            <v>0</v>
          </cell>
          <cell r="M204">
            <v>0</v>
          </cell>
          <cell r="N204">
            <v>0</v>
          </cell>
          <cell r="O204">
            <v>0</v>
          </cell>
          <cell r="P204">
            <v>0</v>
          </cell>
          <cell r="Q204">
            <v>0</v>
          </cell>
          <cell r="R204">
            <v>0</v>
          </cell>
          <cell r="S204">
            <v>0</v>
          </cell>
          <cell r="T204">
            <v>0</v>
          </cell>
          <cell r="U204">
            <v>0</v>
          </cell>
          <cell r="V204">
            <v>0</v>
          </cell>
          <cell r="W204">
            <v>0</v>
          </cell>
          <cell r="X204">
            <v>119.36799999999999</v>
          </cell>
          <cell r="Y204">
            <v>-4.2890000000000015</v>
          </cell>
          <cell r="Z204">
            <v>1.0000000000005116E-2</v>
          </cell>
          <cell r="AA204">
            <v>11.941000000000003</v>
          </cell>
          <cell r="AB204">
            <v>0</v>
          </cell>
          <cell r="AC204">
            <v>0</v>
          </cell>
          <cell r="AD204">
            <v>0</v>
          </cell>
          <cell r="AE204">
            <v>0</v>
          </cell>
          <cell r="AF204">
            <v>0</v>
          </cell>
          <cell r="AG204">
            <v>0</v>
          </cell>
          <cell r="AH204">
            <v>0</v>
          </cell>
          <cell r="AI204">
            <v>0</v>
          </cell>
          <cell r="AK204">
            <v>0</v>
          </cell>
          <cell r="AL204">
            <v>0</v>
          </cell>
          <cell r="AM204">
            <v>0</v>
          </cell>
          <cell r="AN204">
            <v>0</v>
          </cell>
          <cell r="AO204">
            <v>127.03</v>
          </cell>
          <cell r="AP204">
            <v>0</v>
          </cell>
          <cell r="AQ204">
            <v>0</v>
          </cell>
          <cell r="AR204">
            <v>0</v>
          </cell>
          <cell r="AS204">
            <v>0</v>
          </cell>
          <cell r="AT204">
            <v>0</v>
          </cell>
          <cell r="AU204">
            <v>0</v>
          </cell>
          <cell r="AV204">
            <v>0</v>
          </cell>
          <cell r="AW204">
            <v>0</v>
          </cell>
        </row>
        <row r="205">
          <cell r="I205" t="str">
            <v>Other</v>
          </cell>
          <cell r="L205">
            <v>0</v>
          </cell>
          <cell r="M205">
            <v>0</v>
          </cell>
          <cell r="N205">
            <v>1E-3</v>
          </cell>
          <cell r="O205">
            <v>15.919</v>
          </cell>
          <cell r="P205">
            <v>0</v>
          </cell>
          <cell r="Q205">
            <v>1E-3</v>
          </cell>
          <cell r="R205">
            <v>-1E-3</v>
          </cell>
          <cell r="S205">
            <v>27.459</v>
          </cell>
          <cell r="T205">
            <v>0</v>
          </cell>
          <cell r="U205">
            <v>-4.4999999999999998E-2</v>
          </cell>
          <cell r="V205">
            <v>-0.621</v>
          </cell>
          <cell r="W205">
            <v>-1.3760000000000003</v>
          </cell>
          <cell r="X205">
            <v>0</v>
          </cell>
          <cell r="Y205">
            <v>0</v>
          </cell>
          <cell r="Z205">
            <v>0</v>
          </cell>
          <cell r="AA205">
            <v>1.496</v>
          </cell>
          <cell r="AB205">
            <v>-0.26100000000000001</v>
          </cell>
          <cell r="AC205">
            <v>-9.7999999999999976E-2</v>
          </cell>
          <cell r="AD205">
            <v>-5.4999999999999993E-2</v>
          </cell>
          <cell r="AE205">
            <v>-0.21999999999999997</v>
          </cell>
          <cell r="AF205">
            <v>0</v>
          </cell>
          <cell r="AG205">
            <v>0</v>
          </cell>
          <cell r="AH205">
            <v>0</v>
          </cell>
          <cell r="AI205">
            <v>0</v>
          </cell>
          <cell r="AK205">
            <v>-2.7E-2</v>
          </cell>
          <cell r="AL205">
            <v>15.92</v>
          </cell>
          <cell r="AM205">
            <v>27.459</v>
          </cell>
          <cell r="AN205">
            <v>-2.0420000000000003</v>
          </cell>
          <cell r="AO205">
            <v>1.496</v>
          </cell>
          <cell r="AP205">
            <v>-0.6339999999999999</v>
          </cell>
          <cell r="AQ205">
            <v>0</v>
          </cell>
          <cell r="AR205">
            <v>0</v>
          </cell>
          <cell r="AS205">
            <v>0</v>
          </cell>
          <cell r="AT205">
            <v>0</v>
          </cell>
          <cell r="AU205">
            <v>0</v>
          </cell>
          <cell r="AV205">
            <v>0</v>
          </cell>
          <cell r="AW205">
            <v>0</v>
          </cell>
        </row>
        <row r="206">
          <cell r="I206" t="str">
            <v>Financing Cash Flow</v>
          </cell>
          <cell r="L206">
            <v>8.0000000000000002E-3</v>
          </cell>
          <cell r="M206">
            <v>-0.218</v>
          </cell>
          <cell r="N206">
            <v>-0.245</v>
          </cell>
          <cell r="O206">
            <v>15.678000000000001</v>
          </cell>
          <cell r="P206">
            <v>-2.1880000000000002</v>
          </cell>
          <cell r="Q206">
            <v>2.9000000000000001E-2</v>
          </cell>
          <cell r="R206">
            <v>1.0999999999999999E-2</v>
          </cell>
          <cell r="S206">
            <v>21.978999999999999</v>
          </cell>
          <cell r="T206">
            <v>-0.78799999999999992</v>
          </cell>
          <cell r="U206">
            <v>3.0000000000000027E-3</v>
          </cell>
          <cell r="V206">
            <v>-0.58599999999999997</v>
          </cell>
          <cell r="W206">
            <v>-1.3320000000000003</v>
          </cell>
          <cell r="X206">
            <v>119.07499999999999</v>
          </cell>
          <cell r="Y206">
            <v>-3.7640000000000016</v>
          </cell>
          <cell r="Z206">
            <v>0.27700000000000513</v>
          </cell>
          <cell r="AA206">
            <v>12.938000000000002</v>
          </cell>
          <cell r="AB206">
            <v>-5.8999999999999997E-2</v>
          </cell>
          <cell r="AC206">
            <v>0.65699999999999992</v>
          </cell>
          <cell r="AD206">
            <v>0.21400000000000008</v>
          </cell>
          <cell r="AE206">
            <v>-14.34</v>
          </cell>
          <cell r="AF206">
            <v>0</v>
          </cell>
          <cell r="AG206">
            <v>0</v>
          </cell>
          <cell r="AH206">
            <v>0</v>
          </cell>
          <cell r="AI206">
            <v>0</v>
          </cell>
          <cell r="AK206">
            <v>2.988</v>
          </cell>
          <cell r="AL206">
            <v>15.223000000000001</v>
          </cell>
          <cell r="AM206">
            <v>19.831</v>
          </cell>
          <cell r="AN206">
            <v>-2.7030000000000003</v>
          </cell>
          <cell r="AO206">
            <v>128.52600000000001</v>
          </cell>
          <cell r="AP206">
            <v>-13.528</v>
          </cell>
          <cell r="AQ206">
            <v>0</v>
          </cell>
          <cell r="AR206">
            <v>0</v>
          </cell>
          <cell r="AS206">
            <v>0</v>
          </cell>
          <cell r="AT206">
            <v>0</v>
          </cell>
          <cell r="AU206">
            <v>0</v>
          </cell>
          <cell r="AV206">
            <v>0</v>
          </cell>
          <cell r="AW206">
            <v>0</v>
          </cell>
        </row>
        <row r="208">
          <cell r="I208" t="str">
            <v>Effects of FX</v>
          </cell>
          <cell r="L208">
            <v>0</v>
          </cell>
          <cell r="M208">
            <v>0</v>
          </cell>
          <cell r="N208">
            <v>0</v>
          </cell>
          <cell r="O208">
            <v>0</v>
          </cell>
          <cell r="P208">
            <v>0</v>
          </cell>
          <cell r="Q208">
            <v>5.0000000000000001E-3</v>
          </cell>
          <cell r="R208">
            <v>2E-3</v>
          </cell>
          <cell r="S208">
            <v>-1.0999999999999999E-2</v>
          </cell>
          <cell r="T208">
            <v>-2.1000000000000001E-2</v>
          </cell>
          <cell r="U208">
            <v>2.7E-2</v>
          </cell>
          <cell r="V208">
            <v>-1.7000000000000001E-2</v>
          </cell>
          <cell r="W208">
            <v>-3.599999999999999E-2</v>
          </cell>
          <cell r="X208">
            <v>5.0000000000000001E-3</v>
          </cell>
          <cell r="Y208">
            <v>-0.01</v>
          </cell>
          <cell r="Z208">
            <v>5.9000000000000004E-2</v>
          </cell>
          <cell r="AA208">
            <v>-5.0999999999999997E-2</v>
          </cell>
          <cell r="AB208">
            <v>-6.6000000000000003E-2</v>
          </cell>
          <cell r="AC208">
            <v>-3.5000000000000003E-2</v>
          </cell>
          <cell r="AD208">
            <v>-1.6E-2</v>
          </cell>
          <cell r="AE208">
            <v>-2.5999999999999995E-2</v>
          </cell>
          <cell r="AF208">
            <v>0</v>
          </cell>
          <cell r="AG208">
            <v>0</v>
          </cell>
          <cell r="AH208">
            <v>0</v>
          </cell>
          <cell r="AI208">
            <v>0</v>
          </cell>
          <cell r="AK208">
            <v>0</v>
          </cell>
          <cell r="AL208">
            <v>0</v>
          </cell>
          <cell r="AM208">
            <v>-3.9999999999999992E-3</v>
          </cell>
          <cell r="AN208">
            <v>-4.6999999999999993E-2</v>
          </cell>
          <cell r="AO208">
            <v>3.0000000000000096E-3</v>
          </cell>
          <cell r="AP208">
            <v>-0.14300000000000002</v>
          </cell>
          <cell r="AQ208">
            <v>0</v>
          </cell>
          <cell r="AR208">
            <v>0</v>
          </cell>
          <cell r="AS208">
            <v>0</v>
          </cell>
          <cell r="AT208">
            <v>0</v>
          </cell>
          <cell r="AU208">
            <v>0</v>
          </cell>
          <cell r="AV208">
            <v>0</v>
          </cell>
          <cell r="AW208">
            <v>0</v>
          </cell>
        </row>
        <row r="210">
          <cell r="I210" t="str">
            <v>Beginning Cash</v>
          </cell>
          <cell r="L210">
            <v>10.199999999999998</v>
          </cell>
          <cell r="M210">
            <v>8.1489999999999974</v>
          </cell>
          <cell r="N210">
            <v>6.4799999999999969</v>
          </cell>
          <cell r="O210">
            <v>4.8279999999999967</v>
          </cell>
          <cell r="P210">
            <v>19.170999999999996</v>
          </cell>
          <cell r="Q210">
            <v>14.654999999999996</v>
          </cell>
          <cell r="R210">
            <v>11.657999999999996</v>
          </cell>
          <cell r="S210">
            <v>9.7689999999999966</v>
          </cell>
          <cell r="T210">
            <v>27.802999999999997</v>
          </cell>
          <cell r="U210">
            <v>24.065999999999999</v>
          </cell>
          <cell r="V210">
            <v>21.657</v>
          </cell>
          <cell r="W210">
            <v>20.015000000000001</v>
          </cell>
          <cell r="X210">
            <v>16.707000000000001</v>
          </cell>
          <cell r="Y210">
            <v>128.50599999999997</v>
          </cell>
          <cell r="Z210">
            <v>123.47199999999997</v>
          </cell>
          <cell r="AA210">
            <v>122.40399999999997</v>
          </cell>
          <cell r="AB210">
            <v>137.43899999999996</v>
          </cell>
          <cell r="AC210">
            <v>133.49599999999995</v>
          </cell>
          <cell r="AD210">
            <v>122.63499999999995</v>
          </cell>
          <cell r="AE210">
            <v>139.19899999999996</v>
          </cell>
          <cell r="AF210">
            <v>99.236999999999938</v>
          </cell>
          <cell r="AG210">
            <v>98.038999999999902</v>
          </cell>
          <cell r="AH210">
            <v>92.368961954754539</v>
          </cell>
          <cell r="AI210">
            <v>84.884745640447363</v>
          </cell>
          <cell r="AK210">
            <v>15.92</v>
          </cell>
          <cell r="AL210">
            <v>10.199999999999998</v>
          </cell>
          <cell r="AM210">
            <v>19.170999999999999</v>
          </cell>
          <cell r="AN210">
            <v>27.802999999999997</v>
          </cell>
          <cell r="AO210">
            <v>16.706999999999997</v>
          </cell>
          <cell r="AP210">
            <v>137.43900000000002</v>
          </cell>
          <cell r="AQ210">
            <v>99.237000000000023</v>
          </cell>
          <cell r="AR210">
            <v>82.068813836193939</v>
          </cell>
          <cell r="AS210">
            <v>103.19393661137222</v>
          </cell>
          <cell r="AT210">
            <v>136.46932508883947</v>
          </cell>
          <cell r="AU210">
            <v>186.62379859971196</v>
          </cell>
          <cell r="AV210">
            <v>257.88979745538802</v>
          </cell>
          <cell r="AW210">
            <v>353.96049710415195</v>
          </cell>
        </row>
        <row r="211">
          <cell r="I211" t="str">
            <v>(+/-) Net Changes in Cash</v>
          </cell>
          <cell r="L211">
            <v>-2.0510000000000002</v>
          </cell>
          <cell r="M211">
            <v>-1.669</v>
          </cell>
          <cell r="N211">
            <v>-1.6520000000000001</v>
          </cell>
          <cell r="O211">
            <v>14.343</v>
          </cell>
          <cell r="P211">
            <v>-4.516</v>
          </cell>
          <cell r="Q211">
            <v>-2.9969999999999999</v>
          </cell>
          <cell r="R211">
            <v>-1.889</v>
          </cell>
          <cell r="S211">
            <v>18.033999999999999</v>
          </cell>
          <cell r="T211">
            <v>-3.7369999999999992</v>
          </cell>
          <cell r="U211">
            <v>-2.4089999999999998</v>
          </cell>
          <cell r="V211">
            <v>-1.6419999999999999</v>
          </cell>
          <cell r="W211">
            <v>-3.3079999999999981</v>
          </cell>
          <cell r="X211">
            <v>111.79899999999998</v>
          </cell>
          <cell r="Y211">
            <v>-5.0340000000000016</v>
          </cell>
          <cell r="Z211">
            <v>-1.0679999999999936</v>
          </cell>
          <cell r="AA211">
            <v>15.035000000000004</v>
          </cell>
          <cell r="AB211">
            <v>-3.9430000000000005</v>
          </cell>
          <cell r="AC211">
            <v>-10.861000000000001</v>
          </cell>
          <cell r="AD211">
            <v>16.564000000000007</v>
          </cell>
          <cell r="AE211">
            <v>-39.96200000000001</v>
          </cell>
          <cell r="AF211">
            <v>-1.1980000000000297</v>
          </cell>
          <cell r="AG211">
            <v>-5.6700380452453611</v>
          </cell>
          <cell r="AH211">
            <v>-7.4842163143071749</v>
          </cell>
          <cell r="AI211">
            <v>-2.8159318042535215</v>
          </cell>
          <cell r="AK211">
            <v>-5.7200000000000024</v>
          </cell>
          <cell r="AL211">
            <v>8.9710000000000001</v>
          </cell>
          <cell r="AM211">
            <v>8.6319999999999961</v>
          </cell>
          <cell r="AN211">
            <v>-11.096</v>
          </cell>
          <cell r="AO211">
            <v>120.73200000000001</v>
          </cell>
          <cell r="AP211">
            <v>-38.201999999999998</v>
          </cell>
          <cell r="AQ211">
            <v>-17.168186163806084</v>
          </cell>
          <cell r="AR211">
            <v>21.12512277517828</v>
          </cell>
          <cell r="AS211">
            <v>33.27538847746726</v>
          </cell>
          <cell r="AT211">
            <v>50.154473510872492</v>
          </cell>
          <cell r="AU211">
            <v>71.265998855676074</v>
          </cell>
          <cell r="AV211">
            <v>96.07069964876392</v>
          </cell>
          <cell r="AW211">
            <v>113.87889624258841</v>
          </cell>
        </row>
        <row r="212">
          <cell r="I212" t="str">
            <v>Ending Cash</v>
          </cell>
          <cell r="L212">
            <v>8.1489999999999974</v>
          </cell>
          <cell r="M212">
            <v>6.4799999999999969</v>
          </cell>
          <cell r="N212">
            <v>4.8279999999999967</v>
          </cell>
          <cell r="O212">
            <v>19.170999999999996</v>
          </cell>
          <cell r="P212">
            <v>14.654999999999996</v>
          </cell>
          <cell r="Q212">
            <v>11.657999999999996</v>
          </cell>
          <cell r="R212">
            <v>9.7689999999999966</v>
          </cell>
          <cell r="S212">
            <v>27.802999999999997</v>
          </cell>
          <cell r="T212">
            <v>24.065999999999999</v>
          </cell>
          <cell r="U212">
            <v>21.657</v>
          </cell>
          <cell r="V212">
            <v>20.015000000000001</v>
          </cell>
          <cell r="W212">
            <v>16.707000000000001</v>
          </cell>
          <cell r="X212">
            <v>128.50599999999997</v>
          </cell>
          <cell r="Y212">
            <v>123.47199999999997</v>
          </cell>
          <cell r="Z212">
            <v>122.40399999999997</v>
          </cell>
          <cell r="AA212">
            <v>137.43899999999996</v>
          </cell>
          <cell r="AB212">
            <v>133.49599999999995</v>
          </cell>
          <cell r="AC212">
            <v>122.63499999999995</v>
          </cell>
          <cell r="AD212">
            <v>139.19899999999996</v>
          </cell>
          <cell r="AE212">
            <v>99.236999999999938</v>
          </cell>
          <cell r="AF212">
            <v>98.038999999999902</v>
          </cell>
          <cell r="AG212">
            <v>92.368961954754539</v>
          </cell>
          <cell r="AH212">
            <v>84.884745640447363</v>
          </cell>
          <cell r="AI212">
            <v>82.06881383619384</v>
          </cell>
          <cell r="AK212">
            <v>10.199999999999998</v>
          </cell>
          <cell r="AL212">
            <v>19.170999999999999</v>
          </cell>
          <cell r="AM212">
            <v>27.802999999999997</v>
          </cell>
          <cell r="AN212">
            <v>16.706999999999997</v>
          </cell>
          <cell r="AO212">
            <v>137.43900000000002</v>
          </cell>
          <cell r="AP212">
            <v>99.237000000000023</v>
          </cell>
          <cell r="AQ212">
            <v>82.068813836193939</v>
          </cell>
          <cell r="AR212">
            <v>103.19393661137222</v>
          </cell>
          <cell r="AS212">
            <v>136.46932508883947</v>
          </cell>
          <cell r="AT212">
            <v>186.62379859971196</v>
          </cell>
          <cell r="AU212">
            <v>257.88979745538802</v>
          </cell>
          <cell r="AV212">
            <v>353.96049710415195</v>
          </cell>
          <cell r="AW212">
            <v>467.83939334674039</v>
          </cell>
        </row>
        <row r="213">
          <cell r="I213" t="str">
            <v>Check</v>
          </cell>
          <cell r="L213" t="str">
            <v>OK</v>
          </cell>
          <cell r="M213" t="str">
            <v>OK</v>
          </cell>
          <cell r="N213" t="str">
            <v>OK</v>
          </cell>
          <cell r="O213" t="str">
            <v>OK</v>
          </cell>
          <cell r="P213" t="str">
            <v>OK</v>
          </cell>
          <cell r="Q213" t="str">
            <v>OK</v>
          </cell>
          <cell r="R213" t="str">
            <v>OK</v>
          </cell>
          <cell r="S213" t="str">
            <v>OK</v>
          </cell>
          <cell r="T213" t="str">
            <v>OK</v>
          </cell>
          <cell r="U213" t="str">
            <v>OK</v>
          </cell>
          <cell r="V213" t="str">
            <v>OK</v>
          </cell>
          <cell r="W213" t="str">
            <v>OK</v>
          </cell>
          <cell r="X213" t="str">
            <v>OK</v>
          </cell>
          <cell r="Y213" t="str">
            <v>OK</v>
          </cell>
          <cell r="Z213" t="str">
            <v>OK</v>
          </cell>
          <cell r="AA213" t="str">
            <v>OK</v>
          </cell>
          <cell r="AB213" t="str">
            <v>OK</v>
          </cell>
          <cell r="AC213" t="str">
            <v>OK</v>
          </cell>
          <cell r="AD213" t="str">
            <v>OK</v>
          </cell>
          <cell r="AE213" t="str">
            <v>OK</v>
          </cell>
          <cell r="AF213" t="str">
            <v>OK</v>
          </cell>
          <cell r="AG213" t="str">
            <v>OK</v>
          </cell>
          <cell r="AH213" t="str">
            <v>OK</v>
          </cell>
          <cell r="AI213" t="str">
            <v>OK</v>
          </cell>
          <cell r="AK213" t="str">
            <v>OK</v>
          </cell>
          <cell r="AL213" t="str">
            <v>OK</v>
          </cell>
          <cell r="AM213" t="str">
            <v>OK</v>
          </cell>
          <cell r="AN213" t="str">
            <v>OK</v>
          </cell>
          <cell r="AO213" t="str">
            <v>OK</v>
          </cell>
          <cell r="AP213" t="str">
            <v>OK</v>
          </cell>
          <cell r="AQ213" t="str">
            <v>OK</v>
          </cell>
          <cell r="AR213" t="str">
            <v>OK</v>
          </cell>
          <cell r="AS213" t="str">
            <v>OK</v>
          </cell>
          <cell r="AT213" t="str">
            <v>OK</v>
          </cell>
          <cell r="AU213" t="str">
            <v>OK</v>
          </cell>
          <cell r="AV213" t="str">
            <v>OK</v>
          </cell>
          <cell r="AW213" t="str">
            <v>OK</v>
          </cell>
        </row>
        <row r="216">
          <cell r="I216" t="str">
            <v>Free cash flow analysis</v>
          </cell>
        </row>
        <row r="217">
          <cell r="I217" t="str">
            <v>Cash from operations</v>
          </cell>
          <cell r="L217">
            <v>-2.056</v>
          </cell>
          <cell r="M217">
            <v>-1.4450000000000001</v>
          </cell>
          <cell r="N217">
            <v>-1.375</v>
          </cell>
          <cell r="O217">
            <v>-1.2970000000000002</v>
          </cell>
          <cell r="P217">
            <v>-2.1800000000000002</v>
          </cell>
          <cell r="Q217">
            <v>-2.9539999999999997</v>
          </cell>
          <cell r="R217">
            <v>-1.8039999999999998</v>
          </cell>
          <cell r="S217">
            <v>-3.5450000000000013</v>
          </cell>
          <cell r="T217">
            <v>-2.6689999999999996</v>
          </cell>
          <cell r="U217">
            <v>0.29299999999999993</v>
          </cell>
          <cell r="V217">
            <v>0.29199999999999976</v>
          </cell>
          <cell r="W217">
            <v>-0.67399999999999771</v>
          </cell>
          <cell r="X217">
            <v>-6.6929999999999996</v>
          </cell>
          <cell r="Y217">
            <v>7.3999999999999955E-2</v>
          </cell>
          <cell r="Z217">
            <v>0.15400000000000125</v>
          </cell>
          <cell r="AA217">
            <v>3.9280000000000008</v>
          </cell>
          <cell r="AB217">
            <v>-1.9780000000000004</v>
          </cell>
          <cell r="AC217">
            <v>1.123999999999999</v>
          </cell>
          <cell r="AD217">
            <v>17.734000000000005</v>
          </cell>
          <cell r="AE217">
            <v>-38.299000000000007</v>
          </cell>
          <cell r="AF217">
            <v>3.15919999999997</v>
          </cell>
          <cell r="AG217">
            <v>-1.1567780452453609</v>
          </cell>
          <cell r="AH217">
            <v>-1.7871623143071753</v>
          </cell>
          <cell r="AI217">
            <v>2.6038231957464788</v>
          </cell>
          <cell r="AK217">
            <v>-8.3560000000000016</v>
          </cell>
          <cell r="AL217">
            <v>-6.173</v>
          </cell>
          <cell r="AM217">
            <v>-10.483000000000004</v>
          </cell>
          <cell r="AN217">
            <v>-2.7579999999999978</v>
          </cell>
          <cell r="AO217">
            <v>-2.5370000000000026</v>
          </cell>
          <cell r="AP217">
            <v>-21.418999999999997</v>
          </cell>
          <cell r="AQ217">
            <v>2.8190828361939158</v>
          </cell>
          <cell r="AR217">
            <v>29.842664375178281</v>
          </cell>
          <cell r="AS217">
            <v>42.79058513386726</v>
          </cell>
          <cell r="AT217">
            <v>60.314646200090088</v>
          </cell>
          <cell r="AU217">
            <v>81.880331264101699</v>
          </cell>
          <cell r="AV217">
            <v>107.69051749430511</v>
          </cell>
          <cell r="AW217">
            <v>126.87099133605233</v>
          </cell>
        </row>
        <row r="218">
          <cell r="I218" t="str">
            <v>(-) Capex</v>
          </cell>
          <cell r="L218">
            <v>-3.0000000000000001E-3</v>
          </cell>
          <cell r="M218">
            <v>-6.0000000000000001E-3</v>
          </cell>
          <cell r="N218">
            <v>-3.2000000000000001E-2</v>
          </cell>
          <cell r="O218">
            <v>-3.7999999999999999E-2</v>
          </cell>
          <cell r="P218">
            <v>-7.5999999999999998E-2</v>
          </cell>
          <cell r="Q218">
            <v>-7.6999999999999999E-2</v>
          </cell>
          <cell r="R218">
            <v>-9.8000000000000004E-2</v>
          </cell>
          <cell r="S218">
            <v>-0.38900000000000001</v>
          </cell>
          <cell r="T218">
            <v>-0.25900000000000001</v>
          </cell>
          <cell r="U218">
            <v>-0.67200000000000004</v>
          </cell>
          <cell r="V218">
            <v>-1.331</v>
          </cell>
          <cell r="W218">
            <v>-1.266</v>
          </cell>
          <cell r="X218">
            <v>-0.58799999999999997</v>
          </cell>
          <cell r="Y218">
            <v>-1.3340000000000001</v>
          </cell>
          <cell r="Z218">
            <v>-1.5579999999999998</v>
          </cell>
          <cell r="AA218">
            <v>-1.7799999999999998</v>
          </cell>
          <cell r="AB218">
            <v>-1.84</v>
          </cell>
          <cell r="AC218">
            <v>-0.93099999999999983</v>
          </cell>
          <cell r="AD218">
            <v>-1.3680000000000001</v>
          </cell>
          <cell r="AE218">
            <v>-0.94099999999999961</v>
          </cell>
          <cell r="AF218">
            <v>-4.3571999999999997</v>
          </cell>
          <cell r="AG218">
            <v>-4.5132599999999998</v>
          </cell>
          <cell r="AH218">
            <v>-5.6970539999999996</v>
          </cell>
          <cell r="AI218">
            <v>-5.4197550000000003</v>
          </cell>
          <cell r="AK218">
            <v>-0.36299999999999999</v>
          </cell>
          <cell r="AL218">
            <v>-7.9000000000000001E-2</v>
          </cell>
          <cell r="AM218">
            <v>-0.64</v>
          </cell>
          <cell r="AN218">
            <v>-3.528</v>
          </cell>
          <cell r="AO218">
            <v>-5.26</v>
          </cell>
          <cell r="AP218">
            <v>-5.08</v>
          </cell>
          <cell r="AQ218">
            <v>-19.987268999999998</v>
          </cell>
          <cell r="AR218">
            <v>-8.7175416000000006</v>
          </cell>
          <cell r="AS218">
            <v>-9.5151966564000006</v>
          </cell>
          <cell r="AT218">
            <v>-10.160172689217598</v>
          </cell>
          <cell r="AU218">
            <v>-10.614332408425623</v>
          </cell>
          <cell r="AV218">
            <v>-11.619817845541197</v>
          </cell>
          <cell r="AW218">
            <v>-12.992095093463922</v>
          </cell>
        </row>
        <row r="219">
          <cell r="I219" t="str">
            <v>Free cash flow</v>
          </cell>
          <cell r="L219">
            <v>-2.0590000000000002</v>
          </cell>
          <cell r="M219">
            <v>-1.4510000000000001</v>
          </cell>
          <cell r="N219">
            <v>-1.407</v>
          </cell>
          <cell r="O219">
            <v>-1.3350000000000002</v>
          </cell>
          <cell r="P219">
            <v>-2.2560000000000002</v>
          </cell>
          <cell r="Q219">
            <v>-3.0309999999999997</v>
          </cell>
          <cell r="R219">
            <v>-1.9019999999999999</v>
          </cell>
          <cell r="S219">
            <v>-3.9340000000000011</v>
          </cell>
          <cell r="T219">
            <v>-2.9279999999999995</v>
          </cell>
          <cell r="U219">
            <v>-0.37900000000000011</v>
          </cell>
          <cell r="V219">
            <v>-1.0390000000000001</v>
          </cell>
          <cell r="W219">
            <v>-1.9399999999999977</v>
          </cell>
          <cell r="X219">
            <v>-7.2809999999999997</v>
          </cell>
          <cell r="Y219">
            <v>-1.2600000000000002</v>
          </cell>
          <cell r="Z219">
            <v>-1.4039999999999986</v>
          </cell>
          <cell r="AA219">
            <v>2.148000000000001</v>
          </cell>
          <cell r="AB219">
            <v>-3.8180000000000005</v>
          </cell>
          <cell r="AC219">
            <v>0.19299999999999917</v>
          </cell>
          <cell r="AD219">
            <v>16.366000000000007</v>
          </cell>
          <cell r="AE219">
            <v>-39.240000000000009</v>
          </cell>
          <cell r="AF219">
            <v>-1.1980000000000297</v>
          </cell>
          <cell r="AG219">
            <v>-5.6700380452453611</v>
          </cell>
          <cell r="AH219">
            <v>-7.4842163143071749</v>
          </cell>
          <cell r="AI219">
            <v>-2.8159318042535215</v>
          </cell>
          <cell r="AK219">
            <v>-8.7190000000000012</v>
          </cell>
          <cell r="AL219">
            <v>-6.2519999999999998</v>
          </cell>
          <cell r="AM219">
            <v>-11.123000000000005</v>
          </cell>
          <cell r="AN219">
            <v>-6.2859999999999978</v>
          </cell>
          <cell r="AO219">
            <v>-7.7970000000000024</v>
          </cell>
          <cell r="AP219">
            <v>-26.498999999999995</v>
          </cell>
          <cell r="AQ219">
            <v>-17.168186163806084</v>
          </cell>
          <cell r="AR219">
            <v>21.12512277517828</v>
          </cell>
          <cell r="AS219">
            <v>33.27538847746726</v>
          </cell>
          <cell r="AT219">
            <v>50.154473510872492</v>
          </cell>
          <cell r="AU219">
            <v>71.265998855676074</v>
          </cell>
          <cell r="AV219">
            <v>96.07069964876392</v>
          </cell>
          <cell r="AW219">
            <v>113.87889624258841</v>
          </cell>
        </row>
        <row r="220">
          <cell r="I220" t="str">
            <v>% change Y/Y</v>
          </cell>
          <cell r="L220" t="str">
            <v>NA</v>
          </cell>
          <cell r="M220" t="str">
            <v>NA</v>
          </cell>
          <cell r="N220" t="str">
            <v>NA</v>
          </cell>
          <cell r="O220" t="str">
            <v>NA</v>
          </cell>
          <cell r="P220" t="str">
            <v>NM</v>
          </cell>
          <cell r="Q220" t="str">
            <v>NM</v>
          </cell>
          <cell r="R220" t="str">
            <v>NM</v>
          </cell>
          <cell r="S220" t="str">
            <v>NM</v>
          </cell>
          <cell r="T220" t="str">
            <v>NM</v>
          </cell>
          <cell r="U220" t="str">
            <v>NM</v>
          </cell>
          <cell r="V220" t="str">
            <v>NM</v>
          </cell>
          <cell r="W220" t="str">
            <v>NM</v>
          </cell>
          <cell r="X220" t="str">
            <v>NM</v>
          </cell>
          <cell r="Y220" t="str">
            <v>NM</v>
          </cell>
          <cell r="Z220" t="str">
            <v>NM</v>
          </cell>
          <cell r="AA220">
            <v>-2.1072164948453627</v>
          </cell>
          <cell r="AB220" t="str">
            <v>NM</v>
          </cell>
          <cell r="AC220">
            <v>-1.1531746031746024</v>
          </cell>
          <cell r="AD220">
            <v>-12.656695156695173</v>
          </cell>
          <cell r="AE220" t="str">
            <v>NM</v>
          </cell>
          <cell r="AF220" t="str">
            <v>NM</v>
          </cell>
          <cell r="AG220" t="str">
            <v>NM</v>
          </cell>
          <cell r="AH220" t="str">
            <v>NM</v>
          </cell>
          <cell r="AI220" t="str">
            <v>NM</v>
          </cell>
          <cell r="AK220" t="str">
            <v>NA</v>
          </cell>
          <cell r="AL220" t="str">
            <v>NM</v>
          </cell>
          <cell r="AM220" t="str">
            <v>NM</v>
          </cell>
          <cell r="AN220" t="str">
            <v>NM</v>
          </cell>
          <cell r="AO220" t="str">
            <v>NM</v>
          </cell>
          <cell r="AP220" t="str">
            <v>NM</v>
          </cell>
          <cell r="AQ220" t="str">
            <v>NM</v>
          </cell>
          <cell r="AR220">
            <v>-2.2304807609620516</v>
          </cell>
          <cell r="AS220">
            <v>0.57515716389423166</v>
          </cell>
          <cell r="AT220">
            <v>0.50725433438095124</v>
          </cell>
          <cell r="AU220">
            <v>0.42093005602435496</v>
          </cell>
          <cell r="AV220">
            <v>0.34805799667974835</v>
          </cell>
          <cell r="AW220">
            <v>0.18536553453791371</v>
          </cell>
        </row>
        <row r="222">
          <cell r="I222" t="str">
            <v>EBITDA</v>
          </cell>
          <cell r="L222">
            <v>-2.0239999999999996</v>
          </cell>
          <cell r="M222">
            <v>-1.6820000000000002</v>
          </cell>
          <cell r="N222">
            <v>-1.5860000000000005</v>
          </cell>
          <cell r="O222">
            <v>-1.7559999999999993</v>
          </cell>
          <cell r="P222">
            <v>-1.7030000000000001</v>
          </cell>
          <cell r="Q222">
            <v>-2.043000000000001</v>
          </cell>
          <cell r="R222">
            <v>-1.1820000000000002</v>
          </cell>
          <cell r="S222">
            <v>-1.4290000000000014</v>
          </cell>
          <cell r="T222">
            <v>0.16699999999999823</v>
          </cell>
          <cell r="U222">
            <v>-9.9000000000002086E-2</v>
          </cell>
          <cell r="V222">
            <v>0.6190000000000011</v>
          </cell>
          <cell r="W222">
            <v>1.2049999999999998</v>
          </cell>
          <cell r="X222">
            <v>-4.8999999999999995</v>
          </cell>
          <cell r="Y222">
            <v>-3.6100000000000003</v>
          </cell>
          <cell r="Z222">
            <v>-0.54500000000000082</v>
          </cell>
          <cell r="AA222">
            <v>2.1899999999999964</v>
          </cell>
          <cell r="AB222">
            <v>-4.7999999999999945</v>
          </cell>
          <cell r="AC222">
            <v>-0.40000000000000724</v>
          </cell>
          <cell r="AD222">
            <v>0.80900000000000727</v>
          </cell>
          <cell r="AE222">
            <v>7.58</v>
          </cell>
          <cell r="AF222">
            <v>-4.6599999999999966</v>
          </cell>
          <cell r="AG222">
            <v>-2.9698899999999995</v>
          </cell>
          <cell r="AH222">
            <v>5.2242634999999993</v>
          </cell>
          <cell r="AI222">
            <v>11.026339999999998</v>
          </cell>
          <cell r="AK222">
            <v>-8.2840000000000007</v>
          </cell>
          <cell r="AL222">
            <v>-7.048</v>
          </cell>
          <cell r="AM222">
            <v>-6.3570000000000011</v>
          </cell>
          <cell r="AN222">
            <v>1.8920000000000079</v>
          </cell>
          <cell r="AO222">
            <v>-6.6749999999999758</v>
          </cell>
          <cell r="AP222">
            <v>3.5189999999999912</v>
          </cell>
          <cell r="AQ222">
            <v>8.6207135000000079</v>
          </cell>
          <cell r="AR222">
            <v>36.152624800000012</v>
          </cell>
          <cell r="AS222">
            <v>55.904394680199999</v>
          </cell>
          <cell r="AT222">
            <v>80.822380216016811</v>
          </cell>
          <cell r="AU222">
            <v>111.17855569967007</v>
          </cell>
          <cell r="AV222">
            <v>147.5011778389042</v>
          </cell>
          <cell r="AW222">
            <v>172.40118866829897</v>
          </cell>
        </row>
        <row r="223">
          <cell r="I223" t="str">
            <v>% change Y/Y</v>
          </cell>
          <cell r="L223" t="str">
            <v>NA</v>
          </cell>
          <cell r="M223" t="str">
            <v>NA</v>
          </cell>
          <cell r="N223" t="str">
            <v>NA</v>
          </cell>
          <cell r="O223" t="str">
            <v>NA</v>
          </cell>
          <cell r="P223" t="str">
            <v>NM</v>
          </cell>
          <cell r="Q223" t="str">
            <v>NM</v>
          </cell>
          <cell r="R223" t="str">
            <v>NM</v>
          </cell>
          <cell r="S223" t="str">
            <v>NM</v>
          </cell>
          <cell r="T223">
            <v>-1.0980622431004099</v>
          </cell>
          <cell r="U223" t="str">
            <v>NM</v>
          </cell>
          <cell r="V223">
            <v>-1.5236886632825728</v>
          </cell>
          <cell r="W223">
            <v>-1.8432470258922313</v>
          </cell>
          <cell r="X223" t="str">
            <v>NM</v>
          </cell>
          <cell r="Y223" t="str">
            <v>NM</v>
          </cell>
          <cell r="Z223" t="str">
            <v>NM</v>
          </cell>
          <cell r="AA223">
            <v>0.8174273858921135</v>
          </cell>
          <cell r="AB223" t="str">
            <v>NM</v>
          </cell>
          <cell r="AC223" t="str">
            <v>NM</v>
          </cell>
          <cell r="AD223">
            <v>-2.4844036697247818</v>
          </cell>
          <cell r="AE223">
            <v>2.4611872146118778</v>
          </cell>
          <cell r="AF223" t="str">
            <v>NM</v>
          </cell>
          <cell r="AG223" t="str">
            <v>NM</v>
          </cell>
          <cell r="AH223">
            <v>5.4576804697156396</v>
          </cell>
          <cell r="AI223">
            <v>0.4546622691292872</v>
          </cell>
          <cell r="AK223" t="str">
            <v>NA</v>
          </cell>
          <cell r="AL223" t="str">
            <v>NM</v>
          </cell>
          <cell r="AM223" t="str">
            <v>NM</v>
          </cell>
          <cell r="AN223">
            <v>-1.2976246657228265</v>
          </cell>
          <cell r="AO223" t="str">
            <v>NM</v>
          </cell>
          <cell r="AP223">
            <v>-1.5271910112359557</v>
          </cell>
          <cell r="AQ223">
            <v>1.4497622904234242</v>
          </cell>
          <cell r="AR223">
            <v>3.1936928770454998</v>
          </cell>
          <cell r="AS223">
            <v>0.54634400654084669</v>
          </cell>
          <cell r="AT223">
            <v>0.44572498599367116</v>
          </cell>
          <cell r="AU223">
            <v>0.37559120880279995</v>
          </cell>
          <cell r="AV223">
            <v>0.32670528871910798</v>
          </cell>
          <cell r="AW223">
            <v>0.16881228471673437</v>
          </cell>
        </row>
        <row r="226">
          <cell r="I226" t="str">
            <v>Interest income assumptions</v>
          </cell>
        </row>
        <row r="227">
          <cell r="I227" t="str">
            <v>Current period cash</v>
          </cell>
          <cell r="L227">
            <v>8.1489999999999991</v>
          </cell>
          <cell r="M227">
            <v>6.48</v>
          </cell>
          <cell r="N227">
            <v>4.8280000000000003</v>
          </cell>
          <cell r="O227">
            <v>19.170999999999999</v>
          </cell>
          <cell r="P227">
            <v>14.654999999999999</v>
          </cell>
          <cell r="Q227">
            <v>11.657999999999999</v>
          </cell>
          <cell r="R227">
            <v>9.7690000000000001</v>
          </cell>
          <cell r="S227">
            <v>27.803000000000001</v>
          </cell>
          <cell r="T227">
            <v>24.065999999999999</v>
          </cell>
          <cell r="U227">
            <v>21.657</v>
          </cell>
          <cell r="V227">
            <v>20.015000000000001</v>
          </cell>
          <cell r="W227">
            <v>16.707000000000001</v>
          </cell>
          <cell r="X227">
            <v>128.506</v>
          </cell>
          <cell r="Y227">
            <v>123.47199999999999</v>
          </cell>
          <cell r="Z227">
            <v>122.404</v>
          </cell>
          <cell r="AA227">
            <v>137.43899999999999</v>
          </cell>
          <cell r="AB227">
            <v>133.49600000000001</v>
          </cell>
          <cell r="AC227">
            <v>122.63500000000001</v>
          </cell>
          <cell r="AD227">
            <v>139.19899999999998</v>
          </cell>
          <cell r="AE227">
            <v>99.236999999999995</v>
          </cell>
          <cell r="AF227">
            <v>98.038999999999902</v>
          </cell>
          <cell r="AG227">
            <v>92.368961954754539</v>
          </cell>
          <cell r="AH227">
            <v>84.884745640447363</v>
          </cell>
          <cell r="AI227">
            <v>82.06881383619384</v>
          </cell>
          <cell r="AK227">
            <v>10.199999999999999</v>
          </cell>
          <cell r="AL227">
            <v>19.170999999999999</v>
          </cell>
          <cell r="AM227">
            <v>27.803000000000001</v>
          </cell>
          <cell r="AN227">
            <v>16.707000000000001</v>
          </cell>
          <cell r="AO227">
            <v>137.43899999999999</v>
          </cell>
          <cell r="AP227">
            <v>99.236999999999995</v>
          </cell>
          <cell r="AQ227">
            <v>82.06881383619384</v>
          </cell>
          <cell r="AR227">
            <v>103.19393661137222</v>
          </cell>
          <cell r="AS227">
            <v>136.46932508883947</v>
          </cell>
          <cell r="AT227">
            <v>186.62379859971196</v>
          </cell>
          <cell r="AU227">
            <v>257.88979745538802</v>
          </cell>
          <cell r="AV227">
            <v>353.96049710415195</v>
          </cell>
          <cell r="AW227">
            <v>467.83939334674039</v>
          </cell>
        </row>
        <row r="228">
          <cell r="I228" t="str">
            <v>Prior period cash</v>
          </cell>
          <cell r="L228">
            <v>0</v>
          </cell>
          <cell r="M228">
            <v>8.1489999999999991</v>
          </cell>
          <cell r="N228">
            <v>6.48</v>
          </cell>
          <cell r="O228">
            <v>4.8280000000000003</v>
          </cell>
          <cell r="P228">
            <v>19.170999999999999</v>
          </cell>
          <cell r="Q228">
            <v>14.654999999999999</v>
          </cell>
          <cell r="R228">
            <v>11.657999999999999</v>
          </cell>
          <cell r="S228">
            <v>9.7690000000000001</v>
          </cell>
          <cell r="T228">
            <v>27.803000000000001</v>
          </cell>
          <cell r="U228">
            <v>24.065999999999999</v>
          </cell>
          <cell r="V228">
            <v>21.657</v>
          </cell>
          <cell r="W228">
            <v>20.015000000000001</v>
          </cell>
          <cell r="X228">
            <v>16.707000000000001</v>
          </cell>
          <cell r="Y228">
            <v>128.506</v>
          </cell>
          <cell r="Z228">
            <v>123.47199999999999</v>
          </cell>
          <cell r="AA228">
            <v>122.404</v>
          </cell>
          <cell r="AB228">
            <v>137.43899999999999</v>
          </cell>
          <cell r="AC228">
            <v>133.49600000000001</v>
          </cell>
          <cell r="AD228">
            <v>122.63500000000001</v>
          </cell>
          <cell r="AE228">
            <v>139.19899999999998</v>
          </cell>
          <cell r="AF228">
            <v>99.236999999999995</v>
          </cell>
          <cell r="AG228">
            <v>98.038999999999902</v>
          </cell>
          <cell r="AH228">
            <v>92.368961954754539</v>
          </cell>
          <cell r="AI228">
            <v>84.884745640447363</v>
          </cell>
          <cell r="AK228">
            <v>0</v>
          </cell>
          <cell r="AL228">
            <v>10.199999999999999</v>
          </cell>
          <cell r="AM228">
            <v>19.170999999999999</v>
          </cell>
          <cell r="AN228">
            <v>27.803000000000001</v>
          </cell>
          <cell r="AO228">
            <v>16.707000000000001</v>
          </cell>
          <cell r="AP228">
            <v>137.43899999999999</v>
          </cell>
          <cell r="AQ228">
            <v>99.236999999999995</v>
          </cell>
          <cell r="AR228">
            <v>82.06881383619384</v>
          </cell>
          <cell r="AS228">
            <v>103.19393661137222</v>
          </cell>
          <cell r="AT228">
            <v>136.46932508883947</v>
          </cell>
          <cell r="AU228">
            <v>186.62379859971196</v>
          </cell>
          <cell r="AV228">
            <v>257.88979745538802</v>
          </cell>
          <cell r="AW228">
            <v>353.96049710415195</v>
          </cell>
        </row>
        <row r="229">
          <cell r="I229" t="str">
            <v>Interest income</v>
          </cell>
          <cell r="L229">
            <v>-3.5999999999999997E-2</v>
          </cell>
          <cell r="M229">
            <v>-0.04</v>
          </cell>
          <cell r="N229">
            <v>-3.5999999999999997E-2</v>
          </cell>
          <cell r="O229">
            <v>-3.2000000000000001E-2</v>
          </cell>
          <cell r="P229">
            <v>-1.7000000000000001E-2</v>
          </cell>
          <cell r="Q229">
            <v>2E-3</v>
          </cell>
          <cell r="R229">
            <v>0</v>
          </cell>
          <cell r="S229">
            <v>-9.1999999999999998E-2</v>
          </cell>
          <cell r="T229">
            <v>0</v>
          </cell>
          <cell r="U229">
            <v>-2.7E-2</v>
          </cell>
          <cell r="V229">
            <v>-3.6999999999999998E-2</v>
          </cell>
          <cell r="W229">
            <v>-3.5000000000000003E-2</v>
          </cell>
          <cell r="X229">
            <v>-1.1300000000000001</v>
          </cell>
          <cell r="Y229">
            <v>4.0000000000000008E-2</v>
          </cell>
          <cell r="Z229">
            <v>-0.2</v>
          </cell>
          <cell r="AA229">
            <v>-0.1</v>
          </cell>
          <cell r="AB229">
            <v>-6.9999999999999979E-2</v>
          </cell>
          <cell r="AC229">
            <v>-0.25</v>
          </cell>
          <cell r="AD229">
            <v>-0.24</v>
          </cell>
          <cell r="AE229">
            <v>-0.22</v>
          </cell>
          <cell r="AF229">
            <v>6.2023124999999998E-2</v>
          </cell>
          <cell r="AG229">
            <v>6.1274374999999943E-2</v>
          </cell>
          <cell r="AH229">
            <v>5.7730601221721585E-2</v>
          </cell>
          <cell r="AI229">
            <v>5.3052966025279605E-2</v>
          </cell>
          <cell r="AK229">
            <v>0.16</v>
          </cell>
          <cell r="AL229">
            <v>-0.14399999999999999</v>
          </cell>
          <cell r="AM229">
            <v>-0.107</v>
          </cell>
          <cell r="AN229">
            <v>-9.9000000000000005E-2</v>
          </cell>
          <cell r="AO229">
            <v>-1.3900000000000001</v>
          </cell>
          <cell r="AP229">
            <v>-0.55999999999999994</v>
          </cell>
          <cell r="AQ229">
            <v>0.14405794224700114</v>
          </cell>
          <cell r="AR229">
            <v>0.82068813836193844</v>
          </cell>
          <cell r="AS229">
            <v>1.0319393661137222</v>
          </cell>
          <cell r="AT229">
            <v>1.3646932508883947</v>
          </cell>
          <cell r="AU229">
            <v>1.8662379859971197</v>
          </cell>
          <cell r="AV229">
            <v>2.5788979745538803</v>
          </cell>
          <cell r="AW229">
            <v>3.5396049710415198</v>
          </cell>
        </row>
        <row r="230">
          <cell r="I230" t="str">
            <v>Implied annualized interest rate</v>
          </cell>
          <cell r="L230" t="str">
            <v>NM</v>
          </cell>
          <cell r="M230" t="str">
            <v>NM</v>
          </cell>
          <cell r="N230" t="str">
            <v>NM</v>
          </cell>
          <cell r="O230" t="str">
            <v>NM</v>
          </cell>
          <cell r="P230" t="str">
            <v>NM</v>
          </cell>
          <cell r="Q230">
            <v>6.0806445483221221E-4</v>
          </cell>
          <cell r="R230" t="str">
            <v>NM</v>
          </cell>
          <cell r="S230" t="str">
            <v>NM</v>
          </cell>
          <cell r="T230" t="str">
            <v>NM</v>
          </cell>
          <cell r="U230" t="str">
            <v>NM</v>
          </cell>
          <cell r="V230" t="str">
            <v>NM</v>
          </cell>
          <cell r="W230" t="str">
            <v>NM</v>
          </cell>
          <cell r="X230" t="str">
            <v>NM</v>
          </cell>
          <cell r="Y230">
            <v>1.2699521386787737E-3</v>
          </cell>
          <cell r="Z230" t="str">
            <v>NM</v>
          </cell>
          <cell r="AA230" t="str">
            <v>NM</v>
          </cell>
          <cell r="AB230" t="str">
            <v>NM</v>
          </cell>
          <cell r="AC230" t="str">
            <v>NM</v>
          </cell>
          <cell r="AD230" t="str">
            <v>NM</v>
          </cell>
          <cell r="AE230" t="str">
            <v>NM</v>
          </cell>
          <cell r="AF230">
            <v>2.5000000000000001E-3</v>
          </cell>
          <cell r="AG230">
            <v>2.5000000000000001E-3</v>
          </cell>
          <cell r="AH230">
            <v>2.5000000000000001E-3</v>
          </cell>
          <cell r="AI230">
            <v>2.5000000000000001E-3</v>
          </cell>
          <cell r="AK230">
            <v>3.1372549019607843E-2</v>
          </cell>
          <cell r="AL230" t="str">
            <v>NM</v>
          </cell>
          <cell r="AM230" t="str">
            <v>NM</v>
          </cell>
          <cell r="AN230" t="str">
            <v>NM</v>
          </cell>
          <cell r="AO230" t="str">
            <v>NM</v>
          </cell>
          <cell r="AP230" t="str">
            <v>NM</v>
          </cell>
          <cell r="AQ230">
            <v>1.5891155302626379E-3</v>
          </cell>
          <cell r="AR230">
            <v>0.01</v>
          </cell>
          <cell r="AS230">
            <v>0.01</v>
          </cell>
          <cell r="AT230">
            <v>0.01</v>
          </cell>
          <cell r="AU230">
            <v>0.01</v>
          </cell>
          <cell r="AV230">
            <v>0.01</v>
          </cell>
          <cell r="AW230">
            <v>0.01</v>
          </cell>
        </row>
        <row r="233">
          <cell r="I233" t="str">
            <v>Cash flow statement assumptions</v>
          </cell>
        </row>
        <row r="234">
          <cell r="I234" t="str">
            <v>Capex</v>
          </cell>
          <cell r="L234">
            <v>3.0000000000000001E-3</v>
          </cell>
          <cell r="M234">
            <v>6.0000000000000001E-3</v>
          </cell>
          <cell r="N234">
            <v>3.2000000000000001E-2</v>
          </cell>
          <cell r="O234">
            <v>3.7999999999999999E-2</v>
          </cell>
          <cell r="P234">
            <v>7.5999999999999998E-2</v>
          </cell>
          <cell r="Q234">
            <v>7.6999999999999999E-2</v>
          </cell>
          <cell r="R234">
            <v>9.8000000000000004E-2</v>
          </cell>
          <cell r="S234">
            <v>0.38900000000000001</v>
          </cell>
          <cell r="T234">
            <v>0.25900000000000001</v>
          </cell>
          <cell r="U234">
            <v>0.67200000000000004</v>
          </cell>
          <cell r="V234">
            <v>1.331</v>
          </cell>
          <cell r="W234">
            <v>1.266</v>
          </cell>
          <cell r="X234">
            <v>0.58799999999999997</v>
          </cell>
          <cell r="Y234">
            <v>1.3340000000000001</v>
          </cell>
          <cell r="Z234">
            <v>1.5579999999999998</v>
          </cell>
          <cell r="AA234">
            <v>1.7799999999999998</v>
          </cell>
          <cell r="AB234">
            <v>1.84</v>
          </cell>
          <cell r="AC234">
            <v>0.93099999999999983</v>
          </cell>
          <cell r="AD234">
            <v>1.3680000000000001</v>
          </cell>
          <cell r="AE234">
            <v>0.94099999999999961</v>
          </cell>
          <cell r="AF234">
            <v>4.3571999999999997</v>
          </cell>
          <cell r="AG234">
            <v>4.5132599999999998</v>
          </cell>
          <cell r="AH234">
            <v>5.6970539999999996</v>
          </cell>
          <cell r="AI234">
            <v>5.4197550000000003</v>
          </cell>
          <cell r="AK234">
            <v>0.36299999999999999</v>
          </cell>
          <cell r="AL234">
            <v>7.9000000000000001E-2</v>
          </cell>
          <cell r="AM234">
            <v>0.64</v>
          </cell>
          <cell r="AN234">
            <v>3.528</v>
          </cell>
          <cell r="AO234">
            <v>5.26</v>
          </cell>
          <cell r="AP234">
            <v>5.08</v>
          </cell>
          <cell r="AQ234">
            <v>19.987268999999998</v>
          </cell>
          <cell r="AR234">
            <v>8.7175416000000006</v>
          </cell>
          <cell r="AS234">
            <v>9.5151966564000006</v>
          </cell>
          <cell r="AT234">
            <v>10.160172689217598</v>
          </cell>
          <cell r="AU234">
            <v>10.614332408425623</v>
          </cell>
          <cell r="AV234">
            <v>11.619817845541197</v>
          </cell>
          <cell r="AW234">
            <v>12.992095093463922</v>
          </cell>
        </row>
        <row r="235">
          <cell r="I235" t="str">
            <v>Capex as % of revenue</v>
          </cell>
          <cell r="L235">
            <v>1.8438844499078057E-3</v>
          </cell>
          <cell r="M235">
            <v>1.7709563164108619E-3</v>
          </cell>
          <cell r="N235">
            <v>7.7991713380453336E-3</v>
          </cell>
          <cell r="O235">
            <v>5.3506054632497888E-3</v>
          </cell>
          <cell r="P235">
            <v>8.6118980169971673E-3</v>
          </cell>
          <cell r="Q235">
            <v>8.3171311298336579E-3</v>
          </cell>
          <cell r="R235">
            <v>8.9058524173028005E-3</v>
          </cell>
          <cell r="S235">
            <v>2.0756629848994186E-2</v>
          </cell>
          <cell r="T235">
            <v>1.2050435025357095E-2</v>
          </cell>
          <cell r="U235">
            <v>2.9937185369982629E-2</v>
          </cell>
          <cell r="V235">
            <v>5.2840525626265435E-2</v>
          </cell>
          <cell r="W235">
            <v>3.6643607629743266E-2</v>
          </cell>
          <cell r="X235">
            <v>1.2285833681571249E-2</v>
          </cell>
          <cell r="Y235">
            <v>2.4005758502789278E-2</v>
          </cell>
          <cell r="Z235">
            <v>2.5118903667875853E-2</v>
          </cell>
          <cell r="AA235">
            <v>2.3467369808833221E-2</v>
          </cell>
          <cell r="AB235">
            <v>2.8474156607861342E-2</v>
          </cell>
          <cell r="AC235">
            <v>1.144859813084112E-2</v>
          </cell>
          <cell r="AD235">
            <v>1.5848191012407465E-2</v>
          </cell>
          <cell r="AE235">
            <v>8.59439218193442E-3</v>
          </cell>
          <cell r="AF235">
            <v>0.06</v>
          </cell>
          <cell r="AG235">
            <v>0.06</v>
          </cell>
          <cell r="AH235">
            <v>0.06</v>
          </cell>
          <cell r="AI235">
            <v>4.4999999999999998E-2</v>
          </cell>
          <cell r="AK235">
            <v>5.7793345008756568E-2</v>
          </cell>
          <cell r="AL235">
            <v>4.870530209617756E-3</v>
          </cell>
          <cell r="AM235">
            <v>1.3381282930500964E-2</v>
          </cell>
          <cell r="AN235">
            <v>3.4028434190474355E-2</v>
          </cell>
          <cell r="AO235">
            <v>2.1798139284308238E-2</v>
          </cell>
          <cell r="AP235">
            <v>1.4864710650214046E-2</v>
          </cell>
          <cell r="AQ235">
            <v>5.5026345500892124E-2</v>
          </cell>
          <cell r="AR235">
            <v>0.02</v>
          </cell>
          <cell r="AS235">
            <v>1.8499999999999999E-2</v>
          </cell>
          <cell r="AT235">
            <v>1.6999999999999998E-2</v>
          </cell>
          <cell r="AU235">
            <v>1.5499999999999998E-2</v>
          </cell>
          <cell r="AV235">
            <v>1.4999999999999999E-2</v>
          </cell>
          <cell r="AW235">
            <v>1.4999999999999999E-2</v>
          </cell>
        </row>
        <row r="237">
          <cell r="I237" t="str">
            <v>Calculated depreciation</v>
          </cell>
          <cell r="L237">
            <v>5.5555555555555556E-4</v>
          </cell>
          <cell r="M237">
            <v>1.1111111111111111E-3</v>
          </cell>
          <cell r="N237">
            <v>5.9259259259259256E-3</v>
          </cell>
          <cell r="O237">
            <v>7.0370370370370361E-3</v>
          </cell>
          <cell r="P237">
            <v>1.4074074074074072E-2</v>
          </cell>
          <cell r="Q237">
            <v>1.4259259259259258E-2</v>
          </cell>
          <cell r="R237">
            <v>1.8148148148148149E-2</v>
          </cell>
          <cell r="S237">
            <v>7.2037037037037038E-2</v>
          </cell>
          <cell r="T237">
            <v>4.7962962962962964E-2</v>
          </cell>
          <cell r="U237">
            <v>0.12444444444444444</v>
          </cell>
          <cell r="V237">
            <v>0.24648148148148147</v>
          </cell>
          <cell r="W237">
            <v>0.23444444444444443</v>
          </cell>
          <cell r="X237">
            <v>0.10888888888888888</v>
          </cell>
          <cell r="Y237">
            <v>0.24703703703703703</v>
          </cell>
          <cell r="Z237">
            <v>0.28851851851851845</v>
          </cell>
          <cell r="AA237">
            <v>0.32962962962962955</v>
          </cell>
          <cell r="AB237">
            <v>0.34074074074074073</v>
          </cell>
          <cell r="AC237">
            <v>0.17240740740740737</v>
          </cell>
          <cell r="AD237">
            <v>0.25333333333333335</v>
          </cell>
          <cell r="AE237">
            <v>0.17425925925925917</v>
          </cell>
          <cell r="AF237">
            <v>0.80688888888888877</v>
          </cell>
          <cell r="AG237">
            <v>0.8357888888888888</v>
          </cell>
          <cell r="AH237">
            <v>1.0550099999999998</v>
          </cell>
          <cell r="AI237">
            <v>1.0036583333333333</v>
          </cell>
          <cell r="AK237">
            <v>6.7222222222222211E-2</v>
          </cell>
          <cell r="AL237">
            <v>1.462962962962963E-2</v>
          </cell>
          <cell r="AM237">
            <v>0.11851851851851851</v>
          </cell>
          <cell r="AN237">
            <v>0.65333333333333332</v>
          </cell>
          <cell r="AO237">
            <v>0.97407407407407398</v>
          </cell>
          <cell r="AP237">
            <v>0.94074074074074066</v>
          </cell>
          <cell r="AQ237">
            <v>3.7013461111111106</v>
          </cell>
          <cell r="AR237">
            <v>4.3587708000000003</v>
          </cell>
          <cell r="AS237">
            <v>4.7575983282000003</v>
          </cell>
          <cell r="AT237">
            <v>5.0800863446087989</v>
          </cell>
          <cell r="AU237">
            <v>5.3071662042128116</v>
          </cell>
          <cell r="AV237">
            <v>5.8099089227705987</v>
          </cell>
          <cell r="AW237">
            <v>6.4960475467319609</v>
          </cell>
        </row>
        <row r="238">
          <cell r="I238" t="str">
            <v>% of capex</v>
          </cell>
          <cell r="AR238">
            <v>0.5</v>
          </cell>
          <cell r="AS238">
            <v>0.5</v>
          </cell>
          <cell r="AT238">
            <v>0.5</v>
          </cell>
          <cell r="AU238">
            <v>0.5</v>
          </cell>
          <cell r="AV238">
            <v>0.5</v>
          </cell>
          <cell r="AW238">
            <v>0.5</v>
          </cell>
        </row>
        <row r="239">
          <cell r="I239" t="str">
            <v>Reported D&amp;A</v>
          </cell>
          <cell r="L239">
            <v>3.4000000000000002E-2</v>
          </cell>
          <cell r="M239">
            <v>3.4000000000000002E-2</v>
          </cell>
          <cell r="N239">
            <v>3.5999999999999997E-2</v>
          </cell>
          <cell r="O239">
            <v>4.2000000000000003E-2</v>
          </cell>
          <cell r="P239">
            <v>4.2000000000000003E-2</v>
          </cell>
          <cell r="Q239">
            <v>4.4999999999999998E-2</v>
          </cell>
          <cell r="R239">
            <v>5.3999999999999999E-2</v>
          </cell>
          <cell r="S239">
            <v>8.2000000000000003E-2</v>
          </cell>
          <cell r="T239">
            <v>8.7999999999999995E-2</v>
          </cell>
          <cell r="U239">
            <v>0.14799999999999999</v>
          </cell>
          <cell r="V239">
            <v>0.22</v>
          </cell>
          <cell r="W239">
            <v>0.30300000000000005</v>
          </cell>
          <cell r="X239">
            <v>0.44</v>
          </cell>
          <cell r="Y239">
            <v>0.52200000000000002</v>
          </cell>
          <cell r="Z239">
            <v>0.63100000000000001</v>
          </cell>
          <cell r="AA239">
            <v>0.77200000000000024</v>
          </cell>
          <cell r="AB239">
            <v>0.94099999999999995</v>
          </cell>
          <cell r="AC239">
            <v>1.0609999999999999</v>
          </cell>
          <cell r="AD239">
            <v>1.1420000000000003</v>
          </cell>
          <cell r="AE239">
            <v>2.7690000000000001</v>
          </cell>
          <cell r="AF239">
            <v>3.9460000000000002</v>
          </cell>
          <cell r="AG239">
            <v>3.8</v>
          </cell>
          <cell r="AH239">
            <v>3.8</v>
          </cell>
          <cell r="AI239">
            <v>3.8</v>
          </cell>
          <cell r="AK239">
            <v>0.106</v>
          </cell>
          <cell r="AL239">
            <v>0.14600000000000002</v>
          </cell>
          <cell r="AM239">
            <v>0.22299999999999998</v>
          </cell>
          <cell r="AN239">
            <v>0.75900000000000001</v>
          </cell>
          <cell r="AO239">
            <v>2.3650000000000002</v>
          </cell>
          <cell r="AP239">
            <v>5.9130000000000003</v>
          </cell>
          <cell r="AQ239">
            <v>15.346</v>
          </cell>
          <cell r="AR239">
            <v>14.3587708</v>
          </cell>
          <cell r="AS239">
            <v>14.7575983282</v>
          </cell>
          <cell r="AT239">
            <v>15.080086344608798</v>
          </cell>
          <cell r="AU239">
            <v>15.307166204212812</v>
          </cell>
          <cell r="AV239">
            <v>15.8099089227706</v>
          </cell>
          <cell r="AW239">
            <v>16.496047546731962</v>
          </cell>
        </row>
        <row r="240">
          <cell r="I240" t="str">
            <v>Implied amortization</v>
          </cell>
          <cell r="L240">
            <v>3.344444444444445E-2</v>
          </cell>
          <cell r="M240">
            <v>3.2888888888888891E-2</v>
          </cell>
          <cell r="N240">
            <v>3.0074074074074073E-2</v>
          </cell>
          <cell r="O240">
            <v>3.4962962962962967E-2</v>
          </cell>
          <cell r="P240">
            <v>2.792592592592593E-2</v>
          </cell>
          <cell r="Q240">
            <v>3.0740740740740742E-2</v>
          </cell>
          <cell r="R240">
            <v>3.585185185185185E-2</v>
          </cell>
          <cell r="S240">
            <v>9.9629629629629651E-3</v>
          </cell>
          <cell r="T240">
            <v>4.0037037037037031E-2</v>
          </cell>
          <cell r="U240">
            <v>2.3555555555555552E-2</v>
          </cell>
          <cell r="V240">
            <v>-2.6481481481481467E-2</v>
          </cell>
          <cell r="W240">
            <v>6.855555555555562E-2</v>
          </cell>
          <cell r="X240">
            <v>0.33111111111111113</v>
          </cell>
          <cell r="Y240">
            <v>0.27496296296296296</v>
          </cell>
          <cell r="Z240">
            <v>0.34248148148148155</v>
          </cell>
          <cell r="AA240">
            <v>0.44237037037037069</v>
          </cell>
          <cell r="AB240">
            <v>0.60025925925925927</v>
          </cell>
          <cell r="AC240">
            <v>0.8885925925925926</v>
          </cell>
          <cell r="AD240">
            <v>0.88866666666666694</v>
          </cell>
          <cell r="AE240">
            <v>2.594740740740741</v>
          </cell>
          <cell r="AF240">
            <v>2.2999999999999998</v>
          </cell>
          <cell r="AG240">
            <v>2.2999999999999998</v>
          </cell>
          <cell r="AH240">
            <v>2.2999999999999998</v>
          </cell>
          <cell r="AI240">
            <v>2.2999999999999998</v>
          </cell>
          <cell r="AK240">
            <v>3.8777777777777786E-2</v>
          </cell>
          <cell r="AL240">
            <v>0.13137037037037039</v>
          </cell>
          <cell r="AM240">
            <v>0.10448148148148147</v>
          </cell>
          <cell r="AN240">
            <v>0.10566666666666669</v>
          </cell>
          <cell r="AO240">
            <v>1.3909259259259263</v>
          </cell>
          <cell r="AP240">
            <v>4.9722592592592596</v>
          </cell>
          <cell r="AQ240">
            <v>11.64465388888889</v>
          </cell>
          <cell r="AR240">
            <v>10</v>
          </cell>
          <cell r="AS240">
            <v>10</v>
          </cell>
          <cell r="AT240">
            <v>10</v>
          </cell>
          <cell r="AU240">
            <v>10</v>
          </cell>
          <cell r="AV240">
            <v>10</v>
          </cell>
          <cell r="AW240">
            <v>10</v>
          </cell>
        </row>
        <row r="241">
          <cell r="I241" t="str">
            <v>Weighted Average Useful Life</v>
          </cell>
          <cell r="K241">
            <v>5.4</v>
          </cell>
          <cell r="L241">
            <v>5.4</v>
          </cell>
          <cell r="M241">
            <v>5.4</v>
          </cell>
          <cell r="N241">
            <v>5.4</v>
          </cell>
          <cell r="O241">
            <v>5.4</v>
          </cell>
          <cell r="P241">
            <v>5.4</v>
          </cell>
          <cell r="Q241">
            <v>5.4</v>
          </cell>
          <cell r="R241">
            <v>5.4</v>
          </cell>
          <cell r="S241">
            <v>5.4</v>
          </cell>
          <cell r="T241">
            <v>5.4</v>
          </cell>
          <cell r="U241">
            <v>5.4</v>
          </cell>
          <cell r="V241">
            <v>5.4</v>
          </cell>
          <cell r="W241">
            <v>5.4</v>
          </cell>
          <cell r="X241">
            <v>5.4</v>
          </cell>
          <cell r="Y241">
            <v>5.4</v>
          </cell>
          <cell r="Z241">
            <v>5.4</v>
          </cell>
          <cell r="AA241">
            <v>5.4</v>
          </cell>
          <cell r="AB241">
            <v>5.4</v>
          </cell>
          <cell r="AC241">
            <v>5.4</v>
          </cell>
          <cell r="AD241">
            <v>5.4</v>
          </cell>
          <cell r="AE241">
            <v>5.4</v>
          </cell>
          <cell r="AF241">
            <v>5.4</v>
          </cell>
          <cell r="AG241">
            <v>5.4</v>
          </cell>
          <cell r="AH241">
            <v>5.4</v>
          </cell>
          <cell r="AI241">
            <v>5.4</v>
          </cell>
          <cell r="AK241">
            <v>5.4</v>
          </cell>
          <cell r="AL241">
            <v>5.4</v>
          </cell>
          <cell r="AM241">
            <v>5.4</v>
          </cell>
          <cell r="AN241">
            <v>5.4</v>
          </cell>
          <cell r="AO241">
            <v>5.4</v>
          </cell>
          <cell r="AP241">
            <v>5.4</v>
          </cell>
          <cell r="AQ241">
            <v>5.4</v>
          </cell>
          <cell r="AR241">
            <v>5.4</v>
          </cell>
          <cell r="AS241">
            <v>5.4</v>
          </cell>
          <cell r="AT241">
            <v>5.4</v>
          </cell>
          <cell r="AU241">
            <v>5.4</v>
          </cell>
          <cell r="AV241">
            <v>5.4</v>
          </cell>
          <cell r="AW241">
            <v>5.4</v>
          </cell>
        </row>
        <row r="243">
          <cell r="I243" t="str">
            <v>Useful life calculation</v>
          </cell>
        </row>
        <row r="244">
          <cell r="I244" t="str">
            <v>Software development</v>
          </cell>
          <cell r="J244">
            <v>0.5</v>
          </cell>
          <cell r="K244">
            <v>4</v>
          </cell>
        </row>
        <row r="245">
          <cell r="I245" t="str">
            <v>Computers &amp; equipment</v>
          </cell>
          <cell r="J245">
            <v>0.3</v>
          </cell>
          <cell r="K245">
            <v>4</v>
          </cell>
        </row>
        <row r="246">
          <cell r="I246" t="str">
            <v>Furniture &amp; Fixtures</v>
          </cell>
          <cell r="J246">
            <v>0.1</v>
          </cell>
          <cell r="K246">
            <v>7</v>
          </cell>
        </row>
        <row r="247">
          <cell r="I247" t="str">
            <v>Leasehold Improvements</v>
          </cell>
          <cell r="J247">
            <v>0.1</v>
          </cell>
          <cell r="K247">
            <v>15</v>
          </cell>
        </row>
        <row r="248">
          <cell r="I248" t="str">
            <v>Building</v>
          </cell>
          <cell r="J248">
            <v>0</v>
          </cell>
          <cell r="K248">
            <v>15</v>
          </cell>
        </row>
        <row r="253">
          <cell r="I253" t="str">
            <v>ModelWare items - DO NOT REMOVE</v>
          </cell>
        </row>
        <row r="254">
          <cell r="I254" t="str">
            <v>Company Reported EBITDA Adj.</v>
          </cell>
          <cell r="M254">
            <v>0.04</v>
          </cell>
          <cell r="N254">
            <v>7.0000000000000007E-2</v>
          </cell>
          <cell r="O254">
            <v>6.9000000000000006E-2</v>
          </cell>
          <cell r="P254">
            <v>7.6999999999999999E-2</v>
          </cell>
          <cell r="Q254">
            <v>0.115</v>
          </cell>
          <cell r="R254">
            <v>9.7000000000000003E-2</v>
          </cell>
          <cell r="S254">
            <v>0.123</v>
          </cell>
          <cell r="T254">
            <v>0.10199999999999999</v>
          </cell>
          <cell r="U254">
            <v>0.39700000000000002</v>
          </cell>
          <cell r="V254">
            <v>0.60599999999999998</v>
          </cell>
          <cell r="W254">
            <v>0.72799999999999998</v>
          </cell>
          <cell r="X254">
            <v>1.23</v>
          </cell>
          <cell r="Y254">
            <v>1.1000000000000001</v>
          </cell>
          <cell r="Z254">
            <v>3.35</v>
          </cell>
          <cell r="AA254">
            <v>2.33</v>
          </cell>
          <cell r="AB254">
            <v>1.77</v>
          </cell>
          <cell r="AC254">
            <v>3.62</v>
          </cell>
          <cell r="AD254">
            <v>1.86</v>
          </cell>
          <cell r="AE254">
            <v>2.25</v>
          </cell>
          <cell r="AF254">
            <v>3.7720000000000002</v>
          </cell>
          <cell r="AG254">
            <v>4</v>
          </cell>
          <cell r="AH254">
            <v>4</v>
          </cell>
          <cell r="AI254">
            <v>4</v>
          </cell>
          <cell r="AL254">
            <v>0.21200000000000002</v>
          </cell>
          <cell r="AM254">
            <v>0.41200000000000003</v>
          </cell>
          <cell r="AN254">
            <v>1.833</v>
          </cell>
          <cell r="AO254">
            <v>8.01</v>
          </cell>
          <cell r="AP254">
            <v>9.5</v>
          </cell>
          <cell r="AQ254">
            <v>15.772</v>
          </cell>
          <cell r="AR254">
            <v>15.255697800000002</v>
          </cell>
          <cell r="AS254">
            <v>16.715886018000003</v>
          </cell>
          <cell r="AT254">
            <v>17.929716510384001</v>
          </cell>
          <cell r="AU254">
            <v>20.543869177597983</v>
          </cell>
          <cell r="AV254">
            <v>23.239635691082395</v>
          </cell>
          <cell r="AW254">
            <v>25.984190186927844</v>
          </cell>
          <cell r="BP254" t="e">
            <v>#REF!</v>
          </cell>
          <cell r="BQ254" t="e">
            <v>#REF!</v>
          </cell>
          <cell r="BR254" t="e">
            <v>#REF!</v>
          </cell>
          <cell r="BS254" t="e">
            <v>#REF!</v>
          </cell>
          <cell r="BT254" t="e">
            <v>#REF!</v>
          </cell>
          <cell r="BU254" t="e">
            <v>#REF!</v>
          </cell>
          <cell r="BV254" t="e">
            <v>#REF!</v>
          </cell>
          <cell r="BW254" t="e">
            <v>#REF!</v>
          </cell>
          <cell r="BX254" t="e">
            <v>#REF!</v>
          </cell>
          <cell r="BY254" t="e">
            <v>#REF!</v>
          </cell>
          <cell r="BZ254" t="e">
            <v>#REF!</v>
          </cell>
          <cell r="CA254" t="e">
            <v>#REF!</v>
          </cell>
          <cell r="CB254" t="e">
            <v>#REF!</v>
          </cell>
          <cell r="CC254" t="e">
            <v>#REF!</v>
          </cell>
          <cell r="CD254" t="e">
            <v>#REF!</v>
          </cell>
          <cell r="CE254" t="e">
            <v>#REF!</v>
          </cell>
          <cell r="CF254" t="e">
            <v>#REF!</v>
          </cell>
          <cell r="CG254" t="e">
            <v>#REF!</v>
          </cell>
          <cell r="CH254" t="e">
            <v>#REF!</v>
          </cell>
          <cell r="CI254" t="e">
            <v>#REF!</v>
          </cell>
        </row>
        <row r="255">
          <cell r="I255" t="str">
            <v>Company Reported EBITDA Adj. Toggle</v>
          </cell>
          <cell r="M255">
            <v>1</v>
          </cell>
          <cell r="N255">
            <v>1</v>
          </cell>
          <cell r="O255">
            <v>1</v>
          </cell>
          <cell r="P255">
            <v>1</v>
          </cell>
          <cell r="Q255">
            <v>1</v>
          </cell>
          <cell r="R255">
            <v>1</v>
          </cell>
          <cell r="S255">
            <v>1</v>
          </cell>
          <cell r="T255">
            <v>1</v>
          </cell>
          <cell r="U255">
            <v>1</v>
          </cell>
          <cell r="V255">
            <v>1</v>
          </cell>
          <cell r="W255">
            <v>1</v>
          </cell>
          <cell r="X255">
            <v>1</v>
          </cell>
          <cell r="Y255">
            <v>1</v>
          </cell>
          <cell r="Z255">
            <v>1</v>
          </cell>
          <cell r="AA255">
            <v>1</v>
          </cell>
          <cell r="AB255">
            <v>1</v>
          </cell>
          <cell r="AC255">
            <v>1</v>
          </cell>
          <cell r="AD255">
            <v>1</v>
          </cell>
          <cell r="AE255">
            <v>1</v>
          </cell>
          <cell r="AF255">
            <v>1</v>
          </cell>
          <cell r="AG255">
            <v>1</v>
          </cell>
          <cell r="AH255">
            <v>1</v>
          </cell>
          <cell r="AI255">
            <v>1</v>
          </cell>
          <cell r="AL255">
            <v>1</v>
          </cell>
          <cell r="AM255">
            <v>1</v>
          </cell>
          <cell r="AN255">
            <v>1</v>
          </cell>
          <cell r="AO255">
            <v>1</v>
          </cell>
          <cell r="AP255">
            <v>1</v>
          </cell>
          <cell r="AQ255">
            <v>1</v>
          </cell>
          <cell r="AR255">
            <v>1</v>
          </cell>
          <cell r="AS255">
            <v>1</v>
          </cell>
          <cell r="AT255">
            <v>1</v>
          </cell>
          <cell r="AU255">
            <v>1</v>
          </cell>
          <cell r="AV255">
            <v>1</v>
          </cell>
          <cell r="AW255">
            <v>1</v>
          </cell>
          <cell r="BP255">
            <v>1</v>
          </cell>
          <cell r="BQ255">
            <v>1</v>
          </cell>
          <cell r="BR255">
            <v>1</v>
          </cell>
          <cell r="BS255">
            <v>1</v>
          </cell>
          <cell r="BT255">
            <v>1</v>
          </cell>
          <cell r="BU255">
            <v>1</v>
          </cell>
          <cell r="BV255">
            <v>1</v>
          </cell>
          <cell r="BW255">
            <v>1</v>
          </cell>
          <cell r="BX255">
            <v>1</v>
          </cell>
          <cell r="BY255">
            <v>1</v>
          </cell>
          <cell r="BZ255">
            <v>1</v>
          </cell>
          <cell r="CA255">
            <v>1</v>
          </cell>
          <cell r="CB255">
            <v>1</v>
          </cell>
          <cell r="CC255">
            <v>1</v>
          </cell>
          <cell r="CD255">
            <v>1</v>
          </cell>
          <cell r="CE255">
            <v>1</v>
          </cell>
          <cell r="CF255">
            <v>1</v>
          </cell>
          <cell r="CG255">
            <v>1</v>
          </cell>
          <cell r="CH255">
            <v>1</v>
          </cell>
          <cell r="CI255">
            <v>1</v>
          </cell>
        </row>
        <row r="256">
          <cell r="I256" t="str">
            <v>Unrecorded Goodwill from Poolings, Write-Offs and Cumulative Amortization</v>
          </cell>
          <cell r="M256" t="str">
            <v>ND</v>
          </cell>
          <cell r="N256" t="str">
            <v>ND</v>
          </cell>
          <cell r="O256" t="str">
            <v>ND</v>
          </cell>
          <cell r="P256" t="str">
            <v>ND</v>
          </cell>
          <cell r="Q256" t="str">
            <v>ND</v>
          </cell>
          <cell r="R256" t="str">
            <v>ND</v>
          </cell>
          <cell r="S256" t="str">
            <v>ND</v>
          </cell>
          <cell r="T256" t="str">
            <v>ND</v>
          </cell>
          <cell r="U256" t="str">
            <v>ND</v>
          </cell>
          <cell r="V256" t="str">
            <v>ND</v>
          </cell>
          <cell r="W256" t="str">
            <v>ND</v>
          </cell>
          <cell r="X256" t="str">
            <v>ND</v>
          </cell>
          <cell r="Y256" t="str">
            <v>ND</v>
          </cell>
          <cell r="Z256" t="str">
            <v>ND</v>
          </cell>
          <cell r="AA256" t="str">
            <v>ND</v>
          </cell>
          <cell r="AB256" t="str">
            <v>ND</v>
          </cell>
          <cell r="AC256" t="str">
            <v>ND</v>
          </cell>
          <cell r="AD256" t="str">
            <v>ND</v>
          </cell>
          <cell r="AE256" t="str">
            <v>ND</v>
          </cell>
          <cell r="AF256" t="str">
            <v>ND</v>
          </cell>
          <cell r="AG256" t="str">
            <v>ND</v>
          </cell>
          <cell r="AH256" t="str">
            <v>ND</v>
          </cell>
          <cell r="AI256" t="str">
            <v>ND</v>
          </cell>
          <cell r="AL256" t="str">
            <v>ND</v>
          </cell>
          <cell r="AM256" t="str">
            <v>ND</v>
          </cell>
          <cell r="AN256" t="str">
            <v>ND</v>
          </cell>
          <cell r="AO256" t="str">
            <v>ND</v>
          </cell>
          <cell r="AP256" t="str">
            <v>ND</v>
          </cell>
          <cell r="AQ256" t="str">
            <v>ND</v>
          </cell>
          <cell r="AR256" t="str">
            <v>ND</v>
          </cell>
          <cell r="AS256" t="str">
            <v>ND</v>
          </cell>
          <cell r="AT256" t="str">
            <v>ND</v>
          </cell>
          <cell r="AU256" t="str">
            <v>ND</v>
          </cell>
          <cell r="AV256" t="str">
            <v>ND</v>
          </cell>
          <cell r="AW256" t="str">
            <v>ND</v>
          </cell>
          <cell r="BP256" t="str">
            <v>ND</v>
          </cell>
          <cell r="BQ256" t="str">
            <v>ND</v>
          </cell>
          <cell r="BR256" t="str">
            <v>ND</v>
          </cell>
          <cell r="BS256" t="str">
            <v>ND</v>
          </cell>
          <cell r="BT256" t="str">
            <v>ND</v>
          </cell>
          <cell r="BU256" t="str">
            <v>ND</v>
          </cell>
          <cell r="BV256" t="str">
            <v>ND</v>
          </cell>
          <cell r="BW256" t="str">
            <v>ND</v>
          </cell>
          <cell r="BX256" t="str">
            <v>ND</v>
          </cell>
          <cell r="BY256" t="str">
            <v>ND</v>
          </cell>
          <cell r="BZ256" t="str">
            <v>ND</v>
          </cell>
          <cell r="CA256" t="str">
            <v>ND</v>
          </cell>
          <cell r="CB256" t="str">
            <v>ND</v>
          </cell>
          <cell r="CC256" t="str">
            <v>ND</v>
          </cell>
          <cell r="CD256" t="str">
            <v>ND</v>
          </cell>
          <cell r="CE256" t="str">
            <v>ND</v>
          </cell>
          <cell r="CF256" t="str">
            <v>ND</v>
          </cell>
          <cell r="CG256" t="str">
            <v>ND</v>
          </cell>
          <cell r="CH256" t="str">
            <v>ND</v>
          </cell>
          <cell r="CI256" t="str">
            <v>ND</v>
          </cell>
        </row>
        <row r="257">
          <cell r="I257" t="str">
            <v>Net Issuances</v>
          </cell>
          <cell r="M257">
            <v>0.40700000000000003</v>
          </cell>
          <cell r="N257">
            <v>0.41600000000000159</v>
          </cell>
          <cell r="O257">
            <v>0.59499999999999531</v>
          </cell>
          <cell r="P257">
            <v>0.71100000000000085</v>
          </cell>
          <cell r="Q257">
            <v>0.71700000000000352</v>
          </cell>
          <cell r="R257">
            <v>0.73099999999999687</v>
          </cell>
          <cell r="S257">
            <v>0.80099999999999838</v>
          </cell>
          <cell r="T257">
            <v>1.230000000000004</v>
          </cell>
          <cell r="U257">
            <v>1.294999999999995</v>
          </cell>
          <cell r="V257">
            <v>1.8879999999999959</v>
          </cell>
          <cell r="W257">
            <v>2.8590000000000004</v>
          </cell>
          <cell r="X257">
            <v>117.74000000000001</v>
          </cell>
          <cell r="Y257">
            <v>0.65099999999998204</v>
          </cell>
          <cell r="Z257">
            <v>3.5030000000000143</v>
          </cell>
          <cell r="AA257">
            <v>13.644000000000014</v>
          </cell>
          <cell r="AB257">
            <v>1.8589999999999849</v>
          </cell>
          <cell r="AC257">
            <v>4.2619999999999871</v>
          </cell>
          <cell r="AD257">
            <v>179.02300000000002</v>
          </cell>
          <cell r="AE257">
            <v>2.4099999999999975</v>
          </cell>
          <cell r="AF257">
            <v>4.3509999999999991</v>
          </cell>
          <cell r="AG257">
            <v>4</v>
          </cell>
          <cell r="AH257">
            <v>4</v>
          </cell>
          <cell r="AI257">
            <v>4</v>
          </cell>
          <cell r="AL257">
            <v>1.8199999999999985</v>
          </cell>
          <cell r="AM257">
            <v>2.9600000000000009</v>
          </cell>
          <cell r="AN257">
            <v>7.2719999999999949</v>
          </cell>
          <cell r="AO257">
            <v>135.53800000000001</v>
          </cell>
          <cell r="AP257">
            <v>187.55399999999997</v>
          </cell>
          <cell r="AQ257">
            <v>16.350999999999999</v>
          </cell>
          <cell r="AR257">
            <v>15.255697800000007</v>
          </cell>
          <cell r="AS257">
            <v>16.715886017999992</v>
          </cell>
          <cell r="AT257">
            <v>17.929716510384026</v>
          </cell>
          <cell r="AU257">
            <v>20.543869177597969</v>
          </cell>
          <cell r="AV257">
            <v>23.239635691082412</v>
          </cell>
          <cell r="AW257">
            <v>25.98419018692789</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row>
        <row r="258">
          <cell r="I258" t="str">
            <v>Stock-based compensation adjustment (net of tax)</v>
          </cell>
          <cell r="M258">
            <v>0.04</v>
          </cell>
          <cell r="N258">
            <v>7.0000000000000007E-2</v>
          </cell>
          <cell r="O258">
            <v>6.9000000000000006E-2</v>
          </cell>
          <cell r="P258">
            <v>7.6999999999999999E-2</v>
          </cell>
          <cell r="Q258">
            <v>0.115</v>
          </cell>
          <cell r="R258">
            <v>9.7000000000000003E-2</v>
          </cell>
          <cell r="S258">
            <v>0.123</v>
          </cell>
          <cell r="T258">
            <v>0.10199999999999999</v>
          </cell>
          <cell r="U258">
            <v>0.39700000000000002</v>
          </cell>
          <cell r="V258">
            <v>0.60599999999999998</v>
          </cell>
          <cell r="W258">
            <v>0.72799999999999998</v>
          </cell>
          <cell r="X258">
            <v>1.23</v>
          </cell>
          <cell r="Y258">
            <v>1.1000000000000001</v>
          </cell>
          <cell r="Z258">
            <v>3.35</v>
          </cell>
          <cell r="AA258">
            <v>2.33</v>
          </cell>
          <cell r="AB258">
            <v>1.77</v>
          </cell>
          <cell r="AC258">
            <v>3.62</v>
          </cell>
          <cell r="AD258">
            <v>1.86</v>
          </cell>
          <cell r="AE258">
            <v>2.25</v>
          </cell>
          <cell r="AF258">
            <v>3.7720000000000002</v>
          </cell>
          <cell r="AG258">
            <v>4</v>
          </cell>
          <cell r="AH258">
            <v>4</v>
          </cell>
          <cell r="AI258">
            <v>4</v>
          </cell>
          <cell r="AK258">
            <v>0.129</v>
          </cell>
          <cell r="AL258">
            <v>0.21200000000000002</v>
          </cell>
          <cell r="AM258">
            <v>0.41200000000000003</v>
          </cell>
          <cell r="AN258">
            <v>1.833</v>
          </cell>
          <cell r="AO258">
            <v>8.01</v>
          </cell>
          <cell r="AP258">
            <v>9.5</v>
          </cell>
          <cell r="AQ258">
            <v>15.772</v>
          </cell>
          <cell r="AR258">
            <v>15.255697800000002</v>
          </cell>
          <cell r="AS258">
            <v>16.715886018000003</v>
          </cell>
          <cell r="AT258">
            <v>17.929716510384001</v>
          </cell>
          <cell r="AU258">
            <v>20.543869177597983</v>
          </cell>
          <cell r="AV258">
            <v>23.239635691082395</v>
          </cell>
          <cell r="AW258">
            <v>25.984190186927844</v>
          </cell>
        </row>
        <row r="259">
          <cell r="I259" t="str">
            <v>Tax Adjustments</v>
          </cell>
          <cell r="M259">
            <v>0</v>
          </cell>
          <cell r="N259">
            <v>0</v>
          </cell>
          <cell r="O259">
            <v>0</v>
          </cell>
          <cell r="P259">
            <v>0</v>
          </cell>
          <cell r="Q259">
            <v>0</v>
          </cell>
          <cell r="R259">
            <v>0</v>
          </cell>
          <cell r="S259">
            <v>0</v>
          </cell>
          <cell r="T259">
            <v>-4.761481481481411E-2</v>
          </cell>
          <cell r="U259">
            <v>0</v>
          </cell>
          <cell r="V259">
            <v>-0.17360000000000045</v>
          </cell>
          <cell r="W259">
            <v>-0.36419999999999997</v>
          </cell>
          <cell r="X259">
            <v>0</v>
          </cell>
          <cell r="Y259">
            <v>0</v>
          </cell>
          <cell r="Z259">
            <v>0</v>
          </cell>
          <cell r="AA259">
            <v>-0.37479999999999852</v>
          </cell>
          <cell r="AB259">
            <v>0</v>
          </cell>
          <cell r="AC259">
            <v>0</v>
          </cell>
          <cell r="AD259">
            <v>0</v>
          </cell>
          <cell r="AE259">
            <v>-2.4359999999999999</v>
          </cell>
          <cell r="AF259">
            <v>0</v>
          </cell>
          <cell r="AG259">
            <v>0</v>
          </cell>
          <cell r="AH259">
            <v>-1.5127976404886885</v>
          </cell>
          <cell r="AI259">
            <v>-2.5199999999999996</v>
          </cell>
          <cell r="AJ259">
            <v>0</v>
          </cell>
          <cell r="AK259">
            <v>0</v>
          </cell>
          <cell r="AL259">
            <v>0</v>
          </cell>
          <cell r="AM259">
            <v>0</v>
          </cell>
          <cell r="AN259">
            <v>-0.5854148148148145</v>
          </cell>
          <cell r="AO259">
            <v>-0.37479999999999852</v>
          </cell>
          <cell r="AP259">
            <v>-2.4359999999999995</v>
          </cell>
          <cell r="AQ259">
            <v>-4.0327976404886883</v>
          </cell>
          <cell r="AR259">
            <v>-9.5971651640000033</v>
          </cell>
          <cell r="AS259">
            <v>-9.6177189664799982</v>
          </cell>
          <cell r="AT259">
            <v>-9.775400778634399</v>
          </cell>
          <cell r="AU259">
            <v>-10.690354212159288</v>
          </cell>
          <cell r="AV259">
            <v>-11.633872491878833</v>
          </cell>
          <cell r="AW259">
            <v>-12.594466565424739</v>
          </cell>
        </row>
        <row r="260">
          <cell r="L260">
            <v>0.4</v>
          </cell>
          <cell r="M260">
            <v>0.4</v>
          </cell>
          <cell r="N260">
            <v>0.4</v>
          </cell>
          <cell r="O260">
            <v>0.4</v>
          </cell>
          <cell r="P260">
            <v>0.4</v>
          </cell>
          <cell r="Q260">
            <v>0.4</v>
          </cell>
          <cell r="R260">
            <v>0.4</v>
          </cell>
          <cell r="S260">
            <v>0.4</v>
          </cell>
          <cell r="T260">
            <v>0.4</v>
          </cell>
          <cell r="U260">
            <v>0.4</v>
          </cell>
          <cell r="V260">
            <v>0.4</v>
          </cell>
          <cell r="W260">
            <v>0.4</v>
          </cell>
          <cell r="X260">
            <v>0.4</v>
          </cell>
          <cell r="Y260">
            <v>0.4</v>
          </cell>
          <cell r="Z260">
            <v>0.4</v>
          </cell>
          <cell r="AA260">
            <v>0.4</v>
          </cell>
          <cell r="AB260">
            <v>0.4</v>
          </cell>
          <cell r="AC260">
            <v>0.4</v>
          </cell>
          <cell r="AD260">
            <v>0.4</v>
          </cell>
          <cell r="AE260">
            <v>0.4</v>
          </cell>
          <cell r="AF260">
            <v>0.4</v>
          </cell>
          <cell r="AG260">
            <v>0.4</v>
          </cell>
          <cell r="AH260">
            <v>0.4</v>
          </cell>
          <cell r="AI260">
            <v>0.4</v>
          </cell>
          <cell r="AK260">
            <v>0.4</v>
          </cell>
          <cell r="AL260">
            <v>0.4</v>
          </cell>
          <cell r="AM260">
            <v>0.4</v>
          </cell>
          <cell r="AN260">
            <v>0.4</v>
          </cell>
          <cell r="AO260">
            <v>0.4</v>
          </cell>
          <cell r="AP260">
            <v>0.4</v>
          </cell>
          <cell r="AQ260">
            <v>0.4</v>
          </cell>
          <cell r="AR260">
            <v>0.4</v>
          </cell>
          <cell r="AS260">
            <v>0.4</v>
          </cell>
          <cell r="AT260">
            <v>0.4</v>
          </cell>
          <cell r="AU260">
            <v>0.4</v>
          </cell>
          <cell r="AV260">
            <v>0.4</v>
          </cell>
          <cell r="AW260">
            <v>0.4</v>
          </cell>
        </row>
      </sheetData>
      <sheetData sheetId="4" refreshError="1">
        <row r="1">
          <cell r="B1" t="str">
            <v>ElementName</v>
          </cell>
          <cell r="C1" t="str">
            <v>ScaleOverride</v>
          </cell>
          <cell r="D1" t="str">
            <v>UnitOverride</v>
          </cell>
          <cell r="E1" t="str">
            <v>ReverseSign</v>
          </cell>
          <cell r="F1" t="str">
            <v>IsDrivingAssumption</v>
          </cell>
          <cell r="G1" t="str">
            <v>SegmentID</v>
          </cell>
          <cell r="I1" t="str">
            <v>Select Model Case:</v>
          </cell>
          <cell r="K1">
            <v>4</v>
          </cell>
          <cell r="AI1" t="str">
            <v>Jordan Monahan: 212-761-8094 | jordan.monahan@morganstanley.com</v>
          </cell>
        </row>
        <row r="2">
          <cell r="AI2" t="str">
            <v>Erhan Soyer-Osman: 212-761-3483 | erhan.soyer@morganstanley.com</v>
          </cell>
        </row>
        <row r="4">
          <cell r="L4" t="str">
            <v>2009-Q1</v>
          </cell>
          <cell r="M4" t="str">
            <v>2009-Q2</v>
          </cell>
          <cell r="N4" t="str">
            <v>2009-Q3</v>
          </cell>
          <cell r="O4" t="str">
            <v>2009-Q4</v>
          </cell>
          <cell r="P4" t="str">
            <v>2010-Q1</v>
          </cell>
          <cell r="Q4" t="str">
            <v>2010-Q2</v>
          </cell>
          <cell r="R4" t="str">
            <v>2010-Q3</v>
          </cell>
          <cell r="S4" t="str">
            <v>2010-Q4</v>
          </cell>
          <cell r="T4" t="str">
            <v>2011-Q1</v>
          </cell>
          <cell r="U4" t="str">
            <v>2011-Q2</v>
          </cell>
          <cell r="V4" t="str">
            <v>2011-Q3</v>
          </cell>
          <cell r="W4" t="str">
            <v>2011-Q4</v>
          </cell>
          <cell r="X4" t="str">
            <v>2012-Q1</v>
          </cell>
          <cell r="Y4" t="str">
            <v>2012-Q2</v>
          </cell>
          <cell r="Z4" t="str">
            <v>2012-Q3</v>
          </cell>
          <cell r="AA4" t="str">
            <v>2012-Q4</v>
          </cell>
          <cell r="AB4" t="str">
            <v>2013-Q1</v>
          </cell>
          <cell r="AC4" t="str">
            <v>2013-Q2</v>
          </cell>
          <cell r="AD4" t="str">
            <v>2013-Q3</v>
          </cell>
          <cell r="AE4" t="str">
            <v>2013-Q4</v>
          </cell>
          <cell r="AF4" t="str">
            <v>2014-Q1</v>
          </cell>
          <cell r="AG4" t="str">
            <v>2014-Q2</v>
          </cell>
          <cell r="AH4" t="str">
            <v>2014-Q3</v>
          </cell>
          <cell r="AI4" t="str">
            <v>2014-Q4</v>
          </cell>
          <cell r="AK4" t="str">
            <v>2008-FY</v>
          </cell>
          <cell r="AL4" t="str">
            <v>2009-FY</v>
          </cell>
          <cell r="AM4" t="str">
            <v>2010-FY</v>
          </cell>
          <cell r="AN4" t="str">
            <v>2011-FY</v>
          </cell>
          <cell r="AO4" t="str">
            <v>2012-FY</v>
          </cell>
          <cell r="AP4" t="str">
            <v>2013-FY</v>
          </cell>
          <cell r="AQ4" t="str">
            <v>2014-FY</v>
          </cell>
          <cell r="AR4" t="str">
            <v>2015-FY</v>
          </cell>
          <cell r="AS4" t="str">
            <v>2016-FY</v>
          </cell>
          <cell r="AT4" t="str">
            <v>2017-FY</v>
          </cell>
          <cell r="AU4" t="str">
            <v>2018-FY</v>
          </cell>
          <cell r="AV4" t="str">
            <v>2019-FY</v>
          </cell>
          <cell r="AW4" t="str">
            <v>2020-FY</v>
          </cell>
        </row>
        <row r="5">
          <cell r="I5" t="str">
            <v>Period-End Date</v>
          </cell>
          <cell r="L5">
            <v>39903</v>
          </cell>
          <cell r="M5">
            <v>39994</v>
          </cell>
          <cell r="N5">
            <v>40086</v>
          </cell>
          <cell r="O5">
            <v>40178</v>
          </cell>
          <cell r="P5">
            <v>40268</v>
          </cell>
          <cell r="Q5">
            <v>40359</v>
          </cell>
          <cell r="R5">
            <v>40451</v>
          </cell>
          <cell r="S5">
            <v>40543</v>
          </cell>
          <cell r="T5">
            <v>40633</v>
          </cell>
          <cell r="U5">
            <v>40724</v>
          </cell>
          <cell r="V5">
            <v>40816</v>
          </cell>
          <cell r="W5">
            <v>40908</v>
          </cell>
          <cell r="X5">
            <v>40999</v>
          </cell>
          <cell r="Y5">
            <v>41090</v>
          </cell>
          <cell r="Z5">
            <v>41182</v>
          </cell>
          <cell r="AA5">
            <v>41274</v>
          </cell>
          <cell r="AB5">
            <v>41364</v>
          </cell>
          <cell r="AC5">
            <v>41455</v>
          </cell>
          <cell r="AD5">
            <v>41547</v>
          </cell>
          <cell r="AE5">
            <v>41639</v>
          </cell>
          <cell r="AF5">
            <v>41729</v>
          </cell>
          <cell r="AG5">
            <v>41820</v>
          </cell>
          <cell r="AH5">
            <v>41912</v>
          </cell>
          <cell r="AI5">
            <v>42004</v>
          </cell>
          <cell r="AK5">
            <v>39813</v>
          </cell>
          <cell r="AL5">
            <v>40178</v>
          </cell>
          <cell r="AM5">
            <v>40543</v>
          </cell>
          <cell r="AN5">
            <v>40908</v>
          </cell>
          <cell r="AO5">
            <v>41274</v>
          </cell>
          <cell r="AP5">
            <v>41639</v>
          </cell>
          <cell r="AQ5">
            <v>42004</v>
          </cell>
          <cell r="AR5">
            <v>42369</v>
          </cell>
          <cell r="AS5">
            <v>42735</v>
          </cell>
          <cell r="AT5">
            <v>43100</v>
          </cell>
          <cell r="AU5">
            <v>43465</v>
          </cell>
          <cell r="AV5">
            <v>43830</v>
          </cell>
          <cell r="AW5">
            <v>44196</v>
          </cell>
        </row>
        <row r="6">
          <cell r="I6" t="str">
            <v>Morgan Stanley | Millennial Media model</v>
          </cell>
          <cell r="L6">
            <v>40178</v>
          </cell>
          <cell r="P6">
            <v>40543</v>
          </cell>
          <cell r="T6">
            <v>40908</v>
          </cell>
          <cell r="X6">
            <v>41274</v>
          </cell>
          <cell r="AB6">
            <v>41639</v>
          </cell>
          <cell r="AF6">
            <v>42004</v>
          </cell>
        </row>
        <row r="7">
          <cell r="I7" t="str">
            <v>(USD millions)</v>
          </cell>
          <cell r="L7">
            <v>1</v>
          </cell>
          <cell r="M7">
            <v>2</v>
          </cell>
          <cell r="N7">
            <v>3</v>
          </cell>
          <cell r="O7">
            <v>4</v>
          </cell>
          <cell r="P7">
            <v>1</v>
          </cell>
          <cell r="Q7">
            <v>2</v>
          </cell>
          <cell r="R7">
            <v>3</v>
          </cell>
          <cell r="S7">
            <v>4</v>
          </cell>
          <cell r="T7">
            <v>1</v>
          </cell>
          <cell r="U7">
            <v>2</v>
          </cell>
          <cell r="V7">
            <v>3</v>
          </cell>
          <cell r="W7">
            <v>4</v>
          </cell>
          <cell r="X7">
            <v>1</v>
          </cell>
          <cell r="Y7">
            <v>2</v>
          </cell>
          <cell r="Z7">
            <v>3</v>
          </cell>
          <cell r="AA7">
            <v>4</v>
          </cell>
          <cell r="AB7">
            <v>1</v>
          </cell>
          <cell r="AC7">
            <v>2</v>
          </cell>
          <cell r="AD7">
            <v>3</v>
          </cell>
          <cell r="AE7">
            <v>4</v>
          </cell>
          <cell r="AF7">
            <v>1</v>
          </cell>
          <cell r="AG7">
            <v>2</v>
          </cell>
          <cell r="AH7">
            <v>3</v>
          </cell>
          <cell r="AI7">
            <v>4</v>
          </cell>
          <cell r="AK7">
            <v>39813</v>
          </cell>
          <cell r="AL7">
            <v>40178</v>
          </cell>
          <cell r="AM7">
            <v>40543</v>
          </cell>
          <cell r="AN7">
            <v>40908</v>
          </cell>
          <cell r="AO7">
            <v>41274</v>
          </cell>
          <cell r="AP7">
            <v>41639</v>
          </cell>
          <cell r="AQ7">
            <v>42004</v>
          </cell>
          <cell r="AR7">
            <v>42369</v>
          </cell>
          <cell r="AS7">
            <v>42735</v>
          </cell>
          <cell r="AT7">
            <v>43100</v>
          </cell>
          <cell r="AU7">
            <v>43465</v>
          </cell>
          <cell r="AV7">
            <v>43830</v>
          </cell>
          <cell r="AW7">
            <v>44196</v>
          </cell>
        </row>
        <row r="8">
          <cell r="I8" t="str">
            <v>REVENUE SUMMARY</v>
          </cell>
        </row>
        <row r="10">
          <cell r="I10" t="str">
            <v>Total revenue</v>
          </cell>
          <cell r="L10">
            <v>1.627</v>
          </cell>
          <cell r="M10">
            <v>3.3879999999999999</v>
          </cell>
          <cell r="N10">
            <v>4.1029999999999998</v>
          </cell>
          <cell r="O10">
            <v>7.1020000000000003</v>
          </cell>
          <cell r="P10">
            <v>8.8249999999999993</v>
          </cell>
          <cell r="Q10">
            <v>9.2579999999999991</v>
          </cell>
          <cell r="R10">
            <v>11.004</v>
          </cell>
          <cell r="S10">
            <v>18.741</v>
          </cell>
          <cell r="T10">
            <v>21.492999999999999</v>
          </cell>
          <cell r="U10">
            <v>22.446999999999999</v>
          </cell>
          <cell r="V10">
            <v>25.189</v>
          </cell>
          <cell r="W10">
            <v>34.548999999999999</v>
          </cell>
          <cell r="X10">
            <v>47.86</v>
          </cell>
          <cell r="Y10">
            <v>55.57</v>
          </cell>
          <cell r="Z10">
            <v>62.024999999999999</v>
          </cell>
          <cell r="AA10">
            <v>75.849999999999994</v>
          </cell>
          <cell r="AB10">
            <v>64.62</v>
          </cell>
          <cell r="AC10">
            <v>81.319999999999993</v>
          </cell>
          <cell r="AD10">
            <v>86.319000000000003</v>
          </cell>
          <cell r="AE10">
            <v>109.49</v>
          </cell>
          <cell r="AF10">
            <v>72.62</v>
          </cell>
          <cell r="AG10">
            <v>75.221000000000004</v>
          </cell>
          <cell r="AH10">
            <v>94.950900000000004</v>
          </cell>
          <cell r="AI10">
            <v>120.43900000000001</v>
          </cell>
          <cell r="AK10">
            <v>6.2809999999999997</v>
          </cell>
          <cell r="AL10">
            <v>16.22</v>
          </cell>
          <cell r="AM10">
            <v>47.827999999999996</v>
          </cell>
          <cell r="AN10">
            <v>103.678</v>
          </cell>
          <cell r="AO10">
            <v>241.30500000000001</v>
          </cell>
          <cell r="AP10">
            <v>341.74900000000002</v>
          </cell>
          <cell r="AQ10">
            <v>363.23090000000002</v>
          </cell>
          <cell r="AR10">
            <v>435.87708000000003</v>
          </cell>
          <cell r="AS10">
            <v>514.33495440000002</v>
          </cell>
          <cell r="AT10">
            <v>597.65721701279995</v>
          </cell>
          <cell r="AU10">
            <v>684.79563925326613</v>
          </cell>
          <cell r="AV10">
            <v>774.65452303607981</v>
          </cell>
          <cell r="AW10">
            <v>866.13967289759478</v>
          </cell>
        </row>
        <row r="11">
          <cell r="I11" t="str">
            <v>Period-to-period change</v>
          </cell>
          <cell r="L11" t="str">
            <v>NA</v>
          </cell>
          <cell r="M11">
            <v>1.7609999999999999</v>
          </cell>
          <cell r="N11">
            <v>0.71499999999999986</v>
          </cell>
          <cell r="O11">
            <v>2.9990000000000006</v>
          </cell>
          <cell r="P11">
            <v>1.722999999999999</v>
          </cell>
          <cell r="Q11">
            <v>0.43299999999999983</v>
          </cell>
          <cell r="R11">
            <v>1.7460000000000004</v>
          </cell>
          <cell r="S11">
            <v>7.7370000000000001</v>
          </cell>
          <cell r="T11">
            <v>2.7519999999999989</v>
          </cell>
          <cell r="U11">
            <v>0.95400000000000063</v>
          </cell>
          <cell r="V11">
            <v>2.7420000000000009</v>
          </cell>
          <cell r="W11">
            <v>9.36</v>
          </cell>
          <cell r="X11">
            <v>13.311</v>
          </cell>
          <cell r="Y11">
            <v>7.7100000000000009</v>
          </cell>
          <cell r="Z11">
            <v>6.4549999999999983</v>
          </cell>
          <cell r="AA11">
            <v>13.824999999999996</v>
          </cell>
          <cell r="AB11">
            <v>-11.22999999999999</v>
          </cell>
          <cell r="AC11">
            <v>16.699999999999989</v>
          </cell>
          <cell r="AD11">
            <v>4.9990000000000094</v>
          </cell>
          <cell r="AE11">
            <v>23.170999999999992</v>
          </cell>
          <cell r="AF11">
            <v>-36.86999999999999</v>
          </cell>
          <cell r="AG11">
            <v>2.6009999999999991</v>
          </cell>
          <cell r="AH11">
            <v>19.729900000000001</v>
          </cell>
          <cell r="AI11">
            <v>25.488100000000003</v>
          </cell>
          <cell r="AL11">
            <v>9.9390000000000001</v>
          </cell>
          <cell r="AM11">
            <v>31.607999999999997</v>
          </cell>
          <cell r="AN11">
            <v>55.85</v>
          </cell>
          <cell r="AO11">
            <v>137.62700000000001</v>
          </cell>
          <cell r="AP11">
            <v>100.44400000000002</v>
          </cell>
          <cell r="AQ11">
            <v>21.481899999999996</v>
          </cell>
          <cell r="AR11">
            <v>72.646180000000015</v>
          </cell>
          <cell r="AS11">
            <v>78.45787439999998</v>
          </cell>
          <cell r="AT11">
            <v>83.322262612799932</v>
          </cell>
          <cell r="AU11">
            <v>87.138422240466184</v>
          </cell>
          <cell r="AV11">
            <v>89.858883782813677</v>
          </cell>
          <cell r="AW11">
            <v>91.485149861514969</v>
          </cell>
        </row>
        <row r="12">
          <cell r="I12" t="str">
            <v>% change Y/Y</v>
          </cell>
          <cell r="L12" t="str">
            <v>NA</v>
          </cell>
          <cell r="M12" t="str">
            <v>NA</v>
          </cell>
          <cell r="N12" t="str">
            <v>NA</v>
          </cell>
          <cell r="O12" t="str">
            <v>NA</v>
          </cell>
          <cell r="P12">
            <v>4.4240934234787952</v>
          </cell>
          <cell r="Q12">
            <v>1.7325855962219596</v>
          </cell>
          <cell r="R12">
            <v>1.6819400438703389</v>
          </cell>
          <cell r="S12">
            <v>1.6388341312306389</v>
          </cell>
          <cell r="T12">
            <v>1.4354674220963175</v>
          </cell>
          <cell r="U12">
            <v>1.4246057463815078</v>
          </cell>
          <cell r="V12">
            <v>1.2890766993820431</v>
          </cell>
          <cell r="W12">
            <v>0.84349821247532142</v>
          </cell>
          <cell r="X12">
            <v>1.22677150700228</v>
          </cell>
          <cell r="Y12">
            <v>1.4756092128124028</v>
          </cell>
          <cell r="Z12">
            <v>1.4623843741315654</v>
          </cell>
          <cell r="AA12">
            <v>1.1954325740252973</v>
          </cell>
          <cell r="AB12">
            <v>0.35018804847471796</v>
          </cell>
          <cell r="AC12">
            <v>0.46337952132445559</v>
          </cell>
          <cell r="AD12">
            <v>0.39168077388149958</v>
          </cell>
          <cell r="AE12">
            <v>0.44350692155570215</v>
          </cell>
          <cell r="AF12">
            <v>0.12380068090374485</v>
          </cell>
          <cell r="AG12">
            <v>-7.4999999999999845E-2</v>
          </cell>
          <cell r="AH12">
            <v>0.10000000000000009</v>
          </cell>
          <cell r="AI12">
            <v>0.10000000000000009</v>
          </cell>
          <cell r="AL12">
            <v>1.5823913389587645</v>
          </cell>
          <cell r="AM12">
            <v>1.9487053020961773</v>
          </cell>
          <cell r="AN12">
            <v>1.1677260182319982</v>
          </cell>
          <cell r="AO12">
            <v>1.3274465171010243</v>
          </cell>
          <cell r="AP12">
            <v>0.4162532894055242</v>
          </cell>
          <cell r="AQ12">
            <v>6.2858706243471119E-2</v>
          </cell>
          <cell r="AR12">
            <v>0.19999999999999996</v>
          </cell>
          <cell r="AS12">
            <v>0.17999999999999994</v>
          </cell>
          <cell r="AT12">
            <v>0.16199999999999992</v>
          </cell>
          <cell r="AU12">
            <v>0.14579999999999993</v>
          </cell>
          <cell r="AV12">
            <v>0.13122000000000011</v>
          </cell>
          <cell r="AW12">
            <v>0.11809800000000004</v>
          </cell>
        </row>
        <row r="13">
          <cell r="I13" t="str">
            <v>% change Q/Q</v>
          </cell>
          <cell r="L13" t="str">
            <v>NA</v>
          </cell>
          <cell r="M13">
            <v>1.082360172095882</v>
          </cell>
          <cell r="N13">
            <v>0.21103896103896091</v>
          </cell>
          <cell r="O13">
            <v>0.73092858883743617</v>
          </cell>
          <cell r="P13">
            <v>0.24260771613629939</v>
          </cell>
          <cell r="Q13">
            <v>4.9065155807365368E-2</v>
          </cell>
          <cell r="R13">
            <v>0.1885936487362283</v>
          </cell>
          <cell r="S13">
            <v>0.70310796074154847</v>
          </cell>
          <cell r="T13">
            <v>0.14684381836614913</v>
          </cell>
          <cell r="U13">
            <v>4.438654445633472E-2</v>
          </cell>
          <cell r="V13">
            <v>0.12215440816144696</v>
          </cell>
          <cell r="W13">
            <v>0.37159077375044669</v>
          </cell>
          <cell r="X13">
            <v>0.38527887927291671</v>
          </cell>
          <cell r="Y13">
            <v>0.16109486000835771</v>
          </cell>
          <cell r="Z13">
            <v>0.11615979845240232</v>
          </cell>
          <cell r="AA13">
            <v>0.22289399435711399</v>
          </cell>
          <cell r="AB13">
            <v>-0.14805537244561617</v>
          </cell>
          <cell r="AC13">
            <v>0.2584339213865674</v>
          </cell>
          <cell r="AD13">
            <v>6.147319232661097E-2</v>
          </cell>
          <cell r="AE13">
            <v>0.26843452774012655</v>
          </cell>
          <cell r="AF13">
            <v>-0.33674308155995969</v>
          </cell>
          <cell r="AG13">
            <v>3.581657945469563E-2</v>
          </cell>
          <cell r="AH13">
            <v>0.26229244492894277</v>
          </cell>
          <cell r="AI13">
            <v>0.26843452774012677</v>
          </cell>
        </row>
        <row r="14">
          <cell r="I14" t="str">
            <v>DRIVER: Base case - % change Y/Y</v>
          </cell>
          <cell r="AG14">
            <v>-7.4999999999999997E-2</v>
          </cell>
          <cell r="AH14">
            <v>0.1</v>
          </cell>
          <cell r="AI14">
            <v>0.1</v>
          </cell>
          <cell r="AR14">
            <v>0.2</v>
          </cell>
          <cell r="AS14">
            <v>0.18000000000000002</v>
          </cell>
          <cell r="AT14">
            <v>0.16200000000000003</v>
          </cell>
          <cell r="AU14">
            <v>0.14580000000000004</v>
          </cell>
          <cell r="AV14">
            <v>0.13122000000000003</v>
          </cell>
          <cell r="AW14">
            <v>0.11809800000000004</v>
          </cell>
        </row>
        <row r="15">
          <cell r="I15" t="str">
            <v>Bull case - % change Y/Y</v>
          </cell>
          <cell r="AG15">
            <v>-4.4999999999999998E-2</v>
          </cell>
          <cell r="AH15">
            <v>0.13</v>
          </cell>
          <cell r="AI15">
            <v>0.13</v>
          </cell>
          <cell r="AR15">
            <v>0.23</v>
          </cell>
          <cell r="AS15">
            <v>0.21000000000000002</v>
          </cell>
          <cell r="AT15">
            <v>0.19200000000000003</v>
          </cell>
          <cell r="AU15">
            <v>0.17580000000000004</v>
          </cell>
          <cell r="AV15">
            <v>0.16122000000000003</v>
          </cell>
          <cell r="AW15">
            <v>0.14809800000000004</v>
          </cell>
        </row>
        <row r="16">
          <cell r="I16" t="str">
            <v>Bull case spread - bps</v>
          </cell>
          <cell r="AG16">
            <v>300</v>
          </cell>
          <cell r="AH16">
            <v>300</v>
          </cell>
          <cell r="AI16">
            <v>300</v>
          </cell>
          <cell r="AR16">
            <v>300</v>
          </cell>
          <cell r="AS16">
            <v>300</v>
          </cell>
          <cell r="AT16">
            <v>300</v>
          </cell>
          <cell r="AU16">
            <v>300</v>
          </cell>
          <cell r="AV16">
            <v>300</v>
          </cell>
          <cell r="AW16">
            <v>300</v>
          </cell>
        </row>
        <row r="17">
          <cell r="I17" t="str">
            <v>Bear case - % change Y/Y</v>
          </cell>
          <cell r="AG17">
            <v>-0.105</v>
          </cell>
          <cell r="AH17">
            <v>7.0000000000000007E-2</v>
          </cell>
          <cell r="AI17">
            <v>7.0000000000000007E-2</v>
          </cell>
          <cell r="AR17">
            <v>0.17</v>
          </cell>
          <cell r="AS17">
            <v>0.15000000000000002</v>
          </cell>
          <cell r="AT17">
            <v>0.13200000000000003</v>
          </cell>
          <cell r="AU17">
            <v>0.11580000000000004</v>
          </cell>
          <cell r="AV17">
            <v>0.10122000000000003</v>
          </cell>
          <cell r="AW17">
            <v>8.8098000000000037E-2</v>
          </cell>
        </row>
        <row r="18">
          <cell r="I18" t="str">
            <v>Bear case spread - bps</v>
          </cell>
          <cell r="AG18">
            <v>-300</v>
          </cell>
          <cell r="AH18">
            <v>-300</v>
          </cell>
          <cell r="AI18">
            <v>-300</v>
          </cell>
          <cell r="AR18">
            <v>-300</v>
          </cell>
          <cell r="AS18">
            <v>-300</v>
          </cell>
          <cell r="AT18">
            <v>-300</v>
          </cell>
          <cell r="AU18">
            <v>-300</v>
          </cell>
          <cell r="AV18">
            <v>-300</v>
          </cell>
          <cell r="AW18">
            <v>-300</v>
          </cell>
        </row>
        <row r="19">
          <cell r="I19" t="str">
            <v>SCENARIO OUTPUT</v>
          </cell>
          <cell r="AG19">
            <v>-7.4999999999999997E-2</v>
          </cell>
          <cell r="AH19">
            <v>0.1</v>
          </cell>
          <cell r="AI19">
            <v>0.1</v>
          </cell>
          <cell r="AR19">
            <v>0.2</v>
          </cell>
          <cell r="AS19">
            <v>0.18000000000000002</v>
          </cell>
          <cell r="AT19">
            <v>0.16200000000000003</v>
          </cell>
          <cell r="AU19">
            <v>0.14580000000000004</v>
          </cell>
          <cell r="AV19">
            <v>0.13122000000000003</v>
          </cell>
          <cell r="AW19">
            <v>0.11809800000000004</v>
          </cell>
        </row>
        <row r="21">
          <cell r="I21" t="str">
            <v>Guidance</v>
          </cell>
          <cell r="X21">
            <v>30</v>
          </cell>
          <cell r="Y21">
            <v>37.5</v>
          </cell>
          <cell r="Z21">
            <v>44.25</v>
          </cell>
          <cell r="AA21">
            <v>62.25</v>
          </cell>
          <cell r="AB21">
            <v>49</v>
          </cell>
          <cell r="AC21">
            <v>59</v>
          </cell>
          <cell r="AD21">
            <v>82.5</v>
          </cell>
          <cell r="AE21">
            <v>97.5</v>
          </cell>
          <cell r="AF21">
            <v>74</v>
          </cell>
          <cell r="AG21">
            <v>72.5</v>
          </cell>
          <cell r="AP21">
            <v>329.75900000000001</v>
          </cell>
          <cell r="AQ21">
            <v>410.09880000000004</v>
          </cell>
        </row>
        <row r="22">
          <cell r="I22" t="str">
            <v>MS vs. consensus</v>
          </cell>
          <cell r="X22">
            <v>0.59533333333333327</v>
          </cell>
          <cell r="Y22">
            <v>0.48186666666666667</v>
          </cell>
          <cell r="Z22">
            <v>0.40169491525423728</v>
          </cell>
          <cell r="AA22">
            <v>0.21847389558232932</v>
          </cell>
          <cell r="AB22">
            <v>0.31877551020408168</v>
          </cell>
          <cell r="AC22">
            <v>0.37830508474576252</v>
          </cell>
          <cell r="AD22">
            <v>4.629090909090916E-2</v>
          </cell>
          <cell r="AE22">
            <v>0.12297435897435882</v>
          </cell>
          <cell r="AF22">
            <v>-1.8648648648648569E-2</v>
          </cell>
          <cell r="AG22">
            <v>3.753103448275863E-2</v>
          </cell>
          <cell r="AP22">
            <v>3.6359887069041363E-2</v>
          </cell>
          <cell r="AQ22">
            <v>-0.1142844114637741</v>
          </cell>
        </row>
        <row r="23">
          <cell r="I23" t="str">
            <v>% change Y/Y</v>
          </cell>
          <cell r="X23">
            <v>0.39580328479039695</v>
          </cell>
          <cell r="Y23">
            <v>0.67060186216420914</v>
          </cell>
          <cell r="Z23">
            <v>0.75671920282663074</v>
          </cell>
          <cell r="AA23">
            <v>0.80178876378476938</v>
          </cell>
          <cell r="AB23">
            <v>2.3819473464270713E-2</v>
          </cell>
          <cell r="AC23">
            <v>6.1723951772539198E-2</v>
          </cell>
          <cell r="AD23">
            <v>0.33010882708585254</v>
          </cell>
          <cell r="AE23">
            <v>0.28543177323665136</v>
          </cell>
          <cell r="AF23">
            <v>0.14515629835964083</v>
          </cell>
          <cell r="AG23">
            <v>-0.10846040334481055</v>
          </cell>
          <cell r="AP23">
            <v>0.36656513540954405</v>
          </cell>
          <cell r="AQ23">
            <v>0.2</v>
          </cell>
        </row>
        <row r="24">
          <cell r="I24" t="str">
            <v>% change Q/Q</v>
          </cell>
          <cell r="X24">
            <v>-0.13166806564589417</v>
          </cell>
          <cell r="Y24">
            <v>-0.216464688675303</v>
          </cell>
          <cell r="Z24">
            <v>-0.2037070361705956</v>
          </cell>
          <cell r="AA24">
            <v>3.6275695284160303E-3</v>
          </cell>
          <cell r="AB24">
            <v>-0.35398813447593935</v>
          </cell>
          <cell r="AC24">
            <v>-8.696997833488096E-2</v>
          </cell>
          <cell r="AD24">
            <v>1.4510575504181E-2</v>
          </cell>
          <cell r="AE24">
            <v>0.12953115768254952</v>
          </cell>
          <cell r="AF24">
            <v>-0.32413919079367981</v>
          </cell>
          <cell r="AG24">
            <v>-1.6524373450840235E-3</v>
          </cell>
        </row>
        <row r="26">
          <cell r="I26" t="str">
            <v>Consensus</v>
          </cell>
        </row>
        <row r="27">
          <cell r="I27" t="str">
            <v>MS vs. consensus</v>
          </cell>
          <cell r="AF27" t="str">
            <v>NA</v>
          </cell>
          <cell r="AG27" t="str">
            <v>NA</v>
          </cell>
          <cell r="AH27" t="str">
            <v>NA</v>
          </cell>
          <cell r="AI27" t="str">
            <v>NA</v>
          </cell>
          <cell r="AP27" t="str">
            <v>NA</v>
          </cell>
          <cell r="AQ27" t="str">
            <v>NA</v>
          </cell>
          <cell r="AR27" t="str">
            <v>NA</v>
          </cell>
        </row>
        <row r="28">
          <cell r="I28" t="str">
            <v>% change Y/Y</v>
          </cell>
          <cell r="AF28" t="str">
            <v>NM</v>
          </cell>
          <cell r="AG28" t="str">
            <v>NM</v>
          </cell>
          <cell r="AH28" t="str">
            <v>NM</v>
          </cell>
          <cell r="AI28" t="str">
            <v>NM</v>
          </cell>
          <cell r="AP28" t="str">
            <v>NM</v>
          </cell>
          <cell r="AQ28" t="str">
            <v>NM</v>
          </cell>
          <cell r="AR28" t="str">
            <v>NA</v>
          </cell>
        </row>
        <row r="29">
          <cell r="I29" t="str">
            <v>% change Q/Q</v>
          </cell>
          <cell r="AF29" t="str">
            <v>NM</v>
          </cell>
          <cell r="AG29" t="str">
            <v>NM</v>
          </cell>
          <cell r="AH29" t="str">
            <v>NA</v>
          </cell>
          <cell r="AI29" t="str">
            <v>NA</v>
          </cell>
        </row>
        <row r="32">
          <cell r="I32" t="str">
            <v>Millennial Media vs. Jumptap revenue</v>
          </cell>
        </row>
        <row r="33">
          <cell r="I33" t="str">
            <v>Core Millennial Media revenue</v>
          </cell>
          <cell r="L33">
            <v>1.627</v>
          </cell>
          <cell r="M33">
            <v>3.3879999999999999</v>
          </cell>
          <cell r="N33">
            <v>4.1029999999999998</v>
          </cell>
          <cell r="O33">
            <v>7.1020000000000003</v>
          </cell>
          <cell r="P33">
            <v>8.8249999999999993</v>
          </cell>
          <cell r="Q33">
            <v>9.2579999999999991</v>
          </cell>
          <cell r="R33">
            <v>11.004</v>
          </cell>
          <cell r="S33">
            <v>18.741</v>
          </cell>
          <cell r="T33">
            <v>21.492999999999999</v>
          </cell>
          <cell r="U33">
            <v>22.446999999999999</v>
          </cell>
          <cell r="V33">
            <v>25.189</v>
          </cell>
          <cell r="W33">
            <v>34.548999999999999</v>
          </cell>
          <cell r="X33">
            <v>32.93</v>
          </cell>
          <cell r="Y33">
            <v>39.411000000000001</v>
          </cell>
          <cell r="Z33">
            <v>47.366</v>
          </cell>
          <cell r="AA33">
            <v>57.959999999999987</v>
          </cell>
          <cell r="AB33">
            <v>49.438000000000002</v>
          </cell>
          <cell r="AC33">
            <v>57.009</v>
          </cell>
          <cell r="AD33">
            <v>56.061</v>
          </cell>
          <cell r="AE33">
            <v>73.70999999999998</v>
          </cell>
          <cell r="AF33">
            <v>53.379858062519347</v>
          </cell>
          <cell r="AG33">
            <v>50.476695000000007</v>
          </cell>
          <cell r="AH33">
            <v>58.818573000000001</v>
          </cell>
          <cell r="AI33">
            <v>81.080999999999989</v>
          </cell>
          <cell r="AK33">
            <v>6.2809999999999997</v>
          </cell>
          <cell r="AL33">
            <v>16.22</v>
          </cell>
          <cell r="AM33">
            <v>47.827999999999996</v>
          </cell>
          <cell r="AN33">
            <v>103.678</v>
          </cell>
          <cell r="AO33">
            <v>177.667</v>
          </cell>
          <cell r="AP33">
            <v>236.21799999999999</v>
          </cell>
          <cell r="AQ33">
            <v>243.75612606251934</v>
          </cell>
          <cell r="AR33">
            <v>280.36144051624797</v>
          </cell>
          <cell r="AS33">
            <v>315.39645117717259</v>
          </cell>
          <cell r="AT33">
            <v>348.56095975749048</v>
          </cell>
          <cell r="AU33">
            <v>378.83727851253457</v>
          </cell>
          <cell r="AV33">
            <v>405.30867050786702</v>
          </cell>
          <cell r="AW33">
            <v>427.19062369057724</v>
          </cell>
        </row>
        <row r="34">
          <cell r="I34" t="str">
            <v>Period-to-period change</v>
          </cell>
          <cell r="L34" t="str">
            <v>NA</v>
          </cell>
          <cell r="M34">
            <v>1.7609999999999999</v>
          </cell>
          <cell r="N34">
            <v>0.71499999999999986</v>
          </cell>
          <cell r="O34">
            <v>2.9990000000000006</v>
          </cell>
          <cell r="P34">
            <v>1.722999999999999</v>
          </cell>
          <cell r="Q34">
            <v>0.43299999999999983</v>
          </cell>
          <cell r="R34">
            <v>1.7460000000000004</v>
          </cell>
          <cell r="S34">
            <v>7.7370000000000001</v>
          </cell>
          <cell r="T34">
            <v>2.7519999999999989</v>
          </cell>
          <cell r="U34">
            <v>0.95400000000000063</v>
          </cell>
          <cell r="V34">
            <v>2.7420000000000009</v>
          </cell>
          <cell r="W34">
            <v>9.36</v>
          </cell>
          <cell r="X34">
            <v>-1.6189999999999998</v>
          </cell>
          <cell r="Y34">
            <v>6.4810000000000016</v>
          </cell>
          <cell r="Z34">
            <v>7.9549999999999983</v>
          </cell>
          <cell r="AA34">
            <v>10.593999999999987</v>
          </cell>
          <cell r="AB34">
            <v>-8.5219999999999843</v>
          </cell>
          <cell r="AC34">
            <v>7.570999999999998</v>
          </cell>
          <cell r="AD34">
            <v>-0.9480000000000004</v>
          </cell>
          <cell r="AE34">
            <v>17.64899999999998</v>
          </cell>
          <cell r="AF34">
            <v>-20.330141937480633</v>
          </cell>
          <cell r="AG34">
            <v>-2.9031630625193401</v>
          </cell>
          <cell r="AH34">
            <v>8.3418779999999941</v>
          </cell>
          <cell r="AI34">
            <v>22.262426999999988</v>
          </cell>
          <cell r="AL34">
            <v>9.9390000000000001</v>
          </cell>
          <cell r="AM34">
            <v>31.607999999999997</v>
          </cell>
          <cell r="AN34">
            <v>55.85</v>
          </cell>
          <cell r="AO34">
            <v>73.989000000000004</v>
          </cell>
          <cell r="AP34">
            <v>58.550999999999988</v>
          </cell>
          <cell r="AQ34">
            <v>7.5381260625193534</v>
          </cell>
          <cell r="AR34">
            <v>36.605314453728624</v>
          </cell>
          <cell r="AS34">
            <v>35.035010660924627</v>
          </cell>
          <cell r="AT34">
            <v>33.164508580317886</v>
          </cell>
          <cell r="AU34">
            <v>30.276318755044088</v>
          </cell>
          <cell r="AV34">
            <v>26.471391995332453</v>
          </cell>
          <cell r="AW34">
            <v>21.88195318271022</v>
          </cell>
        </row>
        <row r="35">
          <cell r="I35" t="str">
            <v>% change Y/Y</v>
          </cell>
          <cell r="L35" t="str">
            <v>NA</v>
          </cell>
          <cell r="M35" t="str">
            <v>NA</v>
          </cell>
          <cell r="N35" t="str">
            <v>NA</v>
          </cell>
          <cell r="O35" t="str">
            <v>NA</v>
          </cell>
          <cell r="P35">
            <v>4.4240934234787952</v>
          </cell>
          <cell r="Q35">
            <v>1.7325855962219596</v>
          </cell>
          <cell r="R35">
            <v>1.6819400438703389</v>
          </cell>
          <cell r="S35">
            <v>1.6388341312306389</v>
          </cell>
          <cell r="T35">
            <v>1.4354674220963175</v>
          </cell>
          <cell r="U35">
            <v>1.4246057463815078</v>
          </cell>
          <cell r="V35">
            <v>1.2890766993820431</v>
          </cell>
          <cell r="W35">
            <v>0.84349821247532142</v>
          </cell>
          <cell r="X35">
            <v>0.53212673893825913</v>
          </cell>
          <cell r="Y35">
            <v>0.75573573306009734</v>
          </cell>
          <cell r="Z35">
            <v>0.88042399460081788</v>
          </cell>
          <cell r="AA35">
            <v>0.67761729717213193</v>
          </cell>
          <cell r="AB35">
            <v>0.50130580018220483</v>
          </cell>
          <cell r="AC35">
            <v>0.44652508182994599</v>
          </cell>
          <cell r="AD35">
            <v>0.18357049360300648</v>
          </cell>
          <cell r="AE35">
            <v>0.27173913043478248</v>
          </cell>
          <cell r="AF35">
            <v>7.9733364264722439E-2</v>
          </cell>
          <cell r="AG35">
            <v>-0.11458374993422082</v>
          </cell>
          <cell r="AH35">
            <v>4.9188794349012799E-2</v>
          </cell>
          <cell r="AI35">
            <v>0.10000000000000009</v>
          </cell>
          <cell r="AL35">
            <v>1.5823913389587645</v>
          </cell>
          <cell r="AM35">
            <v>1.9487053020961773</v>
          </cell>
          <cell r="AN35">
            <v>1.1677260182319982</v>
          </cell>
          <cell r="AO35">
            <v>0.71364223846910635</v>
          </cell>
          <cell r="AP35">
            <v>0.3295547287903775</v>
          </cell>
          <cell r="AQ35">
            <v>3.1911734340817954E-2</v>
          </cell>
          <cell r="AR35">
            <v>0.15017187483665539</v>
          </cell>
          <cell r="AS35">
            <v>0.12496372752405738</v>
          </cell>
          <cell r="AT35">
            <v>0.10515181276306707</v>
          </cell>
          <cell r="AU35">
            <v>8.6860900245709249E-2</v>
          </cell>
          <cell r="AV35">
            <v>6.9875362053253065E-2</v>
          </cell>
          <cell r="AW35">
            <v>5.3988366829881285E-2</v>
          </cell>
        </row>
        <row r="36">
          <cell r="I36" t="str">
            <v>% change Q/Q</v>
          </cell>
          <cell r="L36" t="str">
            <v>NA</v>
          </cell>
          <cell r="M36">
            <v>1.082360172095882</v>
          </cell>
          <cell r="N36">
            <v>0.21103896103896091</v>
          </cell>
          <cell r="O36">
            <v>0.73092858883743617</v>
          </cell>
          <cell r="P36">
            <v>0.24260771613629939</v>
          </cell>
          <cell r="Q36">
            <v>4.9065155807365368E-2</v>
          </cell>
          <cell r="R36">
            <v>0.1885936487362283</v>
          </cell>
          <cell r="S36">
            <v>0.70310796074154847</v>
          </cell>
          <cell r="T36">
            <v>0.14684381836614913</v>
          </cell>
          <cell r="U36">
            <v>4.438654445633472E-2</v>
          </cell>
          <cell r="V36">
            <v>0.12215440816144696</v>
          </cell>
          <cell r="W36">
            <v>0.37159077375044669</v>
          </cell>
          <cell r="X36">
            <v>-4.6860980057309876E-2</v>
          </cell>
          <cell r="Y36">
            <v>0.19681141815973291</v>
          </cell>
          <cell r="Z36">
            <v>0.20184720002029888</v>
          </cell>
          <cell r="AA36">
            <v>0.22366254275218478</v>
          </cell>
          <cell r="AB36">
            <v>-0.14703243616287076</v>
          </cell>
          <cell r="AC36">
            <v>0.15314130830535211</v>
          </cell>
          <cell r="AD36">
            <v>-1.6628953323159501E-2</v>
          </cell>
          <cell r="AE36">
            <v>0.31481778776689651</v>
          </cell>
          <cell r="AF36">
            <v>-0.27581253476435541</v>
          </cell>
          <cell r="AG36">
            <v>-5.4386863657807205E-2</v>
          </cell>
          <cell r="AH36">
            <v>0.16526196891456535</v>
          </cell>
          <cell r="AI36">
            <v>0.37849315045436382</v>
          </cell>
        </row>
        <row r="37">
          <cell r="I37" t="str">
            <v>% of total revenue</v>
          </cell>
          <cell r="L37">
            <v>1</v>
          </cell>
          <cell r="M37">
            <v>1</v>
          </cell>
          <cell r="N37">
            <v>1</v>
          </cell>
          <cell r="O37">
            <v>1</v>
          </cell>
          <cell r="P37">
            <v>1</v>
          </cell>
          <cell r="Q37">
            <v>1</v>
          </cell>
          <cell r="R37">
            <v>1</v>
          </cell>
          <cell r="S37">
            <v>1</v>
          </cell>
          <cell r="T37">
            <v>1</v>
          </cell>
          <cell r="U37">
            <v>1</v>
          </cell>
          <cell r="V37">
            <v>1</v>
          </cell>
          <cell r="W37">
            <v>1</v>
          </cell>
          <cell r="X37">
            <v>0.68804847471792729</v>
          </cell>
          <cell r="Y37">
            <v>0.70921360446283965</v>
          </cell>
          <cell r="Z37">
            <v>0.76365981459089083</v>
          </cell>
          <cell r="AA37">
            <v>0.76413974950560304</v>
          </cell>
          <cell r="AB37">
            <v>0.76505725781491796</v>
          </cell>
          <cell r="AC37">
            <v>0.7010452533202165</v>
          </cell>
          <cell r="AD37">
            <v>0.64946303826504015</v>
          </cell>
          <cell r="AE37">
            <v>0.67321216549456553</v>
          </cell>
          <cell r="AF37">
            <v>0.73505725781491793</v>
          </cell>
          <cell r="AG37">
            <v>0.67104525332021647</v>
          </cell>
          <cell r="AH37">
            <v>0.61946303826504012</v>
          </cell>
          <cell r="AI37">
            <v>0.67321216549456553</v>
          </cell>
          <cell r="AK37">
            <v>1</v>
          </cell>
          <cell r="AL37">
            <v>1</v>
          </cell>
          <cell r="AM37">
            <v>1</v>
          </cell>
          <cell r="AN37">
            <v>1</v>
          </cell>
          <cell r="AO37">
            <v>0.73627566772342057</v>
          </cell>
          <cell r="AP37">
            <v>0.69120319298666555</v>
          </cell>
          <cell r="AQ37">
            <v>0.67107761498958196</v>
          </cell>
          <cell r="AR37">
            <v>0.6432121654945655</v>
          </cell>
          <cell r="AS37">
            <v>0.61321216549456548</v>
          </cell>
          <cell r="AT37">
            <v>0.58321216549456545</v>
          </cell>
          <cell r="AU37">
            <v>0.55321216549456542</v>
          </cell>
          <cell r="AV37">
            <v>0.5232121654945654</v>
          </cell>
          <cell r="AW37">
            <v>0.49321216549456537</v>
          </cell>
        </row>
        <row r="39">
          <cell r="I39" t="str">
            <v>US Millennial Media revenue</v>
          </cell>
          <cell r="P39">
            <v>8.7367499999999989</v>
          </cell>
          <cell r="Q39">
            <v>9.0728399999999993</v>
          </cell>
          <cell r="R39">
            <v>10.67388</v>
          </cell>
          <cell r="S39">
            <v>17.838529999999999</v>
          </cell>
          <cell r="T39">
            <v>20.192999999999998</v>
          </cell>
          <cell r="U39">
            <v>20.646999999999998</v>
          </cell>
          <cell r="V39">
            <v>22.166319999999999</v>
          </cell>
          <cell r="W39">
            <v>30.350679999999997</v>
          </cell>
          <cell r="X39">
            <v>28.93</v>
          </cell>
          <cell r="Y39">
            <v>34.811</v>
          </cell>
          <cell r="Z39">
            <v>41.165999999999997</v>
          </cell>
          <cell r="AA39">
            <v>46.535999999999987</v>
          </cell>
          <cell r="AB39">
            <v>37.547920000000005</v>
          </cell>
          <cell r="AC39">
            <v>35.052599999999998</v>
          </cell>
          <cell r="AD39">
            <v>40.960999999999999</v>
          </cell>
          <cell r="AE39">
            <v>53.461738631124064</v>
          </cell>
          <cell r="AF39">
            <v>39.2238586232302</v>
          </cell>
          <cell r="AG39">
            <v>35.061466082032929</v>
          </cell>
          <cell r="AH39">
            <v>38.410536999999998</v>
          </cell>
          <cell r="AI39">
            <v>53.990352494236475</v>
          </cell>
        </row>
        <row r="40">
          <cell r="I40" t="str">
            <v>Period-to-period change</v>
          </cell>
          <cell r="P40">
            <v>8.7367499999999989</v>
          </cell>
          <cell r="Q40">
            <v>0.33609000000000044</v>
          </cell>
          <cell r="R40">
            <v>1.6010400000000011</v>
          </cell>
          <cell r="S40">
            <v>7.1646499999999982</v>
          </cell>
          <cell r="T40">
            <v>2.3544699999999992</v>
          </cell>
          <cell r="U40">
            <v>0.45400000000000063</v>
          </cell>
          <cell r="V40">
            <v>1.5193200000000004</v>
          </cell>
          <cell r="W40">
            <v>8.1843599999999981</v>
          </cell>
          <cell r="X40">
            <v>-1.4206799999999973</v>
          </cell>
          <cell r="Y40">
            <v>5.8810000000000002</v>
          </cell>
          <cell r="Z40">
            <v>6.3549999999999969</v>
          </cell>
          <cell r="AA40">
            <v>5.3699999999999903</v>
          </cell>
          <cell r="AB40">
            <v>-8.9880799999999823</v>
          </cell>
          <cell r="AC40">
            <v>-2.4953200000000066</v>
          </cell>
          <cell r="AD40">
            <v>5.9084000000000003</v>
          </cell>
          <cell r="AE40">
            <v>12.500738631124065</v>
          </cell>
          <cell r="AF40">
            <v>-14.237880007893864</v>
          </cell>
          <cell r="AG40">
            <v>-4.1623925411972706</v>
          </cell>
          <cell r="AH40">
            <v>3.3490709179670688</v>
          </cell>
          <cell r="AI40">
            <v>15.579815494236477</v>
          </cell>
        </row>
        <row r="41">
          <cell r="I41" t="str">
            <v>% change Y/Y</v>
          </cell>
          <cell r="P41" t="str">
            <v>NA</v>
          </cell>
          <cell r="Q41" t="str">
            <v>NA</v>
          </cell>
          <cell r="R41" t="str">
            <v>NA</v>
          </cell>
          <cell r="S41" t="str">
            <v>NA</v>
          </cell>
          <cell r="T41">
            <v>1.3112713537642717</v>
          </cell>
          <cell r="U41">
            <v>1.2756931677402004</v>
          </cell>
          <cell r="V41">
            <v>1.0766881396455643</v>
          </cell>
          <cell r="W41">
            <v>0.70141149522970769</v>
          </cell>
          <cell r="X41">
            <v>0.43267468924874963</v>
          </cell>
          <cell r="Y41">
            <v>0.68600765244345441</v>
          </cell>
          <cell r="Z41">
            <v>0.85714182597742883</v>
          </cell>
          <cell r="AA41">
            <v>0.53327701389227489</v>
          </cell>
          <cell r="AB41">
            <v>0.2978886968544765</v>
          </cell>
          <cell r="AC41">
            <v>6.9403349515957391E-3</v>
          </cell>
          <cell r="AD41">
            <v>-4.9798377301656371E-3</v>
          </cell>
          <cell r="AE41">
            <v>0.14882539606163148</v>
          </cell>
          <cell r="AF41">
            <v>4.4634659475949467E-2</v>
          </cell>
          <cell r="AG41">
            <v>2.5293650208335627E-4</v>
          </cell>
          <cell r="AH41">
            <v>-6.2265642928639453E-2</v>
          </cell>
          <cell r="AI41">
            <v>9.8877043030669576E-3</v>
          </cell>
        </row>
        <row r="42">
          <cell r="I42" t="str">
            <v>% change Q/Q</v>
          </cell>
          <cell r="P42" t="str">
            <v>NA</v>
          </cell>
          <cell r="Q42">
            <v>3.8468538071937619E-2</v>
          </cell>
          <cell r="R42">
            <v>0.17646514211647091</v>
          </cell>
          <cell r="S42">
            <v>0.67123201684860589</v>
          </cell>
          <cell r="T42">
            <v>0.13198789362127927</v>
          </cell>
          <cell r="U42">
            <v>2.2483038676769151E-2</v>
          </cell>
          <cell r="V42">
            <v>7.3585508790623422E-2</v>
          </cell>
          <cell r="W42">
            <v>0.36922502246651678</v>
          </cell>
          <cell r="X42">
            <v>-4.6808835914055269E-2</v>
          </cell>
          <cell r="Y42">
            <v>0.20328378845489103</v>
          </cell>
          <cell r="Z42">
            <v>0.18255723765476417</v>
          </cell>
          <cell r="AA42">
            <v>0.13044745663897372</v>
          </cell>
          <cell r="AB42">
            <v>-0.19314251332301846</v>
          </cell>
          <cell r="AC42">
            <v>-6.6456943553730996E-2</v>
          </cell>
          <cell r="AD42">
            <v>0.16855810981211095</v>
          </cell>
          <cell r="AE42">
            <v>0.30518636339747718</v>
          </cell>
          <cell r="AF42">
            <v>-0.26631906055529841</v>
          </cell>
          <cell r="AG42">
            <v>-0.10611889516479411</v>
          </cell>
          <cell r="AH42">
            <v>9.5519990810746025E-2</v>
          </cell>
          <cell r="AI42">
            <v>0.40561306118257279</v>
          </cell>
        </row>
        <row r="43">
          <cell r="I43" t="str">
            <v>% of total Core MM revenue</v>
          </cell>
          <cell r="P43">
            <v>0.99</v>
          </cell>
          <cell r="Q43">
            <v>0.98</v>
          </cell>
          <cell r="R43">
            <v>0.97000000000000008</v>
          </cell>
          <cell r="S43">
            <v>0.95184515233978972</v>
          </cell>
          <cell r="T43">
            <v>0.93951519099241609</v>
          </cell>
          <cell r="U43">
            <v>0.91981111061611798</v>
          </cell>
          <cell r="V43">
            <v>0.88</v>
          </cell>
          <cell r="W43">
            <v>0.878482155778749</v>
          </cell>
          <cell r="X43">
            <v>0.87853021560886735</v>
          </cell>
          <cell r="Y43">
            <v>0.88328131739869575</v>
          </cell>
          <cell r="Z43">
            <v>0.8691044208926233</v>
          </cell>
          <cell r="AA43">
            <v>0.80289855072463767</v>
          </cell>
          <cell r="AB43">
            <v>0.75949512520733042</v>
          </cell>
          <cell r="AC43">
            <v>0.6148608114508235</v>
          </cell>
          <cell r="AD43">
            <v>0.73065054137457408</v>
          </cell>
          <cell r="AE43">
            <v>0.72529831272722944</v>
          </cell>
          <cell r="AF43">
            <v>0.73480634919056154</v>
          </cell>
          <cell r="AG43">
            <v>0.69460700788815366</v>
          </cell>
          <cell r="AH43">
            <v>0.65303415300469803</v>
          </cell>
          <cell r="AI43">
            <v>0.66588167997726322</v>
          </cell>
        </row>
        <row r="45">
          <cell r="I45" t="str">
            <v>International Millennial Media revenue</v>
          </cell>
          <cell r="P45">
            <v>8.8249999999999995E-2</v>
          </cell>
          <cell r="Q45">
            <v>0.18515999999999999</v>
          </cell>
          <cell r="R45">
            <v>0.33011999999999997</v>
          </cell>
          <cell r="S45">
            <v>0.90247000000000011</v>
          </cell>
          <cell r="T45">
            <v>1.3</v>
          </cell>
          <cell r="U45">
            <v>1.8</v>
          </cell>
          <cell r="V45">
            <v>3.0226799999999998</v>
          </cell>
          <cell r="W45">
            <v>4.1983200000000007</v>
          </cell>
          <cell r="X45">
            <v>4</v>
          </cell>
          <cell r="Y45">
            <v>4.5999999999999996</v>
          </cell>
          <cell r="Z45">
            <v>6.2</v>
          </cell>
          <cell r="AA45">
            <v>11.424000000000001</v>
          </cell>
          <cell r="AB45">
            <v>11.890080000000001</v>
          </cell>
          <cell r="AC45">
            <v>21.956399999999999</v>
          </cell>
          <cell r="AD45">
            <v>15.1</v>
          </cell>
          <cell r="AE45">
            <v>20.248261368875912</v>
          </cell>
          <cell r="AF45">
            <v>14.15599943928915</v>
          </cell>
          <cell r="AG45">
            <v>15.415228917967077</v>
          </cell>
          <cell r="AH45">
            <v>20.408036000000003</v>
          </cell>
          <cell r="AI45">
            <v>27.09064750576351</v>
          </cell>
        </row>
        <row r="46">
          <cell r="I46" t="str">
            <v>Period-to-period change</v>
          </cell>
          <cell r="P46">
            <v>8.8249999999999995E-2</v>
          </cell>
          <cell r="Q46">
            <v>9.6909999999999996E-2</v>
          </cell>
          <cell r="R46">
            <v>0.14495999999999998</v>
          </cell>
          <cell r="S46">
            <v>0.57235000000000014</v>
          </cell>
          <cell r="T46">
            <v>0.39752999999999994</v>
          </cell>
          <cell r="U46">
            <v>0.5</v>
          </cell>
          <cell r="V46">
            <v>1.2226799999999998</v>
          </cell>
          <cell r="W46">
            <v>1.1756400000000009</v>
          </cell>
          <cell r="X46">
            <v>-0.19832000000000072</v>
          </cell>
          <cell r="Y46">
            <v>0.59999999999999964</v>
          </cell>
          <cell r="Z46">
            <v>1.6000000000000005</v>
          </cell>
          <cell r="AA46">
            <v>5.2240000000000011</v>
          </cell>
          <cell r="AB46">
            <v>0.46607999999999983</v>
          </cell>
          <cell r="AC46">
            <v>10.066319999999997</v>
          </cell>
          <cell r="AD46">
            <v>-6.8563999999999989</v>
          </cell>
          <cell r="AE46">
            <v>5.1482613688759127</v>
          </cell>
          <cell r="AF46">
            <v>-6.0922619295867619</v>
          </cell>
          <cell r="AG46">
            <v>1.259229478677927</v>
          </cell>
          <cell r="AH46">
            <v>4.9928070820329253</v>
          </cell>
          <cell r="AI46">
            <v>6.6826115057635072</v>
          </cell>
        </row>
        <row r="47">
          <cell r="I47" t="str">
            <v>% change Y/Y</v>
          </cell>
          <cell r="P47" t="str">
            <v>NA</v>
          </cell>
          <cell r="Q47" t="str">
            <v>NA</v>
          </cell>
          <cell r="R47" t="str">
            <v>NA</v>
          </cell>
          <cell r="S47" t="str">
            <v>NA</v>
          </cell>
          <cell r="T47">
            <v>13.730878186968839</v>
          </cell>
          <cell r="U47">
            <v>8.7213220998055743</v>
          </cell>
          <cell r="V47">
            <v>8.1563067975281722</v>
          </cell>
          <cell r="W47">
            <v>3.6520327545513984</v>
          </cell>
          <cell r="X47">
            <v>2.0769230769230766</v>
          </cell>
          <cell r="Y47">
            <v>1.5555555555555554</v>
          </cell>
          <cell r="Z47">
            <v>1.0511598978390038</v>
          </cell>
          <cell r="AA47">
            <v>1.7210884353741496</v>
          </cell>
          <cell r="AB47">
            <v>1.9725200000000003</v>
          </cell>
          <cell r="AC47">
            <v>3.7731304347826091</v>
          </cell>
          <cell r="AD47">
            <v>1.435483870967742</v>
          </cell>
          <cell r="AE47">
            <v>0.7724318425136476</v>
          </cell>
          <cell r="AF47">
            <v>0.19057226185939458</v>
          </cell>
          <cell r="AG47">
            <v>-0.2979163743615949</v>
          </cell>
          <cell r="AH47">
            <v>0.35152556291390757</v>
          </cell>
          <cell r="AI47">
            <v>0.33792462534117584</v>
          </cell>
        </row>
        <row r="48">
          <cell r="I48" t="str">
            <v>% change Q/Q</v>
          </cell>
          <cell r="P48" t="str">
            <v>NA</v>
          </cell>
          <cell r="Q48">
            <v>1.0981303116147307</v>
          </cell>
          <cell r="R48">
            <v>0.78289047310434201</v>
          </cell>
          <cell r="S48">
            <v>1.7337634799466866</v>
          </cell>
          <cell r="T48">
            <v>0.44049109665695241</v>
          </cell>
          <cell r="U48">
            <v>0.38461538461538458</v>
          </cell>
          <cell r="V48">
            <v>0.67926666666666646</v>
          </cell>
          <cell r="W48">
            <v>0.38893961649926578</v>
          </cell>
          <cell r="X48">
            <v>-4.7237942796166221E-2</v>
          </cell>
          <cell r="Y48">
            <v>0.14999999999999991</v>
          </cell>
          <cell r="Z48">
            <v>0.34782608695652195</v>
          </cell>
          <cell r="AA48">
            <v>0.8425806451612905</v>
          </cell>
          <cell r="AB48">
            <v>4.0798319327731036E-2</v>
          </cell>
          <cell r="AC48">
            <v>0.84661499333898482</v>
          </cell>
          <cell r="AD48">
            <v>-0.31227341458526892</v>
          </cell>
          <cell r="AE48">
            <v>0.34094446151496105</v>
          </cell>
          <cell r="AF48">
            <v>-0.30087827387250754</v>
          </cell>
          <cell r="AG48">
            <v>8.8953767205091072E-2</v>
          </cell>
          <cell r="AH48">
            <v>0.32388796226137173</v>
          </cell>
          <cell r="AI48">
            <v>0.32745000576064776</v>
          </cell>
        </row>
        <row r="49">
          <cell r="I49" t="str">
            <v>% of total Core MM revenue</v>
          </cell>
          <cell r="P49">
            <v>0.01</v>
          </cell>
          <cell r="Q49">
            <v>0.02</v>
          </cell>
          <cell r="R49">
            <v>0.03</v>
          </cell>
          <cell r="S49">
            <v>4.8154847660210241E-2</v>
          </cell>
          <cell r="T49">
            <v>6.0484809007583872E-2</v>
          </cell>
          <cell r="U49">
            <v>8.0188889383882037E-2</v>
          </cell>
          <cell r="V49">
            <v>0.12</v>
          </cell>
          <cell r="W49">
            <v>0.121517844221251</v>
          </cell>
          <cell r="X49">
            <v>0.12146978439113271</v>
          </cell>
          <cell r="Y49">
            <v>0.11671868260130419</v>
          </cell>
          <cell r="Z49">
            <v>0.13089557910737659</v>
          </cell>
          <cell r="AA49">
            <v>0.19710144927536238</v>
          </cell>
          <cell r="AB49">
            <v>0.2405048747926696</v>
          </cell>
          <cell r="AC49">
            <v>0.38513918854917639</v>
          </cell>
          <cell r="AD49">
            <v>0.26934945862542586</v>
          </cell>
          <cell r="AE49">
            <v>0.27470168727277056</v>
          </cell>
          <cell r="AF49">
            <v>0.26519365080943857</v>
          </cell>
          <cell r="AG49">
            <v>0.3053929921118464</v>
          </cell>
          <cell r="AH49">
            <v>0.34696584699530203</v>
          </cell>
          <cell r="AI49">
            <v>0.33411832002273667</v>
          </cell>
        </row>
        <row r="52">
          <cell r="I52" t="str">
            <v>Jumptap revenue (all US revenue)</v>
          </cell>
          <cell r="X52">
            <v>14.93</v>
          </cell>
          <cell r="Y52">
            <v>16.158999999999999</v>
          </cell>
          <cell r="Z52">
            <v>14.658999999999999</v>
          </cell>
          <cell r="AA52">
            <v>17.890000000000008</v>
          </cell>
          <cell r="AB52">
            <v>15.182000000000002</v>
          </cell>
          <cell r="AC52">
            <v>24.310999999999993</v>
          </cell>
          <cell r="AD52">
            <v>30.258000000000003</v>
          </cell>
          <cell r="AE52">
            <v>35.780000000000015</v>
          </cell>
          <cell r="AF52">
            <v>19.240141937480658</v>
          </cell>
          <cell r="AG52">
            <v>24.744304999999997</v>
          </cell>
          <cell r="AH52">
            <v>36.132327000000004</v>
          </cell>
          <cell r="AI52">
            <v>39.358000000000018</v>
          </cell>
          <cell r="AK52">
            <v>0</v>
          </cell>
          <cell r="AL52">
            <v>0</v>
          </cell>
          <cell r="AM52">
            <v>0</v>
          </cell>
          <cell r="AN52">
            <v>0</v>
          </cell>
          <cell r="AO52">
            <v>63.638000000000005</v>
          </cell>
          <cell r="AP52">
            <v>105.53100000000002</v>
          </cell>
          <cell r="AQ52">
            <v>119.47477393748068</v>
          </cell>
          <cell r="AR52">
            <v>155.51563948375207</v>
          </cell>
          <cell r="AS52">
            <v>198.93850322282742</v>
          </cell>
          <cell r="AT52">
            <v>249.09625725530947</v>
          </cell>
          <cell r="AU52">
            <v>305.95836074073156</v>
          </cell>
          <cell r="AV52">
            <v>369.34585252821279</v>
          </cell>
          <cell r="AW52">
            <v>438.94904920701754</v>
          </cell>
        </row>
        <row r="53">
          <cell r="I53" t="str">
            <v>Period-to-period change</v>
          </cell>
          <cell r="L53" t="str">
            <v>NA</v>
          </cell>
          <cell r="M53">
            <v>0</v>
          </cell>
          <cell r="N53">
            <v>0</v>
          </cell>
          <cell r="O53">
            <v>0</v>
          </cell>
          <cell r="P53">
            <v>0</v>
          </cell>
          <cell r="Q53">
            <v>0</v>
          </cell>
          <cell r="R53">
            <v>0</v>
          </cell>
          <cell r="S53">
            <v>0</v>
          </cell>
          <cell r="T53">
            <v>0</v>
          </cell>
          <cell r="U53">
            <v>0</v>
          </cell>
          <cell r="V53">
            <v>0</v>
          </cell>
          <cell r="W53">
            <v>0</v>
          </cell>
          <cell r="X53">
            <v>14.93</v>
          </cell>
          <cell r="Y53">
            <v>1.2289999999999992</v>
          </cell>
          <cell r="Z53">
            <v>-1.5</v>
          </cell>
          <cell r="AA53">
            <v>3.2310000000000088</v>
          </cell>
          <cell r="AB53">
            <v>-2.7080000000000055</v>
          </cell>
          <cell r="AC53">
            <v>9.1289999999999907</v>
          </cell>
          <cell r="AD53">
            <v>5.9470000000000098</v>
          </cell>
          <cell r="AE53">
            <v>5.5220000000000127</v>
          </cell>
          <cell r="AF53">
            <v>-16.539858062519357</v>
          </cell>
          <cell r="AG53">
            <v>5.5041630625193392</v>
          </cell>
          <cell r="AH53">
            <v>11.388022000000007</v>
          </cell>
          <cell r="AI53">
            <v>3.2256730000000147</v>
          </cell>
          <cell r="AL53">
            <v>0</v>
          </cell>
          <cell r="AM53">
            <v>0</v>
          </cell>
          <cell r="AN53">
            <v>0</v>
          </cell>
          <cell r="AO53">
            <v>63.638000000000005</v>
          </cell>
          <cell r="AP53">
            <v>41.893000000000015</v>
          </cell>
          <cell r="AQ53">
            <v>13.943773937480657</v>
          </cell>
          <cell r="AR53">
            <v>36.040865546271391</v>
          </cell>
          <cell r="AS53">
            <v>43.422863739075353</v>
          </cell>
          <cell r="AT53">
            <v>50.157754032482046</v>
          </cell>
          <cell r="AU53">
            <v>56.862103485422097</v>
          </cell>
          <cell r="AV53">
            <v>63.387491787481224</v>
          </cell>
          <cell r="AW53">
            <v>69.60319667880475</v>
          </cell>
        </row>
        <row r="54">
          <cell r="I54" t="str">
            <v>% change Y/Y</v>
          </cell>
          <cell r="L54" t="str">
            <v>NA</v>
          </cell>
          <cell r="M54" t="str">
            <v>NA</v>
          </cell>
          <cell r="N54" t="str">
            <v>NA</v>
          </cell>
          <cell r="O54" t="str">
            <v>NA</v>
          </cell>
          <cell r="P54" t="str">
            <v>NA</v>
          </cell>
          <cell r="Q54" t="str">
            <v>NA</v>
          </cell>
          <cell r="R54" t="str">
            <v>NA</v>
          </cell>
          <cell r="S54" t="str">
            <v>NA</v>
          </cell>
          <cell r="T54" t="str">
            <v>NA</v>
          </cell>
          <cell r="U54" t="str">
            <v>NA</v>
          </cell>
          <cell r="V54" t="str">
            <v>NA</v>
          </cell>
          <cell r="W54" t="str">
            <v>NA</v>
          </cell>
          <cell r="X54" t="str">
            <v>NA</v>
          </cell>
          <cell r="Y54" t="str">
            <v>NA</v>
          </cell>
          <cell r="Z54" t="str">
            <v>NA</v>
          </cell>
          <cell r="AA54" t="str">
            <v>NA</v>
          </cell>
          <cell r="AB54">
            <v>1.6878767582049647E-2</v>
          </cell>
          <cell r="AC54">
            <v>0.50448666377869888</v>
          </cell>
          <cell r="AD54">
            <v>1.0641244286786278</v>
          </cell>
          <cell r="AE54">
            <v>1</v>
          </cell>
          <cell r="AF54">
            <v>0.26729956115667597</v>
          </cell>
          <cell r="AG54">
            <v>1.7823413269713484E-2</v>
          </cell>
          <cell r="AH54">
            <v>0.19414128494943483</v>
          </cell>
          <cell r="AI54">
            <v>0.10000000000000009</v>
          </cell>
          <cell r="AL54" t="str">
            <v>NA</v>
          </cell>
          <cell r="AM54" t="str">
            <v>NA</v>
          </cell>
          <cell r="AN54" t="str">
            <v>NA</v>
          </cell>
          <cell r="AO54" t="str">
            <v>NA</v>
          </cell>
          <cell r="AP54">
            <v>0.65830164367201993</v>
          </cell>
          <cell r="AQ54">
            <v>0.13212964851541864</v>
          </cell>
          <cell r="AR54">
            <v>0.30166088085783715</v>
          </cell>
          <cell r="AS54">
            <v>0.27921862960678023</v>
          </cell>
          <cell r="AT54">
            <v>0.25212692977940643</v>
          </cell>
          <cell r="AU54">
            <v>0.22827361644033739</v>
          </cell>
          <cell r="AV54">
            <v>0.20717685777247197</v>
          </cell>
          <cell r="AW54">
            <v>0.18844992085971257</v>
          </cell>
        </row>
        <row r="55">
          <cell r="I55" t="str">
            <v>% change Q/Q</v>
          </cell>
          <cell r="L55" t="str">
            <v>NA</v>
          </cell>
          <cell r="M55" t="str">
            <v>NA</v>
          </cell>
          <cell r="N55" t="str">
            <v>NA</v>
          </cell>
          <cell r="O55" t="str">
            <v>NA</v>
          </cell>
          <cell r="P55" t="str">
            <v>NA</v>
          </cell>
          <cell r="Q55" t="str">
            <v>NA</v>
          </cell>
          <cell r="R55" t="str">
            <v>NA</v>
          </cell>
          <cell r="S55" t="str">
            <v>NA</v>
          </cell>
          <cell r="T55" t="str">
            <v>NA</v>
          </cell>
          <cell r="U55" t="str">
            <v>NA</v>
          </cell>
          <cell r="V55" t="str">
            <v>NA</v>
          </cell>
          <cell r="W55" t="str">
            <v>NA</v>
          </cell>
          <cell r="X55" t="str">
            <v>NA</v>
          </cell>
          <cell r="Y55">
            <v>8.231748158070995E-2</v>
          </cell>
          <cell r="Z55">
            <v>-9.2827526455845022E-2</v>
          </cell>
          <cell r="AA55">
            <v>0.22041066921345309</v>
          </cell>
          <cell r="AB55">
            <v>-0.1513694801565123</v>
          </cell>
          <cell r="AC55">
            <v>0.60130417599789143</v>
          </cell>
          <cell r="AD55">
            <v>0.24462177615071412</v>
          </cell>
          <cell r="AE55">
            <v>0.18249719082556726</v>
          </cell>
          <cell r="AF55">
            <v>-0.46226545730909308</v>
          </cell>
          <cell r="AG55">
            <v>0.28607705080371493</v>
          </cell>
          <cell r="AH55">
            <v>0.46022799993776387</v>
          </cell>
          <cell r="AI55">
            <v>8.9273879315882709E-2</v>
          </cell>
        </row>
        <row r="56">
          <cell r="I56" t="str">
            <v>% of total revenue</v>
          </cell>
          <cell r="L56">
            <v>0</v>
          </cell>
          <cell r="M56">
            <v>0</v>
          </cell>
          <cell r="N56">
            <v>0</v>
          </cell>
          <cell r="O56">
            <v>0</v>
          </cell>
          <cell r="P56">
            <v>0</v>
          </cell>
          <cell r="Q56">
            <v>0</v>
          </cell>
          <cell r="R56">
            <v>0</v>
          </cell>
          <cell r="S56">
            <v>0</v>
          </cell>
          <cell r="T56">
            <v>0</v>
          </cell>
          <cell r="U56">
            <v>0</v>
          </cell>
          <cell r="V56">
            <v>0</v>
          </cell>
          <cell r="W56">
            <v>0</v>
          </cell>
          <cell r="X56">
            <v>0.31195152528207271</v>
          </cell>
          <cell r="Y56">
            <v>0.29078639553716029</v>
          </cell>
          <cell r="Z56">
            <v>0.23634018540910923</v>
          </cell>
          <cell r="AA56">
            <v>0.23586025049439696</v>
          </cell>
          <cell r="AB56">
            <v>0.23494274218508204</v>
          </cell>
          <cell r="AC56">
            <v>0.2989547466797835</v>
          </cell>
          <cell r="AD56">
            <v>0.35053696173495985</v>
          </cell>
          <cell r="AE56">
            <v>0.32678783450543442</v>
          </cell>
          <cell r="AF56">
            <v>0.26494274218508201</v>
          </cell>
          <cell r="AG56">
            <v>0.32895474667978353</v>
          </cell>
          <cell r="AH56">
            <v>0.38053696173495988</v>
          </cell>
          <cell r="AI56">
            <v>0.32678783450543442</v>
          </cell>
          <cell r="AK56">
            <v>0</v>
          </cell>
          <cell r="AL56">
            <v>0</v>
          </cell>
          <cell r="AM56">
            <v>0</v>
          </cell>
          <cell r="AN56">
            <v>0</v>
          </cell>
          <cell r="AO56">
            <v>0.26372433227657943</v>
          </cell>
          <cell r="AP56">
            <v>0.3087968070133344</v>
          </cell>
          <cell r="AQ56">
            <v>0.32892238501041809</v>
          </cell>
          <cell r="AR56">
            <v>0.35678783450543455</v>
          </cell>
          <cell r="AS56">
            <v>0.38678783450543452</v>
          </cell>
          <cell r="AT56">
            <v>0.41678783450543461</v>
          </cell>
          <cell r="AU56">
            <v>0.44678783450543458</v>
          </cell>
          <cell r="AV56">
            <v>0.4767878345054346</v>
          </cell>
          <cell r="AW56">
            <v>0.50678783450543463</v>
          </cell>
        </row>
        <row r="61">
          <cell r="I61" t="str">
            <v>PROFITABILITY SUMMARY</v>
          </cell>
        </row>
        <row r="63">
          <cell r="I63" t="str">
            <v>Operating income (adjusted)</v>
          </cell>
          <cell r="L63">
            <v>-2.0245555555555552</v>
          </cell>
          <cell r="M63">
            <v>-1.6831111111111112</v>
          </cell>
          <cell r="N63">
            <v>-1.5919259259259264</v>
          </cell>
          <cell r="O63">
            <v>-1.7630370370370363</v>
          </cell>
          <cell r="P63">
            <v>-1.7170740740740742</v>
          </cell>
          <cell r="Q63">
            <v>-2.0572592592592605</v>
          </cell>
          <cell r="R63">
            <v>-1.2001481481481484</v>
          </cell>
          <cell r="S63">
            <v>-1.5010370370370385</v>
          </cell>
          <cell r="T63">
            <v>0.11903703703703528</v>
          </cell>
          <cell r="U63">
            <v>-0.19744444444444653</v>
          </cell>
          <cell r="V63">
            <v>0.46600000000000108</v>
          </cell>
          <cell r="W63">
            <v>0.96799999999999997</v>
          </cell>
          <cell r="X63">
            <v>-4.4529999999999994</v>
          </cell>
          <cell r="Y63">
            <v>-4.2940000000000005</v>
          </cell>
          <cell r="Z63">
            <v>-1.2390000000000008</v>
          </cell>
          <cell r="AA63">
            <v>1.2469999999999963</v>
          </cell>
          <cell r="AB63">
            <v>-5.9839999999999947</v>
          </cell>
          <cell r="AC63">
            <v>-1.7500000000000071</v>
          </cell>
          <cell r="AD63">
            <v>-0.74099999999999255</v>
          </cell>
          <cell r="AE63">
            <v>6.1099999999999994</v>
          </cell>
          <cell r="AF63">
            <v>-6.3059999999999974</v>
          </cell>
          <cell r="AG63">
            <v>-4.4698899999999995</v>
          </cell>
          <cell r="AH63">
            <v>3.7242634999999993</v>
          </cell>
          <cell r="AI63">
            <v>9.5263399999999976</v>
          </cell>
          <cell r="AK63">
            <v>-8.3512222222222228</v>
          </cell>
          <cell r="AL63">
            <v>-7.0626296296296296</v>
          </cell>
          <cell r="AM63">
            <v>-6.4755185185185198</v>
          </cell>
          <cell r="AN63">
            <v>1.3555925925926005</v>
          </cell>
          <cell r="AO63">
            <v>-8.7389999999999759</v>
          </cell>
          <cell r="AP63">
            <v>-2.3650000000000091</v>
          </cell>
          <cell r="AQ63">
            <v>2.4747135000000071</v>
          </cell>
          <cell r="AR63">
            <v>31.79385400000001</v>
          </cell>
          <cell r="AS63">
            <v>51.146796351999996</v>
          </cell>
          <cell r="AT63">
            <v>75.742293871408009</v>
          </cell>
          <cell r="AU63">
            <v>105.87138949545727</v>
          </cell>
          <cell r="AV63">
            <v>141.69126891613359</v>
          </cell>
          <cell r="AW63">
            <v>165.905141121567</v>
          </cell>
        </row>
        <row r="64">
          <cell r="I64" t="str">
            <v>Adjusted operating margin</v>
          </cell>
          <cell r="L64">
            <v>-1.2443488356211156</v>
          </cell>
          <cell r="M64">
            <v>-0.49678604224058776</v>
          </cell>
          <cell r="N64">
            <v>-0.38799072043039884</v>
          </cell>
          <cell r="O64">
            <v>-0.24824514742847595</v>
          </cell>
          <cell r="P64">
            <v>-0.19456930017836535</v>
          </cell>
          <cell r="Q64">
            <v>-0.22221422113407438</v>
          </cell>
          <cell r="R64">
            <v>-0.10906471720721088</v>
          </cell>
          <cell r="S64">
            <v>-8.0093753643724369E-2</v>
          </cell>
          <cell r="T64">
            <v>5.538409576933666E-3</v>
          </cell>
          <cell r="U64">
            <v>-8.7960281750098686E-3</v>
          </cell>
          <cell r="V64">
            <v>1.8500138949541511E-2</v>
          </cell>
          <cell r="W64">
            <v>2.8018177081825812E-2</v>
          </cell>
          <cell r="X64">
            <v>-9.3042206435436675E-2</v>
          </cell>
          <cell r="Y64">
            <v>-7.7271909303581077E-2</v>
          </cell>
          <cell r="Z64">
            <v>-1.9975816203143905E-2</v>
          </cell>
          <cell r="AA64">
            <v>1.6440342781806148E-2</v>
          </cell>
          <cell r="AB64">
            <v>-9.2602909316001153E-2</v>
          </cell>
          <cell r="AC64">
            <v>-2.1519921298573625E-2</v>
          </cell>
          <cell r="AD64">
            <v>-8.5844367983872912E-3</v>
          </cell>
          <cell r="AE64">
            <v>5.5804183030413734E-2</v>
          </cell>
          <cell r="AF64">
            <v>-8.6835582484164106E-2</v>
          </cell>
          <cell r="AG64">
            <v>-5.9423432286196662E-2</v>
          </cell>
          <cell r="AH64">
            <v>3.9223045805779608E-2</v>
          </cell>
          <cell r="AI64">
            <v>7.9096804191333345E-2</v>
          </cell>
          <cell r="AK64">
            <v>-1.3296007359054647</v>
          </cell>
          <cell r="AL64">
            <v>-0.43542722747408324</v>
          </cell>
          <cell r="AM64">
            <v>-0.1353917897156168</v>
          </cell>
          <cell r="AN64">
            <v>1.3075026452985208E-2</v>
          </cell>
          <cell r="AO64">
            <v>-3.6215577795735587E-2</v>
          </cell>
          <cell r="AP64">
            <v>-6.9202835999520379E-3</v>
          </cell>
          <cell r="AQ64">
            <v>6.8130588559508756E-3</v>
          </cell>
          <cell r="AR64">
            <v>7.2942247846571814E-2</v>
          </cell>
          <cell r="AS64">
            <v>9.9442582920823544E-2</v>
          </cell>
          <cell r="AT64">
            <v>0.12673199907127675</v>
          </cell>
          <cell r="AU64">
            <v>0.15460289672829181</v>
          </cell>
          <cell r="AV64">
            <v>0.18290898032946007</v>
          </cell>
          <cell r="AW64">
            <v>0.1915454819966228</v>
          </cell>
        </row>
        <row r="66">
          <cell r="I66" t="str">
            <v>Adjusted EBITDA</v>
          </cell>
          <cell r="L66">
            <v>-2.0239999999999996</v>
          </cell>
          <cell r="M66">
            <v>-1.6820000000000002</v>
          </cell>
          <cell r="N66">
            <v>-1.5860000000000005</v>
          </cell>
          <cell r="O66">
            <v>-1.7559999999999993</v>
          </cell>
          <cell r="P66">
            <v>-1.7030000000000001</v>
          </cell>
          <cell r="Q66">
            <v>-2.043000000000001</v>
          </cell>
          <cell r="R66">
            <v>-1.1820000000000002</v>
          </cell>
          <cell r="S66">
            <v>-1.4290000000000014</v>
          </cell>
          <cell r="T66">
            <v>0.16699999999999823</v>
          </cell>
          <cell r="U66">
            <v>-9.9000000000002086E-2</v>
          </cell>
          <cell r="V66">
            <v>0.6190000000000011</v>
          </cell>
          <cell r="W66">
            <v>1.2049999999999998</v>
          </cell>
          <cell r="X66">
            <v>-4.8999999999999995</v>
          </cell>
          <cell r="Y66">
            <v>-3.6100000000000003</v>
          </cell>
          <cell r="Z66">
            <v>-0.54500000000000082</v>
          </cell>
          <cell r="AA66">
            <v>2.1899999999999964</v>
          </cell>
          <cell r="AB66">
            <v>-4.7999999999999945</v>
          </cell>
          <cell r="AC66">
            <v>-0.40000000000000724</v>
          </cell>
          <cell r="AD66">
            <v>0.80900000000000727</v>
          </cell>
          <cell r="AE66">
            <v>7.58</v>
          </cell>
          <cell r="AF66">
            <v>-4.6599999999999966</v>
          </cell>
          <cell r="AG66">
            <v>-2.9698899999999995</v>
          </cell>
          <cell r="AH66">
            <v>5.2242634999999993</v>
          </cell>
          <cell r="AI66">
            <v>11.026339999999998</v>
          </cell>
          <cell r="AK66">
            <v>-8.2840000000000007</v>
          </cell>
          <cell r="AL66">
            <v>-7.048</v>
          </cell>
          <cell r="AM66">
            <v>-6.3570000000000011</v>
          </cell>
          <cell r="AN66">
            <v>1.8920000000000079</v>
          </cell>
          <cell r="AO66">
            <v>-6.6749999999999758</v>
          </cell>
          <cell r="AP66">
            <v>3.5189999999999912</v>
          </cell>
          <cell r="AQ66">
            <v>8.6207135000000079</v>
          </cell>
          <cell r="AR66">
            <v>36.152624800000012</v>
          </cell>
          <cell r="AS66">
            <v>55.904394680199999</v>
          </cell>
          <cell r="AT66">
            <v>80.822380216016811</v>
          </cell>
          <cell r="AU66">
            <v>111.17855569967007</v>
          </cell>
          <cell r="AV66">
            <v>147.5011778389042</v>
          </cell>
          <cell r="AW66">
            <v>172.40118866829897</v>
          </cell>
        </row>
        <row r="67">
          <cell r="I67" t="str">
            <v>% change Y/Y</v>
          </cell>
          <cell r="L67" t="str">
            <v>NA</v>
          </cell>
          <cell r="M67" t="str">
            <v>NA</v>
          </cell>
          <cell r="N67" t="str">
            <v>NA</v>
          </cell>
          <cell r="O67" t="str">
            <v>NA</v>
          </cell>
          <cell r="P67" t="str">
            <v>NM</v>
          </cell>
          <cell r="Q67" t="str">
            <v>NM</v>
          </cell>
          <cell r="R67" t="str">
            <v>NM</v>
          </cell>
          <cell r="S67" t="str">
            <v>NM</v>
          </cell>
          <cell r="T67">
            <v>-1.0980622431004099</v>
          </cell>
          <cell r="U67" t="str">
            <v>NM</v>
          </cell>
          <cell r="V67">
            <v>-1.5236886632825728</v>
          </cell>
          <cell r="W67">
            <v>-1.8432470258922313</v>
          </cell>
          <cell r="X67" t="str">
            <v>NM</v>
          </cell>
          <cell r="Y67" t="str">
            <v>NM</v>
          </cell>
          <cell r="Z67" t="str">
            <v>NM</v>
          </cell>
          <cell r="AA67">
            <v>0.8174273858921135</v>
          </cell>
          <cell r="AB67" t="str">
            <v>NM</v>
          </cell>
          <cell r="AC67" t="str">
            <v>NM</v>
          </cell>
          <cell r="AD67">
            <v>-2.4844036697247818</v>
          </cell>
          <cell r="AE67">
            <v>2.4611872146118778</v>
          </cell>
          <cell r="AF67" t="str">
            <v>NM</v>
          </cell>
          <cell r="AG67" t="str">
            <v>NM</v>
          </cell>
          <cell r="AH67">
            <v>5.4576804697156396</v>
          </cell>
          <cell r="AI67">
            <v>0.4546622691292872</v>
          </cell>
          <cell r="AL67" t="str">
            <v>NM</v>
          </cell>
          <cell r="AM67" t="str">
            <v>NM</v>
          </cell>
          <cell r="AN67">
            <v>-1.2976246657228265</v>
          </cell>
          <cell r="AO67" t="str">
            <v>NM</v>
          </cell>
          <cell r="AP67">
            <v>-1.5271910112359557</v>
          </cell>
          <cell r="AQ67">
            <v>1.4497622904234242</v>
          </cell>
          <cell r="AR67">
            <v>3.1936928770454998</v>
          </cell>
          <cell r="AS67">
            <v>0.54634400654084669</v>
          </cell>
          <cell r="AT67">
            <v>0.44572498599367116</v>
          </cell>
          <cell r="AU67">
            <v>0.37559120880279995</v>
          </cell>
          <cell r="AV67">
            <v>0.32670528871910798</v>
          </cell>
          <cell r="AW67">
            <v>0.16881228471673437</v>
          </cell>
        </row>
        <row r="68">
          <cell r="I68" t="str">
            <v>% change Q/Q</v>
          </cell>
          <cell r="L68" t="str">
            <v>NA</v>
          </cell>
          <cell r="M68" t="str">
            <v>NM</v>
          </cell>
          <cell r="N68" t="str">
            <v>NM</v>
          </cell>
          <cell r="O68" t="str">
            <v>NM</v>
          </cell>
          <cell r="P68" t="str">
            <v>NM</v>
          </cell>
          <cell r="Q68" t="str">
            <v>NM</v>
          </cell>
          <cell r="R68" t="str">
            <v>NM</v>
          </cell>
          <cell r="S68" t="str">
            <v>NM</v>
          </cell>
          <cell r="T68">
            <v>-1.1168649405178432</v>
          </cell>
          <cell r="U68" t="str">
            <v>NM</v>
          </cell>
          <cell r="V68">
            <v>-7.2525252525251318</v>
          </cell>
          <cell r="W68">
            <v>0.94668820678513366</v>
          </cell>
          <cell r="X68" t="str">
            <v>NM</v>
          </cell>
          <cell r="Y68" t="str">
            <v>NM</v>
          </cell>
          <cell r="Z68" t="str">
            <v>NM</v>
          </cell>
          <cell r="AA68">
            <v>-5.018348623853198</v>
          </cell>
          <cell r="AB68" t="str">
            <v>NM</v>
          </cell>
          <cell r="AC68" t="str">
            <v>NM</v>
          </cell>
          <cell r="AD68">
            <v>-3.0224999999999818</v>
          </cell>
          <cell r="AE68">
            <v>8.3695920889986795</v>
          </cell>
          <cell r="AF68" t="str">
            <v>NM</v>
          </cell>
          <cell r="AG68" t="str">
            <v>NM</v>
          </cell>
          <cell r="AH68">
            <v>-2.7590764304401847</v>
          </cell>
          <cell r="AI68">
            <v>1.1106018101881729</v>
          </cell>
        </row>
        <row r="69">
          <cell r="I69" t="str">
            <v>Adjusted EBITDA margin</v>
          </cell>
          <cell r="L69">
            <v>-1.2440073755377994</v>
          </cell>
          <cell r="M69">
            <v>-0.49645808736717834</v>
          </cell>
          <cell r="N69">
            <v>-0.38654642944187195</v>
          </cell>
          <cell r="O69">
            <v>-0.24725429456491119</v>
          </cell>
          <cell r="P69">
            <v>-0.1929745042492918</v>
          </cell>
          <cell r="Q69">
            <v>-0.22067401166558664</v>
          </cell>
          <cell r="R69">
            <v>-0.10741548527808072</v>
          </cell>
          <cell r="S69">
            <v>-7.6249933301318046E-2</v>
          </cell>
          <cell r="T69">
            <v>7.7699716186664606E-3</v>
          </cell>
          <cell r="U69">
            <v>-4.4103889161136046E-3</v>
          </cell>
          <cell r="V69">
            <v>2.4574218905077657E-2</v>
          </cell>
          <cell r="W69">
            <v>3.4877999363223243E-2</v>
          </cell>
          <cell r="X69">
            <v>-0.10238194734642707</v>
          </cell>
          <cell r="Y69">
            <v>-6.496310959150621E-2</v>
          </cell>
          <cell r="Z69">
            <v>-8.7867795243853422E-3</v>
          </cell>
          <cell r="AA69">
            <v>2.8872775214238585E-2</v>
          </cell>
          <cell r="AB69">
            <v>-7.4280408542246892E-2</v>
          </cell>
          <cell r="AC69">
            <v>-4.918839153959755E-3</v>
          </cell>
          <cell r="AD69">
            <v>9.3722123750275988E-3</v>
          </cell>
          <cell r="AE69">
            <v>6.9230066672755511E-2</v>
          </cell>
          <cell r="AF69">
            <v>-6.4169650234095238E-2</v>
          </cell>
          <cell r="AG69">
            <v>-3.9482192472846671E-2</v>
          </cell>
          <cell r="AH69">
            <v>5.5020684374766315E-2</v>
          </cell>
          <cell r="AI69">
            <v>9.1551241707420322E-2</v>
          </cell>
          <cell r="AK69">
            <v>-1.3188982646075467</v>
          </cell>
          <cell r="AL69">
            <v>-0.43452527743526514</v>
          </cell>
          <cell r="AM69">
            <v>-0.13291377435811663</v>
          </cell>
          <cell r="AN69">
            <v>1.8248808811898453E-2</v>
          </cell>
          <cell r="AO69">
            <v>-2.7662087399763682E-2</v>
          </cell>
          <cell r="AP69">
            <v>1.0297030861831319E-2</v>
          </cell>
          <cell r="AQ69">
            <v>2.3733425487754502E-2</v>
          </cell>
          <cell r="AR69">
            <v>8.2942247846571809E-2</v>
          </cell>
          <cell r="AS69">
            <v>0.10869258292082355</v>
          </cell>
          <cell r="AT69">
            <v>0.13523199907127675</v>
          </cell>
          <cell r="AU69">
            <v>0.16235289672829178</v>
          </cell>
          <cell r="AV69">
            <v>0.19040898032946008</v>
          </cell>
          <cell r="AW69">
            <v>0.19904548199662281</v>
          </cell>
        </row>
        <row r="70">
          <cell r="I70" t="str">
            <v>Incremental EBITDA margin</v>
          </cell>
          <cell r="L70" t="str">
            <v>NA</v>
          </cell>
          <cell r="M70" t="str">
            <v>NA</v>
          </cell>
          <cell r="N70" t="str">
            <v>NA</v>
          </cell>
          <cell r="O70" t="str">
            <v>NA</v>
          </cell>
          <cell r="P70">
            <v>4.4595721033620382E-2</v>
          </cell>
          <cell r="Q70">
            <v>-6.1499148211243769E-2</v>
          </cell>
          <cell r="R70">
            <v>5.8542240255035558E-2</v>
          </cell>
          <cell r="S70">
            <v>2.8095197181888305E-2</v>
          </cell>
          <cell r="T70">
            <v>0.1476160404167981</v>
          </cell>
          <cell r="U70">
            <v>0.14739555690348011</v>
          </cell>
          <cell r="V70">
            <v>0.12696510398308081</v>
          </cell>
          <cell r="W70">
            <v>0.16662449392712558</v>
          </cell>
          <cell r="X70">
            <v>-0.19217203322334728</v>
          </cell>
          <cell r="Y70">
            <v>-0.10599885276092134</v>
          </cell>
          <cell r="Z70">
            <v>-3.159952220653714E-2</v>
          </cell>
          <cell r="AA70">
            <v>2.3849301469697989E-2</v>
          </cell>
          <cell r="AB70">
            <v>5.9665871121721325E-3</v>
          </cell>
          <cell r="AC70">
            <v>0.12466019417475704</v>
          </cell>
          <cell r="AD70">
            <v>5.5733926072281545E-2</v>
          </cell>
          <cell r="AE70">
            <v>0.16022592152199774</v>
          </cell>
          <cell r="AF70">
            <v>1.7499999999999738E-2</v>
          </cell>
          <cell r="AG70">
            <v>0.42136251844564626</v>
          </cell>
          <cell r="AH70">
            <v>0.51150540437215342</v>
          </cell>
          <cell r="AI70">
            <v>0.31476299205406827</v>
          </cell>
          <cell r="AK70">
            <v>0</v>
          </cell>
          <cell r="AL70">
            <v>0.12435858738303658</v>
          </cell>
          <cell r="AM70">
            <v>2.1861554036952641E-2</v>
          </cell>
          <cell r="AN70">
            <v>0.14769919427036721</v>
          </cell>
          <cell r="AO70">
            <v>-6.2247960065975307E-2</v>
          </cell>
          <cell r="AP70">
            <v>0.10148938712118161</v>
          </cell>
          <cell r="AQ70">
            <v>0.23748893254321163</v>
          </cell>
          <cell r="AR70">
            <v>0.3789863596406583</v>
          </cell>
          <cell r="AS70">
            <v>0.25174999999999992</v>
          </cell>
          <cell r="AT70">
            <v>0.29905555555555591</v>
          </cell>
          <cell r="AU70">
            <v>0.34836728395061722</v>
          </cell>
          <cell r="AV70">
            <v>0.40421848803536059</v>
          </cell>
          <cell r="AW70">
            <v>0.27217543904215052</v>
          </cell>
        </row>
        <row r="72">
          <cell r="I72" t="str">
            <v>Guidance</v>
          </cell>
          <cell r="Y72">
            <v>3.35</v>
          </cell>
          <cell r="Z72">
            <v>-0.7</v>
          </cell>
          <cell r="AA72">
            <v>3.25</v>
          </cell>
          <cell r="AB72">
            <v>-1.25</v>
          </cell>
          <cell r="AC72">
            <v>-1</v>
          </cell>
          <cell r="AD72">
            <v>-1.5</v>
          </cell>
          <cell r="AE72">
            <v>1</v>
          </cell>
          <cell r="AF72">
            <v>-5.5</v>
          </cell>
          <cell r="AG72">
            <v>-5.5</v>
          </cell>
          <cell r="AO72">
            <v>2.25</v>
          </cell>
          <cell r="AP72">
            <v>-7.4749999999999943</v>
          </cell>
        </row>
        <row r="73">
          <cell r="I73" t="str">
            <v>MS vs. consensus</v>
          </cell>
          <cell r="Y73" t="str">
            <v>NM</v>
          </cell>
          <cell r="Z73" t="str">
            <v>NM</v>
          </cell>
          <cell r="AA73">
            <v>-0.32615384615384724</v>
          </cell>
          <cell r="AB73" t="str">
            <v>NM</v>
          </cell>
          <cell r="AC73" t="str">
            <v>NM</v>
          </cell>
          <cell r="AD73" t="str">
            <v>NM</v>
          </cell>
          <cell r="AE73">
            <v>6.58</v>
          </cell>
          <cell r="AF73" t="str">
            <v>NM</v>
          </cell>
          <cell r="AG73" t="str">
            <v>NM</v>
          </cell>
          <cell r="AO73">
            <v>-3.9666666666666561</v>
          </cell>
          <cell r="AP73">
            <v>-1.4707692307692299</v>
          </cell>
        </row>
        <row r="74">
          <cell r="I74" t="str">
            <v>% change Y/Y</v>
          </cell>
          <cell r="Y74" t="str">
            <v>NM</v>
          </cell>
          <cell r="Z74" t="str">
            <v>NM</v>
          </cell>
          <cell r="AA74">
            <v>1.6970954356846475</v>
          </cell>
          <cell r="AB74" t="str">
            <v>NM</v>
          </cell>
          <cell r="AC74" t="str">
            <v>NM</v>
          </cell>
          <cell r="AD74" t="str">
            <v>NM</v>
          </cell>
          <cell r="AE74">
            <v>-0.5433789954337892</v>
          </cell>
          <cell r="AF74" t="str">
            <v>NM</v>
          </cell>
          <cell r="AG74" t="str">
            <v>NM</v>
          </cell>
          <cell r="AO74">
            <v>0.18921775898519577</v>
          </cell>
          <cell r="AP74" t="str">
            <v>NM</v>
          </cell>
        </row>
        <row r="75">
          <cell r="I75" t="str">
            <v>% change Q/Q</v>
          </cell>
          <cell r="Y75" t="str">
            <v>NM</v>
          </cell>
          <cell r="Z75" t="str">
            <v>NM</v>
          </cell>
          <cell r="AA75" t="str">
            <v>NM</v>
          </cell>
          <cell r="AB75" t="str">
            <v>NM</v>
          </cell>
          <cell r="AC75" t="str">
            <v>NM</v>
          </cell>
          <cell r="AD75" t="str">
            <v>NM</v>
          </cell>
          <cell r="AE75">
            <v>0.23609394313966758</v>
          </cell>
          <cell r="AF75" t="str">
            <v>NM</v>
          </cell>
          <cell r="AG75" t="str">
            <v>NM</v>
          </cell>
        </row>
        <row r="77">
          <cell r="I77" t="str">
            <v>Consensus</v>
          </cell>
        </row>
        <row r="78">
          <cell r="I78" t="str">
            <v>MS vs. consensus</v>
          </cell>
          <cell r="AF78" t="str">
            <v>NA</v>
          </cell>
          <cell r="AG78" t="str">
            <v>NA</v>
          </cell>
          <cell r="AH78" t="str">
            <v>NA</v>
          </cell>
          <cell r="AI78" t="str">
            <v>NA</v>
          </cell>
          <cell r="AP78" t="str">
            <v>NA</v>
          </cell>
          <cell r="AQ78" t="str">
            <v>NA</v>
          </cell>
          <cell r="AR78" t="str">
            <v>NA</v>
          </cell>
        </row>
        <row r="79">
          <cell r="I79" t="str">
            <v>% change Y/Y</v>
          </cell>
          <cell r="AF79" t="str">
            <v>NM</v>
          </cell>
          <cell r="AG79" t="str">
            <v>NM</v>
          </cell>
          <cell r="AH79" t="str">
            <v>NM</v>
          </cell>
          <cell r="AI79" t="str">
            <v>NM</v>
          </cell>
          <cell r="AP79" t="str">
            <v>NM</v>
          </cell>
          <cell r="AQ79" t="str">
            <v>NA</v>
          </cell>
          <cell r="AR79" t="str">
            <v>NA</v>
          </cell>
        </row>
        <row r="80">
          <cell r="I80" t="str">
            <v>% change Q/Q</v>
          </cell>
          <cell r="AF80" t="str">
            <v>NM</v>
          </cell>
          <cell r="AG80" t="str">
            <v>NM</v>
          </cell>
          <cell r="AH80" t="str">
            <v>NA</v>
          </cell>
          <cell r="AI80" t="str">
            <v>NA</v>
          </cell>
        </row>
        <row r="85">
          <cell r="I85" t="str">
            <v>Operating expense drivers</v>
          </cell>
        </row>
        <row r="87">
          <cell r="I87" t="str">
            <v>Cost of revenue (ex-SBC)</v>
          </cell>
          <cell r="L87">
            <v>1.3169999999999999</v>
          </cell>
          <cell r="M87">
            <v>2.319</v>
          </cell>
          <cell r="N87">
            <v>2.7930000000000001</v>
          </cell>
          <cell r="O87">
            <v>5.1669999999999998</v>
          </cell>
          <cell r="P87">
            <v>5.859</v>
          </cell>
          <cell r="Q87">
            <v>6.4779999999999998</v>
          </cell>
          <cell r="R87">
            <v>7.09</v>
          </cell>
          <cell r="S87">
            <v>12.175000000000001</v>
          </cell>
          <cell r="T87">
            <v>13.569000000000001</v>
          </cell>
          <cell r="U87">
            <v>13.675000000000001</v>
          </cell>
          <cell r="V87">
            <v>15.292999999999999</v>
          </cell>
          <cell r="W87">
            <v>21.058</v>
          </cell>
          <cell r="X87">
            <v>29.05</v>
          </cell>
          <cell r="Y87">
            <v>33.700000000000003</v>
          </cell>
          <cell r="Z87">
            <v>37.049999999999997</v>
          </cell>
          <cell r="AA87">
            <v>45.05</v>
          </cell>
          <cell r="AB87">
            <v>37.99</v>
          </cell>
          <cell r="AC87">
            <v>48.28</v>
          </cell>
          <cell r="AD87">
            <v>53.03</v>
          </cell>
          <cell r="AE87">
            <v>67.66</v>
          </cell>
          <cell r="AF87">
            <v>42.725000000000001</v>
          </cell>
          <cell r="AG87">
            <v>45.884810000000002</v>
          </cell>
          <cell r="AH87">
            <v>56.97054</v>
          </cell>
          <cell r="AI87">
            <v>72.263400000000004</v>
          </cell>
          <cell r="AK87">
            <v>4.992</v>
          </cell>
          <cell r="AL87">
            <v>11.596</v>
          </cell>
          <cell r="AM87">
            <v>31.602</v>
          </cell>
          <cell r="AN87">
            <v>63.594999999999999</v>
          </cell>
          <cell r="AO87">
            <v>144.85</v>
          </cell>
          <cell r="AP87">
            <v>206.96</v>
          </cell>
          <cell r="AQ87">
            <v>217.84375</v>
          </cell>
          <cell r="AR87">
            <v>261.52624800000001</v>
          </cell>
          <cell r="AS87">
            <v>308.60097264000001</v>
          </cell>
          <cell r="AT87">
            <v>358.59433020767995</v>
          </cell>
          <cell r="AU87">
            <v>410.87738355195967</v>
          </cell>
          <cell r="AV87">
            <v>464.79271382164785</v>
          </cell>
          <cell r="AW87">
            <v>519.68380373855689</v>
          </cell>
        </row>
        <row r="88">
          <cell r="I88" t="str">
            <v>Period-to-period change</v>
          </cell>
          <cell r="L88" t="str">
            <v>NA</v>
          </cell>
          <cell r="M88">
            <v>1.002</v>
          </cell>
          <cell r="N88">
            <v>0.4740000000000002</v>
          </cell>
          <cell r="O88">
            <v>2.3739999999999997</v>
          </cell>
          <cell r="P88">
            <v>0.69200000000000017</v>
          </cell>
          <cell r="Q88">
            <v>0.61899999999999977</v>
          </cell>
          <cell r="R88">
            <v>0.6120000000000001</v>
          </cell>
          <cell r="S88">
            <v>5.0850000000000009</v>
          </cell>
          <cell r="T88">
            <v>1.3940000000000001</v>
          </cell>
          <cell r="U88">
            <v>0.10599999999999987</v>
          </cell>
          <cell r="V88">
            <v>1.6179999999999986</v>
          </cell>
          <cell r="W88">
            <v>5.7650000000000006</v>
          </cell>
          <cell r="X88">
            <v>7.9920000000000009</v>
          </cell>
          <cell r="Y88">
            <v>4.6500000000000021</v>
          </cell>
          <cell r="Z88">
            <v>3.3499999999999943</v>
          </cell>
          <cell r="AA88">
            <v>8</v>
          </cell>
          <cell r="AB88">
            <v>-7.0599999999999952</v>
          </cell>
          <cell r="AC88">
            <v>10.29</v>
          </cell>
          <cell r="AD88">
            <v>4.75</v>
          </cell>
          <cell r="AE88">
            <v>14.629999999999995</v>
          </cell>
          <cell r="AF88">
            <v>-24.934999999999995</v>
          </cell>
          <cell r="AG88">
            <v>3.1598100000000002</v>
          </cell>
          <cell r="AH88">
            <v>11.085729999999998</v>
          </cell>
          <cell r="AI88">
            <v>15.292860000000005</v>
          </cell>
          <cell r="AK88">
            <v>4.992</v>
          </cell>
          <cell r="AL88">
            <v>6.6040000000000001</v>
          </cell>
          <cell r="AM88">
            <v>20.006</v>
          </cell>
          <cell r="AN88">
            <v>31.992999999999999</v>
          </cell>
          <cell r="AO88">
            <v>81.254999999999995</v>
          </cell>
          <cell r="AP88">
            <v>62.110000000000014</v>
          </cell>
          <cell r="AQ88">
            <v>10.883749999999992</v>
          </cell>
          <cell r="AR88">
            <v>43.68249800000001</v>
          </cell>
          <cell r="AS88">
            <v>47.074724639999999</v>
          </cell>
          <cell r="AT88">
            <v>49.993357567679936</v>
          </cell>
          <cell r="AU88">
            <v>52.283053344279722</v>
          </cell>
          <cell r="AV88">
            <v>53.915330269688184</v>
          </cell>
          <cell r="AW88">
            <v>54.891089916909038</v>
          </cell>
        </row>
        <row r="89">
          <cell r="I89" t="str">
            <v>Gross margin</v>
          </cell>
          <cell r="L89">
            <v>0.19053472649047329</v>
          </cell>
          <cell r="M89">
            <v>0.3155253837072019</v>
          </cell>
          <cell r="N89">
            <v>0.31927857665123072</v>
          </cell>
          <cell r="O89">
            <v>0.27245846240495641</v>
          </cell>
          <cell r="P89">
            <v>0.33609065155807361</v>
          </cell>
          <cell r="Q89">
            <v>0.30028083819399431</v>
          </cell>
          <cell r="R89">
            <v>0.35568884042166482</v>
          </cell>
          <cell r="S89">
            <v>0.35035483698842107</v>
          </cell>
          <cell r="T89">
            <v>0.36867817428930344</v>
          </cell>
          <cell r="U89">
            <v>0.39078718759745174</v>
          </cell>
          <cell r="V89">
            <v>0.39286990352931839</v>
          </cell>
          <cell r="W89">
            <v>0.39048887087904138</v>
          </cell>
          <cell r="X89">
            <v>0.39302131216046798</v>
          </cell>
          <cell r="Y89">
            <v>0.39355767500449879</v>
          </cell>
          <cell r="Z89">
            <v>0.40266021765417176</v>
          </cell>
          <cell r="AA89">
            <v>0.40606460118655241</v>
          </cell>
          <cell r="AB89">
            <v>0.4121015165583411</v>
          </cell>
          <cell r="AC89">
            <v>0.40629611411706829</v>
          </cell>
          <cell r="AD89">
            <v>0.38565089957019894</v>
          </cell>
          <cell r="AE89">
            <v>0.38204402228514017</v>
          </cell>
          <cell r="AF89">
            <v>0.41166345359405127</v>
          </cell>
          <cell r="AG89">
            <v>0.39</v>
          </cell>
          <cell r="AH89">
            <v>0.4</v>
          </cell>
          <cell r="AI89">
            <v>0.4</v>
          </cell>
          <cell r="AK89">
            <v>0.20522209839197575</v>
          </cell>
          <cell r="AL89">
            <v>0.28508014796547465</v>
          </cell>
          <cell r="AM89">
            <v>0.33925733879735714</v>
          </cell>
          <cell r="AN89">
            <v>0.38661046702289781</v>
          </cell>
          <cell r="AO89">
            <v>0.39972234309276644</v>
          </cell>
          <cell r="AP89">
            <v>0.39440934721096477</v>
          </cell>
          <cell r="AQ89">
            <v>0.4002609634808052</v>
          </cell>
          <cell r="AR89">
            <v>0.4</v>
          </cell>
          <cell r="AS89">
            <v>0.4</v>
          </cell>
          <cell r="AT89">
            <v>0.4</v>
          </cell>
          <cell r="AU89">
            <v>0.4</v>
          </cell>
          <cell r="AV89">
            <v>0.4</v>
          </cell>
          <cell r="AW89">
            <v>0.39999999999999997</v>
          </cell>
        </row>
        <row r="90">
          <cell r="I90" t="str">
            <v>% change Y/Y</v>
          </cell>
          <cell r="L90" t="str">
            <v>NA</v>
          </cell>
          <cell r="M90" t="str">
            <v>NA</v>
          </cell>
          <cell r="N90" t="str">
            <v>NA</v>
          </cell>
          <cell r="O90" t="str">
            <v>NA</v>
          </cell>
          <cell r="P90">
            <v>3.4487471526195899</v>
          </cell>
          <cell r="Q90">
            <v>1.7934454506252693</v>
          </cell>
          <cell r="R90">
            <v>1.5384890798424631</v>
          </cell>
          <cell r="S90">
            <v>1.3562995935746085</v>
          </cell>
          <cell r="T90">
            <v>1.3159242191500256</v>
          </cell>
          <cell r="U90">
            <v>1.1109910466193273</v>
          </cell>
          <cell r="V90">
            <v>1.1569816643159379</v>
          </cell>
          <cell r="W90">
            <v>0.72960985626283348</v>
          </cell>
          <cell r="X90">
            <v>1.1409094258972656</v>
          </cell>
          <cell r="Y90">
            <v>1.4643510054844606</v>
          </cell>
          <cell r="Z90">
            <v>1.4226770417838228</v>
          </cell>
          <cell r="AA90">
            <v>1.1393294709848987</v>
          </cell>
          <cell r="AB90">
            <v>0.30774526678141134</v>
          </cell>
          <cell r="AC90">
            <v>0.43264094955489596</v>
          </cell>
          <cell r="AD90">
            <v>0.43130904183535779</v>
          </cell>
          <cell r="AE90">
            <v>0.5018867924528303</v>
          </cell>
          <cell r="AF90">
            <v>0.12463806264806521</v>
          </cell>
          <cell r="AG90">
            <v>-4.9610397680198814E-2</v>
          </cell>
          <cell r="AH90">
            <v>7.4307750330001809E-2</v>
          </cell>
          <cell r="AI90">
            <v>6.8037245048773398E-2</v>
          </cell>
          <cell r="AL90">
            <v>1.3229166666666665</v>
          </cell>
          <cell r="AM90">
            <v>1.7252500862366333</v>
          </cell>
          <cell r="AN90">
            <v>1.012372634643377</v>
          </cell>
          <cell r="AO90">
            <v>1.2776947873260478</v>
          </cell>
          <cell r="AP90">
            <v>0.42878840179496036</v>
          </cell>
          <cell r="AQ90">
            <v>5.2588664476227232E-2</v>
          </cell>
          <cell r="AR90">
            <v>0.20052215406684848</v>
          </cell>
          <cell r="AS90">
            <v>0.17999999999999994</v>
          </cell>
          <cell r="AT90">
            <v>0.1619999999999997</v>
          </cell>
          <cell r="AU90">
            <v>0.14579999999999993</v>
          </cell>
          <cell r="AV90">
            <v>0.13122000000000011</v>
          </cell>
          <cell r="AW90">
            <v>0.11809800000000026</v>
          </cell>
        </row>
        <row r="91">
          <cell r="I91" t="str">
            <v>% change Q/Q</v>
          </cell>
          <cell r="L91" t="str">
            <v>NA</v>
          </cell>
          <cell r="M91">
            <v>0.76082004555808669</v>
          </cell>
          <cell r="N91">
            <v>0.2043984476067271</v>
          </cell>
          <cell r="O91">
            <v>0.84998209810239866</v>
          </cell>
          <cell r="P91">
            <v>0.13392684342945627</v>
          </cell>
          <cell r="Q91">
            <v>0.10564942823007328</v>
          </cell>
          <cell r="R91">
            <v>9.4473602963877745E-2</v>
          </cell>
          <cell r="S91">
            <v>0.71720733427362493</v>
          </cell>
          <cell r="T91">
            <v>0.11449691991786448</v>
          </cell>
          <cell r="U91">
            <v>7.811924239074397E-3</v>
          </cell>
          <cell r="V91">
            <v>0.11831809872029231</v>
          </cell>
          <cell r="W91">
            <v>0.37696985548943962</v>
          </cell>
          <cell r="X91">
            <v>0.3795232215784976</v>
          </cell>
          <cell r="Y91">
            <v>0.16006884681583489</v>
          </cell>
          <cell r="Z91">
            <v>9.9406528189910803E-2</v>
          </cell>
          <cell r="AA91">
            <v>0.21592442645074228</v>
          </cell>
          <cell r="AB91">
            <v>-0.15671476137624851</v>
          </cell>
          <cell r="AC91">
            <v>0.27086075282969202</v>
          </cell>
          <cell r="AD91">
            <v>9.838442419221205E-2</v>
          </cell>
          <cell r="AE91">
            <v>0.27588157646615108</v>
          </cell>
          <cell r="AF91">
            <v>-0.36853384569908365</v>
          </cell>
          <cell r="AG91">
            <v>7.3956933879461673E-2</v>
          </cell>
          <cell r="AH91">
            <v>0.24159912615961576</v>
          </cell>
          <cell r="AI91">
            <v>0.26843452774012677</v>
          </cell>
        </row>
        <row r="92">
          <cell r="I92" t="str">
            <v>DRIVER: Base case - Gross margin</v>
          </cell>
          <cell r="AG92">
            <v>0.39</v>
          </cell>
          <cell r="AH92">
            <v>0.4</v>
          </cell>
          <cell r="AI92">
            <v>0.4</v>
          </cell>
          <cell r="AR92">
            <v>0.4</v>
          </cell>
          <cell r="AS92">
            <v>0.4</v>
          </cell>
          <cell r="AT92">
            <v>0.4</v>
          </cell>
          <cell r="AU92">
            <v>0.4</v>
          </cell>
          <cell r="AV92">
            <v>0.4</v>
          </cell>
          <cell r="AW92">
            <v>0.4</v>
          </cell>
        </row>
        <row r="93">
          <cell r="I93" t="str">
            <v>Bull case</v>
          </cell>
          <cell r="AG93">
            <v>0.39500000000000002</v>
          </cell>
          <cell r="AH93">
            <v>0.40500000000000003</v>
          </cell>
          <cell r="AI93">
            <v>0.40500000000000003</v>
          </cell>
          <cell r="AR93">
            <v>0.40500000000000003</v>
          </cell>
          <cell r="AS93">
            <v>0.40500000000000003</v>
          </cell>
          <cell r="AT93">
            <v>0.40500000000000003</v>
          </cell>
          <cell r="AU93">
            <v>0.40500000000000003</v>
          </cell>
          <cell r="AV93">
            <v>0.40500000000000003</v>
          </cell>
          <cell r="AW93">
            <v>0.40500000000000003</v>
          </cell>
        </row>
        <row r="94">
          <cell r="I94" t="str">
            <v>Bull case spread - bps</v>
          </cell>
          <cell r="AG94">
            <v>50</v>
          </cell>
          <cell r="AH94">
            <v>50</v>
          </cell>
          <cell r="AI94">
            <v>50</v>
          </cell>
          <cell r="AR94">
            <v>50</v>
          </cell>
          <cell r="AS94">
            <v>50</v>
          </cell>
          <cell r="AT94">
            <v>50</v>
          </cell>
          <cell r="AU94">
            <v>50</v>
          </cell>
          <cell r="AV94">
            <v>50</v>
          </cell>
          <cell r="AW94">
            <v>50</v>
          </cell>
        </row>
        <row r="95">
          <cell r="I95" t="str">
            <v>Bear case</v>
          </cell>
          <cell r="AG95">
            <v>0.38</v>
          </cell>
          <cell r="AH95">
            <v>0.39</v>
          </cell>
          <cell r="AI95">
            <v>0.39</v>
          </cell>
          <cell r="AR95">
            <v>0.39</v>
          </cell>
          <cell r="AS95">
            <v>0.39</v>
          </cell>
          <cell r="AT95">
            <v>0.39</v>
          </cell>
          <cell r="AU95">
            <v>0.39</v>
          </cell>
          <cell r="AV95">
            <v>0.39</v>
          </cell>
          <cell r="AW95">
            <v>0.39</v>
          </cell>
        </row>
        <row r="96">
          <cell r="I96" t="str">
            <v>Bear case spread - bps</v>
          </cell>
          <cell r="AG96">
            <v>-100</v>
          </cell>
          <cell r="AH96">
            <v>-100</v>
          </cell>
          <cell r="AI96">
            <v>-100</v>
          </cell>
          <cell r="AR96">
            <v>-100</v>
          </cell>
          <cell r="AS96">
            <v>-100</v>
          </cell>
          <cell r="AT96">
            <v>-100</v>
          </cell>
          <cell r="AU96">
            <v>-100</v>
          </cell>
          <cell r="AV96">
            <v>-100</v>
          </cell>
          <cell r="AW96">
            <v>-100</v>
          </cell>
        </row>
        <row r="97">
          <cell r="I97" t="str">
            <v>SCENARIO OUTPUT</v>
          </cell>
          <cell r="AG97">
            <v>0.39</v>
          </cell>
          <cell r="AH97">
            <v>0.4</v>
          </cell>
          <cell r="AI97">
            <v>0.4</v>
          </cell>
          <cell r="AR97">
            <v>0.4</v>
          </cell>
          <cell r="AS97">
            <v>0.4</v>
          </cell>
          <cell r="AT97">
            <v>0.4</v>
          </cell>
          <cell r="AU97">
            <v>0.4</v>
          </cell>
          <cell r="AV97">
            <v>0.4</v>
          </cell>
          <cell r="AW97">
            <v>0.4</v>
          </cell>
        </row>
        <row r="100">
          <cell r="I100" t="str">
            <v>Sales and marketing (ex-SBC)</v>
          </cell>
          <cell r="L100">
            <v>0.73399999999999999</v>
          </cell>
          <cell r="M100">
            <v>1.0569999999999999</v>
          </cell>
          <cell r="N100">
            <v>1.0720000000000001</v>
          </cell>
          <cell r="O100">
            <v>1.647</v>
          </cell>
          <cell r="P100">
            <v>2.0019999999999998</v>
          </cell>
          <cell r="Q100">
            <v>1.9119999999999999</v>
          </cell>
          <cell r="R100">
            <v>1.9810000000000001</v>
          </cell>
          <cell r="S100">
            <v>2.4849999999999999</v>
          </cell>
          <cell r="T100">
            <v>3.3689999999999998</v>
          </cell>
          <cell r="U100">
            <v>3.5419999999999998</v>
          </cell>
          <cell r="V100">
            <v>3.1539999999999999</v>
          </cell>
          <cell r="W100">
            <v>4.0590000000000002</v>
          </cell>
          <cell r="X100">
            <v>8.76</v>
          </cell>
          <cell r="Y100">
            <v>10.44</v>
          </cell>
          <cell r="Z100">
            <v>9.67</v>
          </cell>
          <cell r="AA100">
            <v>12.16</v>
          </cell>
          <cell r="AB100">
            <v>12.98</v>
          </cell>
          <cell r="AC100">
            <v>13.98</v>
          </cell>
          <cell r="AD100">
            <v>13.793000000000001</v>
          </cell>
          <cell r="AE100">
            <v>16.04</v>
          </cell>
          <cell r="AF100">
            <v>13.076000000000001</v>
          </cell>
          <cell r="AG100">
            <v>13.53978</v>
          </cell>
          <cell r="AH100">
            <v>13.7678805</v>
          </cell>
          <cell r="AI100">
            <v>16.861460000000001</v>
          </cell>
          <cell r="AK100">
            <v>3.4430000000000001</v>
          </cell>
          <cell r="AL100">
            <v>4.51</v>
          </cell>
          <cell r="AM100">
            <v>8.379999999999999</v>
          </cell>
          <cell r="AN100">
            <v>14.123999999999999</v>
          </cell>
          <cell r="AO100">
            <v>41.03</v>
          </cell>
          <cell r="AP100">
            <v>56.792999999999999</v>
          </cell>
          <cell r="AQ100">
            <v>57.245120500000006</v>
          </cell>
          <cell r="AR100">
            <v>61.022791200000007</v>
          </cell>
          <cell r="AS100">
            <v>64.291869300000002</v>
          </cell>
          <cell r="AT100">
            <v>65.742293871407995</v>
          </cell>
          <cell r="AU100">
            <v>65.055585729060283</v>
          </cell>
          <cell r="AV100">
            <v>61.972361842886386</v>
          </cell>
          <cell r="AW100">
            <v>69.291173831807583</v>
          </cell>
        </row>
        <row r="101">
          <cell r="I101" t="str">
            <v>Period-to-period change</v>
          </cell>
          <cell r="L101" t="str">
            <v>NA</v>
          </cell>
          <cell r="M101">
            <v>0.32299999999999995</v>
          </cell>
          <cell r="N101">
            <v>1.5000000000000124E-2</v>
          </cell>
          <cell r="O101">
            <v>0.57499999999999996</v>
          </cell>
          <cell r="P101">
            <v>0.35499999999999976</v>
          </cell>
          <cell r="Q101">
            <v>-8.9999999999999858E-2</v>
          </cell>
          <cell r="R101">
            <v>6.9000000000000172E-2</v>
          </cell>
          <cell r="S101">
            <v>0.50399999999999978</v>
          </cell>
          <cell r="T101">
            <v>0.8839999999999999</v>
          </cell>
          <cell r="U101">
            <v>0.17300000000000004</v>
          </cell>
          <cell r="V101">
            <v>-0.3879999999999999</v>
          </cell>
          <cell r="W101">
            <v>0.90500000000000025</v>
          </cell>
          <cell r="X101">
            <v>4.7009999999999996</v>
          </cell>
          <cell r="Y101">
            <v>1.6799999999999997</v>
          </cell>
          <cell r="Z101">
            <v>-0.76999999999999957</v>
          </cell>
          <cell r="AA101">
            <v>2.4900000000000002</v>
          </cell>
          <cell r="AB101">
            <v>0.82000000000000028</v>
          </cell>
          <cell r="AC101">
            <v>1</v>
          </cell>
          <cell r="AD101">
            <v>-0.18699999999999939</v>
          </cell>
          <cell r="AE101">
            <v>2.2469999999999981</v>
          </cell>
          <cell r="AF101">
            <v>-2.9639999999999986</v>
          </cell>
          <cell r="AG101">
            <v>0.46377999999999986</v>
          </cell>
          <cell r="AH101">
            <v>0.22810050000000004</v>
          </cell>
          <cell r="AI101">
            <v>3.0935795000000006</v>
          </cell>
          <cell r="AK101">
            <v>3.4430000000000001</v>
          </cell>
          <cell r="AL101">
            <v>1.0669999999999997</v>
          </cell>
          <cell r="AM101">
            <v>3.8699999999999992</v>
          </cell>
          <cell r="AN101">
            <v>5.7439999999999998</v>
          </cell>
          <cell r="AO101">
            <v>26.906000000000002</v>
          </cell>
          <cell r="AP101">
            <v>15.762999999999998</v>
          </cell>
          <cell r="AQ101">
            <v>0.45212050000000659</v>
          </cell>
          <cell r="AR101">
            <v>3.7776707000000016</v>
          </cell>
          <cell r="AS101">
            <v>3.2690780999999944</v>
          </cell>
          <cell r="AT101">
            <v>1.4504245714079929</v>
          </cell>
          <cell r="AU101">
            <v>-0.68670814234771171</v>
          </cell>
          <cell r="AV101">
            <v>-3.0832238861738972</v>
          </cell>
          <cell r="AW101">
            <v>7.3188119889211976</v>
          </cell>
        </row>
        <row r="102">
          <cell r="I102" t="str">
            <v>% of revenue</v>
          </cell>
          <cell r="L102">
            <v>0.45113706207744314</v>
          </cell>
          <cell r="M102">
            <v>0.31198347107438018</v>
          </cell>
          <cell r="N102">
            <v>0.26127223982451869</v>
          </cell>
          <cell r="O102">
            <v>0.23190650520980005</v>
          </cell>
          <cell r="P102">
            <v>0.22685552407932011</v>
          </cell>
          <cell r="Q102">
            <v>0.20652408727586952</v>
          </cell>
          <cell r="R102">
            <v>0.18002544529262088</v>
          </cell>
          <cell r="S102">
            <v>0.1325969798836775</v>
          </cell>
          <cell r="T102">
            <v>0.15674870888196157</v>
          </cell>
          <cell r="U102">
            <v>0.15779391455428343</v>
          </cell>
          <cell r="V102">
            <v>0.12521338679582358</v>
          </cell>
          <cell r="W102">
            <v>0.11748531071811051</v>
          </cell>
          <cell r="X102">
            <v>0.18303384872544923</v>
          </cell>
          <cell r="Y102">
            <v>0.18787115350008995</v>
          </cell>
          <cell r="Z102">
            <v>0.1559048770656993</v>
          </cell>
          <cell r="AA102">
            <v>0.16031641397495058</v>
          </cell>
          <cell r="AB102">
            <v>0.2008666047663262</v>
          </cell>
          <cell r="AC102">
            <v>0.17191342843089033</v>
          </cell>
          <cell r="AD102">
            <v>0.15979100777349137</v>
          </cell>
          <cell r="AE102">
            <v>0.14649739702255915</v>
          </cell>
          <cell r="AF102">
            <v>0.18006058936931973</v>
          </cell>
          <cell r="AG102">
            <v>0.18</v>
          </cell>
          <cell r="AH102">
            <v>0.14499999999999999</v>
          </cell>
          <cell r="AI102">
            <v>0.14000000000000001</v>
          </cell>
          <cell r="AK102">
            <v>0.54816112084063051</v>
          </cell>
          <cell r="AL102">
            <v>0.27805178791615293</v>
          </cell>
          <cell r="AM102">
            <v>0.17521117337124698</v>
          </cell>
          <cell r="AN102">
            <v>0.13622947973533439</v>
          </cell>
          <cell r="AO102">
            <v>0.17003377468349185</v>
          </cell>
          <cell r="AP102">
            <v>0.16618336849559179</v>
          </cell>
          <cell r="AQ102">
            <v>0.15759980910214413</v>
          </cell>
          <cell r="AR102">
            <v>0.14000000000000001</v>
          </cell>
          <cell r="AS102">
            <v>0.125</v>
          </cell>
          <cell r="AT102">
            <v>0.11</v>
          </cell>
          <cell r="AU102">
            <v>9.5000000000000001E-2</v>
          </cell>
          <cell r="AV102">
            <v>0.08</v>
          </cell>
          <cell r="AW102">
            <v>0.08</v>
          </cell>
        </row>
        <row r="103">
          <cell r="I103" t="str">
            <v>% change Y/Y</v>
          </cell>
          <cell r="L103" t="str">
            <v>NA</v>
          </cell>
          <cell r="M103" t="str">
            <v>NA</v>
          </cell>
          <cell r="N103" t="str">
            <v>NA</v>
          </cell>
          <cell r="O103" t="str">
            <v>NA</v>
          </cell>
          <cell r="P103">
            <v>1.7275204359673024</v>
          </cell>
          <cell r="Q103">
            <v>0.80889309366130568</v>
          </cell>
          <cell r="R103">
            <v>0.84794776119402981</v>
          </cell>
          <cell r="S103">
            <v>0.50880388585306613</v>
          </cell>
          <cell r="T103">
            <v>0.68281718281718295</v>
          </cell>
          <cell r="U103">
            <v>0.85251046025104604</v>
          </cell>
          <cell r="V103">
            <v>0.59212518929833413</v>
          </cell>
          <cell r="W103">
            <v>0.63340040241448703</v>
          </cell>
          <cell r="X103">
            <v>1.600178094390027</v>
          </cell>
          <cell r="Y103">
            <v>1.9474872953133824</v>
          </cell>
          <cell r="Z103">
            <v>2.0659480025364618</v>
          </cell>
          <cell r="AA103">
            <v>1.9958117762995813</v>
          </cell>
          <cell r="AB103">
            <v>0.4817351598173516</v>
          </cell>
          <cell r="AC103">
            <v>0.33908045977011514</v>
          </cell>
          <cell r="AD103">
            <v>0.42637021716649448</v>
          </cell>
          <cell r="AE103">
            <v>0.31907894736842102</v>
          </cell>
          <cell r="AF103">
            <v>7.395993836671888E-3</v>
          </cell>
          <cell r="AG103">
            <v>-3.1489270386266144E-2</v>
          </cell>
          <cell r="AH103">
            <v>-1.8211774088305877E-3</v>
          </cell>
          <cell r="AI103">
            <v>5.1213216957606056E-2</v>
          </cell>
          <cell r="AL103">
            <v>0.30990415335463251</v>
          </cell>
          <cell r="AM103">
            <v>0.85809312638580915</v>
          </cell>
          <cell r="AN103">
            <v>0.68544152744630082</v>
          </cell>
          <cell r="AO103">
            <v>1.9049844236760127</v>
          </cell>
          <cell r="AP103">
            <v>0.38418230563002664</v>
          </cell>
          <cell r="AQ103">
            <v>7.9608490482983019E-3</v>
          </cell>
          <cell r="AR103">
            <v>6.5991138930347804E-2</v>
          </cell>
          <cell r="AS103">
            <v>5.3571428571428381E-2</v>
          </cell>
          <cell r="AT103">
            <v>2.2559999999999913E-2</v>
          </cell>
          <cell r="AU103">
            <v>-1.0445454545454647E-2</v>
          </cell>
          <cell r="AV103">
            <v>-4.7393684210526144E-2</v>
          </cell>
          <cell r="AW103">
            <v>0.11809800000000004</v>
          </cell>
        </row>
        <row r="104">
          <cell r="I104" t="str">
            <v>% change Q/Q</v>
          </cell>
          <cell r="L104" t="str">
            <v>NA</v>
          </cell>
          <cell r="M104">
            <v>0.44005449591280654</v>
          </cell>
          <cell r="N104">
            <v>1.4191106906338735E-2</v>
          </cell>
          <cell r="O104">
            <v>0.53638059701492535</v>
          </cell>
          <cell r="P104">
            <v>0.21554341226472351</v>
          </cell>
          <cell r="Q104">
            <v>-4.4955044955044876E-2</v>
          </cell>
          <cell r="R104">
            <v>3.608786610878667E-2</v>
          </cell>
          <cell r="S104">
            <v>0.25441696113074186</v>
          </cell>
          <cell r="T104">
            <v>0.35573440643863186</v>
          </cell>
          <cell r="U104">
            <v>5.1350549124369316E-2</v>
          </cell>
          <cell r="V104">
            <v>-0.10954263128176167</v>
          </cell>
          <cell r="W104">
            <v>0.2869372225745086</v>
          </cell>
          <cell r="X104">
            <v>1.1581670362158167</v>
          </cell>
          <cell r="Y104">
            <v>0.1917808219178081</v>
          </cell>
          <cell r="Z104">
            <v>-7.3754789272030608E-2</v>
          </cell>
          <cell r="AA104">
            <v>0.25749741468459164</v>
          </cell>
          <cell r="AB104">
            <v>6.7434210526315708E-2</v>
          </cell>
          <cell r="AC104">
            <v>7.7041602465331316E-2</v>
          </cell>
          <cell r="AD104">
            <v>-1.3376251788268956E-2</v>
          </cell>
          <cell r="AE104">
            <v>0.16290872181541349</v>
          </cell>
          <cell r="AF104">
            <v>-0.18478802992518695</v>
          </cell>
          <cell r="AG104">
            <v>3.5468033037626245E-2</v>
          </cell>
          <cell r="AH104">
            <v>1.684669174831499E-2</v>
          </cell>
          <cell r="AI104">
            <v>0.22469540609391547</v>
          </cell>
        </row>
        <row r="105">
          <cell r="I105" t="str">
            <v>DRIVER: Base case - % of revenue</v>
          </cell>
          <cell r="AG105">
            <v>0.18</v>
          </cell>
          <cell r="AH105">
            <v>0.14499999999999999</v>
          </cell>
          <cell r="AI105">
            <v>0.14000000000000001</v>
          </cell>
          <cell r="AR105">
            <v>0.14000000000000001</v>
          </cell>
          <cell r="AS105">
            <v>0.125</v>
          </cell>
          <cell r="AT105">
            <v>0.11</v>
          </cell>
          <cell r="AU105">
            <v>9.5000000000000001E-2</v>
          </cell>
          <cell r="AV105">
            <v>0.08</v>
          </cell>
          <cell r="AW105">
            <v>0.08</v>
          </cell>
        </row>
        <row r="106">
          <cell r="I106" t="str">
            <v>Bull case</v>
          </cell>
          <cell r="AG106">
            <v>0.17499999999999999</v>
          </cell>
          <cell r="AH106">
            <v>0.13999999999999999</v>
          </cell>
          <cell r="AI106">
            <v>0.13500000000000001</v>
          </cell>
          <cell r="AR106">
            <v>0.13500000000000001</v>
          </cell>
          <cell r="AS106">
            <v>0.12</v>
          </cell>
          <cell r="AT106">
            <v>0.105</v>
          </cell>
          <cell r="AU106">
            <v>0.09</v>
          </cell>
          <cell r="AV106">
            <v>7.4999999999999997E-2</v>
          </cell>
          <cell r="AW106">
            <v>7.4999999999999997E-2</v>
          </cell>
        </row>
        <row r="107">
          <cell r="I107" t="str">
            <v>Bull case spread - bps</v>
          </cell>
          <cell r="AG107">
            <v>-50</v>
          </cell>
          <cell r="AH107">
            <v>-50</v>
          </cell>
          <cell r="AI107">
            <v>-50</v>
          </cell>
          <cell r="AR107">
            <v>-50</v>
          </cell>
          <cell r="AS107">
            <v>-50</v>
          </cell>
          <cell r="AT107">
            <v>-50</v>
          </cell>
          <cell r="AU107">
            <v>-50</v>
          </cell>
          <cell r="AV107">
            <v>-50</v>
          </cell>
          <cell r="AW107">
            <v>-50</v>
          </cell>
        </row>
        <row r="108">
          <cell r="I108" t="str">
            <v>Bear case</v>
          </cell>
          <cell r="AG108">
            <v>0.19</v>
          </cell>
          <cell r="AH108">
            <v>0.155</v>
          </cell>
          <cell r="AI108">
            <v>0.15000000000000002</v>
          </cell>
          <cell r="AR108">
            <v>0.15000000000000002</v>
          </cell>
          <cell r="AS108">
            <v>0.13500000000000001</v>
          </cell>
          <cell r="AT108">
            <v>0.12</v>
          </cell>
          <cell r="AU108">
            <v>0.105</v>
          </cell>
          <cell r="AV108">
            <v>0.09</v>
          </cell>
          <cell r="AW108">
            <v>0.09</v>
          </cell>
        </row>
        <row r="109">
          <cell r="I109" t="str">
            <v>Bear case spread - bps</v>
          </cell>
          <cell r="AG109">
            <v>100</v>
          </cell>
          <cell r="AH109">
            <v>100</v>
          </cell>
          <cell r="AI109">
            <v>100</v>
          </cell>
          <cell r="AR109">
            <v>100</v>
          </cell>
          <cell r="AS109">
            <v>100</v>
          </cell>
          <cell r="AT109">
            <v>100</v>
          </cell>
          <cell r="AU109">
            <v>100</v>
          </cell>
          <cell r="AV109">
            <v>100</v>
          </cell>
          <cell r="AW109">
            <v>100</v>
          </cell>
        </row>
        <row r="110">
          <cell r="I110" t="str">
            <v>SCENARIO OUTPUT</v>
          </cell>
          <cell r="AG110">
            <v>0.18</v>
          </cell>
          <cell r="AH110">
            <v>0.14499999999999999</v>
          </cell>
          <cell r="AI110">
            <v>0.14000000000000001</v>
          </cell>
          <cell r="AR110">
            <v>0.14000000000000001</v>
          </cell>
          <cell r="AS110">
            <v>0.125</v>
          </cell>
          <cell r="AT110">
            <v>0.11</v>
          </cell>
          <cell r="AU110">
            <v>9.5000000000000001E-2</v>
          </cell>
          <cell r="AV110">
            <v>0.08</v>
          </cell>
          <cell r="AW110">
            <v>0.08</v>
          </cell>
        </row>
        <row r="113">
          <cell r="I113" t="str">
            <v>Technology and development (ex-SBC)</v>
          </cell>
          <cell r="L113">
            <v>0.218</v>
          </cell>
          <cell r="M113">
            <v>0.25700000000000001</v>
          </cell>
          <cell r="N113">
            <v>0.27500000000000002</v>
          </cell>
          <cell r="O113">
            <v>0.33300000000000002</v>
          </cell>
          <cell r="P113">
            <v>0.48599999999999999</v>
          </cell>
          <cell r="Q113">
            <v>0.55900000000000005</v>
          </cell>
          <cell r="R113">
            <v>0.52200000000000002</v>
          </cell>
          <cell r="S113">
            <v>0.59599999999999997</v>
          </cell>
          <cell r="T113">
            <v>0.64400000000000002</v>
          </cell>
          <cell r="U113">
            <v>0.91799999999999993</v>
          </cell>
          <cell r="V113">
            <v>1.133</v>
          </cell>
          <cell r="W113">
            <v>1.4790000000000001</v>
          </cell>
          <cell r="X113">
            <v>5.89</v>
          </cell>
          <cell r="Y113">
            <v>6.1</v>
          </cell>
          <cell r="Z113">
            <v>7.83</v>
          </cell>
          <cell r="AA113">
            <v>6.76</v>
          </cell>
          <cell r="AB113">
            <v>8.11</v>
          </cell>
          <cell r="AC113">
            <v>8.34</v>
          </cell>
          <cell r="AD113">
            <v>7.8840000000000003</v>
          </cell>
          <cell r="AE113">
            <v>8.9700000000000006</v>
          </cell>
          <cell r="AF113">
            <v>7.3390000000000004</v>
          </cell>
          <cell r="AG113">
            <v>6.0176800000000004</v>
          </cell>
          <cell r="AH113">
            <v>7.5960720000000004</v>
          </cell>
          <cell r="AI113">
            <v>9.6351200000000006</v>
          </cell>
          <cell r="AK113">
            <v>0.65900000000000003</v>
          </cell>
          <cell r="AL113">
            <v>1.083</v>
          </cell>
          <cell r="AM113">
            <v>2.1629999999999998</v>
          </cell>
          <cell r="AN113">
            <v>4.1739999999999995</v>
          </cell>
          <cell r="AO113">
            <v>26.58</v>
          </cell>
          <cell r="AP113">
            <v>33.304000000000002</v>
          </cell>
          <cell r="AQ113">
            <v>30.587872000000001</v>
          </cell>
          <cell r="AR113">
            <v>34.870166400000002</v>
          </cell>
          <cell r="AS113">
            <v>38.575121580000001</v>
          </cell>
          <cell r="AT113">
            <v>41.836005190895989</v>
          </cell>
          <cell r="AU113">
            <v>44.511716551462293</v>
          </cell>
          <cell r="AV113">
            <v>46.479271382164789</v>
          </cell>
          <cell r="AW113">
            <v>51.968380373855688</v>
          </cell>
        </row>
        <row r="114">
          <cell r="I114" t="str">
            <v>Period-to-period change</v>
          </cell>
          <cell r="L114" t="str">
            <v>NA</v>
          </cell>
          <cell r="M114">
            <v>3.9000000000000007E-2</v>
          </cell>
          <cell r="N114">
            <v>1.8000000000000016E-2</v>
          </cell>
          <cell r="O114">
            <v>5.7999999999999996E-2</v>
          </cell>
          <cell r="P114">
            <v>0.15299999999999997</v>
          </cell>
          <cell r="Q114">
            <v>7.3000000000000065E-2</v>
          </cell>
          <cell r="R114">
            <v>-3.7000000000000033E-2</v>
          </cell>
          <cell r="S114">
            <v>7.3999999999999955E-2</v>
          </cell>
          <cell r="T114">
            <v>4.8000000000000043E-2</v>
          </cell>
          <cell r="U114">
            <v>0.27399999999999991</v>
          </cell>
          <cell r="V114">
            <v>0.21500000000000008</v>
          </cell>
          <cell r="W114">
            <v>0.34600000000000009</v>
          </cell>
          <cell r="X114">
            <v>4.4109999999999996</v>
          </cell>
          <cell r="Y114">
            <v>0.20999999999999996</v>
          </cell>
          <cell r="Z114">
            <v>1.7300000000000004</v>
          </cell>
          <cell r="AA114">
            <v>-1.0700000000000003</v>
          </cell>
          <cell r="AB114">
            <v>1.3499999999999996</v>
          </cell>
          <cell r="AC114">
            <v>0.23000000000000043</v>
          </cell>
          <cell r="AD114">
            <v>-0.45599999999999952</v>
          </cell>
          <cell r="AE114">
            <v>1.0860000000000003</v>
          </cell>
          <cell r="AF114">
            <v>-1.6310000000000002</v>
          </cell>
          <cell r="AG114">
            <v>-1.3213200000000001</v>
          </cell>
          <cell r="AH114">
            <v>1.578392</v>
          </cell>
          <cell r="AI114">
            <v>2.0390480000000002</v>
          </cell>
          <cell r="AK114">
            <v>0.65900000000000003</v>
          </cell>
          <cell r="AL114">
            <v>0.42399999999999993</v>
          </cell>
          <cell r="AM114">
            <v>1.0799999999999998</v>
          </cell>
          <cell r="AN114">
            <v>2.0109999999999997</v>
          </cell>
          <cell r="AO114">
            <v>22.405999999999999</v>
          </cell>
          <cell r="AP114">
            <v>6.7240000000000038</v>
          </cell>
          <cell r="AQ114">
            <v>-2.7161280000000012</v>
          </cell>
          <cell r="AR114">
            <v>4.2822944000000014</v>
          </cell>
          <cell r="AS114">
            <v>3.7049551799999989</v>
          </cell>
          <cell r="AT114">
            <v>3.2608836108959878</v>
          </cell>
          <cell r="AU114">
            <v>2.6757113605663037</v>
          </cell>
          <cell r="AV114">
            <v>1.9675548307024968</v>
          </cell>
          <cell r="AW114">
            <v>5.4891089916908982</v>
          </cell>
        </row>
        <row r="115">
          <cell r="I115" t="str">
            <v>% of revenue</v>
          </cell>
          <cell r="L115">
            <v>0.13398893669330056</v>
          </cell>
          <cell r="M115">
            <v>7.5855962219598588E-2</v>
          </cell>
          <cell r="N115">
            <v>6.7024128686327081E-2</v>
          </cell>
          <cell r="O115">
            <v>4.6888200506899465E-2</v>
          </cell>
          <cell r="P115">
            <v>5.5070821529745045E-2</v>
          </cell>
          <cell r="Q115">
            <v>6.038021170879241E-2</v>
          </cell>
          <cell r="R115">
            <v>4.7437295528898589E-2</v>
          </cell>
          <cell r="S115">
            <v>3.1801931593831705E-2</v>
          </cell>
          <cell r="T115">
            <v>2.9963243846833857E-2</v>
          </cell>
          <cell r="U115">
            <v>4.0896333585779834E-2</v>
          </cell>
          <cell r="V115">
            <v>4.4979951566159831E-2</v>
          </cell>
          <cell r="W115">
            <v>4.2808764363657416E-2</v>
          </cell>
          <cell r="X115">
            <v>0.12306727956539908</v>
          </cell>
          <cell r="Y115">
            <v>0.10977145942055065</v>
          </cell>
          <cell r="Z115">
            <v>0.12623941958887547</v>
          </cell>
          <cell r="AA115">
            <v>8.9123269611074488E-2</v>
          </cell>
          <cell r="AB115">
            <v>0.12550294026617145</v>
          </cell>
          <cell r="AC115">
            <v>0.10255779636005903</v>
          </cell>
          <cell r="AD115">
            <v>9.1335627150453555E-2</v>
          </cell>
          <cell r="AE115">
            <v>8.1925289980820173E-2</v>
          </cell>
          <cell r="AF115">
            <v>0.10106031396309556</v>
          </cell>
          <cell r="AG115">
            <v>0.08</v>
          </cell>
          <cell r="AH115">
            <v>0.08</v>
          </cell>
          <cell r="AI115">
            <v>0.08</v>
          </cell>
          <cell r="AK115">
            <v>0.10491959879000161</v>
          </cell>
          <cell r="AL115">
            <v>6.6769420468557342E-2</v>
          </cell>
          <cell r="AM115">
            <v>4.5224554654177469E-2</v>
          </cell>
          <cell r="AN115">
            <v>4.0259264260498848E-2</v>
          </cell>
          <cell r="AO115">
            <v>0.11015105364580095</v>
          </cell>
          <cell r="AP115">
            <v>9.7451638483214281E-2</v>
          </cell>
          <cell r="AQ115">
            <v>8.4210544862785619E-2</v>
          </cell>
          <cell r="AR115">
            <v>0.08</v>
          </cell>
          <cell r="AS115">
            <v>7.4999999999999997E-2</v>
          </cell>
          <cell r="AT115">
            <v>6.9999999999999993E-2</v>
          </cell>
          <cell r="AU115">
            <v>6.4999999999999988E-2</v>
          </cell>
          <cell r="AV115">
            <v>0.06</v>
          </cell>
          <cell r="AW115">
            <v>0.06</v>
          </cell>
        </row>
        <row r="116">
          <cell r="I116" t="str">
            <v>% change Y/Y</v>
          </cell>
          <cell r="L116" t="str">
            <v>NA</v>
          </cell>
          <cell r="M116" t="str">
            <v>NA</v>
          </cell>
          <cell r="N116" t="str">
            <v>NA</v>
          </cell>
          <cell r="O116" t="str">
            <v>NA</v>
          </cell>
          <cell r="P116">
            <v>1.2293577981651373</v>
          </cell>
          <cell r="Q116">
            <v>1.1750972762645917</v>
          </cell>
          <cell r="R116">
            <v>0.89818181818181819</v>
          </cell>
          <cell r="S116">
            <v>0.78978978978978964</v>
          </cell>
          <cell r="T116">
            <v>0.32510288065843618</v>
          </cell>
          <cell r="U116">
            <v>0.64221824686940931</v>
          </cell>
          <cell r="V116">
            <v>1.1704980842911876</v>
          </cell>
          <cell r="W116">
            <v>1.4815436241610742</v>
          </cell>
          <cell r="X116">
            <v>8.1459627329192532</v>
          </cell>
          <cell r="Y116">
            <v>5.6448801742919388</v>
          </cell>
          <cell r="Z116">
            <v>5.9108561341571049</v>
          </cell>
          <cell r="AA116">
            <v>3.5706558485463145</v>
          </cell>
          <cell r="AB116">
            <v>0.3769100169779287</v>
          </cell>
          <cell r="AC116">
            <v>0.36721311475409846</v>
          </cell>
          <cell r="AD116">
            <v>6.8965517241379448E-3</v>
          </cell>
          <cell r="AE116">
            <v>0.32692307692307709</v>
          </cell>
          <cell r="AF116">
            <v>-9.5067817509247754E-2</v>
          </cell>
          <cell r="AG116">
            <v>-0.27845563549160668</v>
          </cell>
          <cell r="AH116">
            <v>-3.6520547945205428E-2</v>
          </cell>
          <cell r="AI116">
            <v>7.4149386845038912E-2</v>
          </cell>
          <cell r="AL116">
            <v>0.64339908952959024</v>
          </cell>
          <cell r="AM116">
            <v>0.99722991689750673</v>
          </cell>
          <cell r="AN116">
            <v>0.92972723069810437</v>
          </cell>
          <cell r="AO116">
            <v>5.3679923334930528</v>
          </cell>
          <cell r="AP116">
            <v>0.2529721595184351</v>
          </cell>
          <cell r="AQ116">
            <v>-8.1555608935863555E-2</v>
          </cell>
          <cell r="AR116">
            <v>0.13999974892009481</v>
          </cell>
          <cell r="AS116">
            <v>0.10624999999999996</v>
          </cell>
          <cell r="AT116">
            <v>8.4533333333332905E-2</v>
          </cell>
          <cell r="AU116">
            <v>6.3957142857142824E-2</v>
          </cell>
          <cell r="AV116">
            <v>4.4203076923077234E-2</v>
          </cell>
          <cell r="AW116">
            <v>0.11809800000000004</v>
          </cell>
        </row>
        <row r="117">
          <cell r="I117" t="str">
            <v>% change Q/Q</v>
          </cell>
          <cell r="L117" t="str">
            <v>NA</v>
          </cell>
          <cell r="M117">
            <v>0.17889908256880727</v>
          </cell>
          <cell r="N117">
            <v>7.0038910505836549E-2</v>
          </cell>
          <cell r="O117">
            <v>0.21090909090909093</v>
          </cell>
          <cell r="P117">
            <v>0.45945945945945943</v>
          </cell>
          <cell r="Q117">
            <v>0.15020576131687258</v>
          </cell>
          <cell r="R117">
            <v>-6.6189624329159313E-2</v>
          </cell>
          <cell r="S117">
            <v>0.14176245210727956</v>
          </cell>
          <cell r="T117">
            <v>8.0536912751677958E-2</v>
          </cell>
          <cell r="U117">
            <v>0.42546583850931663</v>
          </cell>
          <cell r="V117">
            <v>0.23420479302832264</v>
          </cell>
          <cell r="W117">
            <v>0.30538393645189776</v>
          </cell>
          <cell r="X117">
            <v>2.9824205544286677</v>
          </cell>
          <cell r="Y117">
            <v>3.5653650254668934E-2</v>
          </cell>
          <cell r="Z117">
            <v>0.28360655737704921</v>
          </cell>
          <cell r="AA117">
            <v>-0.13665389527458494</v>
          </cell>
          <cell r="AB117">
            <v>0.19970414201183417</v>
          </cell>
          <cell r="AC117">
            <v>2.8360049321825009E-2</v>
          </cell>
          <cell r="AD117">
            <v>-5.4676258992805704E-2</v>
          </cell>
          <cell r="AE117">
            <v>0.13774733637747349</v>
          </cell>
          <cell r="AF117">
            <v>-0.18182831661092536</v>
          </cell>
          <cell r="AG117">
            <v>-0.18004087750374709</v>
          </cell>
          <cell r="AH117">
            <v>0.26229244492894277</v>
          </cell>
          <cell r="AI117">
            <v>0.26843452774012677</v>
          </cell>
        </row>
        <row r="118">
          <cell r="I118" t="str">
            <v>DRIVER: Base case - % of revenue</v>
          </cell>
          <cell r="AG118">
            <v>0.08</v>
          </cell>
          <cell r="AH118">
            <v>0.08</v>
          </cell>
          <cell r="AI118">
            <v>0.08</v>
          </cell>
          <cell r="AR118">
            <v>0.08</v>
          </cell>
          <cell r="AS118">
            <v>7.4999999999999997E-2</v>
          </cell>
          <cell r="AT118">
            <v>6.9999999999999993E-2</v>
          </cell>
          <cell r="AU118">
            <v>6.4999999999999988E-2</v>
          </cell>
          <cell r="AV118">
            <v>0.06</v>
          </cell>
          <cell r="AW118">
            <v>0.06</v>
          </cell>
        </row>
        <row r="119">
          <cell r="I119" t="str">
            <v>Bull case</v>
          </cell>
          <cell r="AG119">
            <v>7.4999999999999997E-2</v>
          </cell>
          <cell r="AH119">
            <v>7.4999999999999997E-2</v>
          </cell>
          <cell r="AI119">
            <v>7.4999999999999997E-2</v>
          </cell>
          <cell r="AR119">
            <v>7.4999999999999997E-2</v>
          </cell>
          <cell r="AS119">
            <v>6.9999999999999993E-2</v>
          </cell>
          <cell r="AT119">
            <v>6.4999999999999988E-2</v>
          </cell>
          <cell r="AU119">
            <v>5.9999999999999991E-2</v>
          </cell>
          <cell r="AV119">
            <v>5.5E-2</v>
          </cell>
          <cell r="AW119">
            <v>5.5E-2</v>
          </cell>
        </row>
        <row r="120">
          <cell r="I120" t="str">
            <v>Bull case spread - bps</v>
          </cell>
          <cell r="AG120">
            <v>-50</v>
          </cell>
          <cell r="AH120">
            <v>-50</v>
          </cell>
          <cell r="AI120">
            <v>-50</v>
          </cell>
          <cell r="AR120">
            <v>-50</v>
          </cell>
          <cell r="AS120">
            <v>-50</v>
          </cell>
          <cell r="AT120">
            <v>-50</v>
          </cell>
          <cell r="AU120">
            <v>-50</v>
          </cell>
          <cell r="AV120">
            <v>-50</v>
          </cell>
          <cell r="AW120">
            <v>-50</v>
          </cell>
        </row>
        <row r="121">
          <cell r="I121" t="str">
            <v>Bear case</v>
          </cell>
          <cell r="AG121">
            <v>0.09</v>
          </cell>
          <cell r="AH121">
            <v>0.09</v>
          </cell>
          <cell r="AI121">
            <v>0.09</v>
          </cell>
          <cell r="AR121">
            <v>0.09</v>
          </cell>
          <cell r="AS121">
            <v>8.4999999999999992E-2</v>
          </cell>
          <cell r="AT121">
            <v>7.9999999999999988E-2</v>
          </cell>
          <cell r="AU121">
            <v>7.4999999999999983E-2</v>
          </cell>
          <cell r="AV121">
            <v>6.9999999999999993E-2</v>
          </cell>
          <cell r="AW121">
            <v>6.9999999999999993E-2</v>
          </cell>
        </row>
        <row r="122">
          <cell r="I122" t="str">
            <v>Bear case spread - bps</v>
          </cell>
          <cell r="AG122">
            <v>100</v>
          </cell>
          <cell r="AH122">
            <v>100</v>
          </cell>
          <cell r="AI122">
            <v>100</v>
          </cell>
          <cell r="AR122">
            <v>100</v>
          </cell>
          <cell r="AS122">
            <v>100</v>
          </cell>
          <cell r="AT122">
            <v>100</v>
          </cell>
          <cell r="AU122">
            <v>100</v>
          </cell>
          <cell r="AV122">
            <v>100</v>
          </cell>
          <cell r="AW122">
            <v>100</v>
          </cell>
        </row>
        <row r="123">
          <cell r="I123" t="str">
            <v>SCENARIO OUTPUT</v>
          </cell>
          <cell r="AG123">
            <v>0.08</v>
          </cell>
          <cell r="AH123">
            <v>0.08</v>
          </cell>
          <cell r="AI123">
            <v>0.08</v>
          </cell>
          <cell r="AR123">
            <v>0.08</v>
          </cell>
          <cell r="AS123">
            <v>7.4999999999999997E-2</v>
          </cell>
          <cell r="AT123">
            <v>6.9999999999999993E-2</v>
          </cell>
          <cell r="AU123">
            <v>6.4999999999999988E-2</v>
          </cell>
          <cell r="AV123">
            <v>0.06</v>
          </cell>
          <cell r="AW123">
            <v>0.06</v>
          </cell>
        </row>
        <row r="126">
          <cell r="I126" t="str">
            <v>General and administrative (ex-SBC)</v>
          </cell>
          <cell r="L126">
            <v>1.4159999999999999</v>
          </cell>
          <cell r="M126">
            <v>1.4710000000000001</v>
          </cell>
          <cell r="N126">
            <v>1.585</v>
          </cell>
          <cell r="O126">
            <v>1.7529999999999999</v>
          </cell>
          <cell r="P126">
            <v>2.2229999999999999</v>
          </cell>
          <cell r="Q126">
            <v>2.3969999999999998</v>
          </cell>
          <cell r="R126">
            <v>2.6469999999999998</v>
          </cell>
          <cell r="S126">
            <v>4.9960000000000004</v>
          </cell>
          <cell r="T126">
            <v>3.8319999999999999</v>
          </cell>
          <cell r="U126">
            <v>4.5330000000000004</v>
          </cell>
          <cell r="V126">
            <v>5.21</v>
          </cell>
          <cell r="W126">
            <v>7.0510000000000002</v>
          </cell>
          <cell r="X126">
            <v>8.68</v>
          </cell>
          <cell r="Y126">
            <v>9.69</v>
          </cell>
          <cell r="Z126">
            <v>8.7800000000000011</v>
          </cell>
          <cell r="AA126">
            <v>10.7</v>
          </cell>
          <cell r="AB126">
            <v>11.590000000000002</v>
          </cell>
          <cell r="AC126">
            <v>12.569999999999999</v>
          </cell>
          <cell r="AD126">
            <v>12.452999999999999</v>
          </cell>
          <cell r="AE126">
            <v>12.209999999999999</v>
          </cell>
          <cell r="AF126">
            <v>18.085999999999999</v>
          </cell>
          <cell r="AG126">
            <v>16.54862</v>
          </cell>
          <cell r="AH126">
            <v>15.192144000000001</v>
          </cell>
          <cell r="AI126">
            <v>14.452680000000001</v>
          </cell>
          <cell r="AK126">
            <v>5.577</v>
          </cell>
          <cell r="AL126">
            <v>6.2249999999999996</v>
          </cell>
          <cell r="AM126">
            <v>12.263</v>
          </cell>
          <cell r="AN126">
            <v>20.625999999999998</v>
          </cell>
          <cell r="AO126">
            <v>37.849999999999994</v>
          </cell>
          <cell r="AP126">
            <v>48.823</v>
          </cell>
          <cell r="AQ126">
            <v>64.279443999999998</v>
          </cell>
          <cell r="AR126">
            <v>56.664020400000005</v>
          </cell>
          <cell r="AS126">
            <v>61.720194528000007</v>
          </cell>
          <cell r="AT126">
            <v>65.742293871408009</v>
          </cell>
          <cell r="AU126">
            <v>68.47956392532663</v>
          </cell>
          <cell r="AV126">
            <v>69.718907073247195</v>
          </cell>
          <cell r="AW126">
            <v>69.291173831807612</v>
          </cell>
        </row>
        <row r="127">
          <cell r="I127" t="str">
            <v>Period-to-period change</v>
          </cell>
          <cell r="L127" t="str">
            <v>NA</v>
          </cell>
          <cell r="M127">
            <v>5.500000000000016E-2</v>
          </cell>
          <cell r="N127">
            <v>0.11399999999999988</v>
          </cell>
          <cell r="O127">
            <v>0.16799999999999993</v>
          </cell>
          <cell r="P127">
            <v>0.47</v>
          </cell>
          <cell r="Q127">
            <v>0.17399999999999993</v>
          </cell>
          <cell r="R127">
            <v>0.25</v>
          </cell>
          <cell r="S127">
            <v>2.3490000000000006</v>
          </cell>
          <cell r="T127">
            <v>-1.1640000000000006</v>
          </cell>
          <cell r="U127">
            <v>0.70100000000000051</v>
          </cell>
          <cell r="V127">
            <v>0.6769999999999996</v>
          </cell>
          <cell r="W127">
            <v>1.8410000000000002</v>
          </cell>
          <cell r="X127">
            <v>1.6289999999999996</v>
          </cell>
          <cell r="Y127">
            <v>1.0099999999999998</v>
          </cell>
          <cell r="Z127">
            <v>-0.90999999999999837</v>
          </cell>
          <cell r="AA127">
            <v>1.9199999999999982</v>
          </cell>
          <cell r="AB127">
            <v>0.89000000000000234</v>
          </cell>
          <cell r="AC127">
            <v>0.97999999999999687</v>
          </cell>
          <cell r="AD127">
            <v>-0.1169999999999991</v>
          </cell>
          <cell r="AE127">
            <v>-0.24300000000000033</v>
          </cell>
          <cell r="AF127">
            <v>5.8759999999999994</v>
          </cell>
          <cell r="AG127">
            <v>-1.5373799999999989</v>
          </cell>
          <cell r="AH127">
            <v>-1.3564759999999989</v>
          </cell>
          <cell r="AI127">
            <v>-0.7394639999999999</v>
          </cell>
          <cell r="AK127">
            <v>5.577</v>
          </cell>
          <cell r="AL127">
            <v>0.64799999999999969</v>
          </cell>
          <cell r="AM127">
            <v>6.0380000000000003</v>
          </cell>
          <cell r="AN127">
            <v>8.3629999999999978</v>
          </cell>
          <cell r="AO127">
            <v>17.223999999999997</v>
          </cell>
          <cell r="AP127">
            <v>10.973000000000006</v>
          </cell>
          <cell r="AQ127">
            <v>15.456443999999998</v>
          </cell>
          <cell r="AR127">
            <v>-7.6154235999999926</v>
          </cell>
          <cell r="AS127">
            <v>5.0561741280000021</v>
          </cell>
          <cell r="AT127">
            <v>4.0220993434080015</v>
          </cell>
          <cell r="AU127">
            <v>2.7372700539186212</v>
          </cell>
          <cell r="AV127">
            <v>1.2393431479205645</v>
          </cell>
          <cell r="AW127">
            <v>-0.42773324143958291</v>
          </cell>
        </row>
        <row r="128">
          <cell r="I128" t="str">
            <v>% of revenue</v>
          </cell>
          <cell r="L128">
            <v>0.87031346035648427</v>
          </cell>
          <cell r="M128">
            <v>0.43417945690672965</v>
          </cell>
          <cell r="N128">
            <v>0.38630270533755789</v>
          </cell>
          <cell r="O128">
            <v>0.2468318783441284</v>
          </cell>
          <cell r="P128">
            <v>0.25189801699716713</v>
          </cell>
          <cell r="Q128">
            <v>0.2589112119248218</v>
          </cell>
          <cell r="R128">
            <v>0.24054889131225007</v>
          </cell>
          <cell r="S128">
            <v>0.26658129235366312</v>
          </cell>
          <cell r="T128">
            <v>0.17829060624389337</v>
          </cell>
          <cell r="U128">
            <v>0.2019423530984096</v>
          </cell>
          <cell r="V128">
            <v>0.20683631744015243</v>
          </cell>
          <cell r="W128">
            <v>0.20408694897102667</v>
          </cell>
          <cell r="X128">
            <v>0.18136230672795653</v>
          </cell>
          <cell r="Y128">
            <v>0.17437466258772719</v>
          </cell>
          <cell r="Z128">
            <v>0.14155582426440955</v>
          </cell>
          <cell r="AA128">
            <v>0.14106789716545814</v>
          </cell>
          <cell r="AB128">
            <v>0.17935623645930054</v>
          </cell>
          <cell r="AC128">
            <v>0.15457452041318248</v>
          </cell>
          <cell r="AD128">
            <v>0.14426719493970042</v>
          </cell>
          <cell r="AE128">
            <v>0.11151703351904284</v>
          </cell>
          <cell r="AF128">
            <v>0.24904984852657666</v>
          </cell>
          <cell r="AG128">
            <v>0.21999999999999997</v>
          </cell>
          <cell r="AH128">
            <v>0.16</v>
          </cell>
          <cell r="AI128">
            <v>0.12</v>
          </cell>
          <cell r="AK128">
            <v>0.88791593695271454</v>
          </cell>
          <cell r="AL128">
            <v>0.38378545006165227</v>
          </cell>
          <cell r="AM128">
            <v>0.2563979259011458</v>
          </cell>
          <cell r="AN128">
            <v>0.19894288084260883</v>
          </cell>
          <cell r="AO128">
            <v>0.15685543192225604</v>
          </cell>
          <cell r="AP128">
            <v>0.14286215906996069</v>
          </cell>
          <cell r="AQ128">
            <v>0.17696579228253984</v>
          </cell>
          <cell r="AR128">
            <v>0.13</v>
          </cell>
          <cell r="AS128">
            <v>0.12000000000000001</v>
          </cell>
          <cell r="AT128">
            <v>0.11000000000000003</v>
          </cell>
          <cell r="AU128">
            <v>0.10000000000000002</v>
          </cell>
          <cell r="AV128">
            <v>9.0000000000000011E-2</v>
          </cell>
          <cell r="AW128">
            <v>8.0000000000000029E-2</v>
          </cell>
        </row>
        <row r="129">
          <cell r="I129" t="str">
            <v>% change Y/Y</v>
          </cell>
          <cell r="L129" t="str">
            <v>NA</v>
          </cell>
          <cell r="M129" t="str">
            <v>NA</v>
          </cell>
          <cell r="N129" t="str">
            <v>NA</v>
          </cell>
          <cell r="O129" t="str">
            <v>NA</v>
          </cell>
          <cell r="P129">
            <v>0.56991525423728806</v>
          </cell>
          <cell r="Q129">
            <v>0.62950373895309286</v>
          </cell>
          <cell r="R129">
            <v>0.67003154574132484</v>
          </cell>
          <cell r="S129">
            <v>1.8499714774671996</v>
          </cell>
          <cell r="T129">
            <v>0.72379667116509228</v>
          </cell>
          <cell r="U129">
            <v>0.89111389236545713</v>
          </cell>
          <cell r="V129">
            <v>0.96826596146581045</v>
          </cell>
          <cell r="W129">
            <v>0.41132906325060037</v>
          </cell>
          <cell r="X129">
            <v>1.2651356993736953</v>
          </cell>
          <cell r="Y129">
            <v>1.1376571806750495</v>
          </cell>
          <cell r="Z129">
            <v>0.68522072936660283</v>
          </cell>
          <cell r="AA129">
            <v>0.51751524606438792</v>
          </cell>
          <cell r="AB129">
            <v>0.3352534562211984</v>
          </cell>
          <cell r="AC129">
            <v>0.29721362229102155</v>
          </cell>
          <cell r="AD129">
            <v>0.4183371298405465</v>
          </cell>
          <cell r="AE129">
            <v>0.14112149532710272</v>
          </cell>
          <cell r="AF129">
            <v>0.560483175150992</v>
          </cell>
          <cell r="AG129">
            <v>0.31651710421638835</v>
          </cell>
          <cell r="AH129">
            <v>0.21995856420139748</v>
          </cell>
          <cell r="AI129">
            <v>0.18367567567567589</v>
          </cell>
          <cell r="AL129">
            <v>0.11619150080688545</v>
          </cell>
          <cell r="AM129">
            <v>0.9699598393574298</v>
          </cell>
          <cell r="AN129">
            <v>0.68197015412215589</v>
          </cell>
          <cell r="AO129">
            <v>0.83506254242218558</v>
          </cell>
          <cell r="AP129">
            <v>0.28990752972258926</v>
          </cell>
          <cell r="AQ129">
            <v>0.31658120148290769</v>
          </cell>
          <cell r="AR129">
            <v>-0.11847370055036555</v>
          </cell>
          <cell r="AS129">
            <v>8.9230769230769225E-2</v>
          </cell>
          <cell r="AT129">
            <v>6.5166666666666595E-2</v>
          </cell>
          <cell r="AU129">
            <v>4.1636363636363694E-2</v>
          </cell>
          <cell r="AV129">
            <v>1.8097999999999947E-2</v>
          </cell>
          <cell r="AW129">
            <v>-6.1351111111108692E-3</v>
          </cell>
        </row>
        <row r="130">
          <cell r="I130" t="str">
            <v>% change Q/Q</v>
          </cell>
          <cell r="L130" t="str">
            <v>NA</v>
          </cell>
          <cell r="M130">
            <v>3.8841807909604675E-2</v>
          </cell>
          <cell r="N130">
            <v>7.7498300475866699E-2</v>
          </cell>
          <cell r="O130">
            <v>0.10599369085173493</v>
          </cell>
          <cell r="P130">
            <v>0.26811180832857961</v>
          </cell>
          <cell r="Q130">
            <v>7.8272604588394135E-2</v>
          </cell>
          <cell r="R130">
            <v>0.10429703796412193</v>
          </cell>
          <cell r="S130">
            <v>0.88741972043823236</v>
          </cell>
          <cell r="T130">
            <v>-0.23298638911128911</v>
          </cell>
          <cell r="U130">
            <v>0.18293319415448872</v>
          </cell>
          <cell r="V130">
            <v>0.14934921685418034</v>
          </cell>
          <cell r="W130">
            <v>0.35335892514395395</v>
          </cell>
          <cell r="X130">
            <v>0.23103105942419511</v>
          </cell>
          <cell r="Y130">
            <v>0.11635944700460832</v>
          </cell>
          <cell r="Z130">
            <v>-9.3911248710010109E-2</v>
          </cell>
          <cell r="AA130">
            <v>0.21867881548974921</v>
          </cell>
          <cell r="AB130">
            <v>8.3177570093458275E-2</v>
          </cell>
          <cell r="AC130">
            <v>8.4555651423640743E-2</v>
          </cell>
          <cell r="AD130">
            <v>-9.3078758949880491E-3</v>
          </cell>
          <cell r="AE130">
            <v>-1.9513370272223551E-2</v>
          </cell>
          <cell r="AF130">
            <v>0.4812448812448813</v>
          </cell>
          <cell r="AG130">
            <v>-8.5003870396992087E-2</v>
          </cell>
          <cell r="AH130">
            <v>-8.1969130960768855E-2</v>
          </cell>
          <cell r="AI130">
            <v>-4.8674104194904921E-2</v>
          </cell>
        </row>
        <row r="131">
          <cell r="I131" t="str">
            <v>DRIVER: Base case - % of revenue</v>
          </cell>
          <cell r="AG131">
            <v>0.22</v>
          </cell>
          <cell r="AH131">
            <v>0.16</v>
          </cell>
          <cell r="AI131">
            <v>0.12</v>
          </cell>
          <cell r="AR131">
            <v>0.13</v>
          </cell>
          <cell r="AS131">
            <v>0.12000000000000001</v>
          </cell>
          <cell r="AT131">
            <v>0.11000000000000001</v>
          </cell>
          <cell r="AU131">
            <v>0.10000000000000002</v>
          </cell>
          <cell r="AV131">
            <v>9.0000000000000024E-2</v>
          </cell>
          <cell r="AW131">
            <v>8.0000000000000029E-2</v>
          </cell>
        </row>
        <row r="132">
          <cell r="I132" t="str">
            <v>Bull case</v>
          </cell>
          <cell r="AG132">
            <v>0.215</v>
          </cell>
          <cell r="AH132">
            <v>0.155</v>
          </cell>
          <cell r="AI132">
            <v>0.11499999999999999</v>
          </cell>
          <cell r="AR132">
            <v>0.125</v>
          </cell>
          <cell r="AS132">
            <v>0.115</v>
          </cell>
          <cell r="AT132">
            <v>0.10500000000000001</v>
          </cell>
          <cell r="AU132">
            <v>9.5000000000000015E-2</v>
          </cell>
          <cell r="AV132">
            <v>8.500000000000002E-2</v>
          </cell>
          <cell r="AW132">
            <v>7.5000000000000025E-2</v>
          </cell>
        </row>
        <row r="133">
          <cell r="I133" t="str">
            <v>Bull case spread - bps</v>
          </cell>
          <cell r="AG133">
            <v>-50</v>
          </cell>
          <cell r="AH133">
            <v>-50</v>
          </cell>
          <cell r="AI133">
            <v>-50</v>
          </cell>
          <cell r="AR133">
            <v>-50</v>
          </cell>
          <cell r="AS133">
            <v>-50</v>
          </cell>
          <cell r="AT133">
            <v>-50</v>
          </cell>
          <cell r="AU133">
            <v>-50</v>
          </cell>
          <cell r="AV133">
            <v>-50</v>
          </cell>
          <cell r="AW133">
            <v>-50</v>
          </cell>
        </row>
        <row r="134">
          <cell r="I134" t="str">
            <v>Bear case</v>
          </cell>
          <cell r="AG134">
            <v>0.23</v>
          </cell>
          <cell r="AH134">
            <v>0.17</v>
          </cell>
          <cell r="AI134">
            <v>0.13</v>
          </cell>
          <cell r="AR134">
            <v>0.14000000000000001</v>
          </cell>
          <cell r="AS134">
            <v>0.13</v>
          </cell>
          <cell r="AT134">
            <v>0.12000000000000001</v>
          </cell>
          <cell r="AU134">
            <v>0.11000000000000001</v>
          </cell>
          <cell r="AV134">
            <v>0.10000000000000002</v>
          </cell>
          <cell r="AW134">
            <v>9.0000000000000024E-2</v>
          </cell>
        </row>
        <row r="135">
          <cell r="I135" t="str">
            <v>Bear case spread - bps</v>
          </cell>
          <cell r="AG135">
            <v>100</v>
          </cell>
          <cell r="AH135">
            <v>100</v>
          </cell>
          <cell r="AI135">
            <v>100</v>
          </cell>
          <cell r="AR135">
            <v>100</v>
          </cell>
          <cell r="AS135">
            <v>100</v>
          </cell>
          <cell r="AT135">
            <v>100</v>
          </cell>
          <cell r="AU135">
            <v>100</v>
          </cell>
          <cell r="AV135">
            <v>100</v>
          </cell>
          <cell r="AW135">
            <v>100</v>
          </cell>
        </row>
        <row r="136">
          <cell r="I136" t="str">
            <v>SCENARIO OUTPUT</v>
          </cell>
          <cell r="AG136">
            <v>0.22</v>
          </cell>
          <cell r="AH136">
            <v>0.16</v>
          </cell>
          <cell r="AI136">
            <v>0.12</v>
          </cell>
          <cell r="AR136">
            <v>0.13</v>
          </cell>
          <cell r="AS136">
            <v>0.12000000000000001</v>
          </cell>
          <cell r="AT136">
            <v>0.11000000000000001</v>
          </cell>
          <cell r="AU136">
            <v>0.10000000000000002</v>
          </cell>
          <cell r="AV136">
            <v>9.0000000000000024E-2</v>
          </cell>
          <cell r="AW136">
            <v>8.0000000000000029E-2</v>
          </cell>
        </row>
        <row r="139">
          <cell r="I139" t="str">
            <v>Stock-based compensation</v>
          </cell>
          <cell r="L139">
            <v>3.3000000000000002E-2</v>
          </cell>
          <cell r="M139">
            <v>0.04</v>
          </cell>
          <cell r="N139">
            <v>7.0000000000000007E-2</v>
          </cell>
          <cell r="O139">
            <v>6.9000000000000006E-2</v>
          </cell>
          <cell r="P139">
            <v>7.6999999999999999E-2</v>
          </cell>
          <cell r="Q139">
            <v>0.115</v>
          </cell>
          <cell r="R139">
            <v>9.7000000000000003E-2</v>
          </cell>
          <cell r="S139">
            <v>0.123</v>
          </cell>
          <cell r="T139">
            <v>0.10199999999999999</v>
          </cell>
          <cell r="U139">
            <v>0.39700000000000002</v>
          </cell>
          <cell r="V139">
            <v>0.60599999999999998</v>
          </cell>
          <cell r="W139">
            <v>0.72799999999999998</v>
          </cell>
          <cell r="X139">
            <v>1.23</v>
          </cell>
          <cell r="Y139">
            <v>1.1000000000000001</v>
          </cell>
          <cell r="Z139">
            <v>3.35</v>
          </cell>
          <cell r="AA139">
            <v>2.33</v>
          </cell>
          <cell r="AB139">
            <v>1.77</v>
          </cell>
          <cell r="AC139">
            <v>3.62</v>
          </cell>
          <cell r="AD139">
            <v>1.86</v>
          </cell>
          <cell r="AE139">
            <v>2.25</v>
          </cell>
          <cell r="AF139">
            <v>3.7720000000000002</v>
          </cell>
          <cell r="AG139">
            <v>4</v>
          </cell>
          <cell r="AH139">
            <v>4</v>
          </cell>
          <cell r="AI139">
            <v>4</v>
          </cell>
          <cell r="AK139">
            <v>0.129</v>
          </cell>
          <cell r="AL139">
            <v>0.21200000000000002</v>
          </cell>
          <cell r="AM139">
            <v>0.41200000000000003</v>
          </cell>
          <cell r="AN139">
            <v>1.833</v>
          </cell>
          <cell r="AO139">
            <v>8.01</v>
          </cell>
          <cell r="AP139">
            <v>9.5</v>
          </cell>
          <cell r="AQ139">
            <v>15.772</v>
          </cell>
          <cell r="AR139">
            <v>15.255697800000002</v>
          </cell>
          <cell r="AS139">
            <v>16.715886018000003</v>
          </cell>
          <cell r="AT139">
            <v>17.929716510384001</v>
          </cell>
          <cell r="AU139">
            <v>20.543869177597983</v>
          </cell>
          <cell r="AV139">
            <v>23.239635691082395</v>
          </cell>
          <cell r="AW139">
            <v>25.984190186927844</v>
          </cell>
        </row>
        <row r="140">
          <cell r="I140" t="str">
            <v>Period-to-period change</v>
          </cell>
          <cell r="L140" t="str">
            <v>NA</v>
          </cell>
          <cell r="M140">
            <v>6.9999999999999993E-3</v>
          </cell>
          <cell r="N140">
            <v>3.0000000000000006E-2</v>
          </cell>
          <cell r="O140">
            <v>-1.0000000000000009E-3</v>
          </cell>
          <cell r="P140">
            <v>7.9999999999999932E-3</v>
          </cell>
          <cell r="Q140">
            <v>3.8000000000000006E-2</v>
          </cell>
          <cell r="R140">
            <v>-1.8000000000000002E-2</v>
          </cell>
          <cell r="S140">
            <v>2.5999999999999995E-2</v>
          </cell>
          <cell r="T140">
            <v>-2.1000000000000005E-2</v>
          </cell>
          <cell r="U140">
            <v>0.29500000000000004</v>
          </cell>
          <cell r="V140">
            <v>0.20899999999999996</v>
          </cell>
          <cell r="W140">
            <v>0.122</v>
          </cell>
          <cell r="X140">
            <v>0.502</v>
          </cell>
          <cell r="Y140">
            <v>-0.12999999999999989</v>
          </cell>
          <cell r="Z140">
            <v>2.25</v>
          </cell>
          <cell r="AA140">
            <v>-1.02</v>
          </cell>
          <cell r="AB140">
            <v>-0.56000000000000005</v>
          </cell>
          <cell r="AC140">
            <v>1.85</v>
          </cell>
          <cell r="AD140">
            <v>-1.76</v>
          </cell>
          <cell r="AE140">
            <v>0.3899999999999999</v>
          </cell>
          <cell r="AF140">
            <v>1.5220000000000002</v>
          </cell>
          <cell r="AG140">
            <v>0.22799999999999976</v>
          </cell>
          <cell r="AH140">
            <v>0</v>
          </cell>
          <cell r="AI140">
            <v>0</v>
          </cell>
          <cell r="AK140">
            <v>0.129</v>
          </cell>
          <cell r="AL140">
            <v>8.3000000000000018E-2</v>
          </cell>
          <cell r="AM140">
            <v>0.2</v>
          </cell>
          <cell r="AN140">
            <v>1.4209999999999998</v>
          </cell>
          <cell r="AO140">
            <v>6.1769999999999996</v>
          </cell>
          <cell r="AP140">
            <v>1.4900000000000002</v>
          </cell>
          <cell r="AQ140">
            <v>6.2720000000000002</v>
          </cell>
          <cell r="AR140">
            <v>-0.51630219999999838</v>
          </cell>
          <cell r="AS140">
            <v>1.4601882180000008</v>
          </cell>
          <cell r="AT140">
            <v>1.2138304923839982</v>
          </cell>
          <cell r="AU140">
            <v>2.6141526672139825</v>
          </cell>
          <cell r="AV140">
            <v>2.6957665134844113</v>
          </cell>
          <cell r="AW140">
            <v>2.7445544958454491</v>
          </cell>
        </row>
        <row r="141">
          <cell r="I141" t="str">
            <v>% of revenue</v>
          </cell>
          <cell r="L141">
            <v>2.0282728948985865E-2</v>
          </cell>
          <cell r="M141">
            <v>1.1806375442739079E-2</v>
          </cell>
          <cell r="N141">
            <v>1.7060687301974169E-2</v>
          </cell>
          <cell r="O141">
            <v>9.7155730780061952E-3</v>
          </cell>
          <cell r="P141">
            <v>8.7252124645892364E-3</v>
          </cell>
          <cell r="Q141">
            <v>1.2421689349751568E-2</v>
          </cell>
          <cell r="R141">
            <v>8.8149763722282816E-3</v>
          </cell>
          <cell r="S141">
            <v>6.5631503121498323E-3</v>
          </cell>
          <cell r="T141">
            <v>4.7457311682873498E-3</v>
          </cell>
          <cell r="U141">
            <v>1.7686105047445094E-2</v>
          </cell>
          <cell r="V141">
            <v>2.4058120608201991E-2</v>
          </cell>
          <cell r="W141">
            <v>2.1071521606992966E-2</v>
          </cell>
          <cell r="X141">
            <v>2.5699958211450064E-2</v>
          </cell>
          <cell r="Y141">
            <v>1.9794853338132086E-2</v>
          </cell>
          <cell r="Z141">
            <v>5.4010479645304317E-2</v>
          </cell>
          <cell r="AA141">
            <v>3.0718523401450235E-2</v>
          </cell>
          <cell r="AB141">
            <v>2.7390900649953573E-2</v>
          </cell>
          <cell r="AC141">
            <v>4.4515494343334981E-2</v>
          </cell>
          <cell r="AD141">
            <v>2.1547979008097871E-2</v>
          </cell>
          <cell r="AE141">
            <v>2.054982190154352E-2</v>
          </cell>
          <cell r="AF141">
            <v>5.1941613880473698E-2</v>
          </cell>
          <cell r="AG141">
            <v>5.317663950226665E-2</v>
          </cell>
          <cell r="AH141">
            <v>4.2127036183964552E-2</v>
          </cell>
          <cell r="AI141">
            <v>3.3211833376231951E-2</v>
          </cell>
          <cell r="AK141">
            <v>2.0538130870880435E-2</v>
          </cell>
          <cell r="AL141">
            <v>1.3070283600493221E-2</v>
          </cell>
          <cell r="AM141">
            <v>8.6142008865099963E-3</v>
          </cell>
          <cell r="AN141">
            <v>1.7679739192499856E-2</v>
          </cell>
          <cell r="AO141">
            <v>3.3194504879716542E-2</v>
          </cell>
          <cell r="AP141">
            <v>2.779817936555776E-2</v>
          </cell>
          <cell r="AQ141">
            <v>4.342141596433563E-2</v>
          </cell>
          <cell r="AR141">
            <v>3.5000000000000003E-2</v>
          </cell>
          <cell r="AS141">
            <v>3.2500000000000001E-2</v>
          </cell>
          <cell r="AT141">
            <v>3.0000000000000002E-2</v>
          </cell>
          <cell r="AU141">
            <v>0.03</v>
          </cell>
          <cell r="AV141">
            <v>0.03</v>
          </cell>
          <cell r="AW141">
            <v>0.03</v>
          </cell>
        </row>
        <row r="142">
          <cell r="I142" t="str">
            <v>% change Y/Y</v>
          </cell>
          <cell r="L142" t="str">
            <v>NA</v>
          </cell>
          <cell r="M142" t="str">
            <v>NA</v>
          </cell>
          <cell r="N142" t="str">
            <v>NA</v>
          </cell>
          <cell r="O142" t="str">
            <v>NA</v>
          </cell>
          <cell r="P142">
            <v>1.333333333333333</v>
          </cell>
          <cell r="Q142">
            <v>1.875</v>
          </cell>
          <cell r="R142">
            <v>0.38571428571428568</v>
          </cell>
          <cell r="S142">
            <v>0.78260869565217384</v>
          </cell>
          <cell r="T142">
            <v>0.32467532467532467</v>
          </cell>
          <cell r="U142">
            <v>2.4521739130434783</v>
          </cell>
          <cell r="V142">
            <v>5.2474226804123711</v>
          </cell>
          <cell r="W142">
            <v>4.9186991869918701</v>
          </cell>
          <cell r="X142">
            <v>11.058823529411764</v>
          </cell>
          <cell r="Y142">
            <v>1.770780856423174</v>
          </cell>
          <cell r="Z142">
            <v>4.5280528052805282</v>
          </cell>
          <cell r="AA142">
            <v>2.2005494505494507</v>
          </cell>
          <cell r="AB142">
            <v>0.43902439024390238</v>
          </cell>
          <cell r="AC142">
            <v>2.2909090909090906</v>
          </cell>
          <cell r="AD142">
            <v>-0.44477611940298512</v>
          </cell>
          <cell r="AE142">
            <v>-3.4334763948497882E-2</v>
          </cell>
          <cell r="AF142">
            <v>1.1310734463276839</v>
          </cell>
          <cell r="AG142">
            <v>0.1049723756906078</v>
          </cell>
          <cell r="AH142">
            <v>1.150537634408602</v>
          </cell>
          <cell r="AI142">
            <v>0.77777777777777768</v>
          </cell>
        </row>
        <row r="143">
          <cell r="I143" t="str">
            <v>% change Q/Q</v>
          </cell>
          <cell r="L143" t="str">
            <v>NA</v>
          </cell>
          <cell r="M143">
            <v>0.21212121212121215</v>
          </cell>
          <cell r="N143">
            <v>0.75000000000000022</v>
          </cell>
          <cell r="O143">
            <v>-1.4285714285714346E-2</v>
          </cell>
          <cell r="P143">
            <v>0.1159420289855071</v>
          </cell>
          <cell r="Q143">
            <v>0.49350649350649367</v>
          </cell>
          <cell r="R143">
            <v>-0.15652173913043477</v>
          </cell>
          <cell r="S143">
            <v>0.268041237113402</v>
          </cell>
          <cell r="T143">
            <v>-0.17073170731707321</v>
          </cell>
          <cell r="U143">
            <v>2.8921568627450984</v>
          </cell>
          <cell r="V143">
            <v>0.52644836272040285</v>
          </cell>
          <cell r="W143">
            <v>0.20132013201320142</v>
          </cell>
          <cell r="X143">
            <v>0.68956043956043955</v>
          </cell>
          <cell r="Y143">
            <v>-0.10569105691056901</v>
          </cell>
          <cell r="Z143">
            <v>2.0454545454545454</v>
          </cell>
          <cell r="AA143">
            <v>-0.30447761194029854</v>
          </cell>
          <cell r="AB143">
            <v>-0.24034334763948495</v>
          </cell>
          <cell r="AC143">
            <v>1.0451977401129944</v>
          </cell>
          <cell r="AD143">
            <v>-0.48618784530386738</v>
          </cell>
          <cell r="AE143">
            <v>0.20967741935483875</v>
          </cell>
          <cell r="AF143">
            <v>0.67644444444444463</v>
          </cell>
          <cell r="AG143">
            <v>6.0445387062566303E-2</v>
          </cell>
          <cell r="AH143">
            <v>0</v>
          </cell>
          <cell r="AI143">
            <v>0</v>
          </cell>
        </row>
        <row r="146">
          <cell r="I146" t="str">
            <v>Expense summary - % of revenue</v>
          </cell>
        </row>
        <row r="147">
          <cell r="I147" t="str">
            <v>Cost of revenue</v>
          </cell>
          <cell r="L147">
            <v>0.80946527350952668</v>
          </cell>
          <cell r="M147">
            <v>0.68447461629279815</v>
          </cell>
          <cell r="N147">
            <v>0.68072142334876928</v>
          </cell>
          <cell r="O147">
            <v>0.72754153759504359</v>
          </cell>
          <cell r="P147">
            <v>0.66390934844192639</v>
          </cell>
          <cell r="Q147">
            <v>0.69971916180600569</v>
          </cell>
          <cell r="R147">
            <v>0.64431115957833518</v>
          </cell>
          <cell r="S147">
            <v>0.64964516301157893</v>
          </cell>
          <cell r="T147">
            <v>0.6313218257106965</v>
          </cell>
          <cell r="U147">
            <v>0.60921281240254821</v>
          </cell>
          <cell r="V147">
            <v>0.60713009647068161</v>
          </cell>
          <cell r="W147">
            <v>0.60951112912095862</v>
          </cell>
          <cell r="X147">
            <v>0.60697868783953202</v>
          </cell>
          <cell r="Y147">
            <v>0.60644232499550121</v>
          </cell>
          <cell r="Z147">
            <v>0.59733978234582819</v>
          </cell>
          <cell r="AA147">
            <v>0.59393539881344759</v>
          </cell>
          <cell r="AB147">
            <v>0.58789848344165896</v>
          </cell>
          <cell r="AC147">
            <v>0.59370388588293177</v>
          </cell>
          <cell r="AD147">
            <v>0.61434910042980106</v>
          </cell>
          <cell r="AE147">
            <v>0.61795597771485977</v>
          </cell>
          <cell r="AF147">
            <v>0.58833654640594868</v>
          </cell>
          <cell r="AG147">
            <v>0.61</v>
          </cell>
          <cell r="AH147">
            <v>0.6</v>
          </cell>
          <cell r="AI147">
            <v>0.6</v>
          </cell>
          <cell r="AK147">
            <v>0.79477790160802431</v>
          </cell>
          <cell r="AL147">
            <v>0.71491985203452535</v>
          </cell>
          <cell r="AM147">
            <v>0.6607426612026428</v>
          </cell>
          <cell r="AN147">
            <v>0.61338953297710219</v>
          </cell>
          <cell r="AO147">
            <v>0.60027765690723356</v>
          </cell>
          <cell r="AP147">
            <v>0.60559065278903523</v>
          </cell>
          <cell r="AQ147">
            <v>0.5997390365191948</v>
          </cell>
          <cell r="AR147">
            <v>0.6</v>
          </cell>
          <cell r="AS147">
            <v>0.6</v>
          </cell>
          <cell r="AT147">
            <v>0.6</v>
          </cell>
          <cell r="AU147">
            <v>0.6</v>
          </cell>
          <cell r="AV147">
            <v>0.6</v>
          </cell>
          <cell r="AW147">
            <v>0.60000000000000009</v>
          </cell>
        </row>
        <row r="148">
          <cell r="I148" t="str">
            <v>Sales and marketing (ex-SBC)</v>
          </cell>
          <cell r="L148">
            <v>0.45113706207744314</v>
          </cell>
          <cell r="M148">
            <v>0.31198347107438018</v>
          </cell>
          <cell r="N148">
            <v>0.26127223982451869</v>
          </cell>
          <cell r="O148">
            <v>0.23190650520980005</v>
          </cell>
          <cell r="P148">
            <v>0.22685552407932011</v>
          </cell>
          <cell r="Q148">
            <v>0.20652408727586952</v>
          </cell>
          <cell r="R148">
            <v>0.18002544529262088</v>
          </cell>
          <cell r="S148">
            <v>0.1325969798836775</v>
          </cell>
          <cell r="T148">
            <v>0.15674870888196157</v>
          </cell>
          <cell r="U148">
            <v>0.15779391455428343</v>
          </cell>
          <cell r="V148">
            <v>0.12521338679582358</v>
          </cell>
          <cell r="W148">
            <v>0.11748531071811051</v>
          </cell>
          <cell r="X148">
            <v>0.18303384872544923</v>
          </cell>
          <cell r="Y148">
            <v>0.18787115350008995</v>
          </cell>
          <cell r="Z148">
            <v>0.1559048770656993</v>
          </cell>
          <cell r="AA148">
            <v>0.16031641397495058</v>
          </cell>
          <cell r="AB148">
            <v>0.2008666047663262</v>
          </cell>
          <cell r="AC148">
            <v>0.17191342843089033</v>
          </cell>
          <cell r="AD148">
            <v>0.15979100777349137</v>
          </cell>
          <cell r="AE148">
            <v>0.14649739702255915</v>
          </cell>
          <cell r="AF148">
            <v>0.18006058936931973</v>
          </cell>
          <cell r="AG148">
            <v>0.18</v>
          </cell>
          <cell r="AH148">
            <v>0.14499999999999999</v>
          </cell>
          <cell r="AI148">
            <v>0.14000000000000001</v>
          </cell>
          <cell r="AK148">
            <v>0.54816112084063051</v>
          </cell>
          <cell r="AL148">
            <v>0.27805178791615293</v>
          </cell>
          <cell r="AM148">
            <v>0.17521117337124698</v>
          </cell>
          <cell r="AN148">
            <v>0.13622947973533439</v>
          </cell>
          <cell r="AO148">
            <v>0.17003377468349185</v>
          </cell>
          <cell r="AP148">
            <v>0.16618336849559179</v>
          </cell>
          <cell r="AQ148">
            <v>0.15759980910214413</v>
          </cell>
          <cell r="AR148">
            <v>0.14000000000000001</v>
          </cell>
          <cell r="AS148">
            <v>0.125</v>
          </cell>
          <cell r="AT148">
            <v>0.11</v>
          </cell>
          <cell r="AU148">
            <v>9.5000000000000001E-2</v>
          </cell>
          <cell r="AV148">
            <v>0.08</v>
          </cell>
          <cell r="AW148">
            <v>0.08</v>
          </cell>
        </row>
        <row r="149">
          <cell r="I149" t="str">
            <v>Technology and development (ex-SBC)</v>
          </cell>
          <cell r="L149">
            <v>0.13398893669330056</v>
          </cell>
          <cell r="M149">
            <v>7.5855962219598588E-2</v>
          </cell>
          <cell r="N149">
            <v>6.7024128686327081E-2</v>
          </cell>
          <cell r="O149">
            <v>4.6888200506899465E-2</v>
          </cell>
          <cell r="P149">
            <v>5.5070821529745045E-2</v>
          </cell>
          <cell r="Q149">
            <v>6.038021170879241E-2</v>
          </cell>
          <cell r="R149">
            <v>4.7437295528898589E-2</v>
          </cell>
          <cell r="S149">
            <v>3.1801931593831705E-2</v>
          </cell>
          <cell r="T149">
            <v>2.9963243846833857E-2</v>
          </cell>
          <cell r="U149">
            <v>4.0896333585779834E-2</v>
          </cell>
          <cell r="V149">
            <v>4.4979951566159831E-2</v>
          </cell>
          <cell r="W149">
            <v>4.2808764363657416E-2</v>
          </cell>
          <cell r="X149">
            <v>0.12306727956539908</v>
          </cell>
          <cell r="Y149">
            <v>0.10977145942055065</v>
          </cell>
          <cell r="Z149">
            <v>0.12623941958887547</v>
          </cell>
          <cell r="AA149">
            <v>8.9123269611074488E-2</v>
          </cell>
          <cell r="AB149">
            <v>0.12550294026617145</v>
          </cell>
          <cell r="AC149">
            <v>0.10255779636005903</v>
          </cell>
          <cell r="AD149">
            <v>9.1335627150453555E-2</v>
          </cell>
          <cell r="AE149">
            <v>8.1925289980820173E-2</v>
          </cell>
          <cell r="AF149">
            <v>0.10106031396309556</v>
          </cell>
          <cell r="AG149">
            <v>0.08</v>
          </cell>
          <cell r="AH149">
            <v>0.08</v>
          </cell>
          <cell r="AI149">
            <v>0.08</v>
          </cell>
          <cell r="AK149">
            <v>0.10491959879000161</v>
          </cell>
          <cell r="AL149">
            <v>6.6769420468557342E-2</v>
          </cell>
          <cell r="AM149">
            <v>4.5224554654177469E-2</v>
          </cell>
          <cell r="AN149">
            <v>4.0259264260498848E-2</v>
          </cell>
          <cell r="AO149">
            <v>0.11015105364580095</v>
          </cell>
          <cell r="AP149">
            <v>9.7451638483214281E-2</v>
          </cell>
          <cell r="AQ149">
            <v>8.4210544862785619E-2</v>
          </cell>
          <cell r="AR149">
            <v>0.08</v>
          </cell>
          <cell r="AS149">
            <v>7.4999999999999997E-2</v>
          </cell>
          <cell r="AT149">
            <v>6.9999999999999993E-2</v>
          </cell>
          <cell r="AU149">
            <v>6.4999999999999988E-2</v>
          </cell>
          <cell r="AV149">
            <v>0.06</v>
          </cell>
          <cell r="AW149">
            <v>0.06</v>
          </cell>
        </row>
        <row r="150">
          <cell r="I150" t="str">
            <v>General and administrative (ex-SBC)</v>
          </cell>
          <cell r="L150">
            <v>0.87031346035648427</v>
          </cell>
          <cell r="M150">
            <v>0.43417945690672965</v>
          </cell>
          <cell r="N150">
            <v>0.38630270533755789</v>
          </cell>
          <cell r="O150">
            <v>0.2468318783441284</v>
          </cell>
          <cell r="P150">
            <v>0.25189801699716713</v>
          </cell>
          <cell r="Q150">
            <v>0.2589112119248218</v>
          </cell>
          <cell r="R150">
            <v>0.24054889131225007</v>
          </cell>
          <cell r="S150">
            <v>0.26658129235366312</v>
          </cell>
          <cell r="T150">
            <v>0.17829060624389337</v>
          </cell>
          <cell r="U150">
            <v>0.2019423530984096</v>
          </cell>
          <cell r="V150">
            <v>0.20683631744015243</v>
          </cell>
          <cell r="W150">
            <v>0.20408694897102667</v>
          </cell>
          <cell r="X150">
            <v>0.18136230672795653</v>
          </cell>
          <cell r="Y150">
            <v>0.17437466258772719</v>
          </cell>
          <cell r="Z150">
            <v>0.14155582426440955</v>
          </cell>
          <cell r="AA150">
            <v>0.14106789716545814</v>
          </cell>
          <cell r="AB150">
            <v>0.17935623645930054</v>
          </cell>
          <cell r="AC150">
            <v>0.15457452041318248</v>
          </cell>
          <cell r="AD150">
            <v>0.14426719493970042</v>
          </cell>
          <cell r="AE150">
            <v>0.11151703351904284</v>
          </cell>
          <cell r="AF150">
            <v>0.24904984852657666</v>
          </cell>
          <cell r="AG150">
            <v>0.21999999999999997</v>
          </cell>
          <cell r="AH150">
            <v>0.16</v>
          </cell>
          <cell r="AI150">
            <v>0.12</v>
          </cell>
          <cell r="AK150">
            <v>0.88791593695271454</v>
          </cell>
          <cell r="AL150">
            <v>0.38378545006165227</v>
          </cell>
          <cell r="AM150">
            <v>0.2563979259011458</v>
          </cell>
          <cell r="AN150">
            <v>0.19894288084260883</v>
          </cell>
          <cell r="AO150">
            <v>0.15685543192225604</v>
          </cell>
          <cell r="AP150">
            <v>0.14286215906996069</v>
          </cell>
          <cell r="AQ150">
            <v>0.17696579228253984</v>
          </cell>
          <cell r="AR150">
            <v>0.13</v>
          </cell>
          <cell r="AS150">
            <v>0.12000000000000001</v>
          </cell>
          <cell r="AT150">
            <v>0.11000000000000003</v>
          </cell>
          <cell r="AU150">
            <v>0.10000000000000002</v>
          </cell>
          <cell r="AV150">
            <v>9.0000000000000011E-2</v>
          </cell>
          <cell r="AW150">
            <v>8.0000000000000029E-2</v>
          </cell>
        </row>
        <row r="151">
          <cell r="I151" t="str">
            <v>Stock-based compensation</v>
          </cell>
          <cell r="L151">
            <v>2.0282728948985865E-2</v>
          </cell>
          <cell r="M151">
            <v>1.1806375442739079E-2</v>
          </cell>
          <cell r="N151">
            <v>1.7060687301974169E-2</v>
          </cell>
          <cell r="O151">
            <v>9.7155730780061952E-3</v>
          </cell>
          <cell r="P151">
            <v>8.7252124645892364E-3</v>
          </cell>
          <cell r="Q151">
            <v>1.2421689349751568E-2</v>
          </cell>
          <cell r="R151">
            <v>8.8149763722282816E-3</v>
          </cell>
          <cell r="S151">
            <v>6.5631503121498323E-3</v>
          </cell>
          <cell r="T151">
            <v>4.7457311682873498E-3</v>
          </cell>
          <cell r="U151">
            <v>1.7686105047445094E-2</v>
          </cell>
          <cell r="V151">
            <v>2.4058120608201991E-2</v>
          </cell>
          <cell r="W151">
            <v>2.1071521606992966E-2</v>
          </cell>
          <cell r="X151">
            <v>2.5699958211450064E-2</v>
          </cell>
          <cell r="Y151">
            <v>1.9794853338132086E-2</v>
          </cell>
          <cell r="Z151">
            <v>5.4010479645304317E-2</v>
          </cell>
          <cell r="AA151">
            <v>3.0718523401450235E-2</v>
          </cell>
          <cell r="AB151">
            <v>2.7390900649953573E-2</v>
          </cell>
          <cell r="AC151">
            <v>4.4515494343334981E-2</v>
          </cell>
          <cell r="AD151">
            <v>2.1547979008097871E-2</v>
          </cell>
          <cell r="AE151">
            <v>2.054982190154352E-2</v>
          </cell>
          <cell r="AF151">
            <v>5.1941613880473698E-2</v>
          </cell>
          <cell r="AG151">
            <v>5.317663950226665E-2</v>
          </cell>
          <cell r="AH151">
            <v>4.2127036183964552E-2</v>
          </cell>
          <cell r="AI151">
            <v>3.3211833376231951E-2</v>
          </cell>
          <cell r="AK151">
            <v>2.0538130870880435E-2</v>
          </cell>
          <cell r="AL151">
            <v>1.3070283600493221E-2</v>
          </cell>
          <cell r="AM151">
            <v>8.6142008865099963E-3</v>
          </cell>
          <cell r="AN151">
            <v>1.7679739192499856E-2</v>
          </cell>
          <cell r="AO151">
            <v>3.3194504879716542E-2</v>
          </cell>
          <cell r="AP151">
            <v>2.779817936555776E-2</v>
          </cell>
          <cell r="AQ151">
            <v>4.342141596433563E-2</v>
          </cell>
          <cell r="AR151">
            <v>3.5000000000000003E-2</v>
          </cell>
          <cell r="AS151">
            <v>3.2500000000000001E-2</v>
          </cell>
          <cell r="AT151">
            <v>3.0000000000000002E-2</v>
          </cell>
          <cell r="AU151">
            <v>0.03</v>
          </cell>
          <cell r="AV151">
            <v>0.03</v>
          </cell>
          <cell r="AW151">
            <v>0.03</v>
          </cell>
        </row>
        <row r="153">
          <cell r="I153" t="str">
            <v>Total opex ex-COGS (adjusted)</v>
          </cell>
          <cell r="P153">
            <v>4.6830740740740735</v>
          </cell>
          <cell r="Q153">
            <v>4.8372592592592598</v>
          </cell>
          <cell r="R153">
            <v>5.1141481481481481</v>
          </cell>
          <cell r="S153">
            <v>8.0670370370370375</v>
          </cell>
          <cell r="T153">
            <v>7.8049629629629624</v>
          </cell>
          <cell r="U153">
            <v>8.969444444444445</v>
          </cell>
          <cell r="V153">
            <v>9.43</v>
          </cell>
          <cell r="W153">
            <v>12.523</v>
          </cell>
          <cell r="X153">
            <v>23.262999999999998</v>
          </cell>
          <cell r="Y153">
            <v>26.163999999999998</v>
          </cell>
          <cell r="Z153">
            <v>26.214000000000002</v>
          </cell>
          <cell r="AA153">
            <v>29.553000000000001</v>
          </cell>
          <cell r="AB153">
            <v>32.613999999999997</v>
          </cell>
          <cell r="AC153">
            <v>34.79</v>
          </cell>
          <cell r="AD153">
            <v>34.029999999999994</v>
          </cell>
          <cell r="AE153">
            <v>35.72</v>
          </cell>
          <cell r="AF153">
            <v>36.201000000000001</v>
          </cell>
          <cell r="AG153">
            <v>33.806080000000001</v>
          </cell>
          <cell r="AH153">
            <v>34.256096500000005</v>
          </cell>
          <cell r="AI153">
            <v>38.649260000000005</v>
          </cell>
          <cell r="AK153">
            <v>9.6402222222222225</v>
          </cell>
          <cell r="AL153">
            <v>11.686629629629628</v>
          </cell>
          <cell r="AM153">
            <v>22.701518518518515</v>
          </cell>
          <cell r="AN153">
            <v>38.727407407407398</v>
          </cell>
          <cell r="AO153">
            <v>105.19399999999999</v>
          </cell>
          <cell r="AP153">
            <v>137.15400000000002</v>
          </cell>
          <cell r="AQ153">
            <v>142.91243650000001</v>
          </cell>
          <cell r="AR153">
            <v>142.55697800000002</v>
          </cell>
          <cell r="AS153">
            <v>154.58718540800001</v>
          </cell>
          <cell r="AT153">
            <v>163.32059293371199</v>
          </cell>
          <cell r="AU153">
            <v>168.0468662058492</v>
          </cell>
          <cell r="AV153">
            <v>168.17054029829836</v>
          </cell>
          <cell r="AW153">
            <v>180.55072803747089</v>
          </cell>
        </row>
        <row r="154">
          <cell r="I154" t="str">
            <v>% of revenue</v>
          </cell>
          <cell r="L154">
            <v>1.434883562111589</v>
          </cell>
          <cell r="M154">
            <v>0.8123114259477896</v>
          </cell>
          <cell r="N154">
            <v>0.70726929708162956</v>
          </cell>
          <cell r="O154">
            <v>0.52070360983343233</v>
          </cell>
          <cell r="P154">
            <v>0.53065995173643898</v>
          </cell>
          <cell r="Q154">
            <v>0.52249505932806872</v>
          </cell>
          <cell r="R154">
            <v>0.46475355762887571</v>
          </cell>
          <cell r="S154">
            <v>0.43044859063214541</v>
          </cell>
          <cell r="T154">
            <v>0.36313976471236975</v>
          </cell>
          <cell r="U154">
            <v>0.39958321577246159</v>
          </cell>
          <cell r="V154">
            <v>0.37436976457977689</v>
          </cell>
          <cell r="W154">
            <v>0.36247069379721553</v>
          </cell>
          <cell r="X154">
            <v>0.48606351859590469</v>
          </cell>
          <cell r="Y154">
            <v>0.47082958430807986</v>
          </cell>
          <cell r="Z154">
            <v>0.42263603385731563</v>
          </cell>
          <cell r="AA154">
            <v>0.38962425840474624</v>
          </cell>
          <cell r="AB154">
            <v>0.50470442587434228</v>
          </cell>
          <cell r="AC154">
            <v>0.42781603541564195</v>
          </cell>
          <cell r="AD154">
            <v>0.39423533636858621</v>
          </cell>
          <cell r="AE154">
            <v>0.32623983925472644</v>
          </cell>
          <cell r="AF154">
            <v>0.49849903607821533</v>
          </cell>
          <cell r="AG154">
            <v>0.44942343228619669</v>
          </cell>
          <cell r="AH154">
            <v>0.3607769541942204</v>
          </cell>
          <cell r="AI154">
            <v>0.32090319580866666</v>
          </cell>
          <cell r="AK154">
            <v>1.5348228342974404</v>
          </cell>
          <cell r="AL154">
            <v>0.7205073754395579</v>
          </cell>
          <cell r="AM154">
            <v>0.47464912851297392</v>
          </cell>
          <cell r="AN154">
            <v>0.37353544056991261</v>
          </cell>
          <cell r="AO154">
            <v>0.43593792088850203</v>
          </cell>
          <cell r="AP154">
            <v>0.40132963081091683</v>
          </cell>
          <cell r="AQ154">
            <v>0.39344790462485435</v>
          </cell>
          <cell r="AR154">
            <v>0.32705775215342819</v>
          </cell>
          <cell r="AS154">
            <v>0.30055741707917644</v>
          </cell>
          <cell r="AT154">
            <v>0.27326800092872328</v>
          </cell>
          <cell r="AU154">
            <v>0.24539710327170822</v>
          </cell>
          <cell r="AV154">
            <v>0.21709101967053998</v>
          </cell>
          <cell r="AW154">
            <v>0.20845451800337716</v>
          </cell>
        </row>
        <row r="156">
          <cell r="I156" t="str">
            <v>Total opex ex-COGS (GAAP)</v>
          </cell>
          <cell r="P156">
            <v>4.7879999999999994</v>
          </cell>
          <cell r="Q156">
            <v>4.9830000000000005</v>
          </cell>
          <cell r="R156">
            <v>5.2470000000000008</v>
          </cell>
          <cell r="S156">
            <v>8.1999999999999993</v>
          </cell>
          <cell r="T156">
            <v>7.9470000000000001</v>
          </cell>
          <cell r="U156">
            <v>9.39</v>
          </cell>
          <cell r="V156">
            <v>10.103</v>
          </cell>
          <cell r="W156">
            <v>13.317</v>
          </cell>
          <cell r="X156">
            <v>24.56</v>
          </cell>
          <cell r="Y156">
            <v>27.33</v>
          </cell>
          <cell r="Z156">
            <v>29.630000000000003</v>
          </cell>
          <cell r="AA156">
            <v>31.950000000000003</v>
          </cell>
          <cell r="AB156">
            <v>34.81</v>
          </cell>
          <cell r="AC156">
            <v>38.879999999999995</v>
          </cell>
          <cell r="AD156">
            <v>39.129999999999995</v>
          </cell>
          <cell r="AE156">
            <v>51.85</v>
          </cell>
          <cell r="AF156">
            <v>42.796999999999997</v>
          </cell>
          <cell r="AG156">
            <v>40.106079999999999</v>
          </cell>
          <cell r="AH156">
            <v>40.556096500000002</v>
          </cell>
          <cell r="AI156">
            <v>44.949260000000002</v>
          </cell>
          <cell r="AK156">
            <v>9.8079999999999998</v>
          </cell>
          <cell r="AL156">
            <v>12.03</v>
          </cell>
          <cell r="AM156">
            <v>23.217999999999996</v>
          </cell>
          <cell r="AN156">
            <v>40.756999999999991</v>
          </cell>
          <cell r="AO156">
            <v>113.47</v>
          </cell>
          <cell r="AP156">
            <v>164.67000000000002</v>
          </cell>
          <cell r="AQ156">
            <v>168.40843649999999</v>
          </cell>
          <cell r="AR156">
            <v>167.81267580000002</v>
          </cell>
          <cell r="AS156">
            <v>181.303071426</v>
          </cell>
          <cell r="AT156">
            <v>191.25030944409599</v>
          </cell>
          <cell r="AU156">
            <v>198.59073538344717</v>
          </cell>
          <cell r="AV156">
            <v>201.41017598938075</v>
          </cell>
          <cell r="AW156">
            <v>216.53491822439872</v>
          </cell>
        </row>
        <row r="157">
          <cell r="I157" t="str">
            <v>% of revenue</v>
          </cell>
          <cell r="L157">
            <v>1.4757221880762137</v>
          </cell>
          <cell r="M157">
            <v>0.8338252656434475</v>
          </cell>
          <cell r="N157">
            <v>0.73165976115037779</v>
          </cell>
          <cell r="O157">
            <v>0.53534215713883404</v>
          </cell>
          <cell r="P157">
            <v>0.54254957507082147</v>
          </cell>
          <cell r="Q157">
            <v>0.53823720025923538</v>
          </cell>
          <cell r="R157">
            <v>0.4768266085059979</v>
          </cell>
          <cell r="S157">
            <v>0.43754335414332207</v>
          </cell>
          <cell r="T157">
            <v>0.36974829014097615</v>
          </cell>
          <cell r="U157">
            <v>0.418318706285918</v>
          </cell>
          <cell r="V157">
            <v>0.40108777641033783</v>
          </cell>
          <cell r="W157">
            <v>0.38545254565978754</v>
          </cell>
          <cell r="X157">
            <v>0.51316339323025484</v>
          </cell>
          <cell r="Y157">
            <v>0.49181212884649989</v>
          </cell>
          <cell r="Z157">
            <v>0.47771060056428866</v>
          </cell>
          <cell r="AA157">
            <v>0.42122610415293349</v>
          </cell>
          <cell r="AB157">
            <v>0.53868771278242034</v>
          </cell>
          <cell r="AC157">
            <v>0.4781111657648795</v>
          </cell>
          <cell r="AD157">
            <v>0.45331850461659651</v>
          </cell>
          <cell r="AE157">
            <v>0.47355922915334736</v>
          </cell>
          <cell r="AF157">
            <v>0.58932800881299907</v>
          </cell>
          <cell r="AG157">
            <v>0.53317663950226657</v>
          </cell>
          <cell r="AH157">
            <v>0.42712703618396458</v>
          </cell>
          <cell r="AI157">
            <v>0.37321183337623193</v>
          </cell>
          <cell r="AK157">
            <v>1.5615347874542271</v>
          </cell>
          <cell r="AL157">
            <v>0.74167694204685575</v>
          </cell>
          <cell r="AM157">
            <v>0.48544785481308017</v>
          </cell>
          <cell r="AN157">
            <v>0.39311136403094188</v>
          </cell>
          <cell r="AO157">
            <v>0.47023476513126539</v>
          </cell>
          <cell r="AP157">
            <v>0.48184486275014704</v>
          </cell>
          <cell r="AQ157">
            <v>0.46364017075639763</v>
          </cell>
          <cell r="AR157">
            <v>0.38500000000000001</v>
          </cell>
          <cell r="AS157">
            <v>0.35249999999999998</v>
          </cell>
          <cell r="AT157">
            <v>0.32</v>
          </cell>
          <cell r="AU157">
            <v>0.28999999999999998</v>
          </cell>
          <cell r="AV157">
            <v>0.26</v>
          </cell>
          <cell r="AW157">
            <v>0.25000000000000006</v>
          </cell>
        </row>
        <row r="162">
          <cell r="L162">
            <v>40178</v>
          </cell>
          <cell r="P162">
            <v>40543</v>
          </cell>
          <cell r="T162">
            <v>40908</v>
          </cell>
          <cell r="X162">
            <v>41274</v>
          </cell>
          <cell r="AB162">
            <v>41639</v>
          </cell>
          <cell r="AF162">
            <v>42004</v>
          </cell>
        </row>
        <row r="163">
          <cell r="I163" t="str">
            <v>Revenue Metrics</v>
          </cell>
          <cell r="L163">
            <v>1</v>
          </cell>
          <cell r="M163">
            <v>2</v>
          </cell>
          <cell r="N163">
            <v>3</v>
          </cell>
          <cell r="O163">
            <v>4</v>
          </cell>
          <cell r="P163">
            <v>1</v>
          </cell>
          <cell r="Q163">
            <v>2</v>
          </cell>
          <cell r="R163">
            <v>3</v>
          </cell>
          <cell r="S163">
            <v>4</v>
          </cell>
          <cell r="T163">
            <v>1</v>
          </cell>
          <cell r="U163">
            <v>2</v>
          </cell>
          <cell r="V163">
            <v>3</v>
          </cell>
          <cell r="W163">
            <v>4</v>
          </cell>
          <cell r="X163">
            <v>1</v>
          </cell>
          <cell r="Y163">
            <v>2</v>
          </cell>
          <cell r="Z163">
            <v>3</v>
          </cell>
          <cell r="AA163">
            <v>4</v>
          </cell>
          <cell r="AB163">
            <v>1</v>
          </cell>
          <cell r="AC163">
            <v>2</v>
          </cell>
          <cell r="AD163">
            <v>3</v>
          </cell>
          <cell r="AE163">
            <v>4</v>
          </cell>
          <cell r="AF163">
            <v>1</v>
          </cell>
          <cell r="AG163">
            <v>2</v>
          </cell>
          <cell r="AH163">
            <v>3</v>
          </cell>
          <cell r="AI163">
            <v>4</v>
          </cell>
          <cell r="AK163">
            <v>39813</v>
          </cell>
          <cell r="AL163">
            <v>40178</v>
          </cell>
          <cell r="AM163">
            <v>40543</v>
          </cell>
          <cell r="AN163">
            <v>40908</v>
          </cell>
          <cell r="AO163">
            <v>41274</v>
          </cell>
          <cell r="AP163">
            <v>41639</v>
          </cell>
          <cell r="AQ163">
            <v>42004</v>
          </cell>
          <cell r="AR163">
            <v>42369</v>
          </cell>
          <cell r="AS163">
            <v>42735</v>
          </cell>
          <cell r="AT163">
            <v>43100</v>
          </cell>
          <cell r="AU163">
            <v>43465</v>
          </cell>
          <cell r="AV163">
            <v>43830</v>
          </cell>
          <cell r="AW163">
            <v>44196</v>
          </cell>
        </row>
        <row r="164">
          <cell r="I164" t="str">
            <v>Revenue by geography</v>
          </cell>
        </row>
        <row r="165">
          <cell r="I165" t="str">
            <v>Total revenue</v>
          </cell>
          <cell r="L165">
            <v>1.627</v>
          </cell>
          <cell r="M165">
            <v>3.3879999999999999</v>
          </cell>
          <cell r="N165">
            <v>4.1029999999999998</v>
          </cell>
          <cell r="O165">
            <v>7.1020000000000003</v>
          </cell>
          <cell r="P165">
            <v>8.8249999999999993</v>
          </cell>
          <cell r="Q165">
            <v>9.2579999999999991</v>
          </cell>
          <cell r="R165">
            <v>11.004</v>
          </cell>
          <cell r="S165">
            <v>18.741</v>
          </cell>
          <cell r="T165">
            <v>21.492999999999999</v>
          </cell>
          <cell r="U165">
            <v>22.446999999999999</v>
          </cell>
          <cell r="V165">
            <v>25.189</v>
          </cell>
          <cell r="W165">
            <v>34.548999999999999</v>
          </cell>
          <cell r="X165">
            <v>47.86</v>
          </cell>
          <cell r="Y165">
            <v>55.57</v>
          </cell>
          <cell r="Z165">
            <v>62.024999999999999</v>
          </cell>
          <cell r="AA165">
            <v>75.849999999999994</v>
          </cell>
          <cell r="AB165">
            <v>64.62</v>
          </cell>
          <cell r="AC165">
            <v>81.319999999999993</v>
          </cell>
          <cell r="AD165">
            <v>86.319000000000003</v>
          </cell>
          <cell r="AE165">
            <v>109.49</v>
          </cell>
          <cell r="AF165">
            <v>72.62</v>
          </cell>
          <cell r="AG165">
            <v>75.221000000000004</v>
          </cell>
          <cell r="AH165">
            <v>94.950900000000004</v>
          </cell>
          <cell r="AI165">
            <v>120.43900000000001</v>
          </cell>
          <cell r="AK165">
            <v>6.2809999999999997</v>
          </cell>
          <cell r="AL165">
            <v>16.22</v>
          </cell>
          <cell r="AM165">
            <v>47.827999999999996</v>
          </cell>
          <cell r="AN165">
            <v>103.678</v>
          </cell>
          <cell r="AO165">
            <v>241.30500000000001</v>
          </cell>
          <cell r="AP165">
            <v>341.74900000000002</v>
          </cell>
          <cell r="AQ165">
            <v>363.23090000000002</v>
          </cell>
          <cell r="AR165">
            <v>435.87708000000003</v>
          </cell>
          <cell r="AS165">
            <v>514.33495440000002</v>
          </cell>
          <cell r="AT165">
            <v>597.65721701279995</v>
          </cell>
          <cell r="AU165">
            <v>684.79563925326613</v>
          </cell>
          <cell r="AV165">
            <v>774.65452303607981</v>
          </cell>
          <cell r="AW165">
            <v>866.13967289759478</v>
          </cell>
        </row>
        <row r="166">
          <cell r="I166" t="str">
            <v>% change Y/Y</v>
          </cell>
          <cell r="L166" t="str">
            <v>NA</v>
          </cell>
          <cell r="M166" t="str">
            <v>NA</v>
          </cell>
          <cell r="N166" t="str">
            <v>NA</v>
          </cell>
          <cell r="O166" t="str">
            <v>NA</v>
          </cell>
          <cell r="P166">
            <v>4.4240934234787952</v>
          </cell>
          <cell r="Q166">
            <v>1.7325855962219596</v>
          </cell>
          <cell r="R166">
            <v>1.6819400438703389</v>
          </cell>
          <cell r="S166">
            <v>1.6388341312306389</v>
          </cell>
          <cell r="T166">
            <v>1.4354674220963175</v>
          </cell>
          <cell r="U166">
            <v>1.4246057463815078</v>
          </cell>
          <cell r="V166">
            <v>1.2890766993820431</v>
          </cell>
          <cell r="W166">
            <v>0.84349821247532142</v>
          </cell>
          <cell r="X166">
            <v>1.22677150700228</v>
          </cell>
          <cell r="Y166">
            <v>1.4756092128124028</v>
          </cell>
          <cell r="Z166">
            <v>1.4623843741315654</v>
          </cell>
          <cell r="AA166">
            <v>1.1954325740252973</v>
          </cell>
          <cell r="AB166">
            <v>0.35018804847471796</v>
          </cell>
          <cell r="AC166">
            <v>0.46337952132445559</v>
          </cell>
          <cell r="AD166">
            <v>0.39168077388149958</v>
          </cell>
          <cell r="AE166">
            <v>0.44350692155570215</v>
          </cell>
          <cell r="AF166">
            <v>0.12380068090374485</v>
          </cell>
          <cell r="AG166">
            <v>-7.4999999999999845E-2</v>
          </cell>
          <cell r="AH166">
            <v>0.10000000000000009</v>
          </cell>
          <cell r="AI166">
            <v>0.10000000000000009</v>
          </cell>
          <cell r="AK166" t="str">
            <v>NA</v>
          </cell>
          <cell r="AL166">
            <v>1.5823913389587645</v>
          </cell>
          <cell r="AM166">
            <v>1.9487053020961773</v>
          </cell>
          <cell r="AN166">
            <v>1.1677260182319982</v>
          </cell>
          <cell r="AO166">
            <v>1.3274465171010243</v>
          </cell>
          <cell r="AP166">
            <v>0.4162532894055242</v>
          </cell>
          <cell r="AQ166">
            <v>6.2858706243471119E-2</v>
          </cell>
          <cell r="AR166">
            <v>0.19999999999999996</v>
          </cell>
          <cell r="AS166">
            <v>0.17999999999999994</v>
          </cell>
          <cell r="AT166">
            <v>0.16199999999999992</v>
          </cell>
          <cell r="AU166">
            <v>0.14579999999999993</v>
          </cell>
          <cell r="AV166">
            <v>0.13122000000000011</v>
          </cell>
          <cell r="AW166">
            <v>0.11809800000000004</v>
          </cell>
        </row>
        <row r="168">
          <cell r="I168" t="str">
            <v>US revenue</v>
          </cell>
          <cell r="L168">
            <v>1.61073</v>
          </cell>
          <cell r="M168">
            <v>3.35412</v>
          </cell>
          <cell r="N168">
            <v>4.0619699999999996</v>
          </cell>
          <cell r="O168">
            <v>7.0309800000000005</v>
          </cell>
          <cell r="P168">
            <v>8.7367499999999989</v>
          </cell>
          <cell r="Q168">
            <v>9.0728399999999993</v>
          </cell>
          <cell r="R168">
            <v>10.673879999999999</v>
          </cell>
          <cell r="S168">
            <v>17.838529999999999</v>
          </cell>
          <cell r="T168">
            <v>20.192999999999998</v>
          </cell>
          <cell r="U168">
            <v>20.646999999999998</v>
          </cell>
          <cell r="V168">
            <v>22.166319999999999</v>
          </cell>
          <cell r="W168">
            <v>30.350679999999997</v>
          </cell>
          <cell r="X168">
            <v>43.86</v>
          </cell>
          <cell r="Y168">
            <v>50.97</v>
          </cell>
          <cell r="Z168">
            <v>55.824999999999996</v>
          </cell>
          <cell r="AA168">
            <v>64.425999999999988</v>
          </cell>
          <cell r="AB168">
            <v>52.729920000000007</v>
          </cell>
          <cell r="AC168">
            <v>59.363599999999991</v>
          </cell>
          <cell r="AD168">
            <v>71.219000000000008</v>
          </cell>
          <cell r="AE168">
            <v>89.241738631124079</v>
          </cell>
          <cell r="AF168">
            <v>58.464000560710858</v>
          </cell>
          <cell r="AG168">
            <v>59.805771082032926</v>
          </cell>
          <cell r="AH168">
            <v>74.542864000000009</v>
          </cell>
          <cell r="AI168">
            <v>93.348352494236494</v>
          </cell>
          <cell r="AK168">
            <v>6.2181899999999999</v>
          </cell>
          <cell r="AL168">
            <v>16.0578</v>
          </cell>
          <cell r="AM168">
            <v>46.321999999999996</v>
          </cell>
          <cell r="AN168">
            <v>93.356999999999999</v>
          </cell>
          <cell r="AO168">
            <v>215.08099999999999</v>
          </cell>
          <cell r="AP168">
            <v>272.55425863112407</v>
          </cell>
          <cell r="AQ168">
            <v>286.16098813698028</v>
          </cell>
          <cell r="AR168">
            <v>330.31687336437636</v>
          </cell>
          <cell r="AS168">
            <v>374.34386193796405</v>
          </cell>
          <cell r="AT168">
            <v>417.05785106153019</v>
          </cell>
          <cell r="AU168">
            <v>457.32101656870321</v>
          </cell>
          <cell r="AV168">
            <v>494.0910446717661</v>
          </cell>
          <cell r="AW168">
            <v>526.45801867848445</v>
          </cell>
        </row>
        <row r="169">
          <cell r="I169" t="str">
            <v>% change Y/Y</v>
          </cell>
          <cell r="L169" t="str">
            <v>NA</v>
          </cell>
          <cell r="M169" t="str">
            <v>NA</v>
          </cell>
          <cell r="N169" t="str">
            <v>NA</v>
          </cell>
          <cell r="O169" t="str">
            <v>NA</v>
          </cell>
          <cell r="P169">
            <v>4.4240934234787943</v>
          </cell>
          <cell r="Q169">
            <v>1.7049837215126469</v>
          </cell>
          <cell r="R169">
            <v>1.6277594369234634</v>
          </cell>
          <cell r="S169">
            <v>1.5371328036774385</v>
          </cell>
          <cell r="T169">
            <v>1.3112713537642717</v>
          </cell>
          <cell r="U169">
            <v>1.2756931677402004</v>
          </cell>
          <cell r="V169">
            <v>1.0766881396455648</v>
          </cell>
          <cell r="W169">
            <v>0.70141149522970769</v>
          </cell>
          <cell r="X169">
            <v>1.1720398157777452</v>
          </cell>
          <cell r="Y169">
            <v>1.468639511793481</v>
          </cell>
          <cell r="Z169">
            <v>1.5184604390805512</v>
          </cell>
          <cell r="AA169">
            <v>1.122720149927448</v>
          </cell>
          <cell r="AB169">
            <v>0.202232558139535</v>
          </cell>
          <cell r="AC169">
            <v>0.16467726113400016</v>
          </cell>
          <cell r="AD169">
            <v>0.27575459023734905</v>
          </cell>
          <cell r="AE169">
            <v>0.38518204810362433</v>
          </cell>
          <cell r="AF169">
            <v>0.10874434402158872</v>
          </cell>
          <cell r="AG169">
            <v>7.4485220241518046E-3</v>
          </cell>
          <cell r="AH169">
            <v>4.6671028798494829E-2</v>
          </cell>
          <cell r="AI169">
            <v>4.601673976889753E-2</v>
          </cell>
          <cell r="AK169" t="str">
            <v>NA</v>
          </cell>
          <cell r="AL169">
            <v>1.5823913389587645</v>
          </cell>
          <cell r="AM169">
            <v>1.884704006775523</v>
          </cell>
          <cell r="AN169">
            <v>1.015392254220457</v>
          </cell>
          <cell r="AO169">
            <v>1.3038550938869071</v>
          </cell>
          <cell r="AP169">
            <v>0.26721680962578787</v>
          </cell>
          <cell r="AQ169">
            <v>4.9923011932356598E-2</v>
          </cell>
          <cell r="AR169">
            <v>0.15430434985169761</v>
          </cell>
          <cell r="AS169">
            <v>0.13328713161141192</v>
          </cell>
          <cell r="AT169">
            <v>0.11410361826807414</v>
          </cell>
          <cell r="AU169">
            <v>9.6540960455945957E-2</v>
          </cell>
          <cell r="AV169">
            <v>8.0403101477709793E-2</v>
          </cell>
          <cell r="AW169">
            <v>6.5508117088461493E-2</v>
          </cell>
        </row>
        <row r="170">
          <cell r="I170" t="str">
            <v>% of total</v>
          </cell>
          <cell r="L170">
            <v>0.99</v>
          </cell>
          <cell r="M170">
            <v>0.99</v>
          </cell>
          <cell r="N170">
            <v>0.99</v>
          </cell>
          <cell r="O170">
            <v>0.99</v>
          </cell>
          <cell r="P170">
            <v>0.99</v>
          </cell>
          <cell r="Q170">
            <v>0.98</v>
          </cell>
          <cell r="R170">
            <v>0.97</v>
          </cell>
          <cell r="S170">
            <v>0.95184515233978972</v>
          </cell>
          <cell r="T170">
            <v>0.93951519099241609</v>
          </cell>
          <cell r="U170">
            <v>0.91981111061611798</v>
          </cell>
          <cell r="V170">
            <v>0.88</v>
          </cell>
          <cell r="W170">
            <v>0.878482155778749</v>
          </cell>
          <cell r="X170">
            <v>0.91642290012536565</v>
          </cell>
          <cell r="Y170">
            <v>0.91722152240417487</v>
          </cell>
          <cell r="Z170">
            <v>0.90004030632809351</v>
          </cell>
          <cell r="AA170">
            <v>0.8493869479235332</v>
          </cell>
          <cell r="AB170">
            <v>0.81600000000000006</v>
          </cell>
          <cell r="AC170">
            <v>0.73</v>
          </cell>
          <cell r="AD170">
            <v>0.82506748224608717</v>
          </cell>
          <cell r="AE170">
            <v>0.81506748224608716</v>
          </cell>
          <cell r="AF170">
            <v>0.80506748224608715</v>
          </cell>
          <cell r="AG170">
            <v>0.79506748224608714</v>
          </cell>
          <cell r="AH170">
            <v>0.78506748224608713</v>
          </cell>
          <cell r="AI170">
            <v>0.77506748224608712</v>
          </cell>
          <cell r="AK170">
            <v>0.99</v>
          </cell>
          <cell r="AL170">
            <v>0.99</v>
          </cell>
          <cell r="AM170">
            <v>0.96851216860416489</v>
          </cell>
          <cell r="AN170">
            <v>0.90045139759640425</v>
          </cell>
          <cell r="AO170">
            <v>0.89132425768218637</v>
          </cell>
          <cell r="AP170">
            <v>0.79752759666048489</v>
          </cell>
          <cell r="AQ170">
            <v>0.78782115766301897</v>
          </cell>
          <cell r="AR170">
            <v>0.75782115766301894</v>
          </cell>
          <cell r="AS170">
            <v>0.72782115766301891</v>
          </cell>
          <cell r="AT170">
            <v>0.69782115766301889</v>
          </cell>
          <cell r="AU170">
            <v>0.66782115766301886</v>
          </cell>
          <cell r="AV170">
            <v>0.63782115766301883</v>
          </cell>
          <cell r="AW170">
            <v>0.60782115766301881</v>
          </cell>
        </row>
        <row r="172">
          <cell r="I172" t="str">
            <v>International revenue</v>
          </cell>
          <cell r="L172">
            <v>1.627E-2</v>
          </cell>
          <cell r="M172">
            <v>3.388E-2</v>
          </cell>
          <cell r="N172">
            <v>4.1029999999999997E-2</v>
          </cell>
          <cell r="O172">
            <v>7.102E-2</v>
          </cell>
          <cell r="P172">
            <v>8.8249999999999995E-2</v>
          </cell>
          <cell r="Q172">
            <v>0.18515999999999999</v>
          </cell>
          <cell r="R172">
            <v>0.33011999999999997</v>
          </cell>
          <cell r="S172">
            <v>0.90247000000000011</v>
          </cell>
          <cell r="T172">
            <v>1.3</v>
          </cell>
          <cell r="U172">
            <v>1.8</v>
          </cell>
          <cell r="V172">
            <v>3.0226799999999998</v>
          </cell>
          <cell r="W172">
            <v>4.1983200000000007</v>
          </cell>
          <cell r="X172">
            <v>4</v>
          </cell>
          <cell r="Y172">
            <v>4.5999999999999996</v>
          </cell>
          <cell r="Z172">
            <v>6.2</v>
          </cell>
          <cell r="AA172">
            <v>11.424000000000001</v>
          </cell>
          <cell r="AB172">
            <v>11.890080000000001</v>
          </cell>
          <cell r="AC172">
            <v>21.956399999999999</v>
          </cell>
          <cell r="AD172">
            <v>15.1</v>
          </cell>
          <cell r="AE172">
            <v>20.248261368875912</v>
          </cell>
          <cell r="AF172">
            <v>14.15599943928915</v>
          </cell>
          <cell r="AG172">
            <v>15.415228917967077</v>
          </cell>
          <cell r="AH172">
            <v>20.408036000000003</v>
          </cell>
          <cell r="AI172">
            <v>27.09064750576351</v>
          </cell>
          <cell r="AK172">
            <v>6.2810000000000005E-2</v>
          </cell>
          <cell r="AL172">
            <v>0.16220000000000001</v>
          </cell>
          <cell r="AM172">
            <v>1.506</v>
          </cell>
          <cell r="AN172">
            <v>10.321000000000002</v>
          </cell>
          <cell r="AO172">
            <v>26.224000000000004</v>
          </cell>
          <cell r="AP172">
            <v>69.19474136887591</v>
          </cell>
          <cell r="AQ172">
            <v>77.06991186301974</v>
          </cell>
          <cell r="AR172">
            <v>105.56020663562369</v>
          </cell>
          <cell r="AS172">
            <v>139.99109246203597</v>
          </cell>
          <cell r="AT172">
            <v>180.59936595126979</v>
          </cell>
          <cell r="AU172">
            <v>227.47462268456292</v>
          </cell>
          <cell r="AV172">
            <v>280.56347836431371</v>
          </cell>
          <cell r="AW172">
            <v>339.68165421911027</v>
          </cell>
        </row>
        <row r="173">
          <cell r="I173" t="str">
            <v>% change Y/Y</v>
          </cell>
          <cell r="L173" t="str">
            <v>NA</v>
          </cell>
          <cell r="M173" t="str">
            <v>NA</v>
          </cell>
          <cell r="N173" t="str">
            <v>NA</v>
          </cell>
          <cell r="O173" t="str">
            <v>NA</v>
          </cell>
          <cell r="P173">
            <v>4.4240934234787952</v>
          </cell>
          <cell r="Q173">
            <v>4.4651711924439192</v>
          </cell>
          <cell r="R173">
            <v>7.0458201316110163</v>
          </cell>
          <cell r="S173">
            <v>11.707265558997467</v>
          </cell>
          <cell r="T173">
            <v>13.730878186968839</v>
          </cell>
          <cell r="U173">
            <v>8.7213220998055743</v>
          </cell>
          <cell r="V173">
            <v>8.1563067975281722</v>
          </cell>
          <cell r="W173">
            <v>3.6520327545513984</v>
          </cell>
          <cell r="X173">
            <v>2.0769230769230766</v>
          </cell>
          <cell r="Y173">
            <v>1.5555555555555554</v>
          </cell>
          <cell r="Z173">
            <v>1.0511598978390038</v>
          </cell>
          <cell r="AA173">
            <v>1.7210884353741496</v>
          </cell>
          <cell r="AB173">
            <v>1.9725200000000003</v>
          </cell>
          <cell r="AC173">
            <v>3.7731304347826091</v>
          </cell>
          <cell r="AD173">
            <v>1.435483870967742</v>
          </cell>
          <cell r="AE173">
            <v>0.7724318425136476</v>
          </cell>
          <cell r="AF173">
            <v>0.19057226185939458</v>
          </cell>
          <cell r="AG173">
            <v>-0.2979163743615949</v>
          </cell>
          <cell r="AH173">
            <v>0.35152556291390757</v>
          </cell>
          <cell r="AI173">
            <v>0.33792462534117584</v>
          </cell>
          <cell r="AK173" t="str">
            <v>NA</v>
          </cell>
          <cell r="AL173">
            <v>1.5823913389587645</v>
          </cell>
          <cell r="AM173">
            <v>8.2848335388409371</v>
          </cell>
          <cell r="AN173">
            <v>5.8532536520584335</v>
          </cell>
          <cell r="AO173">
            <v>1.5408390659819786</v>
          </cell>
          <cell r="AP173">
            <v>1.6386036214488979</v>
          </cell>
          <cell r="AQ173">
            <v>0.11381169057575402</v>
          </cell>
          <cell r="AR173">
            <v>0.36966818936086487</v>
          </cell>
          <cell r="AS173">
            <v>0.32617296729308221</v>
          </cell>
          <cell r="AT173">
            <v>0.29007755261461599</v>
          </cell>
          <cell r="AU173">
            <v>0.259553827813223</v>
          </cell>
          <cell r="AV173">
            <v>0.23338364101110587</v>
          </cell>
          <cell r="AW173">
            <v>0.21071230011637931</v>
          </cell>
        </row>
        <row r="174">
          <cell r="I174" t="str">
            <v>% of total</v>
          </cell>
          <cell r="L174">
            <v>0.01</v>
          </cell>
          <cell r="M174">
            <v>0.01</v>
          </cell>
          <cell r="N174">
            <v>0.01</v>
          </cell>
          <cell r="O174">
            <v>0.01</v>
          </cell>
          <cell r="P174">
            <v>0.01</v>
          </cell>
          <cell r="Q174">
            <v>0.02</v>
          </cell>
          <cell r="R174">
            <v>0.03</v>
          </cell>
          <cell r="S174">
            <v>4.8154847660210241E-2</v>
          </cell>
          <cell r="T174">
            <v>6.0484809007583872E-2</v>
          </cell>
          <cell r="U174">
            <v>8.0188889383882037E-2</v>
          </cell>
          <cell r="V174">
            <v>0.12</v>
          </cell>
          <cell r="W174">
            <v>0.121517844221251</v>
          </cell>
          <cell r="X174">
            <v>8.3577099874634353E-2</v>
          </cell>
          <cell r="Y174">
            <v>8.2778477595825073E-2</v>
          </cell>
          <cell r="Z174">
            <v>9.9959693671906491E-2</v>
          </cell>
          <cell r="AA174">
            <v>0.15061305207646675</v>
          </cell>
          <cell r="AB174">
            <v>0.184</v>
          </cell>
          <cell r="AC174">
            <v>0.27</v>
          </cell>
          <cell r="AD174">
            <v>0.1749325177539128</v>
          </cell>
          <cell r="AE174">
            <v>0.18493251775391281</v>
          </cell>
          <cell r="AF174">
            <v>0.19493251775391282</v>
          </cell>
          <cell r="AG174">
            <v>0.20493251775391283</v>
          </cell>
          <cell r="AH174">
            <v>0.21493251775391284</v>
          </cell>
          <cell r="AI174">
            <v>0.22493251775391285</v>
          </cell>
          <cell r="AK174">
            <v>0.01</v>
          </cell>
          <cell r="AL174">
            <v>1.0000000000000002E-2</v>
          </cell>
          <cell r="AM174">
            <v>3.1487831395835081E-2</v>
          </cell>
          <cell r="AN174">
            <v>9.9548602403595768E-2</v>
          </cell>
          <cell r="AO174">
            <v>0.10867574231781357</v>
          </cell>
          <cell r="AP174">
            <v>0.20247240333951497</v>
          </cell>
          <cell r="AQ174">
            <v>0.21217884233698106</v>
          </cell>
          <cell r="AR174">
            <v>0.24217884233698106</v>
          </cell>
          <cell r="AS174">
            <v>0.27217884233698109</v>
          </cell>
          <cell r="AT174">
            <v>0.30217884233698111</v>
          </cell>
          <cell r="AU174">
            <v>0.33217884233698114</v>
          </cell>
          <cell r="AV174">
            <v>0.36217884233698117</v>
          </cell>
          <cell r="AW174">
            <v>0.39217884233698119</v>
          </cell>
        </row>
        <row r="177">
          <cell r="I177" t="str">
            <v>Requests / Fill Rate / eCPM by geography</v>
          </cell>
        </row>
        <row r="178">
          <cell r="I178" t="str">
            <v>Worldwide</v>
          </cell>
        </row>
        <row r="179">
          <cell r="I179" t="str">
            <v>Requests (ads requested)</v>
          </cell>
          <cell r="L179">
            <v>5998.1648699999996</v>
          </cell>
          <cell r="M179">
            <v>12480.941863</v>
          </cell>
          <cell r="N179">
            <v>17137.692219</v>
          </cell>
          <cell r="O179">
            <v>20222.886214999999</v>
          </cell>
          <cell r="P179">
            <v>25921.589875000001</v>
          </cell>
          <cell r="Q179">
            <v>26562.014643999999</v>
          </cell>
          <cell r="R179">
            <v>33275.552841999997</v>
          </cell>
          <cell r="S179">
            <v>47558.767156000002</v>
          </cell>
          <cell r="T179">
            <v>55559.604204000003</v>
          </cell>
          <cell r="U179">
            <v>61333.103983000001</v>
          </cell>
          <cell r="V179">
            <v>70072.000929999995</v>
          </cell>
          <cell r="W179">
            <v>83662.928731254433</v>
          </cell>
          <cell r="X179">
            <v>127126.49055068086</v>
          </cell>
          <cell r="Y179">
            <v>138261.24327754151</v>
          </cell>
          <cell r="Z179">
            <v>157173.37027053986</v>
          </cell>
          <cell r="AA179">
            <v>168674.31043839816</v>
          </cell>
          <cell r="AB179">
            <v>162741.03265898695</v>
          </cell>
          <cell r="AC179">
            <v>173498.32907776075</v>
          </cell>
          <cell r="AD179">
            <v>203344.71074638626</v>
          </cell>
          <cell r="AE179">
            <v>198597.60010562406</v>
          </cell>
          <cell r="AF179">
            <v>170800.01292065144</v>
          </cell>
          <cell r="AG179">
            <v>168293.37920542795</v>
          </cell>
          <cell r="AH179">
            <v>211478.49917624172</v>
          </cell>
          <cell r="AI179">
            <v>206541.50410984905</v>
          </cell>
          <cell r="AL179">
            <v>55839.685166999996</v>
          </cell>
          <cell r="AM179">
            <v>133317.92451699998</v>
          </cell>
          <cell r="AN179">
            <v>270627.63784825441</v>
          </cell>
          <cell r="AO179">
            <v>591235.41453716042</v>
          </cell>
          <cell r="AP179">
            <v>738181.67258875805</v>
          </cell>
          <cell r="AQ179">
            <v>757113.3954121701</v>
          </cell>
          <cell r="AR179">
            <v>832824.73495338717</v>
          </cell>
          <cell r="AS179">
            <v>907778.96109919192</v>
          </cell>
          <cell r="AT179">
            <v>981309.05694822641</v>
          </cell>
          <cell r="AU179">
            <v>1052846.4871997521</v>
          </cell>
          <cell r="AV179">
            <v>1121923.7452249278</v>
          </cell>
          <cell r="AW179">
            <v>1188172.2204567145</v>
          </cell>
        </row>
        <row r="180">
          <cell r="I180" t="str">
            <v>% change Y/Y</v>
          </cell>
          <cell r="L180" t="str">
            <v>NA</v>
          </cell>
          <cell r="M180" t="str">
            <v>NA</v>
          </cell>
          <cell r="N180" t="str">
            <v>NA</v>
          </cell>
          <cell r="O180" t="str">
            <v>NA</v>
          </cell>
          <cell r="P180">
            <v>3.3215867580845613</v>
          </cell>
          <cell r="Q180">
            <v>1.1282059427536972</v>
          </cell>
          <cell r="R180">
            <v>0.94165891280906999</v>
          </cell>
          <cell r="S180">
            <v>1.3517299484543437</v>
          </cell>
          <cell r="T180">
            <v>1.143371778965776</v>
          </cell>
          <cell r="U180">
            <v>1.309053165018653</v>
          </cell>
          <cell r="V180">
            <v>1.1058102704624631</v>
          </cell>
          <cell r="W180">
            <v>0.75914839122778932</v>
          </cell>
          <cell r="X180">
            <v>1.2881100823523941</v>
          </cell>
          <cell r="Y180">
            <v>1.2542678308905424</v>
          </cell>
          <cell r="Z180">
            <v>1.2430267180118306</v>
          </cell>
          <cell r="AA180">
            <v>1.0161176879215028</v>
          </cell>
          <cell r="AB180">
            <v>0.28015043877977436</v>
          </cell>
          <cell r="AC180">
            <v>0.25485873672845061</v>
          </cell>
          <cell r="AD180">
            <v>0.29376058041112468</v>
          </cell>
          <cell r="AE180">
            <v>0.17740276862228088</v>
          </cell>
          <cell r="AF180">
            <v>4.9520272361497947E-2</v>
          </cell>
          <cell r="AG180">
            <v>-2.999999999999994E-2</v>
          </cell>
          <cell r="AH180">
            <v>4.0000000000000036E-2</v>
          </cell>
          <cell r="AI180">
            <v>4.0000000000000036E-2</v>
          </cell>
          <cell r="AL180" t="str">
            <v>NA</v>
          </cell>
          <cell r="AM180">
            <v>1.387512109323064</v>
          </cell>
          <cell r="AN180">
            <v>1.0299418763734614</v>
          </cell>
          <cell r="AO180">
            <v>1.1846823156645825</v>
          </cell>
          <cell r="AP180">
            <v>0.24854102856242499</v>
          </cell>
          <cell r="AQ180">
            <v>2.5646427602326716E-2</v>
          </cell>
          <cell r="AR180">
            <v>9.9999999999999978E-2</v>
          </cell>
          <cell r="AS180">
            <v>8.9999999999999969E-2</v>
          </cell>
          <cell r="AT180">
            <v>8.0999999999999961E-2</v>
          </cell>
          <cell r="AU180">
            <v>7.2899999999999965E-2</v>
          </cell>
          <cell r="AV180">
            <v>6.5610000000000057E-2</v>
          </cell>
          <cell r="AW180">
            <v>5.9049000000000018E-2</v>
          </cell>
        </row>
        <row r="181">
          <cell r="I181" t="str">
            <v>Views (ads served)</v>
          </cell>
          <cell r="L181">
            <v>2842.3684499999999</v>
          </cell>
          <cell r="M181">
            <v>5988.5585010000004</v>
          </cell>
          <cell r="N181">
            <v>8144.9836450000003</v>
          </cell>
          <cell r="O181">
            <v>11531.507998999999</v>
          </cell>
          <cell r="P181">
            <v>14644.938435</v>
          </cell>
          <cell r="Q181">
            <v>14463.974343</v>
          </cell>
          <cell r="R181">
            <v>14686.689833</v>
          </cell>
          <cell r="S181">
            <v>29153.233948000001</v>
          </cell>
          <cell r="T181">
            <v>32450.660894000001</v>
          </cell>
          <cell r="U181">
            <v>36414.207995999997</v>
          </cell>
          <cell r="V181">
            <v>37986.575336000002</v>
          </cell>
          <cell r="W181">
            <v>52958.123173336673</v>
          </cell>
          <cell r="X181">
            <v>76793.214181573567</v>
          </cell>
          <cell r="Y181">
            <v>84852.602538290797</v>
          </cell>
          <cell r="Z181">
            <v>93063.571917944253</v>
          </cell>
          <cell r="AA181">
            <v>108456.55195327368</v>
          </cell>
          <cell r="AB181">
            <v>99527.424574792996</v>
          </cell>
          <cell r="AC181">
            <v>107345.52127470974</v>
          </cell>
          <cell r="AD181">
            <v>121418.70437342394</v>
          </cell>
          <cell r="AE181">
            <v>128690.03254553878</v>
          </cell>
          <cell r="AF181">
            <v>105310.04981177846</v>
          </cell>
          <cell r="AG181">
            <v>104966.6225324956</v>
          </cell>
          <cell r="AH181">
            <v>127332.8450442421</v>
          </cell>
          <cell r="AI181">
            <v>134870.3413679096</v>
          </cell>
          <cell r="AL181">
            <v>28507.418595000003</v>
          </cell>
          <cell r="AM181">
            <v>72948.836558999988</v>
          </cell>
          <cell r="AN181">
            <v>159809.56739933667</v>
          </cell>
          <cell r="AO181">
            <v>363165.94059108233</v>
          </cell>
          <cell r="AP181">
            <v>456981.68276846549</v>
          </cell>
          <cell r="AQ181">
            <v>472479.85875642579</v>
          </cell>
          <cell r="AR181">
            <v>523891.96830683533</v>
          </cell>
          <cell r="AS181">
            <v>575581.14025994646</v>
          </cell>
          <cell r="AT181">
            <v>627109.7579057432</v>
          </cell>
          <cell r="AU181">
            <v>678090.29169307067</v>
          </cell>
          <cell r="AV181">
            <v>728189.41445717763</v>
          </cell>
          <cell r="AW181">
            <v>777129.13229374296</v>
          </cell>
        </row>
        <row r="182">
          <cell r="I182" t="str">
            <v>% change Y/Y</v>
          </cell>
          <cell r="L182" t="str">
            <v>NA</v>
          </cell>
          <cell r="M182" t="str">
            <v>NA</v>
          </cell>
          <cell r="N182" t="str">
            <v>NA</v>
          </cell>
          <cell r="O182" t="str">
            <v>NA</v>
          </cell>
          <cell r="P182">
            <v>4.1523715846902256</v>
          </cell>
          <cell r="Q182">
            <v>1.4152681051015419</v>
          </cell>
          <cell r="R182">
            <v>0.80315768246088348</v>
          </cell>
          <cell r="S182">
            <v>1.5281371656272658</v>
          </cell>
          <cell r="T182">
            <v>1.2158277440379011</v>
          </cell>
          <cell r="U182">
            <v>1.5175796867769651</v>
          </cell>
          <cell r="V182">
            <v>1.5864626929511871</v>
          </cell>
          <cell r="W182">
            <v>0.81654369006872241</v>
          </cell>
          <cell r="X182">
            <v>1.3664607150041843</v>
          </cell>
          <cell r="Y182">
            <v>1.3302059061015861</v>
          </cell>
          <cell r="Z182">
            <v>1.4499068709083547</v>
          </cell>
          <cell r="AA182">
            <v>1.0479681955171576</v>
          </cell>
          <cell r="AB182">
            <v>0.29604452210406995</v>
          </cell>
          <cell r="AC182">
            <v>0.26508224926004753</v>
          </cell>
          <cell r="AD182">
            <v>0.30468562372053487</v>
          </cell>
          <cell r="AE182">
            <v>0.18655839806692631</v>
          </cell>
          <cell r="AF182">
            <v>5.8100822579207012E-2</v>
          </cell>
          <cell r="AG182">
            <v>-2.2161136430892681E-2</v>
          </cell>
          <cell r="AH182">
            <v>4.8708645849400378E-2</v>
          </cell>
          <cell r="AI182">
            <v>4.8024766954533504E-2</v>
          </cell>
          <cell r="AL182" t="str">
            <v>NA</v>
          </cell>
          <cell r="AM182">
            <v>1.5589422036197513</v>
          </cell>
          <cell r="AN182">
            <v>1.1907075552889035</v>
          </cell>
          <cell r="AO182">
            <v>1.272491857033772</v>
          </cell>
          <cell r="AP182">
            <v>0.25832747978703718</v>
          </cell>
          <cell r="AQ182">
            <v>3.3914217073362618E-2</v>
          </cell>
          <cell r="AR182">
            <v>0.10881333584404418</v>
          </cell>
          <cell r="AS182">
            <v>9.8663799180134681E-2</v>
          </cell>
          <cell r="AT182">
            <v>8.9524506696875283E-2</v>
          </cell>
          <cell r="AU182">
            <v>8.1294435534823961E-2</v>
          </cell>
          <cell r="AV182">
            <v>7.3882672230888957E-2</v>
          </cell>
          <cell r="AW182">
            <v>6.72074008011323E-2</v>
          </cell>
        </row>
        <row r="183">
          <cell r="I183" t="str">
            <v>Fill rate (% of requests served)</v>
          </cell>
          <cell r="L183">
            <v>0.4738730114299109</v>
          </cell>
          <cell r="M183">
            <v>0.47981623235929022</v>
          </cell>
          <cell r="N183">
            <v>0.47526723790557535</v>
          </cell>
          <cell r="O183">
            <v>0.57022068345747257</v>
          </cell>
          <cell r="P183">
            <v>0.56497068681440199</v>
          </cell>
          <cell r="Q183">
            <v>0.54453604279851631</v>
          </cell>
          <cell r="R183">
            <v>0.44136576491263096</v>
          </cell>
          <cell r="S183">
            <v>0.61299389558129114</v>
          </cell>
          <cell r="T183">
            <v>0.58406933164696162</v>
          </cell>
          <cell r="U183">
            <v>0.59371213310992876</v>
          </cell>
          <cell r="V183">
            <v>0.54210775818928802</v>
          </cell>
          <cell r="W183">
            <v>0.63299389558129115</v>
          </cell>
          <cell r="X183">
            <v>0.60406933164696164</v>
          </cell>
          <cell r="Y183">
            <v>0.61371213310992878</v>
          </cell>
          <cell r="Z183">
            <v>0.59210775818928807</v>
          </cell>
          <cell r="AA183">
            <v>0.64299389558129116</v>
          </cell>
          <cell r="AB183">
            <v>0.61156933164696159</v>
          </cell>
          <cell r="AC183">
            <v>0.61871213310992879</v>
          </cell>
          <cell r="AD183">
            <v>0.59710775818928807</v>
          </cell>
          <cell r="AE183">
            <v>0.64799389558129117</v>
          </cell>
          <cell r="AF183">
            <v>0.61656933164696159</v>
          </cell>
          <cell r="AG183">
            <v>0.62371213310992879</v>
          </cell>
          <cell r="AH183">
            <v>0.60210775818928808</v>
          </cell>
          <cell r="AI183">
            <v>0.65299389558129117</v>
          </cell>
          <cell r="AL183">
            <v>0.51052255237010624</v>
          </cell>
          <cell r="AM183">
            <v>0.54717950960673667</v>
          </cell>
          <cell r="AN183">
            <v>0.59051458553891178</v>
          </cell>
          <cell r="AO183">
            <v>0.61424930182063131</v>
          </cell>
          <cell r="AP183">
            <v>0.61906397806634594</v>
          </cell>
          <cell r="AQ183">
            <v>0.624054285156597</v>
          </cell>
          <cell r="AR183">
            <v>0.629054285156597</v>
          </cell>
          <cell r="AS183">
            <v>0.63405428515659701</v>
          </cell>
          <cell r="AT183">
            <v>0.63905428515659701</v>
          </cell>
          <cell r="AU183">
            <v>0.64405428515659702</v>
          </cell>
          <cell r="AV183">
            <v>0.64905428515659702</v>
          </cell>
          <cell r="AW183">
            <v>0.65405428515659703</v>
          </cell>
        </row>
        <row r="184">
          <cell r="I184" t="str">
            <v>BPs change Y/Y</v>
          </cell>
          <cell r="P184">
            <v>910.97675384491095</v>
          </cell>
          <cell r="Q184">
            <v>647.19810439226092</v>
          </cell>
          <cell r="R184">
            <v>-339.01472992944383</v>
          </cell>
          <cell r="S184">
            <v>427.7321212381857</v>
          </cell>
          <cell r="T184">
            <v>190.98644832559631</v>
          </cell>
          <cell r="U184">
            <v>491.76090311412457</v>
          </cell>
          <cell r="V184">
            <v>1007.4199327665706</v>
          </cell>
          <cell r="W184">
            <v>200</v>
          </cell>
          <cell r="X184">
            <v>200</v>
          </cell>
          <cell r="Y184">
            <v>200</v>
          </cell>
          <cell r="Z184">
            <v>500</v>
          </cell>
          <cell r="AA184">
            <v>100</v>
          </cell>
          <cell r="AB184">
            <v>75</v>
          </cell>
          <cell r="AC184">
            <v>50</v>
          </cell>
          <cell r="AD184">
            <v>50</v>
          </cell>
          <cell r="AE184">
            <v>50</v>
          </cell>
          <cell r="AF184">
            <v>50</v>
          </cell>
          <cell r="AG184">
            <v>50</v>
          </cell>
          <cell r="AH184">
            <v>50</v>
          </cell>
          <cell r="AI184">
            <v>50</v>
          </cell>
          <cell r="AM184">
            <v>366.56957236630427</v>
          </cell>
          <cell r="AN184">
            <v>433.35075932175118</v>
          </cell>
          <cell r="AO184">
            <v>237.34716281719525</v>
          </cell>
          <cell r="AP184">
            <v>48.14676245714633</v>
          </cell>
          <cell r="AQ184">
            <v>49.903070902510564</v>
          </cell>
          <cell r="AR184">
            <v>50</v>
          </cell>
          <cell r="AS184">
            <v>50</v>
          </cell>
          <cell r="AT184">
            <v>50</v>
          </cell>
          <cell r="AU184">
            <v>50</v>
          </cell>
          <cell r="AV184">
            <v>50</v>
          </cell>
          <cell r="AW184">
            <v>50</v>
          </cell>
        </row>
        <row r="185">
          <cell r="I185" t="str">
            <v>Revenue (reported)</v>
          </cell>
          <cell r="L185">
            <v>1.627</v>
          </cell>
          <cell r="M185">
            <v>3.3879999999999999</v>
          </cell>
          <cell r="N185">
            <v>4.1029999999999998</v>
          </cell>
          <cell r="O185">
            <v>7.1020000000000003</v>
          </cell>
          <cell r="P185">
            <v>8.8249999999999993</v>
          </cell>
          <cell r="Q185">
            <v>9.2579999999999991</v>
          </cell>
          <cell r="R185">
            <v>11.004</v>
          </cell>
          <cell r="S185">
            <v>18.741</v>
          </cell>
          <cell r="T185">
            <v>21.492999999999999</v>
          </cell>
          <cell r="U185">
            <v>22.446999999999999</v>
          </cell>
          <cell r="V185">
            <v>25.189</v>
          </cell>
          <cell r="W185">
            <v>34.548999999999999</v>
          </cell>
          <cell r="X185">
            <v>47.86</v>
          </cell>
          <cell r="Y185">
            <v>55.57</v>
          </cell>
          <cell r="Z185">
            <v>62.024999999999999</v>
          </cell>
          <cell r="AA185">
            <v>75.849999999999994</v>
          </cell>
          <cell r="AB185">
            <v>64.62</v>
          </cell>
          <cell r="AC185">
            <v>81.319999999999993</v>
          </cell>
          <cell r="AD185">
            <v>86.319000000000003</v>
          </cell>
          <cell r="AE185">
            <v>109.49</v>
          </cell>
          <cell r="AF185">
            <v>72.62</v>
          </cell>
          <cell r="AG185">
            <v>75.221000000000004</v>
          </cell>
          <cell r="AH185">
            <v>94.950900000000004</v>
          </cell>
          <cell r="AI185">
            <v>120.43900000000001</v>
          </cell>
          <cell r="AL185">
            <v>16.22</v>
          </cell>
          <cell r="AM185">
            <v>47.827999999999996</v>
          </cell>
          <cell r="AN185">
            <v>103.678</v>
          </cell>
          <cell r="AO185">
            <v>241.30500000000001</v>
          </cell>
          <cell r="AP185">
            <v>341.74900000000002</v>
          </cell>
          <cell r="AQ185">
            <v>363.23090000000002</v>
          </cell>
          <cell r="AR185">
            <v>435.87708000000003</v>
          </cell>
          <cell r="AS185">
            <v>514.33495440000002</v>
          </cell>
          <cell r="AT185">
            <v>597.65721701279995</v>
          </cell>
          <cell r="AU185">
            <v>684.79563925326613</v>
          </cell>
          <cell r="AV185">
            <v>774.65452303607981</v>
          </cell>
          <cell r="AW185">
            <v>866.13967289759478</v>
          </cell>
        </row>
        <row r="186">
          <cell r="I186" t="str">
            <v>% change Y/Y</v>
          </cell>
          <cell r="L186" t="str">
            <v>NA</v>
          </cell>
          <cell r="M186" t="str">
            <v>NA</v>
          </cell>
          <cell r="N186" t="str">
            <v>NA</v>
          </cell>
          <cell r="O186" t="str">
            <v>NA</v>
          </cell>
          <cell r="P186">
            <v>4.4240934234787952</v>
          </cell>
          <cell r="Q186">
            <v>1.7325855962219596</v>
          </cell>
          <cell r="R186">
            <v>1.6819400438703389</v>
          </cell>
          <cell r="S186">
            <v>1.6388341312306389</v>
          </cell>
          <cell r="T186">
            <v>1.4354674220963175</v>
          </cell>
          <cell r="U186">
            <v>1.4246057463815078</v>
          </cell>
          <cell r="V186">
            <v>1.2890766993820431</v>
          </cell>
          <cell r="W186">
            <v>0.84349821247532142</v>
          </cell>
          <cell r="X186">
            <v>1.22677150700228</v>
          </cell>
          <cell r="Y186">
            <v>1.4756092128124028</v>
          </cell>
          <cell r="Z186">
            <v>1.4623843741315654</v>
          </cell>
          <cell r="AA186">
            <v>1.1954325740252973</v>
          </cell>
          <cell r="AB186">
            <v>0.35018804847471796</v>
          </cell>
          <cell r="AC186">
            <v>0.46337952132445559</v>
          </cell>
          <cell r="AD186">
            <v>0.39168077388149958</v>
          </cell>
          <cell r="AE186">
            <v>0.44350692155570215</v>
          </cell>
          <cell r="AF186">
            <v>0.12380068090374485</v>
          </cell>
          <cell r="AG186">
            <v>-7.4999999999999845E-2</v>
          </cell>
          <cell r="AH186">
            <v>0.10000000000000009</v>
          </cell>
          <cell r="AI186">
            <v>0.10000000000000009</v>
          </cell>
          <cell r="AL186" t="str">
            <v>NA</v>
          </cell>
          <cell r="AM186">
            <v>1.9487053020961773</v>
          </cell>
          <cell r="AN186">
            <v>1.1677260182319982</v>
          </cell>
          <cell r="AO186">
            <v>1.3274465171010243</v>
          </cell>
          <cell r="AP186">
            <v>0.4162532894055242</v>
          </cell>
          <cell r="AQ186">
            <v>6.2858706243471119E-2</v>
          </cell>
          <cell r="AR186">
            <v>0.19999999999999996</v>
          </cell>
          <cell r="AS186">
            <v>0.17999999999999994</v>
          </cell>
          <cell r="AT186">
            <v>0.16199999999999992</v>
          </cell>
          <cell r="AU186">
            <v>0.14579999999999993</v>
          </cell>
          <cell r="AV186">
            <v>0.13122000000000011</v>
          </cell>
          <cell r="AW186">
            <v>0.11809800000000004</v>
          </cell>
        </row>
        <row r="187">
          <cell r="I187" t="str">
            <v>Effective CPM (revenue per '000 ad views)</v>
          </cell>
          <cell r="L187">
            <v>0.57240995621099022</v>
          </cell>
          <cell r="M187">
            <v>0.56574549608795743</v>
          </cell>
          <cell r="N187">
            <v>0.50374564011785683</v>
          </cell>
          <cell r="O187">
            <v>0.61587781932908336</v>
          </cell>
          <cell r="P187">
            <v>0.60259727544563069</v>
          </cell>
          <cell r="Q187">
            <v>0.64007303804991267</v>
          </cell>
          <cell r="R187">
            <v>0.74924983948900137</v>
          </cell>
          <cell r="S187">
            <v>0.64284463375239675</v>
          </cell>
          <cell r="T187">
            <v>0.66232857537807399</v>
          </cell>
          <cell r="U187">
            <v>0.61643521129076162</v>
          </cell>
          <cell r="V187">
            <v>0.66310268238706693</v>
          </cell>
          <cell r="W187">
            <v>0.65238339143775981</v>
          </cell>
          <cell r="X187">
            <v>0.62323215026314072</v>
          </cell>
          <cell r="Y187">
            <v>0.65490036059793622</v>
          </cell>
          <cell r="Z187">
            <v>0.66647989886621262</v>
          </cell>
          <cell r="AA187">
            <v>0.69935839406621048</v>
          </cell>
          <cell r="AB187">
            <v>0.64926828234603096</v>
          </cell>
          <cell r="AC187">
            <v>0.75755372962317269</v>
          </cell>
          <cell r="AD187">
            <v>0.71092012096032098</v>
          </cell>
          <cell r="AE187">
            <v>0.85080404312785785</v>
          </cell>
          <cell r="AF187">
            <v>0.68958280933105953</v>
          </cell>
          <cell r="AG187">
            <v>0.71661827526853172</v>
          </cell>
          <cell r="AH187">
            <v>0.74569055585783139</v>
          </cell>
          <cell r="AI187">
            <v>0.89299840705123845</v>
          </cell>
          <cell r="AL187">
            <v>0.56897470200423095</v>
          </cell>
          <cell r="AM187">
            <v>0.6556375982955861</v>
          </cell>
          <cell r="AN187">
            <v>0.64875965617832176</v>
          </cell>
          <cell r="AO187">
            <v>0.66444832245902885</v>
          </cell>
          <cell r="AP187">
            <v>0.74783960251892789</v>
          </cell>
          <cell r="AQ187">
            <v>0.7687754160696485</v>
          </cell>
          <cell r="AR187">
            <v>0.83199801937928097</v>
          </cell>
          <cell r="AS187">
            <v>0.89359243801441068</v>
          </cell>
          <cell r="AT187">
            <v>0.95303447200167779</v>
          </cell>
          <cell r="AU187">
            <v>1.0098885762594438</v>
          </cell>
          <cell r="AV187">
            <v>1.0638090964471645</v>
          </cell>
          <cell r="AW187">
            <v>1.1145376449099675</v>
          </cell>
        </row>
        <row r="188">
          <cell r="I188" t="str">
            <v>% change Y/Y</v>
          </cell>
          <cell r="L188" t="str">
            <v>NA</v>
          </cell>
          <cell r="M188" t="str">
            <v>NA</v>
          </cell>
          <cell r="N188" t="str">
            <v>NA</v>
          </cell>
          <cell r="O188" t="str">
            <v>NA</v>
          </cell>
          <cell r="P188">
            <v>5.2737236498229922E-2</v>
          </cell>
          <cell r="Q188">
            <v>0.13137982091933331</v>
          </cell>
          <cell r="R188">
            <v>0.48735746737918384</v>
          </cell>
          <cell r="S188">
            <v>4.3785980882848019E-2</v>
          </cell>
          <cell r="T188">
            <v>9.9123083303473303E-2</v>
          </cell>
          <cell r="U188">
            <v>-3.6929889800025872E-2</v>
          </cell>
          <cell r="V188">
            <v>-0.11497787862148623</v>
          </cell>
          <cell r="W188">
            <v>1.4838356244313067E-2</v>
          </cell>
          <cell r="X188">
            <v>-5.9028745804325378E-2</v>
          </cell>
          <cell r="Y188">
            <v>6.2399338328892551E-2</v>
          </cell>
          <cell r="Z188">
            <v>5.0930520549068437E-3</v>
          </cell>
          <cell r="AA188">
            <v>7.200520927567533E-2</v>
          </cell>
          <cell r="AB188">
            <v>4.1775977173028167E-2</v>
          </cell>
          <cell r="AC188">
            <v>0.15674654527829546</v>
          </cell>
          <cell r="AD188">
            <v>6.667901338016069E-2</v>
          </cell>
          <cell r="AE188">
            <v>0.21654941207055778</v>
          </cell>
          <cell r="AF188">
            <v>6.2092247659716548E-2</v>
          </cell>
          <cell r="AG188">
            <v>-5.4036370958140956E-2</v>
          </cell>
          <cell r="AH188">
            <v>4.8909060065063237E-2</v>
          </cell>
          <cell r="AI188">
            <v>4.9593515997243154E-2</v>
          </cell>
          <cell r="AL188" t="str">
            <v>NA</v>
          </cell>
          <cell r="AM188">
            <v>0.15231414680842992</v>
          </cell>
          <cell r="AN188">
            <v>-1.0490463230211966E-2</v>
          </cell>
          <cell r="AO188">
            <v>2.4182555328925659E-2</v>
          </cell>
          <cell r="AP188">
            <v>0.12550453848883203</v>
          </cell>
          <cell r="AQ188">
            <v>2.7995058673281115E-2</v>
          </cell>
          <cell r="AR188">
            <v>8.2238065874761013E-2</v>
          </cell>
          <cell r="AS188">
            <v>7.4031929404210217E-2</v>
          </cell>
          <cell r="AT188">
            <v>6.652029656758196E-2</v>
          </cell>
          <cell r="AU188">
            <v>5.9655873872383802E-2</v>
          </cell>
          <cell r="AV188">
            <v>5.3392543945232518E-2</v>
          </cell>
          <cell r="AW188">
            <v>4.7685763011636961E-2</v>
          </cell>
        </row>
        <row r="189">
          <cell r="I189" t="str">
            <v>% change Q/Q</v>
          </cell>
          <cell r="AA189">
            <v>0.10299999999999999</v>
          </cell>
          <cell r="AB189">
            <v>-7.1622950614699143E-2</v>
          </cell>
          <cell r="AE189">
            <v>0.19676461256797695</v>
          </cell>
        </row>
        <row r="192">
          <cell r="I192" t="str">
            <v>US</v>
          </cell>
        </row>
        <row r="193">
          <cell r="I193" t="str">
            <v>Requests (ads requested)</v>
          </cell>
          <cell r="L193">
            <v>5392.1572200000001</v>
          </cell>
          <cell r="M193">
            <v>11113.778253</v>
          </cell>
          <cell r="N193">
            <v>15846.256847000001</v>
          </cell>
          <cell r="O193">
            <v>17880.97479</v>
          </cell>
          <cell r="P193">
            <v>21199.148560000001</v>
          </cell>
          <cell r="Q193">
            <v>21646.763803000002</v>
          </cell>
          <cell r="R193">
            <v>26432.267016999998</v>
          </cell>
          <cell r="S193">
            <v>36744.533968999996</v>
          </cell>
          <cell r="T193">
            <v>41671.958807000003</v>
          </cell>
          <cell r="U193">
            <v>43800.956832000003</v>
          </cell>
          <cell r="V193">
            <v>46485.463473000003</v>
          </cell>
          <cell r="W193">
            <v>56763.804244345352</v>
          </cell>
          <cell r="X193">
            <v>91076.329043078673</v>
          </cell>
          <cell r="Y193">
            <v>99163.939393012319</v>
          </cell>
          <cell r="Z193">
            <v>110027.69427080759</v>
          </cell>
          <cell r="AA193">
            <v>109534.89564869794</v>
          </cell>
          <cell r="AB193">
            <v>100248.47611793598</v>
          </cell>
          <cell r="AC193">
            <v>91954.114411213202</v>
          </cell>
          <cell r="AD193">
            <v>127104.16637430251</v>
          </cell>
          <cell r="AE193">
            <v>122150.92587708143</v>
          </cell>
          <cell r="AF193">
            <v>93951.533074861887</v>
          </cell>
          <cell r="AG193">
            <v>100145.91744245999</v>
          </cell>
          <cell r="AH193">
            <v>123729.19306222493</v>
          </cell>
          <cell r="AI193">
            <v>118775.30274777074</v>
          </cell>
          <cell r="AL193">
            <v>50233.167110000002</v>
          </cell>
          <cell r="AM193">
            <v>106022.713349</v>
          </cell>
          <cell r="AN193">
            <v>188722.18335634537</v>
          </cell>
          <cell r="AO193">
            <v>409802.85835559655</v>
          </cell>
          <cell r="AP193">
            <v>441457.6827805331</v>
          </cell>
          <cell r="AQ193">
            <v>436601.94632731756</v>
          </cell>
          <cell r="AR193">
            <v>464567.2577820954</v>
          </cell>
          <cell r="AS193">
            <v>479144.9421495081</v>
          </cell>
          <cell r="AT193">
            <v>488516.41075517138</v>
          </cell>
          <cell r="AU193">
            <v>492543.86248323077</v>
          </cell>
          <cell r="AV193">
            <v>491201.95294400764</v>
          </cell>
          <cell r="AW193">
            <v>484561.77044969692</v>
          </cell>
        </row>
        <row r="194">
          <cell r="I194" t="str">
            <v>% change Y/Y</v>
          </cell>
          <cell r="L194" t="str">
            <v>NA</v>
          </cell>
          <cell r="M194" t="str">
            <v>NA</v>
          </cell>
          <cell r="N194" t="str">
            <v>NA</v>
          </cell>
          <cell r="O194" t="str">
            <v>NA</v>
          </cell>
          <cell r="P194">
            <v>2.9314781997398809</v>
          </cell>
          <cell r="Q194">
            <v>0.94774120107685045</v>
          </cell>
          <cell r="R194">
            <v>0.66804484315828394</v>
          </cell>
          <cell r="S194">
            <v>1.0549513883073929</v>
          </cell>
          <cell r="T194">
            <v>0.96573738275647036</v>
          </cell>
          <cell r="U194">
            <v>1.0234413435014096</v>
          </cell>
          <cell r="V194">
            <v>0.75866350938051319</v>
          </cell>
          <cell r="W194">
            <v>0.54482308286274295</v>
          </cell>
          <cell r="X194">
            <v>1.1855543067915439</v>
          </cell>
          <cell r="Y194">
            <v>1.2639674236651688</v>
          </cell>
          <cell r="Z194">
            <v>1.3669269068321674</v>
          </cell>
          <cell r="AA194">
            <v>0.92966093634588454</v>
          </cell>
          <cell r="AB194">
            <v>0.10070835277648182</v>
          </cell>
          <cell r="AC194">
            <v>-7.2706117021276384E-2</v>
          </cell>
          <cell r="AD194">
            <v>0.15520158098982928</v>
          </cell>
          <cell r="AE194">
            <v>0.11517818274868152</v>
          </cell>
          <cell r="AF194">
            <v>-6.2813354246563646E-2</v>
          </cell>
          <cell r="AG194">
            <v>8.9085769393782099E-2</v>
          </cell>
          <cell r="AH194">
            <v>-2.6552814186584506E-2</v>
          </cell>
          <cell r="AI194">
            <v>-2.7634855037509398E-2</v>
          </cell>
          <cell r="AL194" t="str">
            <v>NA</v>
          </cell>
          <cell r="AM194">
            <v>1.1106117620820664</v>
          </cell>
          <cell r="AN194">
            <v>0.78001653980614138</v>
          </cell>
          <cell r="AO194">
            <v>1.171460986024131</v>
          </cell>
          <cell r="AP194">
            <v>7.7244030341703684E-2</v>
          </cell>
          <cell r="AQ194">
            <v>-1.0999324833654622E-2</v>
          </cell>
          <cell r="AR194">
            <v>6.4052191452697915E-2</v>
          </cell>
          <cell r="AS194">
            <v>3.1379061100880179E-2</v>
          </cell>
          <cell r="AT194">
            <v>1.9558734281158507E-2</v>
          </cell>
          <cell r="AU194">
            <v>8.2442506318949338E-3</v>
          </cell>
          <cell r="AV194">
            <v>-2.7244467781157855E-3</v>
          </cell>
          <cell r="AW194">
            <v>-1.3518233090306198E-2</v>
          </cell>
        </row>
        <row r="195">
          <cell r="I195" t="str">
            <v>% of total WW</v>
          </cell>
          <cell r="L195">
            <v>0.89896782380374951</v>
          </cell>
          <cell r="M195">
            <v>0.89045990078256965</v>
          </cell>
          <cell r="N195">
            <v>0.92464356603579168</v>
          </cell>
          <cell r="O195">
            <v>0.88419499570427673</v>
          </cell>
          <cell r="P195">
            <v>0.8178182226563756</v>
          </cell>
          <cell r="Q195">
            <v>0.81495188121544515</v>
          </cell>
          <cell r="R195">
            <v>0.7943449397371849</v>
          </cell>
          <cell r="S195">
            <v>0.77261325653106872</v>
          </cell>
          <cell r="T195">
            <v>0.75004059881333418</v>
          </cell>
          <cell r="U195">
            <v>0.71414870579745204</v>
          </cell>
          <cell r="V195">
            <v>0.66339569094705464</v>
          </cell>
          <cell r="W195">
            <v>0.67848215577874904</v>
          </cell>
          <cell r="X195">
            <v>0.71642290012536569</v>
          </cell>
          <cell r="Y195">
            <v>0.71722152240417492</v>
          </cell>
          <cell r="Z195">
            <v>0.70004030632809355</v>
          </cell>
          <cell r="AA195">
            <v>0.64938694792353324</v>
          </cell>
          <cell r="AB195">
            <v>0.6160000000000001</v>
          </cell>
          <cell r="AC195">
            <v>0.53</v>
          </cell>
          <cell r="AD195">
            <v>0.6250674822460871</v>
          </cell>
          <cell r="AE195">
            <v>0.61506748224608709</v>
          </cell>
          <cell r="AF195">
            <v>0.55006748224608715</v>
          </cell>
          <cell r="AG195">
            <v>0.59506748224608708</v>
          </cell>
          <cell r="AH195">
            <v>0.58506748224608707</v>
          </cell>
          <cell r="AI195">
            <v>0.57506748224608706</v>
          </cell>
          <cell r="AL195">
            <v>0.89959617357740185</v>
          </cell>
          <cell r="AM195">
            <v>0.79526225549273799</v>
          </cell>
          <cell r="AN195">
            <v>0.69735000038009853</v>
          </cell>
          <cell r="AO195">
            <v>0.69312975555837508</v>
          </cell>
          <cell r="AP195">
            <v>0.59803392467381089</v>
          </cell>
          <cell r="AQ195">
            <v>0.57666651914094436</v>
          </cell>
          <cell r="AR195">
            <v>0.55782115766301898</v>
          </cell>
          <cell r="AS195">
            <v>0.52782115766301896</v>
          </cell>
          <cell r="AT195">
            <v>0.49782115766301888</v>
          </cell>
          <cell r="AU195">
            <v>0.46782115766301885</v>
          </cell>
          <cell r="AV195">
            <v>0.43782115766301882</v>
          </cell>
          <cell r="AW195">
            <v>0.4078211576630188</v>
          </cell>
        </row>
        <row r="196">
          <cell r="I196" t="str">
            <v>Views (ads served)</v>
          </cell>
          <cell r="L196">
            <v>2596.7097979999999</v>
          </cell>
          <cell r="M196">
            <v>5579.648741</v>
          </cell>
          <cell r="N196">
            <v>7603.3470100000004</v>
          </cell>
          <cell r="O196">
            <v>10982.622286</v>
          </cell>
          <cell r="P196">
            <v>14034.343288</v>
          </cell>
          <cell r="Q196">
            <v>13665.493270999999</v>
          </cell>
          <cell r="R196">
            <v>13979.197177</v>
          </cell>
          <cell r="S196">
            <v>28178.311444999999</v>
          </cell>
          <cell r="T196">
            <v>29603.313388999999</v>
          </cell>
          <cell r="U196">
            <v>31079.538553999999</v>
          </cell>
          <cell r="V196">
            <v>31702.510141999999</v>
          </cell>
          <cell r="W196">
            <v>44098.14399877486</v>
          </cell>
          <cell r="X196">
            <v>65610.412363059513</v>
          </cell>
          <cell r="Y196">
            <v>71354.702222731779</v>
          </cell>
          <cell r="Z196">
            <v>77788.216625989662</v>
          </cell>
          <cell r="AA196">
            <v>85642.140318035046</v>
          </cell>
          <cell r="AB196">
            <v>72593.860702571226</v>
          </cell>
          <cell r="AC196">
            <v>66396.664178935534</v>
          </cell>
          <cell r="AD196">
            <v>90178.83124465833</v>
          </cell>
          <cell r="AE196">
            <v>95811.623721266602</v>
          </cell>
          <cell r="AF196">
            <v>68268.875646822067</v>
          </cell>
          <cell r="AG196">
            <v>72562.026886102729</v>
          </cell>
          <cell r="AH196">
            <v>88093.652477711104</v>
          </cell>
          <cell r="AI196">
            <v>93460.821645690419</v>
          </cell>
          <cell r="AL196">
            <v>26762.327835</v>
          </cell>
          <cell r="AM196">
            <v>69857.345180999997</v>
          </cell>
          <cell r="AN196">
            <v>136483.50608377485</v>
          </cell>
          <cell r="AO196">
            <v>300395.47152981599</v>
          </cell>
          <cell r="AP196">
            <v>324980.97984743165</v>
          </cell>
          <cell r="AQ196">
            <v>322385.37665632629</v>
          </cell>
          <cell r="AR196">
            <v>347680.53910128836</v>
          </cell>
          <cell r="AS196">
            <v>363381.8774028297</v>
          </cell>
          <cell r="AT196">
            <v>375374.33109309193</v>
          </cell>
          <cell r="AU196">
            <v>383394.44978423556</v>
          </cell>
          <cell r="AV196">
            <v>387261.93154021353</v>
          </cell>
          <cell r="AW196">
            <v>386872.45218714769</v>
          </cell>
        </row>
        <row r="197">
          <cell r="I197" t="str">
            <v>% change Y/Y</v>
          </cell>
          <cell r="L197" t="str">
            <v>NA</v>
          </cell>
          <cell r="M197" t="str">
            <v>NA</v>
          </cell>
          <cell r="N197" t="str">
            <v>NA</v>
          </cell>
          <cell r="O197" t="str">
            <v>NA</v>
          </cell>
          <cell r="P197">
            <v>4.4046637397869137</v>
          </cell>
          <cell r="Q197">
            <v>1.4491673052076091</v>
          </cell>
          <cell r="R197">
            <v>0.8385583557628522</v>
          </cell>
          <cell r="S197">
            <v>1.5657179780206092</v>
          </cell>
          <cell r="T197">
            <v>1.1093479603218892</v>
          </cell>
          <cell r="U197">
            <v>1.2743078451441581</v>
          </cell>
          <cell r="V197">
            <v>1.267834822028278</v>
          </cell>
          <cell r="W197">
            <v>0.56496758454984342</v>
          </cell>
          <cell r="X197">
            <v>1.2163198930103221</v>
          </cell>
          <cell r="Y197">
            <v>1.2958739267880244</v>
          </cell>
          <cell r="Z197">
            <v>1.4536926658982301</v>
          </cell>
          <cell r="AA197">
            <v>0.94208038144222961</v>
          </cell>
          <cell r="AB197">
            <v>0.10643811078138543</v>
          </cell>
          <cell r="AC197">
            <v>-6.9484391208302743E-2</v>
          </cell>
          <cell r="AD197">
            <v>0.15928652379631569</v>
          </cell>
          <cell r="AE197">
            <v>0.11874391935403339</v>
          </cell>
          <cell r="AF197">
            <v>-5.9577835010998004E-2</v>
          </cell>
          <cell r="AG197">
            <v>9.285651294998587E-2</v>
          </cell>
          <cell r="AH197">
            <v>-2.3122707825854016E-2</v>
          </cell>
          <cell r="AI197">
            <v>-2.4535666804010092E-2</v>
          </cell>
          <cell r="AL197" t="str">
            <v>NA</v>
          </cell>
          <cell r="AM197">
            <v>1.6102865793923939</v>
          </cell>
          <cell r="AN197">
            <v>0.95374596229139308</v>
          </cell>
          <cell r="AO197">
            <v>1.2009653777902689</v>
          </cell>
          <cell r="AP197">
            <v>8.1843804743159776E-2</v>
          </cell>
          <cell r="AQ197">
            <v>-7.986938781229358E-3</v>
          </cell>
          <cell r="AR197">
            <v>7.8462499469780678E-2</v>
          </cell>
          <cell r="AS197">
            <v>4.5160244925204651E-2</v>
          </cell>
          <cell r="AT197">
            <v>3.3002343914272592E-2</v>
          </cell>
          <cell r="AU197">
            <v>2.1365655631776947E-2</v>
          </cell>
          <cell r="AV197">
            <v>1.0087474553047038E-2</v>
          </cell>
          <cell r="AW197">
            <v>-1.0057258959506044E-3</v>
          </cell>
        </row>
        <row r="198">
          <cell r="I198" t="str">
            <v>% of total WW</v>
          </cell>
          <cell r="L198">
            <v>0.91357255179215069</v>
          </cell>
          <cell r="M198">
            <v>0.93171816557662102</v>
          </cell>
          <cell r="N198">
            <v>0.93350058654414891</v>
          </cell>
          <cell r="O198">
            <v>0.95240121994039306</v>
          </cell>
          <cell r="P198">
            <v>0.95830674538441651</v>
          </cell>
          <cell r="Q198">
            <v>0.9447951819420618</v>
          </cell>
          <cell r="R198">
            <v>0.95182763004837811</v>
          </cell>
          <cell r="S198">
            <v>0.96655868420158975</v>
          </cell>
          <cell r="T198">
            <v>0.91225610121467615</v>
          </cell>
          <cell r="U198">
            <v>0.85350033034946149</v>
          </cell>
          <cell r="V198">
            <v>0.83457142060277878</v>
          </cell>
          <cell r="W198">
            <v>0.83269839179227878</v>
          </cell>
          <cell r="X198">
            <v>0.85437773457335831</v>
          </cell>
          <cell r="Y198">
            <v>0.84092532330439806</v>
          </cell>
          <cell r="Z198">
            <v>0.83586106811564109</v>
          </cell>
          <cell r="AA198">
            <v>0.78964468974573554</v>
          </cell>
          <cell r="AB198">
            <v>0.72938550367108412</v>
          </cell>
          <cell r="AC198">
            <v>0.61853222556923182</v>
          </cell>
          <cell r="AD198">
            <v>0.74270954965318026</v>
          </cell>
          <cell r="AE198">
            <v>0.74451472135079544</v>
          </cell>
          <cell r="AF198">
            <v>0.64826553371534446</v>
          </cell>
          <cell r="AG198">
            <v>0.69128666937567651</v>
          </cell>
          <cell r="AH198">
            <v>0.69183762011366945</v>
          </cell>
          <cell r="AI198">
            <v>0.69296793274023727</v>
          </cell>
          <cell r="AL198">
            <v>0.93878467970768564</v>
          </cell>
          <cell r="AM198">
            <v>0.95762110098219821</v>
          </cell>
          <cell r="AN198">
            <v>0.85403839272479853</v>
          </cell>
          <cell r="AO198">
            <v>0.82715761021228407</v>
          </cell>
          <cell r="AP198">
            <v>0.71114662162966091</v>
          </cell>
          <cell r="AQ198">
            <v>0.68232617895046266</v>
          </cell>
          <cell r="AR198">
            <v>0.66364930202109396</v>
          </cell>
          <cell r="AS198">
            <v>0.63133041023324288</v>
          </cell>
          <cell r="AT198">
            <v>0.59857836106181594</v>
          </cell>
          <cell r="AU198">
            <v>0.56540324272593245</v>
          </cell>
          <cell r="AV198">
            <v>0.53181483258568718</v>
          </cell>
          <cell r="AW198">
            <v>0.49782260902415354</v>
          </cell>
        </row>
        <row r="199">
          <cell r="I199" t="str">
            <v>Fill rate (% of requests served)</v>
          </cell>
          <cell r="L199">
            <v>0.48157160335914684</v>
          </cell>
          <cell r="M199">
            <v>0.50204787372771775</v>
          </cell>
          <cell r="N199">
            <v>0.47981975070910576</v>
          </cell>
          <cell r="O199">
            <v>0.61420713439750896</v>
          </cell>
          <cell r="P199">
            <v>0.66202391328493992</v>
          </cell>
          <cell r="Q199">
            <v>0.63129497764031195</v>
          </cell>
          <cell r="R199">
            <v>0.52886864255756927</v>
          </cell>
          <cell r="S199">
            <v>0.76687083495937103</v>
          </cell>
          <cell r="T199">
            <v>0.71038929381997928</v>
          </cell>
          <cell r="U199">
            <v>0.70956300505503977</v>
          </cell>
          <cell r="V199">
            <v>0.6819876101786887</v>
          </cell>
          <cell r="W199">
            <v>0.77687083495937104</v>
          </cell>
          <cell r="X199">
            <v>0.72038929381997929</v>
          </cell>
          <cell r="Y199">
            <v>0.71956300505503978</v>
          </cell>
          <cell r="Z199">
            <v>0.70698761017868872</v>
          </cell>
          <cell r="AA199">
            <v>0.78187083495937104</v>
          </cell>
          <cell r="AB199">
            <v>0.72413929381997932</v>
          </cell>
          <cell r="AC199">
            <v>0.72206300505503973</v>
          </cell>
          <cell r="AD199">
            <v>0.70948761017868867</v>
          </cell>
          <cell r="AE199">
            <v>0.78437083495937099</v>
          </cell>
          <cell r="AF199">
            <v>0.72663929381997927</v>
          </cell>
          <cell r="AG199">
            <v>0.72456300505503968</v>
          </cell>
          <cell r="AH199">
            <v>0.71198761017868861</v>
          </cell>
          <cell r="AI199">
            <v>0.78687083495937094</v>
          </cell>
          <cell r="AL199">
            <v>0.53276210469461671</v>
          </cell>
          <cell r="AM199">
            <v>0.65889037333959999</v>
          </cell>
          <cell r="AN199">
            <v>0.72319800278097979</v>
          </cell>
          <cell r="AO199">
            <v>0.73302434427910956</v>
          </cell>
          <cell r="AP199">
            <v>0.73615431902901818</v>
          </cell>
          <cell r="AQ199">
            <v>0.73839656320413227</v>
          </cell>
          <cell r="AR199">
            <v>0.74839656320413228</v>
          </cell>
          <cell r="AS199">
            <v>0.75839656320413229</v>
          </cell>
          <cell r="AT199">
            <v>0.7683965632041323</v>
          </cell>
          <cell r="AU199">
            <v>0.77839656320413231</v>
          </cell>
          <cell r="AV199">
            <v>0.78839656320413232</v>
          </cell>
          <cell r="AW199">
            <v>0.79839656320413233</v>
          </cell>
        </row>
        <row r="200">
          <cell r="I200" t="str">
            <v>BPs change Y/Y</v>
          </cell>
          <cell r="P200">
            <v>1804.5230992579309</v>
          </cell>
          <cell r="Q200">
            <v>1292.4710391259421</v>
          </cell>
          <cell r="R200">
            <v>490.48891848463506</v>
          </cell>
          <cell r="S200">
            <v>1526.6370056186206</v>
          </cell>
          <cell r="T200">
            <v>483.65380535039361</v>
          </cell>
          <cell r="U200">
            <v>782.68027414727828</v>
          </cell>
          <cell r="V200">
            <v>1531.1896762111942</v>
          </cell>
          <cell r="W200">
            <v>100</v>
          </cell>
          <cell r="X200">
            <v>100</v>
          </cell>
          <cell r="Y200">
            <v>100</v>
          </cell>
          <cell r="Z200">
            <v>250</v>
          </cell>
          <cell r="AA200">
            <v>50</v>
          </cell>
          <cell r="AB200">
            <v>37.5</v>
          </cell>
          <cell r="AC200">
            <v>25</v>
          </cell>
          <cell r="AD200">
            <v>25</v>
          </cell>
          <cell r="AE200">
            <v>25</v>
          </cell>
          <cell r="AF200">
            <v>25</v>
          </cell>
          <cell r="AG200">
            <v>25</v>
          </cell>
          <cell r="AH200">
            <v>25</v>
          </cell>
          <cell r="AI200">
            <v>25</v>
          </cell>
          <cell r="AM200">
            <v>1261.2826864498327</v>
          </cell>
          <cell r="AN200">
            <v>643.076294413798</v>
          </cell>
          <cell r="AO200">
            <v>98.263414981297757</v>
          </cell>
          <cell r="AP200">
            <v>31.299747499086152</v>
          </cell>
          <cell r="AQ200">
            <v>22.422441751140944</v>
          </cell>
          <cell r="AR200">
            <v>100</v>
          </cell>
          <cell r="AS200">
            <v>100</v>
          </cell>
          <cell r="AT200">
            <v>100</v>
          </cell>
          <cell r="AU200">
            <v>100</v>
          </cell>
          <cell r="AV200">
            <v>100</v>
          </cell>
          <cell r="AW200">
            <v>100</v>
          </cell>
        </row>
        <row r="201">
          <cell r="I201" t="str">
            <v>Revenue (reported)</v>
          </cell>
          <cell r="L201">
            <v>1.61073</v>
          </cell>
          <cell r="M201">
            <v>3.35412</v>
          </cell>
          <cell r="N201">
            <v>4.0619699999999996</v>
          </cell>
          <cell r="O201">
            <v>7.0309800000000005</v>
          </cell>
          <cell r="P201">
            <v>8.7367499999999989</v>
          </cell>
          <cell r="Q201">
            <v>9.0728399999999993</v>
          </cell>
          <cell r="R201">
            <v>10.673879999999999</v>
          </cell>
          <cell r="S201">
            <v>17.838529999999999</v>
          </cell>
          <cell r="T201">
            <v>20.192999999999998</v>
          </cell>
          <cell r="U201">
            <v>20.646999999999998</v>
          </cell>
          <cell r="V201">
            <v>22.166319999999999</v>
          </cell>
          <cell r="W201">
            <v>30.350679999999997</v>
          </cell>
          <cell r="X201">
            <v>43.86</v>
          </cell>
          <cell r="Y201">
            <v>50.97</v>
          </cell>
          <cell r="Z201">
            <v>55.824999999999996</v>
          </cell>
          <cell r="AA201">
            <v>64.425999999999988</v>
          </cell>
          <cell r="AB201">
            <v>52.729920000000007</v>
          </cell>
          <cell r="AC201">
            <v>59.363599999999991</v>
          </cell>
          <cell r="AD201">
            <v>71.219000000000008</v>
          </cell>
          <cell r="AE201">
            <v>89.241738631124079</v>
          </cell>
          <cell r="AF201">
            <v>58.464000560710858</v>
          </cell>
          <cell r="AG201">
            <v>59.805771082032926</v>
          </cell>
          <cell r="AH201">
            <v>74.542864000000009</v>
          </cell>
          <cell r="AI201">
            <v>93.348352494236494</v>
          </cell>
          <cell r="AL201">
            <v>16.0578</v>
          </cell>
          <cell r="AM201">
            <v>46.321999999999996</v>
          </cell>
          <cell r="AN201">
            <v>93.356999999999999</v>
          </cell>
          <cell r="AO201">
            <v>215.08099999999999</v>
          </cell>
          <cell r="AP201">
            <v>272.55425863112407</v>
          </cell>
          <cell r="AQ201">
            <v>286.16098813698028</v>
          </cell>
          <cell r="AR201">
            <v>330.31687336437636</v>
          </cell>
          <cell r="AS201">
            <v>374.34386193796405</v>
          </cell>
          <cell r="AT201">
            <v>417.05785106153019</v>
          </cell>
          <cell r="AU201">
            <v>457.32101656870321</v>
          </cell>
          <cell r="AV201">
            <v>494.0910446717661</v>
          </cell>
          <cell r="AW201">
            <v>526.45801867848445</v>
          </cell>
        </row>
        <row r="202">
          <cell r="I202" t="str">
            <v>% change Y/Y</v>
          </cell>
          <cell r="L202" t="str">
            <v>NA</v>
          </cell>
          <cell r="M202" t="str">
            <v>NA</v>
          </cell>
          <cell r="N202" t="str">
            <v>NA</v>
          </cell>
          <cell r="O202" t="str">
            <v>NA</v>
          </cell>
          <cell r="P202">
            <v>4.4240934234787943</v>
          </cell>
          <cell r="Q202">
            <v>1.7049837215126469</v>
          </cell>
          <cell r="R202">
            <v>1.6277594369234634</v>
          </cell>
          <cell r="S202">
            <v>1.5371328036774385</v>
          </cell>
          <cell r="T202">
            <v>1.3112713537642717</v>
          </cell>
          <cell r="U202">
            <v>1.2756931677402004</v>
          </cell>
          <cell r="V202">
            <v>1.0766881396455648</v>
          </cell>
          <cell r="W202">
            <v>0.70141149522970769</v>
          </cell>
          <cell r="X202">
            <v>1.1720398157777452</v>
          </cell>
          <cell r="Y202">
            <v>1.468639511793481</v>
          </cell>
          <cell r="Z202">
            <v>1.5184604390805512</v>
          </cell>
          <cell r="AA202">
            <v>1.122720149927448</v>
          </cell>
          <cell r="AB202">
            <v>0.202232558139535</v>
          </cell>
          <cell r="AC202">
            <v>0.16467726113400016</v>
          </cell>
          <cell r="AD202">
            <v>0.27575459023734905</v>
          </cell>
          <cell r="AE202">
            <v>0.38518204810362433</v>
          </cell>
          <cell r="AF202">
            <v>0.10874434402158872</v>
          </cell>
          <cell r="AG202">
            <v>7.4485220241518046E-3</v>
          </cell>
          <cell r="AH202">
            <v>4.6671028798494829E-2</v>
          </cell>
          <cell r="AI202">
            <v>4.601673976889753E-2</v>
          </cell>
          <cell r="AL202" t="str">
            <v>NA</v>
          </cell>
          <cell r="AM202">
            <v>1.884704006775523</v>
          </cell>
          <cell r="AN202">
            <v>1.015392254220457</v>
          </cell>
          <cell r="AO202">
            <v>1.3038550938869071</v>
          </cell>
          <cell r="AP202">
            <v>0.26721680962578787</v>
          </cell>
          <cell r="AQ202">
            <v>4.9923011932356598E-2</v>
          </cell>
          <cell r="AR202">
            <v>0.15430434985169761</v>
          </cell>
          <cell r="AS202">
            <v>0.13328713161141192</v>
          </cell>
          <cell r="AT202">
            <v>0.11410361826807414</v>
          </cell>
          <cell r="AU202">
            <v>9.6540960455945957E-2</v>
          </cell>
          <cell r="AV202">
            <v>8.0403101477709793E-2</v>
          </cell>
          <cell r="AW202">
            <v>6.5508117088461493E-2</v>
          </cell>
        </row>
        <row r="203">
          <cell r="I203" t="str">
            <v>Effective CPM (revenue per '000 ad views)</v>
          </cell>
          <cell r="L203">
            <v>0.62029650030226446</v>
          </cell>
          <cell r="M203">
            <v>0.60113461540212754</v>
          </cell>
          <cell r="N203">
            <v>0.53423446209381931</v>
          </cell>
          <cell r="O203">
            <v>0.64019136932011944</v>
          </cell>
          <cell r="P203">
            <v>0.62252645675771068</v>
          </cell>
          <cell r="Q203">
            <v>0.66392334473968662</v>
          </cell>
          <cell r="R203">
            <v>0.76355457790964953</v>
          </cell>
          <cell r="S203">
            <v>0.6330588699332903</v>
          </cell>
          <cell r="T203">
            <v>0.68211959028556968</v>
          </cell>
          <cell r="U203">
            <v>0.66432775261853716</v>
          </cell>
          <cell r="V203">
            <v>0.69919763137726121</v>
          </cell>
          <cell r="W203">
            <v>0.68825300223164054</v>
          </cell>
          <cell r="X203">
            <v>0.66849145463829462</v>
          </cell>
          <cell r="Y203">
            <v>0.71431872619828929</v>
          </cell>
          <cell r="Z203">
            <v>0.71765368099914018</v>
          </cell>
          <cell r="AA203">
            <v>0.75226984940768427</v>
          </cell>
          <cell r="AB203">
            <v>0.72636886218302965</v>
          </cell>
          <cell r="AC203">
            <v>0.89407503726419435</v>
          </cell>
          <cell r="AD203">
            <v>0.78975297214465301</v>
          </cell>
          <cell r="AE203">
            <v>0.93142914361564821</v>
          </cell>
          <cell r="AF203">
            <v>0.85637854742422981</v>
          </cell>
          <cell r="AG203">
            <v>0.82420204683514819</v>
          </cell>
          <cell r="AH203">
            <v>0.8461774702650724</v>
          </cell>
          <cell r="AI203">
            <v>0.99879661713353762</v>
          </cell>
          <cell r="AL203">
            <v>0.60001506965322626</v>
          </cell>
          <cell r="AM203">
            <v>0.66309419403185088</v>
          </cell>
          <cell r="AN203">
            <v>0.68401671878722548</v>
          </cell>
          <cell r="AO203">
            <v>0.71599281741719578</v>
          </cell>
          <cell r="AP203">
            <v>0.83867757048144709</v>
          </cell>
          <cell r="AQ203">
            <v>0.88763637825309172</v>
          </cell>
          <cell r="AR203">
            <v>0.95005856300788372</v>
          </cell>
          <cell r="AS203">
            <v>1.0301665691571689</v>
          </cell>
          <cell r="AT203">
            <v>1.1110452061201299</v>
          </cell>
          <cell r="AU203">
            <v>1.1928211710578271</v>
          </cell>
          <cell r="AV203">
            <v>1.2758575125282081</v>
          </cell>
          <cell r="AW203">
            <v>1.3608051328085073</v>
          </cell>
        </row>
        <row r="204">
          <cell r="I204" t="str">
            <v>% change Y/Y</v>
          </cell>
          <cell r="L204" t="str">
            <v>NA</v>
          </cell>
          <cell r="M204" t="str">
            <v>NA</v>
          </cell>
          <cell r="N204" t="str">
            <v>NA</v>
          </cell>
          <cell r="O204" t="str">
            <v>NA</v>
          </cell>
          <cell r="P204">
            <v>3.5949847441660854E-3</v>
          </cell>
          <cell r="Q204">
            <v>0.10445036390984863</v>
          </cell>
          <cell r="R204">
            <v>0.42924994938937178</v>
          </cell>
          <cell r="S204">
            <v>-1.1141198911200245E-2</v>
          </cell>
          <cell r="T204">
            <v>9.5727872897541477E-2</v>
          </cell>
          <cell r="U204">
            <v>6.0911832978116642E-4</v>
          </cell>
          <cell r="V204">
            <v>-8.4285980851002917E-2</v>
          </cell>
          <cell r="W204">
            <v>8.718641333335464E-2</v>
          </cell>
          <cell r="X204">
            <v>-1.9979100206709566E-2</v>
          </cell>
          <cell r="Y204">
            <v>7.5250466930977922E-2</v>
          </cell>
          <cell r="Z204">
            <v>2.6396041396085312E-2</v>
          </cell>
          <cell r="AA204">
            <v>9.3013538580247301E-2</v>
          </cell>
          <cell r="AB204">
            <v>8.6579128488712298E-2</v>
          </cell>
          <cell r="AC204">
            <v>0.25164720519451445</v>
          </cell>
          <cell r="AD204">
            <v>0.10046529831092621</v>
          </cell>
          <cell r="AE204">
            <v>0.2381582810331011</v>
          </cell>
          <cell r="AF204">
            <v>0.1789857633082852</v>
          </cell>
          <cell r="AG204">
            <v>-7.8151147853151692E-2</v>
          </cell>
          <cell r="AH204">
            <v>7.1445755964922864E-2</v>
          </cell>
          <cell r="AI204">
            <v>7.2326997689142969E-2</v>
          </cell>
          <cell r="AL204" t="str">
            <v>NA</v>
          </cell>
          <cell r="AM204">
            <v>0.10512923352921888</v>
          </cell>
          <cell r="AN204">
            <v>3.1552869778813886E-2</v>
          </cell>
          <cell r="AO204">
            <v>4.6747539572811192E-2</v>
          </cell>
          <cell r="AP204">
            <v>0.17134913937658292</v>
          </cell>
          <cell r="AQ204">
            <v>5.8376197831950583E-2</v>
          </cell>
          <cell r="AR204">
            <v>7.0324049671828037E-2</v>
          </cell>
          <cell r="AS204">
            <v>8.4319019130424389E-2</v>
          </cell>
          <cell r="AT204">
            <v>7.8510252015974391E-2</v>
          </cell>
          <cell r="AU204">
            <v>7.3602734152705018E-2</v>
          </cell>
          <cell r="AV204">
            <v>6.9613403488422376E-2</v>
          </cell>
          <cell r="AW204">
            <v>6.6580805024198275E-2</v>
          </cell>
        </row>
        <row r="205">
          <cell r="I205" t="str">
            <v>% variance from WW</v>
          </cell>
          <cell r="L205">
            <v>8.3657776339626233E-2</v>
          </cell>
          <cell r="M205">
            <v>6.2553072996392123E-2</v>
          </cell>
          <cell r="N205">
            <v>6.0524239909707678E-2</v>
          </cell>
          <cell r="O205">
            <v>3.947787893631638E-2</v>
          </cell>
          <cell r="P205">
            <v>3.3072139759247943E-2</v>
          </cell>
          <cell r="Q205">
            <v>3.7261851807471658E-2</v>
          </cell>
          <cell r="R205">
            <v>1.9092080727576954E-2</v>
          </cell>
          <cell r="S205">
            <v>-1.5222595484674528E-2</v>
          </cell>
          <cell r="T205">
            <v>2.988096187182987E-2</v>
          </cell>
          <cell r="U205">
            <v>7.7692741184418601E-2</v>
          </cell>
          <cell r="V205">
            <v>5.4433423282587379E-2</v>
          </cell>
          <cell r="W205">
            <v>5.4982409522764231E-2</v>
          </cell>
          <cell r="X205">
            <v>7.2620297839327774E-2</v>
          </cell>
          <cell r="Y205">
            <v>9.0728863771128543E-2</v>
          </cell>
          <cell r="Z205">
            <v>7.6782183858781439E-2</v>
          </cell>
          <cell r="AA205">
            <v>7.5657139158416209E-2</v>
          </cell>
          <cell r="AB205">
            <v>0.11874995580934211</v>
          </cell>
          <cell r="AC205">
            <v>0.1802133661317078</v>
          </cell>
          <cell r="AD205">
            <v>0.11088847939462387</v>
          </cell>
          <cell r="AE205">
            <v>9.4763419542981842E-2</v>
          </cell>
          <cell r="AF205">
            <v>0.24187919976568595</v>
          </cell>
          <cell r="AG205">
            <v>0.15012702756750462</v>
          </cell>
          <cell r="AH205">
            <v>0.13475685539780291</v>
          </cell>
          <cell r="AI205">
            <v>0.11847525062407938</v>
          </cell>
          <cell r="AL205">
            <v>5.4554917010641635E-2</v>
          </cell>
          <cell r="AM205">
            <v>1.137304473637446E-2</v>
          </cell>
          <cell r="AN205">
            <v>5.4345337711956487E-2</v>
          </cell>
          <cell r="AO205">
            <v>7.7574874096164592E-2</v>
          </cell>
          <cell r="AP205">
            <v>0.12146718047098881</v>
          </cell>
          <cell r="AQ205">
            <v>0.15461077409462165</v>
          </cell>
          <cell r="AR205">
            <v>0.14190002966194903</v>
          </cell>
          <cell r="AS205">
            <v>0.15283716080479604</v>
          </cell>
          <cell r="AT205">
            <v>0.16579750130819404</v>
          </cell>
          <cell r="AU205">
            <v>0.18114136460078867</v>
          </cell>
          <cell r="AV205">
            <v>0.1993293879411524</v>
          </cell>
          <cell r="AW205">
            <v>0.22095932696686371</v>
          </cell>
        </row>
        <row r="207">
          <cell r="I207" t="str">
            <v>International</v>
          </cell>
        </row>
        <row r="208">
          <cell r="I208" t="str">
            <v>Requests (ads requested)</v>
          </cell>
          <cell r="L208">
            <v>606.00764999999956</v>
          </cell>
          <cell r="M208">
            <v>1367.1636099999996</v>
          </cell>
          <cell r="N208">
            <v>1291.4353719999999</v>
          </cell>
          <cell r="O208">
            <v>2341.9114249999984</v>
          </cell>
          <cell r="P208">
            <v>4722.441315</v>
          </cell>
          <cell r="Q208">
            <v>4915.2508409999973</v>
          </cell>
          <cell r="R208">
            <v>6843.285824999999</v>
          </cell>
          <cell r="S208">
            <v>10814.233187000005</v>
          </cell>
          <cell r="T208">
            <v>13887.645397</v>
          </cell>
          <cell r="U208">
            <v>17532.147150999997</v>
          </cell>
          <cell r="V208">
            <v>23586.537456999991</v>
          </cell>
          <cell r="W208">
            <v>26899.124486909081</v>
          </cell>
          <cell r="X208">
            <v>36050.161507602184</v>
          </cell>
          <cell r="Y208">
            <v>39097.303884529189</v>
          </cell>
          <cell r="Z208">
            <v>47145.675999732266</v>
          </cell>
          <cell r="AA208">
            <v>59139.414789700211</v>
          </cell>
          <cell r="AB208">
            <v>62492.556541050973</v>
          </cell>
          <cell r="AC208">
            <v>81544.214666547545</v>
          </cell>
          <cell r="AD208">
            <v>76240.54437208375</v>
          </cell>
          <cell r="AE208">
            <v>76446.67422854263</v>
          </cell>
          <cell r="AF208">
            <v>76848.479845789552</v>
          </cell>
          <cell r="AG208">
            <v>68147.461762967956</v>
          </cell>
          <cell r="AH208">
            <v>87749.306114016785</v>
          </cell>
          <cell r="AI208">
            <v>87766.201362078311</v>
          </cell>
          <cell r="AL208">
            <v>5606.5180569999975</v>
          </cell>
          <cell r="AM208">
            <v>27295.211168000002</v>
          </cell>
          <cell r="AN208">
            <v>81905.454491909069</v>
          </cell>
          <cell r="AO208">
            <v>181432.55618156385</v>
          </cell>
          <cell r="AP208">
            <v>296723.98980822484</v>
          </cell>
          <cell r="AQ208">
            <v>320511.44908485259</v>
          </cell>
          <cell r="AR208">
            <v>368257.47717129177</v>
          </cell>
          <cell r="AS208">
            <v>428634.01894968381</v>
          </cell>
          <cell r="AT208">
            <v>492792.64619305503</v>
          </cell>
          <cell r="AU208">
            <v>560302.62471652136</v>
          </cell>
          <cell r="AV208">
            <v>630721.79228092008</v>
          </cell>
          <cell r="AW208">
            <v>703610.45000701759</v>
          </cell>
        </row>
        <row r="209">
          <cell r="I209" t="str">
            <v>% change Y/Y</v>
          </cell>
          <cell r="L209" t="str">
            <v>NA</v>
          </cell>
          <cell r="M209" t="str">
            <v>NA</v>
          </cell>
          <cell r="N209" t="str">
            <v>NA</v>
          </cell>
          <cell r="O209" t="str">
            <v>NA</v>
          </cell>
          <cell r="P209">
            <v>6.7927090771873972</v>
          </cell>
          <cell r="Q209">
            <v>2.5952177230638833</v>
          </cell>
          <cell r="R209">
            <v>4.2989766064731878</v>
          </cell>
          <cell r="S209">
            <v>3.6176952174867214</v>
          </cell>
          <cell r="T209">
            <v>1.9407767022722653</v>
          </cell>
          <cell r="U209">
            <v>2.5668875746396536</v>
          </cell>
          <cell r="V209">
            <v>2.4466684660215834</v>
          </cell>
          <cell r="W209">
            <v>1.4873815851543712</v>
          </cell>
          <cell r="X209">
            <v>1.5958440381398069</v>
          </cell>
          <cell r="Y209">
            <v>1.2300351205014359</v>
          </cell>
          <cell r="Z209">
            <v>0.99883836640635937</v>
          </cell>
          <cell r="AA209">
            <v>1.1985628126477286</v>
          </cell>
          <cell r="AB209">
            <v>0.73348894783377516</v>
          </cell>
          <cell r="AC209">
            <v>1.0856736031564216</v>
          </cell>
          <cell r="AD209">
            <v>0.61712697411564754</v>
          </cell>
          <cell r="AE209">
            <v>0.29265185494964818</v>
          </cell>
          <cell r="AF209">
            <v>0.22972213171193046</v>
          </cell>
          <cell r="AG209">
            <v>-0.16428820803979649</v>
          </cell>
          <cell r="AH209">
            <v>0.15095329967432769</v>
          </cell>
          <cell r="AI209">
            <v>0.14807089056216061</v>
          </cell>
          <cell r="AL209" t="str">
            <v>NA</v>
          </cell>
          <cell r="AM209">
            <v>3.8684782409503997</v>
          </cell>
          <cell r="AN209">
            <v>2.0007261708944863</v>
          </cell>
          <cell r="AO209">
            <v>1.2151461988344923</v>
          </cell>
          <cell r="AP209">
            <v>0.6354506382596854</v>
          </cell>
          <cell r="AQ209">
            <v>8.0166956813979784E-2</v>
          </cell>
          <cell r="AR209">
            <v>0.14896824504324901</v>
          </cell>
          <cell r="AS209">
            <v>0.1639519779534806</v>
          </cell>
          <cell r="AT209">
            <v>0.14968160343545356</v>
          </cell>
          <cell r="AU209">
            <v>0.13699469552761712</v>
          </cell>
          <cell r="AV209">
            <v>0.12568059555320921</v>
          </cell>
          <cell r="AW209">
            <v>0.11556388033225473</v>
          </cell>
        </row>
        <row r="210">
          <cell r="I210" t="str">
            <v>% of total WW</v>
          </cell>
          <cell r="L210">
            <v>0.10103217619625043</v>
          </cell>
          <cell r="M210">
            <v>0.10954009921743033</v>
          </cell>
          <cell r="N210">
            <v>7.5356433964208297E-2</v>
          </cell>
          <cell r="O210">
            <v>0.11580500429572331</v>
          </cell>
          <cell r="P210">
            <v>0.18218177734362445</v>
          </cell>
          <cell r="Q210">
            <v>0.18504811878455485</v>
          </cell>
          <cell r="R210">
            <v>0.20565506026281513</v>
          </cell>
          <cell r="S210">
            <v>0.22738674346893126</v>
          </cell>
          <cell r="T210">
            <v>0.24995940118666579</v>
          </cell>
          <cell r="U210">
            <v>0.2858512942025479</v>
          </cell>
          <cell r="V210">
            <v>0.33660430905294536</v>
          </cell>
          <cell r="W210">
            <v>0.3215178442212509</v>
          </cell>
          <cell r="X210">
            <v>0.28357709987463436</v>
          </cell>
          <cell r="Y210">
            <v>0.28277847759582503</v>
          </cell>
          <cell r="Z210">
            <v>0.29995969367190645</v>
          </cell>
          <cell r="AA210">
            <v>0.35061305207646676</v>
          </cell>
          <cell r="AB210">
            <v>0.3839999999999999</v>
          </cell>
          <cell r="AC210">
            <v>0.47</v>
          </cell>
          <cell r="AD210">
            <v>0.3749325177539129</v>
          </cell>
          <cell r="AE210">
            <v>0.38493251775391291</v>
          </cell>
          <cell r="AF210">
            <v>0.44993251775391285</v>
          </cell>
          <cell r="AG210">
            <v>0.40493251775391292</v>
          </cell>
          <cell r="AH210">
            <v>0.41493251775391299</v>
          </cell>
          <cell r="AI210">
            <v>0.42493251775391294</v>
          </cell>
          <cell r="AL210">
            <v>0.10040382642259818</v>
          </cell>
          <cell r="AM210">
            <v>0.20473774450726215</v>
          </cell>
          <cell r="AN210">
            <v>0.30264999961990163</v>
          </cell>
          <cell r="AO210">
            <v>0.30687024444162492</v>
          </cell>
          <cell r="AP210">
            <v>0.40196607532618889</v>
          </cell>
          <cell r="AQ210">
            <v>0.4233334808590557</v>
          </cell>
          <cell r="AR210">
            <v>0.44217884233698102</v>
          </cell>
          <cell r="AS210">
            <v>0.4721788423369811</v>
          </cell>
          <cell r="AT210">
            <v>0.50217884233698118</v>
          </cell>
          <cell r="AU210">
            <v>0.53217884233698121</v>
          </cell>
          <cell r="AV210">
            <v>0.56217884233698112</v>
          </cell>
          <cell r="AW210">
            <v>0.59217884233698115</v>
          </cell>
        </row>
        <row r="211">
          <cell r="I211" t="str">
            <v>Views (ads served)</v>
          </cell>
          <cell r="L211">
            <v>245.65865200000007</v>
          </cell>
          <cell r="M211">
            <v>408.90976000000046</v>
          </cell>
          <cell r="N211">
            <v>541.63663499999984</v>
          </cell>
          <cell r="O211">
            <v>548.88571299999967</v>
          </cell>
          <cell r="P211">
            <v>610.595147</v>
          </cell>
          <cell r="Q211">
            <v>798.48107200000049</v>
          </cell>
          <cell r="R211">
            <v>707.49265600000035</v>
          </cell>
          <cell r="S211">
            <v>974.9225030000016</v>
          </cell>
          <cell r="T211">
            <v>2847.3475050000015</v>
          </cell>
          <cell r="U211">
            <v>5334.6694419999985</v>
          </cell>
          <cell r="V211">
            <v>6284.0651940000025</v>
          </cell>
          <cell r="W211">
            <v>8859.9791745618131</v>
          </cell>
          <cell r="X211">
            <v>11182.801818514054</v>
          </cell>
          <cell r="Y211">
            <v>13497.900315559018</v>
          </cell>
          <cell r="Z211">
            <v>15275.355291954591</v>
          </cell>
          <cell r="AA211">
            <v>22814.411635238634</v>
          </cell>
          <cell r="AB211">
            <v>26933.56387222177</v>
          </cell>
          <cell r="AC211">
            <v>40948.857095774205</v>
          </cell>
          <cell r="AD211">
            <v>31239.873128765612</v>
          </cell>
          <cell r="AE211">
            <v>32878.408824272177</v>
          </cell>
          <cell r="AF211">
            <v>37041.174164956392</v>
          </cell>
          <cell r="AG211">
            <v>32404.595646392874</v>
          </cell>
          <cell r="AH211">
            <v>39239.192566530997</v>
          </cell>
          <cell r="AI211">
            <v>41409.519722219178</v>
          </cell>
          <cell r="AL211">
            <v>1745.09076</v>
          </cell>
          <cell r="AM211">
            <v>3091.4913780000024</v>
          </cell>
          <cell r="AN211">
            <v>23326.061315561816</v>
          </cell>
          <cell r="AO211">
            <v>62770.469061266296</v>
          </cell>
          <cell r="AP211">
            <v>132000.70292103378</v>
          </cell>
          <cell r="AQ211">
            <v>150094.48210009944</v>
          </cell>
          <cell r="AR211">
            <v>176211.42920554697</v>
          </cell>
          <cell r="AS211">
            <v>212199.26285711676</v>
          </cell>
          <cell r="AT211">
            <v>251735.42681265128</v>
          </cell>
          <cell r="AU211">
            <v>294695.84190883511</v>
          </cell>
          <cell r="AV211">
            <v>340927.4829169641</v>
          </cell>
          <cell r="AW211">
            <v>390256.68010659527</v>
          </cell>
        </row>
        <row r="212">
          <cell r="I212" t="str">
            <v>% change Y/Y</v>
          </cell>
          <cell r="L212" t="str">
            <v>NA</v>
          </cell>
          <cell r="M212" t="str">
            <v>NA</v>
          </cell>
          <cell r="N212" t="str">
            <v>NA</v>
          </cell>
          <cell r="O212" t="str">
            <v>NA</v>
          </cell>
          <cell r="P212">
            <v>1.4855430168199399</v>
          </cell>
          <cell r="Q212">
            <v>0.95270729659277298</v>
          </cell>
          <cell r="R212">
            <v>0.3062127084516737</v>
          </cell>
          <cell r="S212">
            <v>0.7761848776705218</v>
          </cell>
          <cell r="T212">
            <v>3.6632331078779465</v>
          </cell>
          <cell r="U212">
            <v>5.6810217913343291</v>
          </cell>
          <cell r="V212">
            <v>7.8821631443196196</v>
          </cell>
          <cell r="W212">
            <v>8.0878804697790407</v>
          </cell>
          <cell r="X212">
            <v>2.9274453851793014</v>
          </cell>
          <cell r="Y212">
            <v>1.5302224368935926</v>
          </cell>
          <cell r="Z212">
            <v>1.4308078959046178</v>
          </cell>
          <cell r="AA212">
            <v>1.5749960790812989</v>
          </cell>
          <cell r="AB212">
            <v>1.4084808359592875</v>
          </cell>
          <cell r="AC212">
            <v>2.0337205149287176</v>
          </cell>
          <cell r="AD212">
            <v>1.0451159748290375</v>
          </cell>
          <cell r="AE212">
            <v>0.44112455538800388</v>
          </cell>
          <cell r="AF212">
            <v>0.37527934812812558</v>
          </cell>
          <cell r="AG212">
            <v>-0.20865689680660393</v>
          </cell>
          <cell r="AH212">
            <v>0.25606120117048836</v>
          </cell>
          <cell r="AI212">
            <v>0.25947456714051764</v>
          </cell>
          <cell r="AL212" t="str">
            <v>NA</v>
          </cell>
          <cell r="AM212">
            <v>0.771536156663853</v>
          </cell>
          <cell r="AN212">
            <v>6.5452454700528024</v>
          </cell>
          <cell r="AO212">
            <v>1.6910016316980796</v>
          </cell>
          <cell r="AP212">
            <v>1.102910889389662</v>
          </cell>
          <cell r="AQ212">
            <v>0.13707335475243521</v>
          </cell>
          <cell r="AR212">
            <v>0.17400337933828824</v>
          </cell>
          <cell r="AS212">
            <v>0.20423098441356347</v>
          </cell>
          <cell r="AT212">
            <v>0.18631621723472236</v>
          </cell>
          <cell r="AU212">
            <v>0.17065700938531858</v>
          </cell>
          <cell r="AV212">
            <v>0.15687917653901229</v>
          </cell>
          <cell r="AW212">
            <v>0.1446911723501203</v>
          </cell>
        </row>
        <row r="213">
          <cell r="I213" t="str">
            <v>% of total WW</v>
          </cell>
          <cell r="L213">
            <v>8.6427448207849367E-2</v>
          </cell>
          <cell r="M213">
            <v>6.8281834423378943E-2</v>
          </cell>
          <cell r="N213">
            <v>6.6499413455851059E-2</v>
          </cell>
          <cell r="O213">
            <v>4.7598780059606986E-2</v>
          </cell>
          <cell r="P213">
            <v>4.16932546155835E-2</v>
          </cell>
          <cell r="Q213">
            <v>5.520481805793815E-2</v>
          </cell>
          <cell r="R213">
            <v>4.817236995162192E-2</v>
          </cell>
          <cell r="S213">
            <v>3.3441315798410219E-2</v>
          </cell>
          <cell r="T213">
            <v>8.7743898785323807E-2</v>
          </cell>
          <cell r="U213">
            <v>0.14649966965053854</v>
          </cell>
          <cell r="V213">
            <v>0.16542857939722125</v>
          </cell>
          <cell r="W213">
            <v>0.16730160820772119</v>
          </cell>
          <cell r="X213">
            <v>0.14562226542664172</v>
          </cell>
          <cell r="Y213">
            <v>0.15907467669560191</v>
          </cell>
          <cell r="Z213">
            <v>0.16413893188435894</v>
          </cell>
          <cell r="AA213">
            <v>0.21035531025426443</v>
          </cell>
          <cell r="AB213">
            <v>0.27061449632891588</v>
          </cell>
          <cell r="AC213">
            <v>0.38146777443076824</v>
          </cell>
          <cell r="AD213">
            <v>0.25729045034681969</v>
          </cell>
          <cell r="AE213">
            <v>0.25548527864920456</v>
          </cell>
          <cell r="AF213">
            <v>0.3517344662846556</v>
          </cell>
          <cell r="AG213">
            <v>0.30871333062432343</v>
          </cell>
          <cell r="AH213">
            <v>0.30816237988633055</v>
          </cell>
          <cell r="AI213">
            <v>0.30703206725976273</v>
          </cell>
          <cell r="AL213">
            <v>6.1215320292314246E-2</v>
          </cell>
          <cell r="AM213">
            <v>4.2378899017801987E-2</v>
          </cell>
          <cell r="AN213">
            <v>0.14596160727520147</v>
          </cell>
          <cell r="AO213">
            <v>0.17284238978771582</v>
          </cell>
          <cell r="AP213">
            <v>0.28885337837033898</v>
          </cell>
          <cell r="AQ213">
            <v>0.31767382104953723</v>
          </cell>
          <cell r="AR213">
            <v>0.33635069797890599</v>
          </cell>
          <cell r="AS213">
            <v>0.36866958976675712</v>
          </cell>
          <cell r="AT213">
            <v>0.40142163893818406</v>
          </cell>
          <cell r="AU213">
            <v>0.43459675727406755</v>
          </cell>
          <cell r="AV213">
            <v>0.46818516741431276</v>
          </cell>
          <cell r="AW213">
            <v>0.50217739097584646</v>
          </cell>
        </row>
        <row r="214">
          <cell r="I214" t="str">
            <v>Fill rate (% of requests served)</v>
          </cell>
          <cell r="L214">
            <v>0.40537219620907466</v>
          </cell>
          <cell r="M214">
            <v>0.29909350790868444</v>
          </cell>
          <cell r="N214">
            <v>0.41940669021724758</v>
          </cell>
          <cell r="O214">
            <v>0.2343750951212854</v>
          </cell>
          <cell r="P214">
            <v>0.12929650286188893</v>
          </cell>
          <cell r="Q214">
            <v>0.16244970965460456</v>
          </cell>
          <cell r="R214">
            <v>0.10338493438566852</v>
          </cell>
          <cell r="S214">
            <v>9.0151792192901328E-2</v>
          </cell>
          <cell r="T214">
            <v>0.20502737675135943</v>
          </cell>
          <cell r="U214">
            <v>0.30427929882482879</v>
          </cell>
          <cell r="V214">
            <v>0.26642593070120274</v>
          </cell>
          <cell r="W214">
            <v>0.32937797581009276</v>
          </cell>
          <cell r="X214">
            <v>0.31020115724463115</v>
          </cell>
          <cell r="Y214">
            <v>0.34523864754009648</v>
          </cell>
          <cell r="Z214">
            <v>0.32400331457844272</v>
          </cell>
          <cell r="AA214">
            <v>0.38577337493728492</v>
          </cell>
          <cell r="AB214">
            <v>0.43098835066107877</v>
          </cell>
          <cell r="AC214">
            <v>0.50216753283139948</v>
          </cell>
          <cell r="AD214">
            <v>0.4097540670263683</v>
          </cell>
          <cell r="AE214">
            <v>0.43008291931680243</v>
          </cell>
          <cell r="AF214">
            <v>0.48200269204135521</v>
          </cell>
          <cell r="AG214">
            <v>0.47550700801011886</v>
          </cell>
          <cell r="AH214">
            <v>0.44717382170003345</v>
          </cell>
          <cell r="AI214">
            <v>0.4718162467962439</v>
          </cell>
          <cell r="AL214">
            <v>0.31126106118951558</v>
          </cell>
          <cell r="AM214">
            <v>0.11326131016067625</v>
          </cell>
          <cell r="AN214">
            <v>0.28479252645946862</v>
          </cell>
          <cell r="AO214">
            <v>0.34597136468964479</v>
          </cell>
          <cell r="AP214">
            <v>0.44486023191568341</v>
          </cell>
          <cell r="AQ214">
            <v>0.46829678792648449</v>
          </cell>
          <cell r="AR214">
            <v>0.4785006147304478</v>
          </cell>
          <cell r="AS214">
            <v>0.49505931278409859</v>
          </cell>
          <cell r="AT214">
            <v>0.51083438187921359</v>
          </cell>
          <cell r="AU214">
            <v>0.52595834627391413</v>
          </cell>
          <cell r="AV214">
            <v>0.54053544223364469</v>
          </cell>
          <cell r="AW214">
            <v>0.55464878343222868</v>
          </cell>
        </row>
        <row r="215">
          <cell r="I215" t="str">
            <v>BPs change Y/Y</v>
          </cell>
          <cell r="P215">
            <v>-2760.7569334718573</v>
          </cell>
          <cell r="Q215">
            <v>-1366.4379825407989</v>
          </cell>
          <cell r="R215">
            <v>-3160.2175583157905</v>
          </cell>
          <cell r="S215">
            <v>-1442.233029283841</v>
          </cell>
          <cell r="T215">
            <v>757.30873889470502</v>
          </cell>
          <cell r="U215">
            <v>1418.2958917022422</v>
          </cell>
          <cell r="V215">
            <v>1630.409963155342</v>
          </cell>
          <cell r="W215">
            <v>2392.2618361719146</v>
          </cell>
          <cell r="X215">
            <v>1051.7378049327172</v>
          </cell>
          <cell r="Y215">
            <v>409.59348715267686</v>
          </cell>
          <cell r="Z215">
            <v>575.77383877239981</v>
          </cell>
          <cell r="AA215">
            <v>563.95399127192161</v>
          </cell>
          <cell r="AB215">
            <v>1207.8719341644762</v>
          </cell>
          <cell r="AC215">
            <v>1569.28885291303</v>
          </cell>
          <cell r="AD215">
            <v>857.50752447925572</v>
          </cell>
          <cell r="AE215">
            <v>443.09544379517507</v>
          </cell>
          <cell r="AF215">
            <v>510.14341380276443</v>
          </cell>
          <cell r="AG215">
            <v>-266.6052482128062</v>
          </cell>
          <cell r="AH215">
            <v>374.19754673665153</v>
          </cell>
          <cell r="AI215">
            <v>417.33327479441471</v>
          </cell>
          <cell r="AM215">
            <v>-1979.9975102883932</v>
          </cell>
          <cell r="AN215">
            <v>1715.3121629879236</v>
          </cell>
          <cell r="AO215">
            <v>611.78838230176166</v>
          </cell>
          <cell r="AP215">
            <v>988.88867226038622</v>
          </cell>
          <cell r="AQ215">
            <v>234.36556010801078</v>
          </cell>
          <cell r="AR215">
            <v>102.03826803963312</v>
          </cell>
          <cell r="AS215">
            <v>165.58698053650789</v>
          </cell>
          <cell r="AT215">
            <v>157.75069095115001</v>
          </cell>
          <cell r="AU215">
            <v>151.23964394700539</v>
          </cell>
          <cell r="AV215">
            <v>145.77095959730556</v>
          </cell>
          <cell r="AW215">
            <v>141.13341198583984</v>
          </cell>
        </row>
        <row r="216">
          <cell r="I216" t="str">
            <v>Revenue (reported)</v>
          </cell>
          <cell r="L216">
            <v>1.627E-2</v>
          </cell>
          <cell r="M216">
            <v>3.388E-2</v>
          </cell>
          <cell r="N216">
            <v>4.1029999999999997E-2</v>
          </cell>
          <cell r="O216">
            <v>7.102E-2</v>
          </cell>
          <cell r="P216">
            <v>8.8249999999999995E-2</v>
          </cell>
          <cell r="Q216">
            <v>0.18515999999999999</v>
          </cell>
          <cell r="R216">
            <v>0.33011999999999997</v>
          </cell>
          <cell r="S216">
            <v>0.90247000000000011</v>
          </cell>
          <cell r="T216">
            <v>1.3</v>
          </cell>
          <cell r="U216">
            <v>1.8</v>
          </cell>
          <cell r="V216">
            <v>3.0226799999999998</v>
          </cell>
          <cell r="W216">
            <v>4.1983200000000007</v>
          </cell>
          <cell r="X216">
            <v>4</v>
          </cell>
          <cell r="Y216">
            <v>4.5999999999999996</v>
          </cell>
          <cell r="Z216">
            <v>6.2</v>
          </cell>
          <cell r="AA216">
            <v>11.424000000000001</v>
          </cell>
          <cell r="AB216">
            <v>11.890080000000001</v>
          </cell>
          <cell r="AC216">
            <v>21.956399999999999</v>
          </cell>
          <cell r="AD216">
            <v>15.1</v>
          </cell>
          <cell r="AE216">
            <v>20.248261368875912</v>
          </cell>
          <cell r="AF216">
            <v>14.15599943928915</v>
          </cell>
          <cell r="AG216">
            <v>15.415228917967077</v>
          </cell>
          <cell r="AH216">
            <v>20.408036000000003</v>
          </cell>
          <cell r="AI216">
            <v>27.09064750576351</v>
          </cell>
          <cell r="AL216">
            <v>0.16220000000000001</v>
          </cell>
          <cell r="AM216">
            <v>1.506</v>
          </cell>
          <cell r="AN216">
            <v>10.321000000000002</v>
          </cell>
          <cell r="AO216">
            <v>26.224000000000004</v>
          </cell>
          <cell r="AP216">
            <v>69.19474136887591</v>
          </cell>
          <cell r="AQ216">
            <v>77.06991186301974</v>
          </cell>
          <cell r="AR216">
            <v>105.56020663562369</v>
          </cell>
          <cell r="AS216">
            <v>139.99109246203597</v>
          </cell>
          <cell r="AT216">
            <v>180.59936595126979</v>
          </cell>
          <cell r="AU216">
            <v>227.47462268456292</v>
          </cell>
          <cell r="AV216">
            <v>280.56347836431371</v>
          </cell>
          <cell r="AW216">
            <v>339.68165421911027</v>
          </cell>
        </row>
        <row r="217">
          <cell r="I217" t="str">
            <v>% change Y/Y</v>
          </cell>
          <cell r="L217" t="str">
            <v>NA</v>
          </cell>
          <cell r="M217" t="str">
            <v>NA</v>
          </cell>
          <cell r="N217" t="str">
            <v>NA</v>
          </cell>
          <cell r="O217" t="str">
            <v>NA</v>
          </cell>
          <cell r="P217">
            <v>4.4240934234787952</v>
          </cell>
          <cell r="Q217">
            <v>4.4651711924439192</v>
          </cell>
          <cell r="R217">
            <v>7.0458201316110163</v>
          </cell>
          <cell r="S217">
            <v>11.707265558997467</v>
          </cell>
          <cell r="T217">
            <v>13.730878186968839</v>
          </cell>
          <cell r="U217">
            <v>8.7213220998055743</v>
          </cell>
          <cell r="V217">
            <v>8.1563067975281722</v>
          </cell>
          <cell r="W217">
            <v>3.6520327545513984</v>
          </cell>
          <cell r="X217">
            <v>2.0769230769230766</v>
          </cell>
          <cell r="Y217">
            <v>1.5555555555555554</v>
          </cell>
          <cell r="Z217">
            <v>1.0511598978390038</v>
          </cell>
          <cell r="AA217">
            <v>1.7210884353741496</v>
          </cell>
          <cell r="AB217">
            <v>1.9725200000000003</v>
          </cell>
          <cell r="AC217">
            <v>3.7731304347826091</v>
          </cell>
          <cell r="AD217">
            <v>1.435483870967742</v>
          </cell>
          <cell r="AE217">
            <v>0.7724318425136476</v>
          </cell>
          <cell r="AF217">
            <v>0.19057226185939458</v>
          </cell>
          <cell r="AG217">
            <v>-0.2979163743615949</v>
          </cell>
          <cell r="AH217">
            <v>0.35152556291390757</v>
          </cell>
          <cell r="AI217">
            <v>0.33792462534117584</v>
          </cell>
          <cell r="AL217" t="str">
            <v>NA</v>
          </cell>
          <cell r="AM217">
            <v>8.2848335388409371</v>
          </cell>
          <cell r="AN217">
            <v>5.8532536520584335</v>
          </cell>
          <cell r="AO217">
            <v>1.5408390659819786</v>
          </cell>
          <cell r="AP217">
            <v>1.6386036214488979</v>
          </cell>
          <cell r="AQ217">
            <v>0.11381169057575402</v>
          </cell>
          <cell r="AR217">
            <v>0.36966818936086487</v>
          </cell>
          <cell r="AS217">
            <v>0.32617296729308221</v>
          </cell>
          <cell r="AT217">
            <v>0.29007755261461599</v>
          </cell>
          <cell r="AU217">
            <v>0.259553827813223</v>
          </cell>
          <cell r="AV217">
            <v>0.23338364101110587</v>
          </cell>
          <cell r="AW217">
            <v>0.21071230011637931</v>
          </cell>
        </row>
        <row r="218">
          <cell r="I218" t="str">
            <v>Effective CPM (revenue per '000 ad views)</v>
          </cell>
          <cell r="L218">
            <v>6.6230111854558224E-2</v>
          </cell>
          <cell r="M218">
            <v>8.2854466472015637E-2</v>
          </cell>
          <cell r="N218">
            <v>7.5751892225680059E-2</v>
          </cell>
          <cell r="O218">
            <v>0.12938941261894357</v>
          </cell>
          <cell r="P218">
            <v>0.14453111924258383</v>
          </cell>
          <cell r="Q218">
            <v>0.23189028080054461</v>
          </cell>
          <cell r="R218">
            <v>0.46660555017831851</v>
          </cell>
          <cell r="S218">
            <v>0.92568383355902351</v>
          </cell>
          <cell r="T218">
            <v>0.45656527617973325</v>
          </cell>
          <cell r="U218">
            <v>0.33741547054978721</v>
          </cell>
          <cell r="V218">
            <v>0.48100710395016927</v>
          </cell>
          <cell r="W218">
            <v>0.47385212959122297</v>
          </cell>
          <cell r="X218">
            <v>0.35769211195155659</v>
          </cell>
          <cell r="Y218">
            <v>0.34079374513512917</v>
          </cell>
          <cell r="Z218">
            <v>0.40588253965297233</v>
          </cell>
          <cell r="AA218">
            <v>0.50073612165192738</v>
          </cell>
          <cell r="AB218">
            <v>0.44145958761376419</v>
          </cell>
          <cell r="AC218">
            <v>0.53619078912622031</v>
          </cell>
          <cell r="AD218">
            <v>0.48335663649337773</v>
          </cell>
          <cell r="AE218">
            <v>0.61585283755970033</v>
          </cell>
          <cell r="AF218">
            <v>0.38216929561271146</v>
          </cell>
          <cell r="AG218">
            <v>0.47571119498548736</v>
          </cell>
          <cell r="AH218">
            <v>0.52009316872149414</v>
          </cell>
          <cell r="AI218">
            <v>0.65421303331918224</v>
          </cell>
          <cell r="AL218">
            <v>9.2946455117325813E-2</v>
          </cell>
          <cell r="AM218">
            <v>0.48714352261085259</v>
          </cell>
          <cell r="AN218">
            <v>0.4424664696012961</v>
          </cell>
          <cell r="AO218">
            <v>0.4177760719679251</v>
          </cell>
          <cell r="AP218">
            <v>0.52419979468041156</v>
          </cell>
          <cell r="AQ218">
            <v>0.51347598382478232</v>
          </cell>
          <cell r="AR218">
            <v>0.59905425608057405</v>
          </cell>
          <cell r="AS218">
            <v>0.65971526280135206</v>
          </cell>
          <cell r="AT218">
            <v>0.71741736249811605</v>
          </cell>
          <cell r="AU218">
            <v>0.77189627519390902</v>
          </cell>
          <cell r="AV218">
            <v>0.82294180558229568</v>
          </cell>
          <cell r="AW218">
            <v>0.87040573943879473</v>
          </cell>
        </row>
        <row r="219">
          <cell r="I219" t="str">
            <v>% change Y/Y</v>
          </cell>
          <cell r="L219" t="str">
            <v>NA</v>
          </cell>
          <cell r="M219" t="str">
            <v>NA</v>
          </cell>
          <cell r="N219" t="str">
            <v>NA</v>
          </cell>
          <cell r="O219" t="str">
            <v>NA</v>
          </cell>
          <cell r="P219">
            <v>1.1822569099683111</v>
          </cell>
          <cell r="Q219">
            <v>1.7987662062716474</v>
          </cell>
          <cell r="R219">
            <v>5.1596553758447001</v>
          </cell>
          <cell r="S219">
            <v>6.1542471275079933</v>
          </cell>
          <cell r="T219">
            <v>2.1589409849751822</v>
          </cell>
          <cell r="U219">
            <v>0.45506516868642644</v>
          </cell>
          <cell r="V219">
            <v>3.0864514505554164E-2</v>
          </cell>
          <cell r="W219">
            <v>-0.48810586032449144</v>
          </cell>
          <cell r="X219">
            <v>-0.21655865959734932</v>
          </cell>
          <cell r="Y219">
            <v>1.0012210109505038E-2</v>
          </cell>
          <cell r="Z219">
            <v>-0.15618181868885572</v>
          </cell>
          <cell r="AA219">
            <v>5.673498203732108E-2</v>
          </cell>
          <cell r="AB219">
            <v>0.23418876979191672</v>
          </cell>
          <cell r="AC219">
            <v>0.57335865690144527</v>
          </cell>
          <cell r="AD219">
            <v>0.19087812180007879</v>
          </cell>
          <cell r="AE219">
            <v>0.22989497048466001</v>
          </cell>
          <cell r="AF219">
            <v>-0.13430514063934251</v>
          </cell>
          <cell r="AG219">
            <v>-0.11279491436115652</v>
          </cell>
          <cell r="AH219">
            <v>7.6002954039547488E-2</v>
          </cell>
          <cell r="AI219">
            <v>6.2287925653607523E-2</v>
          </cell>
          <cell r="AL219" t="str">
            <v>NA</v>
          </cell>
          <cell r="AM219">
            <v>4.2411199759682487</v>
          </cell>
          <cell r="AN219">
            <v>-9.1712300248003253E-2</v>
          </cell>
          <cell r="AO219">
            <v>-5.5801737147719632E-2</v>
          </cell>
          <cell r="AP219">
            <v>0.25473867426437291</v>
          </cell>
          <cell r="AQ219">
            <v>-2.045748770689082E-2</v>
          </cell>
          <cell r="AR219">
            <v>0.16666460545697959</v>
          </cell>
          <cell r="AS219">
            <v>0.1012612899500358</v>
          </cell>
          <cell r="AT219">
            <v>8.7465158001261534E-2</v>
          </cell>
          <cell r="AU219">
            <v>7.5937544229613074E-2</v>
          </cell>
          <cell r="AV219">
            <v>6.6130038489385701E-2</v>
          </cell>
          <cell r="AW219">
            <v>5.7675929858630237E-2</v>
          </cell>
        </row>
        <row r="220">
          <cell r="I220" t="str">
            <v>% variance from WW</v>
          </cell>
          <cell r="L220">
            <v>-0.88429601697887694</v>
          </cell>
          <cell r="M220">
            <v>-0.85354816424533386</v>
          </cell>
          <cell r="N220">
            <v>-0.84962273379089281</v>
          </cell>
          <cell r="O220">
            <v>-0.78991058200489173</v>
          </cell>
          <cell r="P220">
            <v>-0.76015304892359381</v>
          </cell>
          <cell r="Q220">
            <v>-0.63771278117410424</v>
          </cell>
          <cell r="R220">
            <v>-0.37723636951787687</v>
          </cell>
          <cell r="S220">
            <v>0.43998064999881037</v>
          </cell>
          <cell r="T220">
            <v>-0.31066649824203318</v>
          </cell>
          <cell r="U220">
            <v>-0.45263433306597034</v>
          </cell>
          <cell r="V220">
            <v>-0.2746114339055028</v>
          </cell>
          <cell r="W220">
            <v>-0.27366003517207793</v>
          </cell>
          <cell r="X220">
            <v>-0.42606922348192078</v>
          </cell>
          <cell r="Y220">
            <v>-0.47962504582532506</v>
          </cell>
          <cell r="Z220">
            <v>-0.39100557969798866</v>
          </cell>
          <cell r="AA220">
            <v>-0.2840064180247458</v>
          </cell>
          <cell r="AB220">
            <v>-0.32006598871791803</v>
          </cell>
          <cell r="AC220">
            <v>-0.29220757794574403</v>
          </cell>
          <cell r="AD220">
            <v>-0.32009712168442672</v>
          </cell>
          <cell r="AE220">
            <v>-0.27615196174244006</v>
          </cell>
          <cell r="AF220">
            <v>-0.44579637073110812</v>
          </cell>
          <cell r="AG220">
            <v>-0.33617211365809985</v>
          </cell>
          <cell r="AH220">
            <v>-0.3025348589493847</v>
          </cell>
          <cell r="AI220">
            <v>-0.26739731207421424</v>
          </cell>
          <cell r="AL220">
            <v>-0.83664220080450136</v>
          </cell>
          <cell r="AM220">
            <v>-0.25699269859256924</v>
          </cell>
          <cell r="AN220">
            <v>-0.31798091113162985</v>
          </cell>
          <cell r="AO220">
            <v>-0.37124369518791889</v>
          </cell>
          <cell r="AP220">
            <v>-0.29904782667999452</v>
          </cell>
          <cell r="AQ220">
            <v>-0.33208584315830525</v>
          </cell>
          <cell r="AR220">
            <v>-0.27998115124420198</v>
          </cell>
          <cell r="AS220">
            <v>-0.26172689613705857</v>
          </cell>
          <cell r="AT220">
            <v>-0.24722831799430123</v>
          </cell>
          <cell r="AU220">
            <v>-0.23566194000039242</v>
          </cell>
          <cell r="AV220">
            <v>-0.22641965712579504</v>
          </cell>
          <cell r="AW220">
            <v>-0.21904321185211628</v>
          </cell>
        </row>
        <row r="223">
          <cell r="I223" t="str">
            <v>Requests &amp; Revenue per App / Site</v>
          </cell>
        </row>
        <row r="224">
          <cell r="I224" t="str">
            <v>Apps / Sites ('000)</v>
          </cell>
          <cell r="L224">
            <v>3.9609999999999999</v>
          </cell>
          <cell r="M224">
            <v>4.492</v>
          </cell>
          <cell r="N224">
            <v>4.9089999999999998</v>
          </cell>
          <cell r="O224">
            <v>5.0309999999999997</v>
          </cell>
          <cell r="P224">
            <v>6.0759999999999996</v>
          </cell>
          <cell r="Q224">
            <v>7.4729999999999999</v>
          </cell>
          <cell r="R224">
            <v>10.443</v>
          </cell>
          <cell r="S224">
            <v>14.016</v>
          </cell>
          <cell r="T224">
            <v>19.277999999999999</v>
          </cell>
          <cell r="U224">
            <v>22.986000000000001</v>
          </cell>
          <cell r="V224">
            <v>27.283999999999999</v>
          </cell>
          <cell r="W224">
            <v>28</v>
          </cell>
          <cell r="X224">
            <v>30.5</v>
          </cell>
          <cell r="Y224">
            <v>35.5</v>
          </cell>
          <cell r="Z224">
            <v>38.5</v>
          </cell>
          <cell r="AA224">
            <v>39.5</v>
          </cell>
          <cell r="AB224">
            <v>42.5</v>
          </cell>
          <cell r="AC224">
            <v>45.5</v>
          </cell>
          <cell r="AD224">
            <v>49.5</v>
          </cell>
          <cell r="AE224">
            <v>50.5</v>
          </cell>
          <cell r="AF224">
            <v>60</v>
          </cell>
          <cell r="AG224">
            <v>62</v>
          </cell>
          <cell r="AH224">
            <v>64</v>
          </cell>
          <cell r="AI224">
            <v>66</v>
          </cell>
          <cell r="AL224">
            <v>5.0309999999999997</v>
          </cell>
          <cell r="AM224">
            <v>14.016</v>
          </cell>
          <cell r="AN224">
            <v>28</v>
          </cell>
          <cell r="AO224">
            <v>39.5</v>
          </cell>
          <cell r="AP224">
            <v>50.5</v>
          </cell>
          <cell r="AQ224">
            <v>66</v>
          </cell>
          <cell r="AR224">
            <v>71</v>
          </cell>
          <cell r="AS224">
            <v>76</v>
          </cell>
          <cell r="AT224">
            <v>81</v>
          </cell>
          <cell r="AU224">
            <v>86</v>
          </cell>
          <cell r="AV224">
            <v>91</v>
          </cell>
          <cell r="AW224">
            <v>96</v>
          </cell>
        </row>
        <row r="225">
          <cell r="I225" t="str">
            <v>% change Y/Y</v>
          </cell>
          <cell r="L225" t="str">
            <v>NA</v>
          </cell>
          <cell r="M225" t="str">
            <v>NA</v>
          </cell>
          <cell r="N225" t="str">
            <v>NA</v>
          </cell>
          <cell r="O225" t="str">
            <v>NA</v>
          </cell>
          <cell r="P225">
            <v>0.53395607169906589</v>
          </cell>
          <cell r="Q225">
            <v>0.66362422083704353</v>
          </cell>
          <cell r="R225">
            <v>1.1273171725402324</v>
          </cell>
          <cell r="S225">
            <v>1.7859272510435305</v>
          </cell>
          <cell r="T225">
            <v>2.1728110599078341</v>
          </cell>
          <cell r="U225">
            <v>2.0758731433159374</v>
          </cell>
          <cell r="V225">
            <v>1.6126591975485973</v>
          </cell>
          <cell r="W225">
            <v>0.99771689497716887</v>
          </cell>
          <cell r="X225">
            <v>0.58211432721236656</v>
          </cell>
          <cell r="Y225">
            <v>0.5444183415992343</v>
          </cell>
          <cell r="Z225">
            <v>0.41108341885354061</v>
          </cell>
          <cell r="AA225">
            <v>0.41071428571428581</v>
          </cell>
          <cell r="AB225">
            <v>0.39344262295081966</v>
          </cell>
          <cell r="AC225">
            <v>0.28169014084507049</v>
          </cell>
          <cell r="AD225">
            <v>0.28571428571428581</v>
          </cell>
          <cell r="AE225">
            <v>0.27848101265822778</v>
          </cell>
          <cell r="AF225">
            <v>0.41176470588235303</v>
          </cell>
          <cell r="AG225">
            <v>0.36263736263736268</v>
          </cell>
          <cell r="AH225">
            <v>0.29292929292929304</v>
          </cell>
          <cell r="AI225">
            <v>0.30693069306930698</v>
          </cell>
          <cell r="AL225" t="str">
            <v>NA</v>
          </cell>
          <cell r="AM225">
            <v>1.7859272510435305</v>
          </cell>
          <cell r="AN225">
            <v>0.99771689497716887</v>
          </cell>
          <cell r="AO225">
            <v>0.41071428571428581</v>
          </cell>
          <cell r="AP225">
            <v>0.27848101265822778</v>
          </cell>
          <cell r="AQ225">
            <v>0.30693069306930698</v>
          </cell>
          <cell r="AR225">
            <v>7.575757575757569E-2</v>
          </cell>
          <cell r="AS225">
            <v>7.0422535211267512E-2</v>
          </cell>
          <cell r="AT225">
            <v>6.578947368421062E-2</v>
          </cell>
          <cell r="AU225">
            <v>6.1728395061728447E-2</v>
          </cell>
          <cell r="AV225">
            <v>5.8139534883721034E-2</v>
          </cell>
          <cell r="AW225">
            <v>5.4945054945054972E-2</v>
          </cell>
        </row>
        <row r="226">
          <cell r="I226" t="str">
            <v>% change Q/Q</v>
          </cell>
          <cell r="M226">
            <v>0.13405705629891451</v>
          </cell>
          <cell r="N226">
            <v>9.2831700801424777E-2</v>
          </cell>
          <cell r="O226">
            <v>2.4852312079853389E-2</v>
          </cell>
          <cell r="P226">
            <v>0.20771218445637052</v>
          </cell>
          <cell r="Q226">
            <v>0.22992100065832788</v>
          </cell>
          <cell r="R226">
            <v>0.39743075070252898</v>
          </cell>
          <cell r="S226">
            <v>0.34214306233840852</v>
          </cell>
          <cell r="T226">
            <v>0.37542808219178081</v>
          </cell>
          <cell r="U226">
            <v>0.1923436041083102</v>
          </cell>
          <cell r="V226">
            <v>0.18698338118854951</v>
          </cell>
          <cell r="W226">
            <v>2.6242486438938561E-2</v>
          </cell>
          <cell r="X226">
            <v>8.9285714285714191E-2</v>
          </cell>
          <cell r="Y226">
            <v>0.16393442622950816</v>
          </cell>
          <cell r="Z226">
            <v>8.4507042253521236E-2</v>
          </cell>
          <cell r="AA226">
            <v>2.5974025974025983E-2</v>
          </cell>
          <cell r="AB226">
            <v>7.5949367088607556E-2</v>
          </cell>
          <cell r="AC226">
            <v>7.0588235294117618E-2</v>
          </cell>
          <cell r="AD226">
            <v>8.7912087912087822E-2</v>
          </cell>
          <cell r="AE226">
            <v>2.020202020202011E-2</v>
          </cell>
          <cell r="AF226">
            <v>0.18811881188118806</v>
          </cell>
          <cell r="AG226">
            <v>3.3333333333333437E-2</v>
          </cell>
          <cell r="AH226">
            <v>3.2258064516129004E-2</v>
          </cell>
          <cell r="AI226">
            <v>3.125E-2</v>
          </cell>
        </row>
        <row r="228">
          <cell r="I228" t="str">
            <v>WW ad views</v>
          </cell>
          <cell r="L228">
            <v>2842.3684499999999</v>
          </cell>
          <cell r="M228">
            <v>5988.5585010000004</v>
          </cell>
          <cell r="N228">
            <v>8144.9836450000003</v>
          </cell>
          <cell r="O228">
            <v>11531.507998999999</v>
          </cell>
          <cell r="P228">
            <v>14644.938435</v>
          </cell>
          <cell r="Q228">
            <v>14463.974343</v>
          </cell>
          <cell r="R228">
            <v>14686.689833</v>
          </cell>
          <cell r="S228">
            <v>29153.233948000001</v>
          </cell>
          <cell r="T228">
            <v>32450.660894000001</v>
          </cell>
          <cell r="U228">
            <v>36414.207995999997</v>
          </cell>
          <cell r="V228">
            <v>37986.575336000002</v>
          </cell>
          <cell r="W228">
            <v>52958.123173336673</v>
          </cell>
          <cell r="X228">
            <v>76793.214181573567</v>
          </cell>
          <cell r="Y228">
            <v>84852.602538290797</v>
          </cell>
          <cell r="Z228">
            <v>93063.571917944253</v>
          </cell>
          <cell r="AA228">
            <v>108456.55195327368</v>
          </cell>
          <cell r="AB228">
            <v>99527.424574792996</v>
          </cell>
          <cell r="AC228">
            <v>107345.52127470974</v>
          </cell>
          <cell r="AD228">
            <v>121418.70437342394</v>
          </cell>
          <cell r="AE228">
            <v>128690.03254553878</v>
          </cell>
          <cell r="AF228">
            <v>105310.04981177846</v>
          </cell>
          <cell r="AG228">
            <v>104966.6225324956</v>
          </cell>
          <cell r="AH228">
            <v>127332.8450442421</v>
          </cell>
          <cell r="AI228">
            <v>134870.3413679096</v>
          </cell>
          <cell r="AL228">
            <v>28507.418595000003</v>
          </cell>
          <cell r="AM228">
            <v>72948.836558999988</v>
          </cell>
          <cell r="AN228">
            <v>159809.56739933667</v>
          </cell>
          <cell r="AO228">
            <v>363165.94059108233</v>
          </cell>
          <cell r="AP228">
            <v>456981.68276846549</v>
          </cell>
          <cell r="AQ228">
            <v>472479.85875642579</v>
          </cell>
          <cell r="AR228">
            <v>523891.96830683533</v>
          </cell>
          <cell r="AS228">
            <v>575581.14025994646</v>
          </cell>
          <cell r="AT228">
            <v>627109.7579057432</v>
          </cell>
          <cell r="AU228">
            <v>678090.29169307067</v>
          </cell>
          <cell r="AV228">
            <v>728189.41445717763</v>
          </cell>
          <cell r="AW228">
            <v>777129.13229374296</v>
          </cell>
        </row>
        <row r="229">
          <cell r="I229" t="str">
            <v>% change Y/Y</v>
          </cell>
          <cell r="L229" t="str">
            <v>NA</v>
          </cell>
          <cell r="M229" t="str">
            <v>NA</v>
          </cell>
          <cell r="N229" t="str">
            <v>NA</v>
          </cell>
          <cell r="O229" t="str">
            <v>NA</v>
          </cell>
          <cell r="P229">
            <v>4.1523715846902256</v>
          </cell>
          <cell r="Q229">
            <v>1.4152681051015419</v>
          </cell>
          <cell r="R229">
            <v>0.80315768246088348</v>
          </cell>
          <cell r="S229">
            <v>1.5281371656272658</v>
          </cell>
          <cell r="T229">
            <v>1.2158277440379011</v>
          </cell>
          <cell r="U229">
            <v>1.5175796867769651</v>
          </cell>
          <cell r="V229">
            <v>1.5864626929511871</v>
          </cell>
          <cell r="W229">
            <v>0.81654369006872241</v>
          </cell>
          <cell r="X229">
            <v>1.3664607150041843</v>
          </cell>
          <cell r="Y229">
            <v>1.3302059061015861</v>
          </cell>
          <cell r="Z229">
            <v>1.4499068709083547</v>
          </cell>
          <cell r="AA229">
            <v>1.0479681955171576</v>
          </cell>
          <cell r="AB229">
            <v>0.29604452210406995</v>
          </cell>
          <cell r="AC229">
            <v>0.26508224926004753</v>
          </cell>
          <cell r="AD229">
            <v>0.30468562372053487</v>
          </cell>
          <cell r="AE229">
            <v>0.18655839806692631</v>
          </cell>
          <cell r="AF229">
            <v>5.8100822579207012E-2</v>
          </cell>
          <cell r="AG229">
            <v>-2.2161136430892681E-2</v>
          </cell>
          <cell r="AH229">
            <v>4.8708645849400378E-2</v>
          </cell>
          <cell r="AI229">
            <v>4.8024766954533504E-2</v>
          </cell>
          <cell r="AL229" t="str">
            <v>NA</v>
          </cell>
          <cell r="AM229">
            <v>1.5589422036197513</v>
          </cell>
          <cell r="AN229">
            <v>1.1907075552889035</v>
          </cell>
          <cell r="AO229">
            <v>1.272491857033772</v>
          </cell>
          <cell r="AP229">
            <v>0.25832747978703718</v>
          </cell>
          <cell r="AQ229">
            <v>3.3914217073362618E-2</v>
          </cell>
          <cell r="AR229">
            <v>0.10881333584404418</v>
          </cell>
          <cell r="AS229">
            <v>9.8663799180134681E-2</v>
          </cell>
          <cell r="AT229">
            <v>8.9524506696875283E-2</v>
          </cell>
          <cell r="AU229">
            <v>8.1294435534823961E-2</v>
          </cell>
          <cell r="AV229">
            <v>7.3882672230888957E-2</v>
          </cell>
          <cell r="AW229">
            <v>6.72074008011323E-2</v>
          </cell>
        </row>
        <row r="231">
          <cell r="I231" t="str">
            <v>WW ad views per App / Site ('000)</v>
          </cell>
          <cell r="L231">
            <v>717.58860136329213</v>
          </cell>
          <cell r="M231">
            <v>1333.160841718611</v>
          </cell>
          <cell r="N231">
            <v>1659.1940609085354</v>
          </cell>
          <cell r="O231">
            <v>2292.0906378453587</v>
          </cell>
          <cell r="P231">
            <v>2410.2926983212642</v>
          </cell>
          <cell r="Q231">
            <v>1935.4977041348857</v>
          </cell>
          <cell r="R231">
            <v>1406.3669283730731</v>
          </cell>
          <cell r="S231">
            <v>2079.9967143264839</v>
          </cell>
          <cell r="T231">
            <v>1683.3001812428677</v>
          </cell>
          <cell r="U231">
            <v>1584.1907246149829</v>
          </cell>
          <cell r="V231">
            <v>1392.2656258613108</v>
          </cell>
          <cell r="W231">
            <v>1891.3615419048813</v>
          </cell>
          <cell r="X231">
            <v>2517.8103010351988</v>
          </cell>
          <cell r="Y231">
            <v>2390.2141560081914</v>
          </cell>
          <cell r="Z231">
            <v>2417.2356342323183</v>
          </cell>
          <cell r="AA231">
            <v>2745.7354924879414</v>
          </cell>
          <cell r="AB231">
            <v>2341.8217547010117</v>
          </cell>
          <cell r="AC231">
            <v>2359.2422258177967</v>
          </cell>
          <cell r="AD231">
            <v>2452.9031186550292</v>
          </cell>
          <cell r="AE231">
            <v>2548.3174761492828</v>
          </cell>
          <cell r="AF231">
            <v>1755.1674968629743</v>
          </cell>
          <cell r="AG231">
            <v>1693.0100408467033</v>
          </cell>
          <cell r="AH231">
            <v>1989.5757038162828</v>
          </cell>
          <cell r="AI231">
            <v>2043.4900207259029</v>
          </cell>
          <cell r="AL231">
            <v>5666.35233452594</v>
          </cell>
          <cell r="AM231">
            <v>5204.6829736729442</v>
          </cell>
          <cell r="AN231">
            <v>5707.4845499763096</v>
          </cell>
          <cell r="AO231">
            <v>9194.0744453438565</v>
          </cell>
          <cell r="AP231">
            <v>9049.1422330389214</v>
          </cell>
          <cell r="AQ231">
            <v>7158.7857387337244</v>
          </cell>
          <cell r="AR231">
            <v>7378.7601169976806</v>
          </cell>
          <cell r="AS231">
            <v>7573.4360560519272</v>
          </cell>
          <cell r="AT231">
            <v>7742.0957766141137</v>
          </cell>
          <cell r="AU231">
            <v>7884.7708336403566</v>
          </cell>
          <cell r="AV231">
            <v>8002.0814775514027</v>
          </cell>
          <cell r="AW231">
            <v>8095.0951280598229</v>
          </cell>
        </row>
        <row r="232">
          <cell r="I232" t="str">
            <v>% change Y/Y</v>
          </cell>
          <cell r="L232" t="str">
            <v>NA</v>
          </cell>
          <cell r="M232" t="str">
            <v>NA</v>
          </cell>
          <cell r="N232" t="str">
            <v>NA</v>
          </cell>
          <cell r="O232" t="str">
            <v>NA</v>
          </cell>
          <cell r="P232">
            <v>2.3588781841603002</v>
          </cell>
          <cell r="Q232">
            <v>0.45181109703146327</v>
          </cell>
          <cell r="R232">
            <v>-0.15237948260073941</v>
          </cell>
          <cell r="S232">
            <v>-9.2532956601685812E-2</v>
          </cell>
          <cell r="T232">
            <v>-0.30162001386169279</v>
          </cell>
          <cell r="U232">
            <v>-0.18150730882779709</v>
          </cell>
          <cell r="V232">
            <v>-1.0026759181599232E-2</v>
          </cell>
          <cell r="W232">
            <v>-9.0690129999885127E-2</v>
          </cell>
          <cell r="X232">
            <v>0.49575834963444798</v>
          </cell>
          <cell r="Y232">
            <v>0.5087919143000299</v>
          </cell>
          <cell r="Z232">
            <v>0.73618854716528692</v>
          </cell>
          <cell r="AA232">
            <v>0.45172429049317508</v>
          </cell>
          <cell r="AB232">
            <v>-6.9897460607667439E-2</v>
          </cell>
          <cell r="AC232">
            <v>-1.295780552238035E-2</v>
          </cell>
          <cell r="AD232">
            <v>1.4755485115971467E-2</v>
          </cell>
          <cell r="AE232">
            <v>-7.1899866858542882E-2</v>
          </cell>
          <cell r="AF232">
            <v>-0.25051191733972833</v>
          </cell>
          <cell r="AG232">
            <v>-0.28239244689686482</v>
          </cell>
          <cell r="AH232">
            <v>-0.1888894067258543</v>
          </cell>
          <cell r="AI232">
            <v>-0.19810226164842526</v>
          </cell>
          <cell r="AL232" t="str">
            <v>NA</v>
          </cell>
          <cell r="AM232">
            <v>-8.1475583161317866E-2</v>
          </cell>
          <cell r="AN232">
            <v>9.6605610533188502E-2</v>
          </cell>
          <cell r="AO232">
            <v>0.61088030372014224</v>
          </cell>
          <cell r="AP232">
            <v>-1.5763654424000517E-2</v>
          </cell>
          <cell r="AQ232">
            <v>-0.20889897026962401</v>
          </cell>
          <cell r="AR232">
            <v>3.0727889657843788E-2</v>
          </cell>
          <cell r="AS232">
            <v>2.6383286076178569E-2</v>
          </cell>
          <cell r="AT232">
            <v>2.2269907518055909E-2</v>
          </cell>
          <cell r="AU232">
            <v>1.84284799804737E-2</v>
          </cell>
          <cell r="AV232">
            <v>1.4878129800620199E-2</v>
          </cell>
          <cell r="AW232">
            <v>1.1623682009406666E-2</v>
          </cell>
        </row>
        <row r="234">
          <cell r="I234" t="str">
            <v>WW revenue</v>
          </cell>
          <cell r="L234">
            <v>1.627</v>
          </cell>
          <cell r="M234">
            <v>3.3879999999999999</v>
          </cell>
          <cell r="N234">
            <v>4.1029999999999998</v>
          </cell>
          <cell r="O234">
            <v>7.1020000000000003</v>
          </cell>
          <cell r="P234">
            <v>8.8249999999999993</v>
          </cell>
          <cell r="Q234">
            <v>9.2579999999999991</v>
          </cell>
          <cell r="R234">
            <v>11.004</v>
          </cell>
          <cell r="S234">
            <v>18.741</v>
          </cell>
          <cell r="T234">
            <v>21.492999999999999</v>
          </cell>
          <cell r="U234">
            <v>22.446999999999999</v>
          </cell>
          <cell r="V234">
            <v>25.189</v>
          </cell>
          <cell r="W234">
            <v>34.548999999999999</v>
          </cell>
          <cell r="X234">
            <v>32.93</v>
          </cell>
          <cell r="Y234">
            <v>39.411000000000001</v>
          </cell>
          <cell r="Z234">
            <v>47.366</v>
          </cell>
          <cell r="AA234">
            <v>57.959999999999987</v>
          </cell>
          <cell r="AB234">
            <v>49.438000000000002</v>
          </cell>
          <cell r="AC234">
            <v>57.009</v>
          </cell>
          <cell r="AD234">
            <v>56.061</v>
          </cell>
          <cell r="AE234">
            <v>73.70999999999998</v>
          </cell>
          <cell r="AF234">
            <v>53.379858062519347</v>
          </cell>
          <cell r="AG234">
            <v>50.476695000000007</v>
          </cell>
          <cell r="AH234">
            <v>58.818573000000001</v>
          </cell>
          <cell r="AI234">
            <v>81.080999999999989</v>
          </cell>
          <cell r="AL234">
            <v>16.22</v>
          </cell>
          <cell r="AM234">
            <v>47.827999999999996</v>
          </cell>
          <cell r="AN234">
            <v>103.678</v>
          </cell>
          <cell r="AO234">
            <v>177.667</v>
          </cell>
          <cell r="AP234">
            <v>236.21799999999999</v>
          </cell>
          <cell r="AQ234">
            <v>243.75612606251934</v>
          </cell>
          <cell r="AR234">
            <v>280.36144051624797</v>
          </cell>
          <cell r="AS234">
            <v>315.39645117717259</v>
          </cell>
          <cell r="AT234">
            <v>348.56095975749048</v>
          </cell>
          <cell r="AU234">
            <v>378.83727851253457</v>
          </cell>
          <cell r="AV234">
            <v>405.30867050786702</v>
          </cell>
          <cell r="AW234">
            <v>427.19062369057724</v>
          </cell>
        </row>
        <row r="235">
          <cell r="I235" t="str">
            <v>% change Y/Y</v>
          </cell>
          <cell r="L235" t="str">
            <v>NA</v>
          </cell>
          <cell r="M235" t="str">
            <v>NA</v>
          </cell>
          <cell r="N235" t="str">
            <v>NA</v>
          </cell>
          <cell r="O235" t="str">
            <v>NA</v>
          </cell>
          <cell r="P235">
            <v>4.4240934234787952</v>
          </cell>
          <cell r="Q235">
            <v>1.7325855962219596</v>
          </cell>
          <cell r="R235">
            <v>1.6819400438703389</v>
          </cell>
          <cell r="S235">
            <v>1.6388341312306389</v>
          </cell>
          <cell r="T235">
            <v>1.4354674220963175</v>
          </cell>
          <cell r="U235">
            <v>1.4246057463815078</v>
          </cell>
          <cell r="V235">
            <v>1.2890766993820431</v>
          </cell>
          <cell r="W235">
            <v>0.84349821247532142</v>
          </cell>
          <cell r="X235">
            <v>0.53212673893825913</v>
          </cell>
          <cell r="Y235">
            <v>0.75573573306009734</v>
          </cell>
          <cell r="Z235">
            <v>0.88042399460081788</v>
          </cell>
          <cell r="AA235">
            <v>0.67761729717213193</v>
          </cell>
          <cell r="AB235">
            <v>0.50130580018220483</v>
          </cell>
          <cell r="AC235">
            <v>0.44652508182994599</v>
          </cell>
          <cell r="AD235">
            <v>0.18357049360300648</v>
          </cell>
          <cell r="AE235">
            <v>0.27173913043478248</v>
          </cell>
          <cell r="AF235">
            <v>7.9733364264722439E-2</v>
          </cell>
          <cell r="AG235">
            <v>-0.11458374993422082</v>
          </cell>
          <cell r="AH235">
            <v>4.9188794349012799E-2</v>
          </cell>
          <cell r="AI235">
            <v>0.10000000000000009</v>
          </cell>
          <cell r="AL235" t="str">
            <v>NA</v>
          </cell>
          <cell r="AM235">
            <v>1.9487053020961773</v>
          </cell>
          <cell r="AN235">
            <v>1.1677260182319982</v>
          </cell>
          <cell r="AO235">
            <v>0.71364223846910635</v>
          </cell>
          <cell r="AP235">
            <v>0.3295547287903775</v>
          </cell>
          <cell r="AQ235">
            <v>3.1911734340817954E-2</v>
          </cell>
          <cell r="AR235">
            <v>0.15017187483665539</v>
          </cell>
          <cell r="AS235">
            <v>0.12496372752405738</v>
          </cell>
          <cell r="AT235">
            <v>0.10515181276306707</v>
          </cell>
          <cell r="AU235">
            <v>8.6860900245709249E-2</v>
          </cell>
          <cell r="AV235">
            <v>6.9875362053253065E-2</v>
          </cell>
          <cell r="AW235">
            <v>5.3988366829881285E-2</v>
          </cell>
        </row>
        <row r="237">
          <cell r="I237" t="str">
            <v>WW revenue per App / Site (annual, $ in '000)</v>
          </cell>
          <cell r="L237">
            <v>1.6430194395354709</v>
          </cell>
          <cell r="M237">
            <v>3.0169189670525376</v>
          </cell>
          <cell r="N237">
            <v>3.343247097168466</v>
          </cell>
          <cell r="O237">
            <v>5.646591134963229</v>
          </cell>
          <cell r="P237">
            <v>5.8097432521395653</v>
          </cell>
          <cell r="Q237">
            <v>4.9554395824969886</v>
          </cell>
          <cell r="R237">
            <v>4.2148807813846592</v>
          </cell>
          <cell r="S237">
            <v>5.3484589041095889</v>
          </cell>
          <cell r="T237">
            <v>4.4595912439049696</v>
          </cell>
          <cell r="U237">
            <v>3.9062037762116066</v>
          </cell>
          <cell r="V237">
            <v>3.692860284415775</v>
          </cell>
          <cell r="W237">
            <v>4.9355714285714285</v>
          </cell>
          <cell r="X237">
            <v>4.3186885245901641</v>
          </cell>
          <cell r="Y237">
            <v>4.4406760563380283</v>
          </cell>
          <cell r="Z237">
            <v>4.9211428571428568</v>
          </cell>
          <cell r="AA237">
            <v>5.8693670886075937</v>
          </cell>
          <cell r="AB237">
            <v>4.6529882352941181</v>
          </cell>
          <cell r="AC237">
            <v>5.0117802197802197</v>
          </cell>
          <cell r="AD237">
            <v>4.5301818181818181</v>
          </cell>
          <cell r="AE237">
            <v>5.8384158415841565</v>
          </cell>
          <cell r="AF237">
            <v>3.5586572041679565</v>
          </cell>
          <cell r="AG237">
            <v>3.2565609677419358</v>
          </cell>
          <cell r="AH237">
            <v>3.6761608125</v>
          </cell>
          <cell r="AI237">
            <v>4.9139999999999997</v>
          </cell>
          <cell r="AL237">
            <v>3.2240111309878752</v>
          </cell>
          <cell r="AM237">
            <v>3.412385844748858</v>
          </cell>
          <cell r="AN237">
            <v>3.7027857142857141</v>
          </cell>
          <cell r="AO237">
            <v>4.4978987341772152</v>
          </cell>
          <cell r="AP237">
            <v>4.6775841584158417</v>
          </cell>
          <cell r="AQ237">
            <v>3.6932746373108993</v>
          </cell>
          <cell r="AR237">
            <v>3.9487526833274362</v>
          </cell>
          <cell r="AS237">
            <v>4.1499533049627972</v>
          </cell>
          <cell r="AT237">
            <v>4.3032217254011167</v>
          </cell>
          <cell r="AU237">
            <v>4.4050846338666814</v>
          </cell>
          <cell r="AV237">
            <v>4.4539414341523846</v>
          </cell>
          <cell r="AW237">
            <v>4.4499023301101799</v>
          </cell>
        </row>
        <row r="238">
          <cell r="I238" t="str">
            <v>% change Y/Y</v>
          </cell>
          <cell r="L238" t="str">
            <v>NA</v>
          </cell>
          <cell r="M238" t="str">
            <v>NA</v>
          </cell>
          <cell r="N238" t="str">
            <v>NA</v>
          </cell>
          <cell r="O238" t="str">
            <v>NA</v>
          </cell>
          <cell r="P238">
            <v>2.536016137327108</v>
          </cell>
          <cell r="Q238">
            <v>0.64254977896815779</v>
          </cell>
          <cell r="R238">
            <v>0.26071470605759761</v>
          </cell>
          <cell r="S238">
            <v>-5.279862198763241E-2</v>
          </cell>
          <cell r="T238">
            <v>-0.23239443631822676</v>
          </cell>
          <cell r="U238">
            <v>-0.211734153714913</v>
          </cell>
          <cell r="V238">
            <v>-0.12385178230293659</v>
          </cell>
          <cell r="W238">
            <v>-7.7197466212353349E-2</v>
          </cell>
          <cell r="X238">
            <v>-3.1595433663876848E-2</v>
          </cell>
          <cell r="Y238">
            <v>0.13682652282026475</v>
          </cell>
          <cell r="Z238">
            <v>0.33261008490100541</v>
          </cell>
          <cell r="AA238">
            <v>0.18919707141315678</v>
          </cell>
          <cell r="AB238">
            <v>7.7407691895464703E-2</v>
          </cell>
          <cell r="AC238">
            <v>0.12860748142776002</v>
          </cell>
          <cell r="AD238">
            <v>-7.9445171642106072E-2</v>
          </cell>
          <cell r="AE238">
            <v>-5.2733534222988432E-3</v>
          </cell>
          <cell r="AF238">
            <v>-0.23518886697915498</v>
          </cell>
          <cell r="AG238">
            <v>-0.35021871970979113</v>
          </cell>
          <cell r="AH238">
            <v>-0.18851804187068544</v>
          </cell>
          <cell r="AI238">
            <v>-0.1583333333333331</v>
          </cell>
          <cell r="AL238" t="str">
            <v>NA</v>
          </cell>
          <cell r="AM238">
            <v>5.842867971217669E-2</v>
          </cell>
          <cell r="AN238">
            <v>8.5101709697845918E-2</v>
          </cell>
          <cell r="AO238">
            <v>0.21473373866164502</v>
          </cell>
          <cell r="AP238">
            <v>3.9948748261780409E-2</v>
          </cell>
          <cell r="AQ238">
            <v>-0.21043117296649527</v>
          </cell>
          <cell r="AR238">
            <v>6.9173855481961199E-2</v>
          </cell>
          <cell r="AS238">
            <v>5.095295597642191E-2</v>
          </cell>
          <cell r="AT238">
            <v>3.6932565061643219E-2</v>
          </cell>
          <cell r="AU238">
            <v>2.3671313022121776E-2</v>
          </cell>
          <cell r="AV238">
            <v>1.1091001500876496E-2</v>
          </cell>
          <cell r="AW238">
            <v>-9.0686060917488653E-4</v>
          </cell>
        </row>
        <row r="243">
          <cell r="I243" t="str">
            <v>Headcount</v>
          </cell>
        </row>
        <row r="244">
          <cell r="I244" t="str">
            <v>Sales and marketing</v>
          </cell>
          <cell r="O244">
            <v>24</v>
          </cell>
          <cell r="V244">
            <v>61</v>
          </cell>
          <cell r="W244">
            <v>69</v>
          </cell>
          <cell r="X244">
            <v>84</v>
          </cell>
          <cell r="Y244">
            <v>100</v>
          </cell>
          <cell r="Z244">
            <v>107</v>
          </cell>
          <cell r="AA244">
            <v>140.42657343354526</v>
          </cell>
          <cell r="AB244">
            <v>130</v>
          </cell>
          <cell r="AC244">
            <v>142</v>
          </cell>
          <cell r="AD244">
            <v>167.80932340847056</v>
          </cell>
          <cell r="AE244">
            <v>223.10078789135932</v>
          </cell>
          <cell r="AF244">
            <v>103.59415385444861</v>
          </cell>
          <cell r="AG244">
            <v>123.06588303350371</v>
          </cell>
          <cell r="AH244">
            <v>171.13075930104335</v>
          </cell>
          <cell r="AI244">
            <v>228.55347941826628</v>
          </cell>
          <cell r="AL244">
            <v>24</v>
          </cell>
          <cell r="AN244">
            <v>69</v>
          </cell>
          <cell r="AO244">
            <v>140.42657343354526</v>
          </cell>
          <cell r="AP244">
            <v>223.10078789135932</v>
          </cell>
          <cell r="AQ244">
            <v>233.10078789135932</v>
          </cell>
          <cell r="AR244">
            <v>243.10078789135932</v>
          </cell>
          <cell r="AS244">
            <v>253.10078789135932</v>
          </cell>
          <cell r="AT244">
            <v>263.10078789135935</v>
          </cell>
          <cell r="AU244">
            <v>273.10078789135935</v>
          </cell>
          <cell r="AV244">
            <v>283.10078789135935</v>
          </cell>
          <cell r="AW244">
            <v>293.10078789135935</v>
          </cell>
        </row>
        <row r="245">
          <cell r="I245" t="str">
            <v>Technology and development</v>
          </cell>
          <cell r="O245">
            <v>10</v>
          </cell>
          <cell r="V245">
            <v>34</v>
          </cell>
          <cell r="W245">
            <v>44</v>
          </cell>
          <cell r="X245">
            <v>49</v>
          </cell>
          <cell r="Y245">
            <v>54</v>
          </cell>
          <cell r="Z245">
            <v>73</v>
          </cell>
          <cell r="AA245">
            <v>95.805045426624332</v>
          </cell>
          <cell r="AB245">
            <v>58.095113061243431</v>
          </cell>
          <cell r="AC245">
            <v>57.073654007344388</v>
          </cell>
          <cell r="AD245">
            <v>67.447121573391598</v>
          </cell>
          <cell r="AE245">
            <v>89.670261808995562</v>
          </cell>
          <cell r="AF245">
            <v>41.637302072340859</v>
          </cell>
          <cell r="AG245">
            <v>49.463518509595104</v>
          </cell>
          <cell r="AH245">
            <v>68.782096805365356</v>
          </cell>
          <cell r="AI245">
            <v>91.861846524597439</v>
          </cell>
          <cell r="AL245">
            <v>10</v>
          </cell>
          <cell r="AN245">
            <v>44</v>
          </cell>
          <cell r="AO245">
            <v>95.805045426624332</v>
          </cell>
          <cell r="AP245">
            <v>89.670261808995562</v>
          </cell>
          <cell r="AQ245">
            <v>81.989703206452504</v>
          </cell>
          <cell r="AR245">
            <v>90.644227761343103</v>
          </cell>
          <cell r="AS245">
            <v>97.997753465714595</v>
          </cell>
          <cell r="AT245">
            <v>104.02124439067609</v>
          </cell>
          <cell r="AU245">
            <v>108.70869246735617</v>
          </cell>
          <cell r="AV245">
            <v>112.07324247052384</v>
          </cell>
          <cell r="AW245">
            <v>114.14354162994323</v>
          </cell>
        </row>
        <row r="246">
          <cell r="I246" t="str">
            <v>General and administrative</v>
          </cell>
          <cell r="O246">
            <v>32</v>
          </cell>
          <cell r="V246">
            <v>95</v>
          </cell>
          <cell r="W246">
            <v>109</v>
          </cell>
          <cell r="X246">
            <v>114</v>
          </cell>
          <cell r="Y246">
            <v>117</v>
          </cell>
          <cell r="Z246">
            <v>143</v>
          </cell>
          <cell r="AA246">
            <v>145</v>
          </cell>
          <cell r="AB246">
            <v>147</v>
          </cell>
          <cell r="AC246">
            <v>149</v>
          </cell>
          <cell r="AD246">
            <v>151</v>
          </cell>
          <cell r="AE246">
            <v>153</v>
          </cell>
          <cell r="AF246">
            <v>154</v>
          </cell>
          <cell r="AG246">
            <v>155</v>
          </cell>
          <cell r="AH246">
            <v>156</v>
          </cell>
          <cell r="AI246">
            <v>157</v>
          </cell>
          <cell r="AL246">
            <v>32</v>
          </cell>
          <cell r="AN246">
            <v>109</v>
          </cell>
          <cell r="AO246">
            <v>145</v>
          </cell>
          <cell r="AP246">
            <v>153</v>
          </cell>
          <cell r="AQ246">
            <v>158</v>
          </cell>
          <cell r="AR246">
            <v>163</v>
          </cell>
          <cell r="AS246">
            <v>168</v>
          </cell>
          <cell r="AT246">
            <v>173</v>
          </cell>
          <cell r="AU246">
            <v>178</v>
          </cell>
          <cell r="AV246">
            <v>183</v>
          </cell>
          <cell r="AW246">
            <v>188</v>
          </cell>
        </row>
        <row r="247">
          <cell r="I247" t="str">
            <v>Total headcount</v>
          </cell>
          <cell r="O247">
            <v>66</v>
          </cell>
          <cell r="V247">
            <v>190</v>
          </cell>
          <cell r="W247">
            <v>222</v>
          </cell>
          <cell r="X247">
            <v>247</v>
          </cell>
          <cell r="Y247">
            <v>271</v>
          </cell>
          <cell r="Z247">
            <v>323</v>
          </cell>
          <cell r="AA247">
            <v>381.23161886016959</v>
          </cell>
          <cell r="AB247">
            <v>290.24822398662764</v>
          </cell>
          <cell r="AC247">
            <v>333.78792513946371</v>
          </cell>
          <cell r="AD247">
            <v>386.25644498186216</v>
          </cell>
          <cell r="AE247">
            <v>465.77104970035487</v>
          </cell>
          <cell r="AF247">
            <v>299.23145592678947</v>
          </cell>
          <cell r="AG247">
            <v>327.5294015430988</v>
          </cell>
          <cell r="AH247">
            <v>395.9128561064087</v>
          </cell>
          <cell r="AI247">
            <v>477.41532594286372</v>
          </cell>
          <cell r="AL247">
            <v>66</v>
          </cell>
          <cell r="AN247">
            <v>222</v>
          </cell>
          <cell r="AO247">
            <v>381.23161886016959</v>
          </cell>
          <cell r="AP247">
            <v>465.77104970035487</v>
          </cell>
          <cell r="AQ247">
            <v>473.09049109781182</v>
          </cell>
          <cell r="AR247">
            <v>496.74501565270242</v>
          </cell>
          <cell r="AS247">
            <v>519.09854135707394</v>
          </cell>
          <cell r="AT247">
            <v>540.12203228203543</v>
          </cell>
          <cell r="AU247">
            <v>559.80948035871552</v>
          </cell>
          <cell r="AV247">
            <v>578.17403036188318</v>
          </cell>
          <cell r="AW247">
            <v>595.24432952130257</v>
          </cell>
        </row>
        <row r="248">
          <cell r="I248" t="str">
            <v>Period-to-period change</v>
          </cell>
          <cell r="W248">
            <v>32</v>
          </cell>
          <cell r="X248">
            <v>25</v>
          </cell>
          <cell r="Y248">
            <v>24</v>
          </cell>
          <cell r="Z248">
            <v>52</v>
          </cell>
          <cell r="AA248">
            <v>58.23161886016959</v>
          </cell>
          <cell r="AB248">
            <v>-90.983394873541954</v>
          </cell>
          <cell r="AC248">
            <v>43.539701152836074</v>
          </cell>
          <cell r="AD248">
            <v>52.46851984239845</v>
          </cell>
          <cell r="AE248">
            <v>79.514604718492706</v>
          </cell>
          <cell r="AF248">
            <v>-166.5395937735654</v>
          </cell>
          <cell r="AG248">
            <v>28.297945616309335</v>
          </cell>
          <cell r="AH248">
            <v>68.383454563309897</v>
          </cell>
          <cell r="AI248">
            <v>81.50246983645502</v>
          </cell>
          <cell r="AO248">
            <v>159.23161886016959</v>
          </cell>
          <cell r="AP248">
            <v>84.539430840185275</v>
          </cell>
          <cell r="AQ248">
            <v>7.3194413974569557</v>
          </cell>
          <cell r="AR248">
            <v>23.6545245548906</v>
          </cell>
          <cell r="AS248">
            <v>22.353525704371521</v>
          </cell>
          <cell r="AT248">
            <v>21.023490924961493</v>
          </cell>
          <cell r="AU248">
            <v>19.687448076680084</v>
          </cell>
          <cell r="AV248">
            <v>18.364550003167665</v>
          </cell>
          <cell r="AW248">
            <v>17.070299159419392</v>
          </cell>
        </row>
        <row r="251">
          <cell r="I251" t="str">
            <v>Unique users (monthly)</v>
          </cell>
          <cell r="AA251">
            <v>400</v>
          </cell>
          <cell r="AB251">
            <v>420</v>
          </cell>
          <cell r="AC251">
            <v>450</v>
          </cell>
          <cell r="AD251">
            <v>500</v>
          </cell>
          <cell r="AE251">
            <v>600</v>
          </cell>
          <cell r="AF251">
            <v>650</v>
          </cell>
        </row>
        <row r="252">
          <cell r="I252" t="str">
            <v>US Unique users (monthly)</v>
          </cell>
          <cell r="AE252">
            <v>170</v>
          </cell>
          <cell r="AF252">
            <v>170</v>
          </cell>
        </row>
        <row r="253">
          <cell r="I253" t="str">
            <v>Profiles</v>
          </cell>
          <cell r="X253">
            <v>150</v>
          </cell>
          <cell r="AA253">
            <v>350</v>
          </cell>
          <cell r="AB253">
            <v>350</v>
          </cell>
          <cell r="AC253">
            <v>450</v>
          </cell>
          <cell r="AD253">
            <v>480</v>
          </cell>
          <cell r="AE253">
            <v>625</v>
          </cell>
          <cell r="AF253">
            <v>650</v>
          </cell>
        </row>
        <row r="254">
          <cell r="I254" t="str">
            <v>Profiles that link PC &amp; Mobile users</v>
          </cell>
          <cell r="AE254">
            <v>50</v>
          </cell>
        </row>
      </sheetData>
      <sheetData sheetId="5" refreshError="1">
        <row r="1">
          <cell r="I1" t="str">
            <v>Select Model Case:</v>
          </cell>
          <cell r="L1">
            <v>4</v>
          </cell>
          <cell r="Y1" t="str">
            <v>Jordan Monahan: 212-761-8094 / jordan.monahan@morganstanley.com</v>
          </cell>
        </row>
        <row r="2">
          <cell r="Y2" t="str">
            <v>Erhan Soyer-Osman: 212-761-3483 / erhan.soyer@morganstanley.com</v>
          </cell>
        </row>
        <row r="4">
          <cell r="I4" t="str">
            <v>Period-End Date</v>
          </cell>
          <cell r="M4">
            <v>40178</v>
          </cell>
          <cell r="N4">
            <v>40543</v>
          </cell>
          <cell r="O4">
            <v>40908</v>
          </cell>
          <cell r="P4">
            <v>41274</v>
          </cell>
          <cell r="Q4">
            <v>41639</v>
          </cell>
          <cell r="R4">
            <v>42004</v>
          </cell>
          <cell r="S4">
            <v>42369</v>
          </cell>
          <cell r="T4">
            <v>42735</v>
          </cell>
          <cell r="U4">
            <v>43100</v>
          </cell>
          <cell r="V4">
            <v>43465</v>
          </cell>
          <cell r="W4">
            <v>43830</v>
          </cell>
          <cell r="X4">
            <v>44196</v>
          </cell>
        </row>
        <row r="5">
          <cell r="I5" t="str">
            <v>Morgan Stanley | Millennial Media</v>
          </cell>
        </row>
        <row r="6">
          <cell r="I6" t="str">
            <v>(USD millions)</v>
          </cell>
          <cell r="M6">
            <v>40178</v>
          </cell>
          <cell r="N6">
            <v>40543</v>
          </cell>
          <cell r="O6">
            <v>40908</v>
          </cell>
          <cell r="P6">
            <v>41274</v>
          </cell>
          <cell r="Q6">
            <v>41639</v>
          </cell>
          <cell r="R6">
            <v>42004</v>
          </cell>
          <cell r="S6">
            <v>42369</v>
          </cell>
          <cell r="T6">
            <v>42735</v>
          </cell>
          <cell r="U6">
            <v>43100</v>
          </cell>
          <cell r="V6">
            <v>43465</v>
          </cell>
          <cell r="W6">
            <v>43830</v>
          </cell>
          <cell r="X6">
            <v>44196</v>
          </cell>
          <cell r="Y6" t="str">
            <v>TY - 2021</v>
          </cell>
        </row>
        <row r="8">
          <cell r="I8" t="str">
            <v>Discounted Cash Flow (DCF) Valuation Analysis</v>
          </cell>
        </row>
        <row r="9">
          <cell r="I9" t="str">
            <v>Revenue</v>
          </cell>
          <cell r="M9">
            <v>16.22</v>
          </cell>
          <cell r="N9">
            <v>47.827999999999996</v>
          </cell>
          <cell r="O9">
            <v>103.678</v>
          </cell>
          <cell r="P9">
            <v>241.30500000000001</v>
          </cell>
          <cell r="Q9">
            <v>341.74900000000002</v>
          </cell>
          <cell r="R9">
            <v>363.23090000000002</v>
          </cell>
          <cell r="S9">
            <v>435.87708000000003</v>
          </cell>
          <cell r="T9">
            <v>514.33495440000002</v>
          </cell>
          <cell r="U9">
            <v>597.65721701279995</v>
          </cell>
          <cell r="V9">
            <v>684.79563925326613</v>
          </cell>
          <cell r="W9">
            <v>774.65452303607981</v>
          </cell>
          <cell r="X9">
            <v>866.13967289759478</v>
          </cell>
          <cell r="Y9">
            <v>892.12386308452267</v>
          </cell>
        </row>
        <row r="10">
          <cell r="I10" t="str">
            <v>y/y Growth - %</v>
          </cell>
          <cell r="M10" t="str">
            <v>NA</v>
          </cell>
          <cell r="N10">
            <v>1.9487053020961773</v>
          </cell>
          <cell r="O10">
            <v>1.1677260182319982</v>
          </cell>
          <cell r="P10">
            <v>1.3274465171010243</v>
          </cell>
          <cell r="Q10">
            <v>0.4162532894055242</v>
          </cell>
          <cell r="R10">
            <v>6.2858706243471119E-2</v>
          </cell>
          <cell r="S10">
            <v>0.19999999999999996</v>
          </cell>
          <cell r="T10">
            <v>0.17999999999999994</v>
          </cell>
          <cell r="U10">
            <v>0.16199999999999992</v>
          </cell>
          <cell r="V10">
            <v>0.14579999999999993</v>
          </cell>
          <cell r="W10">
            <v>0.13122000000000011</v>
          </cell>
          <cell r="X10">
            <v>0.11809800000000004</v>
          </cell>
          <cell r="Y10">
            <v>3.0000000000000027E-2</v>
          </cell>
        </row>
        <row r="12">
          <cell r="I12" t="str">
            <v>Adj. EBITDA</v>
          </cell>
          <cell r="M12">
            <v>-7.048</v>
          </cell>
          <cell r="N12">
            <v>-6.3570000000000011</v>
          </cell>
          <cell r="O12">
            <v>1.8920000000000079</v>
          </cell>
          <cell r="P12">
            <v>-6.6749999999999758</v>
          </cell>
          <cell r="Q12">
            <v>3.5189999999999912</v>
          </cell>
          <cell r="R12">
            <v>8.6207135000000079</v>
          </cell>
          <cell r="S12">
            <v>36.152624800000012</v>
          </cell>
          <cell r="T12">
            <v>55.904394680199999</v>
          </cell>
          <cell r="U12">
            <v>80.822380216016811</v>
          </cell>
          <cell r="V12">
            <v>111.17855569967007</v>
          </cell>
          <cell r="W12">
            <v>147.5011778389042</v>
          </cell>
          <cell r="X12">
            <v>172.40118866829897</v>
          </cell>
          <cell r="Y12">
            <v>177.57322432834795</v>
          </cell>
        </row>
        <row r="13">
          <cell r="I13" t="str">
            <v>(-) Cash Taxes</v>
          </cell>
          <cell r="M13">
            <v>0</v>
          </cell>
          <cell r="N13">
            <v>0</v>
          </cell>
          <cell r="O13">
            <v>0</v>
          </cell>
          <cell r="P13">
            <v>0</v>
          </cell>
          <cell r="Q13">
            <v>0.47300000000000186</v>
          </cell>
          <cell r="R13">
            <v>-5.0666170774078445</v>
          </cell>
          <cell r="S13">
            <v>-12.081664520000004</v>
          </cell>
          <cell r="T13">
            <v>-18.412846686719998</v>
          </cell>
          <cell r="U13">
            <v>-26.509802854992802</v>
          </cell>
          <cell r="V13">
            <v>-37.054986323410041</v>
          </cell>
          <cell r="W13">
            <v>-49.591944120646758</v>
          </cell>
          <cell r="X13">
            <v>-58.066799392548447</v>
          </cell>
        </row>
        <row r="14">
          <cell r="I14" t="str">
            <v>(+/-) Changes in Working Capital</v>
          </cell>
          <cell r="M14">
            <v>0.85800000000000065</v>
          </cell>
          <cell r="N14">
            <v>-4.9710000000000027</v>
          </cell>
          <cell r="O14">
            <v>-5.0159999999999982</v>
          </cell>
          <cell r="P14">
            <v>-9.4470000000000027</v>
          </cell>
          <cell r="Q14">
            <v>-23.026</v>
          </cell>
          <cell r="R14">
            <v>-4.0929314196429871</v>
          </cell>
          <cell r="S14">
            <v>-4.3342877146061261</v>
          </cell>
          <cell r="T14">
            <v>-4.9791230204055292</v>
          </cell>
          <cell r="U14">
            <v>-4.6603825526457792</v>
          </cell>
          <cell r="V14">
            <v>-4.1466470152157662</v>
          </cell>
          <cell r="W14">
            <v>-3.5288723992912034</v>
          </cell>
          <cell r="X14">
            <v>-2.3586077362999203</v>
          </cell>
        </row>
        <row r="15">
          <cell r="I15" t="str">
            <v>(-) Capex</v>
          </cell>
          <cell r="M15">
            <v>-7.9000000000000001E-2</v>
          </cell>
          <cell r="N15">
            <v>-0.64</v>
          </cell>
          <cell r="O15">
            <v>-3.528</v>
          </cell>
          <cell r="P15">
            <v>-5.26</v>
          </cell>
          <cell r="Q15">
            <v>-5.08</v>
          </cell>
          <cell r="R15">
            <v>-19.987268999999998</v>
          </cell>
          <cell r="S15">
            <v>-8.7175416000000006</v>
          </cell>
          <cell r="T15">
            <v>-9.5151966564000006</v>
          </cell>
          <cell r="U15">
            <v>-10.160172689217598</v>
          </cell>
          <cell r="V15">
            <v>-10.614332408425623</v>
          </cell>
          <cell r="W15">
            <v>-11.619817845541197</v>
          </cell>
          <cell r="X15">
            <v>-12.992095093463922</v>
          </cell>
        </row>
        <row r="16">
          <cell r="I16" t="str">
            <v>(-) Stock-based compensation</v>
          </cell>
          <cell r="M16">
            <v>-0.21200000000000002</v>
          </cell>
          <cell r="N16">
            <v>-0.41200000000000003</v>
          </cell>
          <cell r="O16">
            <v>-1.833</v>
          </cell>
          <cell r="P16">
            <v>-8.01</v>
          </cell>
          <cell r="Q16">
            <v>-9.5</v>
          </cell>
          <cell r="R16">
            <v>-15.772</v>
          </cell>
          <cell r="S16">
            <v>-15.255697800000002</v>
          </cell>
          <cell r="T16">
            <v>-16.715886018000003</v>
          </cell>
          <cell r="U16">
            <v>-17.929716510384001</v>
          </cell>
          <cell r="V16">
            <v>-20.543869177597983</v>
          </cell>
          <cell r="W16">
            <v>-23.239635691082395</v>
          </cell>
          <cell r="X16">
            <v>-25.984190186927844</v>
          </cell>
        </row>
        <row r="17">
          <cell r="I17" t="str">
            <v>Unlevered free cash flow (UFCF)</v>
          </cell>
          <cell r="M17">
            <v>-6.480999999999999</v>
          </cell>
          <cell r="N17">
            <v>-12.380000000000004</v>
          </cell>
          <cell r="O17">
            <v>-8.4849999999999905</v>
          </cell>
          <cell r="P17">
            <v>-29.391999999999975</v>
          </cell>
          <cell r="Q17">
            <v>-33.614000000000004</v>
          </cell>
          <cell r="R17">
            <v>-36.298103997050823</v>
          </cell>
          <cell r="S17">
            <v>-4.2365668346061209</v>
          </cell>
          <cell r="T17">
            <v>6.2813422986744634</v>
          </cell>
          <cell r="U17">
            <v>21.562305608776636</v>
          </cell>
          <cell r="V17">
            <v>38.818720775020665</v>
          </cell>
          <cell r="W17">
            <v>59.520907782342647</v>
          </cell>
          <cell r="X17">
            <v>72.999496259058844</v>
          </cell>
          <cell r="Y17">
            <v>75.189481146830616</v>
          </cell>
        </row>
        <row r="18">
          <cell r="I18" t="str">
            <v>% of Revenue</v>
          </cell>
          <cell r="M18">
            <v>-0.39956843403205916</v>
          </cell>
          <cell r="N18">
            <v>-0.25884419168687811</v>
          </cell>
          <cell r="O18">
            <v>-8.1839927467736551E-2</v>
          </cell>
          <cell r="P18">
            <v>-0.12180435548372381</v>
          </cell>
          <cell r="Q18">
            <v>-9.8358736967774599E-2</v>
          </cell>
          <cell r="R18">
            <v>-9.9931211791317379E-2</v>
          </cell>
          <cell r="S18">
            <v>-9.7196366338099735E-3</v>
          </cell>
          <cell r="T18">
            <v>1.2212551849605466E-2</v>
          </cell>
          <cell r="U18">
            <v>3.6078047742063558E-2</v>
          </cell>
          <cell r="V18">
            <v>5.6686577060202151E-2</v>
          </cell>
          <cell r="W18">
            <v>7.6835422775386603E-2</v>
          </cell>
          <cell r="X18">
            <v>8.4281436982150224E-2</v>
          </cell>
          <cell r="Y18">
            <v>8.4281436982150224E-2</v>
          </cell>
        </row>
        <row r="20">
          <cell r="I20" t="str">
            <v>Adj. EBITDA Margin</v>
          </cell>
          <cell r="M20">
            <v>-0.43452527743526514</v>
          </cell>
          <cell r="N20">
            <v>-0.13291377435811663</v>
          </cell>
          <cell r="O20">
            <v>1.8248808811898453E-2</v>
          </cell>
          <cell r="P20">
            <v>-2.7662087399763682E-2</v>
          </cell>
          <cell r="Q20">
            <v>1.0297030861831319E-2</v>
          </cell>
          <cell r="R20">
            <v>2.3733425487754502E-2</v>
          </cell>
          <cell r="S20">
            <v>8.2942247846571809E-2</v>
          </cell>
          <cell r="T20">
            <v>0.10869258292082355</v>
          </cell>
          <cell r="U20">
            <v>0.13523199907127675</v>
          </cell>
          <cell r="V20">
            <v>0.16235289672829178</v>
          </cell>
          <cell r="W20">
            <v>0.19040898032946008</v>
          </cell>
          <cell r="X20">
            <v>0.19904548199662281</v>
          </cell>
          <cell r="Y20">
            <v>0.19904548199662281</v>
          </cell>
        </row>
        <row r="21">
          <cell r="I21" t="str">
            <v>UFCF / Adj. EBITDA</v>
          </cell>
          <cell r="M21">
            <v>0.91955164585698057</v>
          </cell>
          <cell r="N21">
            <v>1.9474594934717637</v>
          </cell>
          <cell r="O21">
            <v>-4.484672304439723</v>
          </cell>
          <cell r="P21">
            <v>4.403295880149825</v>
          </cell>
          <cell r="Q21">
            <v>-9.552145495879536</v>
          </cell>
          <cell r="R21">
            <v>-4.2105684172256499</v>
          </cell>
          <cell r="S21">
            <v>-0.1171855946295252</v>
          </cell>
          <cell r="T21">
            <v>0.1123586497019914</v>
          </cell>
          <cell r="U21">
            <v>0.26678632268866997</v>
          </cell>
          <cell r="V21">
            <v>0.34915654849738131</v>
          </cell>
          <cell r="W21">
            <v>0.40352835587082136</v>
          </cell>
          <cell r="X21">
            <v>0.42342803331542195</v>
          </cell>
          <cell r="Y21">
            <v>0.42342803331542195</v>
          </cell>
        </row>
        <row r="24">
          <cell r="I24" t="str">
            <v>NPV Calculations</v>
          </cell>
          <cell r="S24">
            <v>42369</v>
          </cell>
          <cell r="T24">
            <v>42735</v>
          </cell>
          <cell r="U24">
            <v>43100</v>
          </cell>
          <cell r="V24">
            <v>43465</v>
          </cell>
          <cell r="W24">
            <v>43830</v>
          </cell>
          <cell r="X24">
            <v>44196</v>
          </cell>
        </row>
        <row r="25">
          <cell r="I25" t="str">
            <v>Year for current value</v>
          </cell>
          <cell r="S25">
            <v>0.75</v>
          </cell>
          <cell r="T25">
            <v>1.75</v>
          </cell>
          <cell r="U25">
            <v>2.75</v>
          </cell>
          <cell r="V25">
            <v>3.75</v>
          </cell>
          <cell r="W25">
            <v>4.75</v>
          </cell>
          <cell r="X25">
            <v>5.75</v>
          </cell>
        </row>
        <row r="26">
          <cell r="I26" t="str">
            <v>Discounted cash flows</v>
          </cell>
          <cell r="S26">
            <v>-3.840037129250351</v>
          </cell>
          <cell r="T26">
            <v>4.9942349652315938</v>
          </cell>
          <cell r="U26">
            <v>15.038580883027516</v>
          </cell>
          <cell r="V26">
            <v>23.749147626922564</v>
          </cell>
          <cell r="W26">
            <v>31.942691151335165</v>
          </cell>
          <cell r="X26">
            <v>34.365049044159932</v>
          </cell>
        </row>
        <row r="29">
          <cell r="I29" t="str">
            <v>Fair value (one year forward)</v>
          </cell>
          <cell r="P29" t="str">
            <v>Target equity value sensitivity analysis</v>
          </cell>
        </row>
        <row r="30">
          <cell r="I30" t="str">
            <v>PV fo FCF</v>
          </cell>
          <cell r="L30">
            <v>106.24966654142642</v>
          </cell>
          <cell r="Q30">
            <v>0.13</v>
          </cell>
          <cell r="R30">
            <v>0.13500000000000001</v>
          </cell>
          <cell r="S30">
            <v>0.14000000000000001</v>
          </cell>
          <cell r="T30">
            <v>0.14500000000000002</v>
          </cell>
          <cell r="U30">
            <v>0.15000000000000002</v>
          </cell>
          <cell r="AA30" t="str">
            <v>Perpetual Growth Rate</v>
          </cell>
          <cell r="AC30">
            <v>0.03</v>
          </cell>
          <cell r="AE30" t="str">
            <v>2014 to 2017 rev CAGR</v>
          </cell>
          <cell r="AG30">
            <v>0.18056470146445058</v>
          </cell>
          <cell r="AI30" t="str">
            <v>2013 to 2016E rev CAGR</v>
          </cell>
          <cell r="AK30">
            <v>0.14598674892081698</v>
          </cell>
        </row>
        <row r="31">
          <cell r="I31" t="str">
            <v>NPV of terminal value</v>
          </cell>
          <cell r="L31">
            <v>321.78182286804292</v>
          </cell>
          <cell r="P31">
            <v>2.4999999999999998E-2</v>
          </cell>
          <cell r="Q31">
            <v>542.94134920708927</v>
          </cell>
          <cell r="R31">
            <v>518.33691425277891</v>
          </cell>
          <cell r="S31">
            <v>496.10978920792218</v>
          </cell>
          <cell r="T31">
            <v>475.95517770990693</v>
          </cell>
          <cell r="U31">
            <v>457.61732670169465</v>
          </cell>
          <cell r="AA31" t="str">
            <v>Base Case</v>
          </cell>
          <cell r="AB31">
            <v>1</v>
          </cell>
          <cell r="AC31">
            <v>0.03</v>
          </cell>
          <cell r="AE31" t="str">
            <v>Bull Case</v>
          </cell>
          <cell r="AF31">
            <v>2</v>
          </cell>
          <cell r="AG31">
            <v>0.21056722716497961</v>
          </cell>
          <cell r="AI31" t="str">
            <v>Bull Case</v>
          </cell>
          <cell r="AJ31">
            <v>2</v>
          </cell>
          <cell r="AK31">
            <v>0.17399107122706983</v>
          </cell>
        </row>
        <row r="32">
          <cell r="I32" t="str">
            <v>Enterprise value</v>
          </cell>
          <cell r="L32">
            <v>428.03148940946937</v>
          </cell>
          <cell r="P32">
            <v>0.03</v>
          </cell>
          <cell r="Q32">
            <v>560.67249264856275</v>
          </cell>
          <cell r="R32">
            <v>534.05207777064368</v>
          </cell>
          <cell r="S32">
            <v>510.10030324566321</v>
          </cell>
          <cell r="T32">
            <v>488.46112107218028</v>
          </cell>
          <cell r="U32">
            <v>468.83811196519775</v>
          </cell>
          <cell r="AA32" t="str">
            <v>Bull Case</v>
          </cell>
          <cell r="AB32">
            <v>2</v>
          </cell>
          <cell r="AC32">
            <v>0.03</v>
          </cell>
          <cell r="AE32" t="str">
            <v>Base Case</v>
          </cell>
          <cell r="AF32">
            <v>1</v>
          </cell>
          <cell r="AG32">
            <v>0.18056470146445058</v>
          </cell>
          <cell r="AI32" t="str">
            <v>Base Case</v>
          </cell>
          <cell r="AJ32">
            <v>1</v>
          </cell>
          <cell r="AK32">
            <v>0.14598674892081698</v>
          </cell>
        </row>
        <row r="33">
          <cell r="I33" t="str">
            <v>(-) Debt</v>
          </cell>
          <cell r="L33">
            <v>0</v>
          </cell>
          <cell r="P33">
            <v>3.4999999999999996E-2</v>
          </cell>
          <cell r="Q33">
            <v>580.27007224177032</v>
          </cell>
          <cell r="R33">
            <v>551.33875764029483</v>
          </cell>
          <cell r="S33">
            <v>525.42324719176054</v>
          </cell>
          <cell r="T33">
            <v>502.10396837647852</v>
          </cell>
          <cell r="U33">
            <v>481.03461768639681</v>
          </cell>
          <cell r="AA33" t="str">
            <v>Bear Case</v>
          </cell>
          <cell r="AB33">
            <v>3</v>
          </cell>
          <cell r="AC33">
            <v>9.9999999999999985E-3</v>
          </cell>
          <cell r="AE33" t="str">
            <v>Bear Case</v>
          </cell>
          <cell r="AF33">
            <v>3</v>
          </cell>
          <cell r="AG33">
            <v>0.15056204410576268</v>
          </cell>
          <cell r="AI33" t="str">
            <v>Bear Case</v>
          </cell>
          <cell r="AJ33">
            <v>3</v>
          </cell>
          <cell r="AK33">
            <v>0.11798101702467156</v>
          </cell>
        </row>
        <row r="34">
          <cell r="I34" t="str">
            <v>(+) Cash</v>
          </cell>
          <cell r="L34">
            <v>82.06881383619384</v>
          </cell>
        </row>
        <row r="35">
          <cell r="I35" t="str">
            <v>Equity value</v>
          </cell>
          <cell r="L35">
            <v>510.10030324566321</v>
          </cell>
          <cell r="P35" t="str">
            <v>Target share price sensitivity analysis</v>
          </cell>
          <cell r="AA35" t="str">
            <v>FV/share</v>
          </cell>
          <cell r="AC35">
            <v>4</v>
          </cell>
          <cell r="AE35" t="str">
            <v>PT (market cap)</v>
          </cell>
          <cell r="AG35">
            <v>510.10030324566321</v>
          </cell>
          <cell r="AI35" t="str">
            <v>2013 to 2016E EPS CAGR</v>
          </cell>
          <cell r="AK35" t="str">
            <v>NM</v>
          </cell>
        </row>
        <row r="36">
          <cell r="I36" t="str">
            <v>Fully diluted shares</v>
          </cell>
          <cell r="L36">
            <v>117.02156084598437</v>
          </cell>
          <cell r="Q36">
            <v>0.13</v>
          </cell>
          <cell r="R36">
            <v>0.13500000000000001</v>
          </cell>
          <cell r="S36">
            <v>0.14000000000000001</v>
          </cell>
          <cell r="T36">
            <v>0.14500000000000002</v>
          </cell>
          <cell r="U36">
            <v>0.15000000000000002</v>
          </cell>
          <cell r="AA36" t="str">
            <v>Bull Case</v>
          </cell>
          <cell r="AB36">
            <v>2</v>
          </cell>
          <cell r="AC36">
            <v>6</v>
          </cell>
          <cell r="AD36">
            <v>0.71428571428571419</v>
          </cell>
          <cell r="AE36" t="str">
            <v>Bull Case</v>
          </cell>
          <cell r="AF36">
            <v>2</v>
          </cell>
          <cell r="AG36">
            <v>662.2145647725755</v>
          </cell>
          <cell r="AI36" t="str">
            <v>Bull Case</v>
          </cell>
          <cell r="AJ36">
            <v>2</v>
          </cell>
          <cell r="AK36" t="str">
            <v>NM</v>
          </cell>
        </row>
        <row r="37">
          <cell r="I37" t="str">
            <v>Equity value per share</v>
          </cell>
          <cell r="L37">
            <v>4</v>
          </cell>
          <cell r="P37">
            <v>2.4999999999999998E-2</v>
          </cell>
          <cell r="Q37">
            <v>4.6396693505196955</v>
          </cell>
          <cell r="R37">
            <v>4.4294137807218092</v>
          </cell>
          <cell r="S37">
            <v>4.2394733553491681</v>
          </cell>
          <cell r="T37">
            <v>4.0672434572661871</v>
          </cell>
          <cell r="U37">
            <v>3.9105385656578169</v>
          </cell>
          <cell r="AA37" t="str">
            <v>Base Case</v>
          </cell>
          <cell r="AB37">
            <v>1</v>
          </cell>
          <cell r="AC37">
            <v>4</v>
          </cell>
          <cell r="AD37">
            <v>0.14285714285714279</v>
          </cell>
          <cell r="AE37" t="str">
            <v>Base Case</v>
          </cell>
          <cell r="AF37">
            <v>1</v>
          </cell>
          <cell r="AG37">
            <v>510.10030324566321</v>
          </cell>
          <cell r="AI37" t="str">
            <v>Base Case</v>
          </cell>
          <cell r="AJ37">
            <v>1</v>
          </cell>
          <cell r="AK37" t="str">
            <v>NM</v>
          </cell>
        </row>
        <row r="38">
          <cell r="I38" t="str">
            <v>Implied terminal EBITDA multiple</v>
          </cell>
          <cell r="L38">
            <v>4</v>
          </cell>
          <cell r="P38">
            <v>0.03</v>
          </cell>
          <cell r="Q38">
            <v>4.7911896627877049</v>
          </cell>
          <cell r="R38">
            <v>4.5637066700343007</v>
          </cell>
          <cell r="S38">
            <v>4.359028366721426</v>
          </cell>
          <cell r="T38">
            <v>4.1741121682273477</v>
          </cell>
          <cell r="U38">
            <v>4.0064250431785799</v>
          </cell>
          <cell r="AA38" t="str">
            <v>Bear Case</v>
          </cell>
          <cell r="AB38">
            <v>3</v>
          </cell>
          <cell r="AC38">
            <v>2</v>
          </cell>
          <cell r="AD38">
            <v>-0.4285714285714286</v>
          </cell>
          <cell r="AE38" t="str">
            <v>Bear Case</v>
          </cell>
          <cell r="AF38">
            <v>3</v>
          </cell>
          <cell r="AG38">
            <v>281.82401408457599</v>
          </cell>
          <cell r="AI38" t="str">
            <v>Bear Case</v>
          </cell>
          <cell r="AJ38">
            <v>3</v>
          </cell>
          <cell r="AK38" t="str">
            <v>NM</v>
          </cell>
        </row>
        <row r="39">
          <cell r="P39">
            <v>3.4999999999999996E-2</v>
          </cell>
          <cell r="Q39">
            <v>4.9586594816102423</v>
          </cell>
          <cell r="R39">
            <v>4.7114288482780413</v>
          </cell>
          <cell r="S39">
            <v>4.4899695696529465</v>
          </cell>
          <cell r="T39">
            <v>4.2906962165486133</v>
          </cell>
          <cell r="U39">
            <v>4.1106494752663663</v>
          </cell>
        </row>
        <row r="40">
          <cell r="AA40" t="str">
            <v>2013E EBITDA</v>
          </cell>
          <cell r="AC40">
            <v>3.5189999999999912</v>
          </cell>
          <cell r="AE40" t="str">
            <v>2013E EBITDA multiple</v>
          </cell>
          <cell r="AG40">
            <v>121.63441017603593</v>
          </cell>
          <cell r="AI40" t="str">
            <v>2013E EBITDA margin</v>
          </cell>
          <cell r="AK40">
            <v>1.0297030861831319E-2</v>
          </cell>
        </row>
        <row r="41">
          <cell r="I41" t="str">
            <v>DCF assumptions</v>
          </cell>
          <cell r="AA41" t="str">
            <v>Bull Case</v>
          </cell>
          <cell r="AB41">
            <v>2</v>
          </cell>
          <cell r="AC41">
            <v>3.5189999999999912</v>
          </cell>
          <cell r="AE41" t="str">
            <v>Bull Case</v>
          </cell>
          <cell r="AF41">
            <v>2</v>
          </cell>
          <cell r="AG41">
            <v>164.10517932647065</v>
          </cell>
          <cell r="AI41" t="str">
            <v>Bull Case</v>
          </cell>
          <cell r="AJ41">
            <v>2</v>
          </cell>
          <cell r="AK41">
            <v>1.0297030861831319E-2</v>
          </cell>
        </row>
        <row r="42">
          <cell r="I42" t="str">
            <v>Valuation period</v>
          </cell>
          <cell r="L42" t="str">
            <v>One year forward</v>
          </cell>
          <cell r="AA42" t="str">
            <v>Base Case</v>
          </cell>
          <cell r="AB42">
            <v>1</v>
          </cell>
          <cell r="AC42">
            <v>3.5189999999999912</v>
          </cell>
          <cell r="AE42" t="str">
            <v>Base Case</v>
          </cell>
          <cell r="AF42">
            <v>1</v>
          </cell>
          <cell r="AG42">
            <v>121.63441017603593</v>
          </cell>
          <cell r="AI42" t="str">
            <v>Base Case</v>
          </cell>
          <cell r="AJ42">
            <v>1</v>
          </cell>
          <cell r="AK42">
            <v>1.0297030861831319E-2</v>
          </cell>
        </row>
        <row r="43">
          <cell r="I43" t="str">
            <v>Cost of Equity</v>
          </cell>
          <cell r="L43">
            <v>0.14000000000000001</v>
          </cell>
          <cell r="AA43" t="str">
            <v>Bear Case</v>
          </cell>
          <cell r="AB43">
            <v>3</v>
          </cell>
          <cell r="AC43">
            <v>3.5189999999999912</v>
          </cell>
          <cell r="AE43" t="str">
            <v>Bear Case</v>
          </cell>
          <cell r="AF43">
            <v>3</v>
          </cell>
          <cell r="AG43">
            <v>58.75607604017879</v>
          </cell>
          <cell r="AI43" t="str">
            <v>Bear Case</v>
          </cell>
          <cell r="AJ43">
            <v>3</v>
          </cell>
          <cell r="AK43">
            <v>1.0297030861831319E-2</v>
          </cell>
        </row>
        <row r="44">
          <cell r="I44" t="str">
            <v>Cost of Debt</v>
          </cell>
          <cell r="L44">
            <v>0</v>
          </cell>
        </row>
        <row r="45">
          <cell r="I45" t="str">
            <v>Marginal Tax-Rate</v>
          </cell>
          <cell r="L45">
            <v>0.35</v>
          </cell>
          <cell r="AA45" t="str">
            <v>2014E EBITDA</v>
          </cell>
          <cell r="AC45">
            <v>8.6207135000000079</v>
          </cell>
          <cell r="AE45" t="str">
            <v>2014E EBITDA multiple</v>
          </cell>
          <cell r="AG45">
            <v>49.651515435406708</v>
          </cell>
          <cell r="AI45" t="str">
            <v>2014E EBITDA margin</v>
          </cell>
          <cell r="AK45">
            <v>2.3733425487754502E-2</v>
          </cell>
        </row>
        <row r="46">
          <cell r="I46" t="str">
            <v>Long-Term Debt / Total Cap.</v>
          </cell>
          <cell r="L46">
            <v>0</v>
          </cell>
          <cell r="AA46" t="str">
            <v>Bull Case</v>
          </cell>
          <cell r="AB46">
            <v>2</v>
          </cell>
          <cell r="AC46">
            <v>14.615570449999993</v>
          </cell>
          <cell r="AE46" t="str">
            <v>Bull Case</v>
          </cell>
          <cell r="AF46">
            <v>2</v>
          </cell>
          <cell r="AG46">
            <v>39.511706233118602</v>
          </cell>
          <cell r="AI46" t="str">
            <v>Bull Case</v>
          </cell>
          <cell r="AJ46">
            <v>2</v>
          </cell>
          <cell r="AK46">
            <v>3.9337306376294824E-2</v>
          </cell>
        </row>
        <row r="47">
          <cell r="I47" t="str">
            <v>WACC</v>
          </cell>
          <cell r="L47">
            <v>0.14000000000000001</v>
          </cell>
          <cell r="AA47" t="str">
            <v>Base Case</v>
          </cell>
          <cell r="AB47">
            <v>1</v>
          </cell>
          <cell r="AC47">
            <v>8.6207135000000079</v>
          </cell>
          <cell r="AE47" t="str">
            <v>Base Case</v>
          </cell>
          <cell r="AF47">
            <v>1</v>
          </cell>
          <cell r="AG47">
            <v>49.651515435406708</v>
          </cell>
          <cell r="AI47" t="str">
            <v>Base Case</v>
          </cell>
          <cell r="AJ47">
            <v>1</v>
          </cell>
          <cell r="AK47">
            <v>2.3733425487754502E-2</v>
          </cell>
        </row>
        <row r="48">
          <cell r="I48" t="str">
            <v>Perpetual Growth Rate</v>
          </cell>
          <cell r="L48">
            <v>0.03</v>
          </cell>
          <cell r="AA48" t="str">
            <v>Bear Case</v>
          </cell>
          <cell r="AB48">
            <v>3</v>
          </cell>
          <cell r="AC48">
            <v>-2.6875292500000256</v>
          </cell>
          <cell r="AE48" t="str">
            <v>Bear Case</v>
          </cell>
          <cell r="AF48">
            <v>3</v>
          </cell>
          <cell r="AG48" t="str">
            <v>NM</v>
          </cell>
          <cell r="AI48" t="str">
            <v>Bear Case</v>
          </cell>
          <cell r="AJ48">
            <v>3</v>
          </cell>
          <cell r="AK48">
            <v>-7.5722747088242722E-3</v>
          </cell>
        </row>
        <row r="50">
          <cell r="AA50" t="str">
            <v>2015E EBITDA</v>
          </cell>
          <cell r="AC50">
            <v>36.152624800000012</v>
          </cell>
          <cell r="AE50" t="str">
            <v>2015E EBITDA multiple</v>
          </cell>
          <cell r="AG50">
            <v>11.839568821831969</v>
          </cell>
          <cell r="AI50" t="str">
            <v>2015E EBITDA margin</v>
          </cell>
          <cell r="AK50">
            <v>8.2942247846571809E-2</v>
          </cell>
        </row>
        <row r="51">
          <cell r="AA51" t="str">
            <v>Bull Case</v>
          </cell>
          <cell r="AB51">
            <v>2</v>
          </cell>
          <cell r="AC51">
            <v>46.560005367999992</v>
          </cell>
          <cell r="AE51" t="str">
            <v>Bull Case</v>
          </cell>
          <cell r="AF51">
            <v>2</v>
          </cell>
          <cell r="AG51">
            <v>12.403051105461136</v>
          </cell>
          <cell r="AI51" t="str">
            <v>Bull Case</v>
          </cell>
          <cell r="AJ51">
            <v>2</v>
          </cell>
          <cell r="AK51">
            <v>0.10188183486155115</v>
          </cell>
        </row>
        <row r="52">
          <cell r="AA52" t="str">
            <v>Base Case</v>
          </cell>
          <cell r="AB52">
            <v>1</v>
          </cell>
          <cell r="AC52">
            <v>36.152624800000012</v>
          </cell>
          <cell r="AE52" t="str">
            <v>Base Case</v>
          </cell>
          <cell r="AF52">
            <v>1</v>
          </cell>
          <cell r="AG52">
            <v>11.839568821831969</v>
          </cell>
          <cell r="AI52" t="str">
            <v>Base Case</v>
          </cell>
          <cell r="AJ52">
            <v>1</v>
          </cell>
          <cell r="AK52">
            <v>8.2942247846571809E-2</v>
          </cell>
        </row>
        <row r="53">
          <cell r="AA53" t="str">
            <v>Bear Case</v>
          </cell>
          <cell r="AB53">
            <v>3</v>
          </cell>
          <cell r="AC53">
            <v>18.305058502000005</v>
          </cell>
          <cell r="AE53" t="str">
            <v>Bear Case</v>
          </cell>
          <cell r="AF53">
            <v>3</v>
          </cell>
          <cell r="AG53">
            <v>11.295382178800347</v>
          </cell>
          <cell r="AI53" t="str">
            <v>Bear Case</v>
          </cell>
          <cell r="AJ53">
            <v>3</v>
          </cell>
          <cell r="AK53">
            <v>4.4081708750376258E-2</v>
          </cell>
        </row>
        <row r="55">
          <cell r="AA55" t="str">
            <v>2013E EPS</v>
          </cell>
          <cell r="AC55">
            <v>-6.0875005167624077E-2</v>
          </cell>
          <cell r="AE55" t="str">
            <v>2013E EPS multiple</v>
          </cell>
          <cell r="AG55" t="str">
            <v>NM</v>
          </cell>
          <cell r="AI55" t="str">
            <v>2014 to 2017E EBITDA CAGR</v>
          </cell>
          <cell r="AK55">
            <v>1.1086094154062542</v>
          </cell>
        </row>
        <row r="56">
          <cell r="AA56" t="str">
            <v>Bull Case</v>
          </cell>
          <cell r="AB56">
            <v>2</v>
          </cell>
          <cell r="AC56">
            <v>-6.0875005167624077E-2</v>
          </cell>
          <cell r="AE56" t="str">
            <v>Bull Case</v>
          </cell>
          <cell r="AF56">
            <v>2</v>
          </cell>
          <cell r="AG56" t="str">
            <v>NM</v>
          </cell>
          <cell r="AI56" t="str">
            <v>Bull Case</v>
          </cell>
          <cell r="AJ56">
            <v>2</v>
          </cell>
          <cell r="AK56">
            <v>0.90656495317382213</v>
          </cell>
        </row>
        <row r="57">
          <cell r="AA57" t="str">
            <v>Base Case</v>
          </cell>
          <cell r="AB57">
            <v>1</v>
          </cell>
          <cell r="AC57">
            <v>-6.0875005167624077E-2</v>
          </cell>
          <cell r="AE57" t="str">
            <v>Base Case</v>
          </cell>
          <cell r="AF57">
            <v>1</v>
          </cell>
          <cell r="AG57" t="str">
            <v>NM</v>
          </cell>
          <cell r="AI57" t="str">
            <v>Base Case</v>
          </cell>
          <cell r="AJ57">
            <v>1</v>
          </cell>
          <cell r="AK57">
            <v>1.1086094154062542</v>
          </cell>
        </row>
        <row r="58">
          <cell r="AA58" t="str">
            <v>Bear Case</v>
          </cell>
          <cell r="AB58">
            <v>3</v>
          </cell>
          <cell r="AC58">
            <v>-6.0875005167624077E-2</v>
          </cell>
          <cell r="AE58" t="str">
            <v>Bear Case</v>
          </cell>
          <cell r="AF58">
            <v>3</v>
          </cell>
          <cell r="AG58" t="str">
            <v>NM</v>
          </cell>
          <cell r="AI58" t="str">
            <v>Bear Case</v>
          </cell>
          <cell r="AJ58">
            <v>3</v>
          </cell>
          <cell r="AK58" t="str">
            <v>NM</v>
          </cell>
        </row>
        <row r="60">
          <cell r="AA60" t="str">
            <v>2014E EPS</v>
          </cell>
          <cell r="AC60">
            <v>-2.564710349977287E-2</v>
          </cell>
          <cell r="AE60" t="str">
            <v>2014E EPS multiple</v>
          </cell>
          <cell r="AG60" t="str">
            <v>NM</v>
          </cell>
        </row>
        <row r="61">
          <cell r="AA61" t="str">
            <v>Bull Case</v>
          </cell>
          <cell r="AB61">
            <v>2</v>
          </cell>
          <cell r="AC61">
            <v>1.2712882849282112E-2</v>
          </cell>
          <cell r="AE61" t="str">
            <v>Bull Case</v>
          </cell>
          <cell r="AF61">
            <v>2</v>
          </cell>
          <cell r="AG61">
            <v>471.96218758035798</v>
          </cell>
        </row>
        <row r="62">
          <cell r="AA62" t="str">
            <v>Base Case</v>
          </cell>
          <cell r="AB62">
            <v>1</v>
          </cell>
          <cell r="AC62">
            <v>-2.564710349977287E-2</v>
          </cell>
          <cell r="AE62" t="str">
            <v>Base Case</v>
          </cell>
          <cell r="AF62">
            <v>1</v>
          </cell>
          <cell r="AG62" t="str">
            <v>NM</v>
          </cell>
        </row>
        <row r="63">
          <cell r="AA63" t="str">
            <v>Bear Case</v>
          </cell>
          <cell r="AB63">
            <v>3</v>
          </cell>
          <cell r="AC63">
            <v>-9.91764401992518E-2</v>
          </cell>
          <cell r="AE63" t="str">
            <v>Bear Case</v>
          </cell>
          <cell r="AF63">
            <v>3</v>
          </cell>
          <cell r="AG63" t="str">
            <v>NM</v>
          </cell>
        </row>
        <row r="65">
          <cell r="AA65" t="str">
            <v>2015E EPS</v>
          </cell>
          <cell r="AC65">
            <v>0.18250615671531625</v>
          </cell>
          <cell r="AE65" t="str">
            <v>2015E EPS multiple</v>
          </cell>
          <cell r="AG65">
            <v>21.917068837515622</v>
          </cell>
        </row>
        <row r="66">
          <cell r="AA66" t="str">
            <v>Bull Case</v>
          </cell>
          <cell r="AB66">
            <v>2</v>
          </cell>
          <cell r="AC66">
            <v>0.23971113749499798</v>
          </cell>
          <cell r="AE66" t="str">
            <v>Bull Case</v>
          </cell>
          <cell r="AF66">
            <v>2</v>
          </cell>
          <cell r="AG66">
            <v>25.030126103861992</v>
          </cell>
        </row>
        <row r="67">
          <cell r="AA67" t="str">
            <v>Base Case</v>
          </cell>
          <cell r="AB67">
            <v>1</v>
          </cell>
          <cell r="AC67">
            <v>0.18250615671531625</v>
          </cell>
          <cell r="AE67" t="str">
            <v>Base Case</v>
          </cell>
          <cell r="AF67">
            <v>1</v>
          </cell>
          <cell r="AG67">
            <v>21.917068837515622</v>
          </cell>
        </row>
        <row r="68">
          <cell r="AA68" t="str">
            <v>Bear Case</v>
          </cell>
          <cell r="AB68">
            <v>3</v>
          </cell>
          <cell r="AC68">
            <v>8.3395785666373928E-2</v>
          </cell>
          <cell r="AE68" t="str">
            <v>Bear Case</v>
          </cell>
          <cell r="AF68">
            <v>3</v>
          </cell>
          <cell r="AG68">
            <v>23.982027197405749</v>
          </cell>
        </row>
        <row r="73">
          <cell r="I73" t="str">
            <v>Scenarios</v>
          </cell>
          <cell r="N73">
            <v>0</v>
          </cell>
          <cell r="O73">
            <v>0</v>
          </cell>
          <cell r="P73">
            <v>0</v>
          </cell>
          <cell r="Q73">
            <v>0</v>
          </cell>
          <cell r="R73">
            <v>0</v>
          </cell>
          <cell r="S73">
            <v>0</v>
          </cell>
          <cell r="T73">
            <v>0</v>
          </cell>
          <cell r="U73">
            <v>0</v>
          </cell>
          <cell r="V73">
            <v>0</v>
          </cell>
          <cell r="W73">
            <v>0</v>
          </cell>
          <cell r="X73">
            <v>0</v>
          </cell>
        </row>
        <row r="74">
          <cell r="I74" t="str">
            <v>Total revenue</v>
          </cell>
          <cell r="N74">
            <v>47.827999999999996</v>
          </cell>
          <cell r="O74">
            <v>103.678</v>
          </cell>
          <cell r="P74">
            <v>241.30500000000001</v>
          </cell>
          <cell r="Q74">
            <v>341.74900000000002</v>
          </cell>
          <cell r="R74">
            <v>363.23090000000002</v>
          </cell>
          <cell r="S74">
            <v>435.87708000000003</v>
          </cell>
          <cell r="T74">
            <v>514.33495440000002</v>
          </cell>
          <cell r="U74">
            <v>597.65721701279995</v>
          </cell>
          <cell r="V74">
            <v>684.79563925326613</v>
          </cell>
          <cell r="W74">
            <v>774.65452303607981</v>
          </cell>
          <cell r="X74">
            <v>866.13967289759478</v>
          </cell>
        </row>
        <row r="75">
          <cell r="I75" t="str">
            <v>Base case</v>
          </cell>
          <cell r="M75">
            <v>1</v>
          </cell>
          <cell r="N75">
            <v>47.827999999999996</v>
          </cell>
          <cell r="O75">
            <v>103.678</v>
          </cell>
          <cell r="P75">
            <v>241.30500000000001</v>
          </cell>
          <cell r="Q75">
            <v>341.74900000000002</v>
          </cell>
          <cell r="R75">
            <v>363.23090000000002</v>
          </cell>
          <cell r="S75">
            <v>435.87708000000003</v>
          </cell>
          <cell r="T75">
            <v>514.33495440000002</v>
          </cell>
          <cell r="U75">
            <v>597.65721701279995</v>
          </cell>
          <cell r="V75">
            <v>684.79563925326613</v>
          </cell>
          <cell r="W75">
            <v>774.65452303607981</v>
          </cell>
          <cell r="X75">
            <v>866.13967289759478</v>
          </cell>
        </row>
        <row r="76">
          <cell r="I76" t="str">
            <v>Bull case</v>
          </cell>
          <cell r="M76">
            <v>2</v>
          </cell>
          <cell r="N76">
            <v>47.827999999999996</v>
          </cell>
          <cell r="O76">
            <v>103.678</v>
          </cell>
          <cell r="P76">
            <v>241.30500000000001</v>
          </cell>
          <cell r="Q76">
            <v>341.74900000000002</v>
          </cell>
          <cell r="R76">
            <v>371.54476999999997</v>
          </cell>
          <cell r="S76">
            <v>457.00006709999997</v>
          </cell>
          <cell r="T76">
            <v>552.97008119099996</v>
          </cell>
          <cell r="U76">
            <v>659.14033677967188</v>
          </cell>
          <cell r="V76">
            <v>775.01720798553822</v>
          </cell>
          <cell r="W76">
            <v>899.96548225696677</v>
          </cell>
          <cell r="X76">
            <v>1033.2485702482591</v>
          </cell>
        </row>
        <row r="77">
          <cell r="I77" t="str">
            <v>Bear case</v>
          </cell>
          <cell r="M77">
            <v>3</v>
          </cell>
          <cell r="N77">
            <v>47.827999999999996</v>
          </cell>
          <cell r="O77">
            <v>103.678</v>
          </cell>
          <cell r="P77">
            <v>241.30500000000001</v>
          </cell>
          <cell r="Q77">
            <v>341.74900000000002</v>
          </cell>
          <cell r="R77">
            <v>354.91703000000001</v>
          </cell>
          <cell r="S77">
            <v>415.25292509999997</v>
          </cell>
          <cell r="T77">
            <v>477.54086386499995</v>
          </cell>
          <cell r="U77">
            <v>540.57625789517999</v>
          </cell>
          <cell r="V77">
            <v>603.17498855944189</v>
          </cell>
          <cell r="W77">
            <v>664.22836090142869</v>
          </cell>
          <cell r="X77">
            <v>722.74555104012279</v>
          </cell>
        </row>
        <row r="79">
          <cell r="I79" t="str">
            <v>US revenue</v>
          </cell>
          <cell r="N79">
            <v>46.321999999999996</v>
          </cell>
          <cell r="O79">
            <v>93.356999999999999</v>
          </cell>
          <cell r="P79">
            <v>215.08099999999999</v>
          </cell>
          <cell r="Q79">
            <v>272.55425863112407</v>
          </cell>
          <cell r="R79">
            <v>286.16098813698028</v>
          </cell>
          <cell r="S79">
            <v>330.31687336437636</v>
          </cell>
          <cell r="T79">
            <v>374.34386193796405</v>
          </cell>
          <cell r="U79">
            <v>417.05785106153019</v>
          </cell>
          <cell r="V79">
            <v>457.32101656870321</v>
          </cell>
          <cell r="W79">
            <v>494.0910446717661</v>
          </cell>
          <cell r="X79">
            <v>526.45801867848445</v>
          </cell>
        </row>
        <row r="80">
          <cell r="I80" t="str">
            <v>Base case</v>
          </cell>
          <cell r="M80">
            <v>1</v>
          </cell>
          <cell r="N80">
            <v>46.321999999999996</v>
          </cell>
          <cell r="O80">
            <v>93.356999999999999</v>
          </cell>
          <cell r="P80">
            <v>215.08099999999999</v>
          </cell>
          <cell r="Q80">
            <v>272.55425863112407</v>
          </cell>
          <cell r="R80">
            <v>286.16098813698028</v>
          </cell>
          <cell r="S80">
            <v>330.31687336437636</v>
          </cell>
          <cell r="T80">
            <v>374.34386193796405</v>
          </cell>
          <cell r="U80">
            <v>417.05785106153019</v>
          </cell>
          <cell r="V80">
            <v>457.32101656870321</v>
          </cell>
          <cell r="W80">
            <v>494.0910446717661</v>
          </cell>
          <cell r="X80">
            <v>526.45801867848445</v>
          </cell>
        </row>
        <row r="81">
          <cell r="I81" t="str">
            <v>Bull case</v>
          </cell>
          <cell r="M81">
            <v>2</v>
          </cell>
          <cell r="N81">
            <v>46.321999999999996</v>
          </cell>
          <cell r="O81">
            <v>93.356999999999999</v>
          </cell>
          <cell r="P81">
            <v>215.08099999999999</v>
          </cell>
          <cell r="Q81">
            <v>272.55425863112407</v>
          </cell>
          <cell r="R81">
            <v>292.6794861256015</v>
          </cell>
          <cell r="S81">
            <v>346.28576592148988</v>
          </cell>
          <cell r="T81">
            <v>402.41667432927272</v>
          </cell>
          <cell r="U81">
            <v>459.90646569710293</v>
          </cell>
          <cell r="V81">
            <v>517.50750612708748</v>
          </cell>
          <cell r="W81">
            <v>573.94110179718746</v>
          </cell>
          <cell r="X81">
            <v>627.94317398369958</v>
          </cell>
        </row>
        <row r="82">
          <cell r="I82" t="str">
            <v>Bear case</v>
          </cell>
          <cell r="M82">
            <v>3</v>
          </cell>
          <cell r="N82">
            <v>46.321999999999996</v>
          </cell>
          <cell r="O82">
            <v>93.356999999999999</v>
          </cell>
          <cell r="P82">
            <v>215.08099999999999</v>
          </cell>
          <cell r="Q82">
            <v>272.55425863112407</v>
          </cell>
          <cell r="R82">
            <v>279.642490148359</v>
          </cell>
          <cell r="S82">
            <v>314.72412572057999</v>
          </cell>
          <cell r="T82">
            <v>347.60651866271701</v>
          </cell>
          <cell r="U82">
            <v>377.27329138934022</v>
          </cell>
          <cell r="V82">
            <v>402.86628887544259</v>
          </cell>
          <cell r="W82">
            <v>423.71756380837212</v>
          </cell>
          <cell r="X82">
            <v>439.36386721355836</v>
          </cell>
        </row>
        <row r="84">
          <cell r="I84" t="str">
            <v>International revenue</v>
          </cell>
          <cell r="N84">
            <v>1.506</v>
          </cell>
          <cell r="O84">
            <v>10.321000000000002</v>
          </cell>
          <cell r="P84">
            <v>26.224000000000004</v>
          </cell>
          <cell r="Q84">
            <v>69.19474136887591</v>
          </cell>
          <cell r="R84">
            <v>77.06991186301974</v>
          </cell>
          <cell r="S84">
            <v>105.56020663562369</v>
          </cell>
          <cell r="T84">
            <v>139.99109246203597</v>
          </cell>
          <cell r="U84">
            <v>180.59936595126979</v>
          </cell>
          <cell r="V84">
            <v>227.47462268456292</v>
          </cell>
          <cell r="W84">
            <v>280.56347836431371</v>
          </cell>
          <cell r="X84">
            <v>339.68165421911027</v>
          </cell>
        </row>
        <row r="85">
          <cell r="I85" t="str">
            <v>Base case</v>
          </cell>
          <cell r="M85">
            <v>1</v>
          </cell>
          <cell r="N85">
            <v>1.506</v>
          </cell>
          <cell r="O85">
            <v>10.321000000000002</v>
          </cell>
          <cell r="P85">
            <v>26.224000000000004</v>
          </cell>
          <cell r="Q85">
            <v>69.19474136887591</v>
          </cell>
          <cell r="R85">
            <v>77.06991186301974</v>
          </cell>
          <cell r="S85">
            <v>105.56020663562369</v>
          </cell>
          <cell r="T85">
            <v>139.99109246203597</v>
          </cell>
          <cell r="U85">
            <v>180.59936595126979</v>
          </cell>
          <cell r="V85">
            <v>227.47462268456292</v>
          </cell>
          <cell r="W85">
            <v>280.56347836431371</v>
          </cell>
          <cell r="X85">
            <v>339.68165421911027</v>
          </cell>
        </row>
        <row r="86">
          <cell r="I86" t="str">
            <v>Bull case</v>
          </cell>
          <cell r="M86">
            <v>2</v>
          </cell>
          <cell r="N86">
            <v>1.506</v>
          </cell>
          <cell r="O86">
            <v>10.321000000000002</v>
          </cell>
          <cell r="P86">
            <v>26.224000000000004</v>
          </cell>
          <cell r="Q86">
            <v>69.19474136887591</v>
          </cell>
          <cell r="R86">
            <v>78.865283874398457</v>
          </cell>
          <cell r="S86">
            <v>110.7143011785101</v>
          </cell>
          <cell r="T86">
            <v>150.55340686172721</v>
          </cell>
          <cell r="U86">
            <v>199.23387108256898</v>
          </cell>
          <cell r="V86">
            <v>257.5097018584508</v>
          </cell>
          <cell r="W86">
            <v>326.02438045977925</v>
          </cell>
          <cell r="X86">
            <v>405.30539626455948</v>
          </cell>
        </row>
        <row r="87">
          <cell r="I87" t="str">
            <v>Bear case</v>
          </cell>
          <cell r="M87">
            <v>3</v>
          </cell>
          <cell r="N87">
            <v>1.506</v>
          </cell>
          <cell r="O87">
            <v>10.321000000000002</v>
          </cell>
          <cell r="P87">
            <v>26.224000000000004</v>
          </cell>
          <cell r="Q87">
            <v>69.19474136887591</v>
          </cell>
          <cell r="R87">
            <v>75.274539851641023</v>
          </cell>
          <cell r="S87">
            <v>100.52879937941999</v>
          </cell>
          <cell r="T87">
            <v>129.93434520228297</v>
          </cell>
          <cell r="U87">
            <v>163.30296650583975</v>
          </cell>
          <cell r="V87">
            <v>200.30869968399927</v>
          </cell>
          <cell r="W87">
            <v>240.5107970930566</v>
          </cell>
          <cell r="X87">
            <v>283.38168382656443</v>
          </cell>
        </row>
        <row r="89">
          <cell r="I89" t="str">
            <v>Total revenue growth</v>
          </cell>
          <cell r="N89">
            <v>1.9487053020961773</v>
          </cell>
          <cell r="O89">
            <v>1.1677260182319982</v>
          </cell>
          <cell r="P89">
            <v>1.3274465171010243</v>
          </cell>
          <cell r="Q89">
            <v>0.4162532894055242</v>
          </cell>
          <cell r="R89">
            <v>6.2858706243471119E-2</v>
          </cell>
          <cell r="S89">
            <v>0.19999999999999996</v>
          </cell>
          <cell r="T89">
            <v>0.17999999999999994</v>
          </cell>
          <cell r="U89">
            <v>0.16199999999999992</v>
          </cell>
          <cell r="V89">
            <v>0.14579999999999993</v>
          </cell>
          <cell r="W89">
            <v>0.13122000000000011</v>
          </cell>
          <cell r="X89">
            <v>0.11809800000000004</v>
          </cell>
        </row>
        <row r="90">
          <cell r="I90" t="str">
            <v>Base case</v>
          </cell>
          <cell r="M90">
            <v>1</v>
          </cell>
          <cell r="N90">
            <v>1.9487053020961773</v>
          </cell>
          <cell r="O90">
            <v>1.1677260182319982</v>
          </cell>
          <cell r="P90">
            <v>1.3274465171010243</v>
          </cell>
          <cell r="Q90">
            <v>0.4162532894055242</v>
          </cell>
          <cell r="R90">
            <v>6.2858706243471119E-2</v>
          </cell>
          <cell r="S90">
            <v>0.19999999999999996</v>
          </cell>
          <cell r="T90">
            <v>0.17999999999999994</v>
          </cell>
          <cell r="U90">
            <v>0.16199999999999992</v>
          </cell>
          <cell r="V90">
            <v>0.14579999999999993</v>
          </cell>
          <cell r="W90">
            <v>0.13122000000000011</v>
          </cell>
          <cell r="X90">
            <v>0.11809800000000004</v>
          </cell>
        </row>
        <row r="91">
          <cell r="I91" t="str">
            <v>Bull case</v>
          </cell>
          <cell r="M91">
            <v>2</v>
          </cell>
          <cell r="N91">
            <v>1.9487053020961773</v>
          </cell>
          <cell r="O91">
            <v>1.1677260182319982</v>
          </cell>
          <cell r="P91">
            <v>1.3274465171010243</v>
          </cell>
          <cell r="Q91">
            <v>0.4162532894055242</v>
          </cell>
          <cell r="R91">
            <v>8.7186121978410913E-2</v>
          </cell>
          <cell r="S91">
            <v>0.22999999999999998</v>
          </cell>
          <cell r="T91">
            <v>0.20999999999999996</v>
          </cell>
          <cell r="U91">
            <v>0.19199999999999995</v>
          </cell>
          <cell r="V91">
            <v>0.17579999999999996</v>
          </cell>
          <cell r="W91">
            <v>0.16122000000000014</v>
          </cell>
          <cell r="X91">
            <v>0.14809800000000006</v>
          </cell>
        </row>
        <row r="92">
          <cell r="I92" t="str">
            <v>Bear case</v>
          </cell>
          <cell r="M92">
            <v>3</v>
          </cell>
          <cell r="N92">
            <v>1.9487053020961773</v>
          </cell>
          <cell r="O92">
            <v>1.1677260182319982</v>
          </cell>
          <cell r="P92">
            <v>1.3274465171010243</v>
          </cell>
          <cell r="Q92">
            <v>0.4162532894055242</v>
          </cell>
          <cell r="R92">
            <v>3.8531290508531102E-2</v>
          </cell>
          <cell r="S92">
            <v>0.16999999999999993</v>
          </cell>
          <cell r="T92">
            <v>0.14999999999999991</v>
          </cell>
          <cell r="U92">
            <v>0.13200000000000012</v>
          </cell>
          <cell r="V92">
            <v>0.11580000000000013</v>
          </cell>
          <cell r="W92">
            <v>0.10122000000000009</v>
          </cell>
          <cell r="X92">
            <v>8.809800000000001E-2</v>
          </cell>
        </row>
        <row r="94">
          <cell r="I94" t="str">
            <v>US revenue growth</v>
          </cell>
          <cell r="N94">
            <v>1.884704006775523</v>
          </cell>
          <cell r="O94">
            <v>1.015392254220457</v>
          </cell>
          <cell r="P94">
            <v>1.3038550938869071</v>
          </cell>
          <cell r="Q94">
            <v>0.26721680962578787</v>
          </cell>
          <cell r="R94">
            <v>4.9923011932356598E-2</v>
          </cell>
          <cell r="S94">
            <v>0.15430434985169761</v>
          </cell>
          <cell r="T94">
            <v>0.13328713161141192</v>
          </cell>
          <cell r="U94">
            <v>0.11410361826807414</v>
          </cell>
          <cell r="V94">
            <v>9.6540960455945957E-2</v>
          </cell>
          <cell r="W94">
            <v>8.0403101477709793E-2</v>
          </cell>
          <cell r="X94">
            <v>6.5508117088461493E-2</v>
          </cell>
        </row>
        <row r="95">
          <cell r="I95" t="str">
            <v>Base case</v>
          </cell>
          <cell r="M95">
            <v>1</v>
          </cell>
          <cell r="N95">
            <v>1.884704006775523</v>
          </cell>
          <cell r="O95">
            <v>1.015392254220457</v>
          </cell>
          <cell r="P95">
            <v>1.3038550938869071</v>
          </cell>
          <cell r="Q95">
            <v>0.26721680962578787</v>
          </cell>
          <cell r="R95">
            <v>4.9923011932356598E-2</v>
          </cell>
          <cell r="S95">
            <v>0.15430434985169761</v>
          </cell>
          <cell r="T95">
            <v>0.13328713161141192</v>
          </cell>
          <cell r="U95">
            <v>0.11410361826807414</v>
          </cell>
          <cell r="V95">
            <v>9.6540960455945957E-2</v>
          </cell>
          <cell r="W95">
            <v>8.0403101477709793E-2</v>
          </cell>
          <cell r="X95">
            <v>6.5508117088461493E-2</v>
          </cell>
        </row>
        <row r="96">
          <cell r="I96" t="str">
            <v>Bull case</v>
          </cell>
          <cell r="M96">
            <v>2</v>
          </cell>
          <cell r="N96">
            <v>1.884704006775523</v>
          </cell>
          <cell r="O96">
            <v>1.015392254220457</v>
          </cell>
          <cell r="P96">
            <v>1.3038550938869071</v>
          </cell>
          <cell r="Q96">
            <v>0.26721680962578787</v>
          </cell>
          <cell r="R96">
            <v>7.3839343386356671E-2</v>
          </cell>
          <cell r="S96">
            <v>0.18315694244756053</v>
          </cell>
          <cell r="T96">
            <v>0.16209418327783331</v>
          </cell>
          <cell r="U96">
            <v>0.14286135499641306</v>
          </cell>
          <cell r="V96">
            <v>0.12524511988035614</v>
          </cell>
          <cell r="W96">
            <v>0.10904884470649834</v>
          </cell>
          <cell r="X96">
            <v>9.4089919710254044E-2</v>
          </cell>
        </row>
        <row r="97">
          <cell r="I97" t="str">
            <v>Bear case</v>
          </cell>
          <cell r="M97">
            <v>3</v>
          </cell>
          <cell r="N97">
            <v>1.884704006775523</v>
          </cell>
          <cell r="O97">
            <v>1.015392254220457</v>
          </cell>
          <cell r="P97">
            <v>1.3038550938869071</v>
          </cell>
          <cell r="Q97">
            <v>0.26721680962578787</v>
          </cell>
          <cell r="R97">
            <v>2.6006680478356303E-2</v>
          </cell>
          <cell r="S97">
            <v>0.12545173501211893</v>
          </cell>
          <cell r="T97">
            <v>0.10448005174961028</v>
          </cell>
          <cell r="U97">
            <v>8.5345846909760992E-2</v>
          </cell>
          <cell r="V97">
            <v>6.7836759373699707E-2</v>
          </cell>
          <cell r="W97">
            <v>5.1757308835975291E-2</v>
          </cell>
          <cell r="X97">
            <v>3.6926256406643487E-2</v>
          </cell>
        </row>
        <row r="99">
          <cell r="I99" t="str">
            <v>International revenue growth</v>
          </cell>
          <cell r="N99">
            <v>8.2848335388409371</v>
          </cell>
          <cell r="O99">
            <v>5.8532536520584335</v>
          </cell>
          <cell r="P99">
            <v>1.5408390659819786</v>
          </cell>
          <cell r="Q99">
            <v>1.6386036214488979</v>
          </cell>
          <cell r="R99">
            <v>0.11381169057575402</v>
          </cell>
          <cell r="S99">
            <v>0.36966818936086487</v>
          </cell>
          <cell r="T99">
            <v>0.32617296729308221</v>
          </cell>
          <cell r="U99">
            <v>0.29007755261461599</v>
          </cell>
          <cell r="V99">
            <v>0.259553827813223</v>
          </cell>
          <cell r="W99">
            <v>0.23338364101110587</v>
          </cell>
          <cell r="X99">
            <v>0.21071230011637931</v>
          </cell>
        </row>
        <row r="100">
          <cell r="I100" t="str">
            <v>Base case</v>
          </cell>
          <cell r="M100">
            <v>1</v>
          </cell>
          <cell r="N100">
            <v>8.2848335388409371</v>
          </cell>
          <cell r="O100">
            <v>5.8532536520584335</v>
          </cell>
          <cell r="P100">
            <v>1.5408390659819786</v>
          </cell>
          <cell r="Q100">
            <v>1.6386036214488979</v>
          </cell>
          <cell r="R100">
            <v>0.11381169057575402</v>
          </cell>
          <cell r="S100">
            <v>0.36966818936086487</v>
          </cell>
          <cell r="T100">
            <v>0.32617296729308221</v>
          </cell>
          <cell r="U100">
            <v>0.29007755261461599</v>
          </cell>
          <cell r="V100">
            <v>0.259553827813223</v>
          </cell>
          <cell r="W100">
            <v>0.23338364101110587</v>
          </cell>
          <cell r="X100">
            <v>0.21071230011637931</v>
          </cell>
        </row>
        <row r="101">
          <cell r="I101" t="str">
            <v>Bull case</v>
          </cell>
          <cell r="M101">
            <v>2</v>
          </cell>
          <cell r="N101">
            <v>8.2848335388409371</v>
          </cell>
          <cell r="O101">
            <v>5.8532536520584335</v>
          </cell>
          <cell r="P101">
            <v>1.5408390659819786</v>
          </cell>
          <cell r="Q101">
            <v>1.6386036214488979</v>
          </cell>
          <cell r="R101">
            <v>0.13975834455351244</v>
          </cell>
          <cell r="S101">
            <v>0.4038407742858654</v>
          </cell>
          <cell r="T101">
            <v>0.35983703332943917</v>
          </cell>
          <cell r="U101">
            <v>0.32334349142660956</v>
          </cell>
          <cell r="V101">
            <v>0.29249961594999285</v>
          </cell>
          <cell r="W101">
            <v>0.26606639713710645</v>
          </cell>
          <cell r="X101">
            <v>0.24317511375368106</v>
          </cell>
        </row>
        <row r="102">
          <cell r="I102" t="str">
            <v>Bear case</v>
          </cell>
          <cell r="M102">
            <v>3</v>
          </cell>
          <cell r="N102">
            <v>8.2848335388409371</v>
          </cell>
          <cell r="O102">
            <v>5.8532536520584335</v>
          </cell>
          <cell r="P102">
            <v>1.5408390659819786</v>
          </cell>
          <cell r="Q102">
            <v>1.6386036214488979</v>
          </cell>
          <cell r="R102">
            <v>8.7865036597995383E-2</v>
          </cell>
          <cell r="S102">
            <v>0.33549536905244093</v>
          </cell>
          <cell r="T102">
            <v>0.2925086741748435</v>
          </cell>
          <cell r="U102">
            <v>0.25681140157060245</v>
          </cell>
          <cell r="V102">
            <v>0.22660784411920765</v>
          </cell>
          <cell r="W102">
            <v>0.20070070582295685</v>
          </cell>
          <cell r="X102">
            <v>0.17824932290636641</v>
          </cell>
        </row>
        <row r="104">
          <cell r="I104" t="str">
            <v>EBITDA</v>
          </cell>
          <cell r="N104">
            <v>-6.3570000000000011</v>
          </cell>
          <cell r="O104">
            <v>1.8920000000000079</v>
          </cell>
          <cell r="P104">
            <v>-6.6749999999999758</v>
          </cell>
          <cell r="Q104">
            <v>3.5189999999999912</v>
          </cell>
          <cell r="R104">
            <v>8.6207135000000079</v>
          </cell>
          <cell r="S104">
            <v>36.152624800000012</v>
          </cell>
          <cell r="T104">
            <v>55.904394680199999</v>
          </cell>
          <cell r="U104">
            <v>80.822380216016811</v>
          </cell>
          <cell r="V104">
            <v>111.17855569967007</v>
          </cell>
          <cell r="W104">
            <v>147.5011778389042</v>
          </cell>
          <cell r="X104">
            <v>172.40118866829897</v>
          </cell>
        </row>
        <row r="105">
          <cell r="I105" t="str">
            <v>Base case</v>
          </cell>
          <cell r="M105">
            <v>1</v>
          </cell>
          <cell r="N105">
            <v>-6.3570000000000011</v>
          </cell>
          <cell r="O105">
            <v>1.8920000000000079</v>
          </cell>
          <cell r="P105">
            <v>-6.6749999999999758</v>
          </cell>
          <cell r="Q105">
            <v>3.5189999999999912</v>
          </cell>
          <cell r="R105">
            <v>8.6207135000000079</v>
          </cell>
          <cell r="S105">
            <v>36.152624800000012</v>
          </cell>
          <cell r="T105">
            <v>55.904394680199999</v>
          </cell>
          <cell r="U105">
            <v>80.822380216016811</v>
          </cell>
          <cell r="V105">
            <v>111.17855569967007</v>
          </cell>
          <cell r="W105">
            <v>147.5011778389042</v>
          </cell>
          <cell r="X105">
            <v>172.40118866829897</v>
          </cell>
        </row>
        <row r="106">
          <cell r="I106" t="str">
            <v>Bull case</v>
          </cell>
          <cell r="M106">
            <v>2</v>
          </cell>
          <cell r="N106">
            <v>-6.3570000000000011</v>
          </cell>
          <cell r="O106">
            <v>1.8920000000000079</v>
          </cell>
          <cell r="P106">
            <v>-6.6749999999999758</v>
          </cell>
          <cell r="Q106">
            <v>3.5189999999999912</v>
          </cell>
          <cell r="R106">
            <v>14.615570449999993</v>
          </cell>
          <cell r="S106">
            <v>46.560005367999992</v>
          </cell>
          <cell r="T106">
            <v>70.411981370116791</v>
          </cell>
          <cell r="U106">
            <v>101.29093664398459</v>
          </cell>
          <cell r="V106">
            <v>140.00913663957408</v>
          </cell>
          <cell r="W106">
            <v>187.74318274575091</v>
          </cell>
          <cell r="X106">
            <v>224.39907832651372</v>
          </cell>
        </row>
        <row r="107">
          <cell r="I107" t="str">
            <v>Bear case</v>
          </cell>
          <cell r="M107">
            <v>3</v>
          </cell>
          <cell r="N107">
            <v>-6.3570000000000011</v>
          </cell>
          <cell r="O107">
            <v>1.8920000000000079</v>
          </cell>
          <cell r="P107">
            <v>-6.6749999999999758</v>
          </cell>
          <cell r="Q107">
            <v>3.5189999999999912</v>
          </cell>
          <cell r="R107">
            <v>-2.6875292500000256</v>
          </cell>
          <cell r="S107">
            <v>18.305058502000005</v>
          </cell>
          <cell r="T107">
            <v>33.518887545351248</v>
          </cell>
          <cell r="U107">
            <v>52.435236244771644</v>
          </cell>
          <cell r="V107">
            <v>74.992105017279897</v>
          </cell>
          <cell r="W107">
            <v>101.33139962394644</v>
          </cell>
          <cell r="X107">
            <v>116.60496877841811</v>
          </cell>
        </row>
        <row r="109">
          <cell r="I109" t="str">
            <v>EBITDA growth</v>
          </cell>
          <cell r="N109">
            <v>-9.8041997729852337E-2</v>
          </cell>
          <cell r="O109">
            <v>-1.2976246657228265</v>
          </cell>
          <cell r="P109">
            <v>-4.5280126849894016</v>
          </cell>
          <cell r="Q109">
            <v>-1.5271910112359557</v>
          </cell>
          <cell r="R109">
            <v>1.4497622904234242</v>
          </cell>
          <cell r="S109">
            <v>3.1936928770454998</v>
          </cell>
          <cell r="T109">
            <v>0.54634400654084669</v>
          </cell>
          <cell r="U109">
            <v>0.44572498599367116</v>
          </cell>
          <cell r="V109">
            <v>0.37559120880279995</v>
          </cell>
          <cell r="W109">
            <v>0.32670528871910798</v>
          </cell>
          <cell r="X109">
            <v>0.16881228471673437</v>
          </cell>
        </row>
        <row r="110">
          <cell r="I110" t="str">
            <v>Base case</v>
          </cell>
          <cell r="M110">
            <v>1</v>
          </cell>
          <cell r="N110">
            <v>-9.8041997729852337E-2</v>
          </cell>
          <cell r="O110">
            <v>-1.2976246657228265</v>
          </cell>
          <cell r="P110">
            <v>-4.5280126849894016</v>
          </cell>
          <cell r="Q110">
            <v>-1.5271910112359557</v>
          </cell>
          <cell r="R110">
            <v>1.4497622904234242</v>
          </cell>
          <cell r="S110">
            <v>3.1936928770454998</v>
          </cell>
          <cell r="T110">
            <v>0.54634400654084669</v>
          </cell>
          <cell r="U110">
            <v>0.44572498599367116</v>
          </cell>
          <cell r="V110">
            <v>0.37559120880279995</v>
          </cell>
          <cell r="W110">
            <v>0.32670528871910798</v>
          </cell>
          <cell r="X110">
            <v>0.16881228471673437</v>
          </cell>
        </row>
        <row r="111">
          <cell r="I111" t="str">
            <v>Bull case</v>
          </cell>
          <cell r="M111">
            <v>2</v>
          </cell>
          <cell r="N111">
            <v>-9.8041997729852337E-2</v>
          </cell>
          <cell r="O111">
            <v>-1.2976246657228265</v>
          </cell>
          <cell r="P111">
            <v>-4.5280126849894016</v>
          </cell>
          <cell r="Q111">
            <v>-1.5271910112359557</v>
          </cell>
          <cell r="R111">
            <v>3.1533306194941826</v>
          </cell>
          <cell r="S111">
            <v>2.1856440723461477</v>
          </cell>
          <cell r="T111">
            <v>0.51228464888687308</v>
          </cell>
          <cell r="U111">
            <v>0.4385468875183931</v>
          </cell>
          <cell r="V111">
            <v>0.3822474278392296</v>
          </cell>
          <cell r="W111">
            <v>0.3409352221709554</v>
          </cell>
          <cell r="X111">
            <v>0.19524488210260937</v>
          </cell>
        </row>
        <row r="112">
          <cell r="I112" t="str">
            <v>Bear case</v>
          </cell>
          <cell r="M112">
            <v>3</v>
          </cell>
          <cell r="N112">
            <v>-9.8041997729852337E-2</v>
          </cell>
          <cell r="O112">
            <v>-1.2976246657228265</v>
          </cell>
          <cell r="P112">
            <v>-4.5280126849894016</v>
          </cell>
          <cell r="Q112">
            <v>-1.5271910112359557</v>
          </cell>
          <cell r="R112">
            <v>-1.7637195936345644</v>
          </cell>
          <cell r="S112">
            <v>-7.8111104286585276</v>
          </cell>
          <cell r="T112">
            <v>0.83112703746284033</v>
          </cell>
          <cell r="U112">
            <v>0.56434894128948843</v>
          </cell>
          <cell r="V112">
            <v>0.43018531788835812</v>
          </cell>
          <cell r="W112">
            <v>0.35122756722987525</v>
          </cell>
          <cell r="X112">
            <v>0.15072888770069115</v>
          </cell>
        </row>
        <row r="114">
          <cell r="I114" t="str">
            <v>EBITDA margin</v>
          </cell>
          <cell r="N114">
            <v>-0.13291377435811663</v>
          </cell>
          <cell r="O114">
            <v>1.8248808811898453E-2</v>
          </cell>
          <cell r="P114">
            <v>-2.7662087399763682E-2</v>
          </cell>
          <cell r="Q114">
            <v>1.0297030861831319E-2</v>
          </cell>
          <cell r="R114">
            <v>2.3733425487754502E-2</v>
          </cell>
          <cell r="S114">
            <v>8.2942247846571809E-2</v>
          </cell>
          <cell r="T114">
            <v>0.10869258292082355</v>
          </cell>
          <cell r="U114">
            <v>0.13523199907127675</v>
          </cell>
          <cell r="V114">
            <v>0.16235289672829178</v>
          </cell>
          <cell r="W114">
            <v>0.19040898032946008</v>
          </cell>
          <cell r="X114">
            <v>0.19904548199662281</v>
          </cell>
        </row>
        <row r="115">
          <cell r="I115" t="str">
            <v>Base case</v>
          </cell>
          <cell r="M115">
            <v>1</v>
          </cell>
          <cell r="N115">
            <v>-0.13291377435811663</v>
          </cell>
          <cell r="O115">
            <v>1.8248808811898453E-2</v>
          </cell>
          <cell r="P115">
            <v>-2.7662087399763682E-2</v>
          </cell>
          <cell r="Q115">
            <v>1.0297030861831319E-2</v>
          </cell>
          <cell r="R115">
            <v>2.3733425487754502E-2</v>
          </cell>
          <cell r="S115">
            <v>8.2942247846571809E-2</v>
          </cell>
          <cell r="T115">
            <v>0.10869258292082355</v>
          </cell>
          <cell r="U115">
            <v>0.13523199907127675</v>
          </cell>
          <cell r="V115">
            <v>0.16235289672829178</v>
          </cell>
          <cell r="W115">
            <v>0.19040898032946008</v>
          </cell>
          <cell r="X115">
            <v>0.19904548199662281</v>
          </cell>
        </row>
        <row r="116">
          <cell r="I116" t="str">
            <v>Bull case</v>
          </cell>
          <cell r="M116">
            <v>2</v>
          </cell>
          <cell r="N116">
            <v>-0.13291377435811663</v>
          </cell>
          <cell r="O116">
            <v>1.8248808811898453E-2</v>
          </cell>
          <cell r="P116">
            <v>-2.7662087399763682E-2</v>
          </cell>
          <cell r="Q116">
            <v>1.0297030861831319E-2</v>
          </cell>
          <cell r="R116">
            <v>3.9337306376294824E-2</v>
          </cell>
          <cell r="S116">
            <v>0.10188183486155115</v>
          </cell>
          <cell r="T116">
            <v>0.12733416104260434</v>
          </cell>
          <cell r="U116">
            <v>0.15367127604245331</v>
          </cell>
          <cell r="V116">
            <v>0.18065293931149287</v>
          </cell>
          <cell r="W116">
            <v>0.2086115372724314</v>
          </cell>
          <cell r="X116">
            <v>0.21717821324698011</v>
          </cell>
        </row>
        <row r="117">
          <cell r="I117" t="str">
            <v>Bear case</v>
          </cell>
          <cell r="M117">
            <v>3</v>
          </cell>
          <cell r="N117">
            <v>-0.13291377435811663</v>
          </cell>
          <cell r="O117">
            <v>1.8248808811898453E-2</v>
          </cell>
          <cell r="P117">
            <v>-2.7662087399763682E-2</v>
          </cell>
          <cell r="Q117">
            <v>1.0297030861831319E-2</v>
          </cell>
          <cell r="R117">
            <v>-7.5722747088242722E-3</v>
          </cell>
          <cell r="S117">
            <v>4.4081708750376258E-2</v>
          </cell>
          <cell r="T117">
            <v>7.0190616304674991E-2</v>
          </cell>
          <cell r="U117">
            <v>9.6998777654306562E-2</v>
          </cell>
          <cell r="V117">
            <v>0.12432893677568255</v>
          </cell>
          <cell r="W117">
            <v>0.15255506327135585</v>
          </cell>
          <cell r="X117">
            <v>0.16133612806140243</v>
          </cell>
        </row>
        <row r="119">
          <cell r="I119" t="str">
            <v>Adjusted operating income</v>
          </cell>
          <cell r="N119">
            <v>-6.4755185185185198</v>
          </cell>
          <cell r="O119">
            <v>1.3555925925926005</v>
          </cell>
          <cell r="P119">
            <v>-8.7389999999999759</v>
          </cell>
          <cell r="Q119">
            <v>-2.3650000000000091</v>
          </cell>
          <cell r="R119">
            <v>2.4747135000000071</v>
          </cell>
          <cell r="S119">
            <v>31.79385400000001</v>
          </cell>
          <cell r="T119">
            <v>51.146796351999996</v>
          </cell>
          <cell r="U119">
            <v>75.742293871408009</v>
          </cell>
          <cell r="V119">
            <v>105.87138949545727</v>
          </cell>
          <cell r="W119">
            <v>141.69126891613359</v>
          </cell>
          <cell r="X119">
            <v>165.905141121567</v>
          </cell>
        </row>
        <row r="120">
          <cell r="I120" t="str">
            <v>Base case</v>
          </cell>
          <cell r="M120">
            <v>1</v>
          </cell>
          <cell r="N120">
            <v>-6.4755185185185198</v>
          </cell>
          <cell r="O120">
            <v>1.3555925925926005</v>
          </cell>
          <cell r="P120">
            <v>-8.7389999999999759</v>
          </cell>
          <cell r="Q120">
            <v>-2.3650000000000091</v>
          </cell>
          <cell r="R120">
            <v>2.4747135000000071</v>
          </cell>
          <cell r="S120">
            <v>31.79385400000001</v>
          </cell>
          <cell r="T120">
            <v>51.146796351999996</v>
          </cell>
          <cell r="U120">
            <v>75.742293871408009</v>
          </cell>
          <cell r="V120">
            <v>105.87138949545727</v>
          </cell>
          <cell r="W120">
            <v>141.69126891613359</v>
          </cell>
          <cell r="X120">
            <v>165.905141121567</v>
          </cell>
        </row>
        <row r="121">
          <cell r="I121" t="str">
            <v>Bull case</v>
          </cell>
          <cell r="M121">
            <v>2</v>
          </cell>
          <cell r="N121">
            <v>-6.4755185185185198</v>
          </cell>
          <cell r="O121">
            <v>1.3555925925926005</v>
          </cell>
          <cell r="P121">
            <v>-8.7389999999999759</v>
          </cell>
          <cell r="Q121">
            <v>-2.3650000000000091</v>
          </cell>
          <cell r="R121">
            <v>8.469570449999992</v>
          </cell>
          <cell r="S121">
            <v>41.990004696999989</v>
          </cell>
          <cell r="T121">
            <v>65.297008119100042</v>
          </cell>
          <cell r="U121">
            <v>95.688243781357386</v>
          </cell>
          <cell r="V121">
            <v>134.00275327768617</v>
          </cell>
          <cell r="W121">
            <v>180.99344162882366</v>
          </cell>
          <cell r="X121">
            <v>216.64971404965178</v>
          </cell>
        </row>
        <row r="122">
          <cell r="I122" t="str">
            <v>Bear case</v>
          </cell>
          <cell r="M122">
            <v>3</v>
          </cell>
          <cell r="N122">
            <v>-6.4755185185185198</v>
          </cell>
          <cell r="O122">
            <v>1.3555925925926005</v>
          </cell>
          <cell r="P122">
            <v>-8.7389999999999759</v>
          </cell>
          <cell r="Q122">
            <v>-2.3650000000000091</v>
          </cell>
          <cell r="R122">
            <v>-8.8335292500000264</v>
          </cell>
          <cell r="S122">
            <v>14.152529251000004</v>
          </cell>
          <cell r="T122">
            <v>29.101634554599997</v>
          </cell>
          <cell r="U122">
            <v>47.840338052662617</v>
          </cell>
          <cell r="V122">
            <v>70.317498855944223</v>
          </cell>
          <cell r="W122">
            <v>96.349686917185721</v>
          </cell>
          <cell r="X122">
            <v>111.18437714561719</v>
          </cell>
        </row>
        <row r="124">
          <cell r="I124" t="str">
            <v>Adjusted operating income growth</v>
          </cell>
          <cell r="N124">
            <v>-8.3129250987199033E-2</v>
          </cell>
          <cell r="O124">
            <v>-1.2093411653006492</v>
          </cell>
          <cell r="P124">
            <v>-7.446627141334881</v>
          </cell>
          <cell r="Q124">
            <v>-0.72937407025975332</v>
          </cell>
          <cell r="R124">
            <v>-2.046390486257927</v>
          </cell>
          <cell r="S124">
            <v>11.847488810320838</v>
          </cell>
          <cell r="T124">
            <v>0.60870073668954938</v>
          </cell>
          <cell r="U124">
            <v>0.48088051009369348</v>
          </cell>
          <cell r="V124">
            <v>0.39778430364415862</v>
          </cell>
          <cell r="W124">
            <v>0.33833389352288878</v>
          </cell>
          <cell r="X124">
            <v>0.17089177329455274</v>
          </cell>
        </row>
        <row r="125">
          <cell r="I125" t="str">
            <v>Base case</v>
          </cell>
          <cell r="M125">
            <v>1</v>
          </cell>
          <cell r="N125">
            <v>-8.3129250987199033E-2</v>
          </cell>
          <cell r="O125">
            <v>-1.2093411653006492</v>
          </cell>
          <cell r="P125">
            <v>-7.446627141334881</v>
          </cell>
          <cell r="Q125">
            <v>-0.72937407025975332</v>
          </cell>
          <cell r="R125">
            <v>-2.046390486257927</v>
          </cell>
          <cell r="S125">
            <v>11.847488810320838</v>
          </cell>
          <cell r="T125">
            <v>0.60870073668954938</v>
          </cell>
          <cell r="U125">
            <v>0.48088051009369348</v>
          </cell>
          <cell r="V125">
            <v>0.39778430364415862</v>
          </cell>
          <cell r="W125">
            <v>0.33833389352288878</v>
          </cell>
          <cell r="X125">
            <v>0.17089177329455274</v>
          </cell>
        </row>
        <row r="126">
          <cell r="I126" t="str">
            <v>Bull case</v>
          </cell>
          <cell r="M126">
            <v>2</v>
          </cell>
          <cell r="N126">
            <v>-8.3129250987199033E-2</v>
          </cell>
          <cell r="O126">
            <v>-1.2093411653006492</v>
          </cell>
          <cell r="P126">
            <v>-7.446627141334881</v>
          </cell>
          <cell r="Q126">
            <v>-0.72937407025975332</v>
          </cell>
          <cell r="R126">
            <v>-4.5812137209302151</v>
          </cell>
          <cell r="S126">
            <v>3.9577490316524884</v>
          </cell>
          <cell r="T126">
            <v>0.55506074815383966</v>
          </cell>
          <cell r="U126">
            <v>0.46543075307255299</v>
          </cell>
          <cell r="V126">
            <v>0.40040978893787016</v>
          </cell>
          <cell r="W126">
            <v>0.35066957358526363</v>
          </cell>
          <cell r="X126">
            <v>0.19700311845525875</v>
          </cell>
        </row>
        <row r="127">
          <cell r="I127" t="str">
            <v>Bear case</v>
          </cell>
          <cell r="M127">
            <v>3</v>
          </cell>
          <cell r="N127">
            <v>-8.3129250987199033E-2</v>
          </cell>
          <cell r="O127">
            <v>-1.2093411653006492</v>
          </cell>
          <cell r="P127">
            <v>-7.446627141334881</v>
          </cell>
          <cell r="Q127">
            <v>-0.72937407025975332</v>
          </cell>
          <cell r="R127">
            <v>2.7351075052854092</v>
          </cell>
          <cell r="S127">
            <v>-2.6021375885521589</v>
          </cell>
          <cell r="T127">
            <v>1.0562850666811872</v>
          </cell>
          <cell r="U127">
            <v>0.64390553262241612</v>
          </cell>
          <cell r="V127">
            <v>0.46983699777662014</v>
          </cell>
          <cell r="W127">
            <v>0.37020924357068319</v>
          </cell>
          <cell r="X127">
            <v>0.15396718664153153</v>
          </cell>
        </row>
        <row r="129">
          <cell r="I129" t="str">
            <v>Adjusted operating margin</v>
          </cell>
          <cell r="N129">
            <v>-0.1353917897156168</v>
          </cell>
          <cell r="O129">
            <v>1.3075026452985208E-2</v>
          </cell>
          <cell r="P129">
            <v>-3.6215577795735587E-2</v>
          </cell>
          <cell r="Q129">
            <v>-6.9202835999520379E-3</v>
          </cell>
          <cell r="R129">
            <v>6.8130588559508756E-3</v>
          </cell>
          <cell r="S129">
            <v>7.2942247846571814E-2</v>
          </cell>
          <cell r="T129">
            <v>9.9442582920823544E-2</v>
          </cell>
          <cell r="U129">
            <v>0.12673199907127675</v>
          </cell>
          <cell r="V129">
            <v>0.15460289672829181</v>
          </cell>
          <cell r="W129">
            <v>0.18290898032946007</v>
          </cell>
          <cell r="X129">
            <v>0.1915454819966228</v>
          </cell>
        </row>
        <row r="130">
          <cell r="I130" t="str">
            <v>Base case</v>
          </cell>
          <cell r="M130">
            <v>1</v>
          </cell>
          <cell r="N130">
            <v>-0.1353917897156168</v>
          </cell>
          <cell r="O130">
            <v>1.3075026452985208E-2</v>
          </cell>
          <cell r="P130">
            <v>-3.6215577795735587E-2</v>
          </cell>
          <cell r="Q130">
            <v>-6.9202835999520379E-3</v>
          </cell>
          <cell r="R130">
            <v>6.8130588559508756E-3</v>
          </cell>
          <cell r="S130">
            <v>7.2942247846571814E-2</v>
          </cell>
          <cell r="T130">
            <v>9.9442582920823544E-2</v>
          </cell>
          <cell r="U130">
            <v>0.12673199907127675</v>
          </cell>
          <cell r="V130">
            <v>0.15460289672829181</v>
          </cell>
          <cell r="W130">
            <v>0.18290898032946007</v>
          </cell>
          <cell r="X130">
            <v>0.1915454819966228</v>
          </cell>
        </row>
        <row r="131">
          <cell r="I131" t="str">
            <v>Bull case</v>
          </cell>
          <cell r="M131">
            <v>2</v>
          </cell>
          <cell r="N131">
            <v>-0.1353917897156168</v>
          </cell>
          <cell r="O131">
            <v>1.3075026452985208E-2</v>
          </cell>
          <cell r="P131">
            <v>-3.6215577795735587E-2</v>
          </cell>
          <cell r="Q131">
            <v>-6.9202835999520379E-3</v>
          </cell>
          <cell r="R131">
            <v>2.2795558258026326E-2</v>
          </cell>
          <cell r="S131">
            <v>9.1881834861551145E-2</v>
          </cell>
          <cell r="T131">
            <v>0.11808416104260434</v>
          </cell>
          <cell r="U131">
            <v>0.14517127604245331</v>
          </cell>
          <cell r="V131">
            <v>0.17290293931149286</v>
          </cell>
          <cell r="W131">
            <v>0.20111153727243139</v>
          </cell>
          <cell r="X131">
            <v>0.20967821324698011</v>
          </cell>
        </row>
        <row r="132">
          <cell r="I132" t="str">
            <v>Bear case</v>
          </cell>
          <cell r="M132">
            <v>3</v>
          </cell>
          <cell r="N132">
            <v>-0.1353917897156168</v>
          </cell>
          <cell r="O132">
            <v>1.3075026452985208E-2</v>
          </cell>
          <cell r="P132">
            <v>-3.6215577795735587E-2</v>
          </cell>
          <cell r="Q132">
            <v>-6.9202835999520379E-3</v>
          </cell>
          <cell r="R132">
            <v>-2.4888998000462324E-2</v>
          </cell>
          <cell r="S132">
            <v>3.4081708750376256E-2</v>
          </cell>
          <cell r="T132">
            <v>6.094061630467499E-2</v>
          </cell>
          <cell r="U132">
            <v>8.8498777654306568E-2</v>
          </cell>
          <cell r="V132">
            <v>0.11657893677568255</v>
          </cell>
          <cell r="W132">
            <v>0.14505506327135584</v>
          </cell>
          <cell r="X132">
            <v>0.15383612806140243</v>
          </cell>
        </row>
        <row r="134">
          <cell r="I134" t="str">
            <v>Adjusted EPS</v>
          </cell>
          <cell r="N134">
            <v>-0.11508713870317294</v>
          </cell>
          <cell r="O134">
            <v>1.6353708975691186E-2</v>
          </cell>
          <cell r="P134">
            <v>-0.1367343741172681</v>
          </cell>
          <cell r="Q134">
            <v>-6.0875005167624077E-2</v>
          </cell>
          <cell r="R134">
            <v>-2.564710349977287E-2</v>
          </cell>
          <cell r="S134">
            <v>0.18250615671531625</v>
          </cell>
          <cell r="T134">
            <v>0.29703821482547654</v>
          </cell>
          <cell r="U134">
            <v>0.43934760098320236</v>
          </cell>
          <cell r="V134">
            <v>0.60498198315057949</v>
          </cell>
          <cell r="W134">
            <v>0.79838108968794552</v>
          </cell>
          <cell r="X134">
            <v>0.92409938434845684</v>
          </cell>
        </row>
        <row r="135">
          <cell r="I135" t="str">
            <v>Base case</v>
          </cell>
          <cell r="M135">
            <v>1</v>
          </cell>
          <cell r="N135">
            <v>-0.11508713870317294</v>
          </cell>
          <cell r="O135">
            <v>1.6353708975691186E-2</v>
          </cell>
          <cell r="P135">
            <v>-0.1367343741172681</v>
          </cell>
          <cell r="Q135">
            <v>-6.0875005167624077E-2</v>
          </cell>
          <cell r="R135">
            <v>-2.564710349977287E-2</v>
          </cell>
          <cell r="S135">
            <v>0.18250615671531625</v>
          </cell>
          <cell r="T135">
            <v>0.29703821482547654</v>
          </cell>
          <cell r="U135">
            <v>0.43934760098320236</v>
          </cell>
          <cell r="V135">
            <v>0.60498198315057949</v>
          </cell>
          <cell r="W135">
            <v>0.79838108968794552</v>
          </cell>
          <cell r="X135">
            <v>0.92409938434845684</v>
          </cell>
        </row>
        <row r="136">
          <cell r="I136" t="str">
            <v>Bull case</v>
          </cell>
          <cell r="M136">
            <v>2</v>
          </cell>
          <cell r="N136">
            <v>-0.11508713870317294</v>
          </cell>
          <cell r="O136">
            <v>1.6353708975691186E-2</v>
          </cell>
          <cell r="P136">
            <v>-0.1367343741172681</v>
          </cell>
          <cell r="Q136">
            <v>-6.0875005167624077E-2</v>
          </cell>
          <cell r="R136">
            <v>1.2712882849282112E-2</v>
          </cell>
          <cell r="S136">
            <v>0.23971113749499798</v>
          </cell>
          <cell r="T136">
            <v>0.3780218502034452</v>
          </cell>
          <cell r="U136">
            <v>0.55385515349289549</v>
          </cell>
          <cell r="V136">
            <v>0.76442104203712835</v>
          </cell>
          <cell r="W136">
            <v>1.0182361488676763</v>
          </cell>
          <cell r="X136">
            <v>1.2044624283453187</v>
          </cell>
        </row>
        <row r="137">
          <cell r="I137" t="str">
            <v>Bear case</v>
          </cell>
          <cell r="M137">
            <v>3</v>
          </cell>
          <cell r="N137">
            <v>-0.11508713870317294</v>
          </cell>
          <cell r="O137">
            <v>1.6353708975691186E-2</v>
          </cell>
          <cell r="P137">
            <v>-0.1367343741172681</v>
          </cell>
          <cell r="Q137">
            <v>-6.0875005167624077E-2</v>
          </cell>
          <cell r="R137">
            <v>-9.91764401992518E-2</v>
          </cell>
          <cell r="S137">
            <v>8.3395785666373928E-2</v>
          </cell>
          <cell r="T137">
            <v>0.17039664800799295</v>
          </cell>
          <cell r="U137">
            <v>0.27849525320660667</v>
          </cell>
          <cell r="V137">
            <v>0.40255728163315718</v>
          </cell>
          <cell r="W137">
            <v>0.54352433265560762</v>
          </cell>
          <cell r="X137">
            <v>0.62024545600784586</v>
          </cell>
        </row>
        <row r="139">
          <cell r="I139" t="str">
            <v>EV/Revenue at PT</v>
          </cell>
          <cell r="Q139">
            <v>1.2524732754432912</v>
          </cell>
          <cell r="R139">
            <v>1.1784005419403176</v>
          </cell>
          <cell r="S139">
            <v>0.98200045161693139</v>
          </cell>
        </row>
        <row r="140">
          <cell r="I140" t="str">
            <v>Base case</v>
          </cell>
          <cell r="P140">
            <v>1</v>
          </cell>
          <cell r="Q140">
            <v>1.2524732754432912</v>
          </cell>
          <cell r="R140">
            <v>1.1784005419403176</v>
          </cell>
          <cell r="S140">
            <v>0.98200045161693139</v>
          </cell>
        </row>
        <row r="141">
          <cell r="I141" t="str">
            <v>Bull case</v>
          </cell>
          <cell r="P141">
            <v>2</v>
          </cell>
          <cell r="Q141">
            <v>1.689796096111031</v>
          </cell>
          <cell r="R141">
            <v>1.5542840935423443</v>
          </cell>
          <cell r="S141">
            <v>1.263645604505971</v>
          </cell>
        </row>
        <row r="142">
          <cell r="I142" t="str">
            <v>Bear case</v>
          </cell>
          <cell r="P142">
            <v>3</v>
          </cell>
          <cell r="Q142">
            <v>0.60501312830582865</v>
          </cell>
          <cell r="R142">
            <v>0.58256610449317869</v>
          </cell>
          <cell r="S142">
            <v>0.49791974743006734</v>
          </cell>
        </row>
        <row r="144">
          <cell r="I144" t="str">
            <v>EV/EBITDA at PT</v>
          </cell>
          <cell r="Q144">
            <v>121.63441017603593</v>
          </cell>
          <cell r="R144">
            <v>49.651515435406708</v>
          </cell>
          <cell r="S144">
            <v>11.839568821831969</v>
          </cell>
        </row>
        <row r="145">
          <cell r="I145" t="str">
            <v>Base case</v>
          </cell>
          <cell r="P145">
            <v>1</v>
          </cell>
          <cell r="Q145">
            <v>121.63441017603593</v>
          </cell>
          <cell r="R145">
            <v>49.651515435406708</v>
          </cell>
          <cell r="S145">
            <v>11.839568821831969</v>
          </cell>
        </row>
        <row r="146">
          <cell r="I146" t="str">
            <v>Bull case</v>
          </cell>
          <cell r="P146">
            <v>2</v>
          </cell>
          <cell r="Q146">
            <v>164.10517932647065</v>
          </cell>
          <cell r="R146">
            <v>39.511706233118602</v>
          </cell>
          <cell r="S146">
            <v>12.403051105461136</v>
          </cell>
        </row>
        <row r="147">
          <cell r="I147" t="str">
            <v>Bear case</v>
          </cell>
          <cell r="P147">
            <v>3</v>
          </cell>
          <cell r="Q147">
            <v>58.75607604017879</v>
          </cell>
          <cell r="R147" t="str">
            <v>NM</v>
          </cell>
          <cell r="S147">
            <v>11.295382178800347</v>
          </cell>
        </row>
        <row r="149">
          <cell r="I149" t="str">
            <v>P/E (adjusted) at PT</v>
          </cell>
          <cell r="Q149" t="str">
            <v>NM</v>
          </cell>
          <cell r="R149" t="str">
            <v>NM</v>
          </cell>
          <cell r="S149">
            <v>21.917068837515622</v>
          </cell>
        </row>
        <row r="150">
          <cell r="I150" t="str">
            <v>Base case</v>
          </cell>
          <cell r="P150">
            <v>1</v>
          </cell>
          <cell r="Q150" t="str">
            <v>NM</v>
          </cell>
          <cell r="R150" t="str">
            <v>NM</v>
          </cell>
          <cell r="S150">
            <v>21.917068837515622</v>
          </cell>
        </row>
        <row r="151">
          <cell r="I151" t="str">
            <v>Bull case</v>
          </cell>
          <cell r="P151">
            <v>2</v>
          </cell>
          <cell r="Q151" t="str">
            <v>NM</v>
          </cell>
          <cell r="R151">
            <v>471.96218758035798</v>
          </cell>
          <cell r="S151">
            <v>25.030126103861992</v>
          </cell>
        </row>
        <row r="152">
          <cell r="I152" t="str">
            <v>Bear case</v>
          </cell>
          <cell r="P152">
            <v>3</v>
          </cell>
          <cell r="Q152" t="str">
            <v>NM</v>
          </cell>
          <cell r="R152" t="str">
            <v>NM</v>
          </cell>
          <cell r="S152">
            <v>23.982027197405749</v>
          </cell>
        </row>
        <row r="157">
          <cell r="I157" t="str">
            <v>ModelWare DCF Metrics (DO NOT DELETE)</v>
          </cell>
        </row>
        <row r="159">
          <cell r="I159">
            <v>1</v>
          </cell>
          <cell r="J159" t="str">
            <v>Base Case</v>
          </cell>
        </row>
        <row r="160">
          <cell r="I160">
            <v>1</v>
          </cell>
          <cell r="J160" t="str">
            <v>Base Case</v>
          </cell>
        </row>
        <row r="161">
          <cell r="I161">
            <v>2</v>
          </cell>
          <cell r="J161" t="str">
            <v>Bull Case</v>
          </cell>
        </row>
        <row r="162">
          <cell r="I162">
            <v>3</v>
          </cell>
          <cell r="J162" t="str">
            <v>Bear Case</v>
          </cell>
        </row>
        <row r="164">
          <cell r="I164" t="str">
            <v>WACC / Hurdle Rate</v>
          </cell>
          <cell r="M164">
            <v>0.14000000000000001</v>
          </cell>
          <cell r="N164">
            <v>0.14000000000000001</v>
          </cell>
          <cell r="O164">
            <v>0.14000000000000001</v>
          </cell>
          <cell r="P164">
            <v>0.14000000000000001</v>
          </cell>
          <cell r="Q164">
            <v>0.14000000000000001</v>
          </cell>
          <cell r="R164">
            <v>0.14000000000000001</v>
          </cell>
          <cell r="S164">
            <v>0.14000000000000001</v>
          </cell>
          <cell r="T164">
            <v>0.14000000000000001</v>
          </cell>
          <cell r="U164">
            <v>0.14000000000000001</v>
          </cell>
          <cell r="V164">
            <v>0.14000000000000001</v>
          </cell>
          <cell r="W164">
            <v>0.14000000000000001</v>
          </cell>
          <cell r="X164">
            <v>0.14000000000000001</v>
          </cell>
        </row>
        <row r="165">
          <cell r="I165" t="str">
            <v>Perpetual Growth Rate - Base Case</v>
          </cell>
          <cell r="M165">
            <v>0.03</v>
          </cell>
          <cell r="N165">
            <v>0.03</v>
          </cell>
          <cell r="O165">
            <v>0.03</v>
          </cell>
          <cell r="P165">
            <v>0.03</v>
          </cell>
          <cell r="Q165">
            <v>0.03</v>
          </cell>
          <cell r="R165">
            <v>0.03</v>
          </cell>
          <cell r="S165">
            <v>0.03</v>
          </cell>
          <cell r="T165">
            <v>0.03</v>
          </cell>
          <cell r="U165">
            <v>0.03</v>
          </cell>
          <cell r="V165">
            <v>0.03</v>
          </cell>
          <cell r="W165">
            <v>0.03</v>
          </cell>
          <cell r="X165">
            <v>0.03</v>
          </cell>
        </row>
        <row r="166">
          <cell r="I166" t="str">
            <v>Perpetual Growth Rate - Bull Case</v>
          </cell>
          <cell r="M166">
            <v>0.03</v>
          </cell>
          <cell r="N166">
            <v>0.03</v>
          </cell>
          <cell r="O166">
            <v>0.03</v>
          </cell>
          <cell r="P166">
            <v>0.03</v>
          </cell>
          <cell r="Q166">
            <v>0.03</v>
          </cell>
          <cell r="R166">
            <v>0.03</v>
          </cell>
          <cell r="S166">
            <v>0.03</v>
          </cell>
          <cell r="T166">
            <v>0.03</v>
          </cell>
          <cell r="U166">
            <v>0.03</v>
          </cell>
          <cell r="V166">
            <v>0.03</v>
          </cell>
          <cell r="W166">
            <v>0.03</v>
          </cell>
          <cell r="X166">
            <v>0.03</v>
          </cell>
        </row>
        <row r="167">
          <cell r="I167" t="str">
            <v>Perpetual Growth Rate - Bear Case</v>
          </cell>
          <cell r="M167">
            <v>9.9999999999999985E-3</v>
          </cell>
          <cell r="N167">
            <v>9.9999999999999985E-3</v>
          </cell>
          <cell r="O167">
            <v>9.9999999999999985E-3</v>
          </cell>
          <cell r="P167">
            <v>9.9999999999999985E-3</v>
          </cell>
          <cell r="Q167">
            <v>9.9999999999999985E-3</v>
          </cell>
          <cell r="R167">
            <v>9.9999999999999985E-3</v>
          </cell>
          <cell r="S167">
            <v>9.9999999999999985E-3</v>
          </cell>
          <cell r="T167">
            <v>9.9999999999999985E-3</v>
          </cell>
          <cell r="U167">
            <v>9.9999999999999985E-3</v>
          </cell>
          <cell r="V167">
            <v>9.9999999999999985E-3</v>
          </cell>
          <cell r="W167">
            <v>9.9999999999999985E-3</v>
          </cell>
          <cell r="X167">
            <v>9.9999999999999985E-3</v>
          </cell>
        </row>
      </sheetData>
      <sheetData sheetId="6" refreshError="1"/>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ipping"/>
      <sheetName val="merchandise"/>
      <sheetName val="FX"/>
      <sheetName val="ROAA"/>
      <sheetName val="gm"/>
      <sheetName val="Sheet1"/>
      <sheetName val="#REF"/>
    </sheetNames>
    <sheetDataSet>
      <sheetData sheetId="0" refreshError="1">
        <row r="2">
          <cell r="C2" t="str">
            <v>Active</v>
          </cell>
          <cell r="D2" t="str">
            <v>Outbound</v>
          </cell>
          <cell r="E2" t="str">
            <v>Avg LTM</v>
          </cell>
          <cell r="F2" t="str">
            <v>LTM Out</v>
          </cell>
          <cell r="G2" t="str">
            <v>LTM Shipping</v>
          </cell>
        </row>
        <row r="3">
          <cell r="C3" t="str">
            <v>Accounts</v>
          </cell>
          <cell r="D3" t="str">
            <v>Shipping</v>
          </cell>
          <cell r="E3" t="str">
            <v>Accounts</v>
          </cell>
          <cell r="F3" t="str">
            <v>Shipping</v>
          </cell>
          <cell r="G3" t="str">
            <v>/ Account</v>
          </cell>
        </row>
        <row r="4">
          <cell r="B4">
            <v>36525</v>
          </cell>
          <cell r="C4">
            <v>14.1</v>
          </cell>
          <cell r="D4">
            <v>97</v>
          </cell>
          <cell r="I4">
            <v>676.04200000000003</v>
          </cell>
          <cell r="J4">
            <v>92.5</v>
          </cell>
          <cell r="K4">
            <v>583.54200000000003</v>
          </cell>
        </row>
        <row r="5">
          <cell r="B5">
            <v>36616</v>
          </cell>
          <cell r="C5">
            <v>15.9</v>
          </cell>
          <cell r="D5">
            <v>78</v>
          </cell>
          <cell r="I5">
            <v>573.88900000000001</v>
          </cell>
          <cell r="J5">
            <v>74.599999999999994</v>
          </cell>
          <cell r="K5">
            <v>499.28899999999999</v>
          </cell>
        </row>
        <row r="6">
          <cell r="B6">
            <v>36707</v>
          </cell>
          <cell r="C6">
            <v>17</v>
          </cell>
          <cell r="D6">
            <v>62.6</v>
          </cell>
          <cell r="I6">
            <v>577.87599999999998</v>
          </cell>
          <cell r="J6">
            <v>73.5</v>
          </cell>
          <cell r="K6">
            <v>504.37599999999998</v>
          </cell>
        </row>
        <row r="7">
          <cell r="B7">
            <v>36799</v>
          </cell>
          <cell r="C7">
            <v>18.2</v>
          </cell>
          <cell r="D7">
            <v>69.900000000000006</v>
          </cell>
          <cell r="E7">
            <v>16.3</v>
          </cell>
          <cell r="F7">
            <v>307.5</v>
          </cell>
          <cell r="G7">
            <v>18.865030674846626</v>
          </cell>
          <cell r="I7">
            <v>637.85799999999995</v>
          </cell>
          <cell r="J7">
            <v>78.099999999999994</v>
          </cell>
          <cell r="K7">
            <v>559.75799999999992</v>
          </cell>
          <cell r="L7">
            <v>2146.9650000000001</v>
          </cell>
        </row>
        <row r="8">
          <cell r="B8">
            <v>36891</v>
          </cell>
          <cell r="C8">
            <v>19.8</v>
          </cell>
          <cell r="D8">
            <v>129.5</v>
          </cell>
          <cell r="E8">
            <v>17.724999999999998</v>
          </cell>
          <cell r="F8">
            <v>340</v>
          </cell>
          <cell r="G8">
            <v>19.181946403385052</v>
          </cell>
          <cell r="I8">
            <v>972.36</v>
          </cell>
          <cell r="J8">
            <v>112.8</v>
          </cell>
          <cell r="K8">
            <v>859.56000000000006</v>
          </cell>
          <cell r="L8">
            <v>2422.9829999999997</v>
          </cell>
        </row>
        <row r="9">
          <cell r="B9">
            <v>36981</v>
          </cell>
          <cell r="C9">
            <v>20.5</v>
          </cell>
          <cell r="D9">
            <v>87</v>
          </cell>
          <cell r="E9">
            <v>18.875</v>
          </cell>
          <cell r="F9">
            <v>349</v>
          </cell>
          <cell r="G9">
            <v>18.490066225165563</v>
          </cell>
          <cell r="I9">
            <v>700.35599999999999</v>
          </cell>
          <cell r="J9">
            <v>82</v>
          </cell>
          <cell r="K9">
            <v>618.35599999999999</v>
          </cell>
          <cell r="L9">
            <v>2542.0500000000002</v>
          </cell>
        </row>
        <row r="10">
          <cell r="B10">
            <v>37072</v>
          </cell>
          <cell r="C10">
            <v>21.1</v>
          </cell>
          <cell r="D10">
            <v>78</v>
          </cell>
          <cell r="E10">
            <v>19.899999999999999</v>
          </cell>
          <cell r="F10">
            <v>364.4</v>
          </cell>
          <cell r="G10">
            <v>18.311557788944725</v>
          </cell>
          <cell r="I10">
            <v>667.625</v>
          </cell>
          <cell r="J10">
            <v>76</v>
          </cell>
          <cell r="K10">
            <v>591.625</v>
          </cell>
          <cell r="L10">
            <v>2629.299</v>
          </cell>
          <cell r="P10" t="str">
            <v>Sales / Account y/y</v>
          </cell>
          <cell r="Q10" t="str">
            <v>Shipping / Account y/y</v>
          </cell>
        </row>
        <row r="11">
          <cell r="B11">
            <v>37164</v>
          </cell>
          <cell r="C11">
            <v>23</v>
          </cell>
          <cell r="D11">
            <v>76</v>
          </cell>
          <cell r="E11">
            <v>21.1</v>
          </cell>
          <cell r="F11">
            <v>370.5</v>
          </cell>
          <cell r="G11">
            <v>17.559241706161135</v>
          </cell>
          <cell r="H11">
            <v>-6.9217431510808169E-2</v>
          </cell>
          <cell r="I11">
            <v>639.28100000000006</v>
          </cell>
          <cell r="J11">
            <v>74</v>
          </cell>
          <cell r="K11">
            <v>565.28100000000006</v>
          </cell>
          <cell r="L11">
            <v>2634.8220000000001</v>
          </cell>
          <cell r="M11">
            <v>0.22723099817649572</v>
          </cell>
          <cell r="N11">
            <v>0.29644842968730389</v>
          </cell>
          <cell r="O11">
            <v>37164</v>
          </cell>
          <cell r="P11">
            <v>0.22723099817649572</v>
          </cell>
          <cell r="Q11">
            <v>-6.9217431510808169E-2</v>
          </cell>
        </row>
        <row r="12">
          <cell r="B12">
            <v>37256</v>
          </cell>
          <cell r="C12">
            <v>24.7</v>
          </cell>
          <cell r="D12">
            <v>135</v>
          </cell>
          <cell r="E12">
            <v>22.324999999999999</v>
          </cell>
          <cell r="F12">
            <v>376</v>
          </cell>
          <cell r="G12">
            <v>16.842105263157894</v>
          </cell>
          <cell r="H12">
            <v>-0.12198142414860691</v>
          </cell>
          <cell r="I12">
            <v>1115.1709999999998</v>
          </cell>
          <cell r="J12">
            <v>125</v>
          </cell>
          <cell r="K12">
            <v>990.17099999999982</v>
          </cell>
          <cell r="L12">
            <v>2765.433</v>
          </cell>
          <cell r="M12">
            <v>0.14133404980554976</v>
          </cell>
          <cell r="N12">
            <v>0.26331547395415666</v>
          </cell>
          <cell r="O12">
            <v>37256</v>
          </cell>
          <cell r="P12">
            <v>0.14133404980554976</v>
          </cell>
          <cell r="Q12">
            <v>-0.12198142414860691</v>
          </cell>
        </row>
        <row r="13">
          <cell r="B13">
            <v>37346</v>
          </cell>
          <cell r="C13">
            <v>26.2</v>
          </cell>
          <cell r="D13">
            <v>90</v>
          </cell>
          <cell r="E13">
            <v>23.75</v>
          </cell>
          <cell r="F13">
            <v>379</v>
          </cell>
          <cell r="G13">
            <v>15.957894736842105</v>
          </cell>
          <cell r="H13">
            <v>-0.13694767003468555</v>
          </cell>
          <cell r="I13">
            <v>847.42200000000014</v>
          </cell>
          <cell r="J13">
            <v>89</v>
          </cell>
          <cell r="K13">
            <v>758.42200000000014</v>
          </cell>
          <cell r="L13">
            <v>2905.4989999999998</v>
          </cell>
          <cell r="M13">
            <v>0.14297476446175317</v>
          </cell>
          <cell r="N13">
            <v>0.27992243449643872</v>
          </cell>
          <cell r="O13">
            <v>37346</v>
          </cell>
          <cell r="P13">
            <v>0.14297476446175317</v>
          </cell>
          <cell r="Q13">
            <v>-0.13694767003468555</v>
          </cell>
        </row>
        <row r="14">
          <cell r="B14">
            <v>37437</v>
          </cell>
          <cell r="C14">
            <v>27.3</v>
          </cell>
          <cell r="D14">
            <v>83</v>
          </cell>
          <cell r="E14">
            <v>25.3</v>
          </cell>
          <cell r="F14">
            <v>384</v>
          </cell>
          <cell r="G14">
            <v>15.177865612648221</v>
          </cell>
          <cell r="H14">
            <v>-0.1711319273004952</v>
          </cell>
          <cell r="I14">
            <v>805.60500000000002</v>
          </cell>
          <cell r="J14">
            <v>81</v>
          </cell>
          <cell r="K14">
            <v>724.60500000000002</v>
          </cell>
          <cell r="L14">
            <v>3038.4789999999998</v>
          </cell>
          <cell r="M14">
            <v>0.15562322885301372</v>
          </cell>
          <cell r="N14">
            <v>0.32675515615350892</v>
          </cell>
          <cell r="O14">
            <v>37437</v>
          </cell>
          <cell r="P14">
            <v>0.15562322885301372</v>
          </cell>
          <cell r="Q14">
            <v>-0.1711319273004952</v>
          </cell>
        </row>
        <row r="15">
          <cell r="B15">
            <v>37529</v>
          </cell>
          <cell r="C15">
            <v>29</v>
          </cell>
          <cell r="D15">
            <v>83</v>
          </cell>
          <cell r="E15">
            <v>26.8</v>
          </cell>
          <cell r="F15">
            <v>391</v>
          </cell>
          <cell r="G15">
            <v>14.58955223880597</v>
          </cell>
          <cell r="H15">
            <v>-0.1691240155497814</v>
          </cell>
          <cell r="I15">
            <v>851.29899999999998</v>
          </cell>
          <cell r="J15">
            <v>73</v>
          </cell>
          <cell r="K15">
            <v>778.29899999999998</v>
          </cell>
          <cell r="L15">
            <v>3251.4969999999998</v>
          </cell>
          <cell r="M15">
            <v>0.23404806852227567</v>
          </cell>
          <cell r="N15">
            <v>0.40317208407205707</v>
          </cell>
          <cell r="O15">
            <v>37529</v>
          </cell>
          <cell r="P15">
            <v>0.23404806852227567</v>
          </cell>
          <cell r="Q15">
            <v>-0.1691240155497814</v>
          </cell>
        </row>
        <row r="16">
          <cell r="B16">
            <v>37621</v>
          </cell>
          <cell r="C16">
            <v>31</v>
          </cell>
          <cell r="D16">
            <v>148.303</v>
          </cell>
          <cell r="E16">
            <v>28.375</v>
          </cell>
          <cell r="F16">
            <v>404.303</v>
          </cell>
          <cell r="G16">
            <v>14.248563876651982</v>
          </cell>
          <cell r="H16">
            <v>-0.15399151982378856</v>
          </cell>
          <cell r="I16">
            <v>1428.61</v>
          </cell>
          <cell r="J16">
            <v>121.74900000000002</v>
          </cell>
          <cell r="K16">
            <v>1306.8609999999999</v>
          </cell>
          <cell r="L16">
            <v>3568.1869999999999</v>
          </cell>
          <cell r="M16">
            <v>0.29028148575648016</v>
          </cell>
          <cell r="N16">
            <v>0.44427300558026872</v>
          </cell>
          <cell r="O16">
            <v>37621</v>
          </cell>
          <cell r="P16">
            <v>0.29028148575648016</v>
          </cell>
          <cell r="Q16">
            <v>-0.15399151982378856</v>
          </cell>
        </row>
        <row r="17">
          <cell r="B17">
            <v>37711</v>
          </cell>
          <cell r="C17">
            <v>33.4</v>
          </cell>
          <cell r="D17">
            <v>105</v>
          </cell>
          <cell r="E17">
            <v>30.174999999999997</v>
          </cell>
          <cell r="F17">
            <v>419.303</v>
          </cell>
          <cell r="G17">
            <v>13.895708367854185</v>
          </cell>
          <cell r="H17">
            <v>-0.1292267183732535</v>
          </cell>
          <cell r="I17">
            <v>1083.559</v>
          </cell>
          <cell r="J17">
            <v>78</v>
          </cell>
          <cell r="K17">
            <v>1005.559</v>
          </cell>
          <cell r="L17">
            <v>3815.3239999999996</v>
          </cell>
          <cell r="M17">
            <v>0.31313898232282988</v>
          </cell>
          <cell r="N17">
            <v>0.44236570069608339</v>
          </cell>
          <cell r="O17">
            <v>37711</v>
          </cell>
          <cell r="P17">
            <v>0.31313898232282988</v>
          </cell>
          <cell r="Q17">
            <v>-0.1292267183732535</v>
          </cell>
        </row>
        <row r="18">
          <cell r="B18">
            <v>37802</v>
          </cell>
          <cell r="C18">
            <v>34.700000000000003</v>
          </cell>
          <cell r="D18">
            <v>106</v>
          </cell>
          <cell r="E18">
            <v>32.025000000000006</v>
          </cell>
          <cell r="F18">
            <v>442.303</v>
          </cell>
          <cell r="G18">
            <v>13.811178766588601</v>
          </cell>
          <cell r="H18">
            <v>-9.0044732305490593E-2</v>
          </cell>
          <cell r="I18">
            <v>1099.912</v>
          </cell>
          <cell r="J18">
            <v>80</v>
          </cell>
          <cell r="K18">
            <v>1019.912</v>
          </cell>
          <cell r="L18">
            <v>4110.6310000000003</v>
          </cell>
          <cell r="M18">
            <v>0.35285812408116057</v>
          </cell>
          <cell r="N18">
            <v>0.44290285638665117</v>
          </cell>
          <cell r="O18">
            <v>37802</v>
          </cell>
          <cell r="P18">
            <v>0.35285812408116057</v>
          </cell>
          <cell r="Q18">
            <v>-9.0044732305490593E-2</v>
          </cell>
        </row>
        <row r="19">
          <cell r="B19">
            <v>37894</v>
          </cell>
          <cell r="C19">
            <v>36.9</v>
          </cell>
          <cell r="D19">
            <v>104</v>
          </cell>
          <cell r="E19">
            <v>34</v>
          </cell>
          <cell r="F19">
            <v>463.303</v>
          </cell>
          <cell r="G19">
            <v>13.626558823529411</v>
          </cell>
          <cell r="H19">
            <v>-6.600568677598917E-2</v>
          </cell>
          <cell r="I19">
            <v>1134.4560000000001</v>
          </cell>
          <cell r="J19">
            <v>77</v>
          </cell>
          <cell r="K19">
            <v>1057.4560000000001</v>
          </cell>
          <cell r="L19">
            <v>4389.7880000000005</v>
          </cell>
          <cell r="M19">
            <v>0.35008213139978306</v>
          </cell>
          <cell r="N19">
            <v>0.41608781817577223</v>
          </cell>
          <cell r="O19">
            <v>37894</v>
          </cell>
          <cell r="P19">
            <v>0.35008213139978306</v>
          </cell>
          <cell r="Q19">
            <v>-6.600568677598917E-2</v>
          </cell>
        </row>
        <row r="20">
          <cell r="B20">
            <v>37986</v>
          </cell>
          <cell r="C20">
            <v>39.49</v>
          </cell>
          <cell r="D20">
            <v>193.46800000000002</v>
          </cell>
          <cell r="E20">
            <v>36.122500000000002</v>
          </cell>
          <cell r="F20">
            <v>508.46800000000002</v>
          </cell>
          <cell r="G20">
            <v>14.076212886704962</v>
          </cell>
          <cell r="H20">
            <v>-1.2096025356593154E-2</v>
          </cell>
          <cell r="I20">
            <v>1945.7719999999999</v>
          </cell>
          <cell r="J20">
            <v>137</v>
          </cell>
          <cell r="K20">
            <v>1808.7719999999999</v>
          </cell>
          <cell r="L20">
            <v>4891.6990000000005</v>
          </cell>
          <cell r="M20">
            <v>0.37092002184863082</v>
          </cell>
          <cell r="N20">
            <v>0.38301604720522398</v>
          </cell>
          <cell r="O20">
            <v>37986</v>
          </cell>
          <cell r="P20">
            <v>0.37092002184863082</v>
          </cell>
          <cell r="Q20">
            <v>-1.2096025356593154E-2</v>
          </cell>
        </row>
        <row r="21">
          <cell r="B21">
            <v>38077</v>
          </cell>
          <cell r="C21">
            <v>41</v>
          </cell>
          <cell r="D21">
            <v>136.6</v>
          </cell>
          <cell r="E21">
            <v>38.022500000000001</v>
          </cell>
          <cell r="F21">
            <v>540.06799999999998</v>
          </cell>
          <cell r="G21">
            <v>14.203905582221052</v>
          </cell>
          <cell r="H21">
            <v>2.217930933840262E-2</v>
          </cell>
          <cell r="I21">
            <v>1530.3489999999999</v>
          </cell>
          <cell r="J21">
            <v>93.6</v>
          </cell>
          <cell r="K21">
            <v>1436.749</v>
          </cell>
          <cell r="L21">
            <v>5322.8890000000001</v>
          </cell>
          <cell r="M21">
            <v>0.39513420092238571</v>
          </cell>
          <cell r="N21">
            <v>0.37295489158398309</v>
          </cell>
          <cell r="O21">
            <v>38077</v>
          </cell>
          <cell r="P21">
            <v>0.39513420092238571</v>
          </cell>
          <cell r="Q21">
            <v>2.217930933840262E-2</v>
          </cell>
        </row>
        <row r="22">
          <cell r="B22">
            <v>38168</v>
          </cell>
          <cell r="C22">
            <v>42.1</v>
          </cell>
          <cell r="D22">
            <v>119</v>
          </cell>
          <cell r="E22">
            <v>39.872500000000002</v>
          </cell>
          <cell r="F22">
            <v>553.06799999999998</v>
          </cell>
          <cell r="G22">
            <v>13.870913536898865</v>
          </cell>
          <cell r="H22">
            <v>4.3251029705568822E-3</v>
          </cell>
          <cell r="I22">
            <v>1387.3409999999999</v>
          </cell>
          <cell r="J22">
            <v>84</v>
          </cell>
          <cell r="K22">
            <v>1303.3409999999999</v>
          </cell>
          <cell r="L22">
            <v>5606.3179999999993</v>
          </cell>
          <cell r="M22">
            <v>0.36385824949989409</v>
          </cell>
          <cell r="N22">
            <v>0.35953314652933721</v>
          </cell>
          <cell r="O22">
            <v>38168</v>
          </cell>
          <cell r="P22">
            <v>0.36385824949989409</v>
          </cell>
          <cell r="Q22">
            <v>4.3251029705568822E-3</v>
          </cell>
        </row>
        <row r="23">
          <cell r="B23">
            <v>38260</v>
          </cell>
          <cell r="C23">
            <v>44</v>
          </cell>
          <cell r="D23">
            <v>128</v>
          </cell>
          <cell r="E23">
            <v>41.647500000000001</v>
          </cell>
          <cell r="F23">
            <v>577.06799999999998</v>
          </cell>
          <cell r="G23">
            <v>13.856005762650819</v>
          </cell>
          <cell r="H23">
            <v>1.6838215876279428E-2</v>
          </cell>
          <cell r="I23">
            <v>1462.4749999999999</v>
          </cell>
          <cell r="J23">
            <v>87</v>
          </cell>
          <cell r="K23">
            <v>1375.4749999999999</v>
          </cell>
          <cell r="L23">
            <v>5924.3369999999995</v>
          </cell>
          <cell r="M23">
            <v>0.34957246226924821</v>
          </cell>
          <cell r="N23">
            <v>0.33273424639296878</v>
          </cell>
          <cell r="O23">
            <v>38260</v>
          </cell>
          <cell r="P23">
            <v>0.34957246226924821</v>
          </cell>
          <cell r="Q23">
            <v>1.6838215876279428E-2</v>
          </cell>
        </row>
        <row r="24">
          <cell r="B24">
            <v>38352</v>
          </cell>
          <cell r="C24">
            <v>47</v>
          </cell>
          <cell r="D24">
            <v>232.97199999999998</v>
          </cell>
          <cell r="E24">
            <v>43.524999999999999</v>
          </cell>
          <cell r="F24">
            <v>616.572</v>
          </cell>
          <cell r="G24">
            <v>14.165927627800116</v>
          </cell>
          <cell r="H24">
            <v>6.3734998765108131E-3</v>
          </cell>
          <cell r="I24">
            <v>2540.9589999999998</v>
          </cell>
          <cell r="J24">
            <v>155.45299999999997</v>
          </cell>
          <cell r="K24">
            <v>2385.5059999999999</v>
          </cell>
          <cell r="L24">
            <v>6501.0709999999999</v>
          </cell>
          <cell r="M24">
            <v>0.3290006192122612</v>
          </cell>
          <cell r="N24">
            <v>0.32262711933575039</v>
          </cell>
          <cell r="O24">
            <v>38352</v>
          </cell>
          <cell r="P24">
            <v>0.3290006192122612</v>
          </cell>
          <cell r="Q24">
            <v>6.3734998765108131E-3</v>
          </cell>
        </row>
        <row r="25">
          <cell r="B25">
            <v>38442</v>
          </cell>
          <cell r="C25">
            <v>48.5</v>
          </cell>
          <cell r="D25">
            <v>163.1</v>
          </cell>
          <cell r="E25">
            <v>45.4</v>
          </cell>
          <cell r="F25">
            <v>643.072</v>
          </cell>
          <cell r="G25">
            <v>14.164581497797357</v>
          </cell>
          <cell r="H25">
            <v>-2.7685402578934148E-3</v>
          </cell>
          <cell r="I25">
            <v>1901.923</v>
          </cell>
          <cell r="J25">
            <v>107.8</v>
          </cell>
          <cell r="K25">
            <v>1794.123</v>
          </cell>
          <cell r="L25">
            <v>6858.4449999999997</v>
          </cell>
          <cell r="M25">
            <v>0.28848168729424928</v>
          </cell>
          <cell r="N25">
            <v>0.29125022755214269</v>
          </cell>
          <cell r="O25">
            <v>38442</v>
          </cell>
          <cell r="P25">
            <v>0.28848168729424928</v>
          </cell>
          <cell r="Q25">
            <v>-2.7685402578934148E-3</v>
          </cell>
        </row>
        <row r="26">
          <cell r="B26">
            <v>38533</v>
          </cell>
          <cell r="C26">
            <v>50</v>
          </cell>
          <cell r="D26">
            <v>148</v>
          </cell>
          <cell r="E26">
            <v>47.375</v>
          </cell>
          <cell r="F26">
            <v>672.072</v>
          </cell>
          <cell r="G26">
            <v>14.186216358839051</v>
          </cell>
          <cell r="H26">
            <v>2.2731222503941773E-2</v>
          </cell>
          <cell r="I26">
            <v>1753</v>
          </cell>
          <cell r="J26">
            <v>103</v>
          </cell>
          <cell r="K26">
            <v>1650</v>
          </cell>
          <cell r="L26">
            <v>7205.1039999999994</v>
          </cell>
          <cell r="M26">
            <v>0.28517576063291461</v>
          </cell>
          <cell r="N26">
            <v>0.26244453812897284</v>
          </cell>
          <cell r="O26">
            <v>38533</v>
          </cell>
          <cell r="P26">
            <v>0.28517576063291461</v>
          </cell>
          <cell r="Q26">
            <v>2.2731222503941773E-2</v>
          </cell>
        </row>
        <row r="27">
          <cell r="B27">
            <v>38625</v>
          </cell>
          <cell r="C27">
            <v>52.2</v>
          </cell>
          <cell r="D27">
            <v>159</v>
          </cell>
          <cell r="E27">
            <v>49.424999999999997</v>
          </cell>
          <cell r="F27">
            <v>703.072</v>
          </cell>
          <cell r="G27">
            <v>14.225027819929187</v>
          </cell>
          <cell r="H27">
            <v>2.6632643172903148E-2</v>
          </cell>
          <cell r="I27">
            <v>1858</v>
          </cell>
          <cell r="J27">
            <v>112</v>
          </cell>
          <cell r="K27">
            <v>1746</v>
          </cell>
          <cell r="L27">
            <v>7575.6289999999999</v>
          </cell>
          <cell r="M27">
            <v>0.27873026129337353</v>
          </cell>
          <cell r="N27">
            <v>0.25209761812047038</v>
          </cell>
          <cell r="O27">
            <v>38625</v>
          </cell>
          <cell r="P27">
            <v>0.27873026129337353</v>
          </cell>
          <cell r="Q27">
            <v>2.6632643172903148E-2</v>
          </cell>
        </row>
        <row r="28">
          <cell r="B28">
            <v>38717</v>
          </cell>
          <cell r="C28">
            <v>55</v>
          </cell>
          <cell r="D28">
            <v>279.89999999999998</v>
          </cell>
          <cell r="E28">
            <v>51.424999999999997</v>
          </cell>
          <cell r="F28">
            <v>750</v>
          </cell>
          <cell r="G28">
            <v>14.584346135148275</v>
          </cell>
          <cell r="H28">
            <v>2.9536964916228037E-2</v>
          </cell>
          <cell r="I28">
            <v>2977</v>
          </cell>
          <cell r="J28">
            <v>188.2</v>
          </cell>
          <cell r="K28">
            <v>2788.8</v>
          </cell>
          <cell r="L28">
            <v>7978.9229999999998</v>
          </cell>
          <cell r="M28">
            <v>0.22732439008895611</v>
          </cell>
          <cell r="N28">
            <v>0.19778742517272807</v>
          </cell>
          <cell r="O28">
            <v>38717</v>
          </cell>
          <cell r="P28">
            <v>0.22732439008895611</v>
          </cell>
          <cell r="Q28">
            <v>2.9536964916228037E-2</v>
          </cell>
        </row>
        <row r="29">
          <cell r="B29">
            <v>38807</v>
          </cell>
          <cell r="C29">
            <v>57.5</v>
          </cell>
          <cell r="D29">
            <v>197</v>
          </cell>
          <cell r="E29">
            <v>53.674999999999997</v>
          </cell>
          <cell r="F29">
            <v>783.9</v>
          </cell>
          <cell r="G29">
            <v>14.604564508616674</v>
          </cell>
          <cell r="H29">
            <v>3.1062196287813704E-2</v>
          </cell>
          <cell r="I29">
            <v>2279</v>
          </cell>
          <cell r="J29">
            <v>129</v>
          </cell>
          <cell r="K29">
            <v>2150</v>
          </cell>
          <cell r="L29">
            <v>8334.7999999999993</v>
          </cell>
          <cell r="M29">
            <v>0.21526089368654255</v>
          </cell>
          <cell r="N29">
            <v>0.18419869739872885</v>
          </cell>
          <cell r="O29">
            <v>38807</v>
          </cell>
          <cell r="P29">
            <v>0.21526089368654255</v>
          </cell>
          <cell r="Q29">
            <v>3.1062196287813704E-2</v>
          </cell>
        </row>
        <row r="30">
          <cell r="B30">
            <v>38898</v>
          </cell>
          <cell r="C30">
            <v>59</v>
          </cell>
          <cell r="D30">
            <v>188</v>
          </cell>
          <cell r="E30">
            <v>55.924999999999997</v>
          </cell>
          <cell r="F30">
            <v>823.9</v>
          </cell>
          <cell r="G30">
            <v>14.732230666070631</v>
          </cell>
          <cell r="H30">
            <v>3.8489072309359829E-2</v>
          </cell>
          <cell r="I30">
            <v>2139</v>
          </cell>
          <cell r="J30">
            <v>128</v>
          </cell>
          <cell r="K30">
            <v>2011</v>
          </cell>
          <cell r="L30">
            <v>8695.7999999999993</v>
          </cell>
          <cell r="M30">
            <v>0.20689444593721351</v>
          </cell>
          <cell r="N30">
            <v>0.16840537362785368</v>
          </cell>
          <cell r="O30">
            <v>38898</v>
          </cell>
          <cell r="P30">
            <v>0.20689444593721351</v>
          </cell>
          <cell r="Q30">
            <v>3.8489072309359829E-2</v>
          </cell>
        </row>
        <row r="31">
          <cell r="B31">
            <v>38990</v>
          </cell>
          <cell r="C31">
            <v>61.3</v>
          </cell>
          <cell r="D31">
            <v>182</v>
          </cell>
          <cell r="E31">
            <v>58.2</v>
          </cell>
          <cell r="F31">
            <v>846.9</v>
          </cell>
          <cell r="G31">
            <v>14.551546391752575</v>
          </cell>
          <cell r="H31">
            <v>2.2953809015820559E-2</v>
          </cell>
          <cell r="I31">
            <v>2307</v>
          </cell>
          <cell r="J31">
            <v>118</v>
          </cell>
          <cell r="K31">
            <v>2189</v>
          </cell>
          <cell r="L31">
            <v>9138.7999999999993</v>
          </cell>
          <cell r="M31">
            <v>0.20634207403768046</v>
          </cell>
          <cell r="N31">
            <v>0.1833882650218599</v>
          </cell>
          <cell r="O31">
            <v>38990</v>
          </cell>
          <cell r="P31">
            <v>0.20634207403768046</v>
          </cell>
          <cell r="Q31">
            <v>2.2953809015820559E-2</v>
          </cell>
        </row>
        <row r="32">
          <cell r="B32">
            <v>39082</v>
          </cell>
          <cell r="C32">
            <v>64</v>
          </cell>
          <cell r="D32">
            <v>317</v>
          </cell>
          <cell r="E32">
            <v>60.45</v>
          </cell>
          <cell r="F32">
            <v>884</v>
          </cell>
          <cell r="G32">
            <v>14.623655913978494</v>
          </cell>
          <cell r="H32">
            <v>2.6953405017919874E-3</v>
          </cell>
          <cell r="I32">
            <v>3986</v>
          </cell>
          <cell r="J32">
            <v>192</v>
          </cell>
          <cell r="K32">
            <v>3794</v>
          </cell>
          <cell r="L32">
            <v>10144</v>
          </cell>
          <cell r="M32">
            <v>0.27134952925350952</v>
          </cell>
          <cell r="N32">
            <v>0.26865418875171754</v>
          </cell>
          <cell r="O32">
            <v>39082</v>
          </cell>
          <cell r="P32">
            <v>0.27134952925350952</v>
          </cell>
          <cell r="Q32">
            <v>2.6953405017919874E-3</v>
          </cell>
        </row>
        <row r="33">
          <cell r="B33">
            <v>39172</v>
          </cell>
          <cell r="C33">
            <v>66</v>
          </cell>
          <cell r="D33">
            <v>238</v>
          </cell>
          <cell r="E33">
            <v>62.575000000000003</v>
          </cell>
          <cell r="F33">
            <v>925</v>
          </cell>
          <cell r="G33">
            <v>14.782261286456253</v>
          </cell>
          <cell r="H33">
            <v>1.216720825429185E-2</v>
          </cell>
          <cell r="I33">
            <v>3015</v>
          </cell>
          <cell r="J33">
            <v>151</v>
          </cell>
          <cell r="K33">
            <v>2864</v>
          </cell>
          <cell r="L33">
            <v>10858</v>
          </cell>
          <cell r="M33">
            <v>0.3027307193933868</v>
          </cell>
          <cell r="N33">
            <v>0.29056351113909495</v>
          </cell>
          <cell r="O33">
            <v>39172</v>
          </cell>
          <cell r="P33">
            <v>0.3027307193933868</v>
          </cell>
          <cell r="Q33">
            <v>1.216720825429185E-2</v>
          </cell>
        </row>
        <row r="34">
          <cell r="B34">
            <v>39263</v>
          </cell>
          <cell r="C34">
            <v>69</v>
          </cell>
          <cell r="D34">
            <v>227</v>
          </cell>
          <cell r="E34">
            <v>65.075000000000003</v>
          </cell>
          <cell r="F34">
            <v>964</v>
          </cell>
          <cell r="G34">
            <v>14.813676527084134</v>
          </cell>
          <cell r="H34">
            <v>5.5284133719870621E-3</v>
          </cell>
          <cell r="I34">
            <v>2886</v>
          </cell>
          <cell r="J34">
            <v>152</v>
          </cell>
          <cell r="K34">
            <v>2734</v>
          </cell>
          <cell r="L34">
            <v>11581</v>
          </cell>
          <cell r="M34">
            <v>0.33179235952988817</v>
          </cell>
          <cell r="N34">
            <v>0.32626394615790111</v>
          </cell>
          <cell r="O34">
            <v>39263</v>
          </cell>
          <cell r="P34">
            <v>0.33179235952988817</v>
          </cell>
          <cell r="Q34">
            <v>5.5284133719870621E-3</v>
          </cell>
        </row>
        <row r="35">
          <cell r="B35">
            <v>39355</v>
          </cell>
          <cell r="C35">
            <v>72</v>
          </cell>
          <cell r="D35">
            <v>260</v>
          </cell>
          <cell r="E35">
            <v>67.75</v>
          </cell>
          <cell r="F35">
            <v>1042</v>
          </cell>
          <cell r="G35">
            <v>15.380073800738007</v>
          </cell>
          <cell r="H35">
            <v>5.6937413157341021E-2</v>
          </cell>
          <cell r="I35">
            <v>3262</v>
          </cell>
          <cell r="J35">
            <v>171</v>
          </cell>
          <cell r="K35">
            <v>3091</v>
          </cell>
          <cell r="L35">
            <v>12483</v>
          </cell>
          <cell r="M35">
            <v>0.36593425832713278</v>
          </cell>
          <cell r="N35">
            <v>0.30899684516979176</v>
          </cell>
          <cell r="O35">
            <v>39355</v>
          </cell>
          <cell r="P35">
            <v>0.36593425832713278</v>
          </cell>
          <cell r="Q35">
            <v>5.6937413157341021E-2</v>
          </cell>
        </row>
        <row r="36">
          <cell r="B36">
            <v>39447</v>
          </cell>
          <cell r="C36">
            <v>76</v>
          </cell>
          <cell r="D36">
            <v>449</v>
          </cell>
          <cell r="E36">
            <v>70.75</v>
          </cell>
          <cell r="F36">
            <v>1174</v>
          </cell>
          <cell r="G36">
            <v>16.593639575971732</v>
          </cell>
          <cell r="H36">
            <v>0.13471211806277283</v>
          </cell>
          <cell r="I36">
            <v>5673</v>
          </cell>
          <cell r="J36">
            <v>266</v>
          </cell>
          <cell r="K36">
            <v>5407</v>
          </cell>
          <cell r="L36">
            <v>14096</v>
          </cell>
          <cell r="M36">
            <v>0.38958990536277605</v>
          </cell>
          <cell r="N36">
            <v>0.25487778730000321</v>
          </cell>
          <cell r="O36">
            <v>39447</v>
          </cell>
          <cell r="P36">
            <v>0.38958990536277605</v>
          </cell>
          <cell r="Q36">
            <v>0.13471211806277283</v>
          </cell>
        </row>
        <row r="37">
          <cell r="B37">
            <v>39538</v>
          </cell>
          <cell r="C37">
            <v>79</v>
          </cell>
          <cell r="D37">
            <v>321</v>
          </cell>
          <cell r="E37">
            <v>74</v>
          </cell>
          <cell r="F37">
            <v>1257</v>
          </cell>
          <cell r="G37">
            <v>16.986486486486488</v>
          </cell>
          <cell r="H37">
            <v>0.14911285609934266</v>
          </cell>
          <cell r="I37">
            <v>4135</v>
          </cell>
          <cell r="J37">
            <v>192</v>
          </cell>
          <cell r="K37">
            <v>3943</v>
          </cell>
          <cell r="L37">
            <v>15175</v>
          </cell>
          <cell r="M37">
            <v>0.39758703260268935</v>
          </cell>
          <cell r="N37">
            <v>0.24847417650334669</v>
          </cell>
          <cell r="O37">
            <v>39538</v>
          </cell>
          <cell r="P37">
            <v>0.39758703260268935</v>
          </cell>
          <cell r="Q37">
            <v>0.14911285609934266</v>
          </cell>
        </row>
        <row r="38">
          <cell r="B38">
            <v>39629</v>
          </cell>
          <cell r="C38">
            <v>81</v>
          </cell>
          <cell r="D38">
            <v>314</v>
          </cell>
          <cell r="E38">
            <v>77</v>
          </cell>
          <cell r="F38">
            <v>1344</v>
          </cell>
          <cell r="G38">
            <v>17.454545454545453</v>
          </cell>
          <cell r="H38">
            <v>0.17827235005658237</v>
          </cell>
          <cell r="I38">
            <v>4063</v>
          </cell>
          <cell r="J38">
            <v>186</v>
          </cell>
          <cell r="K38">
            <v>3877</v>
          </cell>
          <cell r="L38">
            <v>16318</v>
          </cell>
          <cell r="M38">
            <v>0.40903203523011822</v>
          </cell>
          <cell r="N38">
            <v>0.23075968517353584</v>
          </cell>
          <cell r="O38">
            <v>39629</v>
          </cell>
          <cell r="P38">
            <v>0.40903203523011822</v>
          </cell>
          <cell r="Q38">
            <v>0.17827235005658237</v>
          </cell>
        </row>
        <row r="39">
          <cell r="B39">
            <v>39721</v>
          </cell>
          <cell r="C39">
            <v>84</v>
          </cell>
          <cell r="D39">
            <v>323</v>
          </cell>
          <cell r="E39">
            <v>80</v>
          </cell>
          <cell r="F39">
            <v>1407</v>
          </cell>
          <cell r="G39">
            <v>17.587499999999999</v>
          </cell>
          <cell r="H39">
            <v>0.1435250719769674</v>
          </cell>
          <cell r="I39">
            <v>4264</v>
          </cell>
          <cell r="J39">
            <v>191</v>
          </cell>
          <cell r="K39">
            <v>4073</v>
          </cell>
          <cell r="L39">
            <v>17300</v>
          </cell>
          <cell r="M39">
            <v>0.38588480333253217</v>
          </cell>
          <cell r="N39">
            <v>0.24235973135556477</v>
          </cell>
          <cell r="O39">
            <v>39721</v>
          </cell>
          <cell r="P39">
            <v>0.38588480333253217</v>
          </cell>
          <cell r="Q39">
            <v>0.1435250719769674</v>
          </cell>
        </row>
        <row r="40">
          <cell r="B40">
            <v>39813</v>
          </cell>
          <cell r="C40">
            <v>88</v>
          </cell>
          <cell r="D40">
            <v>508</v>
          </cell>
          <cell r="E40">
            <v>83</v>
          </cell>
          <cell r="F40">
            <v>1466</v>
          </cell>
          <cell r="G40">
            <v>17.662650602409638</v>
          </cell>
          <cell r="H40">
            <v>6.4422938773834648E-2</v>
          </cell>
          <cell r="I40">
            <v>6704</v>
          </cell>
          <cell r="J40">
            <v>266</v>
          </cell>
          <cell r="K40">
            <v>6438</v>
          </cell>
          <cell r="L40">
            <v>18331</v>
          </cell>
          <cell r="M40">
            <v>0.30043984108967092</v>
          </cell>
          <cell r="N40">
            <v>0.23601690231583627</v>
          </cell>
          <cell r="O40">
            <v>39813</v>
          </cell>
          <cell r="P40">
            <v>0.30043984108967092</v>
          </cell>
          <cell r="Q40">
            <v>6.4422938773834648E-2</v>
          </cell>
        </row>
        <row r="41">
          <cell r="B41">
            <v>39903</v>
          </cell>
          <cell r="C41">
            <v>91</v>
          </cell>
          <cell r="D41">
            <v>358</v>
          </cell>
          <cell r="E41">
            <v>86</v>
          </cell>
          <cell r="F41">
            <v>1503</v>
          </cell>
          <cell r="G41">
            <v>17.476744186046513</v>
          </cell>
          <cell r="H41">
            <v>2.8861630682133654E-2</v>
          </cell>
          <cell r="I41">
            <v>4889</v>
          </cell>
          <cell r="J41">
            <v>190</v>
          </cell>
          <cell r="K41">
            <v>4699</v>
          </cell>
          <cell r="L41">
            <v>19087</v>
          </cell>
          <cell r="M41">
            <v>0.25779242174629324</v>
          </cell>
          <cell r="N41">
            <v>0.22893079106415959</v>
          </cell>
          <cell r="O41">
            <v>39903</v>
          </cell>
          <cell r="P41">
            <v>0.25779242174629324</v>
          </cell>
          <cell r="Q41">
            <v>2.8861630682133654E-2</v>
          </cell>
        </row>
        <row r="42">
          <cell r="B42">
            <v>39994</v>
          </cell>
          <cell r="C42">
            <v>94</v>
          </cell>
          <cell r="D42">
            <v>332</v>
          </cell>
          <cell r="E42">
            <v>89.25</v>
          </cell>
          <cell r="F42">
            <v>1521</v>
          </cell>
          <cell r="G42">
            <v>17.042016806722689</v>
          </cell>
          <cell r="H42">
            <v>-2.3634453781512521E-2</v>
          </cell>
          <cell r="I42">
            <v>4651</v>
          </cell>
          <cell r="J42">
            <v>185</v>
          </cell>
          <cell r="K42">
            <v>4466</v>
          </cell>
          <cell r="L42">
            <v>19676</v>
          </cell>
          <cell r="M42">
            <v>0.2057850226743474</v>
          </cell>
          <cell r="N42">
            <v>0.22941947645585992</v>
          </cell>
          <cell r="O42">
            <v>39994</v>
          </cell>
          <cell r="P42">
            <v>0.2057850226743474</v>
          </cell>
          <cell r="Q42">
            <v>-2.3634453781512521E-2</v>
          </cell>
        </row>
        <row r="43">
          <cell r="B43">
            <v>40086</v>
          </cell>
          <cell r="C43">
            <v>98</v>
          </cell>
          <cell r="D43">
            <v>388</v>
          </cell>
          <cell r="E43">
            <v>92.75</v>
          </cell>
          <cell r="F43">
            <v>1586</v>
          </cell>
          <cell r="G43">
            <v>17.099730458221025</v>
          </cell>
          <cell r="H43">
            <v>-2.773387586518683E-2</v>
          </cell>
          <cell r="I43">
            <v>5449</v>
          </cell>
          <cell r="J43">
            <v>208</v>
          </cell>
          <cell r="K43">
            <v>5241</v>
          </cell>
          <cell r="L43">
            <v>20844</v>
          </cell>
          <cell r="M43">
            <v>0.20485549132947978</v>
          </cell>
          <cell r="N43">
            <v>0.23258936719466661</v>
          </cell>
          <cell r="O43">
            <v>40086</v>
          </cell>
          <cell r="P43">
            <v>0.20485549132947978</v>
          </cell>
          <cell r="Q43">
            <v>-2.773387586518683E-2</v>
          </cell>
        </row>
        <row r="44">
          <cell r="B44">
            <v>40178</v>
          </cell>
          <cell r="C44">
            <v>105</v>
          </cell>
          <cell r="D44">
            <v>696</v>
          </cell>
          <cell r="E44">
            <v>97</v>
          </cell>
          <cell r="F44">
            <v>1774</v>
          </cell>
          <cell r="G44">
            <v>18.288659793814432</v>
          </cell>
          <cell r="H44">
            <v>3.5442539486083113E-2</v>
          </cell>
          <cell r="I44">
            <v>9519</v>
          </cell>
          <cell r="J44">
            <v>341</v>
          </cell>
          <cell r="K44">
            <v>9178</v>
          </cell>
          <cell r="L44">
            <v>23584</v>
          </cell>
          <cell r="M44">
            <v>0.28656374447656985</v>
          </cell>
          <cell r="N44">
            <v>0.25112120499048673</v>
          </cell>
          <cell r="O44">
            <v>40178</v>
          </cell>
          <cell r="P44">
            <v>0.28656374447656985</v>
          </cell>
          <cell r="Q44">
            <v>3.5442539486083113E-2</v>
          </cell>
        </row>
        <row r="45">
          <cell r="B45">
            <v>40268</v>
          </cell>
          <cell r="C45">
            <v>114</v>
          </cell>
          <cell r="D45">
            <v>518</v>
          </cell>
          <cell r="E45">
            <v>102.75</v>
          </cell>
          <cell r="F45">
            <v>1934</v>
          </cell>
          <cell r="G45">
            <v>18.822384428223845</v>
          </cell>
          <cell r="H45">
            <v>7.6996048454591071E-2</v>
          </cell>
          <cell r="I45">
            <v>7131</v>
          </cell>
          <cell r="J45">
            <v>248</v>
          </cell>
          <cell r="K45">
            <v>6883</v>
          </cell>
          <cell r="L45">
            <v>25768</v>
          </cell>
          <cell r="M45">
            <v>0.35002881542411068</v>
          </cell>
          <cell r="N45">
            <v>0.27303276696951961</v>
          </cell>
          <cell r="O45">
            <v>40268</v>
          </cell>
          <cell r="P45">
            <v>0.35002881542411068</v>
          </cell>
          <cell r="Q45">
            <v>7.6996048454591071E-2</v>
          </cell>
        </row>
        <row r="46">
          <cell r="B46">
            <v>40359</v>
          </cell>
          <cell r="C46">
            <v>118</v>
          </cell>
          <cell r="D46">
            <v>487</v>
          </cell>
          <cell r="E46">
            <v>108.75</v>
          </cell>
          <cell r="F46">
            <v>2089</v>
          </cell>
          <cell r="G46">
            <v>19.20919540229885</v>
          </cell>
          <cell r="H46">
            <v>0.12716679135777276</v>
          </cell>
          <cell r="I46">
            <v>6566</v>
          </cell>
          <cell r="J46">
            <v>239</v>
          </cell>
          <cell r="K46">
            <v>6327</v>
          </cell>
          <cell r="L46">
            <v>27629</v>
          </cell>
          <cell r="M46">
            <v>0.40419800772514747</v>
          </cell>
          <cell r="N46">
            <v>0.27703121636737471</v>
          </cell>
          <cell r="O46">
            <v>40359</v>
          </cell>
          <cell r="P46">
            <v>0.40419800772514747</v>
          </cell>
          <cell r="Q46">
            <v>0.12716679135777276</v>
          </cell>
        </row>
        <row r="47">
          <cell r="B47">
            <v>40451</v>
          </cell>
          <cell r="C47">
            <v>121</v>
          </cell>
          <cell r="D47">
            <v>576</v>
          </cell>
          <cell r="E47">
            <v>114.5</v>
          </cell>
          <cell r="F47">
            <v>2277</v>
          </cell>
          <cell r="G47">
            <v>19.886462882096069</v>
          </cell>
          <cell r="H47">
            <v>0.16296937724742144</v>
          </cell>
          <cell r="I47">
            <v>7560</v>
          </cell>
          <cell r="J47">
            <v>270</v>
          </cell>
          <cell r="K47">
            <v>7290</v>
          </cell>
          <cell r="L47">
            <v>29678</v>
          </cell>
          <cell r="M47">
            <v>0.42381500671656114</v>
          </cell>
          <cell r="N47">
            <v>0.26084562946913969</v>
          </cell>
          <cell r="O47">
            <v>40451</v>
          </cell>
          <cell r="P47">
            <v>0.42381500671656114</v>
          </cell>
          <cell r="Q47">
            <v>0.16296937724742144</v>
          </cell>
        </row>
        <row r="48">
          <cell r="B48">
            <v>40543</v>
          </cell>
          <cell r="C48">
            <v>130</v>
          </cell>
          <cell r="D48">
            <v>999</v>
          </cell>
          <cell r="E48">
            <v>120.75</v>
          </cell>
          <cell r="F48">
            <v>2580</v>
          </cell>
          <cell r="G48">
            <v>21.366459627329192</v>
          </cell>
          <cell r="H48">
            <v>0.16829006981450489</v>
          </cell>
          <cell r="I48">
            <v>12948</v>
          </cell>
          <cell r="J48">
            <v>437</v>
          </cell>
          <cell r="K48">
            <v>12511</v>
          </cell>
          <cell r="L48">
            <v>33011</v>
          </cell>
          <cell r="M48">
            <v>0.39972014925373145</v>
          </cell>
          <cell r="N48">
            <v>0.23143007943922655</v>
          </cell>
          <cell r="O48">
            <v>40543</v>
          </cell>
          <cell r="P48">
            <v>0.39972014925373145</v>
          </cell>
          <cell r="Q48">
            <v>0.16829006981450489</v>
          </cell>
        </row>
        <row r="49">
          <cell r="B49">
            <v>40633</v>
          </cell>
          <cell r="C49">
            <v>137</v>
          </cell>
          <cell r="D49">
            <v>786</v>
          </cell>
          <cell r="E49">
            <v>126.5</v>
          </cell>
          <cell r="F49">
            <v>2848</v>
          </cell>
          <cell r="G49">
            <v>22.513833992094863</v>
          </cell>
          <cell r="H49">
            <v>0.19612018753244409</v>
          </cell>
          <cell r="I49">
            <v>9857</v>
          </cell>
          <cell r="J49">
            <v>330</v>
          </cell>
          <cell r="K49">
            <v>9527</v>
          </cell>
          <cell r="L49">
            <v>35655</v>
          </cell>
          <cell r="M49">
            <v>0.38369295249922386</v>
          </cell>
          <cell r="N49">
            <v>0.18757276496677977</v>
          </cell>
          <cell r="O49">
            <v>40633</v>
          </cell>
          <cell r="P49">
            <v>0.38369295249922386</v>
          </cell>
          <cell r="Q49">
            <v>0.19612018753244409</v>
          </cell>
        </row>
        <row r="50">
          <cell r="B50">
            <v>40724</v>
          </cell>
          <cell r="C50">
            <v>144</v>
          </cell>
          <cell r="D50">
            <v>820</v>
          </cell>
          <cell r="E50">
            <v>133</v>
          </cell>
          <cell r="F50">
            <v>3181</v>
          </cell>
          <cell r="G50">
            <v>23.917293233082706</v>
          </cell>
          <cell r="H50">
            <v>0.24509604552309461</v>
          </cell>
          <cell r="I50">
            <v>9913</v>
          </cell>
          <cell r="J50">
            <v>331</v>
          </cell>
          <cell r="K50">
            <v>9582</v>
          </cell>
          <cell r="L50">
            <v>38910</v>
          </cell>
          <cell r="M50">
            <v>0.40830287017264477</v>
          </cell>
          <cell r="N50">
            <v>0.16320682464955016</v>
          </cell>
          <cell r="O50">
            <v>40724</v>
          </cell>
          <cell r="P50">
            <v>0.40830287017264477</v>
          </cell>
          <cell r="Q50">
            <v>0.24509604552309461</v>
          </cell>
        </row>
        <row r="51">
          <cell r="B51">
            <v>40816</v>
          </cell>
          <cell r="C51">
            <v>152</v>
          </cell>
          <cell r="D51">
            <v>918</v>
          </cell>
          <cell r="E51">
            <v>140.75</v>
          </cell>
          <cell r="F51">
            <v>3523</v>
          </cell>
          <cell r="G51">
            <v>25.03019538188277</v>
          </cell>
          <cell r="H51">
            <v>0.25865497199190912</v>
          </cell>
          <cell r="I51">
            <v>10876</v>
          </cell>
          <cell r="J51">
            <v>360</v>
          </cell>
          <cell r="K51">
            <v>10516</v>
          </cell>
          <cell r="L51">
            <v>42136</v>
          </cell>
          <cell r="M51">
            <v>0.41977222184783347</v>
          </cell>
          <cell r="N51">
            <v>0.16111724985592435</v>
          </cell>
          <cell r="O51">
            <v>40816</v>
          </cell>
          <cell r="P51">
            <v>0.41977222184783347</v>
          </cell>
          <cell r="Q51">
            <v>0.25865497199190912</v>
          </cell>
        </row>
      </sheetData>
      <sheetData sheetId="1" refreshError="1">
        <row r="2">
          <cell r="F2" t="str">
            <v>Fiscal Quarter-End</v>
          </cell>
          <cell r="J2" t="str">
            <v>Fiscal Quarter-End</v>
          </cell>
          <cell r="N2" t="str">
            <v>Fiscal Quarter-End</v>
          </cell>
          <cell r="R2" t="str">
            <v>Fiscal Quarter-End</v>
          </cell>
          <cell r="V2" t="str">
            <v>Fiscal Quarter-End</v>
          </cell>
          <cell r="Z2" t="str">
            <v>Fiscal Quarter-End</v>
          </cell>
          <cell r="AD2" t="str">
            <v>Fiscal Quarter-End</v>
          </cell>
          <cell r="AH2" t="str">
            <v>Fiscal Quarter-End</v>
          </cell>
          <cell r="AL2" t="str">
            <v>Fiscal Quarter-End</v>
          </cell>
          <cell r="AP2" t="str">
            <v>Fiscal Quarter-End</v>
          </cell>
          <cell r="AT2" t="str">
            <v>Fiscal Quarter-End</v>
          </cell>
          <cell r="AX2" t="str">
            <v>Fiscal Quarter-End</v>
          </cell>
          <cell r="BB2" t="str">
            <v>Fiscal Quarter-End</v>
          </cell>
        </row>
        <row r="3">
          <cell r="F3">
            <v>36250</v>
          </cell>
          <cell r="G3">
            <v>36341</v>
          </cell>
          <cell r="H3">
            <v>36433</v>
          </cell>
          <cell r="I3">
            <v>36525</v>
          </cell>
          <cell r="J3">
            <v>36616</v>
          </cell>
          <cell r="K3">
            <v>36707</v>
          </cell>
          <cell r="L3">
            <v>36799</v>
          </cell>
          <cell r="M3">
            <v>36891</v>
          </cell>
          <cell r="N3">
            <v>36981</v>
          </cell>
          <cell r="O3">
            <v>37072</v>
          </cell>
          <cell r="P3">
            <v>37164</v>
          </cell>
          <cell r="Q3">
            <v>37256</v>
          </cell>
          <cell r="R3">
            <v>37346</v>
          </cell>
          <cell r="S3">
            <v>37437</v>
          </cell>
          <cell r="T3">
            <v>37529</v>
          </cell>
          <cell r="U3">
            <v>37621</v>
          </cell>
          <cell r="V3">
            <v>37711</v>
          </cell>
          <cell r="W3">
            <v>37802</v>
          </cell>
          <cell r="X3">
            <v>37894</v>
          </cell>
          <cell r="Y3">
            <v>37986</v>
          </cell>
          <cell r="Z3">
            <v>38077</v>
          </cell>
          <cell r="AA3">
            <v>38168</v>
          </cell>
          <cell r="AB3">
            <v>38260</v>
          </cell>
          <cell r="AC3">
            <v>38352</v>
          </cell>
          <cell r="AD3">
            <v>38442</v>
          </cell>
          <cell r="AE3">
            <v>38533</v>
          </cell>
          <cell r="AF3">
            <v>38625</v>
          </cell>
          <cell r="AG3">
            <v>38717</v>
          </cell>
          <cell r="AH3">
            <v>38807</v>
          </cell>
          <cell r="AI3">
            <v>38898</v>
          </cell>
          <cell r="AJ3">
            <v>38990</v>
          </cell>
          <cell r="AK3">
            <v>39082</v>
          </cell>
          <cell r="AL3">
            <v>39172</v>
          </cell>
          <cell r="AM3">
            <v>39263</v>
          </cell>
          <cell r="AN3">
            <v>39355</v>
          </cell>
          <cell r="AO3">
            <v>39447</v>
          </cell>
          <cell r="AP3">
            <v>39538</v>
          </cell>
          <cell r="AQ3">
            <v>39629</v>
          </cell>
          <cell r="AR3">
            <v>39721</v>
          </cell>
          <cell r="AS3">
            <v>39813</v>
          </cell>
          <cell r="AT3">
            <v>39903</v>
          </cell>
          <cell r="AU3">
            <v>39994</v>
          </cell>
          <cell r="AV3">
            <v>40086</v>
          </cell>
          <cell r="AW3">
            <v>40178</v>
          </cell>
          <cell r="AX3">
            <v>40268</v>
          </cell>
          <cell r="AY3">
            <v>40359</v>
          </cell>
          <cell r="AZ3">
            <v>40451</v>
          </cell>
          <cell r="BA3">
            <v>40543</v>
          </cell>
          <cell r="BB3">
            <v>40633</v>
          </cell>
          <cell r="BC3">
            <v>40724</v>
          </cell>
          <cell r="BD3">
            <v>40816</v>
          </cell>
        </row>
        <row r="5">
          <cell r="A5">
            <v>0</v>
          </cell>
          <cell r="B5">
            <v>0</v>
          </cell>
          <cell r="F5">
            <v>293.64299999999997</v>
          </cell>
          <cell r="G5">
            <v>314.37700000000001</v>
          </cell>
          <cell r="H5">
            <v>355.77699999999999</v>
          </cell>
          <cell r="I5">
            <v>676.04200000000003</v>
          </cell>
          <cell r="J5">
            <v>573.88900000000001</v>
          </cell>
          <cell r="K5">
            <v>577.87599999999998</v>
          </cell>
          <cell r="L5">
            <v>637.85799999999995</v>
          </cell>
          <cell r="M5">
            <v>972.36</v>
          </cell>
          <cell r="N5">
            <v>700.35599999999999</v>
          </cell>
          <cell r="O5">
            <v>667.625</v>
          </cell>
          <cell r="P5">
            <v>639.28100000000006</v>
          </cell>
          <cell r="Q5">
            <v>1115.1709999999998</v>
          </cell>
          <cell r="R5">
            <v>847.42200000000014</v>
          </cell>
          <cell r="S5">
            <v>805.60500000000002</v>
          </cell>
          <cell r="T5">
            <v>851.29899999999998</v>
          </cell>
          <cell r="U5">
            <v>1428.61</v>
          </cell>
          <cell r="V5">
            <v>1083.559</v>
          </cell>
          <cell r="W5">
            <v>1099.912</v>
          </cell>
          <cell r="X5">
            <v>1134.4560000000001</v>
          </cell>
          <cell r="Y5">
            <v>1945.7719999999999</v>
          </cell>
          <cell r="Z5">
            <v>1530.3489999999999</v>
          </cell>
          <cell r="AA5">
            <v>1387.3409999999999</v>
          </cell>
          <cell r="AB5">
            <v>1462.4749999999999</v>
          </cell>
          <cell r="AC5">
            <v>2540.9589999999998</v>
          </cell>
          <cell r="AD5">
            <v>1901.923</v>
          </cell>
          <cell r="AE5">
            <v>1753</v>
          </cell>
          <cell r="AF5">
            <v>1858</v>
          </cell>
          <cell r="AG5">
            <v>2977</v>
          </cell>
          <cell r="AH5">
            <v>2279</v>
          </cell>
          <cell r="AI5">
            <v>2139</v>
          </cell>
          <cell r="AJ5">
            <v>2307</v>
          </cell>
          <cell r="AK5">
            <v>3986</v>
          </cell>
          <cell r="AL5">
            <v>3015</v>
          </cell>
          <cell r="AM5">
            <v>2886</v>
          </cell>
          <cell r="AN5">
            <v>3262</v>
          </cell>
          <cell r="AO5">
            <v>5673</v>
          </cell>
          <cell r="AP5">
            <v>4135</v>
          </cell>
          <cell r="AQ5">
            <v>4063</v>
          </cell>
          <cell r="AR5">
            <v>4264</v>
          </cell>
          <cell r="AS5">
            <v>6704</v>
          </cell>
          <cell r="AT5">
            <v>4889</v>
          </cell>
          <cell r="AU5">
            <v>4651</v>
          </cell>
          <cell r="AV5">
            <v>5449</v>
          </cell>
          <cell r="AW5">
            <v>9519</v>
          </cell>
          <cell r="AX5">
            <v>7131</v>
          </cell>
          <cell r="AY5">
            <v>6566</v>
          </cell>
          <cell r="AZ5">
            <v>7560</v>
          </cell>
          <cell r="BA5">
            <v>12948</v>
          </cell>
          <cell r="BB5">
            <v>9857</v>
          </cell>
          <cell r="BC5">
            <v>9913</v>
          </cell>
          <cell r="BD5">
            <v>10876</v>
          </cell>
        </row>
        <row r="6">
          <cell r="A6">
            <v>0</v>
          </cell>
          <cell r="B6">
            <v>0</v>
          </cell>
          <cell r="F6">
            <v>-228.852</v>
          </cell>
          <cell r="G6">
            <v>-246.846</v>
          </cell>
          <cell r="H6">
            <v>-285.3</v>
          </cell>
          <cell r="I6">
            <v>-588.19600000000003</v>
          </cell>
          <cell r="J6">
            <v>-445.755</v>
          </cell>
          <cell r="K6">
            <v>-441.81200000000001</v>
          </cell>
          <cell r="L6">
            <v>-470.57900000000001</v>
          </cell>
          <cell r="M6">
            <v>-748.06</v>
          </cell>
          <cell r="N6">
            <v>-517.75900000000001</v>
          </cell>
          <cell r="O6">
            <v>-487.90499999999997</v>
          </cell>
          <cell r="P6">
            <v>-477.089</v>
          </cell>
          <cell r="Q6">
            <v>-841.12199999999996</v>
          </cell>
          <cell r="R6">
            <v>-624.29700000000003</v>
          </cell>
          <cell r="S6">
            <v>-587.43799999999999</v>
          </cell>
          <cell r="T6">
            <v>-635.13199999999995</v>
          </cell>
          <cell r="U6">
            <v>-1093.451</v>
          </cell>
          <cell r="V6">
            <v>-812.97699999999998</v>
          </cell>
          <cell r="W6">
            <v>-825.98400000000004</v>
          </cell>
          <cell r="X6">
            <v>-848.63499999999999</v>
          </cell>
          <cell r="Y6">
            <v>-1518.9349999999999</v>
          </cell>
          <cell r="Z6">
            <v>-1169.5150000000001</v>
          </cell>
          <cell r="AA6">
            <v>-1046.2950000000001</v>
          </cell>
          <cell r="AB6">
            <v>-1106.8240000000001</v>
          </cell>
          <cell r="AC6">
            <v>-1997</v>
          </cell>
          <cell r="AD6">
            <v>-1443.923</v>
          </cell>
          <cell r="AE6">
            <v>-1303</v>
          </cell>
          <cell r="AF6">
            <v>-1395</v>
          </cell>
          <cell r="AG6">
            <v>-2310</v>
          </cell>
          <cell r="AH6">
            <v>-1732</v>
          </cell>
          <cell r="AI6">
            <v>-1630</v>
          </cell>
          <cell r="AJ6">
            <v>-1758</v>
          </cell>
          <cell r="AK6">
            <v>-3136</v>
          </cell>
          <cell r="AL6">
            <v>-2296</v>
          </cell>
          <cell r="AM6">
            <v>-2185</v>
          </cell>
          <cell r="AN6">
            <v>-2500</v>
          </cell>
          <cell r="AO6">
            <v>-4503</v>
          </cell>
          <cell r="AP6">
            <v>-3179</v>
          </cell>
          <cell r="AQ6">
            <v>-3096</v>
          </cell>
          <cell r="AR6">
            <v>-3265</v>
          </cell>
          <cell r="AS6">
            <v>-5356</v>
          </cell>
          <cell r="AT6">
            <v>-3741</v>
          </cell>
          <cell r="AU6">
            <v>-3518</v>
          </cell>
          <cell r="AV6">
            <v>-4176</v>
          </cell>
          <cell r="AW6">
            <v>-7543</v>
          </cell>
          <cell r="AX6">
            <v>-5501</v>
          </cell>
          <cell r="AY6">
            <v>-4957</v>
          </cell>
          <cell r="AZ6">
            <v>-5786</v>
          </cell>
          <cell r="BA6">
            <v>-10317</v>
          </cell>
          <cell r="BB6">
            <v>-7608</v>
          </cell>
          <cell r="BC6">
            <v>-7525</v>
          </cell>
          <cell r="BD6">
            <v>-8325</v>
          </cell>
        </row>
        <row r="7">
          <cell r="A7">
            <v>0</v>
          </cell>
          <cell r="B7">
            <v>0</v>
          </cell>
          <cell r="F7">
            <v>64.790999999999968</v>
          </cell>
          <cell r="G7">
            <v>67.531000000000006</v>
          </cell>
          <cell r="H7">
            <v>70.476999999999975</v>
          </cell>
          <cell r="I7">
            <v>87.846000000000004</v>
          </cell>
          <cell r="J7">
            <v>128.13400000000001</v>
          </cell>
          <cell r="K7">
            <v>136.06399999999996</v>
          </cell>
          <cell r="L7">
            <v>167.27899999999994</v>
          </cell>
          <cell r="M7">
            <v>224.30000000000007</v>
          </cell>
          <cell r="N7">
            <v>182.59699999999998</v>
          </cell>
          <cell r="O7">
            <v>179.72000000000003</v>
          </cell>
          <cell r="P7">
            <v>162.19200000000006</v>
          </cell>
          <cell r="Q7">
            <v>274.04899999999986</v>
          </cell>
          <cell r="R7">
            <v>223.12500000000011</v>
          </cell>
          <cell r="S7">
            <v>218.16700000000003</v>
          </cell>
          <cell r="T7">
            <v>216.16700000000003</v>
          </cell>
          <cell r="U7">
            <v>335.15899999999988</v>
          </cell>
          <cell r="V7">
            <v>270.58199999999999</v>
          </cell>
          <cell r="W7">
            <v>273.928</v>
          </cell>
          <cell r="X7">
            <v>285.82100000000014</v>
          </cell>
          <cell r="Y7">
            <v>426.83699999999999</v>
          </cell>
          <cell r="Z7">
            <v>360.83399999999983</v>
          </cell>
          <cell r="AA7">
            <v>341.04599999999982</v>
          </cell>
          <cell r="AB7">
            <v>355.65099999999984</v>
          </cell>
          <cell r="AC7">
            <v>543.95899999999983</v>
          </cell>
          <cell r="AD7">
            <v>458</v>
          </cell>
          <cell r="AE7">
            <v>450</v>
          </cell>
          <cell r="AF7">
            <v>463</v>
          </cell>
          <cell r="AG7">
            <v>667</v>
          </cell>
          <cell r="AH7">
            <v>547</v>
          </cell>
          <cell r="AI7">
            <v>509</v>
          </cell>
          <cell r="AJ7">
            <v>549</v>
          </cell>
          <cell r="AK7">
            <v>850</v>
          </cell>
          <cell r="AL7">
            <v>719</v>
          </cell>
          <cell r="AM7">
            <v>701</v>
          </cell>
          <cell r="AN7">
            <v>762</v>
          </cell>
          <cell r="AO7">
            <v>1170</v>
          </cell>
          <cell r="AP7">
            <v>956</v>
          </cell>
          <cell r="AQ7">
            <v>967</v>
          </cell>
          <cell r="AR7">
            <v>999</v>
          </cell>
          <cell r="AS7">
            <v>1348</v>
          </cell>
          <cell r="AT7">
            <v>1148</v>
          </cell>
          <cell r="AU7">
            <v>1133</v>
          </cell>
          <cell r="AV7">
            <v>1273</v>
          </cell>
          <cell r="AW7">
            <v>1976</v>
          </cell>
          <cell r="AX7">
            <v>1630</v>
          </cell>
          <cell r="AY7">
            <v>1609</v>
          </cell>
          <cell r="AZ7">
            <v>1774</v>
          </cell>
          <cell r="BA7">
            <v>2631</v>
          </cell>
          <cell r="BB7">
            <v>2249</v>
          </cell>
          <cell r="BC7">
            <v>2388</v>
          </cell>
          <cell r="BD7">
            <v>2551</v>
          </cell>
        </row>
        <row r="8">
          <cell r="A8">
            <v>0</v>
          </cell>
          <cell r="B8">
            <v>0</v>
          </cell>
        </row>
        <row r="9">
          <cell r="A9">
            <v>0</v>
          </cell>
          <cell r="B9">
            <v>0</v>
          </cell>
          <cell r="F9">
            <v>0.22064547767186676</v>
          </cell>
          <cell r="G9">
            <v>0.21480897139421778</v>
          </cell>
          <cell r="H9">
            <v>0.19809318758660616</v>
          </cell>
          <cell r="I9">
            <v>0.12994163084542085</v>
          </cell>
          <cell r="J9">
            <v>0.22327314167025333</v>
          </cell>
          <cell r="K9">
            <v>0.23545535720465977</v>
          </cell>
          <cell r="L9">
            <v>0.26225115934894594</v>
          </cell>
          <cell r="M9">
            <v>0.23067588136081293</v>
          </cell>
          <cell r="N9">
            <v>0.26072026226661865</v>
          </cell>
          <cell r="O9">
            <v>0.26919303501217007</v>
          </cell>
          <cell r="P9">
            <v>0.25371002735886106</v>
          </cell>
          <cell r="Q9">
            <v>0.24574616807646532</v>
          </cell>
          <cell r="R9">
            <v>0.26329856907184385</v>
          </cell>
          <cell r="S9">
            <v>0.27081137778439807</v>
          </cell>
          <cell r="T9">
            <v>0.25392605888177955</v>
          </cell>
          <cell r="U9">
            <v>0.23460496566592695</v>
          </cell>
          <cell r="V9">
            <v>0.24971598224000724</v>
          </cell>
          <cell r="W9">
            <v>0.2490453781757086</v>
          </cell>
          <cell r="X9">
            <v>0.25194542582524143</v>
          </cell>
          <cell r="Y9">
            <v>0.21936640058547455</v>
          </cell>
          <cell r="Z9">
            <v>0.23578543195048962</v>
          </cell>
          <cell r="AA9">
            <v>0.24582708937456604</v>
          </cell>
          <cell r="AB9">
            <v>0.24318432793722961</v>
          </cell>
          <cell r="AC9">
            <v>0.21407626018365503</v>
          </cell>
          <cell r="AD9">
            <v>0.24080890761613377</v>
          </cell>
          <cell r="AE9">
            <v>0.25670279520821448</v>
          </cell>
          <cell r="AF9">
            <v>0.24919268030139935</v>
          </cell>
          <cell r="AG9">
            <v>0.22405105811219347</v>
          </cell>
          <cell r="AH9">
            <v>0.24001755155770074</v>
          </cell>
          <cell r="AI9">
            <v>0.23796166432912577</v>
          </cell>
          <cell r="AJ9">
            <v>0.23797139141742524</v>
          </cell>
          <cell r="AK9">
            <v>0.21324636226793778</v>
          </cell>
          <cell r="AL9">
            <v>0.23847429519071311</v>
          </cell>
          <cell r="AM9">
            <v>0.2428967428967429</v>
          </cell>
          <cell r="AN9">
            <v>0.23359901900674432</v>
          </cell>
          <cell r="AO9">
            <v>0.20624008461131677</v>
          </cell>
          <cell r="AP9">
            <v>0.23119709794437726</v>
          </cell>
          <cell r="AQ9">
            <v>0.23800147674132416</v>
          </cell>
          <cell r="AR9">
            <v>0.23428705440900563</v>
          </cell>
          <cell r="AS9">
            <v>0.20107398568019094</v>
          </cell>
          <cell r="AT9">
            <v>0.23481284516260995</v>
          </cell>
          <cell r="AU9">
            <v>0.24360352612341432</v>
          </cell>
          <cell r="AV9">
            <v>0.23362084786199303</v>
          </cell>
          <cell r="AW9">
            <v>0.20758483033932135</v>
          </cell>
          <cell r="AX9">
            <v>0.22857944187351004</v>
          </cell>
          <cell r="AY9">
            <v>0.24505025890953397</v>
          </cell>
          <cell r="AZ9">
            <v>0.23465608465608465</v>
          </cell>
          <cell r="BA9">
            <v>0.20319740500463393</v>
          </cell>
          <cell r="BB9">
            <v>0.22816272699604342</v>
          </cell>
          <cell r="BC9">
            <v>0.24089579340260264</v>
          </cell>
          <cell r="BD9">
            <v>0.23455314453843323</v>
          </cell>
        </row>
        <row r="10">
          <cell r="A10">
            <v>0</v>
          </cell>
          <cell r="B10">
            <v>0</v>
          </cell>
        </row>
        <row r="11">
          <cell r="A11">
            <v>0</v>
          </cell>
          <cell r="B11">
            <v>0</v>
          </cell>
          <cell r="F11">
            <v>44.2</v>
          </cell>
          <cell r="G11">
            <v>49</v>
          </cell>
          <cell r="H11">
            <v>53.3</v>
          </cell>
          <cell r="I11">
            <v>92.5</v>
          </cell>
          <cell r="J11">
            <v>74.599999999999994</v>
          </cell>
          <cell r="K11">
            <v>73.5</v>
          </cell>
          <cell r="L11">
            <v>78.099999999999994</v>
          </cell>
          <cell r="M11">
            <v>112.8</v>
          </cell>
          <cell r="N11">
            <v>82</v>
          </cell>
          <cell r="O11">
            <v>76</v>
          </cell>
          <cell r="P11">
            <v>74</v>
          </cell>
          <cell r="Q11">
            <v>125</v>
          </cell>
          <cell r="R11">
            <v>89</v>
          </cell>
          <cell r="S11">
            <v>81</v>
          </cell>
          <cell r="T11">
            <v>73</v>
          </cell>
          <cell r="U11">
            <v>121.74900000000002</v>
          </cell>
          <cell r="V11">
            <v>78</v>
          </cell>
          <cell r="W11">
            <v>80</v>
          </cell>
          <cell r="X11">
            <v>77</v>
          </cell>
          <cell r="Y11">
            <v>137</v>
          </cell>
          <cell r="Z11">
            <v>93.6</v>
          </cell>
          <cell r="AA11">
            <v>84</v>
          </cell>
          <cell r="AB11">
            <v>87</v>
          </cell>
          <cell r="AC11">
            <v>155.45299999999997</v>
          </cell>
          <cell r="AD11">
            <v>107.8</v>
          </cell>
          <cell r="AE11">
            <v>103</v>
          </cell>
          <cell r="AF11">
            <v>112</v>
          </cell>
          <cell r="AG11">
            <v>188.2</v>
          </cell>
          <cell r="AH11">
            <v>129</v>
          </cell>
          <cell r="AI11">
            <v>128</v>
          </cell>
          <cell r="AJ11">
            <v>118</v>
          </cell>
          <cell r="AK11">
            <v>192</v>
          </cell>
          <cell r="AL11">
            <v>151</v>
          </cell>
          <cell r="AM11">
            <v>152</v>
          </cell>
          <cell r="AN11">
            <v>171</v>
          </cell>
          <cell r="AO11">
            <v>266</v>
          </cell>
          <cell r="AP11">
            <v>192</v>
          </cell>
          <cell r="AQ11">
            <v>186</v>
          </cell>
          <cell r="AR11">
            <v>191</v>
          </cell>
          <cell r="AS11">
            <v>266</v>
          </cell>
          <cell r="AT11">
            <v>190</v>
          </cell>
          <cell r="AU11">
            <v>185</v>
          </cell>
          <cell r="AV11">
            <v>208</v>
          </cell>
          <cell r="AW11">
            <v>341</v>
          </cell>
          <cell r="AX11">
            <v>248</v>
          </cell>
          <cell r="AY11">
            <v>239</v>
          </cell>
          <cell r="AZ11">
            <v>270</v>
          </cell>
          <cell r="BA11">
            <v>437</v>
          </cell>
          <cell r="BB11">
            <v>330</v>
          </cell>
          <cell r="BC11">
            <v>331</v>
          </cell>
          <cell r="BD11">
            <v>360</v>
          </cell>
        </row>
        <row r="12">
          <cell r="A12">
            <v>0</v>
          </cell>
          <cell r="B12">
            <v>0</v>
          </cell>
          <cell r="F12">
            <v>-37.299999999999997</v>
          </cell>
          <cell r="G12">
            <v>-44.3</v>
          </cell>
          <cell r="H12">
            <v>-48.4</v>
          </cell>
          <cell r="I12">
            <v>-97</v>
          </cell>
          <cell r="J12">
            <v>-78</v>
          </cell>
          <cell r="K12">
            <v>-62.6</v>
          </cell>
          <cell r="L12">
            <v>-69.900000000000006</v>
          </cell>
          <cell r="M12">
            <v>-129.5</v>
          </cell>
          <cell r="N12">
            <v>-87</v>
          </cell>
          <cell r="O12">
            <v>-78</v>
          </cell>
          <cell r="P12">
            <v>-76</v>
          </cell>
          <cell r="Q12">
            <v>-135</v>
          </cell>
          <cell r="R12">
            <v>-90</v>
          </cell>
          <cell r="S12">
            <v>-83</v>
          </cell>
          <cell r="T12">
            <v>-83</v>
          </cell>
          <cell r="U12">
            <v>-148.303</v>
          </cell>
          <cell r="V12">
            <v>-105</v>
          </cell>
          <cell r="W12">
            <v>-106</v>
          </cell>
          <cell r="X12">
            <v>-104</v>
          </cell>
          <cell r="Y12">
            <v>-193.46800000000002</v>
          </cell>
          <cell r="Z12">
            <v>-136.6</v>
          </cell>
          <cell r="AA12">
            <v>-119</v>
          </cell>
          <cell r="AB12">
            <v>-128</v>
          </cell>
          <cell r="AC12">
            <v>-232.97199999999998</v>
          </cell>
          <cell r="AD12">
            <v>-163.1</v>
          </cell>
          <cell r="AE12">
            <v>-148</v>
          </cell>
          <cell r="AF12">
            <v>-159</v>
          </cell>
          <cell r="AG12">
            <v>-279.89999999999998</v>
          </cell>
          <cell r="AH12">
            <v>-197</v>
          </cell>
          <cell r="AI12">
            <v>-188</v>
          </cell>
          <cell r="AJ12">
            <v>-182</v>
          </cell>
          <cell r="AK12">
            <v>-317</v>
          </cell>
          <cell r="AL12">
            <v>-238</v>
          </cell>
          <cell r="AM12">
            <v>-227</v>
          </cell>
          <cell r="AN12">
            <v>-260</v>
          </cell>
          <cell r="AO12">
            <v>-449</v>
          </cell>
          <cell r="AP12">
            <v>-321</v>
          </cell>
          <cell r="AQ12">
            <v>-314</v>
          </cell>
          <cell r="AR12">
            <v>-323</v>
          </cell>
          <cell r="AS12">
            <v>-508</v>
          </cell>
          <cell r="AT12">
            <v>-358</v>
          </cell>
          <cell r="AU12">
            <v>-332</v>
          </cell>
          <cell r="AV12">
            <v>-388</v>
          </cell>
          <cell r="AW12">
            <v>-696</v>
          </cell>
          <cell r="AX12">
            <v>-518</v>
          </cell>
          <cell r="AY12">
            <v>-487</v>
          </cell>
          <cell r="AZ12">
            <v>-576</v>
          </cell>
          <cell r="BA12">
            <v>-999</v>
          </cell>
          <cell r="BB12">
            <v>-786</v>
          </cell>
          <cell r="BC12">
            <v>-820</v>
          </cell>
          <cell r="BD12">
            <v>-918</v>
          </cell>
        </row>
        <row r="13">
          <cell r="A13">
            <v>0</v>
          </cell>
          <cell r="B13">
            <v>0</v>
          </cell>
          <cell r="F13">
            <v>6.9000000000000057</v>
          </cell>
          <cell r="G13">
            <v>4.7000000000000028</v>
          </cell>
          <cell r="H13">
            <v>4.8999999999999986</v>
          </cell>
          <cell r="I13">
            <v>-4.5</v>
          </cell>
          <cell r="J13">
            <v>-3.4000000000000057</v>
          </cell>
          <cell r="K13">
            <v>10.899999999999999</v>
          </cell>
          <cell r="L13">
            <v>8.1999999999999886</v>
          </cell>
          <cell r="M13">
            <v>-16.700000000000003</v>
          </cell>
          <cell r="N13">
            <v>-5</v>
          </cell>
          <cell r="O13">
            <v>-2</v>
          </cell>
          <cell r="P13">
            <v>-2</v>
          </cell>
          <cell r="Q13">
            <v>-10</v>
          </cell>
          <cell r="R13">
            <v>-1</v>
          </cell>
          <cell r="S13">
            <v>-2</v>
          </cell>
          <cell r="T13">
            <v>-10</v>
          </cell>
          <cell r="U13">
            <v>-26.553999999999974</v>
          </cell>
          <cell r="V13">
            <v>-27</v>
          </cell>
          <cell r="W13">
            <v>-26</v>
          </cell>
          <cell r="X13">
            <v>-27</v>
          </cell>
          <cell r="Y13">
            <v>-56.468000000000018</v>
          </cell>
          <cell r="Z13">
            <v>-43</v>
          </cell>
          <cell r="AA13">
            <v>-35</v>
          </cell>
          <cell r="AB13">
            <v>-41</v>
          </cell>
          <cell r="AC13">
            <v>-77.519000000000005</v>
          </cell>
          <cell r="AD13">
            <v>-55.3</v>
          </cell>
          <cell r="AE13">
            <v>-45</v>
          </cell>
          <cell r="AF13">
            <v>-47</v>
          </cell>
          <cell r="AG13">
            <v>-91.699999999999989</v>
          </cell>
          <cell r="AH13">
            <v>-68</v>
          </cell>
          <cell r="AI13">
            <v>-60</v>
          </cell>
          <cell r="AJ13">
            <v>-64</v>
          </cell>
          <cell r="AK13">
            <v>-125</v>
          </cell>
          <cell r="AL13">
            <v>-87</v>
          </cell>
          <cell r="AM13">
            <v>-75</v>
          </cell>
          <cell r="AN13">
            <v>-89</v>
          </cell>
          <cell r="AO13">
            <v>-183</v>
          </cell>
          <cell r="AP13">
            <v>-129</v>
          </cell>
          <cell r="AQ13">
            <v>-128</v>
          </cell>
          <cell r="AR13">
            <v>-132</v>
          </cell>
          <cell r="AS13">
            <v>-242</v>
          </cell>
          <cell r="AT13">
            <v>-168</v>
          </cell>
          <cell r="AU13">
            <v>-147</v>
          </cell>
          <cell r="AV13">
            <v>-180</v>
          </cell>
          <cell r="AW13">
            <v>-355</v>
          </cell>
          <cell r="AX13">
            <v>-270</v>
          </cell>
          <cell r="AY13">
            <v>-248</v>
          </cell>
          <cell r="AZ13">
            <v>-306</v>
          </cell>
          <cell r="BA13">
            <v>-562</v>
          </cell>
          <cell r="BB13">
            <v>-456</v>
          </cell>
          <cell r="BC13">
            <v>-489</v>
          </cell>
          <cell r="BD13">
            <v>-558</v>
          </cell>
        </row>
        <row r="14">
          <cell r="A14">
            <v>0</v>
          </cell>
          <cell r="B14">
            <v>0</v>
          </cell>
        </row>
        <row r="15">
          <cell r="A15">
            <v>0</v>
          </cell>
          <cell r="B15">
            <v>0</v>
          </cell>
          <cell r="F15">
            <v>249.44299999999998</v>
          </cell>
          <cell r="G15">
            <v>265.37700000000001</v>
          </cell>
          <cell r="H15">
            <v>302.47699999999998</v>
          </cell>
          <cell r="I15">
            <v>583.54200000000003</v>
          </cell>
          <cell r="J15">
            <v>499.28899999999999</v>
          </cell>
          <cell r="K15">
            <v>504.37599999999998</v>
          </cell>
          <cell r="L15">
            <v>559.75799999999992</v>
          </cell>
          <cell r="M15">
            <v>859.56000000000006</v>
          </cell>
          <cell r="N15">
            <v>618.35599999999999</v>
          </cell>
          <cell r="O15">
            <v>591.625</v>
          </cell>
          <cell r="P15">
            <v>565.28100000000006</v>
          </cell>
          <cell r="Q15">
            <v>990.17099999999982</v>
          </cell>
          <cell r="R15">
            <v>758.42200000000014</v>
          </cell>
          <cell r="S15">
            <v>724.60500000000002</v>
          </cell>
          <cell r="T15">
            <v>778.29899999999998</v>
          </cell>
          <cell r="U15">
            <v>1306.8609999999999</v>
          </cell>
          <cell r="V15">
            <v>1005.559</v>
          </cell>
          <cell r="W15">
            <v>1019.912</v>
          </cell>
          <cell r="X15">
            <v>1057.4560000000001</v>
          </cell>
          <cell r="Y15">
            <v>1808.7719999999999</v>
          </cell>
          <cell r="Z15">
            <v>1436.749</v>
          </cell>
          <cell r="AA15">
            <v>1303.3409999999999</v>
          </cell>
          <cell r="AB15">
            <v>1375.4749999999999</v>
          </cell>
          <cell r="AC15">
            <v>2385.5059999999999</v>
          </cell>
          <cell r="AD15">
            <v>1794.123</v>
          </cell>
          <cell r="AE15">
            <v>1650</v>
          </cell>
          <cell r="AF15">
            <v>1746</v>
          </cell>
          <cell r="AG15">
            <v>2788.8</v>
          </cell>
          <cell r="AH15">
            <v>2150</v>
          </cell>
          <cell r="AI15">
            <v>2011</v>
          </cell>
          <cell r="AJ15">
            <v>2189</v>
          </cell>
          <cell r="AK15">
            <v>3794</v>
          </cell>
          <cell r="AL15">
            <v>2864</v>
          </cell>
          <cell r="AM15">
            <v>2734</v>
          </cell>
          <cell r="AN15">
            <v>3091</v>
          </cell>
          <cell r="AO15">
            <v>5407</v>
          </cell>
          <cell r="AP15">
            <v>3943</v>
          </cell>
          <cell r="AQ15">
            <v>3877</v>
          </cell>
          <cell r="AR15">
            <v>4073</v>
          </cell>
          <cell r="AS15">
            <v>6438</v>
          </cell>
          <cell r="AT15">
            <v>4699</v>
          </cell>
          <cell r="AU15">
            <v>4466</v>
          </cell>
          <cell r="AV15">
            <v>5241</v>
          </cell>
          <cell r="AW15">
            <v>9178</v>
          </cell>
          <cell r="AX15">
            <v>6883</v>
          </cell>
          <cell r="AY15">
            <v>6327</v>
          </cell>
          <cell r="AZ15">
            <v>7290</v>
          </cell>
          <cell r="BA15">
            <v>12511</v>
          </cell>
          <cell r="BB15">
            <v>9527</v>
          </cell>
          <cell r="BC15">
            <v>9582</v>
          </cell>
          <cell r="BD15">
            <v>10516</v>
          </cell>
        </row>
        <row r="16">
          <cell r="A16">
            <v>0</v>
          </cell>
          <cell r="B16">
            <v>0</v>
          </cell>
          <cell r="F16">
            <v>-191.55200000000002</v>
          </cell>
          <cell r="G16">
            <v>-202.54599999999999</v>
          </cell>
          <cell r="H16">
            <v>-236.9</v>
          </cell>
          <cell r="I16">
            <v>-491.19600000000003</v>
          </cell>
          <cell r="J16">
            <v>-367.755</v>
          </cell>
          <cell r="K16">
            <v>-379.21199999999999</v>
          </cell>
          <cell r="L16">
            <v>-400.67899999999997</v>
          </cell>
          <cell r="M16">
            <v>-618.55999999999995</v>
          </cell>
          <cell r="N16">
            <v>-430.75900000000001</v>
          </cell>
          <cell r="O16">
            <v>-409.90499999999997</v>
          </cell>
          <cell r="P16">
            <v>-401.089</v>
          </cell>
          <cell r="Q16">
            <v>-706.12199999999996</v>
          </cell>
          <cell r="R16">
            <v>-534.29700000000003</v>
          </cell>
          <cell r="S16">
            <v>-504.43799999999999</v>
          </cell>
          <cell r="T16">
            <v>-552.13199999999995</v>
          </cell>
          <cell r="U16">
            <v>-945.14800000000002</v>
          </cell>
          <cell r="V16">
            <v>-707.97699999999998</v>
          </cell>
          <cell r="W16">
            <v>-719.98400000000004</v>
          </cell>
          <cell r="X16">
            <v>-744.63499999999999</v>
          </cell>
          <cell r="Y16">
            <v>-1325.4669999999999</v>
          </cell>
          <cell r="Z16">
            <v>-1032.9150000000002</v>
          </cell>
          <cell r="AA16">
            <v>-927.29500000000007</v>
          </cell>
          <cell r="AB16">
            <v>-978.82400000000007</v>
          </cell>
          <cell r="AC16">
            <v>-1764.028</v>
          </cell>
          <cell r="AD16">
            <v>-1280.8230000000001</v>
          </cell>
          <cell r="AE16">
            <v>-1155</v>
          </cell>
          <cell r="AF16">
            <v>-1236</v>
          </cell>
          <cell r="AG16">
            <v>-2030.1</v>
          </cell>
          <cell r="AH16">
            <v>-1535</v>
          </cell>
          <cell r="AI16">
            <v>-1442</v>
          </cell>
          <cell r="AJ16">
            <v>-1576</v>
          </cell>
          <cell r="AK16">
            <v>-2819</v>
          </cell>
          <cell r="AL16">
            <v>-2058</v>
          </cell>
          <cell r="AM16">
            <v>-1958</v>
          </cell>
          <cell r="AN16">
            <v>-2240</v>
          </cell>
          <cell r="AO16">
            <v>-4054</v>
          </cell>
          <cell r="AP16">
            <v>-2858</v>
          </cell>
          <cell r="AQ16">
            <v>-2782</v>
          </cell>
          <cell r="AR16">
            <v>-2942</v>
          </cell>
          <cell r="AS16">
            <v>-4848</v>
          </cell>
          <cell r="AT16">
            <v>-3383</v>
          </cell>
          <cell r="AU16">
            <v>-3186</v>
          </cell>
          <cell r="AV16">
            <v>-3788</v>
          </cell>
          <cell r="AW16">
            <v>-6847</v>
          </cell>
          <cell r="AX16">
            <v>-4983</v>
          </cell>
          <cell r="AY16">
            <v>-4470</v>
          </cell>
          <cell r="AZ16">
            <v>-5210</v>
          </cell>
          <cell r="BA16">
            <v>-9318</v>
          </cell>
          <cell r="BB16">
            <v>-6822</v>
          </cell>
          <cell r="BC16">
            <v>-6705</v>
          </cell>
          <cell r="BD16">
            <v>-7407</v>
          </cell>
        </row>
        <row r="17">
          <cell r="A17">
            <v>0</v>
          </cell>
          <cell r="B17">
            <v>0</v>
          </cell>
          <cell r="F17">
            <v>57.890999999999963</v>
          </cell>
          <cell r="G17">
            <v>62.831000000000017</v>
          </cell>
          <cell r="H17">
            <v>65.57699999999997</v>
          </cell>
          <cell r="I17">
            <v>92.346000000000004</v>
          </cell>
          <cell r="J17">
            <v>131.53399999999999</v>
          </cell>
          <cell r="K17">
            <v>125.16399999999999</v>
          </cell>
          <cell r="L17">
            <v>159.07899999999995</v>
          </cell>
          <cell r="M17">
            <v>241.00000000000011</v>
          </cell>
          <cell r="N17">
            <v>187.59699999999998</v>
          </cell>
          <cell r="O17">
            <v>181.72000000000003</v>
          </cell>
          <cell r="P17">
            <v>164.19200000000006</v>
          </cell>
          <cell r="Q17">
            <v>284.04899999999986</v>
          </cell>
          <cell r="R17">
            <v>224.12500000000011</v>
          </cell>
          <cell r="S17">
            <v>220.16700000000003</v>
          </cell>
          <cell r="T17">
            <v>226.16700000000003</v>
          </cell>
          <cell r="U17">
            <v>361.71299999999985</v>
          </cell>
          <cell r="V17">
            <v>297.58199999999999</v>
          </cell>
          <cell r="W17">
            <v>299.928</v>
          </cell>
          <cell r="X17">
            <v>312.82100000000014</v>
          </cell>
          <cell r="Y17">
            <v>483.30500000000006</v>
          </cell>
          <cell r="Z17">
            <v>403.83399999999983</v>
          </cell>
          <cell r="AA17">
            <v>376.04599999999982</v>
          </cell>
          <cell r="AB17">
            <v>396.65099999999984</v>
          </cell>
          <cell r="AC17">
            <v>621.47799999999984</v>
          </cell>
          <cell r="AD17">
            <v>513.29999999999995</v>
          </cell>
          <cell r="AE17">
            <v>495</v>
          </cell>
          <cell r="AF17">
            <v>510</v>
          </cell>
          <cell r="AG17">
            <v>758.70000000000027</v>
          </cell>
          <cell r="AH17">
            <v>615</v>
          </cell>
          <cell r="AI17">
            <v>569</v>
          </cell>
          <cell r="AJ17">
            <v>613</v>
          </cell>
          <cell r="AK17">
            <v>975</v>
          </cell>
          <cell r="AL17">
            <v>806</v>
          </cell>
          <cell r="AM17">
            <v>776</v>
          </cell>
          <cell r="AN17">
            <v>851</v>
          </cell>
          <cell r="AO17">
            <v>1353</v>
          </cell>
          <cell r="AP17">
            <v>1085</v>
          </cell>
          <cell r="AQ17">
            <v>1095</v>
          </cell>
          <cell r="AR17">
            <v>1131</v>
          </cell>
          <cell r="AS17">
            <v>1590</v>
          </cell>
          <cell r="AT17">
            <v>1316</v>
          </cell>
          <cell r="AU17">
            <v>1280</v>
          </cell>
          <cell r="AV17">
            <v>1453</v>
          </cell>
          <cell r="AW17">
            <v>2331</v>
          </cell>
          <cell r="AX17">
            <v>1900</v>
          </cell>
          <cell r="AY17">
            <v>1857</v>
          </cell>
          <cell r="AZ17">
            <v>2080</v>
          </cell>
          <cell r="BA17">
            <v>3193</v>
          </cell>
          <cell r="BB17">
            <v>2705</v>
          </cell>
          <cell r="BC17">
            <v>2877</v>
          </cell>
          <cell r="BD17">
            <v>3109</v>
          </cell>
        </row>
        <row r="18">
          <cell r="A18">
            <v>0</v>
          </cell>
          <cell r="B18">
            <v>0</v>
          </cell>
        </row>
        <row r="19">
          <cell r="A19">
            <v>0</v>
          </cell>
          <cell r="B19">
            <v>0</v>
          </cell>
          <cell r="F19">
            <v>0.23208107663875099</v>
          </cell>
          <cell r="G19">
            <v>0.23676128677315675</v>
          </cell>
          <cell r="H19">
            <v>0.21679995503790361</v>
          </cell>
          <cell r="I19">
            <v>0.1582508199923913</v>
          </cell>
          <cell r="J19">
            <v>0.26344261539909752</v>
          </cell>
          <cell r="K19">
            <v>0.24815613748473359</v>
          </cell>
          <cell r="L19">
            <v>0.28419245459645054</v>
          </cell>
          <cell r="M19">
            <v>0.28037600632881948</v>
          </cell>
          <cell r="N19">
            <v>0.30338025344623482</v>
          </cell>
          <cell r="O19">
            <v>0.30715402493133326</v>
          </cell>
          <cell r="P19">
            <v>0.29046085044429237</v>
          </cell>
          <cell r="Q19">
            <v>0.28686863178178307</v>
          </cell>
          <cell r="R19">
            <v>0.29551489803829539</v>
          </cell>
          <cell r="S19">
            <v>0.30384416337176812</v>
          </cell>
          <cell r="T19">
            <v>0.29059140510266623</v>
          </cell>
          <cell r="U19">
            <v>0.27678000950368853</v>
          </cell>
          <cell r="V19">
            <v>0.29593688684602298</v>
          </cell>
          <cell r="W19">
            <v>0.29407242977825537</v>
          </cell>
          <cell r="X19">
            <v>0.29582412885264264</v>
          </cell>
          <cell r="Y19">
            <v>0.26720062008920975</v>
          </cell>
          <cell r="Z19">
            <v>0.28107484327464283</v>
          </cell>
          <cell r="AA19">
            <v>0.28852464550720025</v>
          </cell>
          <cell r="AB19">
            <v>0.28837383449353848</v>
          </cell>
          <cell r="AC19">
            <v>0.26052250549778533</v>
          </cell>
          <cell r="AD19">
            <v>0.28610078573208186</v>
          </cell>
          <cell r="AE19">
            <v>0.3</v>
          </cell>
          <cell r="AF19">
            <v>0.29209621993127149</v>
          </cell>
          <cell r="AG19">
            <v>0.27205249569707407</v>
          </cell>
          <cell r="AH19">
            <v>0.28604651162790695</v>
          </cell>
          <cell r="AI19">
            <v>0.28294380905022376</v>
          </cell>
          <cell r="AJ19">
            <v>0.28003654636820469</v>
          </cell>
          <cell r="AK19">
            <v>0.25698471270426992</v>
          </cell>
          <cell r="AL19">
            <v>0.28142458100558659</v>
          </cell>
          <cell r="AM19">
            <v>0.28383321141185075</v>
          </cell>
          <cell r="AN19">
            <v>0.27531543189906177</v>
          </cell>
          <cell r="AO19">
            <v>0.25023118180136861</v>
          </cell>
          <cell r="AP19">
            <v>0.27517118944965763</v>
          </cell>
          <cell r="AQ19">
            <v>0.28243487232396181</v>
          </cell>
          <cell r="AR19">
            <v>0.27768229806039774</v>
          </cell>
          <cell r="AS19">
            <v>0.24697110904007455</v>
          </cell>
          <cell r="AT19">
            <v>0.28005958714620133</v>
          </cell>
          <cell r="AU19">
            <v>0.28660994178235555</v>
          </cell>
          <cell r="AV19">
            <v>0.27723716847929786</v>
          </cell>
          <cell r="AW19">
            <v>0.25397690128568318</v>
          </cell>
          <cell r="AX19">
            <v>0.27604242336190615</v>
          </cell>
          <cell r="AY19">
            <v>0.29350403034613559</v>
          </cell>
          <cell r="AZ19">
            <v>0.28532235939643347</v>
          </cell>
          <cell r="BA19">
            <v>0.25521541043881385</v>
          </cell>
          <cell r="BB19">
            <v>0.2839298834890312</v>
          </cell>
          <cell r="BC19">
            <v>0.30025046963055729</v>
          </cell>
          <cell r="BD19">
            <v>0.29564473183720047</v>
          </cell>
        </row>
        <row r="20">
          <cell r="A20">
            <v>0</v>
          </cell>
          <cell r="B20">
            <v>0</v>
          </cell>
        </row>
        <row r="21">
          <cell r="A21">
            <v>0</v>
          </cell>
          <cell r="B21">
            <v>0</v>
          </cell>
          <cell r="I21">
            <v>1639.8389999999999</v>
          </cell>
          <cell r="J21">
            <v>1920.085</v>
          </cell>
          <cell r="K21">
            <v>2183.5839999999998</v>
          </cell>
          <cell r="L21">
            <v>2465.665</v>
          </cell>
          <cell r="M21">
            <v>2761.9829999999997</v>
          </cell>
          <cell r="N21">
            <v>2888.45</v>
          </cell>
          <cell r="O21">
            <v>2978.1989999999996</v>
          </cell>
          <cell r="P21">
            <v>2979.6219999999998</v>
          </cell>
          <cell r="Q21">
            <v>3122.433</v>
          </cell>
          <cell r="R21">
            <v>3269.4989999999998</v>
          </cell>
          <cell r="S21">
            <v>3407.4789999999998</v>
          </cell>
          <cell r="T21">
            <v>3619.4969999999998</v>
          </cell>
          <cell r="U21">
            <v>3932.9359999999997</v>
          </cell>
          <cell r="V21">
            <v>4169.0730000000003</v>
          </cell>
          <cell r="W21">
            <v>4463.38</v>
          </cell>
          <cell r="X21">
            <v>4746.5370000000003</v>
          </cell>
          <cell r="Y21">
            <v>5263.6990000000005</v>
          </cell>
          <cell r="Z21">
            <v>5710.4890000000005</v>
          </cell>
          <cell r="AA21">
            <v>5997.9179999999997</v>
          </cell>
          <cell r="AB21">
            <v>6325.9369999999999</v>
          </cell>
          <cell r="AC21">
            <v>6921.1239999999989</v>
          </cell>
          <cell r="AD21">
            <v>7292.6979999999994</v>
          </cell>
          <cell r="AE21">
            <v>7658.357</v>
          </cell>
          <cell r="AF21">
            <v>8053.8819999999996</v>
          </cell>
          <cell r="AG21">
            <v>8489.9229999999989</v>
          </cell>
          <cell r="AH21">
            <v>8867</v>
          </cell>
          <cell r="AI21">
            <v>9253</v>
          </cell>
          <cell r="AJ21">
            <v>9702</v>
          </cell>
          <cell r="AK21">
            <v>10711</v>
          </cell>
          <cell r="AL21">
            <v>11447</v>
          </cell>
          <cell r="AM21">
            <v>12194</v>
          </cell>
          <cell r="AN21">
            <v>13149</v>
          </cell>
          <cell r="AO21">
            <v>14836</v>
          </cell>
          <cell r="AP21">
            <v>15956</v>
          </cell>
          <cell r="AQ21">
            <v>17133</v>
          </cell>
          <cell r="AR21">
            <v>18135</v>
          </cell>
          <cell r="AS21">
            <v>19166</v>
          </cell>
          <cell r="AT21">
            <v>19920</v>
          </cell>
          <cell r="AU21">
            <v>20508</v>
          </cell>
          <cell r="AV21">
            <v>21693</v>
          </cell>
          <cell r="AW21">
            <v>24508</v>
          </cell>
          <cell r="AX21">
            <v>26750</v>
          </cell>
          <cell r="AY21">
            <v>28665</v>
          </cell>
          <cell r="AZ21">
            <v>30776</v>
          </cell>
          <cell r="BA21">
            <v>34205</v>
          </cell>
          <cell r="BB21">
            <v>36931</v>
          </cell>
          <cell r="BC21">
            <v>40278</v>
          </cell>
          <cell r="BD21">
            <v>43594</v>
          </cell>
        </row>
        <row r="22">
          <cell r="A22">
            <v>0</v>
          </cell>
          <cell r="B22">
            <v>0</v>
          </cell>
          <cell r="I22">
            <v>-1349.194</v>
          </cell>
          <cell r="J22">
            <v>-1566.0970000000002</v>
          </cell>
          <cell r="K22">
            <v>-1761.0630000000001</v>
          </cell>
          <cell r="L22">
            <v>-1946.3419999999999</v>
          </cell>
          <cell r="M22">
            <v>-2106.2060000000001</v>
          </cell>
          <cell r="N22">
            <v>-2178.21</v>
          </cell>
          <cell r="O22">
            <v>-2224.3029999999999</v>
          </cell>
          <cell r="P22">
            <v>-2230.8130000000001</v>
          </cell>
          <cell r="Q22">
            <v>-2323.875</v>
          </cell>
          <cell r="R22">
            <v>-2430.413</v>
          </cell>
          <cell r="S22">
            <v>-2529.9459999999999</v>
          </cell>
          <cell r="T22">
            <v>-2687.989</v>
          </cell>
          <cell r="U22">
            <v>-2940.3180000000002</v>
          </cell>
          <cell r="V22">
            <v>-3128.9979999999996</v>
          </cell>
          <cell r="W22">
            <v>-3367.5439999999999</v>
          </cell>
          <cell r="X22">
            <v>-3581.0469999999996</v>
          </cell>
          <cell r="Y22">
            <v>-4006.5309999999999</v>
          </cell>
          <cell r="Z22">
            <v>-4363.0690000000004</v>
          </cell>
          <cell r="AA22">
            <v>-4583.38</v>
          </cell>
          <cell r="AB22">
            <v>-4841.5689999999995</v>
          </cell>
          <cell r="AC22">
            <v>-5319.634</v>
          </cell>
          <cell r="AD22">
            <v>-5594.0420000000004</v>
          </cell>
          <cell r="AE22">
            <v>-5850.7470000000003</v>
          </cell>
          <cell r="AF22">
            <v>-6138.9229999999998</v>
          </cell>
          <cell r="AG22">
            <v>-6451.9229999999998</v>
          </cell>
          <cell r="AH22">
            <v>-6740</v>
          </cell>
          <cell r="AI22">
            <v>-7067</v>
          </cell>
          <cell r="AJ22">
            <v>-7430</v>
          </cell>
          <cell r="AK22">
            <v>-8256</v>
          </cell>
          <cell r="AL22">
            <v>-8820</v>
          </cell>
          <cell r="AM22">
            <v>-9375</v>
          </cell>
          <cell r="AN22">
            <v>-10117</v>
          </cell>
          <cell r="AO22">
            <v>-11484</v>
          </cell>
          <cell r="AP22">
            <v>-12367</v>
          </cell>
          <cell r="AQ22">
            <v>-13278</v>
          </cell>
          <cell r="AR22">
            <v>-14043</v>
          </cell>
          <cell r="AS22">
            <v>-14896</v>
          </cell>
          <cell r="AT22">
            <v>-15458</v>
          </cell>
          <cell r="AU22">
            <v>-15880</v>
          </cell>
          <cell r="AV22">
            <v>-16791</v>
          </cell>
          <cell r="AW22">
            <v>-18978</v>
          </cell>
          <cell r="AX22">
            <v>-20738</v>
          </cell>
          <cell r="AY22">
            <v>-22177</v>
          </cell>
          <cell r="AZ22">
            <v>-23787</v>
          </cell>
          <cell r="BA22">
            <v>-26561</v>
          </cell>
          <cell r="BB22">
            <v>-28668</v>
          </cell>
          <cell r="BC22">
            <v>-31236</v>
          </cell>
          <cell r="BD22">
            <v>-33775</v>
          </cell>
        </row>
        <row r="23">
          <cell r="A23">
            <v>0</v>
          </cell>
          <cell r="B23">
            <v>0</v>
          </cell>
          <cell r="I23">
            <v>290.64499999999998</v>
          </cell>
          <cell r="J23">
            <v>353.98799999999983</v>
          </cell>
          <cell r="K23">
            <v>422.52099999999973</v>
          </cell>
          <cell r="L23">
            <v>519.32300000000009</v>
          </cell>
          <cell r="M23">
            <v>655.77699999999959</v>
          </cell>
          <cell r="N23">
            <v>710.23999999999978</v>
          </cell>
          <cell r="O23">
            <v>753.89599999999973</v>
          </cell>
          <cell r="P23">
            <v>748.80899999999974</v>
          </cell>
          <cell r="Q23">
            <v>798.55799999999999</v>
          </cell>
          <cell r="R23">
            <v>839.08599999999979</v>
          </cell>
          <cell r="S23">
            <v>877.5329999999999</v>
          </cell>
          <cell r="T23">
            <v>931.50799999999981</v>
          </cell>
          <cell r="U23">
            <v>992.61799999999948</v>
          </cell>
          <cell r="V23">
            <v>1040.0750000000007</v>
          </cell>
          <cell r="W23">
            <v>1095.8360000000002</v>
          </cell>
          <cell r="X23">
            <v>1165.4900000000007</v>
          </cell>
          <cell r="Y23">
            <v>1257.1680000000006</v>
          </cell>
          <cell r="Z23">
            <v>1347.42</v>
          </cell>
          <cell r="AA23">
            <v>1414.5379999999996</v>
          </cell>
          <cell r="AB23">
            <v>1484.3680000000004</v>
          </cell>
          <cell r="AC23">
            <v>1601.4899999999989</v>
          </cell>
          <cell r="AD23">
            <v>1698.655999999999</v>
          </cell>
          <cell r="AE23">
            <v>1807.6099999999997</v>
          </cell>
          <cell r="AF23">
            <v>1914.9589999999998</v>
          </cell>
          <cell r="AG23">
            <v>2037.9999999999991</v>
          </cell>
          <cell r="AH23">
            <v>2127</v>
          </cell>
          <cell r="AI23">
            <v>2186</v>
          </cell>
          <cell r="AJ23">
            <v>2272</v>
          </cell>
          <cell r="AK23">
            <v>2455</v>
          </cell>
          <cell r="AL23">
            <v>2627</v>
          </cell>
          <cell r="AM23">
            <v>2819</v>
          </cell>
          <cell r="AN23">
            <v>3032</v>
          </cell>
          <cell r="AO23">
            <v>3352</v>
          </cell>
          <cell r="AP23">
            <v>3589</v>
          </cell>
          <cell r="AQ23">
            <v>3855</v>
          </cell>
          <cell r="AR23">
            <v>4092</v>
          </cell>
          <cell r="AS23">
            <v>4270</v>
          </cell>
          <cell r="AT23">
            <v>4462</v>
          </cell>
          <cell r="AU23">
            <v>4628</v>
          </cell>
          <cell r="AV23">
            <v>4902</v>
          </cell>
          <cell r="AW23">
            <v>5530</v>
          </cell>
          <cell r="AX23">
            <v>6012</v>
          </cell>
          <cell r="AY23">
            <v>6488</v>
          </cell>
          <cell r="AZ23">
            <v>6989</v>
          </cell>
          <cell r="BA23">
            <v>7644</v>
          </cell>
          <cell r="BB23">
            <v>8263</v>
          </cell>
          <cell r="BC23">
            <v>9042</v>
          </cell>
          <cell r="BD23">
            <v>9819</v>
          </cell>
        </row>
        <row r="24">
          <cell r="A24">
            <v>0</v>
          </cell>
          <cell r="B24">
            <v>0</v>
          </cell>
        </row>
        <row r="25">
          <cell r="A25">
            <v>0</v>
          </cell>
          <cell r="B25">
            <v>0</v>
          </cell>
          <cell r="I25">
            <v>0.17723996075224457</v>
          </cell>
          <cell r="J25">
            <v>0.18436058820312634</v>
          </cell>
          <cell r="K25">
            <v>0.19349885326142699</v>
          </cell>
          <cell r="L25">
            <v>0.21062188091245165</v>
          </cell>
          <cell r="M25">
            <v>0.2374297741876035</v>
          </cell>
          <cell r="N25">
            <v>0.24588966400664711</v>
          </cell>
          <cell r="O25">
            <v>0.25313822212686254</v>
          </cell>
          <cell r="P25">
            <v>0.25131006550495322</v>
          </cell>
          <cell r="Q25">
            <v>0.25574864216461968</v>
          </cell>
          <cell r="R25">
            <v>0.25664054339823927</v>
          </cell>
          <cell r="S25">
            <v>0.25753144773599485</v>
          </cell>
          <cell r="T25">
            <v>0.2573584119561364</v>
          </cell>
          <cell r="U25">
            <v>0.25238600373868264</v>
          </cell>
          <cell r="V25">
            <v>0.24947392381951591</v>
          </cell>
          <cell r="W25">
            <v>0.24551707450407542</v>
          </cell>
          <cell r="X25">
            <v>0.2455453312594004</v>
          </cell>
          <cell r="Y25">
            <v>0.23883736513049103</v>
          </cell>
          <cell r="Z25">
            <v>0.235955274583315</v>
          </cell>
          <cell r="AA25">
            <v>0.23583816917803804</v>
          </cell>
          <cell r="AB25">
            <v>0.23464792646528101</v>
          </cell>
          <cell r="AC25">
            <v>0.23139160633446232</v>
          </cell>
          <cell r="AD25">
            <v>0.23292559214710373</v>
          </cell>
          <cell r="AE25">
            <v>0.23603104425662053</v>
          </cell>
          <cell r="AF25">
            <v>0.23776844508027309</v>
          </cell>
          <cell r="AG25">
            <v>0.24004929137755424</v>
          </cell>
          <cell r="AH25">
            <v>0.23987820006766664</v>
          </cell>
          <cell r="AI25">
            <v>0.23624770344753054</v>
          </cell>
          <cell r="AJ25">
            <v>0.23417851989280561</v>
          </cell>
          <cell r="AK25">
            <v>0.22920362244421622</v>
          </cell>
          <cell r="AL25">
            <v>0.22949244343496111</v>
          </cell>
          <cell r="AM25">
            <v>0.23117926849270132</v>
          </cell>
          <cell r="AN25">
            <v>0.23058787740512587</v>
          </cell>
          <cell r="AO25">
            <v>0.22593691021838772</v>
          </cell>
          <cell r="AP25">
            <v>0.22493106041614438</v>
          </cell>
          <cell r="AQ25">
            <v>0.22500437751707231</v>
          </cell>
          <cell r="AR25">
            <v>0.22564102564102564</v>
          </cell>
          <cell r="AS25">
            <v>0.22279035792549307</v>
          </cell>
          <cell r="AT25">
            <v>0.22399598393574296</v>
          </cell>
          <cell r="AU25">
            <v>0.22566803198751706</v>
          </cell>
          <cell r="AV25">
            <v>0.22597151154750381</v>
          </cell>
          <cell r="AW25">
            <v>0.22564060714868614</v>
          </cell>
          <cell r="AX25">
            <v>0.22474766355140188</v>
          </cell>
          <cell r="AY25">
            <v>0.22633874062445491</v>
          </cell>
          <cell r="AZ25">
            <v>0.22709253964127893</v>
          </cell>
          <cell r="BA25">
            <v>0.22347609998538226</v>
          </cell>
          <cell r="BB25">
            <v>0.22374157212098236</v>
          </cell>
          <cell r="BC25">
            <v>0.22448979591836735</v>
          </cell>
          <cell r="BD25">
            <v>0.22523741799330183</v>
          </cell>
        </row>
        <row r="26">
          <cell r="A26">
            <v>0</v>
          </cell>
          <cell r="B26">
            <v>0</v>
          </cell>
        </row>
        <row r="27">
          <cell r="A27">
            <v>0</v>
          </cell>
          <cell r="B27">
            <v>0</v>
          </cell>
          <cell r="I27">
            <v>239</v>
          </cell>
          <cell r="J27">
            <v>269.39999999999998</v>
          </cell>
          <cell r="K27">
            <v>293.89999999999998</v>
          </cell>
          <cell r="L27">
            <v>318.7</v>
          </cell>
          <cell r="M27">
            <v>339</v>
          </cell>
          <cell r="N27">
            <v>346.4</v>
          </cell>
          <cell r="O27">
            <v>348.9</v>
          </cell>
          <cell r="P27">
            <v>344.8</v>
          </cell>
          <cell r="Q27">
            <v>357</v>
          </cell>
          <cell r="R27">
            <v>364</v>
          </cell>
          <cell r="S27">
            <v>369</v>
          </cell>
          <cell r="T27">
            <v>368</v>
          </cell>
          <cell r="U27">
            <v>364.74900000000002</v>
          </cell>
          <cell r="V27">
            <v>353.74900000000002</v>
          </cell>
          <cell r="W27">
            <v>352.74900000000002</v>
          </cell>
          <cell r="X27">
            <v>356.74900000000002</v>
          </cell>
          <cell r="Y27">
            <v>372</v>
          </cell>
          <cell r="Z27">
            <v>387.6</v>
          </cell>
          <cell r="AA27">
            <v>391.6</v>
          </cell>
          <cell r="AB27">
            <v>401.6</v>
          </cell>
          <cell r="AC27">
            <v>420.053</v>
          </cell>
          <cell r="AD27">
            <v>434.25299999999999</v>
          </cell>
          <cell r="AE27">
            <v>453.25299999999999</v>
          </cell>
          <cell r="AF27">
            <v>478.25299999999999</v>
          </cell>
          <cell r="AG27">
            <v>511</v>
          </cell>
          <cell r="AH27">
            <v>532.20000000000005</v>
          </cell>
          <cell r="AI27">
            <v>557.20000000000005</v>
          </cell>
          <cell r="AJ27">
            <v>563.20000000000005</v>
          </cell>
          <cell r="AK27">
            <v>567</v>
          </cell>
          <cell r="AL27">
            <v>589</v>
          </cell>
          <cell r="AM27">
            <v>613</v>
          </cell>
          <cell r="AN27">
            <v>666</v>
          </cell>
          <cell r="AO27">
            <v>740</v>
          </cell>
          <cell r="AP27">
            <v>781</v>
          </cell>
          <cell r="AQ27">
            <v>815</v>
          </cell>
          <cell r="AR27">
            <v>835</v>
          </cell>
          <cell r="AS27">
            <v>835</v>
          </cell>
          <cell r="AT27">
            <v>833</v>
          </cell>
          <cell r="AU27">
            <v>832</v>
          </cell>
          <cell r="AV27">
            <v>849</v>
          </cell>
          <cell r="AW27">
            <v>924</v>
          </cell>
          <cell r="AX27">
            <v>982</v>
          </cell>
          <cell r="AY27">
            <v>1036</v>
          </cell>
          <cell r="AZ27">
            <v>1098</v>
          </cell>
          <cell r="BA27">
            <v>1194</v>
          </cell>
          <cell r="BB27">
            <v>1276</v>
          </cell>
          <cell r="BC27">
            <v>1368</v>
          </cell>
          <cell r="BD27">
            <v>1458</v>
          </cell>
        </row>
        <row r="28">
          <cell r="A28">
            <v>0</v>
          </cell>
          <cell r="B28">
            <v>0</v>
          </cell>
          <cell r="I28">
            <v>-227</v>
          </cell>
          <cell r="J28">
            <v>-267.7</v>
          </cell>
          <cell r="K28">
            <v>-286</v>
          </cell>
          <cell r="L28">
            <v>-307.5</v>
          </cell>
          <cell r="M28">
            <v>-340</v>
          </cell>
          <cell r="N28">
            <v>-349</v>
          </cell>
          <cell r="O28">
            <v>-364.4</v>
          </cell>
          <cell r="P28">
            <v>-370.5</v>
          </cell>
          <cell r="Q28">
            <v>-376</v>
          </cell>
          <cell r="R28">
            <v>-379</v>
          </cell>
          <cell r="S28">
            <v>-384</v>
          </cell>
          <cell r="T28">
            <v>-391</v>
          </cell>
          <cell r="U28">
            <v>-404.303</v>
          </cell>
          <cell r="V28">
            <v>-419.303</v>
          </cell>
          <cell r="W28">
            <v>-442.303</v>
          </cell>
          <cell r="X28">
            <v>-463.303</v>
          </cell>
          <cell r="Y28">
            <v>-508.46800000000002</v>
          </cell>
          <cell r="Z28">
            <v>-540.06799999999998</v>
          </cell>
          <cell r="AA28">
            <v>-553.06799999999998</v>
          </cell>
          <cell r="AB28">
            <v>-577.06799999999998</v>
          </cell>
          <cell r="AC28">
            <v>-616.572</v>
          </cell>
          <cell r="AD28">
            <v>-643.072</v>
          </cell>
          <cell r="AE28">
            <v>-672.072</v>
          </cell>
          <cell r="AF28">
            <v>-703.072</v>
          </cell>
          <cell r="AG28">
            <v>-750</v>
          </cell>
          <cell r="AH28">
            <v>-783.9</v>
          </cell>
          <cell r="AI28">
            <v>-823.9</v>
          </cell>
          <cell r="AJ28">
            <v>-846.9</v>
          </cell>
          <cell r="AK28">
            <v>-884</v>
          </cell>
          <cell r="AL28">
            <v>-925</v>
          </cell>
          <cell r="AM28">
            <v>-964</v>
          </cell>
          <cell r="AN28">
            <v>-1042</v>
          </cell>
          <cell r="AO28">
            <v>-1174</v>
          </cell>
          <cell r="AP28">
            <v>-1257</v>
          </cell>
          <cell r="AQ28">
            <v>-1344</v>
          </cell>
          <cell r="AR28">
            <v>-1407</v>
          </cell>
          <cell r="AS28">
            <v>-1466</v>
          </cell>
          <cell r="AT28">
            <v>-1503</v>
          </cell>
          <cell r="AU28">
            <v>-1521</v>
          </cell>
          <cell r="AV28">
            <v>-1586</v>
          </cell>
          <cell r="AW28">
            <v>-1774</v>
          </cell>
          <cell r="AX28">
            <v>-1934</v>
          </cell>
          <cell r="AY28">
            <v>-2089</v>
          </cell>
          <cell r="AZ28">
            <v>-2277</v>
          </cell>
          <cell r="BA28">
            <v>-2580</v>
          </cell>
          <cell r="BB28">
            <v>-2848</v>
          </cell>
          <cell r="BC28">
            <v>-3181</v>
          </cell>
          <cell r="BD28">
            <v>-3523</v>
          </cell>
        </row>
        <row r="29">
          <cell r="A29">
            <v>0</v>
          </cell>
          <cell r="B29">
            <v>0</v>
          </cell>
          <cell r="I29">
            <v>12</v>
          </cell>
          <cell r="J29">
            <v>1.6999999999999886</v>
          </cell>
          <cell r="K29">
            <v>7.8999999999999773</v>
          </cell>
          <cell r="L29">
            <v>11.199999999999989</v>
          </cell>
          <cell r="M29">
            <v>-1</v>
          </cell>
          <cell r="N29">
            <v>-2.6000000000000227</v>
          </cell>
          <cell r="O29">
            <v>-15.5</v>
          </cell>
          <cell r="P29">
            <v>-25.699999999999989</v>
          </cell>
          <cell r="Q29">
            <v>-19</v>
          </cell>
          <cell r="R29">
            <v>-15</v>
          </cell>
          <cell r="S29">
            <v>-15</v>
          </cell>
          <cell r="T29">
            <v>-23</v>
          </cell>
          <cell r="U29">
            <v>-39.553999999999974</v>
          </cell>
          <cell r="V29">
            <v>-65.553999999999974</v>
          </cell>
          <cell r="W29">
            <v>-89.553999999999974</v>
          </cell>
          <cell r="X29">
            <v>-106.55399999999997</v>
          </cell>
          <cell r="Y29">
            <v>-136.46800000000002</v>
          </cell>
          <cell r="Z29">
            <v>-152.46799999999996</v>
          </cell>
          <cell r="AA29">
            <v>-161.46799999999996</v>
          </cell>
          <cell r="AB29">
            <v>-175.46799999999996</v>
          </cell>
          <cell r="AC29">
            <v>-196.51900000000001</v>
          </cell>
          <cell r="AD29">
            <v>-208.81900000000002</v>
          </cell>
          <cell r="AE29">
            <v>-218.81900000000002</v>
          </cell>
          <cell r="AF29">
            <v>-224.81900000000002</v>
          </cell>
          <cell r="AG29">
            <v>-239</v>
          </cell>
          <cell r="AH29">
            <v>-251.69999999999993</v>
          </cell>
          <cell r="AI29">
            <v>-266.69999999999993</v>
          </cell>
          <cell r="AJ29">
            <v>-283.69999999999993</v>
          </cell>
          <cell r="AK29">
            <v>-317</v>
          </cell>
          <cell r="AL29">
            <v>-336</v>
          </cell>
          <cell r="AM29">
            <v>-351</v>
          </cell>
          <cell r="AN29">
            <v>-376</v>
          </cell>
          <cell r="AO29">
            <v>-434</v>
          </cell>
          <cell r="AP29">
            <v>-476</v>
          </cell>
          <cell r="AQ29">
            <v>-529</v>
          </cell>
          <cell r="AR29">
            <v>-572</v>
          </cell>
          <cell r="AS29">
            <v>-631</v>
          </cell>
          <cell r="AT29">
            <v>-670</v>
          </cell>
          <cell r="AU29">
            <v>-689</v>
          </cell>
          <cell r="AV29">
            <v>-737</v>
          </cell>
          <cell r="AW29">
            <v>-850</v>
          </cell>
          <cell r="AX29">
            <v>-952</v>
          </cell>
          <cell r="AY29">
            <v>-1053</v>
          </cell>
          <cell r="AZ29">
            <v>-1179</v>
          </cell>
          <cell r="BA29">
            <v>-1386</v>
          </cell>
          <cell r="BB29">
            <v>-1572</v>
          </cell>
          <cell r="BC29">
            <v>-1813</v>
          </cell>
          <cell r="BD29">
            <v>-2065</v>
          </cell>
        </row>
        <row r="30">
          <cell r="A30">
            <v>0</v>
          </cell>
          <cell r="B30">
            <v>0</v>
          </cell>
        </row>
        <row r="31">
          <cell r="A31">
            <v>0</v>
          </cell>
          <cell r="B31">
            <v>0</v>
          </cell>
          <cell r="I31">
            <v>1400.8389999999999</v>
          </cell>
          <cell r="J31">
            <v>1650.6849999999999</v>
          </cell>
          <cell r="K31">
            <v>1889.6839999999997</v>
          </cell>
          <cell r="L31">
            <v>2146.9650000000001</v>
          </cell>
          <cell r="M31">
            <v>2422.9829999999997</v>
          </cell>
          <cell r="N31">
            <v>2542.0499999999997</v>
          </cell>
          <cell r="O31">
            <v>2629.2989999999995</v>
          </cell>
          <cell r="P31">
            <v>2634.8219999999997</v>
          </cell>
          <cell r="Q31">
            <v>2765.433</v>
          </cell>
          <cell r="R31">
            <v>2905.4989999999998</v>
          </cell>
          <cell r="S31">
            <v>3038.4789999999998</v>
          </cell>
          <cell r="T31">
            <v>3251.4969999999998</v>
          </cell>
          <cell r="U31">
            <v>3568.1869999999999</v>
          </cell>
          <cell r="V31">
            <v>3815.3240000000005</v>
          </cell>
          <cell r="W31">
            <v>4110.6310000000003</v>
          </cell>
          <cell r="X31">
            <v>4389.7880000000005</v>
          </cell>
          <cell r="Y31">
            <v>4891.6990000000005</v>
          </cell>
          <cell r="Z31">
            <v>5322.8890000000001</v>
          </cell>
          <cell r="AA31">
            <v>5606.3179999999993</v>
          </cell>
          <cell r="AB31">
            <v>5924.3369999999995</v>
          </cell>
          <cell r="AC31">
            <v>6501.070999999999</v>
          </cell>
          <cell r="AD31">
            <v>6858.4449999999997</v>
          </cell>
          <cell r="AE31">
            <v>7205.1040000000003</v>
          </cell>
          <cell r="AF31">
            <v>7575.6289999999999</v>
          </cell>
          <cell r="AG31">
            <v>7978.9229999999989</v>
          </cell>
          <cell r="AH31">
            <v>8334.7999999999993</v>
          </cell>
          <cell r="AI31">
            <v>8695.7999999999993</v>
          </cell>
          <cell r="AJ31">
            <v>9138.7999999999993</v>
          </cell>
          <cell r="AK31">
            <v>10144</v>
          </cell>
          <cell r="AL31">
            <v>10858</v>
          </cell>
          <cell r="AM31">
            <v>11581</v>
          </cell>
          <cell r="AN31">
            <v>12483</v>
          </cell>
          <cell r="AO31">
            <v>14096</v>
          </cell>
          <cell r="AP31">
            <v>15175</v>
          </cell>
          <cell r="AQ31">
            <v>16318</v>
          </cell>
          <cell r="AR31">
            <v>17300</v>
          </cell>
          <cell r="AS31">
            <v>18331</v>
          </cell>
          <cell r="AT31">
            <v>19087</v>
          </cell>
          <cell r="AU31">
            <v>19676</v>
          </cell>
          <cell r="AV31">
            <v>20844</v>
          </cell>
          <cell r="AW31">
            <v>23584</v>
          </cell>
          <cell r="AX31">
            <v>25768</v>
          </cell>
          <cell r="AY31">
            <v>27629</v>
          </cell>
          <cell r="AZ31">
            <v>29678</v>
          </cell>
          <cell r="BA31">
            <v>33011</v>
          </cell>
          <cell r="BB31">
            <v>35655</v>
          </cell>
          <cell r="BC31">
            <v>38910</v>
          </cell>
          <cell r="BD31">
            <v>42136</v>
          </cell>
        </row>
        <row r="32">
          <cell r="A32">
            <v>0</v>
          </cell>
          <cell r="B32">
            <v>0</v>
          </cell>
          <cell r="I32">
            <v>-1122.194</v>
          </cell>
          <cell r="J32">
            <v>-1298.3970000000002</v>
          </cell>
          <cell r="K32">
            <v>-1475.0630000000001</v>
          </cell>
          <cell r="L32">
            <v>-1638.8419999999999</v>
          </cell>
          <cell r="M32">
            <v>-1766.2060000000001</v>
          </cell>
          <cell r="N32">
            <v>-1829.21</v>
          </cell>
          <cell r="O32">
            <v>-1859.9029999999998</v>
          </cell>
          <cell r="P32">
            <v>-1860.3130000000001</v>
          </cell>
          <cell r="Q32">
            <v>-1947.875</v>
          </cell>
          <cell r="R32">
            <v>-2051.413</v>
          </cell>
          <cell r="S32">
            <v>-2145.9459999999999</v>
          </cell>
          <cell r="T32">
            <v>-2296.989</v>
          </cell>
          <cell r="U32">
            <v>-2536.0150000000003</v>
          </cell>
          <cell r="V32">
            <v>-2709.6949999999997</v>
          </cell>
          <cell r="W32">
            <v>-2925.241</v>
          </cell>
          <cell r="X32">
            <v>-3117.7439999999997</v>
          </cell>
          <cell r="Y32">
            <v>-3498.0630000000001</v>
          </cell>
          <cell r="Z32">
            <v>-3823.0010000000002</v>
          </cell>
          <cell r="AA32">
            <v>-4030.3119999999999</v>
          </cell>
          <cell r="AB32">
            <v>-4264.5009999999993</v>
          </cell>
          <cell r="AC32">
            <v>-4703.0619999999999</v>
          </cell>
          <cell r="AD32">
            <v>-4950.97</v>
          </cell>
          <cell r="AE32">
            <v>-5178.6750000000002</v>
          </cell>
          <cell r="AF32">
            <v>-5435.8509999999997</v>
          </cell>
          <cell r="AG32">
            <v>-5701.9229999999998</v>
          </cell>
          <cell r="AH32">
            <v>-5956.1</v>
          </cell>
          <cell r="AI32">
            <v>-6243.1</v>
          </cell>
          <cell r="AJ32">
            <v>-6583.1</v>
          </cell>
          <cell r="AK32">
            <v>-7372</v>
          </cell>
          <cell r="AL32">
            <v>-7895</v>
          </cell>
          <cell r="AM32">
            <v>-8411</v>
          </cell>
          <cell r="AN32">
            <v>-9075</v>
          </cell>
          <cell r="AO32">
            <v>-10310</v>
          </cell>
          <cell r="AP32">
            <v>-11110</v>
          </cell>
          <cell r="AQ32">
            <v>-11934</v>
          </cell>
          <cell r="AR32">
            <v>-12636</v>
          </cell>
          <cell r="AS32">
            <v>-13430</v>
          </cell>
          <cell r="AT32">
            <v>-13955</v>
          </cell>
          <cell r="AU32">
            <v>-14359</v>
          </cell>
          <cell r="AV32">
            <v>-15205</v>
          </cell>
          <cell r="AW32">
            <v>-17204</v>
          </cell>
          <cell r="AX32">
            <v>-18804</v>
          </cell>
          <cell r="AY32">
            <v>-20088</v>
          </cell>
          <cell r="AZ32">
            <v>-21510</v>
          </cell>
          <cell r="BA32">
            <v>-23981</v>
          </cell>
          <cell r="BB32">
            <v>-25820</v>
          </cell>
          <cell r="BC32">
            <v>-28055</v>
          </cell>
          <cell r="BD32">
            <v>-30252</v>
          </cell>
        </row>
        <row r="33">
          <cell r="B33" t="str">
            <v>Merchandise Gross Profit</v>
          </cell>
          <cell r="I33">
            <v>278.64499999999998</v>
          </cell>
          <cell r="J33">
            <v>352.28799999999978</v>
          </cell>
          <cell r="K33">
            <v>414.62099999999964</v>
          </cell>
          <cell r="L33">
            <v>508.12300000000027</v>
          </cell>
          <cell r="M33">
            <v>656.77699999999959</v>
          </cell>
          <cell r="N33">
            <v>712.83999999999969</v>
          </cell>
          <cell r="O33">
            <v>769.39599999999973</v>
          </cell>
          <cell r="P33">
            <v>774.50899999999956</v>
          </cell>
          <cell r="Q33">
            <v>817.55799999999999</v>
          </cell>
          <cell r="R33">
            <v>854.08599999999979</v>
          </cell>
          <cell r="S33">
            <v>892.5329999999999</v>
          </cell>
          <cell r="T33">
            <v>954.50799999999981</v>
          </cell>
          <cell r="U33">
            <v>1032.1719999999996</v>
          </cell>
          <cell r="V33">
            <v>1105.6290000000008</v>
          </cell>
          <cell r="W33">
            <v>1185.3900000000003</v>
          </cell>
          <cell r="X33">
            <v>1272.0440000000008</v>
          </cell>
          <cell r="Y33">
            <v>1393.6360000000004</v>
          </cell>
          <cell r="Z33">
            <v>1499.8879999999999</v>
          </cell>
          <cell r="AA33">
            <v>1576.0059999999994</v>
          </cell>
          <cell r="AB33">
            <v>1659.8360000000002</v>
          </cell>
          <cell r="AC33">
            <v>1798.0089999999991</v>
          </cell>
          <cell r="AD33">
            <v>1907.4749999999995</v>
          </cell>
          <cell r="AE33">
            <v>2026.4290000000001</v>
          </cell>
          <cell r="AF33">
            <v>2139.7780000000002</v>
          </cell>
          <cell r="AG33">
            <v>2276.9999999999991</v>
          </cell>
          <cell r="AH33">
            <v>2378.6999999999989</v>
          </cell>
          <cell r="AI33">
            <v>2452.6999999999989</v>
          </cell>
          <cell r="AJ33">
            <v>2555.6999999999989</v>
          </cell>
          <cell r="AK33">
            <v>2772</v>
          </cell>
          <cell r="AL33">
            <v>2963</v>
          </cell>
          <cell r="AM33">
            <v>3170</v>
          </cell>
          <cell r="AN33">
            <v>3408</v>
          </cell>
          <cell r="AO33">
            <v>3786</v>
          </cell>
          <cell r="AP33">
            <v>4065</v>
          </cell>
          <cell r="AQ33">
            <v>4384</v>
          </cell>
          <cell r="AR33">
            <v>4664</v>
          </cell>
          <cell r="AS33">
            <v>4901</v>
          </cell>
          <cell r="AT33">
            <v>5132</v>
          </cell>
          <cell r="AU33">
            <v>5317</v>
          </cell>
          <cell r="AV33">
            <v>5639</v>
          </cell>
          <cell r="AW33">
            <v>6380</v>
          </cell>
          <cell r="AX33">
            <v>6964</v>
          </cell>
          <cell r="AY33">
            <v>7541</v>
          </cell>
          <cell r="AZ33">
            <v>8168</v>
          </cell>
          <cell r="BA33">
            <v>9030</v>
          </cell>
          <cell r="BB33">
            <v>9835</v>
          </cell>
          <cell r="BC33">
            <v>10855</v>
          </cell>
          <cell r="BD33">
            <v>11884</v>
          </cell>
        </row>
        <row r="34">
          <cell r="BC34">
            <v>32997.199999999997</v>
          </cell>
          <cell r="BD34">
            <v>3.6106709852497048</v>
          </cell>
        </row>
        <row r="35">
          <cell r="B35" t="str">
            <v>Merchandise Gross Profit Margin</v>
          </cell>
          <cell r="I35">
            <v>0.19891293717550695</v>
          </cell>
          <cell r="J35">
            <v>0.21341927745148215</v>
          </cell>
          <cell r="K35">
            <v>0.21941287538022214</v>
          </cell>
          <cell r="L35">
            <v>0.23667036956820453</v>
          </cell>
          <cell r="M35">
            <v>0.2710613322503706</v>
          </cell>
          <cell r="N35">
            <v>0.28041934659035023</v>
          </cell>
          <cell r="O35">
            <v>0.29262400358422525</v>
          </cell>
          <cell r="P35">
            <v>0.29395116634064833</v>
          </cell>
          <cell r="Q35">
            <v>0.29563471615475767</v>
          </cell>
          <cell r="R35">
            <v>0.29395501426777287</v>
          </cell>
          <cell r="S35">
            <v>0.29374334987998929</v>
          </cell>
          <cell r="T35">
            <v>0.2935595511851925</v>
          </cell>
          <cell r="U35">
            <v>0.28927071367055585</v>
          </cell>
          <cell r="V35">
            <v>0.28978639821939123</v>
          </cell>
          <cell r="W35">
            <v>0.2883717852563269</v>
          </cell>
          <cell r="X35">
            <v>0.28977344691816564</v>
          </cell>
          <cell r="Y35">
            <v>0.28489815092874687</v>
          </cell>
          <cell r="Z35">
            <v>0.2817808148920633</v>
          </cell>
          <cell r="AA35">
            <v>0.28111248773259018</v>
          </cell>
          <cell r="AB35">
            <v>0.28017244798869484</v>
          </cell>
          <cell r="AC35">
            <v>0.27657119880708875</v>
          </cell>
          <cell r="AD35">
            <v>0.27812062355242329</v>
          </cell>
          <cell r="AE35">
            <v>0.28124909786173802</v>
          </cell>
          <cell r="AF35">
            <v>0.28245548983457353</v>
          </cell>
          <cell r="AG35">
            <v>0.28537686101244486</v>
          </cell>
          <cell r="AH35">
            <v>0.28539377069635735</v>
          </cell>
          <cell r="AI35">
            <v>0.28205570505301397</v>
          </cell>
          <cell r="AJ35">
            <v>0.27965378386659068</v>
          </cell>
          <cell r="AK35">
            <v>0.27326498422712936</v>
          </cell>
          <cell r="AL35">
            <v>0.2728863510775465</v>
          </cell>
          <cell r="AM35">
            <v>0.27372420343666348</v>
          </cell>
          <cell r="AN35">
            <v>0.27301129536169189</v>
          </cell>
          <cell r="AO35">
            <v>0.26858683314415438</v>
          </cell>
          <cell r="AP35">
            <v>0.26787479406919273</v>
          </cell>
          <cell r="AQ35">
            <v>0.26866037504596152</v>
          </cell>
          <cell r="AR35">
            <v>0.26959537572254333</v>
          </cell>
          <cell r="AS35">
            <v>0.26736130052915824</v>
          </cell>
          <cell r="AT35">
            <v>0.26887410279247653</v>
          </cell>
          <cell r="AU35">
            <v>0.27022768855458429</v>
          </cell>
          <cell r="AV35">
            <v>0.27053348685473039</v>
          </cell>
          <cell r="AW35">
            <v>0.27052238805970147</v>
          </cell>
          <cell r="AX35">
            <v>0.27025768394908412</v>
          </cell>
          <cell r="AY35">
            <v>0.27293785515219515</v>
          </cell>
          <cell r="AZ35">
            <v>0.27522070220365252</v>
          </cell>
          <cell r="BA35">
            <v>0.27354518190906063</v>
          </cell>
          <cell r="BB35">
            <v>0.27583789089889216</v>
          </cell>
          <cell r="BC35">
            <v>0.27897712670264713</v>
          </cell>
          <cell r="BD35">
            <v>0.28203911144864247</v>
          </cell>
        </row>
        <row r="38">
          <cell r="I38">
            <v>227</v>
          </cell>
          <cell r="J38">
            <v>267.7</v>
          </cell>
          <cell r="K38">
            <v>286</v>
          </cell>
          <cell r="L38">
            <v>307.5</v>
          </cell>
          <cell r="M38">
            <v>340</v>
          </cell>
          <cell r="N38">
            <v>349</v>
          </cell>
          <cell r="O38">
            <v>364.4</v>
          </cell>
          <cell r="P38">
            <v>370.5</v>
          </cell>
          <cell r="Q38">
            <v>376</v>
          </cell>
          <cell r="R38">
            <v>379</v>
          </cell>
          <cell r="S38">
            <v>384</v>
          </cell>
          <cell r="T38">
            <v>391</v>
          </cell>
          <cell r="U38">
            <v>404.303</v>
          </cell>
          <cell r="V38">
            <v>419.303</v>
          </cell>
          <cell r="W38">
            <v>442.303</v>
          </cell>
          <cell r="X38">
            <v>463.303</v>
          </cell>
          <cell r="Y38">
            <v>508.46800000000002</v>
          </cell>
          <cell r="Z38">
            <v>540.06799999999998</v>
          </cell>
          <cell r="AA38">
            <v>553.06799999999998</v>
          </cell>
          <cell r="AB38">
            <v>577.06799999999998</v>
          </cell>
          <cell r="AC38">
            <v>616.572</v>
          </cell>
          <cell r="AD38">
            <v>643.072</v>
          </cell>
          <cell r="AE38">
            <v>672.072</v>
          </cell>
          <cell r="AF38">
            <v>703.072</v>
          </cell>
          <cell r="AG38">
            <v>750</v>
          </cell>
          <cell r="AH38">
            <v>783.9</v>
          </cell>
          <cell r="AI38">
            <v>823.9</v>
          </cell>
          <cell r="AJ38">
            <v>846.9</v>
          </cell>
          <cell r="AK38">
            <v>884</v>
          </cell>
          <cell r="AL38">
            <v>925</v>
          </cell>
          <cell r="AM38">
            <v>964</v>
          </cell>
          <cell r="AN38">
            <v>1042</v>
          </cell>
          <cell r="AO38">
            <v>1174</v>
          </cell>
          <cell r="AP38">
            <v>1257</v>
          </cell>
          <cell r="AQ38">
            <v>1344</v>
          </cell>
          <cell r="AR38">
            <v>1407</v>
          </cell>
          <cell r="AS38">
            <v>1466</v>
          </cell>
          <cell r="AT38">
            <v>1503</v>
          </cell>
          <cell r="AU38">
            <v>1521</v>
          </cell>
          <cell r="AV38">
            <v>1586</v>
          </cell>
          <cell r="AW38">
            <v>1774</v>
          </cell>
          <cell r="AX38">
            <v>1934</v>
          </cell>
          <cell r="AY38">
            <v>2089</v>
          </cell>
          <cell r="AZ38">
            <v>2277</v>
          </cell>
          <cell r="BA38">
            <v>2580</v>
          </cell>
          <cell r="BB38">
            <v>2848</v>
          </cell>
          <cell r="BC38">
            <v>3181</v>
          </cell>
          <cell r="BD38">
            <v>3523</v>
          </cell>
        </row>
        <row r="39">
          <cell r="I39">
            <v>1400.8389999999999</v>
          </cell>
          <cell r="J39">
            <v>1650.6849999999999</v>
          </cell>
          <cell r="K39">
            <v>1889.6839999999997</v>
          </cell>
          <cell r="L39">
            <v>2146.9650000000001</v>
          </cell>
          <cell r="M39">
            <v>2422.9829999999997</v>
          </cell>
          <cell r="N39">
            <v>2542.0499999999997</v>
          </cell>
          <cell r="O39">
            <v>2629.2989999999995</v>
          </cell>
          <cell r="P39">
            <v>2634.8219999999997</v>
          </cell>
          <cell r="Q39">
            <v>2765.433</v>
          </cell>
          <cell r="R39">
            <v>2905.4989999999998</v>
          </cell>
          <cell r="S39">
            <v>3038.4789999999998</v>
          </cell>
          <cell r="T39">
            <v>3251.4969999999998</v>
          </cell>
          <cell r="U39">
            <v>3568.1869999999999</v>
          </cell>
          <cell r="V39">
            <v>3815.3240000000005</v>
          </cell>
          <cell r="W39">
            <v>4110.6310000000003</v>
          </cell>
          <cell r="X39">
            <v>4389.7880000000005</v>
          </cell>
          <cell r="Y39">
            <v>4891.6990000000005</v>
          </cell>
          <cell r="Z39">
            <v>5322.8890000000001</v>
          </cell>
          <cell r="AA39">
            <v>5606.3179999999993</v>
          </cell>
          <cell r="AB39">
            <v>5924.3369999999995</v>
          </cell>
          <cell r="AC39">
            <v>6501.070999999999</v>
          </cell>
          <cell r="AD39">
            <v>6858.4449999999997</v>
          </cell>
          <cell r="AE39">
            <v>7205.1040000000003</v>
          </cell>
          <cell r="AF39">
            <v>7575.6289999999999</v>
          </cell>
          <cell r="AG39">
            <v>7978.9229999999989</v>
          </cell>
          <cell r="AH39">
            <v>8334.7999999999993</v>
          </cell>
          <cell r="AI39">
            <v>8695.7999999999993</v>
          </cell>
          <cell r="AJ39">
            <v>9138.7999999999993</v>
          </cell>
          <cell r="AK39">
            <v>10144</v>
          </cell>
          <cell r="AL39">
            <v>10858</v>
          </cell>
          <cell r="AM39">
            <v>11581</v>
          </cell>
          <cell r="AN39">
            <v>12483</v>
          </cell>
          <cell r="AO39">
            <v>14096</v>
          </cell>
          <cell r="AP39">
            <v>15175</v>
          </cell>
          <cell r="AQ39">
            <v>16318</v>
          </cell>
          <cell r="AR39">
            <v>17300</v>
          </cell>
          <cell r="AS39">
            <v>18331</v>
          </cell>
          <cell r="AT39">
            <v>19087</v>
          </cell>
          <cell r="AU39">
            <v>19676</v>
          </cell>
          <cell r="AV39">
            <v>20844</v>
          </cell>
          <cell r="AW39">
            <v>23584</v>
          </cell>
          <cell r="AX39">
            <v>25768</v>
          </cell>
          <cell r="AY39">
            <v>27629</v>
          </cell>
          <cell r="AZ39">
            <v>29678</v>
          </cell>
          <cell r="BA39">
            <v>33011</v>
          </cell>
          <cell r="BB39">
            <v>35655</v>
          </cell>
          <cell r="BC39">
            <v>38910</v>
          </cell>
          <cell r="BD39">
            <v>42136</v>
          </cell>
        </row>
        <row r="40">
          <cell r="M40">
            <v>0.49779735682819393</v>
          </cell>
          <cell r="N40">
            <v>0.3036981695928278</v>
          </cell>
          <cell r="O40">
            <v>0.27412587412587408</v>
          </cell>
          <cell r="P40">
            <v>0.20487804878048776</v>
          </cell>
          <cell r="Q40">
            <v>0.10588235294117654</v>
          </cell>
          <cell r="R40">
            <v>8.5959885386819535E-2</v>
          </cell>
          <cell r="S40">
            <v>5.3787047200878124E-2</v>
          </cell>
          <cell r="T40">
            <v>5.5330634278002666E-2</v>
          </cell>
          <cell r="U40">
            <v>7.527393617021283E-2</v>
          </cell>
          <cell r="V40">
            <v>0.10634036939313973</v>
          </cell>
          <cell r="W40">
            <v>0.15183072916666673</v>
          </cell>
          <cell r="X40">
            <v>0.18491815856777483</v>
          </cell>
          <cell r="Y40">
            <v>0.25764092772005154</v>
          </cell>
          <cell r="Z40">
            <v>0.28801367984488535</v>
          </cell>
          <cell r="AA40">
            <v>0.25042787410440348</v>
          </cell>
          <cell r="AB40">
            <v>0.24555204693256893</v>
          </cell>
          <cell r="AC40">
            <v>0.21260728305419407</v>
          </cell>
          <cell r="AD40">
            <v>0.19072413103535113</v>
          </cell>
          <cell r="AE40">
            <v>0.21517064809390529</v>
          </cell>
          <cell r="AF40">
            <v>0.21835208329001099</v>
          </cell>
          <cell r="AG40">
            <v>0.21640295050699665</v>
          </cell>
          <cell r="AH40">
            <v>0.2189925855891719</v>
          </cell>
          <cell r="AI40">
            <v>0.22591031913247384</v>
          </cell>
          <cell r="AJ40">
            <v>0.20457079786991939</v>
          </cell>
          <cell r="AK40">
            <v>0.17866666666666675</v>
          </cell>
          <cell r="AL40">
            <v>0.17999744865416512</v>
          </cell>
          <cell r="AM40">
            <v>0.17004490836266539</v>
          </cell>
          <cell r="AN40">
            <v>0.23036958318573619</v>
          </cell>
          <cell r="AO40">
            <v>0.32805429864253388</v>
          </cell>
          <cell r="AP40">
            <v>0.35891891891891903</v>
          </cell>
          <cell r="AQ40">
            <v>0.39419087136929454</v>
          </cell>
          <cell r="AR40">
            <v>0.35028790786948183</v>
          </cell>
          <cell r="AS40">
            <v>0.24872231686541735</v>
          </cell>
          <cell r="AT40">
            <v>0.19570405727923634</v>
          </cell>
          <cell r="AU40">
            <v>0.1316964285714286</v>
          </cell>
          <cell r="AV40">
            <v>0.12722103766879878</v>
          </cell>
          <cell r="AW40">
            <v>0.21009549795361537</v>
          </cell>
          <cell r="AX40">
            <v>0.28675981370592152</v>
          </cell>
          <cell r="AY40">
            <v>0.37343852728468119</v>
          </cell>
          <cell r="AZ40">
            <v>0.43568726355611598</v>
          </cell>
          <cell r="BA40">
            <v>0.45434047350620066</v>
          </cell>
          <cell r="BB40">
            <v>0.47259565667011372</v>
          </cell>
          <cell r="BC40">
            <v>0.52273815222594533</v>
          </cell>
          <cell r="BD40">
            <v>0.54721124286341682</v>
          </cell>
        </row>
        <row r="41">
          <cell r="M41">
            <v>0.72966557898516515</v>
          </cell>
          <cell r="N41">
            <v>0.5399970315353928</v>
          </cell>
          <cell r="O41">
            <v>0.39139612760652032</v>
          </cell>
          <cell r="P41">
            <v>0.2272309981764955</v>
          </cell>
          <cell r="Q41">
            <v>0.14133404980554976</v>
          </cell>
          <cell r="R41">
            <v>0.14297476446175339</v>
          </cell>
          <cell r="S41">
            <v>0.15562322885301372</v>
          </cell>
          <cell r="T41">
            <v>0.23404806852227589</v>
          </cell>
          <cell r="U41">
            <v>0.29028148575648016</v>
          </cell>
          <cell r="V41">
            <v>0.31313898232283011</v>
          </cell>
          <cell r="W41">
            <v>0.35285812408116057</v>
          </cell>
          <cell r="X41">
            <v>0.35008213139978306</v>
          </cell>
          <cell r="Y41">
            <v>0.37092002184863082</v>
          </cell>
          <cell r="Z41">
            <v>0.39513420092238549</v>
          </cell>
          <cell r="AA41">
            <v>0.36385824949989409</v>
          </cell>
          <cell r="AB41">
            <v>0.34957246226924821</v>
          </cell>
          <cell r="AC41">
            <v>0.32900061921226098</v>
          </cell>
          <cell r="AD41">
            <v>0.28848168729424928</v>
          </cell>
          <cell r="AE41">
            <v>0.28517576063291461</v>
          </cell>
          <cell r="AF41">
            <v>0.27873026129337353</v>
          </cell>
          <cell r="AG41">
            <v>0.22732439008895611</v>
          </cell>
          <cell r="AH41">
            <v>0.21526089368654255</v>
          </cell>
          <cell r="AI41">
            <v>0.20689444593721329</v>
          </cell>
          <cell r="AJ41">
            <v>0.20634207403768046</v>
          </cell>
          <cell r="AK41">
            <v>0.27134952925350975</v>
          </cell>
          <cell r="AL41">
            <v>0.3027307193933868</v>
          </cell>
          <cell r="AM41">
            <v>0.33179235952988817</v>
          </cell>
          <cell r="AN41">
            <v>0.36593425832713278</v>
          </cell>
          <cell r="AO41">
            <v>0.38958990536277605</v>
          </cell>
          <cell r="AP41">
            <v>0.39758703260268935</v>
          </cell>
          <cell r="AQ41">
            <v>0.40903203523011822</v>
          </cell>
          <cell r="AR41">
            <v>0.38588480333253217</v>
          </cell>
          <cell r="AS41">
            <v>0.30043984108967092</v>
          </cell>
          <cell r="AT41">
            <v>0.25779242174629324</v>
          </cell>
          <cell r="AU41">
            <v>0.2057850226743474</v>
          </cell>
          <cell r="AV41">
            <v>0.20485549132947978</v>
          </cell>
          <cell r="AW41">
            <v>0.28656374447656985</v>
          </cell>
          <cell r="AX41">
            <v>0.35002881542411068</v>
          </cell>
          <cell r="AY41">
            <v>0.40419800772514747</v>
          </cell>
          <cell r="AZ41">
            <v>0.42381500671656114</v>
          </cell>
          <cell r="BA41">
            <v>0.39972014925373145</v>
          </cell>
          <cell r="BB41">
            <v>0.38369295249922386</v>
          </cell>
          <cell r="BC41">
            <v>0.40830287017264477</v>
          </cell>
          <cell r="BD41">
            <v>0.41977222184783347</v>
          </cell>
        </row>
        <row r="42">
          <cell r="AZ42">
            <v>-118.72256839554839</v>
          </cell>
          <cell r="BA42">
            <v>-546.20324252469209</v>
          </cell>
          <cell r="BB42">
            <v>-889.02704170889854</v>
          </cell>
          <cell r="BC42">
            <v>-1144.3528205330056</v>
          </cell>
          <cell r="BD42">
            <v>-1274.3902101558335</v>
          </cell>
        </row>
        <row r="43">
          <cell r="M43">
            <v>0.14032289950032667</v>
          </cell>
          <cell r="N43">
            <v>0.13729076926102951</v>
          </cell>
          <cell r="O43">
            <v>0.1385920734005528</v>
          </cell>
          <cell r="P43">
            <v>0.1406167095917675</v>
          </cell>
          <cell r="Q43">
            <v>0.13596424140451061</v>
          </cell>
          <cell r="R43">
            <v>0.13044230956541372</v>
          </cell>
          <cell r="S43">
            <v>0.12637902055600847</v>
          </cell>
          <cell r="T43">
            <v>0.12025230224724182</v>
          </cell>
          <cell r="U43">
            <v>0.11330768258502147</v>
          </cell>
          <cell r="V43">
            <v>0.10989970969700082</v>
          </cell>
          <cell r="W43">
            <v>0.10759978212590718</v>
          </cell>
          <cell r="X43">
            <v>0.10554108763338912</v>
          </cell>
          <cell r="Y43">
            <v>0.10394507102746918</v>
          </cell>
          <cell r="Z43">
            <v>0.10146144321251109</v>
          </cell>
          <cell r="AA43">
            <v>9.8650843566133795E-2</v>
          </cell>
          <cell r="AB43">
            <v>9.7406342684421901E-2</v>
          </cell>
          <cell r="AC43">
            <v>9.48416037911292E-2</v>
          </cell>
          <cell r="AD43">
            <v>9.3763528030041801E-2</v>
          </cell>
          <cell r="AE43">
            <v>9.3277210155467569E-2</v>
          </cell>
          <cell r="AF43">
            <v>9.2807079121746849E-2</v>
          </cell>
          <cell r="AG43">
            <v>9.3997648554823759E-2</v>
          </cell>
          <cell r="AH43">
            <v>9.4051446945337625E-2</v>
          </cell>
          <cell r="AI43">
            <v>9.4746889302881859E-2</v>
          </cell>
          <cell r="AJ43">
            <v>9.267081017201384E-2</v>
          </cell>
          <cell r="AK43">
            <v>8.7145110410094637E-2</v>
          </cell>
          <cell r="AL43">
            <v>8.5190642843986003E-2</v>
          </cell>
          <cell r="AM43">
            <v>8.3239789310076848E-2</v>
          </cell>
          <cell r="AN43">
            <v>8.3473523992629972E-2</v>
          </cell>
          <cell r="AO43">
            <v>8.3286038592508507E-2</v>
          </cell>
          <cell r="AP43">
            <v>8.2833607907742995E-2</v>
          </cell>
          <cell r="AQ43">
            <v>8.236303468562324E-2</v>
          </cell>
          <cell r="AR43">
            <v>8.1329479768786128E-2</v>
          </cell>
          <cell r="AS43">
            <v>7.9973814849162619E-2</v>
          </cell>
          <cell r="AT43">
            <v>7.8744695342379628E-2</v>
          </cell>
          <cell r="AU43">
            <v>7.7302297214881077E-2</v>
          </cell>
          <cell r="AV43">
            <v>7.608904241028594E-2</v>
          </cell>
          <cell r="AW43">
            <v>7.5220488466757121E-2</v>
          </cell>
          <cell r="AX43">
            <v>7.5054330953120155E-2</v>
          </cell>
          <cell r="AY43">
            <v>7.5608961598320604E-2</v>
          </cell>
          <cell r="AZ43">
            <v>7.6723498888065234E-2</v>
          </cell>
          <cell r="BA43">
            <v>7.8155766259731599E-2</v>
          </cell>
          <cell r="BB43">
            <v>7.9876595147945595E-2</v>
          </cell>
          <cell r="BC43">
            <v>8.1752762785916214E-2</v>
          </cell>
          <cell r="BD43">
            <v>8.3610214543383327E-2</v>
          </cell>
        </row>
        <row r="49">
          <cell r="P49">
            <v>40816</v>
          </cell>
          <cell r="BD49">
            <v>23.853275820517883</v>
          </cell>
        </row>
        <row r="50">
          <cell r="C50" t="str">
            <v>Gross Margin</v>
          </cell>
          <cell r="D50" t="str">
            <v>Merchandise Gross Margin</v>
          </cell>
          <cell r="P50">
            <v>3770</v>
          </cell>
        </row>
        <row r="51">
          <cell r="B51">
            <v>36525</v>
          </cell>
          <cell r="C51">
            <v>0.17723996075224457</v>
          </cell>
          <cell r="D51">
            <v>0.19891293717550695</v>
          </cell>
          <cell r="P51">
            <v>1496</v>
          </cell>
        </row>
        <row r="52">
          <cell r="B52">
            <v>36616</v>
          </cell>
          <cell r="C52">
            <v>0.18436058820312634</v>
          </cell>
          <cell r="D52">
            <v>0.21341927745148215</v>
          </cell>
          <cell r="P52">
            <v>6552</v>
          </cell>
        </row>
        <row r="53">
          <cell r="B53">
            <v>36707</v>
          </cell>
          <cell r="C53">
            <v>0.19349885326142699</v>
          </cell>
          <cell r="D53">
            <v>0.21941287538022214</v>
          </cell>
          <cell r="P53">
            <v>2426</v>
          </cell>
        </row>
        <row r="54">
          <cell r="B54">
            <v>36799</v>
          </cell>
          <cell r="C54">
            <v>0.21062188091245165</v>
          </cell>
          <cell r="D54">
            <v>0.23667036956820453</v>
          </cell>
          <cell r="P54">
            <v>3712</v>
          </cell>
        </row>
        <row r="55">
          <cell r="B55">
            <v>36891</v>
          </cell>
          <cell r="C55">
            <v>0.2374297741876035</v>
          </cell>
          <cell r="D55">
            <v>0.2710613322503706</v>
          </cell>
          <cell r="P55">
            <v>2627</v>
          </cell>
        </row>
        <row r="56">
          <cell r="B56">
            <v>36981</v>
          </cell>
          <cell r="C56">
            <v>0.24588966400664711</v>
          </cell>
          <cell r="D56">
            <v>0.28041934659035023</v>
          </cell>
          <cell r="P56">
            <v>1.4130186524552721</v>
          </cell>
        </row>
        <row r="57">
          <cell r="B57">
            <v>37072</v>
          </cell>
          <cell r="C57">
            <v>0.25313822212686254</v>
          </cell>
          <cell r="D57">
            <v>0.29262400358422525</v>
          </cell>
        </row>
        <row r="58">
          <cell r="B58">
            <v>37164</v>
          </cell>
          <cell r="C58">
            <v>0.25131006550495322</v>
          </cell>
          <cell r="D58">
            <v>0.29395116634064833</v>
          </cell>
        </row>
        <row r="59">
          <cell r="B59">
            <v>37256</v>
          </cell>
          <cell r="C59">
            <v>0.25574864216461968</v>
          </cell>
          <cell r="D59">
            <v>0.29563471615475767</v>
          </cell>
        </row>
        <row r="60">
          <cell r="B60">
            <v>37346</v>
          </cell>
          <cell r="C60">
            <v>0.25664054339823927</v>
          </cell>
          <cell r="D60">
            <v>0.29395501426777287</v>
          </cell>
        </row>
        <row r="61">
          <cell r="B61">
            <v>37437</v>
          </cell>
          <cell r="C61">
            <v>0.25753144773599485</v>
          </cell>
          <cell r="D61">
            <v>0.29374334987998929</v>
          </cell>
        </row>
        <row r="62">
          <cell r="B62">
            <v>37529</v>
          </cell>
          <cell r="C62">
            <v>0.2573584119561364</v>
          </cell>
          <cell r="D62">
            <v>0.2935595511851925</v>
          </cell>
        </row>
        <row r="63">
          <cell r="B63">
            <v>37621</v>
          </cell>
          <cell r="C63">
            <v>0.25238600373868264</v>
          </cell>
          <cell r="D63">
            <v>0.28927071367055585</v>
          </cell>
        </row>
        <row r="64">
          <cell r="B64">
            <v>37711</v>
          </cell>
          <cell r="C64">
            <v>0.24947392381951591</v>
          </cell>
          <cell r="D64">
            <v>0.28978639821939123</v>
          </cell>
        </row>
        <row r="65">
          <cell r="B65">
            <v>37802</v>
          </cell>
          <cell r="C65">
            <v>0.24551707450407542</v>
          </cell>
          <cell r="D65">
            <v>0.2883717852563269</v>
          </cell>
        </row>
        <row r="66">
          <cell r="B66">
            <v>37894</v>
          </cell>
          <cell r="C66">
            <v>0.2455453312594004</v>
          </cell>
          <cell r="D66">
            <v>0.28977344691816564</v>
          </cell>
        </row>
        <row r="67">
          <cell r="B67">
            <v>37986</v>
          </cell>
          <cell r="C67">
            <v>0.23883736513049103</v>
          </cell>
          <cell r="D67">
            <v>0.28489815092874687</v>
          </cell>
        </row>
        <row r="68">
          <cell r="B68">
            <v>38077</v>
          </cell>
          <cell r="C68">
            <v>0.235955274583315</v>
          </cell>
          <cell r="D68">
            <v>0.2817808148920633</v>
          </cell>
        </row>
        <row r="69">
          <cell r="B69">
            <v>38168</v>
          </cell>
          <cell r="C69">
            <v>0.23583816917803804</v>
          </cell>
          <cell r="D69">
            <v>0.28111248773259018</v>
          </cell>
        </row>
        <row r="70">
          <cell r="B70">
            <v>38260</v>
          </cell>
          <cell r="C70">
            <v>0.23464792646528101</v>
          </cell>
          <cell r="D70">
            <v>0.28017244798869484</v>
          </cell>
        </row>
        <row r="71">
          <cell r="B71">
            <v>38352</v>
          </cell>
          <cell r="C71">
            <v>0.23139160633446232</v>
          </cell>
          <cell r="D71">
            <v>0.27657119880708875</v>
          </cell>
        </row>
        <row r="72">
          <cell r="B72">
            <v>38442</v>
          </cell>
          <cell r="C72">
            <v>0.23292559214710373</v>
          </cell>
          <cell r="D72">
            <v>0.27812062355242329</v>
          </cell>
        </row>
        <row r="73">
          <cell r="B73">
            <v>38533</v>
          </cell>
          <cell r="C73">
            <v>0.23603104425662053</v>
          </cell>
          <cell r="D73">
            <v>0.28124909786173802</v>
          </cell>
        </row>
        <row r="74">
          <cell r="B74">
            <v>38625</v>
          </cell>
          <cell r="C74">
            <v>0.23776844508027309</v>
          </cell>
          <cell r="D74">
            <v>0.28245548983457353</v>
          </cell>
        </row>
        <row r="75">
          <cell r="B75">
            <v>38717</v>
          </cell>
          <cell r="C75">
            <v>0.24004929137755424</v>
          </cell>
          <cell r="D75">
            <v>0.28537686101244486</v>
          </cell>
        </row>
        <row r="76">
          <cell r="B76">
            <v>38807</v>
          </cell>
          <cell r="C76">
            <v>0.23987820006766664</v>
          </cell>
          <cell r="D76">
            <v>0.28539377069635735</v>
          </cell>
        </row>
        <row r="77">
          <cell r="B77">
            <v>38898</v>
          </cell>
          <cell r="C77">
            <v>0.23624770344753054</v>
          </cell>
          <cell r="D77">
            <v>0.28205570505301397</v>
          </cell>
        </row>
        <row r="78">
          <cell r="B78">
            <v>38990</v>
          </cell>
          <cell r="C78">
            <v>0.23417851989280561</v>
          </cell>
          <cell r="D78">
            <v>0.27965378386659068</v>
          </cell>
        </row>
        <row r="79">
          <cell r="B79">
            <v>39082</v>
          </cell>
          <cell r="C79">
            <v>0.22920362244421622</v>
          </cell>
          <cell r="D79">
            <v>0.27326498422712936</v>
          </cell>
        </row>
        <row r="80">
          <cell r="B80">
            <v>39172</v>
          </cell>
          <cell r="C80">
            <v>0.22949244343496111</v>
          </cell>
          <cell r="D80">
            <v>0.2728863510775465</v>
          </cell>
        </row>
        <row r="81">
          <cell r="B81">
            <v>39263</v>
          </cell>
          <cell r="C81">
            <v>0.23117926849270132</v>
          </cell>
          <cell r="D81">
            <v>0.27372420343666348</v>
          </cell>
        </row>
        <row r="82">
          <cell r="B82">
            <v>39355</v>
          </cell>
          <cell r="C82">
            <v>0.23058787740512587</v>
          </cell>
          <cell r="D82">
            <v>0.27301129536169189</v>
          </cell>
        </row>
        <row r="83">
          <cell r="B83">
            <v>39447</v>
          </cell>
          <cell r="C83">
            <v>0.22593691021838772</v>
          </cell>
          <cell r="D83">
            <v>0.26858683314415438</v>
          </cell>
        </row>
        <row r="84">
          <cell r="B84">
            <v>39538</v>
          </cell>
          <cell r="C84">
            <v>0.22493106041614438</v>
          </cell>
          <cell r="D84">
            <v>0.26787479406919273</v>
          </cell>
        </row>
        <row r="85">
          <cell r="B85">
            <v>39629</v>
          </cell>
          <cell r="C85">
            <v>0.22500437751707231</v>
          </cell>
          <cell r="D85">
            <v>0.26866037504596152</v>
          </cell>
        </row>
        <row r="86">
          <cell r="B86">
            <v>39721</v>
          </cell>
          <cell r="C86">
            <v>0.22564102564102564</v>
          </cell>
          <cell r="D86">
            <v>0.26959537572254333</v>
          </cell>
        </row>
        <row r="87">
          <cell r="B87">
            <v>39813</v>
          </cell>
          <cell r="C87">
            <v>0.22279035792549307</v>
          </cell>
          <cell r="D87">
            <v>0.26736130052915824</v>
          </cell>
        </row>
        <row r="88">
          <cell r="B88">
            <v>39903</v>
          </cell>
          <cell r="C88">
            <v>0.22399598393574296</v>
          </cell>
          <cell r="D88">
            <v>0.26887410279247653</v>
          </cell>
        </row>
        <row r="89">
          <cell r="B89">
            <v>39994</v>
          </cell>
          <cell r="C89">
            <v>0.22566803198751706</v>
          </cell>
          <cell r="D89">
            <v>0.27022768855458429</v>
          </cell>
        </row>
        <row r="90">
          <cell r="B90">
            <v>40086</v>
          </cell>
          <cell r="C90">
            <v>0.22597151154750381</v>
          </cell>
          <cell r="D90">
            <v>0.27053348685473039</v>
          </cell>
        </row>
        <row r="91">
          <cell r="B91">
            <v>40178</v>
          </cell>
          <cell r="C91">
            <v>0.22564060714868614</v>
          </cell>
          <cell r="D91">
            <v>0.27052238805970147</v>
          </cell>
        </row>
        <row r="92">
          <cell r="B92">
            <v>40268</v>
          </cell>
          <cell r="C92">
            <v>0.22474766355140188</v>
          </cell>
          <cell r="D92">
            <v>0.27025768394908412</v>
          </cell>
        </row>
        <row r="93">
          <cell r="B93">
            <v>40359</v>
          </cell>
          <cell r="C93">
            <v>0.22633874062445491</v>
          </cell>
          <cell r="D93">
            <v>0.27293785515219515</v>
          </cell>
        </row>
        <row r="94">
          <cell r="B94">
            <v>40451</v>
          </cell>
          <cell r="C94">
            <v>0.22709253964127893</v>
          </cell>
          <cell r="D94">
            <v>0.27522070220365252</v>
          </cell>
        </row>
        <row r="95">
          <cell r="B95">
            <v>40543</v>
          </cell>
          <cell r="C95">
            <v>0.22347609998538226</v>
          </cell>
          <cell r="D95">
            <v>0.27354518190906063</v>
          </cell>
        </row>
        <row r="96">
          <cell r="B96">
            <v>40816</v>
          </cell>
          <cell r="C96">
            <v>0.22374157212098236</v>
          </cell>
          <cell r="D96">
            <v>0.27583789089889216</v>
          </cell>
        </row>
        <row r="97">
          <cell r="B97">
            <v>40724</v>
          </cell>
          <cell r="C97">
            <v>0.22448979591836735</v>
          </cell>
          <cell r="D97">
            <v>0.27897712670264713</v>
          </cell>
        </row>
        <row r="98">
          <cell r="B98">
            <v>40816</v>
          </cell>
          <cell r="C98">
            <v>0.22523741799330183</v>
          </cell>
          <cell r="D98">
            <v>0.28203911144864247</v>
          </cell>
        </row>
      </sheetData>
      <sheetData sheetId="2">
        <row r="1">
          <cell r="F1">
            <v>2003</v>
          </cell>
        </row>
      </sheetData>
      <sheetData sheetId="3">
        <row r="4">
          <cell r="B4">
            <v>37986</v>
          </cell>
        </row>
      </sheetData>
      <sheetData sheetId="4">
        <row r="3">
          <cell r="D3">
            <v>38077</v>
          </cell>
        </row>
      </sheetData>
      <sheetData sheetId="5"/>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s"/>
      <sheetName val="YELP Charts"/>
    </sheetNames>
    <definedNames>
      <definedName name="AdjustValue" refersTo="#REF!"/>
      <definedName name="computer" refersTo="#REF!"/>
      <definedName name="desk" refersTo="#REF!"/>
      <definedName name="glad" refersTo="#REF!"/>
      <definedName name="j" refersTo="#REF!"/>
      <definedName name="lamp" refersTo="#REF!"/>
      <definedName name="lisahuang" refersTo="#REF!"/>
      <definedName name="mynameis" refersTo="#REF!"/>
      <definedName name="Name" refersTo="#REF!"/>
      <definedName name="newstuff" refersTo="#REF!"/>
      <definedName name="oldstuff" refersTo="#REF!"/>
      <definedName name="phone" refersTo="#REF!"/>
      <definedName name="ROADproforma" refersTo="#REF!"/>
      <definedName name="sad" refersTo="#REF!"/>
      <definedName name="sName" refersTo="#REF!"/>
      <definedName name="sName1" refersTo="#REF!"/>
    </definedNames>
    <sheetDataSet>
      <sheetData sheetId="0">
        <row r="10">
          <cell r="AD10" t="str">
            <v>2016e</v>
          </cell>
          <cell r="AE10" t="str">
            <v xml:space="preserve">Prior </v>
          </cell>
          <cell r="AF10" t="str">
            <v>Current</v>
          </cell>
          <cell r="AG10" t="str">
            <v>% Change</v>
          </cell>
        </row>
        <row r="11">
          <cell r="AD11" t="str">
            <v>Revenue</v>
          </cell>
          <cell r="AE11">
            <v>879.30143935587807</v>
          </cell>
          <cell r="AF11">
            <v>714.37081238515088</v>
          </cell>
          <cell r="AG11">
            <v>-0.18757006367639428</v>
          </cell>
        </row>
        <row r="12">
          <cell r="AD12" t="str">
            <v>EBITDA</v>
          </cell>
          <cell r="AE12">
            <v>139.39879663454164</v>
          </cell>
          <cell r="AF12">
            <v>103.01126434558957</v>
          </cell>
          <cell r="AG12">
            <v>-0.26103189674117744</v>
          </cell>
        </row>
        <row r="13">
          <cell r="AD13" t="str">
            <v>% EBITDA Margin</v>
          </cell>
          <cell r="AE13">
            <v>0.15853357039499058</v>
          </cell>
          <cell r="AF13">
            <v>0.14419859064741766</v>
          </cell>
          <cell r="AG13">
            <v>-143.34979747572919</v>
          </cell>
        </row>
        <row r="15">
          <cell r="AD15" t="str">
            <v>2016e OpEx as % of Revenue</v>
          </cell>
          <cell r="AE15" t="str">
            <v xml:space="preserve">Prior </v>
          </cell>
          <cell r="AF15" t="str">
            <v>Current</v>
          </cell>
          <cell r="AG15" t="str">
            <v>Bps</v>
          </cell>
          <cell r="AI15" t="str">
            <v>Drivers of Change</v>
          </cell>
        </row>
        <row r="16">
          <cell r="AD16" t="str">
            <v>Cost of Revenue</v>
          </cell>
          <cell r="AE16">
            <v>8.6969239929193462E-2</v>
          </cell>
          <cell r="AF16">
            <v>9.1208431377074226E-2</v>
          </cell>
          <cell r="AG16">
            <v>42.391914478807635</v>
          </cell>
          <cell r="AI16" t="str">
            <v>Higher user engagement and data use without accompanying revenue</v>
          </cell>
        </row>
        <row r="17">
          <cell r="AD17" t="str">
            <v xml:space="preserve">Sales and marketing </v>
          </cell>
          <cell r="AE17">
            <v>0.52746924332532019</v>
          </cell>
          <cell r="AF17">
            <v>0.52112558403300713</v>
          </cell>
          <cell r="AG17">
            <v>-63.43659292313064</v>
          </cell>
          <cell r="AI17" t="str">
            <v>Higher sales force fixed salaries to combat heightened competitive pressures</v>
          </cell>
        </row>
        <row r="18">
          <cell r="AD18" t="str">
            <v xml:space="preserve">Product development </v>
          </cell>
          <cell r="AE18">
            <v>0.12747846754590972</v>
          </cell>
          <cell r="AF18">
            <v>0.1391322241570154</v>
          </cell>
          <cell r="AG18">
            <v>116.5375661110568</v>
          </cell>
          <cell r="AI18" t="str">
            <v>Continued need to invest in engineers in competitive silicon valley…off of lower rev base</v>
          </cell>
        </row>
        <row r="19">
          <cell r="AD19" t="str">
            <v>General and administrative</v>
          </cell>
          <cell r="AE19">
            <v>9.9549478804586061E-2</v>
          </cell>
          <cell r="AF19">
            <v>0.1043351697854856</v>
          </cell>
          <cell r="AG19">
            <v>47.856909808995375</v>
          </cell>
          <cell r="AI19" t="str">
            <v>N/A</v>
          </cell>
        </row>
        <row r="20">
          <cell r="AD20" t="str">
            <v>Depreciation and amortization</v>
          </cell>
          <cell r="AE20">
            <v>4.2750000000000003E-2</v>
          </cell>
          <cell r="AF20">
            <v>4.9583678662077246E-2</v>
          </cell>
          <cell r="AG20">
            <v>68.336786620772429</v>
          </cell>
          <cell r="AI20" t="str">
            <v xml:space="preserve">D&amp;A Unchanged </v>
          </cell>
        </row>
        <row r="21">
          <cell r="AD21" t="str">
            <v>Total</v>
          </cell>
          <cell r="AE21">
            <v>0.88421642960500946</v>
          </cell>
          <cell r="AF21">
            <v>0.90538508801465967</v>
          </cell>
          <cell r="AG21">
            <v>211.68658409650209</v>
          </cell>
          <cell r="AI21" t="str">
            <v xml:space="preserve">Results in 660bp reduction in 2016 EBITDA Margins </v>
          </cell>
        </row>
        <row r="101">
          <cell r="E101">
            <v>2014</v>
          </cell>
          <cell r="F101" t="str">
            <v>2015E</v>
          </cell>
          <cell r="G101" t="str">
            <v>2016E</v>
          </cell>
          <cell r="H101" t="str">
            <v>2017E</v>
          </cell>
          <cell r="I101" t="str">
            <v>2018E</v>
          </cell>
        </row>
        <row r="102">
          <cell r="D102" t="str">
            <v xml:space="preserve">Absolute Dollar Spend </v>
          </cell>
          <cell r="E102">
            <v>10</v>
          </cell>
          <cell r="F102">
            <v>30</v>
          </cell>
          <cell r="G102">
            <v>64.293373114663581</v>
          </cell>
        </row>
        <row r="103">
          <cell r="D103" t="str">
            <v>Yelp Ad Revenue as % of Revenue</v>
          </cell>
          <cell r="E103">
            <v>2.6487540261061197E-2</v>
          </cell>
          <cell r="F103">
            <v>5.457413077053215E-2</v>
          </cell>
          <cell r="G103">
            <v>0.09</v>
          </cell>
          <cell r="H103" t="str">
            <v>X%</v>
          </cell>
          <cell r="I103" t="str">
            <v>X%</v>
          </cell>
        </row>
        <row r="118">
          <cell r="D118" t="str">
            <v xml:space="preserve">Yelp Financials </v>
          </cell>
          <cell r="M118" t="str">
            <v>CAGR</v>
          </cell>
        </row>
        <row r="119">
          <cell r="D119" t="str">
            <v>(in Millions, $)</v>
          </cell>
          <cell r="E119">
            <v>2011</v>
          </cell>
          <cell r="F119">
            <v>2012</v>
          </cell>
          <cell r="G119">
            <v>2013</v>
          </cell>
          <cell r="H119">
            <v>2014</v>
          </cell>
          <cell r="I119" t="str">
            <v>2015E</v>
          </cell>
          <cell r="J119" t="str">
            <v>2016E</v>
          </cell>
          <cell r="K119" t="str">
            <v>2017E</v>
          </cell>
          <cell r="L119" t="str">
            <v xml:space="preserve">2018E </v>
          </cell>
          <cell r="M119" t="str">
            <v>'11-'14</v>
          </cell>
          <cell r="N119" t="str">
            <v>'14-'18</v>
          </cell>
        </row>
        <row r="120">
          <cell r="D120" t="str">
            <v>Total Revenue</v>
          </cell>
          <cell r="E120">
            <v>83.284999999999997</v>
          </cell>
          <cell r="F120">
            <v>137.566</v>
          </cell>
          <cell r="G120">
            <v>232.98799999999997</v>
          </cell>
          <cell r="H120">
            <v>377.53599999999994</v>
          </cell>
          <cell r="I120">
            <v>549.71100000000001</v>
          </cell>
          <cell r="J120">
            <v>714.37081238515088</v>
          </cell>
          <cell r="K120">
            <v>907.87187663352915</v>
          </cell>
          <cell r="L120">
            <v>1109.3608801000157</v>
          </cell>
          <cell r="M120">
            <v>0.65499693326849873</v>
          </cell>
          <cell r="N120">
            <v>0.19188568810043991</v>
          </cell>
        </row>
        <row r="121">
          <cell r="D121" t="str">
            <v>y/y % growth</v>
          </cell>
          <cell r="E121">
            <v>0.74488278058284951</v>
          </cell>
          <cell r="F121">
            <v>0.65175001500870522</v>
          </cell>
          <cell r="G121">
            <v>0.69364523210677032</v>
          </cell>
          <cell r="H121">
            <v>0.62040963483097844</v>
          </cell>
          <cell r="I121">
            <v>0.45604922444482132</v>
          </cell>
          <cell r="J121">
            <v>0.29953887112528377</v>
          </cell>
          <cell r="K121">
            <v>0.2708692193096669</v>
          </cell>
          <cell r="L121">
            <v>0.22193550505565396</v>
          </cell>
        </row>
        <row r="123">
          <cell r="D123" t="str">
            <v>EBITDA</v>
          </cell>
          <cell r="E123">
            <v>-1.1280000000000001</v>
          </cell>
          <cell r="F123">
            <v>4.596999999999996</v>
          </cell>
          <cell r="G123">
            <v>29.428999999999931</v>
          </cell>
          <cell r="H123">
            <v>70.92199999999994</v>
          </cell>
          <cell r="I123">
            <v>69.121999999999971</v>
          </cell>
          <cell r="J123">
            <v>103.01126434558957</v>
          </cell>
          <cell r="K123">
            <v>158.86679300541959</v>
          </cell>
          <cell r="L123">
            <v>225.75775469066519</v>
          </cell>
          <cell r="M123" t="str">
            <v>NM</v>
          </cell>
          <cell r="N123">
            <v>0.34433218202709165</v>
          </cell>
        </row>
        <row r="124">
          <cell r="D124" t="str">
            <v>EBITDA Margin</v>
          </cell>
          <cell r="E124">
            <v>-1.354385543615297E-2</v>
          </cell>
          <cell r="F124">
            <v>3.3416687262841076E-2</v>
          </cell>
          <cell r="G124">
            <v>0.12631122632925273</v>
          </cell>
          <cell r="H124">
            <v>0.1878549330394981</v>
          </cell>
          <cell r="I124">
            <v>0.12574243557069073</v>
          </cell>
          <cell r="J124">
            <v>0.14419859064741766</v>
          </cell>
          <cell r="K124">
            <v>0.17498812012385712</v>
          </cell>
          <cell r="L124">
            <v>0.20350253802920448</v>
          </cell>
        </row>
        <row r="216">
          <cell r="C216" t="str">
            <v>Y/Y Increase in Efficiency</v>
          </cell>
          <cell r="D216">
            <v>-2.7264838079241613E-2</v>
          </cell>
          <cell r="E216">
            <v>-1.7264838079241611E-2</v>
          </cell>
          <cell r="F216">
            <v>-7.264838079241609E-3</v>
          </cell>
          <cell r="G216">
            <v>2.7351619207583912E-3</v>
          </cell>
          <cell r="H216">
            <v>1.2735161920758391E-2</v>
          </cell>
        </row>
        <row r="217">
          <cell r="C217" t="str">
            <v xml:space="preserve"> Ad Revenue Per Sales Rep</v>
          </cell>
          <cell r="D217">
            <v>234276.47295597478</v>
          </cell>
          <cell r="E217">
            <v>236684.90314465403</v>
          </cell>
          <cell r="F217">
            <v>239093.33333333328</v>
          </cell>
          <cell r="G217">
            <v>241501.76352201251</v>
          </cell>
          <cell r="H217">
            <v>243910.19371069176</v>
          </cell>
          <cell r="L217">
            <v>240843.01886792449</v>
          </cell>
          <cell r="M217">
            <v>239093.33333333328</v>
          </cell>
        </row>
        <row r="219">
          <cell r="C219" t="str">
            <v>Local Advertising  Revenue ($, mn)</v>
          </cell>
          <cell r="D219">
            <v>439.2683867924527</v>
          </cell>
          <cell r="E219">
            <v>443.78419339622627</v>
          </cell>
          <cell r="F219">
            <v>448.2999999999999</v>
          </cell>
          <cell r="G219">
            <v>452.81580660377347</v>
          </cell>
          <cell r="H219">
            <v>457.33161320754709</v>
          </cell>
          <cell r="L219" t="str">
            <v>Local Ad Revenue</v>
          </cell>
        </row>
        <row r="221">
          <cell r="C221" t="str">
            <v>Implied Annual MS Revenue Est. ($, mn)</v>
          </cell>
          <cell r="D221">
            <v>540.67938679245276</v>
          </cell>
          <cell r="E221">
            <v>545.19519339622639</v>
          </cell>
          <cell r="F221">
            <v>549.71100000000001</v>
          </cell>
          <cell r="G221">
            <v>554.22680660377364</v>
          </cell>
          <cell r="H221">
            <v>558.74261320754727</v>
          </cell>
          <cell r="L221" t="str">
            <v>2014 Value</v>
          </cell>
          <cell r="M221" t="str">
            <v>2015 Value</v>
          </cell>
        </row>
        <row r="222">
          <cell r="L222">
            <v>319.11699999999996</v>
          </cell>
          <cell r="M222">
            <v>448.29999999999995</v>
          </cell>
        </row>
        <row r="224">
          <cell r="C224" t="str">
            <v>Variance to Consensus Revenue Est.</v>
          </cell>
          <cell r="D224">
            <v>-1.4078434003550688E-2</v>
          </cell>
          <cell r="E224">
            <v>-5.8439215969613434E-3</v>
          </cell>
          <cell r="F224">
            <v>2.3905908096280015E-3</v>
          </cell>
          <cell r="G224">
            <v>1.0625103216217457E-2</v>
          </cell>
          <cell r="H224">
            <v>1.8859615622806913E-2</v>
          </cell>
          <cell r="L224" t="str">
            <v>Sales Headcount</v>
          </cell>
        </row>
        <row r="226">
          <cell r="L226" t="str">
            <v>2014 Value</v>
          </cell>
          <cell r="M226" t="str">
            <v>2015 Value</v>
          </cell>
        </row>
        <row r="227">
          <cell r="L227">
            <v>1550</v>
          </cell>
          <cell r="M227">
            <v>2200</v>
          </cell>
        </row>
        <row r="229">
          <cell r="C229" t="str">
            <v>2Q:15 Consensus Rev</v>
          </cell>
          <cell r="D229" t="str">
            <v>Manual Calculation</v>
          </cell>
          <cell r="F229" t="str">
            <v>MS Est</v>
          </cell>
        </row>
        <row r="230">
          <cell r="C230" t="str">
            <v>Y/Y Increase in Efficiency</v>
          </cell>
          <cell r="D230">
            <v>8.6471342830013259E-2</v>
          </cell>
          <cell r="E230">
            <v>9.6471342830013254E-2</v>
          </cell>
          <cell r="F230">
            <v>0.10647134283001325</v>
          </cell>
          <cell r="G230">
            <v>0.11647134283001324</v>
          </cell>
          <cell r="H230">
            <v>0.12647134283001324</v>
          </cell>
        </row>
        <row r="231">
          <cell r="C231" t="str">
            <v xml:space="preserve"> Ad Revenue Per Sales Rep</v>
          </cell>
          <cell r="D231">
            <v>63253.525832376581</v>
          </cell>
          <cell r="E231">
            <v>63835.718140068893</v>
          </cell>
          <cell r="F231">
            <v>64417.910447761198</v>
          </cell>
          <cell r="G231">
            <v>65000.10275545351</v>
          </cell>
          <cell r="H231">
            <v>65582.295063145822</v>
          </cell>
        </row>
        <row r="233">
          <cell r="C233" t="str">
            <v>Local Advertising  Revenue ($, mn)</v>
          </cell>
          <cell r="D233">
            <v>105.94965576923077</v>
          </cell>
          <cell r="E233">
            <v>106.9248278846154</v>
          </cell>
          <cell r="F233">
            <v>107.9</v>
          </cell>
          <cell r="G233">
            <v>108.87517211538463</v>
          </cell>
          <cell r="H233">
            <v>109.85034423076925</v>
          </cell>
        </row>
        <row r="235">
          <cell r="C235" t="str">
            <v>Implied Quarterly MS Revenue Est. ($, mn)</v>
          </cell>
          <cell r="D235">
            <v>131.94965576923079</v>
          </cell>
          <cell r="E235">
            <v>132.92482788461541</v>
          </cell>
          <cell r="F235">
            <v>133.9</v>
          </cell>
          <cell r="G235">
            <v>134.87517211538463</v>
          </cell>
          <cell r="H235">
            <v>135.85034423076925</v>
          </cell>
        </row>
        <row r="238">
          <cell r="C238" t="str">
            <v>Variance to Consensus Revenue Est.</v>
          </cell>
          <cell r="D238">
            <v>-1.1613065399020295E-2</v>
          </cell>
          <cell r="E238">
            <v>-4.3084053586860405E-3</v>
          </cell>
          <cell r="F238">
            <v>2.9962546816479918E-3</v>
          </cell>
          <cell r="G238">
            <v>1.0300914721982135E-2</v>
          </cell>
          <cell r="H238">
            <v>1.76055747623165E-2</v>
          </cell>
        </row>
        <row r="255">
          <cell r="D255" t="str">
            <v>Revenue Sensitivity: Sales Size vs Efficiency</v>
          </cell>
        </row>
        <row r="256">
          <cell r="F256" t="str">
            <v>Y/Y Increase in Efficiency</v>
          </cell>
        </row>
        <row r="257">
          <cell r="E257">
            <v>133.9</v>
          </cell>
          <cell r="F257">
            <v>4.2405051407669758E-2</v>
          </cell>
          <cell r="G257">
            <v>7.2405051407669757E-2</v>
          </cell>
          <cell r="H257">
            <v>0.10240505140766976</v>
          </cell>
          <cell r="I257">
            <v>0.13240505140766975</v>
          </cell>
          <cell r="J257">
            <v>0.16240505140766975</v>
          </cell>
        </row>
        <row r="258">
          <cell r="D258" t="str">
            <v>Ending Sales Headcount</v>
          </cell>
          <cell r="E258">
            <v>1425</v>
          </cell>
          <cell r="F258">
            <v>117.79063061740892</v>
          </cell>
          <cell r="G258">
            <v>120.43232821356277</v>
          </cell>
          <cell r="H258">
            <v>123.07402580971662</v>
          </cell>
          <cell r="I258">
            <v>125.71572340587046</v>
          </cell>
          <cell r="J258">
            <v>128.35742100202432</v>
          </cell>
        </row>
        <row r="259">
          <cell r="E259">
            <v>1575</v>
          </cell>
          <cell r="F259">
            <v>122.34223213562754</v>
          </cell>
          <cell r="G259">
            <v>125.11492300101216</v>
          </cell>
          <cell r="H259">
            <v>127.88761386639679</v>
          </cell>
          <cell r="I259">
            <v>130.66030473178139</v>
          </cell>
          <cell r="J259">
            <v>133.43299559716601</v>
          </cell>
        </row>
        <row r="260">
          <cell r="E260">
            <v>1725</v>
          </cell>
          <cell r="F260">
            <v>126.89383365384616</v>
          </cell>
          <cell r="G260">
            <v>129.79751778846156</v>
          </cell>
          <cell r="H260">
            <v>132.70120192307695</v>
          </cell>
          <cell r="I260">
            <v>135.60488605769234</v>
          </cell>
          <cell r="J260">
            <v>138.50857019230773</v>
          </cell>
        </row>
        <row r="261">
          <cell r="E261">
            <v>1875</v>
          </cell>
          <cell r="F261">
            <v>131.4454351720648</v>
          </cell>
          <cell r="G261">
            <v>134.48011257591097</v>
          </cell>
          <cell r="H261">
            <v>137.5147899797571</v>
          </cell>
          <cell r="I261">
            <v>140.54946738360326</v>
          </cell>
          <cell r="J261">
            <v>143.58414478744942</v>
          </cell>
        </row>
        <row r="262">
          <cell r="E262">
            <v>2025</v>
          </cell>
          <cell r="F262">
            <v>135.99703669028344</v>
          </cell>
          <cell r="G262">
            <v>139.16270736336034</v>
          </cell>
          <cell r="H262">
            <v>142.32837803643727</v>
          </cell>
          <cell r="I262">
            <v>145.4940487095142</v>
          </cell>
          <cell r="J262">
            <v>148.65971938259113</v>
          </cell>
        </row>
        <row r="265">
          <cell r="D265" t="str">
            <v>Variance to Consensus Sensitivity: Sales Size vs Efficiency</v>
          </cell>
        </row>
        <row r="266">
          <cell r="F266" t="str">
            <v>Y/Y Increase in Efficiency</v>
          </cell>
        </row>
        <row r="267">
          <cell r="E267">
            <v>2.9962546816479918E-3</v>
          </cell>
          <cell r="F267">
            <v>4.2405051407669758E-2</v>
          </cell>
          <cell r="G267">
            <v>7.2405051407669757E-2</v>
          </cell>
          <cell r="H267">
            <v>0.10240505140766976</v>
          </cell>
          <cell r="I267">
            <v>0.13240505140766975</v>
          </cell>
          <cell r="J267">
            <v>0.16240505140766975</v>
          </cell>
        </row>
        <row r="268">
          <cell r="D268" t="str">
            <v>Ending Sales Headcount</v>
          </cell>
          <cell r="E268">
            <v>1425</v>
          </cell>
          <cell r="F268">
            <v>-0.1176731788958133</v>
          </cell>
          <cell r="G268">
            <v>-9.7885181920878139E-2</v>
          </cell>
          <cell r="H268">
            <v>-7.8097184945942977E-2</v>
          </cell>
          <cell r="I268">
            <v>-5.8309187971007814E-2</v>
          </cell>
          <cell r="J268">
            <v>-3.852119099607243E-2</v>
          </cell>
        </row>
        <row r="269">
          <cell r="E269">
            <v>1575</v>
          </cell>
          <cell r="F269">
            <v>-8.3578785500917352E-2</v>
          </cell>
          <cell r="G269">
            <v>-6.2809565535489442E-2</v>
          </cell>
          <cell r="H269">
            <v>-4.2040345570061532E-2</v>
          </cell>
          <cell r="I269">
            <v>-2.1271125604633734E-2</v>
          </cell>
          <cell r="J269">
            <v>-5.0190563920593512E-4</v>
          </cell>
        </row>
        <row r="270">
          <cell r="E270">
            <v>1725</v>
          </cell>
          <cell r="F270">
            <v>-4.9484392106021291E-2</v>
          </cell>
          <cell r="G270">
            <v>-2.7733949150100634E-2</v>
          </cell>
          <cell r="H270">
            <v>-5.9835061941800882E-3</v>
          </cell>
          <cell r="I270">
            <v>1.5766936761740347E-2</v>
          </cell>
          <cell r="J270">
            <v>3.7517379717660893E-2</v>
          </cell>
        </row>
        <row r="271">
          <cell r="E271">
            <v>1875</v>
          </cell>
          <cell r="F271">
            <v>-1.5389998711125008E-2</v>
          </cell>
          <cell r="G271">
            <v>7.341667235288174E-3</v>
          </cell>
          <cell r="H271">
            <v>3.0073333181701134E-2</v>
          </cell>
          <cell r="I271">
            <v>5.2804999128114316E-2</v>
          </cell>
          <cell r="J271">
            <v>7.5536665074527498E-2</v>
          </cell>
        </row>
        <row r="272">
          <cell r="E272">
            <v>2025</v>
          </cell>
          <cell r="F272">
            <v>1.8704394683771053E-2</v>
          </cell>
          <cell r="G272">
            <v>4.2417283620676649E-2</v>
          </cell>
          <cell r="H272">
            <v>6.6130172557582467E-2</v>
          </cell>
          <cell r="I272">
            <v>8.9843061494488508E-2</v>
          </cell>
          <cell r="J272">
            <v>0.11355595043139433</v>
          </cell>
        </row>
        <row r="280">
          <cell r="U280" t="str">
            <v>x</v>
          </cell>
        </row>
        <row r="357">
          <cell r="C357" t="str">
            <v>figures in millions</v>
          </cell>
          <cell r="D357">
            <v>2013</v>
          </cell>
          <cell r="E357">
            <v>2014</v>
          </cell>
          <cell r="F357" t="str">
            <v>2015E</v>
          </cell>
          <cell r="G357" t="str">
            <v>2016E</v>
          </cell>
          <cell r="H357" t="str">
            <v>2017E</v>
          </cell>
          <cell r="I357" t="str">
            <v>2018E</v>
          </cell>
          <cell r="K357" t="str">
            <v>CAGR</v>
          </cell>
        </row>
        <row r="358">
          <cell r="C358" t="str">
            <v>Local advertising revenue</v>
          </cell>
          <cell r="D358">
            <v>192.88499999999999</v>
          </cell>
          <cell r="E358">
            <v>319.11699999999996</v>
          </cell>
          <cell r="F358">
            <v>448.29999999999995</v>
          </cell>
          <cell r="G358">
            <v>629.86531238515101</v>
          </cell>
          <cell r="H358">
            <v>796.15525163352913</v>
          </cell>
          <cell r="I358">
            <v>966.78566760001559</v>
          </cell>
          <cell r="K358">
            <v>0.38040444670195939</v>
          </cell>
        </row>
        <row r="359">
          <cell r="C359" t="str">
            <v>Other</v>
          </cell>
          <cell r="D359">
            <v>40.10299999999998</v>
          </cell>
          <cell r="E359">
            <v>58.418999999999983</v>
          </cell>
          <cell r="F359">
            <v>101.41100000000006</v>
          </cell>
          <cell r="G359">
            <v>84.50549999999987</v>
          </cell>
          <cell r="H359">
            <v>111.71662500000002</v>
          </cell>
          <cell r="I359">
            <v>142.57521250000013</v>
          </cell>
          <cell r="K359">
            <v>0.28876410963653942</v>
          </cell>
        </row>
        <row r="360">
          <cell r="C360" t="str">
            <v>Total revenue</v>
          </cell>
          <cell r="D360">
            <v>232.98799999999997</v>
          </cell>
          <cell r="E360">
            <v>377.53599999999994</v>
          </cell>
          <cell r="F360">
            <v>549.71100000000001</v>
          </cell>
          <cell r="G360">
            <v>714.37081238515088</v>
          </cell>
          <cell r="H360">
            <v>907.87187663352915</v>
          </cell>
          <cell r="I360">
            <v>1109.3608801000157</v>
          </cell>
          <cell r="K360">
            <v>0.36630563268736061</v>
          </cell>
        </row>
        <row r="362">
          <cell r="C362" t="str">
            <v>Contribution to growth</v>
          </cell>
        </row>
        <row r="363">
          <cell r="C363" t="str">
            <v>Local advertising revenue</v>
          </cell>
          <cell r="D363">
            <v>0.87743916497243857</v>
          </cell>
          <cell r="E363">
            <v>0.84526243854890659</v>
          </cell>
          <cell r="F363">
            <v>0.81551942748098538</v>
          </cell>
          <cell r="G363">
            <v>0.88170639318556177</v>
          </cell>
          <cell r="H363">
            <v>0.87694670594461488</v>
          </cell>
          <cell r="I363">
            <v>0.87147986281331091</v>
          </cell>
        </row>
        <row r="364">
          <cell r="C364" t="str">
            <v>Other</v>
          </cell>
          <cell r="D364">
            <v>0.12256083502756145</v>
          </cell>
          <cell r="E364">
            <v>0.15473756145109338</v>
          </cell>
          <cell r="F364">
            <v>0.18448057251901465</v>
          </cell>
          <cell r="G364">
            <v>0.11829360681443825</v>
          </cell>
          <cell r="H364">
            <v>0.12305329405538516</v>
          </cell>
          <cell r="I364">
            <v>0.12852013718668906</v>
          </cell>
        </row>
        <row r="365">
          <cell r="C365" t="str">
            <v>Total revenue</v>
          </cell>
          <cell r="D365">
            <v>1</v>
          </cell>
          <cell r="E365">
            <v>1</v>
          </cell>
          <cell r="F365">
            <v>1</v>
          </cell>
          <cell r="G365">
            <v>1</v>
          </cell>
          <cell r="H365">
            <v>1</v>
          </cell>
          <cell r="I365">
            <v>1</v>
          </cell>
        </row>
        <row r="390">
          <cell r="D390">
            <v>2014</v>
          </cell>
          <cell r="E390" t="str">
            <v>2015E</v>
          </cell>
          <cell r="F390" t="str">
            <v>2016E</v>
          </cell>
          <cell r="G390" t="str">
            <v>2017E</v>
          </cell>
          <cell r="H390" t="str">
            <v>2018E</v>
          </cell>
        </row>
        <row r="391">
          <cell r="C391" t="str">
            <v>Average Local Revenue per Business Account</v>
          </cell>
          <cell r="D391">
            <v>330.55417443546713</v>
          </cell>
          <cell r="E391">
            <v>346.87403280718036</v>
          </cell>
          <cell r="F391">
            <v>0</v>
          </cell>
          <cell r="G391">
            <v>0</v>
          </cell>
          <cell r="H391">
            <v>0</v>
          </cell>
        </row>
        <row r="392">
          <cell r="C392" t="str">
            <v>% change Y/Y</v>
          </cell>
          <cell r="D392">
            <v>0.10021919790325784</v>
          </cell>
          <cell r="E392">
            <v>4.9371206397816225E-2</v>
          </cell>
          <cell r="F392">
            <v>0</v>
          </cell>
          <cell r="G392">
            <v>0</v>
          </cell>
          <cell r="H392">
            <v>0</v>
          </cell>
        </row>
        <row r="394">
          <cell r="C394" t="str">
            <v>Local Advertising Account per Sales Rep</v>
          </cell>
          <cell r="D394">
            <v>70.716981132075475</v>
          </cell>
          <cell r="E394">
            <v>64.906666666666666</v>
          </cell>
          <cell r="F394">
            <v>0</v>
          </cell>
          <cell r="G394">
            <v>0</v>
          </cell>
          <cell r="H394">
            <v>0</v>
          </cell>
        </row>
        <row r="395">
          <cell r="C395" t="str">
            <v>% change Y/Y</v>
          </cell>
          <cell r="D395">
            <v>-1.1842534358257666</v>
          </cell>
          <cell r="E395">
            <v>-5.8103144654088084</v>
          </cell>
          <cell r="F395">
            <v>0</v>
          </cell>
          <cell r="G395">
            <v>0</v>
          </cell>
          <cell r="H395">
            <v>0</v>
          </cell>
        </row>
        <row r="502">
          <cell r="C502" t="str">
            <v>Estimate Change</v>
          </cell>
          <cell r="D502" t="str">
            <v>2Q 2015E</v>
          </cell>
          <cell r="E502" t="str">
            <v>2015E</v>
          </cell>
          <cell r="F502" t="str">
            <v>2016E</v>
          </cell>
        </row>
        <row r="503">
          <cell r="C503" t="str">
            <v>Total revenue (new)</v>
          </cell>
          <cell r="D503">
            <v>133.91300000000001</v>
          </cell>
          <cell r="E503">
            <v>549.71100000000001</v>
          </cell>
          <cell r="F503">
            <v>714.37081238515088</v>
          </cell>
        </row>
        <row r="504">
          <cell r="C504" t="str">
            <v>Total revenue (old)</v>
          </cell>
          <cell r="D504">
            <v>132.785</v>
          </cell>
          <cell r="E504">
            <v>570.81700000000001</v>
          </cell>
          <cell r="F504">
            <v>786.56699999999989</v>
          </cell>
        </row>
        <row r="505">
          <cell r="C505" t="str">
            <v>% Variance</v>
          </cell>
          <cell r="D505">
            <v>8.4949354219228113E-3</v>
          </cell>
          <cell r="E505">
            <v>-3.6975072571419521E-2</v>
          </cell>
          <cell r="F505">
            <v>-9.1786443640337056E-2</v>
          </cell>
        </row>
        <row r="507">
          <cell r="C507" t="str">
            <v>EBITDA, adjusted (new)</v>
          </cell>
          <cell r="D507">
            <v>22.733000000000004</v>
          </cell>
          <cell r="E507">
            <v>69.121999999999971</v>
          </cell>
          <cell r="F507">
            <v>103.01126434558957</v>
          </cell>
        </row>
        <row r="508">
          <cell r="C508" t="str">
            <v>EBITDA, adjusted (old)</v>
          </cell>
          <cell r="D508">
            <v>25.523616930519118</v>
          </cell>
          <cell r="E508">
            <v>102.15033216848046</v>
          </cell>
          <cell r="F508">
            <v>159.00944524034756</v>
          </cell>
        </row>
        <row r="509">
          <cell r="C509" t="str">
            <v>Variance</v>
          </cell>
          <cell r="D509">
            <v>-0.1093346972772623</v>
          </cell>
          <cell r="E509">
            <v>-0.32333063894501679</v>
          </cell>
          <cell r="F509">
            <v>-0.35216889669739471</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 val="B"/>
      <sheetName val="Ratios"/>
      <sheetName val="C"/>
      <sheetName val="summary"/>
      <sheetName val="Realizations vs Average"/>
      <sheetName val="rev change analysis"/>
      <sheetName val="Oil Consumption – barre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3.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4.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6.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81"/>
  <sheetViews>
    <sheetView showGridLines="0" tabSelected="1" workbookViewId="0">
      <selection activeCell="Z1" sqref="Z1"/>
    </sheetView>
  </sheetViews>
  <sheetFormatPr defaultRowHeight="12.75"/>
  <cols>
    <col min="1" max="1" width="25.7109375" style="2917" customWidth="1"/>
    <col min="2" max="5" width="9.140625" style="2917"/>
    <col min="6" max="6" width="18.7109375" style="2917" customWidth="1"/>
    <col min="7" max="256" width="9.140625" style="2917"/>
    <col min="257" max="257" width="100.7109375" style="2917" customWidth="1"/>
    <col min="258" max="512" width="9.140625" style="2917"/>
    <col min="513" max="513" width="100.7109375" style="2917" customWidth="1"/>
    <col min="514" max="768" width="9.140625" style="2917"/>
    <col min="769" max="769" width="100.7109375" style="2917" customWidth="1"/>
    <col min="770" max="1024" width="9.140625" style="2917"/>
    <col min="1025" max="1025" width="100.7109375" style="2917" customWidth="1"/>
    <col min="1026" max="1280" width="9.140625" style="2917"/>
    <col min="1281" max="1281" width="100.7109375" style="2917" customWidth="1"/>
    <col min="1282" max="1536" width="9.140625" style="2917"/>
    <col min="1537" max="1537" width="100.7109375" style="2917" customWidth="1"/>
    <col min="1538" max="1792" width="9.140625" style="2917"/>
    <col min="1793" max="1793" width="100.7109375" style="2917" customWidth="1"/>
    <col min="1794" max="2048" width="9.140625" style="2917"/>
    <col min="2049" max="2049" width="100.7109375" style="2917" customWidth="1"/>
    <col min="2050" max="2304" width="9.140625" style="2917"/>
    <col min="2305" max="2305" width="100.7109375" style="2917" customWidth="1"/>
    <col min="2306" max="2560" width="9.140625" style="2917"/>
    <col min="2561" max="2561" width="100.7109375" style="2917" customWidth="1"/>
    <col min="2562" max="2816" width="9.140625" style="2917"/>
    <col min="2817" max="2817" width="100.7109375" style="2917" customWidth="1"/>
    <col min="2818" max="3072" width="9.140625" style="2917"/>
    <col min="3073" max="3073" width="100.7109375" style="2917" customWidth="1"/>
    <col min="3074" max="3328" width="9.140625" style="2917"/>
    <col min="3329" max="3329" width="100.7109375" style="2917" customWidth="1"/>
    <col min="3330" max="3584" width="9.140625" style="2917"/>
    <col min="3585" max="3585" width="100.7109375" style="2917" customWidth="1"/>
    <col min="3586" max="3840" width="9.140625" style="2917"/>
    <col min="3841" max="3841" width="100.7109375" style="2917" customWidth="1"/>
    <col min="3842" max="4096" width="9.140625" style="2917"/>
    <col min="4097" max="4097" width="100.7109375" style="2917" customWidth="1"/>
    <col min="4098" max="4352" width="9.140625" style="2917"/>
    <col min="4353" max="4353" width="100.7109375" style="2917" customWidth="1"/>
    <col min="4354" max="4608" width="9.140625" style="2917"/>
    <col min="4609" max="4609" width="100.7109375" style="2917" customWidth="1"/>
    <col min="4610" max="4864" width="9.140625" style="2917"/>
    <col min="4865" max="4865" width="100.7109375" style="2917" customWidth="1"/>
    <col min="4866" max="5120" width="9.140625" style="2917"/>
    <col min="5121" max="5121" width="100.7109375" style="2917" customWidth="1"/>
    <col min="5122" max="5376" width="9.140625" style="2917"/>
    <col min="5377" max="5377" width="100.7109375" style="2917" customWidth="1"/>
    <col min="5378" max="5632" width="9.140625" style="2917"/>
    <col min="5633" max="5633" width="100.7109375" style="2917" customWidth="1"/>
    <col min="5634" max="5888" width="9.140625" style="2917"/>
    <col min="5889" max="5889" width="100.7109375" style="2917" customWidth="1"/>
    <col min="5890" max="6144" width="9.140625" style="2917"/>
    <col min="6145" max="6145" width="100.7109375" style="2917" customWidth="1"/>
    <col min="6146" max="6400" width="9.140625" style="2917"/>
    <col min="6401" max="6401" width="100.7109375" style="2917" customWidth="1"/>
    <col min="6402" max="6656" width="9.140625" style="2917"/>
    <col min="6657" max="6657" width="100.7109375" style="2917" customWidth="1"/>
    <col min="6658" max="6912" width="9.140625" style="2917"/>
    <col min="6913" max="6913" width="100.7109375" style="2917" customWidth="1"/>
    <col min="6914" max="7168" width="9.140625" style="2917"/>
    <col min="7169" max="7169" width="100.7109375" style="2917" customWidth="1"/>
    <col min="7170" max="7424" width="9.140625" style="2917"/>
    <col min="7425" max="7425" width="100.7109375" style="2917" customWidth="1"/>
    <col min="7426" max="7680" width="9.140625" style="2917"/>
    <col min="7681" max="7681" width="100.7109375" style="2917" customWidth="1"/>
    <col min="7682" max="7936" width="9.140625" style="2917"/>
    <col min="7937" max="7937" width="100.7109375" style="2917" customWidth="1"/>
    <col min="7938" max="8192" width="9.140625" style="2917"/>
    <col min="8193" max="8193" width="100.7109375" style="2917" customWidth="1"/>
    <col min="8194" max="8448" width="9.140625" style="2917"/>
    <col min="8449" max="8449" width="100.7109375" style="2917" customWidth="1"/>
    <col min="8450" max="8704" width="9.140625" style="2917"/>
    <col min="8705" max="8705" width="100.7109375" style="2917" customWidth="1"/>
    <col min="8706" max="8960" width="9.140625" style="2917"/>
    <col min="8961" max="8961" width="100.7109375" style="2917" customWidth="1"/>
    <col min="8962" max="9216" width="9.140625" style="2917"/>
    <col min="9217" max="9217" width="100.7109375" style="2917" customWidth="1"/>
    <col min="9218" max="9472" width="9.140625" style="2917"/>
    <col min="9473" max="9473" width="100.7109375" style="2917" customWidth="1"/>
    <col min="9474" max="9728" width="9.140625" style="2917"/>
    <col min="9729" max="9729" width="100.7109375" style="2917" customWidth="1"/>
    <col min="9730" max="9984" width="9.140625" style="2917"/>
    <col min="9985" max="9985" width="100.7109375" style="2917" customWidth="1"/>
    <col min="9986" max="10240" width="9.140625" style="2917"/>
    <col min="10241" max="10241" width="100.7109375" style="2917" customWidth="1"/>
    <col min="10242" max="10496" width="9.140625" style="2917"/>
    <col min="10497" max="10497" width="100.7109375" style="2917" customWidth="1"/>
    <col min="10498" max="10752" width="9.140625" style="2917"/>
    <col min="10753" max="10753" width="100.7109375" style="2917" customWidth="1"/>
    <col min="10754" max="11008" width="9.140625" style="2917"/>
    <col min="11009" max="11009" width="100.7109375" style="2917" customWidth="1"/>
    <col min="11010" max="11264" width="9.140625" style="2917"/>
    <col min="11265" max="11265" width="100.7109375" style="2917" customWidth="1"/>
    <col min="11266" max="11520" width="9.140625" style="2917"/>
    <col min="11521" max="11521" width="100.7109375" style="2917" customWidth="1"/>
    <col min="11522" max="11776" width="9.140625" style="2917"/>
    <col min="11777" max="11777" width="100.7109375" style="2917" customWidth="1"/>
    <col min="11778" max="12032" width="9.140625" style="2917"/>
    <col min="12033" max="12033" width="100.7109375" style="2917" customWidth="1"/>
    <col min="12034" max="12288" width="9.140625" style="2917"/>
    <col min="12289" max="12289" width="100.7109375" style="2917" customWidth="1"/>
    <col min="12290" max="12544" width="9.140625" style="2917"/>
    <col min="12545" max="12545" width="100.7109375" style="2917" customWidth="1"/>
    <col min="12546" max="12800" width="9.140625" style="2917"/>
    <col min="12801" max="12801" width="100.7109375" style="2917" customWidth="1"/>
    <col min="12802" max="13056" width="9.140625" style="2917"/>
    <col min="13057" max="13057" width="100.7109375" style="2917" customWidth="1"/>
    <col min="13058" max="13312" width="9.140625" style="2917"/>
    <col min="13313" max="13313" width="100.7109375" style="2917" customWidth="1"/>
    <col min="13314" max="13568" width="9.140625" style="2917"/>
    <col min="13569" max="13569" width="100.7109375" style="2917" customWidth="1"/>
    <col min="13570" max="13824" width="9.140625" style="2917"/>
    <col min="13825" max="13825" width="100.7109375" style="2917" customWidth="1"/>
    <col min="13826" max="14080" width="9.140625" style="2917"/>
    <col min="14081" max="14081" width="100.7109375" style="2917" customWidth="1"/>
    <col min="14082" max="14336" width="9.140625" style="2917"/>
    <col min="14337" max="14337" width="100.7109375" style="2917" customWidth="1"/>
    <col min="14338" max="14592" width="9.140625" style="2917"/>
    <col min="14593" max="14593" width="100.7109375" style="2917" customWidth="1"/>
    <col min="14594" max="14848" width="9.140625" style="2917"/>
    <col min="14849" max="14849" width="100.7109375" style="2917" customWidth="1"/>
    <col min="14850" max="15104" width="9.140625" style="2917"/>
    <col min="15105" max="15105" width="100.7109375" style="2917" customWidth="1"/>
    <col min="15106" max="15360" width="9.140625" style="2917"/>
    <col min="15361" max="15361" width="100.7109375" style="2917" customWidth="1"/>
    <col min="15362" max="15616" width="9.140625" style="2917"/>
    <col min="15617" max="15617" width="100.7109375" style="2917" customWidth="1"/>
    <col min="15618" max="15872" width="9.140625" style="2917"/>
    <col min="15873" max="15873" width="100.7109375" style="2917" customWidth="1"/>
    <col min="15874" max="16128" width="9.140625" style="2917"/>
    <col min="16129" max="16129" width="100.7109375" style="2917" customWidth="1"/>
    <col min="16130" max="16384" width="9.140625" style="2917"/>
  </cols>
  <sheetData>
    <row r="1" spans="1:8" ht="30" customHeight="1">
      <c r="A1" s="2915"/>
      <c r="B1" s="2916"/>
      <c r="C1" s="2916"/>
      <c r="D1" s="2916"/>
      <c r="E1" s="2916"/>
      <c r="F1" s="2916"/>
      <c r="G1" s="2916"/>
      <c r="H1" s="2916"/>
    </row>
    <row r="2" spans="1:8" ht="14.25">
      <c r="A2" s="2918" t="s">
        <v>720</v>
      </c>
      <c r="B2" s="2916"/>
      <c r="C2" s="2916"/>
      <c r="D2" s="2916"/>
      <c r="E2" s="2916"/>
      <c r="F2" s="2916"/>
      <c r="G2" s="2916"/>
      <c r="H2" s="2916"/>
    </row>
    <row r="3" spans="1:8" ht="14.25">
      <c r="A3" s="2918" t="s">
        <v>721</v>
      </c>
      <c r="B3" s="2916"/>
      <c r="C3" s="2916"/>
      <c r="D3" s="2916"/>
      <c r="E3" s="2916"/>
      <c r="F3" s="2916"/>
      <c r="G3" s="2916"/>
      <c r="H3" s="2916"/>
    </row>
    <row r="4" spans="1:8" ht="14.25">
      <c r="A4" s="2918" t="s">
        <v>338</v>
      </c>
      <c r="B4" s="2916"/>
      <c r="C4" s="2916"/>
      <c r="D4" s="2916"/>
      <c r="E4" s="2916"/>
      <c r="F4" s="2916"/>
      <c r="G4" s="2916"/>
      <c r="H4" s="2916"/>
    </row>
    <row r="5" spans="1:8" ht="14.25">
      <c r="A5" s="2918" t="s">
        <v>722</v>
      </c>
      <c r="B5" s="2916"/>
      <c r="C5" s="2916"/>
      <c r="D5" s="2916"/>
      <c r="E5" s="2916"/>
      <c r="F5" s="2916"/>
      <c r="G5" s="2916"/>
      <c r="H5" s="2916"/>
    </row>
    <row r="6" spans="1:8" ht="14.25">
      <c r="A6" s="2918"/>
      <c r="B6" s="2916"/>
      <c r="C6" s="2916"/>
      <c r="D6" s="2916"/>
      <c r="E6" s="2916"/>
      <c r="F6" s="2916"/>
      <c r="G6" s="2916"/>
      <c r="H6" s="2916"/>
    </row>
    <row r="7" spans="1:8">
      <c r="A7" s="2915" t="s">
        <v>723</v>
      </c>
      <c r="B7" s="2916"/>
      <c r="C7" s="2916"/>
      <c r="D7" s="2916"/>
      <c r="E7" s="2916"/>
      <c r="F7" s="2916"/>
      <c r="G7" s="2916"/>
      <c r="H7" s="2916"/>
    </row>
    <row r="8" spans="1:8">
      <c r="A8" s="2915" t="s">
        <v>724</v>
      </c>
      <c r="B8" s="2916"/>
      <c r="C8" s="2916"/>
      <c r="D8" s="2916"/>
      <c r="E8" s="2916"/>
      <c r="F8" s="2916"/>
      <c r="G8" s="2916"/>
      <c r="H8" s="2916"/>
    </row>
    <row r="9" spans="1:8">
      <c r="A9" s="2915"/>
      <c r="B9" s="2916"/>
      <c r="C9" s="2916"/>
      <c r="D9" s="2916"/>
      <c r="E9" s="2916"/>
      <c r="F9" s="2916"/>
      <c r="G9" s="2916"/>
      <c r="H9" s="2916"/>
    </row>
    <row r="10" spans="1:8">
      <c r="A10" s="2919" t="s">
        <v>725</v>
      </c>
      <c r="B10" s="2916"/>
      <c r="C10" s="2916"/>
      <c r="D10" s="2916"/>
      <c r="E10" s="2916"/>
      <c r="F10" s="2916"/>
      <c r="G10" s="2916"/>
      <c r="H10" s="2916"/>
    </row>
    <row r="11" spans="1:8">
      <c r="A11" s="2919" t="s">
        <v>726</v>
      </c>
      <c r="B11" s="2916"/>
      <c r="C11" s="2916"/>
      <c r="D11" s="2916"/>
      <c r="E11" s="2916"/>
      <c r="F11" s="2916"/>
      <c r="G11" s="2916"/>
      <c r="H11" s="2916"/>
    </row>
    <row r="12" spans="1:8">
      <c r="A12" s="2919" t="s">
        <v>727</v>
      </c>
      <c r="B12" s="2916"/>
      <c r="C12" s="2916"/>
      <c r="D12" s="2916"/>
      <c r="E12" s="2916"/>
      <c r="F12" s="2916"/>
      <c r="G12" s="2916"/>
      <c r="H12" s="2916"/>
    </row>
    <row r="13" spans="1:8">
      <c r="A13" s="2919" t="s">
        <v>728</v>
      </c>
      <c r="B13" s="2916"/>
      <c r="C13" s="2916"/>
      <c r="D13" s="2916"/>
      <c r="E13" s="2916"/>
      <c r="F13" s="2916"/>
      <c r="G13" s="2916"/>
      <c r="H13" s="2916"/>
    </row>
    <row r="14" spans="1:8">
      <c r="A14" s="2919" t="s">
        <v>729</v>
      </c>
      <c r="B14" s="2916"/>
      <c r="C14" s="2916"/>
      <c r="D14" s="2916"/>
      <c r="E14" s="2916"/>
      <c r="F14" s="2916"/>
      <c r="G14" s="2916"/>
      <c r="H14" s="2916"/>
    </row>
    <row r="15" spans="1:8">
      <c r="A15" s="2919" t="s">
        <v>730</v>
      </c>
      <c r="B15" s="2916"/>
      <c r="C15" s="2916"/>
      <c r="D15" s="2916"/>
      <c r="E15" s="2916"/>
      <c r="F15" s="2916"/>
      <c r="G15" s="2916"/>
      <c r="H15" s="2916"/>
    </row>
    <row r="16" spans="1:8">
      <c r="A16" s="2919"/>
      <c r="B16" s="2916"/>
      <c r="C16" s="2916"/>
      <c r="D16" s="2916"/>
      <c r="E16" s="2916"/>
      <c r="F16" s="2916"/>
      <c r="G16" s="2916"/>
      <c r="H16" s="2916"/>
    </row>
    <row r="17" spans="1:8">
      <c r="A17" s="2919" t="s">
        <v>717</v>
      </c>
      <c r="B17" s="2916"/>
      <c r="C17" s="2916"/>
      <c r="D17" s="2916"/>
      <c r="E17" s="2916"/>
      <c r="F17" s="2916"/>
      <c r="G17" s="2916"/>
      <c r="H17" s="2916"/>
    </row>
    <row r="18" spans="1:8">
      <c r="A18" s="2919"/>
      <c r="B18" s="2916"/>
      <c r="C18" s="2916"/>
      <c r="D18" s="2916"/>
      <c r="E18" s="2916"/>
      <c r="F18" s="2916"/>
      <c r="G18" s="2916"/>
      <c r="H18" s="2916"/>
    </row>
    <row r="19" spans="1:8">
      <c r="A19" s="2919" t="s">
        <v>718</v>
      </c>
      <c r="B19" s="2916"/>
      <c r="C19" s="2916"/>
      <c r="D19" s="2916"/>
      <c r="E19" s="2916"/>
      <c r="F19" s="2916"/>
      <c r="G19" s="2916"/>
      <c r="H19" s="2916"/>
    </row>
    <row r="20" spans="1:8">
      <c r="A20" s="2915"/>
      <c r="B20" s="2916"/>
      <c r="C20" s="2916"/>
      <c r="D20" s="2916"/>
      <c r="E20" s="2916"/>
      <c r="F20" s="2916"/>
      <c r="G20" s="2916"/>
      <c r="H20" s="2916"/>
    </row>
    <row r="21" spans="1:8">
      <c r="A21" s="2920" t="s">
        <v>719</v>
      </c>
      <c r="B21" s="2916"/>
      <c r="C21" s="2916"/>
      <c r="D21" s="2916"/>
      <c r="E21" s="2916"/>
      <c r="F21" s="2916"/>
      <c r="G21" s="2916"/>
      <c r="H21" s="2916"/>
    </row>
    <row r="22" spans="1:8">
      <c r="A22" s="2921"/>
      <c r="B22" s="2921"/>
      <c r="C22" s="2921"/>
      <c r="D22" s="2921"/>
      <c r="E22" s="2921"/>
      <c r="F22" s="2921"/>
      <c r="G22" s="2921"/>
      <c r="H22" s="2921"/>
    </row>
    <row r="23" spans="1:8">
      <c r="A23" s="2922" t="s">
        <v>1002</v>
      </c>
      <c r="B23" s="2921"/>
      <c r="C23" s="2921"/>
      <c r="D23" s="2921"/>
      <c r="E23" s="2921"/>
      <c r="F23" s="2921"/>
      <c r="G23" s="2921"/>
      <c r="H23" s="2921"/>
    </row>
    <row r="24" spans="1:8">
      <c r="A24" s="2922" t="s">
        <v>1003</v>
      </c>
      <c r="B24" s="2921"/>
      <c r="C24" s="2921"/>
      <c r="D24" s="2921"/>
      <c r="E24" s="2921"/>
      <c r="F24" s="2921"/>
      <c r="G24" s="2921"/>
      <c r="H24" s="2921"/>
    </row>
    <row r="25" spans="1:8">
      <c r="A25" s="2922" t="s">
        <v>1004</v>
      </c>
      <c r="B25" s="2921"/>
      <c r="C25" s="2921"/>
      <c r="D25" s="2921"/>
      <c r="E25" s="2921"/>
      <c r="F25" s="2921"/>
      <c r="G25" s="2921"/>
      <c r="H25" s="2921"/>
    </row>
    <row r="26" spans="1:8">
      <c r="A26" s="2922" t="s">
        <v>1005</v>
      </c>
      <c r="B26" s="2921"/>
      <c r="C26" s="2921"/>
      <c r="D26" s="2921"/>
      <c r="E26" s="2921"/>
      <c r="F26" s="2921"/>
      <c r="G26" s="2921"/>
      <c r="H26" s="2921"/>
    </row>
    <row r="27" spans="1:8">
      <c r="A27" s="2921"/>
      <c r="B27" s="2921"/>
      <c r="C27" s="2921"/>
      <c r="D27" s="2921"/>
      <c r="E27" s="2921"/>
      <c r="F27" s="2921"/>
      <c r="G27" s="2921"/>
      <c r="H27" s="2921"/>
    </row>
    <row r="28" spans="1:8">
      <c r="A28" s="2921"/>
      <c r="B28" s="2921"/>
      <c r="C28" s="2921"/>
      <c r="D28" s="2921"/>
      <c r="E28" s="2921"/>
      <c r="F28" s="2921"/>
      <c r="G28" s="2921"/>
      <c r="H28" s="2921"/>
    </row>
    <row r="29" spans="1:8">
      <c r="A29" s="2922" t="s">
        <v>997</v>
      </c>
      <c r="B29" s="2921"/>
      <c r="C29" s="2921"/>
      <c r="D29" s="2921"/>
      <c r="E29" s="2921"/>
      <c r="F29" s="2921"/>
      <c r="G29" s="2921"/>
      <c r="H29" s="2921"/>
    </row>
    <row r="30" spans="1:8">
      <c r="A30" s="2922" t="s">
        <v>998</v>
      </c>
      <c r="B30" s="2921"/>
      <c r="C30" s="2921"/>
      <c r="D30" s="2921"/>
      <c r="E30" s="2921"/>
      <c r="F30" s="2921"/>
      <c r="G30" s="2921"/>
      <c r="H30" s="2921"/>
    </row>
    <row r="31" spans="1:8">
      <c r="A31" s="2922" t="s">
        <v>999</v>
      </c>
      <c r="B31" s="2921"/>
      <c r="C31" s="2921"/>
      <c r="D31" s="2921"/>
      <c r="E31" s="2921"/>
      <c r="F31" s="2921"/>
      <c r="G31" s="2921"/>
      <c r="H31" s="2921"/>
    </row>
    <row r="32" spans="1:8">
      <c r="A32" s="2922" t="s">
        <v>1000</v>
      </c>
      <c r="B32" s="2921"/>
      <c r="C32" s="2921"/>
      <c r="D32" s="2921"/>
      <c r="E32" s="2921"/>
      <c r="F32" s="2921"/>
      <c r="G32" s="2921"/>
      <c r="H32" s="2921"/>
    </row>
    <row r="33" spans="1:8">
      <c r="A33" s="2922" t="s">
        <v>1001</v>
      </c>
      <c r="B33" s="2921"/>
      <c r="C33" s="2921"/>
      <c r="D33" s="2921"/>
      <c r="E33" s="2921"/>
      <c r="F33" s="2921"/>
      <c r="G33" s="2921"/>
      <c r="H33" s="2921"/>
    </row>
    <row r="34" spans="1:8">
      <c r="A34" s="2921"/>
      <c r="B34" s="2921"/>
      <c r="C34" s="2921"/>
      <c r="D34" s="2921"/>
      <c r="E34" s="2921"/>
      <c r="F34" s="2921"/>
      <c r="G34" s="2921"/>
      <c r="H34" s="2921"/>
    </row>
    <row r="35" spans="1:8">
      <c r="A35" s="2922" t="s">
        <v>993</v>
      </c>
      <c r="B35" s="2921"/>
      <c r="C35" s="2921"/>
      <c r="D35" s="2921"/>
      <c r="E35" s="2921"/>
      <c r="F35" s="2921"/>
      <c r="G35" s="2921"/>
      <c r="H35" s="2921"/>
    </row>
    <row r="36" spans="1:8">
      <c r="A36" s="2922" t="s">
        <v>994</v>
      </c>
      <c r="B36" s="2921"/>
      <c r="C36" s="2921"/>
      <c r="D36" s="2921"/>
      <c r="E36" s="2921"/>
      <c r="F36" s="2921"/>
      <c r="G36" s="2921"/>
      <c r="H36" s="2921"/>
    </row>
    <row r="37" spans="1:8">
      <c r="A37" s="2922" t="s">
        <v>995</v>
      </c>
      <c r="B37" s="2921"/>
      <c r="C37" s="2921"/>
      <c r="D37" s="2921"/>
      <c r="E37" s="2921"/>
      <c r="F37" s="2921"/>
      <c r="G37" s="2921"/>
      <c r="H37" s="2921"/>
    </row>
    <row r="38" spans="1:8">
      <c r="A38" s="2922" t="s">
        <v>996</v>
      </c>
      <c r="B38" s="2921"/>
      <c r="C38" s="2921"/>
      <c r="D38" s="2921"/>
      <c r="E38" s="2921"/>
      <c r="F38" s="2921"/>
      <c r="G38" s="2921"/>
      <c r="H38" s="2921"/>
    </row>
    <row r="39" spans="1:8">
      <c r="A39" s="2921"/>
      <c r="B39" s="2921"/>
      <c r="C39" s="2921"/>
      <c r="D39" s="2921"/>
      <c r="E39" s="2921"/>
      <c r="F39" s="2921"/>
      <c r="G39" s="2921"/>
      <c r="H39" s="2921"/>
    </row>
    <row r="40" spans="1:8">
      <c r="A40" s="2922" t="s">
        <v>987</v>
      </c>
      <c r="B40" s="2921"/>
      <c r="C40" s="2921"/>
      <c r="D40" s="2921"/>
      <c r="E40" s="2921"/>
      <c r="F40" s="2921"/>
      <c r="G40" s="2921"/>
      <c r="H40" s="2921"/>
    </row>
    <row r="41" spans="1:8">
      <c r="A41" s="2922" t="s">
        <v>988</v>
      </c>
      <c r="B41" s="2921"/>
      <c r="C41" s="2921"/>
      <c r="D41" s="2921"/>
      <c r="E41" s="2921"/>
      <c r="F41" s="2921"/>
      <c r="G41" s="2921"/>
      <c r="H41" s="2921"/>
    </row>
    <row r="42" spans="1:8">
      <c r="A42" s="2922" t="s">
        <v>989</v>
      </c>
      <c r="B42" s="2921"/>
      <c r="C42" s="2921"/>
      <c r="D42" s="2921"/>
      <c r="E42" s="2921"/>
      <c r="F42" s="2921"/>
      <c r="G42" s="2921"/>
      <c r="H42" s="2921"/>
    </row>
    <row r="43" spans="1:8">
      <c r="A43" s="2922" t="s">
        <v>990</v>
      </c>
      <c r="B43" s="2921"/>
      <c r="C43" s="2921"/>
      <c r="D43" s="2921"/>
      <c r="E43" s="2921"/>
      <c r="F43" s="2921"/>
      <c r="G43" s="2921"/>
      <c r="H43" s="2921"/>
    </row>
    <row r="44" spans="1:8">
      <c r="A44" s="2922" t="s">
        <v>991</v>
      </c>
      <c r="B44" s="2921"/>
      <c r="C44" s="2921"/>
      <c r="D44" s="2921"/>
      <c r="E44" s="2921"/>
      <c r="F44" s="2921"/>
      <c r="G44" s="2921"/>
      <c r="H44" s="2921"/>
    </row>
    <row r="45" spans="1:8">
      <c r="A45" s="2922" t="s">
        <v>992</v>
      </c>
      <c r="B45" s="2921"/>
      <c r="C45" s="2921"/>
      <c r="D45" s="2921"/>
      <c r="E45" s="2921"/>
      <c r="F45" s="2921"/>
      <c r="G45" s="2921"/>
      <c r="H45" s="2921"/>
    </row>
    <row r="46" spans="1:8">
      <c r="A46" s="2921"/>
      <c r="B46" s="2921"/>
      <c r="C46" s="2921"/>
      <c r="D46" s="2921"/>
      <c r="E46" s="2921"/>
      <c r="F46" s="2921"/>
      <c r="G46" s="2921"/>
      <c r="H46" s="2921"/>
    </row>
    <row r="47" spans="1:8" ht="15.75">
      <c r="A47" s="2923" t="s">
        <v>731</v>
      </c>
      <c r="B47" s="2921"/>
      <c r="C47" s="2921"/>
      <c r="D47" s="2921"/>
      <c r="E47" s="2921"/>
      <c r="F47" s="2921"/>
      <c r="G47" s="2921"/>
      <c r="H47" s="2921"/>
    </row>
    <row r="48" spans="1:8">
      <c r="A48" s="2921"/>
      <c r="B48" s="2921"/>
      <c r="C48" s="2921"/>
      <c r="D48" s="2921"/>
      <c r="E48" s="2921"/>
      <c r="F48" s="2921"/>
      <c r="G48" s="2921"/>
      <c r="H48" s="2921"/>
    </row>
    <row r="49" spans="1:8">
      <c r="A49" s="2922" t="s">
        <v>983</v>
      </c>
      <c r="B49" s="2921"/>
      <c r="C49" s="2921"/>
      <c r="D49" s="2921"/>
      <c r="E49" s="2921"/>
      <c r="F49" s="2921"/>
      <c r="G49" s="2921"/>
      <c r="H49" s="2921"/>
    </row>
    <row r="50" spans="1:8">
      <c r="A50" s="2922" t="s">
        <v>984</v>
      </c>
      <c r="B50" s="2921"/>
      <c r="C50" s="2921"/>
      <c r="D50" s="2921"/>
      <c r="E50" s="2921"/>
      <c r="F50" s="2921"/>
      <c r="G50" s="2921"/>
      <c r="H50" s="2921"/>
    </row>
    <row r="51" spans="1:8">
      <c r="A51" s="2922" t="s">
        <v>985</v>
      </c>
      <c r="B51" s="2921"/>
      <c r="C51" s="2921"/>
      <c r="D51" s="2921"/>
      <c r="E51" s="2921"/>
      <c r="F51" s="2921"/>
      <c r="G51" s="2921"/>
      <c r="H51" s="2921"/>
    </row>
    <row r="52" spans="1:8">
      <c r="A52" s="2922" t="s">
        <v>986</v>
      </c>
      <c r="B52" s="2921"/>
      <c r="C52" s="2921"/>
      <c r="D52" s="2921"/>
      <c r="E52" s="2921"/>
      <c r="F52" s="2921"/>
      <c r="G52" s="2921"/>
      <c r="H52" s="2921"/>
    </row>
    <row r="53" spans="1:8">
      <c r="A53" s="2921"/>
      <c r="B53" s="2921"/>
      <c r="C53" s="2921"/>
      <c r="D53" s="2921"/>
      <c r="E53" s="2921"/>
      <c r="F53" s="2921"/>
      <c r="G53" s="2921"/>
      <c r="H53" s="2921"/>
    </row>
    <row r="54" spans="1:8">
      <c r="A54" s="2922" t="s">
        <v>732</v>
      </c>
      <c r="B54" s="2921"/>
      <c r="C54" s="2921"/>
      <c r="D54" s="2921"/>
      <c r="E54" s="2921"/>
      <c r="F54" s="2921"/>
      <c r="G54" s="2921"/>
      <c r="H54" s="2921"/>
    </row>
    <row r="55" spans="1:8">
      <c r="A55" s="2921"/>
      <c r="B55" s="2921"/>
      <c r="C55" s="2921"/>
      <c r="D55" s="2921"/>
      <c r="E55" s="2921"/>
      <c r="F55" s="2921"/>
      <c r="G55" s="2921"/>
      <c r="H55" s="2921"/>
    </row>
    <row r="56" spans="1:8" ht="15.75">
      <c r="A56" s="2923" t="s">
        <v>733</v>
      </c>
      <c r="B56" s="2921"/>
      <c r="C56" s="2921"/>
      <c r="D56" s="2921"/>
      <c r="E56" s="2921"/>
      <c r="F56" s="2921"/>
      <c r="G56" s="2921"/>
      <c r="H56" s="2921"/>
    </row>
    <row r="57" spans="1:8">
      <c r="A57" s="2921"/>
      <c r="B57" s="2921"/>
      <c r="C57" s="2921"/>
      <c r="D57" s="2921"/>
      <c r="E57" s="2921"/>
      <c r="F57" s="2921"/>
      <c r="G57" s="2921"/>
      <c r="H57" s="2921"/>
    </row>
    <row r="58" spans="1:8">
      <c r="A58" s="2922" t="s">
        <v>981</v>
      </c>
      <c r="B58" s="2921"/>
      <c r="C58" s="2921"/>
      <c r="D58" s="2921"/>
      <c r="E58" s="2921"/>
      <c r="F58" s="2921"/>
      <c r="G58" s="2921"/>
      <c r="H58" s="2921"/>
    </row>
    <row r="59" spans="1:8">
      <c r="A59" s="2922" t="s">
        <v>982</v>
      </c>
      <c r="B59" s="2921"/>
      <c r="C59" s="2921"/>
      <c r="D59" s="2921"/>
      <c r="E59" s="2921"/>
      <c r="F59" s="2921"/>
      <c r="G59" s="2921"/>
      <c r="H59" s="2921"/>
    </row>
    <row r="60" spans="1:8">
      <c r="A60" s="2921"/>
      <c r="B60" s="2921"/>
      <c r="C60" s="2921"/>
      <c r="D60" s="2921"/>
      <c r="E60" s="2921"/>
      <c r="F60" s="2921"/>
      <c r="G60" s="2921"/>
      <c r="H60" s="2921"/>
    </row>
    <row r="61" spans="1:8" ht="15.75">
      <c r="A61" s="2923" t="s">
        <v>734</v>
      </c>
      <c r="B61" s="2921"/>
      <c r="C61" s="2921"/>
      <c r="D61" s="2921"/>
      <c r="E61" s="2921"/>
      <c r="F61" s="2921"/>
      <c r="G61" s="2921"/>
      <c r="H61" s="2921"/>
    </row>
    <row r="62" spans="1:8">
      <c r="A62" s="2921"/>
      <c r="B62" s="2921"/>
      <c r="C62" s="2921"/>
      <c r="D62" s="2921"/>
      <c r="E62" s="2921"/>
      <c r="F62" s="2921"/>
      <c r="G62" s="2921"/>
      <c r="H62" s="2921"/>
    </row>
    <row r="63" spans="1:8">
      <c r="A63" s="2922" t="s">
        <v>979</v>
      </c>
      <c r="B63" s="2921"/>
      <c r="C63" s="2921"/>
      <c r="D63" s="2921"/>
      <c r="E63" s="2921"/>
      <c r="F63" s="2921"/>
      <c r="G63" s="2921"/>
      <c r="H63" s="2921"/>
    </row>
    <row r="64" spans="1:8">
      <c r="A64" s="2922" t="s">
        <v>980</v>
      </c>
      <c r="B64" s="2921"/>
      <c r="C64" s="2921"/>
      <c r="D64" s="2921"/>
      <c r="E64" s="2921"/>
      <c r="F64" s="2921"/>
      <c r="G64" s="2921"/>
      <c r="H64" s="2921"/>
    </row>
    <row r="65" spans="1:8">
      <c r="A65" s="2921"/>
      <c r="B65" s="2921"/>
      <c r="C65" s="2921"/>
      <c r="D65" s="2921"/>
      <c r="E65" s="2921"/>
      <c r="F65" s="2921"/>
      <c r="G65" s="2921"/>
      <c r="H65" s="2921"/>
    </row>
    <row r="66" spans="1:8">
      <c r="A66" s="2922" t="s">
        <v>977</v>
      </c>
      <c r="B66" s="2921"/>
      <c r="C66" s="2921"/>
      <c r="D66" s="2921"/>
      <c r="E66" s="2921"/>
      <c r="F66" s="2921"/>
      <c r="G66" s="2921"/>
      <c r="H66" s="2921"/>
    </row>
    <row r="67" spans="1:8">
      <c r="A67" s="2922" t="s">
        <v>978</v>
      </c>
      <c r="B67" s="2921"/>
      <c r="C67" s="2921"/>
      <c r="D67" s="2921"/>
      <c r="E67" s="2921"/>
      <c r="F67" s="2921"/>
      <c r="G67" s="2921"/>
      <c r="H67" s="2921"/>
    </row>
    <row r="68" spans="1:8">
      <c r="A68" s="2921"/>
      <c r="B68" s="2921"/>
      <c r="C68" s="2921"/>
      <c r="D68" s="2921"/>
      <c r="E68" s="2921"/>
      <c r="F68" s="2921"/>
      <c r="G68" s="2921"/>
      <c r="H68" s="2921"/>
    </row>
    <row r="69" spans="1:8">
      <c r="A69" s="2922" t="s">
        <v>735</v>
      </c>
      <c r="B69" s="2921"/>
      <c r="C69" s="2921"/>
      <c r="D69" s="2921"/>
      <c r="E69" s="2921"/>
      <c r="F69" s="2921"/>
      <c r="G69" s="2921"/>
      <c r="H69" s="2921"/>
    </row>
    <row r="70" spans="1:8">
      <c r="A70" s="2921"/>
      <c r="B70" s="2921"/>
      <c r="C70" s="2921"/>
      <c r="D70" s="2921"/>
      <c r="E70" s="2921"/>
      <c r="F70" s="2921"/>
      <c r="G70" s="2921"/>
      <c r="H70" s="2921"/>
    </row>
    <row r="71" spans="1:8">
      <c r="A71" s="2922" t="s">
        <v>972</v>
      </c>
      <c r="B71" s="2921"/>
      <c r="C71" s="2921"/>
      <c r="D71" s="2921"/>
      <c r="E71" s="2921"/>
      <c r="F71" s="2921"/>
      <c r="G71" s="2921"/>
      <c r="H71" s="2921"/>
    </row>
    <row r="72" spans="1:8">
      <c r="A72" s="2922" t="s">
        <v>973</v>
      </c>
      <c r="B72" s="2921"/>
      <c r="C72" s="2921"/>
      <c r="D72" s="2921"/>
      <c r="E72" s="2921"/>
      <c r="F72" s="2921"/>
      <c r="G72" s="2921"/>
      <c r="H72" s="2921"/>
    </row>
    <row r="73" spans="1:8">
      <c r="A73" s="2922" t="s">
        <v>974</v>
      </c>
      <c r="B73" s="2921"/>
      <c r="C73" s="2921"/>
      <c r="D73" s="2921"/>
      <c r="E73" s="2921"/>
      <c r="F73" s="2921"/>
      <c r="G73" s="2921"/>
      <c r="H73" s="2921"/>
    </row>
    <row r="74" spans="1:8">
      <c r="A74" s="2922" t="s">
        <v>975</v>
      </c>
      <c r="B74" s="2921"/>
      <c r="C74" s="2921"/>
      <c r="D74" s="2921"/>
      <c r="E74" s="2921"/>
      <c r="F74" s="2921"/>
      <c r="G74" s="2921"/>
      <c r="H74" s="2921"/>
    </row>
    <row r="75" spans="1:8">
      <c r="A75" s="2922" t="s">
        <v>976</v>
      </c>
      <c r="B75" s="2921"/>
      <c r="C75" s="2921"/>
      <c r="D75" s="2921"/>
      <c r="E75" s="2921"/>
      <c r="F75" s="2921"/>
      <c r="G75" s="2921"/>
      <c r="H75" s="2921"/>
    </row>
    <row r="76" spans="1:8">
      <c r="A76" s="2922" t="s">
        <v>861</v>
      </c>
      <c r="B76" s="2921"/>
      <c r="C76" s="2921"/>
      <c r="D76" s="2921"/>
      <c r="E76" s="2921"/>
      <c r="F76" s="2921"/>
      <c r="G76" s="2921"/>
      <c r="H76" s="2921"/>
    </row>
    <row r="77" spans="1:8">
      <c r="A77" s="2921"/>
      <c r="B77" s="2921"/>
      <c r="C77" s="2921"/>
      <c r="D77" s="2921"/>
      <c r="E77" s="2921"/>
      <c r="F77" s="2921"/>
      <c r="G77" s="2921"/>
      <c r="H77" s="2921"/>
    </row>
    <row r="78" spans="1:8">
      <c r="A78" s="2922" t="s">
        <v>965</v>
      </c>
      <c r="B78" s="2921"/>
      <c r="C78" s="2921"/>
      <c r="D78" s="2921"/>
      <c r="E78" s="2921"/>
      <c r="F78" s="2921"/>
      <c r="G78" s="2921"/>
      <c r="H78" s="2921"/>
    </row>
    <row r="79" spans="1:8">
      <c r="A79" s="2922" t="s">
        <v>966</v>
      </c>
      <c r="B79" s="2921"/>
      <c r="C79" s="2921"/>
      <c r="D79" s="2921"/>
      <c r="E79" s="2921"/>
      <c r="F79" s="2921"/>
      <c r="G79" s="2921"/>
      <c r="H79" s="2921"/>
    </row>
    <row r="80" spans="1:8">
      <c r="A80" s="2922" t="s">
        <v>967</v>
      </c>
      <c r="B80" s="2921"/>
      <c r="C80" s="2921"/>
      <c r="D80" s="2921"/>
      <c r="E80" s="2921"/>
      <c r="F80" s="2921"/>
      <c r="G80" s="2921"/>
      <c r="H80" s="2921"/>
    </row>
    <row r="81" spans="1:8">
      <c r="A81" s="2922" t="s">
        <v>968</v>
      </c>
      <c r="B81" s="2921"/>
      <c r="C81" s="2921"/>
      <c r="D81" s="2921"/>
      <c r="E81" s="2921"/>
      <c r="F81" s="2921"/>
      <c r="G81" s="2921"/>
      <c r="H81" s="2921"/>
    </row>
    <row r="82" spans="1:8">
      <c r="A82" s="2922" t="s">
        <v>969</v>
      </c>
      <c r="B82" s="2921"/>
      <c r="C82" s="2921"/>
      <c r="D82" s="2921"/>
      <c r="E82" s="2921"/>
      <c r="F82" s="2921"/>
      <c r="G82" s="2921"/>
      <c r="H82" s="2921"/>
    </row>
    <row r="83" spans="1:8">
      <c r="A83" s="2922" t="s">
        <v>970</v>
      </c>
      <c r="B83" s="2921"/>
      <c r="C83" s="2921"/>
      <c r="D83" s="2921"/>
      <c r="E83" s="2921"/>
      <c r="F83" s="2921"/>
      <c r="G83" s="2921"/>
      <c r="H83" s="2921"/>
    </row>
    <row r="84" spans="1:8">
      <c r="A84" s="2922" t="s">
        <v>971</v>
      </c>
      <c r="B84" s="2921"/>
      <c r="C84" s="2921"/>
      <c r="D84" s="2921"/>
      <c r="E84" s="2921"/>
      <c r="F84" s="2921"/>
      <c r="G84" s="2921"/>
      <c r="H84" s="2921"/>
    </row>
    <row r="85" spans="1:8">
      <c r="A85" s="2921"/>
      <c r="B85" s="2921"/>
      <c r="C85" s="2921"/>
      <c r="D85" s="2921"/>
      <c r="E85" s="2921"/>
      <c r="F85" s="2921"/>
      <c r="G85" s="2921"/>
      <c r="H85" s="2921"/>
    </row>
    <row r="86" spans="1:8">
      <c r="A86" s="2922" t="s">
        <v>963</v>
      </c>
      <c r="B86" s="2921"/>
      <c r="C86" s="2921"/>
      <c r="D86" s="2921"/>
      <c r="E86" s="2921"/>
      <c r="F86" s="2921"/>
      <c r="G86" s="2921"/>
      <c r="H86" s="2921"/>
    </row>
    <row r="87" spans="1:8">
      <c r="A87" s="2922" t="s">
        <v>964</v>
      </c>
      <c r="B87" s="2921"/>
      <c r="C87" s="2921"/>
      <c r="D87" s="2921"/>
      <c r="E87" s="2921"/>
      <c r="F87" s="2921"/>
      <c r="G87" s="2921"/>
      <c r="H87" s="2921"/>
    </row>
    <row r="88" spans="1:8">
      <c r="A88" s="2921"/>
      <c r="B88" s="2921"/>
      <c r="C88" s="2921"/>
      <c r="D88" s="2921"/>
      <c r="E88" s="2921"/>
      <c r="F88" s="2921"/>
      <c r="G88" s="2921"/>
      <c r="H88" s="2921"/>
    </row>
    <row r="89" spans="1:8" ht="15.75">
      <c r="A89" s="2923" t="s">
        <v>736</v>
      </c>
      <c r="B89" s="2921"/>
      <c r="C89" s="2921"/>
      <c r="D89" s="2921"/>
      <c r="E89" s="2921"/>
      <c r="F89" s="2921"/>
      <c r="G89" s="2921"/>
      <c r="H89" s="2921"/>
    </row>
    <row r="90" spans="1:8">
      <c r="A90" s="2921"/>
      <c r="B90" s="2921"/>
      <c r="C90" s="2921"/>
      <c r="D90" s="2921"/>
      <c r="E90" s="2921"/>
      <c r="F90" s="2921"/>
      <c r="G90" s="2921"/>
      <c r="H90" s="2921"/>
    </row>
    <row r="91" spans="1:8">
      <c r="A91" s="2922" t="s">
        <v>954</v>
      </c>
      <c r="B91" s="2921"/>
      <c r="C91" s="2921"/>
      <c r="D91" s="2921"/>
      <c r="E91" s="2921"/>
      <c r="F91" s="2921"/>
      <c r="G91" s="2921"/>
      <c r="H91" s="2921"/>
    </row>
    <row r="92" spans="1:8">
      <c r="A92" s="2922" t="s">
        <v>955</v>
      </c>
      <c r="B92" s="2921"/>
      <c r="C92" s="2921"/>
      <c r="D92" s="2921"/>
      <c r="E92" s="2921"/>
      <c r="F92" s="2921"/>
      <c r="G92" s="2921"/>
      <c r="H92" s="2921"/>
    </row>
    <row r="93" spans="1:8">
      <c r="A93" s="2922" t="s">
        <v>956</v>
      </c>
      <c r="B93" s="2921"/>
      <c r="C93" s="2921"/>
      <c r="D93" s="2921"/>
      <c r="E93" s="2921"/>
      <c r="F93" s="2921"/>
      <c r="G93" s="2921"/>
      <c r="H93" s="2921"/>
    </row>
    <row r="94" spans="1:8">
      <c r="A94" s="2922" t="s">
        <v>957</v>
      </c>
      <c r="B94" s="2921"/>
      <c r="C94" s="2921"/>
      <c r="D94" s="2921"/>
      <c r="E94" s="2921"/>
      <c r="F94" s="2921"/>
      <c r="G94" s="2921"/>
      <c r="H94" s="2921"/>
    </row>
    <row r="95" spans="1:8">
      <c r="A95" s="2922" t="s">
        <v>958</v>
      </c>
      <c r="B95" s="2921"/>
      <c r="C95" s="2921"/>
      <c r="D95" s="2921"/>
      <c r="E95" s="2921"/>
      <c r="F95" s="2921"/>
      <c r="G95" s="2921"/>
      <c r="H95" s="2921"/>
    </row>
    <row r="96" spans="1:8">
      <c r="A96" s="2922" t="s">
        <v>959</v>
      </c>
      <c r="B96" s="2921"/>
      <c r="C96" s="2921"/>
      <c r="D96" s="2921"/>
      <c r="E96" s="2921"/>
      <c r="F96" s="2921"/>
      <c r="G96" s="2921"/>
      <c r="H96" s="2921"/>
    </row>
    <row r="97" spans="1:8">
      <c r="A97" s="2922" t="s">
        <v>960</v>
      </c>
      <c r="B97" s="2921"/>
      <c r="C97" s="2921"/>
      <c r="D97" s="2921"/>
      <c r="E97" s="2921"/>
      <c r="F97" s="2921"/>
      <c r="G97" s="2921"/>
      <c r="H97" s="2921"/>
    </row>
    <row r="98" spans="1:8">
      <c r="A98" s="2922" t="s">
        <v>961</v>
      </c>
      <c r="B98" s="2921"/>
      <c r="C98" s="2921"/>
      <c r="D98" s="2921"/>
      <c r="E98" s="2921"/>
      <c r="F98" s="2921"/>
      <c r="G98" s="2921"/>
      <c r="H98" s="2921"/>
    </row>
    <row r="99" spans="1:8">
      <c r="A99" s="2922" t="s">
        <v>962</v>
      </c>
      <c r="B99" s="2921"/>
      <c r="C99" s="2921"/>
      <c r="D99" s="2921"/>
      <c r="E99" s="2921"/>
      <c r="F99" s="2921"/>
      <c r="G99" s="2921"/>
      <c r="H99" s="2921"/>
    </row>
    <row r="100" spans="1:8">
      <c r="A100" s="2921"/>
      <c r="B100" s="2921"/>
      <c r="C100" s="2921"/>
      <c r="D100" s="2921"/>
      <c r="E100" s="2921"/>
      <c r="F100" s="2921"/>
      <c r="G100" s="2921"/>
      <c r="H100" s="2921"/>
    </row>
    <row r="101" spans="1:8" ht="15.75">
      <c r="A101" s="2924" t="s">
        <v>737</v>
      </c>
      <c r="B101" s="2924"/>
      <c r="C101" s="2924"/>
      <c r="D101" s="2924"/>
      <c r="E101" s="2924"/>
      <c r="F101" s="2924"/>
      <c r="G101" s="2924"/>
      <c r="H101" s="2924"/>
    </row>
    <row r="102" spans="1:8">
      <c r="A102" s="2925" t="s">
        <v>738</v>
      </c>
      <c r="B102" s="2925"/>
      <c r="C102" s="2925"/>
      <c r="D102" s="2925"/>
      <c r="E102" s="2925"/>
      <c r="F102" s="2925"/>
      <c r="G102" s="2925"/>
      <c r="H102" s="2925"/>
    </row>
    <row r="103" spans="1:8">
      <c r="A103" s="2926"/>
      <c r="B103" s="2926"/>
      <c r="C103" s="2926"/>
      <c r="D103" s="2926"/>
      <c r="E103" s="2926"/>
      <c r="F103" s="2926"/>
      <c r="G103" s="2926"/>
      <c r="H103" s="2926"/>
    </row>
    <row r="104" spans="1:8">
      <c r="A104" s="2925" t="s">
        <v>952</v>
      </c>
      <c r="B104" s="2925"/>
      <c r="C104" s="2925"/>
      <c r="D104" s="2925"/>
      <c r="E104" s="2925"/>
      <c r="F104" s="2925"/>
      <c r="G104" s="2925"/>
      <c r="H104" s="2925"/>
    </row>
    <row r="105" spans="1:8">
      <c r="A105" s="2922" t="s">
        <v>953</v>
      </c>
      <c r="B105" s="2922"/>
      <c r="C105" s="2922"/>
      <c r="D105" s="2922"/>
      <c r="E105" s="2922"/>
      <c r="F105" s="2922"/>
      <c r="G105" s="2922"/>
      <c r="H105" s="2922"/>
    </row>
    <row r="106" spans="1:8">
      <c r="A106" s="2926"/>
      <c r="B106" s="2926"/>
      <c r="C106" s="2926"/>
      <c r="D106" s="2926"/>
      <c r="E106" s="2926"/>
      <c r="F106" s="2926"/>
      <c r="G106" s="2926"/>
      <c r="H106" s="2926"/>
    </row>
    <row r="107" spans="1:8">
      <c r="A107" s="2925" t="s">
        <v>945</v>
      </c>
      <c r="B107" s="2925"/>
      <c r="C107" s="2925"/>
      <c r="D107" s="2925"/>
      <c r="E107" s="2925"/>
      <c r="F107" s="2925"/>
      <c r="G107" s="2925"/>
      <c r="H107" s="2925"/>
    </row>
    <row r="108" spans="1:8">
      <c r="A108" s="2922" t="s">
        <v>946</v>
      </c>
      <c r="B108" s="2922"/>
      <c r="C108" s="2922"/>
      <c r="D108" s="2922"/>
      <c r="E108" s="2922"/>
      <c r="F108" s="2922"/>
      <c r="G108" s="2922"/>
      <c r="H108" s="2922"/>
    </row>
    <row r="109" spans="1:8">
      <c r="A109" s="2922" t="s">
        <v>947</v>
      </c>
      <c r="B109" s="2922"/>
      <c r="C109" s="2922"/>
      <c r="D109" s="2922"/>
      <c r="E109" s="2922"/>
      <c r="F109" s="2922"/>
      <c r="G109" s="2922"/>
      <c r="H109" s="2922"/>
    </row>
    <row r="110" spans="1:8">
      <c r="A110" s="2922" t="s">
        <v>948</v>
      </c>
      <c r="B110" s="2922"/>
      <c r="C110" s="2922"/>
      <c r="D110" s="2922"/>
      <c r="E110" s="2922"/>
      <c r="F110" s="2922"/>
      <c r="G110" s="2922"/>
      <c r="H110" s="2922"/>
    </row>
    <row r="111" spans="1:8">
      <c r="A111" s="2922" t="s">
        <v>949</v>
      </c>
      <c r="B111" s="2922"/>
      <c r="C111" s="2922"/>
      <c r="D111" s="2922"/>
      <c r="E111" s="2922"/>
      <c r="F111" s="2922"/>
      <c r="G111" s="2922"/>
      <c r="H111" s="2922"/>
    </row>
    <row r="112" spans="1:8">
      <c r="A112" s="2922" t="s">
        <v>950</v>
      </c>
      <c r="B112" s="2922"/>
      <c r="C112" s="2922"/>
      <c r="D112" s="2922"/>
      <c r="E112" s="2922"/>
      <c r="F112" s="2922"/>
      <c r="G112" s="2922"/>
      <c r="H112" s="2922"/>
    </row>
    <row r="113" spans="1:8">
      <c r="A113" s="2922" t="s">
        <v>951</v>
      </c>
      <c r="B113" s="2922"/>
      <c r="C113" s="2922"/>
      <c r="D113" s="2922"/>
      <c r="E113" s="2922"/>
      <c r="F113" s="2922"/>
      <c r="G113" s="2922"/>
      <c r="H113" s="2922"/>
    </row>
    <row r="114" spans="1:8">
      <c r="A114" s="2927"/>
      <c r="B114" s="2927"/>
      <c r="C114" s="2927"/>
      <c r="D114" s="2927"/>
      <c r="E114" s="2927"/>
      <c r="F114" s="2927"/>
      <c r="G114" s="2927"/>
      <c r="H114" s="2927"/>
    </row>
    <row r="115" spans="1:8">
      <c r="A115" s="2928"/>
      <c r="B115" s="2929" t="s">
        <v>739</v>
      </c>
      <c r="C115" s="2930"/>
      <c r="D115" s="2929" t="s">
        <v>740</v>
      </c>
      <c r="E115" s="2931"/>
      <c r="F115" s="2930"/>
      <c r="G115" s="2929" t="s">
        <v>741</v>
      </c>
      <c r="H115" s="2930"/>
    </row>
    <row r="116" spans="1:8">
      <c r="A116" s="2928" t="s">
        <v>742</v>
      </c>
      <c r="B116" s="2928" t="s">
        <v>282</v>
      </c>
      <c r="C116" s="2928" t="s">
        <v>743</v>
      </c>
      <c r="D116" s="2928" t="s">
        <v>282</v>
      </c>
      <c r="E116" s="2928" t="s">
        <v>744</v>
      </c>
      <c r="F116" s="2928" t="s">
        <v>745</v>
      </c>
      <c r="G116" s="2928" t="s">
        <v>282</v>
      </c>
      <c r="H116" s="2928" t="s">
        <v>746</v>
      </c>
    </row>
    <row r="117" spans="1:8">
      <c r="A117" s="2928" t="s">
        <v>747</v>
      </c>
      <c r="B117" s="2928">
        <v>1173</v>
      </c>
      <c r="C117" s="2932">
        <v>0.37</v>
      </c>
      <c r="D117" s="2928">
        <v>318</v>
      </c>
      <c r="E117" s="2932">
        <v>0.41</v>
      </c>
      <c r="F117" s="2932">
        <v>0.27</v>
      </c>
      <c r="G117" s="2928">
        <v>571</v>
      </c>
      <c r="H117" s="2932">
        <v>0.39</v>
      </c>
    </row>
    <row r="118" spans="1:8">
      <c r="A118" s="2928" t="s">
        <v>748</v>
      </c>
      <c r="B118" s="2928">
        <v>1390</v>
      </c>
      <c r="C118" s="2932">
        <v>0.44</v>
      </c>
      <c r="D118" s="2928">
        <v>359</v>
      </c>
      <c r="E118" s="2932">
        <v>0.47</v>
      </c>
      <c r="F118" s="2932">
        <v>0.26</v>
      </c>
      <c r="G118" s="2928">
        <v>653</v>
      </c>
      <c r="H118" s="2932">
        <v>0.45</v>
      </c>
    </row>
    <row r="119" spans="1:8">
      <c r="A119" s="2928" t="s">
        <v>749</v>
      </c>
      <c r="B119" s="2928">
        <v>53</v>
      </c>
      <c r="C119" s="2932">
        <v>0.02</v>
      </c>
      <c r="D119" s="2928">
        <v>5</v>
      </c>
      <c r="E119" s="2932">
        <v>0.01</v>
      </c>
      <c r="F119" s="2932">
        <v>0.09</v>
      </c>
      <c r="G119" s="2928">
        <v>8</v>
      </c>
      <c r="H119" s="2932">
        <v>0.01</v>
      </c>
    </row>
    <row r="120" spans="1:8">
      <c r="A120" s="2928" t="s">
        <v>750</v>
      </c>
      <c r="B120" s="2928">
        <v>564</v>
      </c>
      <c r="C120" s="2932">
        <v>0.18</v>
      </c>
      <c r="D120" s="2928">
        <v>90</v>
      </c>
      <c r="E120" s="2932">
        <v>0.12</v>
      </c>
      <c r="F120" s="2932">
        <v>0.16</v>
      </c>
      <c r="G120" s="2928">
        <v>219</v>
      </c>
      <c r="H120" s="2932">
        <v>0.15</v>
      </c>
    </row>
    <row r="121" spans="1:8">
      <c r="A121" s="2928" t="s">
        <v>494</v>
      </c>
      <c r="B121" s="2933">
        <v>3180</v>
      </c>
      <c r="C121" s="2928"/>
      <c r="D121" s="2928">
        <v>772</v>
      </c>
      <c r="E121" s="2928"/>
      <c r="F121" s="2928"/>
      <c r="G121" s="2928">
        <v>1451</v>
      </c>
      <c r="H121" s="2928"/>
    </row>
    <row r="122" spans="1:8">
      <c r="A122" s="2934"/>
      <c r="B122" s="2934"/>
      <c r="C122" s="2934"/>
      <c r="D122" s="2934"/>
      <c r="E122" s="2934"/>
      <c r="F122" s="2934"/>
      <c r="G122" s="2934"/>
      <c r="H122" s="2934"/>
    </row>
    <row r="123" spans="1:8">
      <c r="A123" s="2925" t="s">
        <v>941</v>
      </c>
      <c r="B123" s="2925"/>
      <c r="C123" s="2925"/>
      <c r="D123" s="2925"/>
      <c r="E123" s="2925"/>
      <c r="F123" s="2925"/>
      <c r="G123" s="2925"/>
      <c r="H123" s="2925"/>
    </row>
    <row r="124" spans="1:8">
      <c r="A124" s="2922" t="s">
        <v>942</v>
      </c>
      <c r="B124" s="2922"/>
      <c r="C124" s="2922"/>
      <c r="D124" s="2922"/>
      <c r="E124" s="2922"/>
      <c r="F124" s="2922"/>
      <c r="G124" s="2922"/>
      <c r="H124" s="2922"/>
    </row>
    <row r="125" spans="1:8">
      <c r="A125" s="2922" t="s">
        <v>943</v>
      </c>
      <c r="B125" s="2922"/>
      <c r="C125" s="2922"/>
      <c r="D125" s="2922"/>
      <c r="E125" s="2922"/>
      <c r="F125" s="2922"/>
      <c r="G125" s="2922"/>
      <c r="H125" s="2922"/>
    </row>
    <row r="126" spans="1:8">
      <c r="A126" s="2922" t="s">
        <v>944</v>
      </c>
      <c r="B126" s="2922"/>
      <c r="C126" s="2922"/>
      <c r="D126" s="2922"/>
      <c r="E126" s="2922"/>
      <c r="F126" s="2922"/>
      <c r="G126" s="2922"/>
      <c r="H126" s="2922"/>
    </row>
    <row r="127" spans="1:8">
      <c r="A127" s="2921"/>
      <c r="B127" s="2921"/>
      <c r="C127" s="2921"/>
      <c r="D127" s="2921"/>
      <c r="E127" s="2921"/>
      <c r="F127" s="2921"/>
      <c r="G127" s="2921"/>
      <c r="H127" s="2921"/>
    </row>
    <row r="128" spans="1:8" ht="15.75">
      <c r="A128" s="2923" t="s">
        <v>751</v>
      </c>
      <c r="B128" s="2921"/>
      <c r="C128" s="2921"/>
      <c r="D128" s="2921"/>
      <c r="E128" s="2921"/>
      <c r="F128" s="2921"/>
      <c r="G128" s="2921"/>
      <c r="H128" s="2921"/>
    </row>
    <row r="129" spans="1:8">
      <c r="A129" s="2921"/>
      <c r="B129" s="2921"/>
      <c r="C129" s="2921"/>
      <c r="D129" s="2921"/>
      <c r="E129" s="2921"/>
      <c r="F129" s="2921"/>
      <c r="G129" s="2921"/>
      <c r="H129" s="2921"/>
    </row>
    <row r="130" spans="1:8">
      <c r="A130" s="2922" t="s">
        <v>939</v>
      </c>
      <c r="B130" s="2921"/>
      <c r="C130" s="2921"/>
      <c r="D130" s="2921"/>
      <c r="E130" s="2921"/>
      <c r="F130" s="2921"/>
      <c r="G130" s="2921"/>
      <c r="H130" s="2921"/>
    </row>
    <row r="131" spans="1:8">
      <c r="A131" s="2922" t="s">
        <v>940</v>
      </c>
      <c r="B131" s="2921"/>
      <c r="C131" s="2921"/>
      <c r="D131" s="2921"/>
      <c r="E131" s="2921"/>
      <c r="F131" s="2921"/>
      <c r="G131" s="2921"/>
      <c r="H131" s="2921"/>
    </row>
    <row r="132" spans="1:8">
      <c r="A132" s="2921"/>
      <c r="B132" s="2921"/>
      <c r="C132" s="2921"/>
      <c r="D132" s="2921"/>
      <c r="E132" s="2921"/>
      <c r="F132" s="2921"/>
      <c r="G132" s="2921"/>
      <c r="H132" s="2921"/>
    </row>
    <row r="133" spans="1:8">
      <c r="A133" s="2922" t="s">
        <v>936</v>
      </c>
      <c r="B133" s="2921"/>
      <c r="C133" s="2921"/>
      <c r="D133" s="2921"/>
      <c r="E133" s="2921"/>
      <c r="F133" s="2921"/>
      <c r="G133" s="2921"/>
      <c r="H133" s="2921"/>
    </row>
    <row r="134" spans="1:8">
      <c r="A134" s="2922" t="s">
        <v>937</v>
      </c>
      <c r="B134" s="2921"/>
      <c r="C134" s="2921"/>
      <c r="D134" s="2921"/>
      <c r="E134" s="2921"/>
      <c r="F134" s="2921"/>
      <c r="G134" s="2921"/>
      <c r="H134" s="2921"/>
    </row>
    <row r="135" spans="1:8">
      <c r="A135" s="2922" t="s">
        <v>938</v>
      </c>
      <c r="B135" s="2921"/>
      <c r="C135" s="2921"/>
      <c r="D135" s="2921"/>
      <c r="E135" s="2921"/>
      <c r="F135" s="2921"/>
      <c r="G135" s="2921"/>
      <c r="H135" s="2921"/>
    </row>
    <row r="136" spans="1:8">
      <c r="A136" s="2921"/>
      <c r="B136" s="2921"/>
      <c r="C136" s="2921"/>
      <c r="D136" s="2921"/>
      <c r="E136" s="2921"/>
      <c r="F136" s="2921"/>
      <c r="G136" s="2921"/>
      <c r="H136" s="2921"/>
    </row>
    <row r="137" spans="1:8">
      <c r="A137" s="2922" t="s">
        <v>933</v>
      </c>
      <c r="B137" s="2921"/>
      <c r="C137" s="2921"/>
      <c r="D137" s="2921"/>
      <c r="E137" s="2921"/>
      <c r="F137" s="2921"/>
      <c r="G137" s="2921"/>
      <c r="H137" s="2921"/>
    </row>
    <row r="138" spans="1:8">
      <c r="A138" s="2922" t="s">
        <v>934</v>
      </c>
      <c r="B138" s="2921"/>
      <c r="C138" s="2921"/>
      <c r="D138" s="2921"/>
      <c r="E138" s="2921"/>
      <c r="F138" s="2921"/>
      <c r="G138" s="2921"/>
      <c r="H138" s="2921"/>
    </row>
    <row r="139" spans="1:8">
      <c r="A139" s="2922" t="s">
        <v>935</v>
      </c>
      <c r="B139" s="2921"/>
      <c r="C139" s="2921"/>
      <c r="D139" s="2921"/>
      <c r="E139" s="2921"/>
      <c r="F139" s="2921"/>
      <c r="G139" s="2921"/>
      <c r="H139" s="2921"/>
    </row>
    <row r="140" spans="1:8">
      <c r="A140" s="2921"/>
      <c r="B140" s="2921"/>
      <c r="C140" s="2921"/>
      <c r="D140" s="2921"/>
      <c r="E140" s="2921"/>
      <c r="F140" s="2921"/>
      <c r="G140" s="2921"/>
      <c r="H140" s="2921"/>
    </row>
    <row r="141" spans="1:8">
      <c r="A141" s="2922" t="s">
        <v>930</v>
      </c>
      <c r="B141" s="2921"/>
      <c r="C141" s="2921"/>
      <c r="D141" s="2921"/>
      <c r="E141" s="2921"/>
      <c r="F141" s="2921"/>
      <c r="G141" s="2921"/>
      <c r="H141" s="2921"/>
    </row>
    <row r="142" spans="1:8">
      <c r="A142" s="2922" t="s">
        <v>931</v>
      </c>
      <c r="B142" s="2921"/>
      <c r="C142" s="2921"/>
      <c r="D142" s="2921"/>
      <c r="E142" s="2921"/>
      <c r="F142" s="2921"/>
      <c r="G142" s="2921"/>
      <c r="H142" s="2921"/>
    </row>
    <row r="143" spans="1:8">
      <c r="A143" s="2922" t="s">
        <v>932</v>
      </c>
      <c r="B143" s="2921"/>
      <c r="C143" s="2921"/>
      <c r="D143" s="2921"/>
      <c r="E143" s="2921"/>
      <c r="F143" s="2921"/>
      <c r="G143" s="2921"/>
      <c r="H143" s="2921"/>
    </row>
    <row r="144" spans="1:8">
      <c r="A144" s="2921"/>
      <c r="B144" s="2921"/>
      <c r="C144" s="2921"/>
      <c r="D144" s="2921"/>
      <c r="E144" s="2921"/>
      <c r="F144" s="2921"/>
      <c r="G144" s="2921"/>
      <c r="H144" s="2921"/>
    </row>
    <row r="145" spans="1:8">
      <c r="A145" s="2922" t="s">
        <v>928</v>
      </c>
      <c r="B145" s="2921"/>
      <c r="C145" s="2921"/>
      <c r="D145" s="2921"/>
      <c r="E145" s="2921"/>
      <c r="F145" s="2921"/>
      <c r="G145" s="2921"/>
      <c r="H145" s="2921"/>
    </row>
    <row r="146" spans="1:8">
      <c r="A146" s="2922" t="s">
        <v>929</v>
      </c>
      <c r="B146" s="2921"/>
      <c r="C146" s="2921"/>
      <c r="D146" s="2921"/>
      <c r="E146" s="2921"/>
      <c r="F146" s="2921"/>
      <c r="G146" s="2921"/>
      <c r="H146" s="2921"/>
    </row>
    <row r="147" spans="1:8">
      <c r="A147" s="2921"/>
      <c r="B147" s="2921"/>
      <c r="C147" s="2921"/>
      <c r="D147" s="2921"/>
      <c r="E147" s="2921"/>
      <c r="F147" s="2921"/>
      <c r="G147" s="2921"/>
      <c r="H147" s="2921"/>
    </row>
    <row r="148" spans="1:8" ht="15.75">
      <c r="A148" s="2923" t="s">
        <v>752</v>
      </c>
      <c r="B148" s="2921"/>
      <c r="C148" s="2921"/>
      <c r="D148" s="2921"/>
      <c r="E148" s="2921"/>
      <c r="F148" s="2921"/>
      <c r="G148" s="2921"/>
      <c r="H148" s="2921"/>
    </row>
    <row r="149" spans="1:8">
      <c r="A149" s="2921"/>
      <c r="B149" s="2921"/>
      <c r="C149" s="2921"/>
      <c r="D149" s="2921"/>
      <c r="E149" s="2921"/>
      <c r="F149" s="2921"/>
      <c r="G149" s="2921"/>
      <c r="H149" s="2921"/>
    </row>
    <row r="150" spans="1:8">
      <c r="A150" s="2922" t="s">
        <v>926</v>
      </c>
      <c r="B150" s="2921"/>
      <c r="C150" s="2921"/>
      <c r="D150" s="2921"/>
      <c r="E150" s="2921"/>
      <c r="F150" s="2921"/>
      <c r="G150" s="2921"/>
      <c r="H150" s="2921"/>
    </row>
    <row r="151" spans="1:8">
      <c r="A151" s="2922" t="s">
        <v>927</v>
      </c>
      <c r="B151" s="2921"/>
      <c r="C151" s="2921"/>
      <c r="D151" s="2921"/>
      <c r="E151" s="2921"/>
      <c r="F151" s="2921"/>
      <c r="G151" s="2921"/>
      <c r="H151" s="2921"/>
    </row>
    <row r="152" spans="1:8">
      <c r="A152" s="2921"/>
      <c r="B152" s="2921"/>
      <c r="C152" s="2921"/>
      <c r="D152" s="2921"/>
      <c r="E152" s="2921"/>
      <c r="F152" s="2921"/>
      <c r="G152" s="2921"/>
      <c r="H152" s="2921"/>
    </row>
    <row r="153" spans="1:8">
      <c r="A153" s="2922" t="s">
        <v>924</v>
      </c>
      <c r="B153" s="2921"/>
      <c r="C153" s="2921"/>
      <c r="D153" s="2921"/>
      <c r="E153" s="2921"/>
      <c r="F153" s="2921"/>
      <c r="G153" s="2921"/>
      <c r="H153" s="2921"/>
    </row>
    <row r="154" spans="1:8">
      <c r="A154" s="2922" t="s">
        <v>925</v>
      </c>
      <c r="B154" s="2921"/>
      <c r="C154" s="2921"/>
      <c r="D154" s="2921"/>
      <c r="E154" s="2921"/>
      <c r="F154" s="2921"/>
      <c r="G154" s="2921"/>
      <c r="H154" s="2921"/>
    </row>
    <row r="155" spans="1:8">
      <c r="A155" s="2921"/>
      <c r="B155" s="2921"/>
      <c r="C155" s="2921"/>
      <c r="D155" s="2921"/>
      <c r="E155" s="2921"/>
      <c r="F155" s="2921"/>
      <c r="G155" s="2921"/>
      <c r="H155" s="2921"/>
    </row>
    <row r="156" spans="1:8">
      <c r="A156" s="2922" t="s">
        <v>922</v>
      </c>
      <c r="B156" s="2921"/>
      <c r="C156" s="2921"/>
      <c r="D156" s="2921"/>
      <c r="E156" s="2921"/>
      <c r="F156" s="2921"/>
      <c r="G156" s="2921"/>
      <c r="H156" s="2921"/>
    </row>
    <row r="157" spans="1:8">
      <c r="A157" s="2922" t="s">
        <v>923</v>
      </c>
      <c r="B157" s="2921"/>
      <c r="C157" s="2921"/>
      <c r="D157" s="2921"/>
      <c r="E157" s="2921"/>
      <c r="F157" s="2921"/>
      <c r="G157" s="2921"/>
      <c r="H157" s="2921"/>
    </row>
    <row r="158" spans="1:8">
      <c r="A158" s="2921"/>
      <c r="B158" s="2921"/>
      <c r="C158" s="2921"/>
      <c r="D158" s="2921"/>
      <c r="E158" s="2921"/>
      <c r="F158" s="2921"/>
      <c r="G158" s="2921"/>
      <c r="H158" s="2921"/>
    </row>
    <row r="159" spans="1:8">
      <c r="A159" s="2922" t="s">
        <v>919</v>
      </c>
      <c r="B159" s="2921"/>
      <c r="C159" s="2921"/>
      <c r="D159" s="2921"/>
      <c r="E159" s="2921"/>
      <c r="F159" s="2921"/>
      <c r="G159" s="2921"/>
      <c r="H159" s="2921"/>
    </row>
    <row r="160" spans="1:8">
      <c r="A160" s="2922" t="s">
        <v>920</v>
      </c>
      <c r="B160" s="2921"/>
      <c r="C160" s="2921"/>
      <c r="D160" s="2921"/>
      <c r="E160" s="2921"/>
      <c r="F160" s="2921"/>
      <c r="G160" s="2921"/>
      <c r="H160" s="2921"/>
    </row>
    <row r="161" spans="1:8">
      <c r="A161" s="2922" t="s">
        <v>921</v>
      </c>
      <c r="B161" s="2921"/>
      <c r="C161" s="2921"/>
      <c r="D161" s="2921"/>
      <c r="E161" s="2921"/>
      <c r="F161" s="2921"/>
      <c r="G161" s="2921"/>
      <c r="H161" s="2921"/>
    </row>
    <row r="162" spans="1:8">
      <c r="A162" s="2921"/>
      <c r="B162" s="2921"/>
      <c r="C162" s="2921"/>
      <c r="D162" s="2921"/>
      <c r="E162" s="2921"/>
      <c r="F162" s="2921"/>
      <c r="G162" s="2921"/>
      <c r="H162" s="2921"/>
    </row>
    <row r="163" spans="1:8">
      <c r="A163" s="2921"/>
      <c r="B163" s="2921"/>
      <c r="C163" s="2921"/>
      <c r="D163" s="2921"/>
      <c r="E163" s="2921"/>
      <c r="F163" s="2921"/>
      <c r="G163" s="2921"/>
      <c r="H163" s="2921"/>
    </row>
    <row r="164" spans="1:8">
      <c r="A164" s="2922" t="s">
        <v>753</v>
      </c>
      <c r="B164" s="2921"/>
      <c r="C164" s="2921"/>
      <c r="D164" s="2921"/>
      <c r="E164" s="2921"/>
      <c r="F164" s="2921"/>
      <c r="G164" s="2921"/>
      <c r="H164" s="2921"/>
    </row>
    <row r="165" spans="1:8">
      <c r="A165" s="2921"/>
      <c r="B165" s="2921"/>
      <c r="C165" s="2921"/>
      <c r="D165" s="2921"/>
      <c r="E165" s="2921"/>
      <c r="F165" s="2921"/>
      <c r="G165" s="2921"/>
      <c r="H165" s="2921"/>
    </row>
    <row r="166" spans="1:8" ht="15.75">
      <c r="A166" s="2923" t="s">
        <v>754</v>
      </c>
      <c r="B166" s="2921"/>
      <c r="C166" s="2921"/>
      <c r="D166" s="2921"/>
      <c r="E166" s="2921"/>
      <c r="F166" s="2921"/>
      <c r="G166" s="2921"/>
      <c r="H166" s="2921"/>
    </row>
    <row r="167" spans="1:8">
      <c r="A167" s="2921"/>
      <c r="B167" s="2921"/>
      <c r="C167" s="2921"/>
      <c r="D167" s="2921"/>
      <c r="E167" s="2921"/>
      <c r="F167" s="2921"/>
      <c r="G167" s="2921"/>
      <c r="H167" s="2921"/>
    </row>
    <row r="168" spans="1:8">
      <c r="A168" s="2921"/>
      <c r="B168" s="2921"/>
      <c r="C168" s="2921"/>
      <c r="D168" s="2921"/>
      <c r="E168" s="2921"/>
      <c r="F168" s="2921"/>
      <c r="G168" s="2921"/>
      <c r="H168" s="2921"/>
    </row>
    <row r="169" spans="1:8">
      <c r="A169" s="2921"/>
      <c r="B169" s="2921"/>
      <c r="C169" s="2921"/>
      <c r="D169" s="2921"/>
      <c r="E169" s="2921"/>
      <c r="F169" s="2921"/>
      <c r="G169" s="2921"/>
      <c r="H169" s="2921"/>
    </row>
    <row r="170" spans="1:8">
      <c r="A170" s="2921"/>
      <c r="B170" s="2921"/>
      <c r="C170" s="2921"/>
      <c r="D170" s="2921"/>
      <c r="E170" s="2921"/>
      <c r="F170" s="2921"/>
      <c r="G170" s="2921"/>
      <c r="H170" s="2921"/>
    </row>
    <row r="171" spans="1:8">
      <c r="A171" s="2921"/>
      <c r="B171" s="2921"/>
      <c r="C171" s="2921"/>
      <c r="D171" s="2921"/>
      <c r="E171" s="2921"/>
      <c r="F171" s="2921"/>
      <c r="G171" s="2921"/>
      <c r="H171" s="2921"/>
    </row>
    <row r="172" spans="1:8">
      <c r="A172" s="2921"/>
      <c r="B172" s="2921"/>
      <c r="C172" s="2921"/>
      <c r="D172" s="2921"/>
      <c r="E172" s="2921"/>
      <c r="F172" s="2921"/>
      <c r="G172" s="2921"/>
      <c r="H172" s="2921"/>
    </row>
    <row r="173" spans="1:8">
      <c r="A173" s="2921"/>
      <c r="B173" s="2921"/>
      <c r="C173" s="2921"/>
      <c r="D173" s="2921"/>
      <c r="E173" s="2921"/>
      <c r="F173" s="2921"/>
      <c r="G173" s="2921"/>
      <c r="H173" s="2921"/>
    </row>
    <row r="174" spans="1:8">
      <c r="A174" s="2921"/>
      <c r="B174" s="2921"/>
      <c r="C174" s="2921"/>
      <c r="D174" s="2921"/>
      <c r="E174" s="2921"/>
      <c r="F174" s="2921"/>
      <c r="G174" s="2921"/>
      <c r="H174" s="2921"/>
    </row>
    <row r="175" spans="1:8">
      <c r="A175" s="2921"/>
      <c r="B175" s="2921"/>
      <c r="C175" s="2921"/>
      <c r="D175" s="2921"/>
      <c r="E175" s="2921"/>
      <c r="F175" s="2921"/>
      <c r="G175" s="2921"/>
      <c r="H175" s="2921"/>
    </row>
    <row r="176" spans="1:8">
      <c r="A176" s="2921"/>
      <c r="B176" s="2921"/>
      <c r="C176" s="2921"/>
      <c r="D176" s="2921"/>
      <c r="E176" s="2921"/>
      <c r="F176" s="2921"/>
      <c r="G176" s="2921"/>
      <c r="H176" s="2921"/>
    </row>
    <row r="177" spans="1:8">
      <c r="A177" s="2921"/>
      <c r="B177" s="2921"/>
      <c r="C177" s="2921"/>
      <c r="D177" s="2921"/>
      <c r="E177" s="2921"/>
      <c r="F177" s="2921"/>
      <c r="G177" s="2921"/>
      <c r="H177" s="2921"/>
    </row>
    <row r="178" spans="1:8">
      <c r="A178" s="2921"/>
      <c r="B178" s="2921"/>
      <c r="C178" s="2921"/>
      <c r="D178" s="2921"/>
      <c r="E178" s="2921"/>
      <c r="F178" s="2921"/>
      <c r="G178" s="2921"/>
      <c r="H178" s="2921"/>
    </row>
    <row r="179" spans="1:8">
      <c r="A179" s="2921"/>
      <c r="B179" s="2921"/>
      <c r="C179" s="2921"/>
      <c r="D179" s="2921"/>
      <c r="E179" s="2921"/>
      <c r="F179" s="2921"/>
      <c r="G179" s="2921"/>
      <c r="H179" s="2921"/>
    </row>
    <row r="180" spans="1:8">
      <c r="A180" s="2921"/>
      <c r="B180" s="2921"/>
      <c r="C180" s="2921"/>
      <c r="D180" s="2921"/>
      <c r="E180" s="2921"/>
      <c r="F180" s="2921"/>
      <c r="G180" s="2921"/>
      <c r="H180" s="2921"/>
    </row>
    <row r="181" spans="1:8">
      <c r="A181" s="2921"/>
      <c r="B181" s="2921"/>
      <c r="C181" s="2921"/>
      <c r="D181" s="2921"/>
      <c r="E181" s="2921"/>
      <c r="F181" s="2921"/>
      <c r="G181" s="2921"/>
      <c r="H181" s="2921"/>
    </row>
    <row r="182" spans="1:8">
      <c r="A182" s="2921"/>
      <c r="B182" s="2921"/>
      <c r="C182" s="2921"/>
      <c r="D182" s="2921"/>
      <c r="E182" s="2921"/>
      <c r="F182" s="2921"/>
      <c r="G182" s="2921"/>
      <c r="H182" s="2921"/>
    </row>
    <row r="183" spans="1:8">
      <c r="A183" s="2921"/>
      <c r="B183" s="2921"/>
      <c r="C183" s="2921"/>
      <c r="D183" s="2921"/>
      <c r="E183" s="2921"/>
      <c r="F183" s="2921"/>
      <c r="G183" s="2921"/>
      <c r="H183" s="2921"/>
    </row>
    <row r="184" spans="1:8">
      <c r="A184" s="2921"/>
      <c r="B184" s="2921"/>
      <c r="C184" s="2921"/>
      <c r="D184" s="2921"/>
      <c r="E184" s="2921"/>
      <c r="F184" s="2921"/>
      <c r="G184" s="2921"/>
      <c r="H184" s="2921"/>
    </row>
    <row r="185" spans="1:8">
      <c r="A185" s="2921"/>
      <c r="B185" s="2921"/>
      <c r="C185" s="2921"/>
      <c r="D185" s="2921"/>
      <c r="E185" s="2921"/>
      <c r="F185" s="2921"/>
      <c r="G185" s="2921"/>
      <c r="H185" s="2921"/>
    </row>
    <row r="186" spans="1:8">
      <c r="A186" s="2921"/>
      <c r="B186" s="2921"/>
      <c r="C186" s="2921"/>
      <c r="D186" s="2921"/>
      <c r="E186" s="2921"/>
      <c r="F186" s="2921"/>
      <c r="G186" s="2921"/>
      <c r="H186" s="2921"/>
    </row>
    <row r="187" spans="1:8">
      <c r="A187" s="2921"/>
      <c r="B187" s="2921"/>
      <c r="C187" s="2921"/>
      <c r="D187" s="2921"/>
      <c r="E187" s="2921"/>
      <c r="F187" s="2921"/>
      <c r="G187" s="2921"/>
      <c r="H187" s="2921"/>
    </row>
    <row r="188" spans="1:8">
      <c r="A188" s="2921"/>
      <c r="B188" s="2921"/>
      <c r="C188" s="2921"/>
      <c r="D188" s="2921"/>
      <c r="E188" s="2921"/>
      <c r="F188" s="2921"/>
      <c r="G188" s="2921"/>
      <c r="H188" s="2921"/>
    </row>
    <row r="189" spans="1:8">
      <c r="A189" s="2921"/>
      <c r="B189" s="2921"/>
      <c r="C189" s="2921"/>
      <c r="D189" s="2921"/>
      <c r="E189" s="2921"/>
      <c r="F189" s="2921"/>
      <c r="G189" s="2921"/>
      <c r="H189" s="2921"/>
    </row>
    <row r="190" spans="1:8">
      <c r="A190" s="2921"/>
      <c r="B190" s="2921"/>
      <c r="C190" s="2921"/>
      <c r="D190" s="2921"/>
      <c r="E190" s="2921"/>
      <c r="F190" s="2921"/>
      <c r="G190" s="2921"/>
      <c r="H190" s="2921"/>
    </row>
    <row r="191" spans="1:8">
      <c r="A191" s="2921"/>
      <c r="B191" s="2921"/>
      <c r="C191" s="2921"/>
      <c r="D191" s="2921"/>
      <c r="E191" s="2921"/>
      <c r="F191" s="2921"/>
      <c r="G191" s="2921"/>
      <c r="H191" s="2921"/>
    </row>
    <row r="192" spans="1:8">
      <c r="A192" s="2921"/>
      <c r="B192" s="2921"/>
      <c r="C192" s="2921"/>
      <c r="D192" s="2921"/>
      <c r="E192" s="2921"/>
      <c r="F192" s="2921"/>
      <c r="G192" s="2921"/>
      <c r="H192" s="2921"/>
    </row>
    <row r="193" spans="1:8" ht="15.75">
      <c r="A193" s="2923" t="s">
        <v>755</v>
      </c>
      <c r="B193" s="2921"/>
      <c r="C193" s="2921"/>
      <c r="D193" s="2921"/>
      <c r="E193" s="2921"/>
      <c r="F193" s="2921"/>
      <c r="G193" s="2921"/>
      <c r="H193" s="2921"/>
    </row>
    <row r="194" spans="1:8">
      <c r="A194" s="2921"/>
      <c r="B194" s="2921"/>
      <c r="C194" s="2921"/>
      <c r="D194" s="2921"/>
      <c r="E194" s="2921"/>
      <c r="F194" s="2921"/>
      <c r="G194" s="2921"/>
      <c r="H194" s="2921"/>
    </row>
    <row r="195" spans="1:8">
      <c r="A195" s="2922" t="s">
        <v>914</v>
      </c>
      <c r="B195" s="2921"/>
      <c r="C195" s="2921"/>
      <c r="D195" s="2921"/>
      <c r="E195" s="2921"/>
      <c r="F195" s="2921"/>
      <c r="G195" s="2921"/>
      <c r="H195" s="2921"/>
    </row>
    <row r="196" spans="1:8">
      <c r="A196" s="2922" t="s">
        <v>915</v>
      </c>
      <c r="B196" s="2921"/>
      <c r="C196" s="2921"/>
      <c r="D196" s="2921"/>
      <c r="E196" s="2921"/>
      <c r="F196" s="2921"/>
      <c r="G196" s="2921"/>
      <c r="H196" s="2921"/>
    </row>
    <row r="197" spans="1:8">
      <c r="A197" s="2922" t="s">
        <v>916</v>
      </c>
      <c r="B197" s="2921"/>
      <c r="C197" s="2921"/>
      <c r="D197" s="2921"/>
      <c r="E197" s="2921"/>
      <c r="F197" s="2921"/>
      <c r="G197" s="2921"/>
      <c r="H197" s="2921"/>
    </row>
    <row r="198" spans="1:8">
      <c r="A198" s="2922" t="s">
        <v>917</v>
      </c>
      <c r="B198" s="2921"/>
      <c r="C198" s="2921"/>
      <c r="D198" s="2921"/>
      <c r="E198" s="2921"/>
      <c r="F198" s="2921"/>
      <c r="G198" s="2921"/>
      <c r="H198" s="2921"/>
    </row>
    <row r="199" spans="1:8">
      <c r="A199" s="2922" t="s">
        <v>918</v>
      </c>
      <c r="B199" s="2921"/>
      <c r="C199" s="2921"/>
      <c r="D199" s="2921"/>
      <c r="E199" s="2921"/>
      <c r="F199" s="2921"/>
      <c r="G199" s="2921"/>
      <c r="H199" s="2921"/>
    </row>
    <row r="200" spans="1:8">
      <c r="A200" s="2921"/>
      <c r="B200" s="2921"/>
      <c r="C200" s="2921"/>
      <c r="D200" s="2921"/>
      <c r="E200" s="2921"/>
      <c r="F200" s="2921"/>
      <c r="G200" s="2921"/>
      <c r="H200" s="2921"/>
    </row>
    <row r="201" spans="1:8">
      <c r="A201" s="2922" t="s">
        <v>911</v>
      </c>
      <c r="B201" s="2921"/>
      <c r="C201" s="2921"/>
      <c r="D201" s="2921"/>
      <c r="E201" s="2921"/>
      <c r="F201" s="2921"/>
      <c r="G201" s="2921"/>
      <c r="H201" s="2921"/>
    </row>
    <row r="202" spans="1:8">
      <c r="A202" s="2922" t="s">
        <v>912</v>
      </c>
      <c r="B202" s="2921"/>
      <c r="C202" s="2921"/>
      <c r="D202" s="2921"/>
      <c r="E202" s="2921"/>
      <c r="F202" s="2921"/>
      <c r="G202" s="2921"/>
      <c r="H202" s="2921"/>
    </row>
    <row r="203" spans="1:8">
      <c r="A203" s="2922" t="s">
        <v>913</v>
      </c>
      <c r="B203" s="2921"/>
      <c r="C203" s="2921"/>
      <c r="D203" s="2921"/>
      <c r="E203" s="2921"/>
      <c r="F203" s="2921"/>
      <c r="G203" s="2921"/>
      <c r="H203" s="2921"/>
    </row>
    <row r="204" spans="1:8" ht="15.75">
      <c r="A204" s="2923" t="s">
        <v>756</v>
      </c>
      <c r="B204" s="2921"/>
      <c r="C204" s="2921"/>
      <c r="D204" s="2921"/>
      <c r="E204" s="2921"/>
      <c r="F204" s="2921"/>
      <c r="G204" s="2921"/>
      <c r="H204" s="2921"/>
    </row>
    <row r="205" spans="1:8">
      <c r="A205" s="2921"/>
      <c r="B205" s="2921"/>
      <c r="C205" s="2921"/>
      <c r="D205" s="2921"/>
      <c r="E205" s="2921"/>
      <c r="F205" s="2921"/>
      <c r="G205" s="2921"/>
      <c r="H205" s="2921"/>
    </row>
    <row r="206" spans="1:8">
      <c r="A206" s="2922" t="s">
        <v>904</v>
      </c>
      <c r="B206" s="2921"/>
      <c r="C206" s="2921"/>
      <c r="D206" s="2921"/>
      <c r="E206" s="2921"/>
      <c r="F206" s="2921"/>
      <c r="G206" s="2921"/>
      <c r="H206" s="2921"/>
    </row>
    <row r="207" spans="1:8">
      <c r="A207" s="2922" t="s">
        <v>905</v>
      </c>
      <c r="B207" s="2921"/>
      <c r="C207" s="2921"/>
      <c r="D207" s="2921"/>
      <c r="E207" s="2921"/>
      <c r="F207" s="2921"/>
      <c r="G207" s="2921"/>
      <c r="H207" s="2921"/>
    </row>
    <row r="208" spans="1:8">
      <c r="A208" s="2922" t="s">
        <v>906</v>
      </c>
      <c r="B208" s="2921"/>
      <c r="C208" s="2921"/>
      <c r="D208" s="2921"/>
      <c r="E208" s="2921"/>
      <c r="F208" s="2921"/>
      <c r="G208" s="2921"/>
      <c r="H208" s="2921"/>
    </row>
    <row r="209" spans="1:8">
      <c r="A209" s="2922" t="s">
        <v>907</v>
      </c>
      <c r="B209" s="2921"/>
      <c r="C209" s="2921"/>
      <c r="D209" s="2921"/>
      <c r="E209" s="2921"/>
      <c r="F209" s="2921"/>
      <c r="G209" s="2921"/>
      <c r="H209" s="2921"/>
    </row>
    <row r="210" spans="1:8">
      <c r="A210" s="2922" t="s">
        <v>908</v>
      </c>
      <c r="B210" s="2921"/>
      <c r="C210" s="2921"/>
      <c r="D210" s="2921"/>
      <c r="E210" s="2921"/>
      <c r="F210" s="2921"/>
      <c r="G210" s="2921"/>
      <c r="H210" s="2921"/>
    </row>
    <row r="211" spans="1:8">
      <c r="A211" s="2922" t="s">
        <v>909</v>
      </c>
      <c r="B211" s="2921"/>
      <c r="C211" s="2921"/>
      <c r="D211" s="2921"/>
      <c r="E211" s="2921"/>
      <c r="F211" s="2921"/>
      <c r="G211" s="2921"/>
      <c r="H211" s="2921"/>
    </row>
    <row r="212" spans="1:8">
      <c r="A212" s="2922" t="s">
        <v>910</v>
      </c>
      <c r="B212" s="2921"/>
      <c r="C212" s="2921"/>
      <c r="D212" s="2921"/>
      <c r="E212" s="2921"/>
      <c r="F212" s="2921"/>
      <c r="G212" s="2921"/>
      <c r="H212" s="2921"/>
    </row>
    <row r="213" spans="1:8">
      <c r="A213" s="2921"/>
      <c r="B213" s="2921"/>
      <c r="C213" s="2921"/>
      <c r="D213" s="2921"/>
      <c r="E213" s="2921"/>
      <c r="F213" s="2921"/>
      <c r="G213" s="2921"/>
      <c r="H213" s="2921"/>
    </row>
    <row r="214" spans="1:8">
      <c r="A214" s="2922" t="s">
        <v>901</v>
      </c>
      <c r="B214" s="2921"/>
      <c r="C214" s="2921"/>
      <c r="D214" s="2921"/>
      <c r="E214" s="2921"/>
      <c r="F214" s="2921"/>
      <c r="G214" s="2921"/>
      <c r="H214" s="2921"/>
    </row>
    <row r="215" spans="1:8">
      <c r="A215" s="2922" t="s">
        <v>902</v>
      </c>
      <c r="B215" s="2921"/>
      <c r="C215" s="2921"/>
      <c r="D215" s="2921"/>
      <c r="E215" s="2921"/>
      <c r="F215" s="2921"/>
      <c r="G215" s="2921"/>
      <c r="H215" s="2921"/>
    </row>
    <row r="216" spans="1:8">
      <c r="A216" s="2922" t="s">
        <v>903</v>
      </c>
      <c r="B216" s="2921"/>
      <c r="C216" s="2921"/>
      <c r="D216" s="2921"/>
      <c r="E216" s="2921"/>
      <c r="F216" s="2921"/>
      <c r="G216" s="2921"/>
      <c r="H216" s="2921"/>
    </row>
    <row r="217" spans="1:8">
      <c r="A217" s="2921"/>
      <c r="B217" s="2921"/>
      <c r="C217" s="2921"/>
      <c r="D217" s="2921"/>
      <c r="E217" s="2921"/>
      <c r="F217" s="2921"/>
      <c r="G217" s="2921"/>
      <c r="H217" s="2921"/>
    </row>
    <row r="218" spans="1:8">
      <c r="A218" s="2922" t="s">
        <v>896</v>
      </c>
      <c r="B218" s="2921"/>
      <c r="C218" s="2921"/>
      <c r="D218" s="2921"/>
      <c r="E218" s="2921"/>
      <c r="F218" s="2921"/>
      <c r="G218" s="2921"/>
      <c r="H218" s="2921"/>
    </row>
    <row r="219" spans="1:8">
      <c r="A219" s="2922" t="s">
        <v>897</v>
      </c>
      <c r="B219" s="2921"/>
      <c r="C219" s="2921"/>
      <c r="D219" s="2921"/>
      <c r="E219" s="2921"/>
      <c r="F219" s="2921"/>
      <c r="G219" s="2921"/>
      <c r="H219" s="2921"/>
    </row>
    <row r="220" spans="1:8">
      <c r="A220" s="2922" t="s">
        <v>898</v>
      </c>
      <c r="B220" s="2921"/>
      <c r="C220" s="2921"/>
      <c r="D220" s="2921"/>
      <c r="E220" s="2921"/>
      <c r="F220" s="2921"/>
      <c r="G220" s="2921"/>
      <c r="H220" s="2921"/>
    </row>
    <row r="221" spans="1:8">
      <c r="A221" s="2922" t="s">
        <v>899</v>
      </c>
      <c r="B221" s="2921"/>
      <c r="C221" s="2921"/>
      <c r="D221" s="2921"/>
      <c r="E221" s="2921"/>
      <c r="F221" s="2921"/>
      <c r="G221" s="2921"/>
      <c r="H221" s="2921"/>
    </row>
    <row r="222" spans="1:8">
      <c r="A222" s="2922" t="s">
        <v>900</v>
      </c>
      <c r="B222" s="2921"/>
      <c r="C222" s="2921"/>
      <c r="D222" s="2921"/>
      <c r="E222" s="2921"/>
      <c r="F222" s="2921"/>
      <c r="G222" s="2921"/>
      <c r="H222" s="2921"/>
    </row>
    <row r="223" spans="1:8">
      <c r="A223" s="2921"/>
      <c r="B223" s="2921"/>
      <c r="C223" s="2921"/>
      <c r="D223" s="2921"/>
      <c r="E223" s="2921"/>
      <c r="F223" s="2921"/>
      <c r="G223" s="2921"/>
      <c r="H223" s="2921"/>
    </row>
    <row r="224" spans="1:8">
      <c r="A224" s="2922" t="s">
        <v>890</v>
      </c>
      <c r="B224" s="2921"/>
      <c r="C224" s="2921"/>
      <c r="D224" s="2921"/>
      <c r="E224" s="2921"/>
      <c r="F224" s="2921"/>
      <c r="G224" s="2921"/>
      <c r="H224" s="2921"/>
    </row>
    <row r="225" spans="1:8">
      <c r="A225" s="2922" t="s">
        <v>891</v>
      </c>
      <c r="B225" s="2921"/>
      <c r="C225" s="2921"/>
      <c r="D225" s="2921"/>
      <c r="E225" s="2921"/>
      <c r="F225" s="2921"/>
      <c r="G225" s="2921"/>
      <c r="H225" s="2921"/>
    </row>
    <row r="226" spans="1:8">
      <c r="A226" s="2922" t="s">
        <v>892</v>
      </c>
      <c r="B226" s="2921"/>
      <c r="C226" s="2921"/>
      <c r="D226" s="2921"/>
      <c r="E226" s="2921"/>
      <c r="F226" s="2921"/>
      <c r="G226" s="2921"/>
      <c r="H226" s="2921"/>
    </row>
    <row r="227" spans="1:8">
      <c r="A227" s="2922" t="s">
        <v>893</v>
      </c>
      <c r="B227" s="2921"/>
      <c r="C227" s="2921"/>
      <c r="D227" s="2921"/>
      <c r="E227" s="2921"/>
      <c r="F227" s="2921"/>
      <c r="G227" s="2921"/>
      <c r="H227" s="2921"/>
    </row>
    <row r="228" spans="1:8">
      <c r="A228" s="2922" t="s">
        <v>894</v>
      </c>
      <c r="B228" s="2921"/>
      <c r="C228" s="2921"/>
      <c r="D228" s="2921"/>
      <c r="E228" s="2921"/>
      <c r="F228" s="2921"/>
      <c r="G228" s="2921"/>
      <c r="H228" s="2921"/>
    </row>
    <row r="229" spans="1:8">
      <c r="A229" s="2922" t="s">
        <v>895</v>
      </c>
      <c r="B229" s="2921"/>
      <c r="C229" s="2921"/>
      <c r="D229" s="2921"/>
      <c r="E229" s="2921"/>
      <c r="F229" s="2921"/>
      <c r="G229" s="2921"/>
      <c r="H229" s="2921"/>
    </row>
    <row r="230" spans="1:8">
      <c r="A230" s="2921"/>
      <c r="B230" s="2921"/>
      <c r="C230" s="2921"/>
      <c r="D230" s="2921"/>
      <c r="E230" s="2921"/>
      <c r="F230" s="2921"/>
      <c r="G230" s="2921"/>
      <c r="H230" s="2921"/>
    </row>
    <row r="231" spans="1:8">
      <c r="A231" s="2922" t="s">
        <v>880</v>
      </c>
      <c r="B231" s="2921"/>
      <c r="C231" s="2921"/>
      <c r="D231" s="2921"/>
      <c r="E231" s="2921"/>
      <c r="F231" s="2921"/>
      <c r="G231" s="2921"/>
      <c r="H231" s="2921"/>
    </row>
    <row r="232" spans="1:8">
      <c r="A232" s="2922" t="s">
        <v>881</v>
      </c>
      <c r="B232" s="2921"/>
      <c r="C232" s="2921"/>
      <c r="D232" s="2921"/>
      <c r="E232" s="2921"/>
      <c r="F232" s="2921"/>
      <c r="G232" s="2921"/>
      <c r="H232" s="2921"/>
    </row>
    <row r="233" spans="1:8">
      <c r="A233" s="2922" t="s">
        <v>882</v>
      </c>
      <c r="B233" s="2921"/>
      <c r="C233" s="2921"/>
      <c r="D233" s="2921"/>
      <c r="E233" s="2921"/>
      <c r="F233" s="2921"/>
      <c r="G233" s="2921"/>
      <c r="H233" s="2921"/>
    </row>
    <row r="234" spans="1:8">
      <c r="A234" s="2922" t="s">
        <v>883</v>
      </c>
      <c r="B234" s="2921"/>
      <c r="C234" s="2921"/>
      <c r="D234" s="2921"/>
      <c r="E234" s="2921"/>
      <c r="F234" s="2921"/>
      <c r="G234" s="2921"/>
      <c r="H234" s="2921"/>
    </row>
    <row r="235" spans="1:8">
      <c r="A235" s="2922" t="s">
        <v>884</v>
      </c>
      <c r="B235" s="2921"/>
      <c r="C235" s="2921"/>
      <c r="D235" s="2921"/>
      <c r="E235" s="2921"/>
      <c r="F235" s="2921"/>
      <c r="G235" s="2921"/>
      <c r="H235" s="2921"/>
    </row>
    <row r="236" spans="1:8">
      <c r="A236" s="2922" t="s">
        <v>885</v>
      </c>
      <c r="B236" s="2921"/>
      <c r="C236" s="2921"/>
      <c r="D236" s="2921"/>
      <c r="E236" s="2921"/>
      <c r="F236" s="2921"/>
      <c r="G236" s="2921"/>
      <c r="H236" s="2921"/>
    </row>
    <row r="237" spans="1:8">
      <c r="A237" s="2922" t="s">
        <v>886</v>
      </c>
      <c r="B237" s="2921"/>
      <c r="C237" s="2921"/>
      <c r="D237" s="2921"/>
      <c r="E237" s="2921"/>
      <c r="F237" s="2921"/>
      <c r="G237" s="2921"/>
      <c r="H237" s="2921"/>
    </row>
    <row r="238" spans="1:8">
      <c r="A238" s="2922" t="s">
        <v>887</v>
      </c>
      <c r="B238" s="2921"/>
      <c r="C238" s="2921"/>
      <c r="D238" s="2921"/>
      <c r="E238" s="2921"/>
      <c r="F238" s="2921"/>
      <c r="G238" s="2921"/>
      <c r="H238" s="2921"/>
    </row>
    <row r="239" spans="1:8">
      <c r="A239" s="2922" t="s">
        <v>888</v>
      </c>
      <c r="B239" s="2921"/>
      <c r="C239" s="2921"/>
      <c r="D239" s="2921"/>
      <c r="E239" s="2921"/>
      <c r="F239" s="2921"/>
      <c r="G239" s="2921"/>
      <c r="H239" s="2921"/>
    </row>
    <row r="240" spans="1:8">
      <c r="A240" s="2922" t="s">
        <v>889</v>
      </c>
      <c r="B240" s="2921"/>
      <c r="C240" s="2921"/>
      <c r="D240" s="2921"/>
      <c r="E240" s="2921"/>
      <c r="F240" s="2921"/>
      <c r="G240" s="2921"/>
      <c r="H240" s="2921"/>
    </row>
    <row r="241" spans="1:8">
      <c r="A241" s="2921"/>
      <c r="B241" s="2921"/>
      <c r="C241" s="2921"/>
      <c r="D241" s="2921"/>
      <c r="E241" s="2921"/>
      <c r="F241" s="2921"/>
      <c r="G241" s="2921"/>
      <c r="H241" s="2921"/>
    </row>
    <row r="242" spans="1:8">
      <c r="A242" s="2922" t="s">
        <v>878</v>
      </c>
      <c r="B242" s="2921"/>
      <c r="C242" s="2921"/>
      <c r="D242" s="2921"/>
      <c r="E242" s="2921"/>
      <c r="F242" s="2921"/>
      <c r="G242" s="2921"/>
      <c r="H242" s="2921"/>
    </row>
    <row r="243" spans="1:8">
      <c r="A243" s="2922" t="s">
        <v>879</v>
      </c>
      <c r="B243" s="2921"/>
      <c r="C243" s="2921"/>
      <c r="D243" s="2921"/>
      <c r="E243" s="2921"/>
      <c r="F243" s="2921"/>
      <c r="G243" s="2921"/>
      <c r="H243" s="2921"/>
    </row>
    <row r="244" spans="1:8">
      <c r="A244" s="2921"/>
      <c r="B244" s="2921"/>
      <c r="C244" s="2921"/>
      <c r="D244" s="2921"/>
      <c r="E244" s="2921"/>
      <c r="F244" s="2921"/>
      <c r="G244" s="2921"/>
      <c r="H244" s="2921"/>
    </row>
    <row r="245" spans="1:8">
      <c r="A245" s="2922" t="s">
        <v>862</v>
      </c>
      <c r="B245" s="2921"/>
      <c r="C245" s="2921"/>
      <c r="D245" s="2921"/>
      <c r="E245" s="2921"/>
      <c r="F245" s="2921"/>
      <c r="G245" s="2921"/>
      <c r="H245" s="2921"/>
    </row>
    <row r="246" spans="1:8">
      <c r="A246" s="2922" t="s">
        <v>863</v>
      </c>
      <c r="B246" s="2921"/>
      <c r="C246" s="2921"/>
      <c r="D246" s="2921"/>
      <c r="E246" s="2921"/>
      <c r="F246" s="2921"/>
      <c r="G246" s="2921"/>
      <c r="H246" s="2921"/>
    </row>
    <row r="247" spans="1:8">
      <c r="A247" s="2922" t="s">
        <v>864</v>
      </c>
      <c r="B247" s="2921"/>
      <c r="C247" s="2921"/>
      <c r="D247" s="2921"/>
      <c r="E247" s="2921"/>
      <c r="F247" s="2921"/>
      <c r="G247" s="2921"/>
      <c r="H247" s="2921"/>
    </row>
    <row r="248" spans="1:8">
      <c r="A248" s="2922" t="s">
        <v>865</v>
      </c>
      <c r="B248" s="2921"/>
      <c r="C248" s="2921"/>
      <c r="D248" s="2921"/>
      <c r="E248" s="2921"/>
      <c r="F248" s="2921"/>
      <c r="G248" s="2921"/>
      <c r="H248" s="2921"/>
    </row>
    <row r="249" spans="1:8">
      <c r="A249" s="2922" t="s">
        <v>866</v>
      </c>
      <c r="B249" s="2921"/>
      <c r="C249" s="2921"/>
      <c r="D249" s="2921"/>
      <c r="E249" s="2921"/>
      <c r="F249" s="2921"/>
      <c r="G249" s="2921"/>
      <c r="H249" s="2921"/>
    </row>
    <row r="250" spans="1:8">
      <c r="A250" s="2922" t="s">
        <v>867</v>
      </c>
      <c r="B250" s="2921"/>
      <c r="C250" s="2921"/>
      <c r="D250" s="2921"/>
      <c r="E250" s="2921"/>
      <c r="F250" s="2921"/>
      <c r="G250" s="2921"/>
      <c r="H250" s="2921"/>
    </row>
    <row r="251" spans="1:8">
      <c r="A251" s="2922" t="s">
        <v>868</v>
      </c>
      <c r="B251" s="2921"/>
      <c r="C251" s="2921"/>
      <c r="D251" s="2921"/>
      <c r="E251" s="2921"/>
      <c r="F251" s="2921"/>
      <c r="G251" s="2921"/>
      <c r="H251" s="2921"/>
    </row>
    <row r="252" spans="1:8">
      <c r="A252" s="2922" t="s">
        <v>869</v>
      </c>
      <c r="B252" s="2921"/>
      <c r="C252" s="2921"/>
      <c r="D252" s="2921"/>
      <c r="E252" s="2921"/>
      <c r="F252" s="2921"/>
      <c r="G252" s="2921"/>
      <c r="H252" s="2921"/>
    </row>
    <row r="253" spans="1:8">
      <c r="A253" s="2922" t="s">
        <v>870</v>
      </c>
      <c r="B253" s="2921"/>
      <c r="C253" s="2921"/>
      <c r="D253" s="2921"/>
      <c r="E253" s="2921"/>
      <c r="F253" s="2921"/>
      <c r="G253" s="2921"/>
      <c r="H253" s="2921"/>
    </row>
    <row r="254" spans="1:8">
      <c r="A254" s="2922" t="s">
        <v>871</v>
      </c>
      <c r="B254" s="2921"/>
      <c r="C254" s="2921"/>
      <c r="D254" s="2921"/>
      <c r="E254" s="2921"/>
      <c r="F254" s="2921"/>
      <c r="G254" s="2921"/>
      <c r="H254" s="2921"/>
    </row>
    <row r="255" spans="1:8">
      <c r="A255" s="2922" t="s">
        <v>872</v>
      </c>
      <c r="B255" s="2921"/>
      <c r="C255" s="2921"/>
      <c r="D255" s="2921"/>
      <c r="E255" s="2921"/>
      <c r="F255" s="2921"/>
      <c r="G255" s="2921"/>
      <c r="H255" s="2921"/>
    </row>
    <row r="256" spans="1:8">
      <c r="A256" s="2922" t="s">
        <v>873</v>
      </c>
      <c r="B256" s="2921"/>
      <c r="C256" s="2921"/>
      <c r="D256" s="2921"/>
      <c r="E256" s="2921"/>
      <c r="F256" s="2921"/>
      <c r="G256" s="2921"/>
      <c r="H256" s="2921"/>
    </row>
    <row r="257" spans="1:8">
      <c r="A257" s="2922" t="s">
        <v>874</v>
      </c>
      <c r="B257" s="2921"/>
      <c r="C257" s="2921"/>
      <c r="D257" s="2921"/>
      <c r="E257" s="2921"/>
      <c r="F257" s="2921"/>
      <c r="G257" s="2921"/>
      <c r="H257" s="2921"/>
    </row>
    <row r="258" spans="1:8">
      <c r="A258" s="2922" t="s">
        <v>875</v>
      </c>
      <c r="B258" s="2921"/>
      <c r="C258" s="2921"/>
      <c r="D258" s="2921"/>
      <c r="E258" s="2921"/>
      <c r="F258" s="2921"/>
      <c r="G258" s="2921"/>
      <c r="H258" s="2921"/>
    </row>
    <row r="259" spans="1:8">
      <c r="A259" s="2922" t="s">
        <v>876</v>
      </c>
      <c r="B259" s="2921"/>
      <c r="C259" s="2921"/>
      <c r="D259" s="2921"/>
      <c r="E259" s="2921"/>
      <c r="F259" s="2921"/>
      <c r="G259" s="2921"/>
      <c r="H259" s="2921"/>
    </row>
    <row r="260" spans="1:8">
      <c r="A260" s="2922" t="s">
        <v>877</v>
      </c>
      <c r="B260" s="2921"/>
      <c r="C260" s="2921"/>
      <c r="D260" s="2921"/>
      <c r="E260" s="2921"/>
      <c r="F260" s="2921"/>
      <c r="G260" s="2921"/>
      <c r="H260" s="2921"/>
    </row>
    <row r="261" spans="1:8">
      <c r="A261" s="2921"/>
      <c r="B261" s="2921"/>
      <c r="C261" s="2921"/>
      <c r="D261" s="2921"/>
      <c r="E261" s="2921"/>
      <c r="F261" s="2921"/>
      <c r="G261" s="2921"/>
      <c r="H261" s="2921"/>
    </row>
    <row r="262" spans="1:8">
      <c r="A262" s="2922" t="s">
        <v>855</v>
      </c>
      <c r="B262" s="2921"/>
      <c r="C262" s="2921"/>
      <c r="D262" s="2921"/>
      <c r="E262" s="2921"/>
      <c r="F262" s="2921"/>
      <c r="G262" s="2921"/>
      <c r="H262" s="2921"/>
    </row>
    <row r="263" spans="1:8">
      <c r="A263" s="2922" t="s">
        <v>856</v>
      </c>
      <c r="B263" s="2921"/>
      <c r="C263" s="2921"/>
      <c r="D263" s="2921"/>
      <c r="E263" s="2921"/>
      <c r="F263" s="2921"/>
      <c r="G263" s="2921"/>
      <c r="H263" s="2921"/>
    </row>
    <row r="264" spans="1:8">
      <c r="A264" s="2922" t="s">
        <v>857</v>
      </c>
      <c r="B264" s="2921"/>
      <c r="C264" s="2921"/>
      <c r="D264" s="2921"/>
      <c r="E264" s="2921"/>
      <c r="F264" s="2921"/>
      <c r="G264" s="2921"/>
      <c r="H264" s="2921"/>
    </row>
    <row r="265" spans="1:8">
      <c r="A265" s="2922" t="s">
        <v>858</v>
      </c>
      <c r="B265" s="2921"/>
      <c r="C265" s="2921"/>
      <c r="D265" s="2921"/>
      <c r="E265" s="2921"/>
      <c r="F265" s="2921"/>
      <c r="G265" s="2921"/>
      <c r="H265" s="2921"/>
    </row>
    <row r="266" spans="1:8">
      <c r="A266" s="2922" t="s">
        <v>859</v>
      </c>
      <c r="B266" s="2921"/>
      <c r="C266" s="2921"/>
      <c r="D266" s="2921"/>
      <c r="E266" s="2921"/>
      <c r="F266" s="2921"/>
      <c r="G266" s="2921"/>
      <c r="H266" s="2921"/>
    </row>
    <row r="267" spans="1:8">
      <c r="A267" s="2922" t="s">
        <v>860</v>
      </c>
      <c r="B267" s="2921"/>
      <c r="C267" s="2921"/>
      <c r="D267" s="2921"/>
      <c r="E267" s="2921"/>
      <c r="F267" s="2921"/>
      <c r="G267" s="2921"/>
      <c r="H267" s="2921"/>
    </row>
    <row r="268" spans="1:8">
      <c r="A268" s="2922" t="s">
        <v>861</v>
      </c>
      <c r="B268" s="2921"/>
      <c r="C268" s="2921"/>
      <c r="D268" s="2921"/>
      <c r="E268" s="2921"/>
      <c r="F268" s="2921"/>
      <c r="G268" s="2921"/>
      <c r="H268" s="2921"/>
    </row>
    <row r="269" spans="1:8">
      <c r="A269" s="2921"/>
      <c r="B269" s="2921"/>
      <c r="C269" s="2921"/>
      <c r="D269" s="2921"/>
      <c r="E269" s="2921"/>
      <c r="F269" s="2921"/>
      <c r="G269" s="2921"/>
      <c r="H269" s="2921"/>
    </row>
    <row r="270" spans="1:8">
      <c r="A270" s="2922" t="s">
        <v>846</v>
      </c>
      <c r="B270" s="2921"/>
      <c r="C270" s="2921"/>
      <c r="D270" s="2921"/>
      <c r="E270" s="2921"/>
      <c r="F270" s="2921"/>
      <c r="G270" s="2921"/>
      <c r="H270" s="2921"/>
    </row>
    <row r="271" spans="1:8">
      <c r="A271" s="2922" t="s">
        <v>847</v>
      </c>
      <c r="B271" s="2921"/>
      <c r="C271" s="2921"/>
      <c r="D271" s="2921"/>
      <c r="E271" s="2921"/>
      <c r="F271" s="2921"/>
      <c r="G271" s="2921"/>
      <c r="H271" s="2921"/>
    </row>
    <row r="272" spans="1:8">
      <c r="A272" s="2922" t="s">
        <v>848</v>
      </c>
      <c r="B272" s="2921"/>
      <c r="C272" s="2921"/>
      <c r="D272" s="2921"/>
      <c r="E272" s="2921"/>
      <c r="F272" s="2921"/>
      <c r="G272" s="2921"/>
      <c r="H272" s="2921"/>
    </row>
    <row r="273" spans="1:8">
      <c r="A273" s="2922" t="s">
        <v>849</v>
      </c>
      <c r="B273" s="2921"/>
      <c r="C273" s="2921"/>
      <c r="D273" s="2921"/>
      <c r="E273" s="2921"/>
      <c r="F273" s="2921"/>
      <c r="G273" s="2921"/>
      <c r="H273" s="2921"/>
    </row>
    <row r="274" spans="1:8">
      <c r="A274" s="2922" t="s">
        <v>850</v>
      </c>
      <c r="B274" s="2921"/>
      <c r="C274" s="2921"/>
      <c r="D274" s="2921"/>
      <c r="E274" s="2921"/>
      <c r="F274" s="2921"/>
      <c r="G274" s="2921"/>
      <c r="H274" s="2921"/>
    </row>
    <row r="275" spans="1:8">
      <c r="A275" s="2922" t="s">
        <v>851</v>
      </c>
      <c r="B275" s="2921"/>
      <c r="C275" s="2921"/>
      <c r="D275" s="2921"/>
      <c r="E275" s="2921"/>
      <c r="F275" s="2921"/>
      <c r="G275" s="2921"/>
      <c r="H275" s="2921"/>
    </row>
    <row r="276" spans="1:8">
      <c r="A276" s="2922" t="s">
        <v>852</v>
      </c>
      <c r="B276" s="2921"/>
      <c r="C276" s="2921"/>
      <c r="D276" s="2921"/>
      <c r="E276" s="2921"/>
      <c r="F276" s="2921"/>
      <c r="G276" s="2921"/>
      <c r="H276" s="2921"/>
    </row>
    <row r="277" spans="1:8">
      <c r="A277" s="2922" t="s">
        <v>853</v>
      </c>
      <c r="B277" s="2921"/>
      <c r="C277" s="2921"/>
      <c r="D277" s="2921"/>
      <c r="E277" s="2921"/>
      <c r="F277" s="2921"/>
      <c r="G277" s="2921"/>
      <c r="H277" s="2921"/>
    </row>
    <row r="278" spans="1:8">
      <c r="A278" s="2922" t="s">
        <v>854</v>
      </c>
      <c r="B278" s="2921"/>
      <c r="C278" s="2921"/>
      <c r="D278" s="2921"/>
      <c r="E278" s="2921"/>
      <c r="F278" s="2921"/>
      <c r="G278" s="2921"/>
      <c r="H278" s="2921"/>
    </row>
    <row r="279" spans="1:8">
      <c r="A279" s="2921"/>
      <c r="B279" s="2921"/>
      <c r="C279" s="2921"/>
      <c r="D279" s="2921"/>
      <c r="E279" s="2921"/>
      <c r="F279" s="2921"/>
      <c r="G279" s="2921"/>
      <c r="H279" s="2921"/>
    </row>
    <row r="280" spans="1:8">
      <c r="A280" s="2922" t="s">
        <v>839</v>
      </c>
      <c r="B280" s="2921"/>
      <c r="C280" s="2921"/>
      <c r="D280" s="2921"/>
      <c r="E280" s="2921"/>
      <c r="F280" s="2921"/>
      <c r="G280" s="2921"/>
      <c r="H280" s="2921"/>
    </row>
    <row r="281" spans="1:8">
      <c r="A281" s="2922" t="s">
        <v>840</v>
      </c>
      <c r="B281" s="2921"/>
      <c r="C281" s="2921"/>
      <c r="D281" s="2921"/>
      <c r="E281" s="2921"/>
      <c r="F281" s="2921"/>
      <c r="G281" s="2921"/>
      <c r="H281" s="2921"/>
    </row>
    <row r="282" spans="1:8">
      <c r="A282" s="2922" t="s">
        <v>841</v>
      </c>
      <c r="B282" s="2921"/>
      <c r="C282" s="2921"/>
      <c r="D282" s="2921"/>
      <c r="E282" s="2921"/>
      <c r="F282" s="2921"/>
      <c r="G282" s="2921"/>
      <c r="H282" s="2921"/>
    </row>
    <row r="283" spans="1:8">
      <c r="A283" s="2922" t="s">
        <v>842</v>
      </c>
      <c r="B283" s="2921"/>
      <c r="C283" s="2921"/>
      <c r="D283" s="2921"/>
      <c r="E283" s="2921"/>
      <c r="F283" s="2921"/>
      <c r="G283" s="2921"/>
      <c r="H283" s="2921"/>
    </row>
    <row r="284" spans="1:8">
      <c r="A284" s="2922" t="s">
        <v>843</v>
      </c>
      <c r="B284" s="2921"/>
      <c r="C284" s="2921"/>
      <c r="D284" s="2921"/>
      <c r="E284" s="2921"/>
      <c r="F284" s="2921"/>
      <c r="G284" s="2921"/>
      <c r="H284" s="2921"/>
    </row>
    <row r="285" spans="1:8">
      <c r="A285" s="2922" t="s">
        <v>844</v>
      </c>
      <c r="B285" s="2921"/>
      <c r="C285" s="2921"/>
      <c r="D285" s="2921"/>
      <c r="E285" s="2921"/>
      <c r="F285" s="2921"/>
      <c r="G285" s="2921"/>
      <c r="H285" s="2921"/>
    </row>
    <row r="286" spans="1:8">
      <c r="A286" s="2922" t="s">
        <v>845</v>
      </c>
      <c r="B286" s="2921"/>
      <c r="C286" s="2921"/>
      <c r="D286" s="2921"/>
      <c r="E286" s="2921"/>
      <c r="F286" s="2921"/>
      <c r="G286" s="2921"/>
      <c r="H286" s="2921"/>
    </row>
    <row r="287" spans="1:8">
      <c r="A287" s="2921"/>
      <c r="B287" s="2921"/>
      <c r="C287" s="2921"/>
      <c r="D287" s="2921"/>
      <c r="E287" s="2921"/>
      <c r="F287" s="2921"/>
      <c r="G287" s="2921"/>
      <c r="H287" s="2921"/>
    </row>
    <row r="288" spans="1:8">
      <c r="A288" s="2922" t="s">
        <v>836</v>
      </c>
      <c r="B288" s="2921"/>
      <c r="C288" s="2921"/>
      <c r="D288" s="2921"/>
      <c r="E288" s="2921"/>
      <c r="F288" s="2921"/>
      <c r="G288" s="2921"/>
      <c r="H288" s="2921"/>
    </row>
    <row r="289" spans="1:8">
      <c r="A289" s="2922" t="s">
        <v>837</v>
      </c>
      <c r="B289" s="2921"/>
      <c r="C289" s="2921"/>
      <c r="D289" s="2921"/>
      <c r="E289" s="2921"/>
      <c r="F289" s="2921"/>
      <c r="G289" s="2921"/>
      <c r="H289" s="2921"/>
    </row>
    <row r="290" spans="1:8">
      <c r="A290" s="2922" t="s">
        <v>838</v>
      </c>
      <c r="B290" s="2921"/>
      <c r="C290" s="2921"/>
      <c r="D290" s="2921"/>
      <c r="E290" s="2921"/>
      <c r="F290" s="2921"/>
      <c r="G290" s="2921"/>
      <c r="H290" s="2921"/>
    </row>
    <row r="291" spans="1:8">
      <c r="A291" s="2921"/>
      <c r="B291" s="2921"/>
      <c r="C291" s="2921"/>
      <c r="D291" s="2921"/>
      <c r="E291" s="2921"/>
      <c r="F291" s="2921"/>
      <c r="G291" s="2921"/>
      <c r="H291" s="2921"/>
    </row>
    <row r="292" spans="1:8">
      <c r="A292" s="2922" t="s">
        <v>834</v>
      </c>
      <c r="B292" s="2921"/>
      <c r="C292" s="2921"/>
      <c r="D292" s="2921"/>
      <c r="E292" s="2921"/>
      <c r="F292" s="2921"/>
      <c r="G292" s="2921"/>
      <c r="H292" s="2921"/>
    </row>
    <row r="293" spans="1:8">
      <c r="A293" s="2922" t="s">
        <v>835</v>
      </c>
      <c r="B293" s="2921"/>
      <c r="C293" s="2921"/>
      <c r="D293" s="2921"/>
      <c r="E293" s="2921"/>
      <c r="F293" s="2921"/>
      <c r="G293" s="2921"/>
      <c r="H293" s="2921"/>
    </row>
    <row r="294" spans="1:8">
      <c r="A294" s="2921"/>
      <c r="B294" s="2921"/>
      <c r="C294" s="2921"/>
      <c r="D294" s="2921"/>
      <c r="E294" s="2921"/>
      <c r="F294" s="2921"/>
      <c r="G294" s="2921"/>
      <c r="H294" s="2921"/>
    </row>
    <row r="295" spans="1:8">
      <c r="A295" s="2922" t="s">
        <v>821</v>
      </c>
      <c r="B295" s="2921"/>
      <c r="C295" s="2921"/>
      <c r="D295" s="2921"/>
      <c r="E295" s="2921"/>
      <c r="F295" s="2921"/>
      <c r="G295" s="2921"/>
      <c r="H295" s="2921"/>
    </row>
    <row r="296" spans="1:8">
      <c r="A296" s="2922" t="s">
        <v>822</v>
      </c>
      <c r="B296" s="2921"/>
      <c r="C296" s="2921"/>
      <c r="D296" s="2921"/>
      <c r="E296" s="2921"/>
      <c r="F296" s="2921"/>
      <c r="G296" s="2921"/>
      <c r="H296" s="2921"/>
    </row>
    <row r="297" spans="1:8">
      <c r="A297" s="2922" t="s">
        <v>823</v>
      </c>
      <c r="B297" s="2921"/>
      <c r="C297" s="2921"/>
      <c r="D297" s="2921"/>
      <c r="E297" s="2921"/>
      <c r="F297" s="2921"/>
      <c r="G297" s="2921"/>
      <c r="H297" s="2921"/>
    </row>
    <row r="298" spans="1:8">
      <c r="A298" s="2922" t="s">
        <v>824</v>
      </c>
      <c r="B298" s="2921"/>
      <c r="C298" s="2921"/>
      <c r="D298" s="2921"/>
      <c r="E298" s="2921"/>
      <c r="F298" s="2921"/>
      <c r="G298" s="2921"/>
      <c r="H298" s="2921"/>
    </row>
    <row r="299" spans="1:8">
      <c r="A299" s="2922" t="s">
        <v>825</v>
      </c>
      <c r="B299" s="2921"/>
      <c r="C299" s="2921"/>
      <c r="D299" s="2921"/>
      <c r="E299" s="2921"/>
      <c r="F299" s="2921"/>
      <c r="G299" s="2921"/>
      <c r="H299" s="2921"/>
    </row>
    <row r="300" spans="1:8">
      <c r="A300" s="2922" t="s">
        <v>826</v>
      </c>
      <c r="B300" s="2921"/>
      <c r="C300" s="2921"/>
      <c r="D300" s="2921"/>
      <c r="E300" s="2921"/>
      <c r="F300" s="2921"/>
      <c r="G300" s="2921"/>
      <c r="H300" s="2921"/>
    </row>
    <row r="301" spans="1:8">
      <c r="A301" s="2922" t="s">
        <v>827</v>
      </c>
      <c r="B301" s="2921"/>
      <c r="C301" s="2921"/>
      <c r="D301" s="2921"/>
      <c r="E301" s="2921"/>
      <c r="F301" s="2921"/>
      <c r="G301" s="2921"/>
      <c r="H301" s="2921"/>
    </row>
    <row r="302" spans="1:8">
      <c r="A302" s="2922" t="s">
        <v>828</v>
      </c>
      <c r="B302" s="2921"/>
      <c r="C302" s="2921"/>
      <c r="D302" s="2921"/>
      <c r="E302" s="2921"/>
      <c r="F302" s="2921"/>
      <c r="G302" s="2921"/>
      <c r="H302" s="2921"/>
    </row>
    <row r="303" spans="1:8">
      <c r="A303" s="2922" t="s">
        <v>829</v>
      </c>
      <c r="B303" s="2921"/>
      <c r="C303" s="2921"/>
      <c r="D303" s="2921"/>
      <c r="E303" s="2921"/>
      <c r="F303" s="2921"/>
      <c r="G303" s="2921"/>
      <c r="H303" s="2921"/>
    </row>
    <row r="304" spans="1:8">
      <c r="A304" s="2922" t="s">
        <v>830</v>
      </c>
      <c r="B304" s="2921"/>
      <c r="C304" s="2921"/>
      <c r="D304" s="2921"/>
      <c r="E304" s="2921"/>
      <c r="F304" s="2921"/>
      <c r="G304" s="2921"/>
      <c r="H304" s="2921"/>
    </row>
    <row r="305" spans="1:8">
      <c r="A305" s="2922" t="s">
        <v>831</v>
      </c>
      <c r="B305" s="2921"/>
      <c r="C305" s="2921"/>
      <c r="D305" s="2921"/>
      <c r="E305" s="2921"/>
      <c r="F305" s="2921"/>
      <c r="G305" s="2921"/>
      <c r="H305" s="2921"/>
    </row>
    <row r="306" spans="1:8">
      <c r="A306" s="2922" t="s">
        <v>832</v>
      </c>
      <c r="B306" s="2921"/>
      <c r="C306" s="2921"/>
      <c r="D306" s="2921"/>
      <c r="E306" s="2921"/>
      <c r="F306" s="2921"/>
      <c r="G306" s="2921"/>
      <c r="H306" s="2921"/>
    </row>
    <row r="307" spans="1:8">
      <c r="A307" s="2922" t="s">
        <v>833</v>
      </c>
      <c r="B307" s="2921"/>
      <c r="C307" s="2921"/>
      <c r="D307" s="2921"/>
      <c r="E307" s="2921"/>
      <c r="F307" s="2921"/>
      <c r="G307" s="2921"/>
      <c r="H307" s="2921"/>
    </row>
    <row r="308" spans="1:8">
      <c r="A308" s="2921"/>
      <c r="B308" s="2921"/>
      <c r="C308" s="2921"/>
      <c r="D308" s="2921"/>
      <c r="E308" s="2921"/>
      <c r="F308" s="2921"/>
      <c r="G308" s="2921"/>
      <c r="H308" s="2921"/>
    </row>
    <row r="309" spans="1:8">
      <c r="A309" s="2922" t="s">
        <v>813</v>
      </c>
      <c r="B309" s="2921"/>
      <c r="C309" s="2921"/>
      <c r="D309" s="2921"/>
      <c r="E309" s="2921"/>
      <c r="F309" s="2921"/>
      <c r="G309" s="2921"/>
      <c r="H309" s="2921"/>
    </row>
    <row r="310" spans="1:8">
      <c r="A310" s="2922" t="s">
        <v>814</v>
      </c>
      <c r="B310" s="2921"/>
      <c r="C310" s="2921"/>
      <c r="D310" s="2921"/>
      <c r="E310" s="2921"/>
      <c r="F310" s="2921"/>
      <c r="G310" s="2921"/>
      <c r="H310" s="2921"/>
    </row>
    <row r="311" spans="1:8">
      <c r="A311" s="2922" t="s">
        <v>815</v>
      </c>
      <c r="B311" s="2921"/>
      <c r="C311" s="2921"/>
      <c r="D311" s="2921"/>
      <c r="E311" s="2921"/>
      <c r="F311" s="2921"/>
      <c r="G311" s="2921"/>
      <c r="H311" s="2921"/>
    </row>
    <row r="312" spans="1:8">
      <c r="A312" s="2922" t="s">
        <v>816</v>
      </c>
      <c r="B312" s="2921"/>
      <c r="C312" s="2921"/>
      <c r="D312" s="2921"/>
      <c r="E312" s="2921"/>
      <c r="F312" s="2921"/>
      <c r="G312" s="2921"/>
      <c r="H312" s="2921"/>
    </row>
    <row r="313" spans="1:8">
      <c r="A313" s="2922" t="s">
        <v>817</v>
      </c>
      <c r="B313" s="2921"/>
      <c r="C313" s="2921"/>
      <c r="D313" s="2921"/>
      <c r="E313" s="2921"/>
      <c r="F313" s="2921"/>
      <c r="G313" s="2921"/>
      <c r="H313" s="2921"/>
    </row>
    <row r="314" spans="1:8">
      <c r="A314" s="2922" t="s">
        <v>818</v>
      </c>
      <c r="B314" s="2921"/>
      <c r="C314" s="2921"/>
      <c r="D314" s="2921"/>
      <c r="E314" s="2921"/>
      <c r="F314" s="2921"/>
      <c r="G314" s="2921"/>
      <c r="H314" s="2921"/>
    </row>
    <row r="315" spans="1:8">
      <c r="A315" s="2922" t="s">
        <v>819</v>
      </c>
      <c r="B315" s="2921"/>
      <c r="C315" s="2921"/>
      <c r="D315" s="2921"/>
      <c r="E315" s="2921"/>
      <c r="F315" s="2921"/>
      <c r="G315" s="2921"/>
      <c r="H315" s="2921"/>
    </row>
    <row r="316" spans="1:8">
      <c r="A316" s="2922" t="s">
        <v>820</v>
      </c>
      <c r="B316" s="2921"/>
      <c r="C316" s="2921"/>
      <c r="D316" s="2921"/>
      <c r="E316" s="2921"/>
      <c r="F316" s="2921"/>
      <c r="G316" s="2921"/>
      <c r="H316" s="2921"/>
    </row>
    <row r="317" spans="1:8">
      <c r="A317" s="2921"/>
      <c r="B317" s="2921"/>
      <c r="C317" s="2921"/>
      <c r="D317" s="2921"/>
      <c r="E317" s="2921"/>
      <c r="F317" s="2921"/>
      <c r="G317" s="2921"/>
      <c r="H317" s="2921"/>
    </row>
    <row r="318" spans="1:8">
      <c r="A318" s="2922" t="s">
        <v>778</v>
      </c>
      <c r="B318" s="2921"/>
      <c r="C318" s="2921"/>
      <c r="D318" s="2921"/>
      <c r="E318" s="2921"/>
      <c r="F318" s="2921"/>
      <c r="G318" s="2921"/>
      <c r="H318" s="2921"/>
    </row>
    <row r="319" spans="1:8">
      <c r="A319" s="2922" t="s">
        <v>779</v>
      </c>
      <c r="B319" s="2921"/>
      <c r="C319" s="2921"/>
      <c r="D319" s="2921"/>
      <c r="E319" s="2921"/>
      <c r="F319" s="2921"/>
      <c r="G319" s="2921"/>
      <c r="H319" s="2921"/>
    </row>
    <row r="320" spans="1:8">
      <c r="A320" s="2922" t="s">
        <v>780</v>
      </c>
      <c r="B320" s="2921"/>
      <c r="C320" s="2921"/>
      <c r="D320" s="2921"/>
      <c r="E320" s="2921"/>
      <c r="F320" s="2921"/>
      <c r="G320" s="2921"/>
      <c r="H320" s="2921"/>
    </row>
    <row r="321" spans="1:8">
      <c r="A321" s="2922" t="s">
        <v>781</v>
      </c>
      <c r="B321" s="2921"/>
      <c r="C321" s="2921"/>
      <c r="D321" s="2921"/>
      <c r="E321" s="2921"/>
      <c r="F321" s="2921"/>
      <c r="G321" s="2921"/>
      <c r="H321" s="2921"/>
    </row>
    <row r="322" spans="1:8">
      <c r="A322" s="2922" t="s">
        <v>782</v>
      </c>
      <c r="B322" s="2921"/>
      <c r="C322" s="2921"/>
      <c r="D322" s="2921"/>
      <c r="E322" s="2921"/>
      <c r="F322" s="2921"/>
      <c r="G322" s="2921"/>
      <c r="H322" s="2921"/>
    </row>
    <row r="323" spans="1:8">
      <c r="A323" s="2922" t="s">
        <v>783</v>
      </c>
      <c r="B323" s="2921"/>
      <c r="C323" s="2921"/>
      <c r="D323" s="2921"/>
      <c r="E323" s="2921"/>
      <c r="F323" s="2921"/>
      <c r="G323" s="2921"/>
      <c r="H323" s="2921"/>
    </row>
    <row r="324" spans="1:8">
      <c r="A324" s="2922" t="s">
        <v>784</v>
      </c>
      <c r="B324" s="2921"/>
      <c r="C324" s="2921"/>
      <c r="D324" s="2921"/>
      <c r="E324" s="2921"/>
      <c r="F324" s="2921"/>
      <c r="G324" s="2921"/>
      <c r="H324" s="2921"/>
    </row>
    <row r="325" spans="1:8">
      <c r="A325" s="2922" t="s">
        <v>785</v>
      </c>
      <c r="B325" s="2921"/>
      <c r="C325" s="2921"/>
      <c r="D325" s="2921"/>
      <c r="E325" s="2921"/>
      <c r="F325" s="2921"/>
      <c r="G325" s="2921"/>
      <c r="H325" s="2921"/>
    </row>
    <row r="326" spans="1:8">
      <c r="A326" s="2922" t="s">
        <v>786</v>
      </c>
      <c r="B326" s="2921"/>
      <c r="C326" s="2921"/>
      <c r="D326" s="2921"/>
      <c r="E326" s="2921"/>
      <c r="F326" s="2921"/>
      <c r="G326" s="2921"/>
      <c r="H326" s="2921"/>
    </row>
    <row r="327" spans="1:8">
      <c r="A327" s="2922" t="s">
        <v>787</v>
      </c>
      <c r="B327" s="2921"/>
      <c r="C327" s="2921"/>
      <c r="D327" s="2921"/>
      <c r="E327" s="2921"/>
      <c r="F327" s="2921"/>
      <c r="G327" s="2921"/>
      <c r="H327" s="2921"/>
    </row>
    <row r="328" spans="1:8">
      <c r="A328" s="2922" t="s">
        <v>788</v>
      </c>
      <c r="B328" s="2921"/>
      <c r="C328" s="2921"/>
      <c r="D328" s="2921"/>
      <c r="E328" s="2921"/>
      <c r="F328" s="2921"/>
      <c r="G328" s="2921"/>
      <c r="H328" s="2921"/>
    </row>
    <row r="329" spans="1:8">
      <c r="A329" s="2922" t="s">
        <v>789</v>
      </c>
      <c r="B329" s="2921"/>
      <c r="C329" s="2921"/>
      <c r="D329" s="2921"/>
      <c r="E329" s="2921"/>
      <c r="F329" s="2921"/>
      <c r="G329" s="2921"/>
      <c r="H329" s="2921"/>
    </row>
    <row r="330" spans="1:8">
      <c r="A330" s="2922" t="s">
        <v>790</v>
      </c>
      <c r="B330" s="2921"/>
      <c r="C330" s="2921"/>
      <c r="D330" s="2921"/>
      <c r="E330" s="2921"/>
      <c r="F330" s="2921"/>
      <c r="G330" s="2921"/>
      <c r="H330" s="2921"/>
    </row>
    <row r="331" spans="1:8">
      <c r="A331" s="2922" t="s">
        <v>791</v>
      </c>
      <c r="B331" s="2921"/>
      <c r="C331" s="2921"/>
      <c r="D331" s="2921"/>
      <c r="E331" s="2921"/>
      <c r="F331" s="2921"/>
      <c r="G331" s="2921"/>
      <c r="H331" s="2921"/>
    </row>
    <row r="332" spans="1:8">
      <c r="A332" s="2922" t="s">
        <v>792</v>
      </c>
      <c r="B332" s="2921"/>
      <c r="C332" s="2921"/>
      <c r="D332" s="2921"/>
      <c r="E332" s="2921"/>
      <c r="F332" s="2921"/>
      <c r="G332" s="2921"/>
      <c r="H332" s="2921"/>
    </row>
    <row r="333" spans="1:8">
      <c r="A333" s="2922" t="s">
        <v>793</v>
      </c>
      <c r="B333" s="2921"/>
      <c r="C333" s="2921"/>
      <c r="D333" s="2921"/>
      <c r="E333" s="2921"/>
      <c r="F333" s="2921"/>
      <c r="G333" s="2921"/>
      <c r="H333" s="2921"/>
    </row>
    <row r="334" spans="1:8">
      <c r="A334" s="2922" t="s">
        <v>794</v>
      </c>
      <c r="B334" s="2921"/>
      <c r="C334" s="2921"/>
      <c r="D334" s="2921"/>
      <c r="E334" s="2921"/>
      <c r="F334" s="2921"/>
      <c r="G334" s="2921"/>
      <c r="H334" s="2921"/>
    </row>
    <row r="335" spans="1:8">
      <c r="A335" s="2922" t="s">
        <v>795</v>
      </c>
      <c r="B335" s="2921"/>
      <c r="C335" s="2921"/>
      <c r="D335" s="2921"/>
      <c r="E335" s="2921"/>
      <c r="F335" s="2921"/>
      <c r="G335" s="2921"/>
      <c r="H335" s="2921"/>
    </row>
    <row r="336" spans="1:8">
      <c r="A336" s="2922" t="s">
        <v>796</v>
      </c>
      <c r="B336" s="2921"/>
      <c r="C336" s="2921"/>
      <c r="D336" s="2921"/>
      <c r="E336" s="2921"/>
      <c r="F336" s="2921"/>
      <c r="G336" s="2921"/>
      <c r="H336" s="2921"/>
    </row>
    <row r="337" spans="1:8">
      <c r="A337" s="2922" t="s">
        <v>797</v>
      </c>
      <c r="B337" s="2921"/>
      <c r="C337" s="2921"/>
      <c r="D337" s="2921"/>
      <c r="E337" s="2921"/>
      <c r="F337" s="2921"/>
      <c r="G337" s="2921"/>
      <c r="H337" s="2921"/>
    </row>
    <row r="338" spans="1:8">
      <c r="A338" s="2922" t="s">
        <v>798</v>
      </c>
      <c r="B338" s="2921"/>
      <c r="C338" s="2921"/>
      <c r="D338" s="2921"/>
      <c r="E338" s="2921"/>
      <c r="F338" s="2921"/>
      <c r="G338" s="2921"/>
      <c r="H338" s="2921"/>
    </row>
    <row r="339" spans="1:8">
      <c r="A339" s="2922" t="s">
        <v>799</v>
      </c>
      <c r="B339" s="2921"/>
      <c r="C339" s="2921"/>
      <c r="D339" s="2921"/>
      <c r="E339" s="2921"/>
      <c r="F339" s="2921"/>
      <c r="G339" s="2921"/>
      <c r="H339" s="2921"/>
    </row>
    <row r="340" spans="1:8">
      <c r="A340" s="2922" t="s">
        <v>800</v>
      </c>
      <c r="B340" s="2921"/>
      <c r="C340" s="2921"/>
      <c r="D340" s="2921"/>
      <c r="E340" s="2921"/>
      <c r="F340" s="2921"/>
      <c r="G340" s="2921"/>
      <c r="H340" s="2921"/>
    </row>
    <row r="341" spans="1:8">
      <c r="A341" s="2922" t="s">
        <v>801</v>
      </c>
      <c r="B341" s="2921"/>
      <c r="C341" s="2921"/>
      <c r="D341" s="2921"/>
      <c r="E341" s="2921"/>
      <c r="F341" s="2921"/>
      <c r="G341" s="2921"/>
      <c r="H341" s="2921"/>
    </row>
    <row r="342" spans="1:8">
      <c r="A342" s="2922" t="s">
        <v>802</v>
      </c>
      <c r="B342" s="2921"/>
      <c r="C342" s="2921"/>
      <c r="D342" s="2921"/>
      <c r="E342" s="2921"/>
      <c r="F342" s="2921"/>
      <c r="G342" s="2921"/>
      <c r="H342" s="2921"/>
    </row>
    <row r="343" spans="1:8">
      <c r="A343" s="2922" t="s">
        <v>803</v>
      </c>
      <c r="B343" s="2921"/>
      <c r="C343" s="2921"/>
      <c r="D343" s="2921"/>
      <c r="E343" s="2921"/>
      <c r="F343" s="2921"/>
      <c r="G343" s="2921"/>
      <c r="H343" s="2921"/>
    </row>
    <row r="344" spans="1:8">
      <c r="A344" s="2922" t="s">
        <v>804</v>
      </c>
      <c r="B344" s="2921"/>
      <c r="C344" s="2921"/>
      <c r="D344" s="2921"/>
      <c r="E344" s="2921"/>
      <c r="F344" s="2921"/>
      <c r="G344" s="2921"/>
      <c r="H344" s="2921"/>
    </row>
    <row r="345" spans="1:8">
      <c r="A345" s="2922" t="s">
        <v>805</v>
      </c>
      <c r="B345" s="2921"/>
      <c r="C345" s="2921"/>
      <c r="D345" s="2921"/>
      <c r="E345" s="2921"/>
      <c r="F345" s="2921"/>
      <c r="G345" s="2921"/>
      <c r="H345" s="2921"/>
    </row>
    <row r="346" spans="1:8">
      <c r="A346" s="2922" t="s">
        <v>806</v>
      </c>
      <c r="B346" s="2921"/>
      <c r="C346" s="2921"/>
      <c r="D346" s="2921"/>
      <c r="E346" s="2921"/>
      <c r="F346" s="2921"/>
      <c r="G346" s="2921"/>
      <c r="H346" s="2921"/>
    </row>
    <row r="347" spans="1:8">
      <c r="A347" s="2922" t="s">
        <v>807</v>
      </c>
      <c r="B347" s="2921"/>
      <c r="C347" s="2921"/>
      <c r="D347" s="2921"/>
      <c r="E347" s="2921"/>
      <c r="F347" s="2921"/>
      <c r="G347" s="2921"/>
      <c r="H347" s="2921"/>
    </row>
    <row r="348" spans="1:8">
      <c r="A348" s="2922" t="s">
        <v>808</v>
      </c>
      <c r="B348" s="2921"/>
      <c r="C348" s="2921"/>
      <c r="D348" s="2921"/>
      <c r="E348" s="2921"/>
      <c r="F348" s="2921"/>
      <c r="G348" s="2921"/>
      <c r="H348" s="2921"/>
    </row>
    <row r="349" spans="1:8">
      <c r="A349" s="2922" t="s">
        <v>809</v>
      </c>
      <c r="B349" s="2921"/>
      <c r="C349" s="2921"/>
      <c r="D349" s="2921"/>
      <c r="E349" s="2921"/>
      <c r="F349" s="2921"/>
      <c r="G349" s="2921"/>
      <c r="H349" s="2921"/>
    </row>
    <row r="350" spans="1:8">
      <c r="A350" s="2922" t="s">
        <v>810</v>
      </c>
      <c r="B350" s="2921"/>
      <c r="C350" s="2921"/>
      <c r="D350" s="2921"/>
      <c r="E350" s="2921"/>
      <c r="F350" s="2921"/>
      <c r="G350" s="2921"/>
      <c r="H350" s="2921"/>
    </row>
    <row r="351" spans="1:8">
      <c r="A351" s="2922" t="s">
        <v>811</v>
      </c>
      <c r="B351" s="2921"/>
      <c r="C351" s="2921"/>
      <c r="D351" s="2921"/>
      <c r="E351" s="2921"/>
      <c r="F351" s="2921"/>
      <c r="G351" s="2921"/>
      <c r="H351" s="2921"/>
    </row>
    <row r="352" spans="1:8">
      <c r="A352" s="2922" t="s">
        <v>812</v>
      </c>
      <c r="B352" s="2921"/>
      <c r="C352" s="2921"/>
      <c r="D352" s="2921"/>
      <c r="E352" s="2921"/>
      <c r="F352" s="2921"/>
      <c r="G352" s="2921"/>
      <c r="H352" s="2921"/>
    </row>
    <row r="353" spans="1:8">
      <c r="A353" s="2921"/>
      <c r="B353" s="2921"/>
      <c r="C353" s="2921"/>
      <c r="D353" s="2921"/>
      <c r="E353" s="2921"/>
      <c r="F353" s="2921"/>
      <c r="G353" s="2921"/>
      <c r="H353" s="2921"/>
    </row>
    <row r="354" spans="1:8">
      <c r="A354" s="2922" t="s">
        <v>770</v>
      </c>
      <c r="B354" s="2921"/>
      <c r="C354" s="2921"/>
      <c r="D354" s="2921"/>
      <c r="E354" s="2921"/>
      <c r="F354" s="2921"/>
      <c r="G354" s="2921"/>
      <c r="H354" s="2921"/>
    </row>
    <row r="355" spans="1:8">
      <c r="A355" s="2922" t="s">
        <v>774</v>
      </c>
      <c r="B355" s="2921"/>
      <c r="C355" s="2921"/>
      <c r="D355" s="2921"/>
      <c r="E355" s="2921"/>
      <c r="F355" s="2921"/>
      <c r="G355" s="2921"/>
      <c r="H355" s="2921"/>
    </row>
    <row r="356" spans="1:8">
      <c r="A356" s="2922" t="s">
        <v>775</v>
      </c>
      <c r="B356" s="2921"/>
      <c r="C356" s="2921"/>
      <c r="D356" s="2921"/>
      <c r="E356" s="2921"/>
      <c r="F356" s="2921"/>
      <c r="G356" s="2921"/>
      <c r="H356" s="2921"/>
    </row>
    <row r="357" spans="1:8">
      <c r="A357" s="2922" t="s">
        <v>776</v>
      </c>
      <c r="B357" s="2921"/>
      <c r="C357" s="2921"/>
      <c r="D357" s="2921"/>
      <c r="E357" s="2921"/>
      <c r="F357" s="2921"/>
      <c r="G357" s="2921"/>
      <c r="H357" s="2921"/>
    </row>
    <row r="358" spans="1:8">
      <c r="A358" s="2922" t="s">
        <v>777</v>
      </c>
      <c r="B358" s="2921"/>
      <c r="C358" s="2921"/>
      <c r="D358" s="2921"/>
      <c r="E358" s="2921"/>
      <c r="F358" s="2921"/>
      <c r="G358" s="2921"/>
      <c r="H358" s="2921"/>
    </row>
    <row r="359" spans="1:8">
      <c r="A359" s="2921"/>
      <c r="B359" s="2921"/>
      <c r="C359" s="2921"/>
      <c r="D359" s="2921"/>
      <c r="E359" s="2921"/>
      <c r="F359" s="2921"/>
      <c r="G359" s="2921"/>
      <c r="H359" s="2921"/>
    </row>
    <row r="360" spans="1:8">
      <c r="A360" s="2922" t="s">
        <v>770</v>
      </c>
      <c r="B360" s="2921"/>
      <c r="C360" s="2921"/>
      <c r="D360" s="2921"/>
      <c r="E360" s="2921"/>
      <c r="F360" s="2921"/>
      <c r="G360" s="2921"/>
      <c r="H360" s="2921"/>
    </row>
    <row r="361" spans="1:8">
      <c r="A361" s="2922" t="s">
        <v>771</v>
      </c>
      <c r="B361" s="2921"/>
      <c r="C361" s="2921"/>
      <c r="D361" s="2921"/>
      <c r="E361" s="2921"/>
      <c r="F361" s="2921"/>
      <c r="G361" s="2921"/>
      <c r="H361" s="2921"/>
    </row>
    <row r="362" spans="1:8">
      <c r="A362" s="2922" t="s">
        <v>772</v>
      </c>
      <c r="B362" s="2921"/>
      <c r="C362" s="2921"/>
      <c r="D362" s="2921"/>
      <c r="E362" s="2921"/>
      <c r="F362" s="2921"/>
      <c r="G362" s="2921"/>
      <c r="H362" s="2921"/>
    </row>
    <row r="363" spans="1:8">
      <c r="A363" s="2922" t="s">
        <v>773</v>
      </c>
      <c r="B363" s="2921"/>
      <c r="C363" s="2921"/>
      <c r="D363" s="2921"/>
      <c r="E363" s="2921"/>
      <c r="F363" s="2921"/>
      <c r="G363" s="2921"/>
      <c r="H363" s="2921"/>
    </row>
    <row r="364" spans="1:8">
      <c r="A364" s="2921"/>
      <c r="B364" s="2921"/>
      <c r="C364" s="2921"/>
      <c r="D364" s="2921"/>
      <c r="E364" s="2921"/>
      <c r="F364" s="2921"/>
      <c r="G364" s="2921"/>
      <c r="H364" s="2921"/>
    </row>
    <row r="365" spans="1:8">
      <c r="A365" s="2922" t="s">
        <v>764</v>
      </c>
      <c r="B365" s="2921"/>
      <c r="C365" s="2921"/>
      <c r="D365" s="2921"/>
      <c r="E365" s="2921"/>
      <c r="F365" s="2921"/>
      <c r="G365" s="2921"/>
      <c r="H365" s="2921"/>
    </row>
    <row r="366" spans="1:8">
      <c r="A366" s="2922" t="s">
        <v>765</v>
      </c>
      <c r="B366" s="2921"/>
      <c r="C366" s="2921"/>
      <c r="D366" s="2921"/>
      <c r="E366" s="2921"/>
      <c r="F366" s="2921"/>
      <c r="G366" s="2921"/>
      <c r="H366" s="2921"/>
    </row>
    <row r="367" spans="1:8">
      <c r="A367" s="2922" t="s">
        <v>766</v>
      </c>
      <c r="B367" s="2921"/>
      <c r="C367" s="2921"/>
      <c r="D367" s="2921"/>
      <c r="E367" s="2921"/>
      <c r="F367" s="2921"/>
      <c r="G367" s="2921"/>
      <c r="H367" s="2921"/>
    </row>
    <row r="368" spans="1:8">
      <c r="A368" s="2922" t="s">
        <v>767</v>
      </c>
      <c r="B368" s="2921"/>
      <c r="C368" s="2921"/>
      <c r="D368" s="2921"/>
      <c r="E368" s="2921"/>
      <c r="F368" s="2921"/>
      <c r="G368" s="2921"/>
      <c r="H368" s="2921"/>
    </row>
    <row r="369" spans="1:8">
      <c r="A369" s="2922" t="s">
        <v>768</v>
      </c>
      <c r="B369" s="2921"/>
      <c r="C369" s="2921"/>
      <c r="D369" s="2921"/>
      <c r="E369" s="2921"/>
      <c r="F369" s="2921"/>
      <c r="G369" s="2921"/>
      <c r="H369" s="2921"/>
    </row>
    <row r="370" spans="1:8">
      <c r="A370" s="2922" t="s">
        <v>769</v>
      </c>
      <c r="B370" s="2921"/>
      <c r="C370" s="2921"/>
      <c r="D370" s="2921"/>
      <c r="E370" s="2921"/>
      <c r="F370" s="2921"/>
      <c r="G370" s="2921"/>
      <c r="H370" s="2921"/>
    </row>
    <row r="371" spans="1:8">
      <c r="A371" s="2921"/>
      <c r="B371" s="2921"/>
      <c r="C371" s="2921"/>
      <c r="D371" s="2921"/>
      <c r="E371" s="2921"/>
      <c r="F371" s="2921"/>
      <c r="G371" s="2921"/>
      <c r="H371" s="2921"/>
    </row>
    <row r="372" spans="1:8">
      <c r="A372" s="2922" t="s">
        <v>759</v>
      </c>
      <c r="B372" s="2921"/>
      <c r="C372" s="2921"/>
      <c r="D372" s="2921"/>
      <c r="E372" s="2921"/>
      <c r="F372" s="2921"/>
      <c r="G372" s="2921"/>
      <c r="H372" s="2921"/>
    </row>
    <row r="373" spans="1:8">
      <c r="A373" s="2922" t="s">
        <v>760</v>
      </c>
      <c r="B373" s="2921"/>
      <c r="C373" s="2921"/>
      <c r="D373" s="2921"/>
      <c r="E373" s="2921"/>
      <c r="F373" s="2921"/>
      <c r="G373" s="2921"/>
      <c r="H373" s="2921"/>
    </row>
    <row r="374" spans="1:8">
      <c r="A374" s="2922" t="s">
        <v>761</v>
      </c>
      <c r="B374" s="2921"/>
      <c r="C374" s="2921"/>
      <c r="D374" s="2921"/>
      <c r="E374" s="2921"/>
      <c r="F374" s="2921"/>
      <c r="G374" s="2921"/>
      <c r="H374" s="2921"/>
    </row>
    <row r="375" spans="1:8">
      <c r="A375" s="2922" t="s">
        <v>762</v>
      </c>
      <c r="B375" s="2921"/>
      <c r="C375" s="2921"/>
      <c r="D375" s="2921"/>
      <c r="E375" s="2921"/>
      <c r="F375" s="2921"/>
      <c r="G375" s="2921"/>
      <c r="H375" s="2921"/>
    </row>
    <row r="376" spans="1:8">
      <c r="A376" s="2922" t="s">
        <v>763</v>
      </c>
      <c r="B376" s="2921"/>
      <c r="C376" s="2921"/>
      <c r="D376" s="2921"/>
      <c r="E376" s="2921"/>
      <c r="F376" s="2921"/>
      <c r="G376" s="2921"/>
      <c r="H376" s="2921"/>
    </row>
    <row r="377" spans="1:8">
      <c r="A377" s="2921"/>
      <c r="B377" s="2921"/>
      <c r="C377" s="2921"/>
      <c r="D377" s="2921"/>
      <c r="E377" s="2921"/>
      <c r="F377" s="2921"/>
      <c r="G377" s="2921"/>
      <c r="H377" s="2921"/>
    </row>
    <row r="378" spans="1:8">
      <c r="A378" s="2922" t="s">
        <v>757</v>
      </c>
      <c r="B378" s="2921"/>
      <c r="C378" s="2921"/>
      <c r="D378" s="2921"/>
      <c r="E378" s="2921"/>
      <c r="F378" s="2921"/>
      <c r="G378" s="2921"/>
      <c r="H378" s="2921"/>
    </row>
    <row r="379" spans="1:8">
      <c r="A379" s="2922" t="s">
        <v>758</v>
      </c>
      <c r="B379" s="2921"/>
      <c r="C379" s="2921"/>
      <c r="D379" s="2921"/>
      <c r="E379" s="2921"/>
      <c r="F379" s="2921"/>
      <c r="G379" s="2921"/>
      <c r="H379" s="2921"/>
    </row>
    <row r="381" spans="1:8">
      <c r="A381" s="2917" t="s">
        <v>1006</v>
      </c>
    </row>
  </sheetData>
  <mergeCells count="12">
    <mergeCell ref="A122:H122"/>
    <mergeCell ref="A123:H123"/>
    <mergeCell ref="B115:C115"/>
    <mergeCell ref="D115:F115"/>
    <mergeCell ref="G115:H115"/>
    <mergeCell ref="A101:H101"/>
    <mergeCell ref="A102:H102"/>
    <mergeCell ref="A103:H103"/>
    <mergeCell ref="A104:H104"/>
    <mergeCell ref="A106:H106"/>
    <mergeCell ref="A107:H107"/>
    <mergeCell ref="A114:H114"/>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N72"/>
  <sheetViews>
    <sheetView showGridLines="0" zoomScaleNormal="100" workbookViewId="0">
      <selection activeCell="I29" sqref="I29"/>
    </sheetView>
  </sheetViews>
  <sheetFormatPr defaultRowHeight="11.25" customHeight="1"/>
  <cols>
    <col min="1" max="1" width="21.42578125" customWidth="1"/>
    <col min="2" max="8" width="8.7109375" customWidth="1"/>
    <col min="11" max="11" width="26.42578125" bestFit="1" customWidth="1"/>
  </cols>
  <sheetData>
    <row r="1" spans="1:12" ht="15.75">
      <c r="A1" s="256" t="s">
        <v>257</v>
      </c>
      <c r="B1" s="19"/>
      <c r="C1" s="19"/>
      <c r="D1" s="19"/>
      <c r="E1" s="19"/>
      <c r="F1" s="19"/>
      <c r="G1" s="19"/>
      <c r="H1" s="19"/>
      <c r="I1" s="36"/>
      <c r="J1" s="36"/>
      <c r="K1" s="19"/>
      <c r="L1" s="254"/>
    </row>
    <row r="2" spans="1:12" ht="11.25" customHeight="1">
      <c r="A2" s="19"/>
      <c r="B2" s="19"/>
      <c r="C2" s="19"/>
      <c r="D2" s="19"/>
      <c r="E2" s="19"/>
      <c r="F2" s="19"/>
      <c r="G2" s="19"/>
      <c r="H2" s="19"/>
      <c r="I2" s="19"/>
      <c r="J2" s="19"/>
      <c r="K2" s="19"/>
      <c r="L2" s="93"/>
    </row>
    <row r="3" spans="1:12" ht="11.25" customHeight="1">
      <c r="A3" s="19"/>
      <c r="B3" s="34"/>
      <c r="C3" s="19"/>
      <c r="D3" s="19"/>
      <c r="E3" s="19"/>
      <c r="F3" s="1729"/>
      <c r="G3" s="1729"/>
      <c r="H3" s="1729"/>
      <c r="I3" s="19"/>
      <c r="J3" s="19"/>
      <c r="K3" s="19"/>
      <c r="L3" s="93"/>
    </row>
    <row r="4" spans="1:12" ht="11.25" customHeight="1">
      <c r="A4" s="29" t="s">
        <v>234</v>
      </c>
      <c r="C4" s="38">
        <v>43.3</v>
      </c>
      <c r="D4" s="19"/>
      <c r="E4" s="19"/>
      <c r="F4" s="1729"/>
      <c r="G4" s="1729"/>
      <c r="H4" s="1729"/>
      <c r="I4" s="19"/>
      <c r="J4" s="19"/>
      <c r="K4" s="19"/>
    </row>
    <row r="5" spans="1:12" ht="11.25" customHeight="1">
      <c r="A5" s="29" t="s">
        <v>236</v>
      </c>
      <c r="C5" s="35">
        <f>C14/C4-1</f>
        <v>-7.6212471131639647E-2</v>
      </c>
      <c r="D5" s="19"/>
      <c r="E5" s="31"/>
      <c r="F5" s="19"/>
      <c r="G5" s="19"/>
      <c r="H5" s="19"/>
      <c r="I5" s="19"/>
      <c r="J5" s="19"/>
      <c r="K5" s="19"/>
    </row>
    <row r="6" spans="1:12" ht="11.25" customHeight="1">
      <c r="A6" s="19" t="s">
        <v>354</v>
      </c>
      <c r="C6" s="257">
        <f>C4*C11</f>
        <v>3856.4711999999995</v>
      </c>
      <c r="D6" s="19"/>
      <c r="E6" s="19"/>
      <c r="F6" s="19"/>
      <c r="G6" s="19"/>
      <c r="H6" s="19"/>
      <c r="I6" s="19"/>
      <c r="J6" s="19"/>
      <c r="K6" s="19"/>
    </row>
    <row r="7" spans="1:12" ht="11.25" customHeight="1">
      <c r="A7" s="19" t="s">
        <v>355</v>
      </c>
      <c r="C7" s="257">
        <f>C6+C9-C10</f>
        <v>3047.4381999999996</v>
      </c>
      <c r="D7" s="19"/>
      <c r="E7" s="19"/>
      <c r="F7" s="19"/>
      <c r="G7" s="19"/>
      <c r="H7" s="19"/>
      <c r="I7" s="19"/>
      <c r="J7" s="19"/>
      <c r="K7" s="19"/>
    </row>
    <row r="8" spans="1:12" ht="11.25" customHeight="1">
      <c r="A8" s="19"/>
      <c r="C8" s="19"/>
      <c r="D8" s="19"/>
      <c r="E8" s="19"/>
      <c r="F8" s="19"/>
      <c r="G8" s="19"/>
      <c r="H8" s="19"/>
      <c r="I8" s="19"/>
      <c r="J8" s="19"/>
      <c r="K8" s="19"/>
    </row>
    <row r="9" spans="1:12" ht="11.25" customHeight="1">
      <c r="A9" s="19" t="s">
        <v>356</v>
      </c>
      <c r="C9" s="257">
        <v>30.736999999999998</v>
      </c>
      <c r="D9" s="19"/>
      <c r="E9" s="19"/>
      <c r="F9" s="19"/>
      <c r="G9" s="19"/>
      <c r="H9" s="19"/>
      <c r="I9" s="19"/>
      <c r="J9" s="19"/>
      <c r="K9" s="19"/>
    </row>
    <row r="10" spans="1:12" ht="11.25" customHeight="1">
      <c r="A10" s="19" t="s">
        <v>357</v>
      </c>
      <c r="C10" s="257">
        <v>839.7700000000001</v>
      </c>
      <c r="D10" s="19"/>
      <c r="E10" s="19"/>
      <c r="F10" s="19"/>
      <c r="G10" s="19"/>
      <c r="H10" s="19"/>
      <c r="I10" s="19"/>
      <c r="J10" s="19"/>
      <c r="K10" s="19"/>
    </row>
    <row r="11" spans="1:12" ht="11.25" customHeight="1">
      <c r="A11" s="19" t="s">
        <v>339</v>
      </c>
      <c r="C11" s="255">
        <v>89.063999999999993</v>
      </c>
      <c r="D11" s="19"/>
      <c r="E11" s="19"/>
      <c r="F11" s="19"/>
      <c r="G11" s="19"/>
      <c r="H11" s="19"/>
      <c r="I11" s="19"/>
      <c r="J11" s="19"/>
      <c r="K11" s="19"/>
    </row>
    <row r="12" spans="1:12" ht="11.25" customHeight="1">
      <c r="A12" s="19"/>
      <c r="C12" s="19"/>
      <c r="D12" s="19"/>
      <c r="E12" s="19"/>
      <c r="F12" s="19"/>
      <c r="G12" s="19"/>
      <c r="H12" s="19"/>
      <c r="I12" s="19"/>
      <c r="J12" s="19"/>
      <c r="K12" s="1727"/>
    </row>
    <row r="13" spans="1:12" ht="11.25" customHeight="1">
      <c r="A13" s="19"/>
      <c r="C13" s="19"/>
      <c r="D13" s="19"/>
      <c r="E13" s="19"/>
      <c r="F13" s="19"/>
      <c r="G13" s="19"/>
      <c r="H13" s="19"/>
      <c r="I13" s="19"/>
      <c r="J13" s="19"/>
      <c r="K13" s="19"/>
    </row>
    <row r="14" spans="1:12" ht="11.25" customHeight="1">
      <c r="A14" s="29" t="s">
        <v>237</v>
      </c>
      <c r="C14" s="30">
        <v>40</v>
      </c>
      <c r="D14" s="19"/>
      <c r="E14" s="19"/>
      <c r="F14" s="19"/>
      <c r="G14" s="19"/>
      <c r="H14" s="19"/>
      <c r="I14" s="19"/>
      <c r="J14" s="19"/>
      <c r="K14" s="19"/>
    </row>
    <row r="15" spans="1:12" ht="11.25" customHeight="1">
      <c r="A15" s="19" t="s">
        <v>358</v>
      </c>
      <c r="C15" s="257">
        <v>3757.9638852535845</v>
      </c>
      <c r="D15" s="19"/>
      <c r="E15" s="19"/>
      <c r="F15" s="19"/>
      <c r="G15" s="19"/>
      <c r="H15" s="19"/>
      <c r="I15" s="19"/>
      <c r="J15" s="19"/>
      <c r="K15" s="19"/>
    </row>
    <row r="16" spans="1:12" ht="11.25" customHeight="1">
      <c r="A16" s="19" t="s">
        <v>359</v>
      </c>
      <c r="C16" s="257">
        <v>2948.9308852535846</v>
      </c>
      <c r="D16" s="19"/>
      <c r="E16" s="19"/>
      <c r="F16" s="19"/>
      <c r="G16" s="19"/>
      <c r="H16" s="19"/>
      <c r="I16" s="19"/>
      <c r="J16" s="19"/>
      <c r="K16" s="19"/>
    </row>
    <row r="17" spans="1:13" ht="11.25" customHeight="1">
      <c r="A17" s="19"/>
      <c r="B17" s="31"/>
      <c r="C17" s="31"/>
      <c r="D17" s="19"/>
      <c r="E17" s="19"/>
      <c r="F17" s="19"/>
      <c r="G17" s="19"/>
      <c r="H17" s="19"/>
      <c r="I17" s="19"/>
      <c r="J17" s="19"/>
      <c r="K17" s="19"/>
    </row>
    <row r="18" spans="1:13" ht="11.25" customHeight="1">
      <c r="A18" s="19"/>
      <c r="B18" s="19"/>
      <c r="C18" s="19"/>
      <c r="D18" s="19"/>
      <c r="E18" s="19"/>
      <c r="F18" s="19"/>
      <c r="G18" s="19"/>
      <c r="H18" s="19"/>
      <c r="I18" s="19"/>
      <c r="J18" s="19"/>
      <c r="K18" s="19"/>
    </row>
    <row r="19" spans="1:13" ht="11.25" customHeight="1">
      <c r="A19" s="19"/>
      <c r="B19" s="31"/>
      <c r="C19" s="31"/>
      <c r="D19" s="19"/>
      <c r="E19" s="19"/>
      <c r="F19" s="19"/>
      <c r="G19" s="19"/>
      <c r="H19" s="92"/>
      <c r="I19" s="19"/>
      <c r="J19" s="19"/>
      <c r="K19" s="19"/>
    </row>
    <row r="20" spans="1:13" ht="11.25" customHeight="1">
      <c r="A20" s="20" t="str">
        <f>"Multiples at current price - $"&amp;C4</f>
        <v>Multiples at current price - $43.3</v>
      </c>
      <c r="B20" s="21"/>
      <c r="C20" s="21"/>
      <c r="D20" s="21"/>
      <c r="E20" s="21"/>
      <c r="F20" s="21"/>
      <c r="G20" s="21"/>
      <c r="H20" s="21"/>
      <c r="I20" s="21"/>
      <c r="J20" s="19"/>
    </row>
    <row r="21" spans="1:13" ht="11.25" customHeight="1">
      <c r="A21" s="32"/>
      <c r="B21" s="2535">
        <v>2012</v>
      </c>
      <c r="C21" s="2535">
        <f t="shared" ref="C21:I21" si="0">B21+1</f>
        <v>2013</v>
      </c>
      <c r="D21" s="2535">
        <f t="shared" si="0"/>
        <v>2014</v>
      </c>
      <c r="E21" s="2535">
        <f t="shared" si="0"/>
        <v>2015</v>
      </c>
      <c r="F21" s="2535">
        <f t="shared" si="0"/>
        <v>2016</v>
      </c>
      <c r="G21" s="2536">
        <f t="shared" si="0"/>
        <v>2017</v>
      </c>
      <c r="H21" s="2857">
        <f t="shared" si="0"/>
        <v>2018</v>
      </c>
      <c r="I21" s="2549">
        <f t="shared" si="0"/>
        <v>2019</v>
      </c>
      <c r="J21" s="19"/>
    </row>
    <row r="22" spans="1:13" ht="11.25" customHeight="1">
      <c r="A22" s="19" t="s">
        <v>705</v>
      </c>
      <c r="B22" s="2538">
        <f>Model!BM23</f>
        <v>137.56599999999997</v>
      </c>
      <c r="C22" s="2538">
        <f>Model!BN23</f>
        <v>232.988</v>
      </c>
      <c r="D22" s="2538">
        <f>Model!BO23</f>
        <v>377.536</v>
      </c>
      <c r="E22" s="2539">
        <f>Model!BP23</f>
        <v>518.70000000000005</v>
      </c>
      <c r="F22" s="2538">
        <f>Model!BQ23</f>
        <v>713.06899999999996</v>
      </c>
      <c r="G22" s="2540">
        <v>827.00149999999996</v>
      </c>
      <c r="H22" s="2541">
        <v>881.85021608</v>
      </c>
      <c r="I22" s="2865">
        <v>1032.100532208</v>
      </c>
      <c r="J22" s="19"/>
    </row>
    <row r="23" spans="1:13" ht="11.25" customHeight="1">
      <c r="A23" s="29" t="s">
        <v>189</v>
      </c>
      <c r="B23" s="2542">
        <f t="shared" ref="B23:G23" si="1">IF(($C$7/B22)&lt;0,"NM",($C$7/B22))</f>
        <v>22.152553683322914</v>
      </c>
      <c r="C23" s="2542">
        <f t="shared" si="1"/>
        <v>13.079807543736157</v>
      </c>
      <c r="D23" s="2542">
        <f t="shared" si="1"/>
        <v>8.0719142015595846</v>
      </c>
      <c r="E23" s="2543">
        <f t="shared" si="1"/>
        <v>5.8751459417775198</v>
      </c>
      <c r="F23" s="2542">
        <f t="shared" si="1"/>
        <v>4.2736932891487358</v>
      </c>
      <c r="G23" s="2544">
        <f t="shared" si="1"/>
        <v>3.6849246343567694</v>
      </c>
      <c r="H23" s="2545">
        <f>IF(($C$7/H22)&lt;0,"NM",($C$7/H22))</f>
        <v>3.4557322144189859</v>
      </c>
      <c r="I23" s="2543">
        <f>IF(($C$7/I22)&lt;0,"NM",($C$7/I22))</f>
        <v>2.9526563594348065</v>
      </c>
      <c r="J23" s="19"/>
    </row>
    <row r="24" spans="1:13" ht="11.25" customHeight="1">
      <c r="A24" s="19" t="s">
        <v>191</v>
      </c>
      <c r="B24" s="2546">
        <f>Model!CM23</f>
        <v>0.55644954257198587</v>
      </c>
      <c r="C24" s="2546">
        <f>Model!CN23</f>
        <v>0.45188650189823898</v>
      </c>
      <c r="D24" s="2546">
        <f>Model!CO23</f>
        <v>0.30901025469906773</v>
      </c>
      <c r="E24" s="2546">
        <f>Model!CP23</f>
        <v>0.22777370615442566</v>
      </c>
      <c r="F24" s="2546">
        <f>Model!CQ23</f>
        <v>0.16117075834531464</v>
      </c>
      <c r="G24" s="2547">
        <f>Model!CR23</f>
        <v>0.14181723841464564</v>
      </c>
      <c r="H24" s="2548">
        <v>0.14006011451197242</v>
      </c>
      <c r="I24" s="2546">
        <v>0.11772576849798733</v>
      </c>
      <c r="J24" s="19"/>
    </row>
    <row r="25" spans="1:13" ht="11.25" customHeight="1">
      <c r="A25" s="19"/>
      <c r="B25" s="37"/>
      <c r="C25" s="37"/>
      <c r="D25" s="37"/>
      <c r="E25" s="2549"/>
      <c r="F25" s="37"/>
      <c r="G25" s="2550"/>
      <c r="H25" s="2537"/>
      <c r="I25" s="2549"/>
      <c r="J25" s="19"/>
    </row>
    <row r="26" spans="1:13" ht="11.25" customHeight="1">
      <c r="A26" s="19" t="s">
        <v>706</v>
      </c>
      <c r="B26" s="2538">
        <f>Model!BM49</f>
        <v>4.5969999999999676</v>
      </c>
      <c r="C26" s="2538">
        <f>Model!BN49</f>
        <v>29.428999999999988</v>
      </c>
      <c r="D26" s="2538">
        <f>Model!BO49</f>
        <v>70.921999999999997</v>
      </c>
      <c r="E26" s="2539">
        <f>Model!BP49</f>
        <v>38.111000000000004</v>
      </c>
      <c r="F26" s="2538">
        <f>Model!BQ49</f>
        <v>120.08199999999995</v>
      </c>
      <c r="G26" s="2540">
        <f>Model!BR49</f>
        <v>156.607</v>
      </c>
      <c r="H26" s="2541">
        <v>194.73906293868924</v>
      </c>
      <c r="I26" s="2539">
        <v>246.85361593670643</v>
      </c>
      <c r="J26" s="19"/>
    </row>
    <row r="27" spans="1:13" ht="11.25" customHeight="1">
      <c r="A27" s="29" t="s">
        <v>194</v>
      </c>
      <c r="B27" s="2542">
        <f t="shared" ref="B27:G27" si="2">IF(($C$7/B26)&lt;0,"NM",($C$7/B26))</f>
        <v>662.91890363280856</v>
      </c>
      <c r="C27" s="2542">
        <f t="shared" si="2"/>
        <v>103.55221720072041</v>
      </c>
      <c r="D27" s="2542">
        <f t="shared" si="2"/>
        <v>42.968870026225993</v>
      </c>
      <c r="E27" s="2543">
        <f t="shared" si="2"/>
        <v>79.962168402823309</v>
      </c>
      <c r="F27" s="2542">
        <f t="shared" si="2"/>
        <v>25.377976715910801</v>
      </c>
      <c r="G27" s="2544">
        <f t="shared" si="2"/>
        <v>19.459144227269533</v>
      </c>
      <c r="H27" s="2545">
        <f>IF(($C$7/H26)&lt;0,"NM",($C$7/H26))</f>
        <v>15.648828509354804</v>
      </c>
      <c r="I27" s="2543">
        <f>IF(($C$7/I26)&lt;0,"NM",($C$7/I26))</f>
        <v>12.345122790428828</v>
      </c>
      <c r="J27" s="19"/>
    </row>
    <row r="28" spans="1:13" ht="11.25" customHeight="1">
      <c r="A28" s="19" t="s">
        <v>191</v>
      </c>
      <c r="B28" s="2546">
        <f>Model!CM49</f>
        <v>1.0239134982972544</v>
      </c>
      <c r="C28" s="2546">
        <f>Model!CN49</f>
        <v>0.59796575947870223</v>
      </c>
      <c r="D28" s="2546">
        <f>Model!CO49</f>
        <v>0.30219712447216091</v>
      </c>
      <c r="E28" s="2546">
        <f>Model!CP49</f>
        <v>0.69802314255480047</v>
      </c>
      <c r="F28" s="2546">
        <f>Model!CQ49</f>
        <v>0.2504491468181268</v>
      </c>
      <c r="G28" s="2547">
        <f>Model!CR49</f>
        <v>0.21848641750089695</v>
      </c>
      <c r="H28" s="2548">
        <v>0.22804091151233297</v>
      </c>
      <c r="I28" s="2546">
        <v>0.20063511913927123</v>
      </c>
      <c r="J28" s="19"/>
      <c r="M28" s="19"/>
    </row>
    <row r="29" spans="1:13" ht="11.25" customHeight="1">
      <c r="A29" s="19"/>
      <c r="B29" s="37"/>
      <c r="C29" s="37"/>
      <c r="D29" s="37"/>
      <c r="E29" s="2549"/>
      <c r="F29" s="37"/>
      <c r="G29" s="2550"/>
      <c r="H29" s="2537"/>
      <c r="I29" s="2549"/>
      <c r="J29" s="19"/>
      <c r="M29" s="19"/>
    </row>
    <row r="30" spans="1:13" ht="11.25" customHeight="1">
      <c r="A30" s="19" t="s">
        <v>127</v>
      </c>
      <c r="B30" s="2551">
        <f>Model!BM75</f>
        <v>-5.6791445825408321E-2</v>
      </c>
      <c r="C30" s="2551">
        <f>Model!BN75</f>
        <v>0.16051473387649418</v>
      </c>
      <c r="D30" s="2551">
        <f>Model!BO75</f>
        <v>0.41615572910595627</v>
      </c>
      <c r="E30" s="2551">
        <f>Model!BP75</f>
        <v>0.14917739170483346</v>
      </c>
      <c r="F30" s="2551">
        <f>Model!BQ75</f>
        <v>0.61379229569537808</v>
      </c>
      <c r="G30" s="2552">
        <f>Model!BR75</f>
        <v>0.83153893444397331</v>
      </c>
      <c r="H30" s="2553">
        <f>Model!BS75</f>
        <v>0.94248321032277427</v>
      </c>
      <c r="I30" s="2551">
        <f>Model!BT75</f>
        <v>1.2796441618090568</v>
      </c>
      <c r="J30" s="19"/>
      <c r="M30" s="19"/>
    </row>
    <row r="31" spans="1:13" ht="11.25" customHeight="1">
      <c r="A31" s="29" t="s">
        <v>195</v>
      </c>
      <c r="B31" s="2542" t="str">
        <f t="shared" ref="B31:G31" si="3">IF(($C$4/B30)&lt;0,"NM",($C$4/B30))</f>
        <v>NM</v>
      </c>
      <c r="C31" s="2542">
        <f t="shared" si="3"/>
        <v>269.75716779567773</v>
      </c>
      <c r="D31" s="2542">
        <f t="shared" si="3"/>
        <v>104.04758837039944</v>
      </c>
      <c r="E31" s="2543">
        <f t="shared" si="3"/>
        <v>290.25846011354446</v>
      </c>
      <c r="F31" s="2542">
        <f t="shared" si="3"/>
        <v>70.545036657627847</v>
      </c>
      <c r="G31" s="2544">
        <f t="shared" si="3"/>
        <v>52.072125797637469</v>
      </c>
      <c r="H31" s="2545">
        <f>IF(($C$4/H30)&lt;0,"NM",($C$4/H30))</f>
        <v>45.942462980503336</v>
      </c>
      <c r="I31" s="2543">
        <f>IF(($C$4/I30)&lt;0,"NM",($C$4/I30))</f>
        <v>33.837531786013059</v>
      </c>
      <c r="J31" s="19"/>
      <c r="K31" s="2419"/>
      <c r="M31" s="19"/>
    </row>
    <row r="32" spans="1:13" ht="11.25" customHeight="1">
      <c r="A32" s="19" t="s">
        <v>191</v>
      </c>
      <c r="B32" s="2546" t="str">
        <f>Model!CM75</f>
        <v>NM</v>
      </c>
      <c r="C32" s="2546">
        <f>Model!CN75</f>
        <v>0.56375547505471757</v>
      </c>
      <c r="D32" s="2546">
        <f>Model!CO75</f>
        <v>0.2595311236492685</v>
      </c>
      <c r="E32" s="2546">
        <f>Model!CP75</f>
        <v>0.84865926181424067</v>
      </c>
      <c r="F32" s="2546">
        <f>Model!CQ75</f>
        <v>0.27748535145995551</v>
      </c>
      <c r="G32" s="2547">
        <f>Model!CR75</f>
        <v>0.21307938572544596</v>
      </c>
      <c r="H32" s="2548">
        <f>Model!CS75</f>
        <v>0</v>
      </c>
      <c r="I32" s="2546">
        <f>Model!CT75</f>
        <v>0</v>
      </c>
      <c r="J32" s="19"/>
      <c r="L32" s="40"/>
      <c r="M32" s="19"/>
    </row>
    <row r="33" spans="1:14" ht="11.25" customHeight="1">
      <c r="A33" s="29" t="s">
        <v>196</v>
      </c>
      <c r="B33" s="2542" t="str">
        <f t="shared" ref="B33:G33" si="4">IF(ISERROR(B31/(B32*100)),"NM",B31/(B32*100))</f>
        <v>NM</v>
      </c>
      <c r="C33" s="2542">
        <f t="shared" si="4"/>
        <v>4.7850030683869695</v>
      </c>
      <c r="D33" s="2542">
        <f t="shared" si="4"/>
        <v>4.0090601430528157</v>
      </c>
      <c r="E33" s="2543">
        <f t="shared" si="4"/>
        <v>3.4202002284525572</v>
      </c>
      <c r="F33" s="2542">
        <f t="shared" si="4"/>
        <v>2.5422976847773655</v>
      </c>
      <c r="G33" s="2544">
        <f t="shared" si="4"/>
        <v>2.4437899339888611</v>
      </c>
      <c r="H33" s="2545" t="str">
        <f>IF(ISERROR(H31/(H32*100)),"NM",H31/(H32*100))</f>
        <v>NM</v>
      </c>
      <c r="I33" s="2543" t="str">
        <f>IF(ISERROR(I31/(I32*100)),"NM",I31/(I32*100))</f>
        <v>NM</v>
      </c>
      <c r="J33" s="19"/>
      <c r="L33" s="33"/>
      <c r="M33" s="33"/>
      <c r="N33" s="33"/>
    </row>
    <row r="34" spans="1:14" ht="11.25" customHeight="1">
      <c r="A34" s="19"/>
      <c r="B34" s="34"/>
      <c r="C34" s="34"/>
      <c r="D34" s="34"/>
      <c r="E34" s="2554"/>
      <c r="F34" s="34"/>
      <c r="G34" s="2555"/>
      <c r="H34" s="2556"/>
      <c r="I34" s="2554"/>
      <c r="J34" s="19"/>
      <c r="L34" s="33"/>
      <c r="M34" s="33"/>
      <c r="N34" s="33"/>
    </row>
    <row r="35" spans="1:14" ht="11.25" customHeight="1">
      <c r="A35" s="19" t="s">
        <v>125</v>
      </c>
      <c r="B35" s="2551">
        <f>Model!BM77</f>
        <v>-0.3535614692792115</v>
      </c>
      <c r="C35" s="2551">
        <f>Model!BN77</f>
        <v>-0.1533236884184879</v>
      </c>
      <c r="D35" s="2551">
        <f>Model!BO77</f>
        <v>0.47238087837225229</v>
      </c>
      <c r="E35" s="2551">
        <f>Model!BP77</f>
        <v>-0.43117982230018859</v>
      </c>
      <c r="F35" s="2551">
        <f>Model!BQ77</f>
        <v>-6.0507315619504114E-2</v>
      </c>
      <c r="G35" s="2552">
        <f>Model!BR77</f>
        <v>1.8734779171594731</v>
      </c>
      <c r="H35" s="2553">
        <f>Model!BS77</f>
        <v>0.18711303929124729</v>
      </c>
      <c r="I35" s="2551">
        <f>Model!BT77</f>
        <v>0.51290198081432381</v>
      </c>
      <c r="J35" s="19"/>
      <c r="L35" s="33"/>
      <c r="M35" s="33"/>
      <c r="N35" s="33"/>
    </row>
    <row r="36" spans="1:14" ht="11.25" customHeight="1">
      <c r="A36" s="19" t="s">
        <v>197</v>
      </c>
      <c r="B36" s="2557" t="str">
        <f t="shared" ref="B36:G36" si="5">IF(($C$4/B35)&lt;0,"NM",($C$4/B35))</f>
        <v>NM</v>
      </c>
      <c r="C36" s="2557" t="str">
        <f t="shared" si="5"/>
        <v>NM</v>
      </c>
      <c r="D36" s="2557">
        <f t="shared" si="5"/>
        <v>91.663320812655996</v>
      </c>
      <c r="E36" s="2558" t="str">
        <f t="shared" si="5"/>
        <v>NM</v>
      </c>
      <c r="F36" s="2557" t="str">
        <f t="shared" si="5"/>
        <v>NM</v>
      </c>
      <c r="G36" s="2559">
        <f t="shared" si="5"/>
        <v>23.112095212550209</v>
      </c>
      <c r="H36" s="2560">
        <f>IF(($C$4/H35)&lt;0,"NM",($C$4/H35))</f>
        <v>231.41091697304</v>
      </c>
      <c r="I36" s="2558">
        <f>IF(($C$4/I35)&lt;0,"NM",($C$4/I35))</f>
        <v>84.4215885679628</v>
      </c>
      <c r="J36" s="19"/>
      <c r="L36" s="33"/>
      <c r="M36" s="33"/>
      <c r="N36" s="33"/>
    </row>
    <row r="37" spans="1:14" ht="11.25" customHeight="1">
      <c r="A37" s="19"/>
      <c r="B37" s="34"/>
      <c r="C37" s="34"/>
      <c r="D37" s="34"/>
      <c r="E37" s="2554"/>
      <c r="F37" s="34"/>
      <c r="G37" s="2555"/>
      <c r="H37" s="2556"/>
      <c r="I37" s="2554"/>
      <c r="J37" s="19"/>
      <c r="K37" s="19"/>
      <c r="L37" s="33"/>
      <c r="M37" s="33"/>
      <c r="N37" s="33"/>
    </row>
    <row r="38" spans="1:14" ht="11.25" customHeight="1">
      <c r="A38" s="19" t="s">
        <v>222</v>
      </c>
      <c r="B38" s="2538">
        <f>Model!BM249</f>
        <v>-8.6470000000000091</v>
      </c>
      <c r="C38" s="2538">
        <f>Model!BN249</f>
        <v>5.1890000000000107</v>
      </c>
      <c r="D38" s="2538">
        <f>Model!BO249</f>
        <v>28.877999999999993</v>
      </c>
      <c r="E38" s="2539">
        <f>Model!BP249</f>
        <v>-47.186999999999991</v>
      </c>
      <c r="F38" s="2538">
        <f>Model!BQ249</f>
        <v>103.90599999999998</v>
      </c>
      <c r="G38" s="2540">
        <f>Model!BR249</f>
        <v>152.04900000000004</v>
      </c>
      <c r="H38" s="2541">
        <f>Model!BS249</f>
        <v>149.14721202096479</v>
      </c>
      <c r="I38" s="2539">
        <f>Model!BT249</f>
        <v>170.44101692914106</v>
      </c>
      <c r="J38" s="19"/>
      <c r="K38" s="19"/>
      <c r="L38" s="33"/>
      <c r="M38" s="33"/>
      <c r="N38" s="33"/>
    </row>
    <row r="39" spans="1:14" ht="11.25" customHeight="1">
      <c r="A39" s="29" t="s">
        <v>76</v>
      </c>
      <c r="B39" s="2542" t="str">
        <f t="shared" ref="B39:G39" si="6">IF(($C$7/B38)&lt;0,"NM",($C$7/B38))</f>
        <v>NM</v>
      </c>
      <c r="C39" s="2542">
        <f t="shared" si="6"/>
        <v>587.28814800539476</v>
      </c>
      <c r="D39" s="2542">
        <f t="shared" si="6"/>
        <v>105.52802133111713</v>
      </c>
      <c r="E39" s="2543" t="str">
        <f t="shared" si="6"/>
        <v>NM</v>
      </c>
      <c r="F39" s="2542">
        <f t="shared" si="6"/>
        <v>29.328799106885072</v>
      </c>
      <c r="G39" s="2544">
        <f t="shared" si="6"/>
        <v>20.042474465468363</v>
      </c>
      <c r="H39" s="2545">
        <f>IF(($C$7/H38)&lt;0,"NM",($C$7/H38))</f>
        <v>20.432418137133119</v>
      </c>
      <c r="I39" s="2543">
        <f>IF(($C$7/I38)&lt;0,"NM",($C$7/I38))</f>
        <v>17.879723172896451</v>
      </c>
      <c r="J39" s="19"/>
      <c r="K39" s="19"/>
      <c r="L39" s="33"/>
      <c r="M39" s="33"/>
      <c r="N39" s="33"/>
    </row>
    <row r="40" spans="1:14" ht="11.25" customHeight="1">
      <c r="A40" s="19" t="s">
        <v>191</v>
      </c>
      <c r="B40" s="2546">
        <f>Model!CM249</f>
        <v>0.76056596840880597</v>
      </c>
      <c r="C40" s="2546">
        <f>Model!CN249</f>
        <v>1.7155157032464099</v>
      </c>
      <c r="D40" s="2546">
        <f>Model!CO249</f>
        <v>0.7396911415070726</v>
      </c>
      <c r="E40" s="2546" t="str">
        <f>Model!CP249</f>
        <v>NM</v>
      </c>
      <c r="F40" s="2546">
        <f>Model!CQ249</f>
        <v>0.17935484835390617</v>
      </c>
      <c r="G40" s="2547">
        <f>Model!CR249</f>
        <v>0.10204955067832827</v>
      </c>
      <c r="H40" s="2548">
        <f>Model!CS249</f>
        <v>0</v>
      </c>
      <c r="I40" s="2546">
        <f>Model!CT249</f>
        <v>0</v>
      </c>
      <c r="J40" s="19"/>
      <c r="K40" s="19"/>
      <c r="L40" s="33"/>
      <c r="M40" s="33"/>
      <c r="N40" s="33"/>
    </row>
    <row r="41" spans="1:14" ht="11.25" customHeight="1">
      <c r="A41" s="29" t="s">
        <v>235</v>
      </c>
      <c r="B41" s="2561" t="str">
        <f t="shared" ref="B41:G41" si="7">IF((B38/$C$7)&lt;0,"NM",(B38/$C$7))</f>
        <v>NM</v>
      </c>
      <c r="C41" s="2561">
        <f t="shared" si="7"/>
        <v>1.7027416667547224E-3</v>
      </c>
      <c r="D41" s="2561">
        <f t="shared" si="7"/>
        <v>9.4761560710238512E-3</v>
      </c>
      <c r="E41" s="2561" t="str">
        <f t="shared" si="7"/>
        <v>NM</v>
      </c>
      <c r="F41" s="2561">
        <f t="shared" si="7"/>
        <v>3.409617953860393E-2</v>
      </c>
      <c r="G41" s="2562">
        <f t="shared" si="7"/>
        <v>4.9894038868450244E-2</v>
      </c>
      <c r="H41" s="2563">
        <f>IF((H38/$C$7)&lt;0,"NM",(H38/$C$7))</f>
        <v>4.8941833183348826E-2</v>
      </c>
      <c r="I41" s="2561">
        <f>IF((I38/$C$7)&lt;0,"NM",(I38/$C$7))</f>
        <v>5.5929277558160517E-2</v>
      </c>
      <c r="J41" s="19"/>
      <c r="K41" s="19"/>
      <c r="L41" s="33"/>
      <c r="M41" s="33"/>
      <c r="N41" s="33"/>
    </row>
    <row r="42" spans="1:14" ht="11.25" customHeight="1">
      <c r="A42" s="19"/>
      <c r="B42" s="19"/>
      <c r="C42" s="19"/>
      <c r="D42" s="19"/>
      <c r="E42" s="19"/>
      <c r="F42" s="19"/>
      <c r="G42" s="19"/>
      <c r="H42" s="92"/>
      <c r="I42" s="92"/>
      <c r="J42" s="19"/>
      <c r="K42" s="19"/>
      <c r="L42" s="33"/>
      <c r="M42" s="33"/>
      <c r="N42" s="33"/>
    </row>
    <row r="43" spans="1:14" ht="11.25" customHeight="1">
      <c r="A43" s="19"/>
      <c r="B43" s="19"/>
      <c r="C43" s="19"/>
      <c r="D43" s="19"/>
      <c r="E43" s="19"/>
      <c r="F43" s="19"/>
      <c r="G43" s="19"/>
      <c r="H43" s="92"/>
      <c r="I43" s="92"/>
      <c r="J43" s="19"/>
      <c r="K43" s="19"/>
      <c r="L43" s="33"/>
      <c r="M43" s="33"/>
      <c r="N43" s="33"/>
    </row>
    <row r="44" spans="1:14" ht="11.25" customHeight="1">
      <c r="A44" s="20" t="str">
        <f>"Multiples at base case - $"&amp;C14</f>
        <v>Multiples at base case - $40</v>
      </c>
      <c r="B44" s="21"/>
      <c r="C44" s="21"/>
      <c r="D44" s="21"/>
      <c r="E44" s="21"/>
      <c r="F44" s="21"/>
      <c r="G44" s="21"/>
      <c r="H44" s="21"/>
      <c r="I44" s="21"/>
      <c r="J44" s="19"/>
      <c r="K44" s="22" t="s">
        <v>326</v>
      </c>
      <c r="L44" s="23"/>
      <c r="M44" s="245"/>
      <c r="N44" s="33"/>
    </row>
    <row r="45" spans="1:14" ht="11.25" customHeight="1">
      <c r="A45" s="32"/>
      <c r="B45" s="2535">
        <f t="shared" ref="B45:I45" si="8">B$21</f>
        <v>2012</v>
      </c>
      <c r="C45" s="2535">
        <f t="shared" si="8"/>
        <v>2013</v>
      </c>
      <c r="D45" s="2535">
        <f t="shared" si="8"/>
        <v>2014</v>
      </c>
      <c r="E45" s="2535">
        <f t="shared" si="8"/>
        <v>2015</v>
      </c>
      <c r="F45" s="2535">
        <f t="shared" si="8"/>
        <v>2016</v>
      </c>
      <c r="G45" s="2536">
        <f t="shared" si="8"/>
        <v>2017</v>
      </c>
      <c r="H45" s="2857">
        <f t="shared" si="8"/>
        <v>2018</v>
      </c>
      <c r="I45" s="2535">
        <f t="shared" si="8"/>
        <v>2019</v>
      </c>
      <c r="J45" s="19"/>
      <c r="K45" s="24" t="s">
        <v>186</v>
      </c>
      <c r="L45" s="25">
        <f>DCF!L32</f>
        <v>561.83891584955131</v>
      </c>
      <c r="M45" s="33"/>
      <c r="N45" s="33"/>
    </row>
    <row r="46" spans="1:14" ht="11.25" customHeight="1">
      <c r="A46" s="19" t="s">
        <v>145</v>
      </c>
      <c r="B46" s="2538">
        <f t="shared" ref="B46:G46" si="9">B22</f>
        <v>137.56599999999997</v>
      </c>
      <c r="C46" s="2538">
        <f t="shared" si="9"/>
        <v>232.988</v>
      </c>
      <c r="D46" s="2538">
        <f t="shared" si="9"/>
        <v>377.536</v>
      </c>
      <c r="E46" s="2539">
        <f t="shared" si="9"/>
        <v>518.70000000000005</v>
      </c>
      <c r="F46" s="2538">
        <f>F22</f>
        <v>713.06899999999996</v>
      </c>
      <c r="G46" s="2540">
        <f t="shared" si="9"/>
        <v>827.00149999999996</v>
      </c>
      <c r="H46" s="2541">
        <f>H22</f>
        <v>881.85021608</v>
      </c>
      <c r="I46" s="2539">
        <f>I22</f>
        <v>1032.100532208</v>
      </c>
      <c r="J46" s="19"/>
      <c r="K46" s="24" t="s">
        <v>187</v>
      </c>
      <c r="L46" s="25">
        <f>DCF!L33</f>
        <v>2258.6674280129264</v>
      </c>
      <c r="M46" s="33"/>
      <c r="N46" s="33"/>
    </row>
    <row r="47" spans="1:14" ht="11.25" customHeight="1">
      <c r="A47" s="29" t="s">
        <v>189</v>
      </c>
      <c r="B47" s="2542">
        <f t="shared" ref="B47:G47" si="10">IF(($C$16/B46)&lt;0,"NM",($C$16/B46))</f>
        <v>21.436480563900854</v>
      </c>
      <c r="C47" s="2542">
        <f t="shared" si="10"/>
        <v>12.657007593754118</v>
      </c>
      <c r="D47" s="2542">
        <f t="shared" si="10"/>
        <v>7.8109925550241162</v>
      </c>
      <c r="E47" s="2543">
        <f t="shared" si="10"/>
        <v>5.6852340182255334</v>
      </c>
      <c r="F47" s="2542">
        <f t="shared" si="10"/>
        <v>4.1355477313606182</v>
      </c>
      <c r="G47" s="2544">
        <f t="shared" si="10"/>
        <v>3.5658108059702247</v>
      </c>
      <c r="H47" s="2545">
        <f>IF(($C$16/H46)&lt;0,"NM",($C$16/H46))</f>
        <v>3.3440269463925181</v>
      </c>
      <c r="I47" s="2543">
        <f>IF(($C$16/I46)&lt;0,"NM",($C$16/I46))</f>
        <v>2.8572128326926243</v>
      </c>
      <c r="J47" s="19"/>
      <c r="K47" s="26" t="s">
        <v>151</v>
      </c>
      <c r="L47" s="27">
        <f>DCF!L34</f>
        <v>2820.5063438624775</v>
      </c>
      <c r="M47" s="33"/>
      <c r="N47" s="33"/>
    </row>
    <row r="48" spans="1:14" ht="11.25" customHeight="1">
      <c r="A48" s="19" t="s">
        <v>191</v>
      </c>
      <c r="B48" s="2546">
        <f t="shared" ref="B48:G48" si="11">B24</f>
        <v>0.55644954257198587</v>
      </c>
      <c r="C48" s="2546">
        <f t="shared" si="11"/>
        <v>0.45188650189823898</v>
      </c>
      <c r="D48" s="2546">
        <f t="shared" si="11"/>
        <v>0.30901025469906773</v>
      </c>
      <c r="E48" s="2546">
        <f t="shared" si="11"/>
        <v>0.22777370615442566</v>
      </c>
      <c r="F48" s="2546">
        <f t="shared" si="11"/>
        <v>0.16117075834531464</v>
      </c>
      <c r="G48" s="2547">
        <f t="shared" si="11"/>
        <v>0.14181723841464564</v>
      </c>
      <c r="H48" s="2548">
        <f>H24</f>
        <v>0.14006011451197242</v>
      </c>
      <c r="I48" s="2546">
        <f>I24</f>
        <v>0.11772576849798733</v>
      </c>
      <c r="J48" s="19"/>
      <c r="K48" s="24" t="s">
        <v>188</v>
      </c>
      <c r="L48" s="25">
        <f>-DCF!L35+DCF!L36</f>
        <v>958.18021202096486</v>
      </c>
      <c r="M48" s="33"/>
      <c r="N48" s="33"/>
    </row>
    <row r="49" spans="1:14" ht="11.25" customHeight="1">
      <c r="A49" s="19"/>
      <c r="B49" s="37"/>
      <c r="C49" s="37"/>
      <c r="D49" s="37"/>
      <c r="E49" s="2549"/>
      <c r="F49" s="37"/>
      <c r="G49" s="2550"/>
      <c r="H49" s="2537"/>
      <c r="I49" s="2549"/>
      <c r="J49" s="19"/>
      <c r="K49" s="26" t="s">
        <v>152</v>
      </c>
      <c r="L49" s="27">
        <f>DCF!L37</f>
        <v>3778.6865558834425</v>
      </c>
      <c r="M49" s="33"/>
      <c r="N49" s="33"/>
    </row>
    <row r="50" spans="1:14" ht="11.25" customHeight="1">
      <c r="A50" s="19" t="s">
        <v>133</v>
      </c>
      <c r="B50" s="2538">
        <f t="shared" ref="B50:G50" si="12">B26</f>
        <v>4.5969999999999676</v>
      </c>
      <c r="C50" s="2538">
        <f t="shared" si="12"/>
        <v>29.428999999999988</v>
      </c>
      <c r="D50" s="2538">
        <f t="shared" si="12"/>
        <v>70.921999999999997</v>
      </c>
      <c r="E50" s="2539">
        <f t="shared" si="12"/>
        <v>38.111000000000004</v>
      </c>
      <c r="F50" s="2538">
        <f t="shared" si="12"/>
        <v>120.08199999999995</v>
      </c>
      <c r="G50" s="2540">
        <f t="shared" si="12"/>
        <v>156.607</v>
      </c>
      <c r="H50" s="2541">
        <f>H26</f>
        <v>194.73906293868924</v>
      </c>
      <c r="I50" s="2539">
        <f>I26</f>
        <v>246.85361593670643</v>
      </c>
      <c r="J50" s="19"/>
      <c r="K50" s="24" t="s">
        <v>172</v>
      </c>
      <c r="L50" s="25">
        <f>DCF!L38</f>
        <v>93.86399999999999</v>
      </c>
      <c r="M50" s="33"/>
      <c r="N50" s="33"/>
    </row>
    <row r="51" spans="1:14" ht="11.25" customHeight="1">
      <c r="A51" s="29" t="s">
        <v>194</v>
      </c>
      <c r="B51" s="2542">
        <f t="shared" ref="B51:G51" si="13">IF(($C$16/B50)&lt;0,"NM",($C$16/B50))</f>
        <v>641.49029481261812</v>
      </c>
      <c r="C51" s="2542">
        <f t="shared" si="13"/>
        <v>100.20493000963627</v>
      </c>
      <c r="D51" s="2542">
        <f t="shared" si="13"/>
        <v>41.579917166092109</v>
      </c>
      <c r="E51" s="2543">
        <f t="shared" si="13"/>
        <v>77.377420830038162</v>
      </c>
      <c r="F51" s="2542">
        <f t="shared" si="13"/>
        <v>24.557642987738262</v>
      </c>
      <c r="G51" s="2544">
        <f t="shared" si="13"/>
        <v>18.83013457414793</v>
      </c>
      <c r="H51" s="2545">
        <f>IF(($C$16/H50)&lt;0,"NM",($C$16/H50))</f>
        <v>15.142985905103243</v>
      </c>
      <c r="I51" s="2543">
        <f>IF(($C$16/I50)&lt;0,"NM",($C$16/I50))</f>
        <v>11.946071253862833</v>
      </c>
      <c r="J51" s="19"/>
      <c r="K51" s="26" t="s">
        <v>154</v>
      </c>
      <c r="L51" s="16">
        <f>DCF!L39</f>
        <v>40</v>
      </c>
      <c r="M51" s="33"/>
      <c r="N51" s="33"/>
    </row>
    <row r="52" spans="1:14" ht="11.25" customHeight="1">
      <c r="A52" s="19" t="s">
        <v>191</v>
      </c>
      <c r="B52" s="2546">
        <f t="shared" ref="B52:G52" si="14">B28</f>
        <v>1.0239134982972544</v>
      </c>
      <c r="C52" s="2546">
        <f t="shared" si="14"/>
        <v>0.59796575947870223</v>
      </c>
      <c r="D52" s="2546">
        <f t="shared" si="14"/>
        <v>0.30219712447216091</v>
      </c>
      <c r="E52" s="2546">
        <f t="shared" si="14"/>
        <v>0.69802314255480047</v>
      </c>
      <c r="F52" s="2546">
        <f t="shared" si="14"/>
        <v>0.2504491468181268</v>
      </c>
      <c r="G52" s="2547">
        <f t="shared" si="14"/>
        <v>0.21848641750089695</v>
      </c>
      <c r="H52" s="2548">
        <f>H28</f>
        <v>0.22804091151233297</v>
      </c>
      <c r="I52" s="2546">
        <f>I28</f>
        <v>0.20063511913927123</v>
      </c>
      <c r="J52" s="19"/>
      <c r="K52" s="24" t="s">
        <v>190</v>
      </c>
      <c r="L52" s="166">
        <f>DCF!L48</f>
        <v>7.9649999999999999E-2</v>
      </c>
      <c r="M52" s="33"/>
      <c r="N52" s="33"/>
    </row>
    <row r="53" spans="1:14" ht="11.25" customHeight="1">
      <c r="A53" s="19"/>
      <c r="B53" s="37"/>
      <c r="C53" s="37"/>
      <c r="D53" s="37"/>
      <c r="E53" s="2549"/>
      <c r="F53" s="37"/>
      <c r="G53" s="2550"/>
      <c r="H53" s="2537"/>
      <c r="I53" s="2549"/>
      <c r="J53" s="19"/>
      <c r="K53" s="24" t="s">
        <v>192</v>
      </c>
      <c r="L53" s="166">
        <f>DCF!L49</f>
        <v>2.5000000000000001E-2</v>
      </c>
      <c r="M53" s="19"/>
    </row>
    <row r="54" spans="1:14" ht="11.25" customHeight="1">
      <c r="A54" s="19" t="s">
        <v>127</v>
      </c>
      <c r="B54" s="2551">
        <f t="shared" ref="B54:G54" si="15">B30</f>
        <v>-5.6791445825408321E-2</v>
      </c>
      <c r="C54" s="2551">
        <f t="shared" si="15"/>
        <v>0.16051473387649418</v>
      </c>
      <c r="D54" s="2551">
        <f t="shared" si="15"/>
        <v>0.41615572910595627</v>
      </c>
      <c r="E54" s="2551">
        <f t="shared" si="15"/>
        <v>0.14917739170483346</v>
      </c>
      <c r="F54" s="2551">
        <f t="shared" si="15"/>
        <v>0.61379229569537808</v>
      </c>
      <c r="G54" s="2552">
        <f t="shared" si="15"/>
        <v>0.83153893444397331</v>
      </c>
      <c r="H54" s="2553">
        <f>H30</f>
        <v>0.94248321032277427</v>
      </c>
      <c r="I54" s="2551">
        <f>I30</f>
        <v>1.2796441618090568</v>
      </c>
      <c r="J54" s="19"/>
      <c r="K54" s="28" t="s">
        <v>193</v>
      </c>
      <c r="L54" s="17">
        <f>DCF!L40</f>
        <v>6.4</v>
      </c>
      <c r="M54" s="19"/>
    </row>
    <row r="55" spans="1:14" ht="11.25" customHeight="1">
      <c r="A55" s="29" t="s">
        <v>195</v>
      </c>
      <c r="B55" s="2542" t="str">
        <f t="shared" ref="B55:G55" si="16">IF(($C$14/B54)&lt;0,"NM",($C$14/B54))</f>
        <v>NM</v>
      </c>
      <c r="C55" s="2542">
        <f t="shared" si="16"/>
        <v>249.19830743249676</v>
      </c>
      <c r="D55" s="2542">
        <f t="shared" si="16"/>
        <v>96.117864545403648</v>
      </c>
      <c r="E55" s="2543">
        <f t="shared" si="16"/>
        <v>268.13714560142677</v>
      </c>
      <c r="F55" s="2542">
        <f t="shared" si="16"/>
        <v>65.168625087877928</v>
      </c>
      <c r="G55" s="2544">
        <f t="shared" si="16"/>
        <v>48.103580413521918</v>
      </c>
      <c r="H55" s="2545">
        <f>IF(($C$14/H54)&lt;0,"NM",($C$14/H54))</f>
        <v>42.441074346885301</v>
      </c>
      <c r="I55" s="2543">
        <f>IF(($C$14/I54)&lt;0,"NM",($C$14/I54))</f>
        <v>31.258689871605597</v>
      </c>
      <c r="J55" s="19"/>
      <c r="K55" s="19"/>
      <c r="L55" s="19"/>
      <c r="M55" s="19"/>
    </row>
    <row r="56" spans="1:14" ht="11.25" customHeight="1">
      <c r="A56" s="19" t="s">
        <v>191</v>
      </c>
      <c r="B56" s="2546" t="str">
        <f t="shared" ref="B56:G56" si="17">B32</f>
        <v>NM</v>
      </c>
      <c r="C56" s="2546">
        <f t="shared" si="17"/>
        <v>0.56375547505471757</v>
      </c>
      <c r="D56" s="2546">
        <f t="shared" si="17"/>
        <v>0.2595311236492685</v>
      </c>
      <c r="E56" s="2546">
        <f t="shared" si="17"/>
        <v>0.84865926181424067</v>
      </c>
      <c r="F56" s="2546">
        <f t="shared" si="17"/>
        <v>0.27748535145995551</v>
      </c>
      <c r="G56" s="2547">
        <f t="shared" si="17"/>
        <v>0.21307938572544596</v>
      </c>
      <c r="H56" s="2548">
        <f>H32</f>
        <v>0</v>
      </c>
      <c r="I56" s="2546">
        <f>I32</f>
        <v>0</v>
      </c>
      <c r="J56" s="19"/>
      <c r="K56" s="19"/>
      <c r="L56" s="19"/>
      <c r="M56" s="19"/>
    </row>
    <row r="57" spans="1:14" ht="11.25" customHeight="1">
      <c r="A57" s="29" t="s">
        <v>196</v>
      </c>
      <c r="B57" s="2542" t="str">
        <f t="shared" ref="B57:G57" si="18">IF(ISERROR(B55/(B56*100)),"NM",B55/(B56*100))</f>
        <v>NM</v>
      </c>
      <c r="C57" s="2542">
        <f t="shared" si="18"/>
        <v>4.4203261601727206</v>
      </c>
      <c r="D57" s="2542">
        <f t="shared" si="18"/>
        <v>3.7035197626353962</v>
      </c>
      <c r="E57" s="2543">
        <f t="shared" si="18"/>
        <v>3.1595383172771894</v>
      </c>
      <c r="F57" s="2542">
        <f t="shared" si="18"/>
        <v>2.3485428958682366</v>
      </c>
      <c r="G57" s="2544">
        <f t="shared" si="18"/>
        <v>2.2575426641929437</v>
      </c>
      <c r="H57" s="2545" t="str">
        <f>IF(ISERROR(H55/(H56*100)),"NM",H55/(H56*100))</f>
        <v>NM</v>
      </c>
      <c r="I57" s="2543" t="str">
        <f>IF(ISERROR(I55/(I56*100)),"NM",I55/(I56*100))</f>
        <v>NM</v>
      </c>
      <c r="J57" s="19"/>
      <c r="K57" s="19"/>
      <c r="L57" s="19"/>
      <c r="M57" s="19"/>
    </row>
    <row r="58" spans="1:14" ht="11.25" customHeight="1" thickBot="1">
      <c r="A58" s="19"/>
      <c r="B58" s="34"/>
      <c r="C58" s="34"/>
      <c r="D58" s="34"/>
      <c r="E58" s="2554"/>
      <c r="F58" s="34"/>
      <c r="G58" s="2555"/>
      <c r="H58" s="2556"/>
      <c r="I58" s="2554"/>
      <c r="J58" s="19"/>
      <c r="K58" s="19"/>
      <c r="L58" s="19"/>
      <c r="M58" s="19"/>
    </row>
    <row r="59" spans="1:14" ht="12" customHeight="1">
      <c r="A59" s="19" t="s">
        <v>125</v>
      </c>
      <c r="B59" s="2551">
        <f t="shared" ref="B59:G59" si="19">B35</f>
        <v>-0.3535614692792115</v>
      </c>
      <c r="C59" s="2551">
        <f t="shared" si="19"/>
        <v>-0.1533236884184879</v>
      </c>
      <c r="D59" s="2551">
        <f t="shared" si="19"/>
        <v>0.47238087837225229</v>
      </c>
      <c r="E59" s="2551">
        <f t="shared" si="19"/>
        <v>-0.43117982230018859</v>
      </c>
      <c r="F59" s="2551">
        <f t="shared" si="19"/>
        <v>-6.0507315619504114E-2</v>
      </c>
      <c r="G59" s="2552">
        <f t="shared" si="19"/>
        <v>1.8734779171594731</v>
      </c>
      <c r="H59" s="2553">
        <f>H35</f>
        <v>0.18711303929124729</v>
      </c>
      <c r="I59" s="2551">
        <f>I35</f>
        <v>0.51290198081432381</v>
      </c>
      <c r="J59" s="19"/>
      <c r="K59" s="1334" t="s">
        <v>481</v>
      </c>
      <c r="L59" s="1335">
        <f>$F$26</f>
        <v>120.08199999999995</v>
      </c>
      <c r="M59" s="19"/>
    </row>
    <row r="60" spans="1:14" ht="12" customHeight="1">
      <c r="A60" s="19" t="s">
        <v>197</v>
      </c>
      <c r="B60" s="2557" t="str">
        <f t="shared" ref="B60:G60" si="20">IF(($C$14/B59)&lt;0,"NM",($C$14/B59))</f>
        <v>NM</v>
      </c>
      <c r="C60" s="2557" t="str">
        <f t="shared" si="20"/>
        <v>NM</v>
      </c>
      <c r="D60" s="2557">
        <f t="shared" si="20"/>
        <v>84.677432621391233</v>
      </c>
      <c r="E60" s="2558" t="str">
        <f t="shared" si="20"/>
        <v>NM</v>
      </c>
      <c r="F60" s="2557" t="str">
        <f t="shared" si="20"/>
        <v>NM</v>
      </c>
      <c r="G60" s="2559">
        <f t="shared" si="20"/>
        <v>21.35066532337202</v>
      </c>
      <c r="H60" s="2560">
        <f>IF(($C$14/H59)&lt;0,"NM",($C$14/H59))</f>
        <v>213.77451914368592</v>
      </c>
      <c r="I60" s="2558">
        <f>IF(($C$14/I59)&lt;0,"NM",($C$14/I59))</f>
        <v>77.987610686339778</v>
      </c>
      <c r="J60" s="19"/>
      <c r="K60" s="1336" t="s">
        <v>489</v>
      </c>
      <c r="L60" s="1342">
        <f>F51</f>
        <v>24.557642987738262</v>
      </c>
      <c r="M60" s="19"/>
    </row>
    <row r="61" spans="1:14" ht="12" customHeight="1">
      <c r="B61" s="2487"/>
      <c r="C61" s="2487"/>
      <c r="D61" s="2487"/>
      <c r="E61" s="2486"/>
      <c r="F61" s="2487"/>
      <c r="G61" s="2485"/>
      <c r="H61" s="2488"/>
      <c r="I61" s="2486"/>
      <c r="K61" s="1337"/>
      <c r="L61" s="1338"/>
      <c r="N61" s="1345"/>
    </row>
    <row r="62" spans="1:14" ht="12" customHeight="1">
      <c r="A62" s="19" t="s">
        <v>222</v>
      </c>
      <c r="B62" s="2538">
        <f t="shared" ref="B62:G62" si="21">B38</f>
        <v>-8.6470000000000091</v>
      </c>
      <c r="C62" s="2538">
        <f t="shared" si="21"/>
        <v>5.1890000000000107</v>
      </c>
      <c r="D62" s="2538">
        <f t="shared" si="21"/>
        <v>28.877999999999993</v>
      </c>
      <c r="E62" s="2539">
        <f t="shared" si="21"/>
        <v>-47.186999999999991</v>
      </c>
      <c r="F62" s="2538">
        <f t="shared" si="21"/>
        <v>103.90599999999998</v>
      </c>
      <c r="G62" s="2540">
        <f t="shared" si="21"/>
        <v>152.04900000000004</v>
      </c>
      <c r="H62" s="2541">
        <f>H38</f>
        <v>149.14721202096479</v>
      </c>
      <c r="I62" s="2539">
        <f>I38</f>
        <v>170.44101692914106</v>
      </c>
      <c r="J62" s="19"/>
      <c r="K62" s="1337" t="s">
        <v>490</v>
      </c>
      <c r="L62" s="1343">
        <f>DCF!L1</f>
        <v>40</v>
      </c>
      <c r="M62" s="19"/>
    </row>
    <row r="63" spans="1:14" ht="12" customHeight="1">
      <c r="A63" s="29" t="s">
        <v>76</v>
      </c>
      <c r="B63" s="2542" t="str">
        <f t="shared" ref="B63:G63" si="22">IF(($C$16/B62)&lt;0,"NM",($C$16/B62))</f>
        <v>NM</v>
      </c>
      <c r="C63" s="2542">
        <f t="shared" si="22"/>
        <v>568.30427543911708</v>
      </c>
      <c r="D63" s="2542">
        <f t="shared" si="22"/>
        <v>102.11686700095524</v>
      </c>
      <c r="E63" s="2543" t="str">
        <f t="shared" si="22"/>
        <v>NM</v>
      </c>
      <c r="F63" s="2542">
        <f t="shared" si="22"/>
        <v>28.380756503508799</v>
      </c>
      <c r="G63" s="2544">
        <f t="shared" si="22"/>
        <v>19.394608877753775</v>
      </c>
      <c r="H63" s="2545">
        <f>IF(($C$16/H62)&lt;0,"NM",($C$16/H62))</f>
        <v>19.771947764193339</v>
      </c>
      <c r="I63" s="2543">
        <f>IF(($C$16/I62)&lt;0,"NM",($C$16/I62))</f>
        <v>17.301767722258838</v>
      </c>
      <c r="J63" s="19"/>
      <c r="K63" s="1337"/>
      <c r="L63" s="1343"/>
      <c r="M63" s="19"/>
    </row>
    <row r="64" spans="1:14" ht="12" customHeight="1">
      <c r="A64" s="19" t="s">
        <v>191</v>
      </c>
      <c r="B64" s="2546">
        <f t="shared" ref="B64:G64" si="23">B40</f>
        <v>0.76056596840880597</v>
      </c>
      <c r="C64" s="2546">
        <f t="shared" si="23"/>
        <v>1.7155157032464099</v>
      </c>
      <c r="D64" s="2546">
        <f t="shared" si="23"/>
        <v>0.7396911415070726</v>
      </c>
      <c r="E64" s="2546" t="str">
        <f t="shared" si="23"/>
        <v>NM</v>
      </c>
      <c r="F64" s="2546">
        <f t="shared" si="23"/>
        <v>0.17935484835390617</v>
      </c>
      <c r="G64" s="2547">
        <f t="shared" si="23"/>
        <v>0.10204955067832827</v>
      </c>
      <c r="H64" s="2548">
        <f>H40</f>
        <v>0</v>
      </c>
      <c r="I64" s="2546">
        <f>I40</f>
        <v>0</v>
      </c>
      <c r="J64" s="19"/>
      <c r="K64" s="1374" t="s">
        <v>491</v>
      </c>
      <c r="L64" s="1375">
        <f>RATE(4,,-Model!BO49,Model!BS49)</f>
        <v>0.27357652765201179</v>
      </c>
      <c r="M64" s="19"/>
    </row>
    <row r="65" spans="1:12" ht="12" customHeight="1">
      <c r="A65" s="29" t="s">
        <v>235</v>
      </c>
      <c r="B65" s="2561" t="str">
        <f t="shared" ref="B65:G65" si="24">IF((B62/$C$16)&lt;0,"NM",(B62/$C$16))</f>
        <v>NM</v>
      </c>
      <c r="C65" s="2561">
        <f t="shared" si="24"/>
        <v>1.7596207581358075E-3</v>
      </c>
      <c r="D65" s="2561">
        <f t="shared" si="24"/>
        <v>9.7927015327511531E-3</v>
      </c>
      <c r="E65" s="2561" t="str">
        <f t="shared" si="24"/>
        <v>NM</v>
      </c>
      <c r="F65" s="2561">
        <f t="shared" si="24"/>
        <v>3.5235142512017502E-2</v>
      </c>
      <c r="G65" s="2562">
        <f t="shared" si="24"/>
        <v>5.1560720110578322E-2</v>
      </c>
      <c r="H65" s="2563">
        <f>IF((H62/$C$16)&lt;0,"NM",(H62/$C$16))</f>
        <v>5.0576706550428126E-2</v>
      </c>
      <c r="I65" s="2561">
        <f>IF((I62/$C$16)&lt;0,"NM",(I62/$C$16))</f>
        <v>5.7797562425571901E-2</v>
      </c>
      <c r="K65" s="1339"/>
      <c r="L65" s="1344"/>
    </row>
    <row r="66" spans="1:12" ht="12" customHeight="1">
      <c r="B66" s="2487"/>
      <c r="C66" s="2487"/>
      <c r="D66" s="2487"/>
      <c r="E66" s="2487"/>
      <c r="F66" s="2487"/>
      <c r="G66" s="2487"/>
      <c r="H66" s="2486"/>
      <c r="K66" s="1376" t="s">
        <v>461</v>
      </c>
      <c r="L66" s="1377">
        <v>46.94</v>
      </c>
    </row>
    <row r="67" spans="1:12" ht="12" customHeight="1">
      <c r="B67" s="2487"/>
      <c r="C67" s="2487"/>
      <c r="D67" s="2487"/>
      <c r="E67" s="2487"/>
      <c r="F67" s="2487"/>
      <c r="G67" s="2487"/>
      <c r="H67" s="2487"/>
      <c r="K67" s="1337"/>
      <c r="L67" s="1338"/>
    </row>
    <row r="68" spans="1:12" ht="16.5" customHeight="1" thickBot="1">
      <c r="K68" s="1340" t="s">
        <v>462</v>
      </c>
      <c r="L68" s="1341">
        <f>L62/L66-1</f>
        <v>-0.147848317000426</v>
      </c>
    </row>
    <row r="69" spans="1:12" ht="12" customHeight="1"/>
    <row r="70" spans="1:12" ht="12" customHeight="1"/>
    <row r="71" spans="1:12" ht="12" customHeight="1"/>
    <row r="72" spans="1:12" ht="12" customHeight="1"/>
  </sheetData>
  <phoneticPr fontId="2" type="noConversion"/>
  <pageMargins left="0.25" right="0.25" top="0.25" bottom="0.25" header="0.25" footer="0.25"/>
  <pageSetup scale="76"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2:AH59"/>
  <sheetViews>
    <sheetView showGridLines="0" topLeftCell="A8" zoomScale="80" zoomScaleNormal="80" workbookViewId="0">
      <selection activeCell="V21" sqref="A21:XFD26"/>
    </sheetView>
  </sheetViews>
  <sheetFormatPr defaultColWidth="10.7109375" defaultRowHeight="11.25" outlineLevelRow="1" outlineLevelCol="1"/>
  <cols>
    <col min="1" max="1" width="2.85546875" style="1155" customWidth="1"/>
    <col min="2" max="2" width="16" style="1155" customWidth="1"/>
    <col min="3" max="6" width="8.7109375" style="1155" hidden="1" customWidth="1" outlineLevel="1"/>
    <col min="7" max="7" width="3.42578125" style="1155" hidden="1" customWidth="1" outlineLevel="1"/>
    <col min="8" max="8" width="16" style="1155" hidden="1" customWidth="1" outlineLevel="1"/>
    <col min="9" max="12" width="8.7109375" style="1155" hidden="1" customWidth="1" outlineLevel="1"/>
    <col min="13" max="13" width="3.42578125" style="1155" hidden="1" customWidth="1" outlineLevel="1"/>
    <col min="14" max="14" width="16" style="1155" hidden="1" customWidth="1" outlineLevel="1"/>
    <col min="15" max="18" width="8.7109375" style="1155" hidden="1" customWidth="1" outlineLevel="1"/>
    <col min="19" max="19" width="3.42578125" style="1155" hidden="1" customWidth="1" outlineLevel="1"/>
    <col min="20" max="20" width="16" style="1155" customWidth="1" collapsed="1"/>
    <col min="21" max="24" width="8.7109375" style="1155" customWidth="1"/>
    <col min="25" max="25" width="3.42578125" style="1155" customWidth="1"/>
    <col min="26" max="26" width="16" style="1155" customWidth="1"/>
    <col min="27" max="28" width="8.7109375" style="1155" hidden="1" customWidth="1" outlineLevel="1"/>
    <col min="29" max="29" width="8.7109375" style="1155" customWidth="1" collapsed="1"/>
    <col min="30" max="30" width="8.7109375" style="1155" customWidth="1"/>
    <col min="31" max="31" width="11.7109375" style="1155" bestFit="1" customWidth="1"/>
    <col min="32" max="16384" width="10.7109375" style="1155"/>
  </cols>
  <sheetData>
    <row r="2" spans="2:34">
      <c r="B2" s="1153" t="s">
        <v>279</v>
      </c>
      <c r="C2" s="1154" t="s">
        <v>446</v>
      </c>
    </row>
    <row r="4" spans="2:34">
      <c r="B4" s="1153" t="s">
        <v>442</v>
      </c>
      <c r="C4" s="1156">
        <v>42094</v>
      </c>
      <c r="D4" s="1157">
        <f>+EOMONTH(C4,3)</f>
        <v>42185</v>
      </c>
      <c r="E4" s="1157">
        <f>+EOMONTH(D4,3)</f>
        <v>42277</v>
      </c>
      <c r="F4" s="1157">
        <f>+EOMONTH(E4,3)</f>
        <v>42369</v>
      </c>
      <c r="H4" s="1153" t="s">
        <v>442</v>
      </c>
      <c r="I4" s="1156">
        <v>42432</v>
      </c>
      <c r="J4" s="1157">
        <f>+EOMONTH(I4,3)</f>
        <v>42551</v>
      </c>
      <c r="K4" s="1157">
        <f>+EOMONTH(J4,3)</f>
        <v>42643</v>
      </c>
      <c r="L4" s="1157">
        <f>+EOMONTH(K4,3)</f>
        <v>42735</v>
      </c>
      <c r="N4" s="1153" t="s">
        <v>442</v>
      </c>
      <c r="O4" s="1156">
        <v>42797</v>
      </c>
      <c r="P4" s="1157">
        <f>+EOMONTH(O4,3)</f>
        <v>42916</v>
      </c>
      <c r="Q4" s="1157">
        <f>+EOMONTH(P4,3)</f>
        <v>43008</v>
      </c>
      <c r="R4" s="1157">
        <f>+EOMONTH(Q4,3)</f>
        <v>43100</v>
      </c>
      <c r="T4" s="1153" t="s">
        <v>442</v>
      </c>
      <c r="U4" s="1156">
        <v>42797</v>
      </c>
      <c r="V4" s="1157">
        <f>+EOMONTH(U4,3)</f>
        <v>42916</v>
      </c>
      <c r="W4" s="1157">
        <f>+EOMONTH(V4,3)</f>
        <v>43008</v>
      </c>
      <c r="X4" s="1157">
        <f>+EOMONTH(W4,3)</f>
        <v>43100</v>
      </c>
      <c r="Z4" s="1153" t="s">
        <v>442</v>
      </c>
      <c r="AA4" s="1158">
        <f>+F4</f>
        <v>42369</v>
      </c>
      <c r="AB4" s="1158">
        <f>+EOMONTH(AA4,12)</f>
        <v>42735</v>
      </c>
      <c r="AC4" s="1158">
        <f>+EOMONTH(AB4,12)</f>
        <v>43100</v>
      </c>
      <c r="AD4" s="1158">
        <f>+EOMONTH(AC4,12)</f>
        <v>43465</v>
      </c>
      <c r="AE4" s="1158">
        <f>+EOMONTH(AD4,12)</f>
        <v>43830</v>
      </c>
    </row>
    <row r="5" spans="2:34">
      <c r="B5" s="1153"/>
      <c r="C5" s="1157" t="str">
        <f>+(ROUND(MONTH(C4)/3,0)&amp;"Q"&amp;YEAR(C4))</f>
        <v>1Q2015</v>
      </c>
      <c r="D5" s="1157" t="str">
        <f>+(ROUND(MONTH(D4)/3,0)&amp;"Q"&amp;YEAR(D4))</f>
        <v>2Q2015</v>
      </c>
      <c r="E5" s="1157" t="str">
        <f>+(ROUND(MONTH(E4)/3,0)&amp;"Q"&amp;YEAR(E4))</f>
        <v>3Q2015</v>
      </c>
      <c r="F5" s="1157" t="str">
        <f>+(ROUND(MONTH(F4)/3,0)&amp;"Q"&amp;YEAR(F4))</f>
        <v>4Q2015</v>
      </c>
      <c r="H5" s="1153"/>
      <c r="I5" s="1157" t="str">
        <f>+(ROUND(MONTH(I4)/3,0)&amp;"Q"&amp;YEAR(I4))</f>
        <v>1Q2016</v>
      </c>
      <c r="J5" s="1157" t="str">
        <f>+(ROUND(MONTH(J4)/3,0)&amp;"Q"&amp;YEAR(J4))</f>
        <v>2Q2016</v>
      </c>
      <c r="K5" s="1157" t="str">
        <f>+(ROUND(MONTH(K4)/3,0)&amp;"Q"&amp;YEAR(K4))</f>
        <v>3Q2016</v>
      </c>
      <c r="L5" s="1157" t="str">
        <f>+(ROUND(MONTH(L4)/3,0)&amp;"Q"&amp;YEAR(L4))</f>
        <v>4Q2016</v>
      </c>
      <c r="N5" s="1153"/>
      <c r="O5" s="1157" t="str">
        <f>+(ROUND(MONTH(O4)/3,0)&amp;"Q"&amp;YEAR(O4))</f>
        <v>1Q2017</v>
      </c>
      <c r="P5" s="1157" t="str">
        <f>+(ROUND(MONTH(P4)/3,0)&amp;"Q"&amp;YEAR(P4))</f>
        <v>2Q2017</v>
      </c>
      <c r="Q5" s="1157" t="str">
        <f>+(ROUND(MONTH(Q4)/3,0)&amp;"Q"&amp;YEAR(Q4))</f>
        <v>3Q2017</v>
      </c>
      <c r="R5" s="1157" t="str">
        <f>+(ROUND(MONTH(R4)/3,0)&amp;"Q"&amp;YEAR(R4))</f>
        <v>4Q2017</v>
      </c>
      <c r="T5" s="1153"/>
      <c r="U5" s="1157" t="str">
        <f>+(ROUND(MONTH(U4)/3,0)&amp;"Q"&amp;YEAR(U4))</f>
        <v>1Q2017</v>
      </c>
      <c r="V5" s="1157" t="str">
        <f>+(ROUND(MONTH(V4)/3,0)&amp;"Q"&amp;YEAR(V4))</f>
        <v>2Q2017</v>
      </c>
      <c r="W5" s="1157" t="str">
        <f>+(ROUND(MONTH(W4)/3,0)&amp;"Q"&amp;YEAR(W4))</f>
        <v>3Q2017</v>
      </c>
      <c r="X5" s="1157" t="str">
        <f>+(ROUND(MONTH(X4)/3,0)&amp;"Q"&amp;YEAR(X4))</f>
        <v>4Q2017</v>
      </c>
      <c r="Z5" s="1153"/>
      <c r="AA5" s="1155">
        <f>+YEAR(AA4)</f>
        <v>2015</v>
      </c>
      <c r="AB5" s="1155">
        <f>+YEAR(AB4)</f>
        <v>2016</v>
      </c>
      <c r="AC5" s="1155">
        <f>+YEAR(AC4)</f>
        <v>2017</v>
      </c>
      <c r="AD5" s="1155">
        <f>+YEAR(AD4)</f>
        <v>2018</v>
      </c>
      <c r="AE5" s="1155">
        <f>+YEAR(AE4)</f>
        <v>2019</v>
      </c>
      <c r="AG5" s="1159"/>
      <c r="AH5" s="1159"/>
    </row>
    <row r="6" spans="2:34">
      <c r="B6" s="1153"/>
      <c r="H6" s="1153"/>
      <c r="N6" s="1153"/>
      <c r="T6" s="1153"/>
      <c r="Z6" s="1153"/>
      <c r="AG6" s="1159"/>
      <c r="AH6" s="1159"/>
    </row>
    <row r="7" spans="2:34">
      <c r="B7" s="1756"/>
      <c r="C7" s="1757"/>
      <c r="D7" s="1757"/>
      <c r="E7" s="1757"/>
      <c r="F7" s="1757"/>
      <c r="H7" s="1756"/>
      <c r="I7" s="1757"/>
      <c r="J7" s="1757"/>
      <c r="K7" s="1757"/>
      <c r="L7" s="1757"/>
      <c r="N7" s="1756"/>
      <c r="O7" s="1757"/>
      <c r="P7" s="1757"/>
      <c r="Q7" s="1757"/>
      <c r="R7" s="1757"/>
      <c r="T7" s="1756"/>
      <c r="U7" s="1757"/>
      <c r="V7" s="1757"/>
      <c r="W7" s="1757"/>
      <c r="X7" s="1757"/>
      <c r="Z7" s="1756"/>
      <c r="AA7" s="1240">
        <f>+AA14-AA24</f>
        <v>-35.326499999999996</v>
      </c>
      <c r="AB7" s="1240">
        <f>+AB14-AB24</f>
        <v>6.6689999999999543</v>
      </c>
      <c r="AC7" s="1240">
        <f>+AC14-AC24</f>
        <v>3.5589999999999975</v>
      </c>
      <c r="AD7" s="1240">
        <f>+AD14-AD24</f>
        <v>-10.720095641310877</v>
      </c>
      <c r="AE7" s="1240">
        <f>+AE14-AE24</f>
        <v>-13.781935171293497</v>
      </c>
      <c r="AG7" s="1159"/>
      <c r="AH7" s="1159"/>
    </row>
    <row r="8" spans="2:34">
      <c r="B8" s="1757"/>
      <c r="C8" s="1757"/>
      <c r="D8" s="1757"/>
      <c r="E8" s="1757"/>
      <c r="F8" s="1757"/>
      <c r="H8" s="1757"/>
      <c r="I8" s="1757"/>
      <c r="J8" s="1757"/>
      <c r="K8" s="1757"/>
      <c r="L8" s="1757"/>
      <c r="N8" s="1757"/>
      <c r="O8" s="1757"/>
      <c r="P8" s="1757"/>
      <c r="Q8" s="1757"/>
      <c r="R8" s="1757"/>
      <c r="T8" s="1757"/>
      <c r="U8" s="1757"/>
      <c r="V8" s="1757"/>
      <c r="W8" s="1757"/>
      <c r="X8" s="1757"/>
      <c r="Z8" s="1757"/>
      <c r="AA8" s="1240"/>
      <c r="AG8" s="1159"/>
      <c r="AH8" s="1159"/>
    </row>
    <row r="9" spans="2:34">
      <c r="B9" s="1331" t="s">
        <v>443</v>
      </c>
      <c r="C9" s="1331" t="str">
        <f>+C5</f>
        <v>1Q2015</v>
      </c>
      <c r="D9" s="1331" t="str">
        <f>+D5</f>
        <v>2Q2015</v>
      </c>
      <c r="E9" s="1331" t="str">
        <f>+E5</f>
        <v>3Q2015</v>
      </c>
      <c r="F9" s="1331" t="str">
        <f>+F5</f>
        <v>4Q2015</v>
      </c>
      <c r="G9" s="1325"/>
      <c r="H9" s="1331" t="s">
        <v>443</v>
      </c>
      <c r="I9" s="1331" t="str">
        <f>+I5</f>
        <v>1Q2016</v>
      </c>
      <c r="J9" s="1331" t="str">
        <f>+J5</f>
        <v>2Q2016</v>
      </c>
      <c r="K9" s="1331" t="str">
        <f>+K5</f>
        <v>3Q2016</v>
      </c>
      <c r="L9" s="1331" t="str">
        <f>+L5</f>
        <v>4Q2016</v>
      </c>
      <c r="M9" s="1325"/>
      <c r="N9" s="1331" t="s">
        <v>443</v>
      </c>
      <c r="O9" s="1331" t="str">
        <f>+O5</f>
        <v>1Q2017</v>
      </c>
      <c r="P9" s="1331" t="str">
        <f>+P5</f>
        <v>2Q2017</v>
      </c>
      <c r="Q9" s="1331" t="str">
        <f>+Q5</f>
        <v>3Q2017</v>
      </c>
      <c r="R9" s="1331" t="str">
        <f>+R5</f>
        <v>4Q2017</v>
      </c>
      <c r="S9" s="1325"/>
      <c r="T9" s="1331" t="s">
        <v>443</v>
      </c>
      <c r="U9" s="1331" t="str">
        <f>+U5</f>
        <v>1Q2017</v>
      </c>
      <c r="V9" s="1331" t="str">
        <f>+V5</f>
        <v>2Q2017</v>
      </c>
      <c r="W9" s="1331" t="str">
        <f>+W5</f>
        <v>3Q2017</v>
      </c>
      <c r="X9" s="1331" t="str">
        <f>+X5</f>
        <v>4Q2017</v>
      </c>
      <c r="Y9" s="1325"/>
      <c r="Z9" s="1331" t="s">
        <v>443</v>
      </c>
      <c r="AA9" s="1331">
        <f>AA5</f>
        <v>2015</v>
      </c>
      <c r="AB9" s="1331">
        <f>AB5</f>
        <v>2016</v>
      </c>
      <c r="AC9" s="1331">
        <f>AC5</f>
        <v>2017</v>
      </c>
      <c r="AD9" s="1331">
        <f>AD5</f>
        <v>2018</v>
      </c>
      <c r="AE9" s="1331">
        <f>AE5</f>
        <v>2019</v>
      </c>
    </row>
    <row r="10" spans="2:34">
      <c r="B10" s="1326" t="s">
        <v>444</v>
      </c>
      <c r="C10" s="1326"/>
      <c r="D10" s="1326"/>
      <c r="E10" s="1326"/>
      <c r="F10" s="1326"/>
      <c r="G10" s="1325"/>
      <c r="H10" s="1326" t="s">
        <v>444</v>
      </c>
      <c r="I10" s="1326"/>
      <c r="J10" s="1326"/>
      <c r="K10" s="1326"/>
      <c r="L10" s="1326"/>
      <c r="M10" s="1325"/>
      <c r="N10" s="1326" t="s">
        <v>444</v>
      </c>
      <c r="O10" s="1326"/>
      <c r="P10" s="1326"/>
      <c r="Q10" s="1326"/>
      <c r="R10" s="1326"/>
      <c r="S10" s="1325"/>
      <c r="T10" s="1326" t="s">
        <v>444</v>
      </c>
      <c r="U10" s="1326"/>
      <c r="V10" s="1326"/>
      <c r="W10" s="1326"/>
      <c r="X10" s="1326"/>
      <c r="Y10" s="1325"/>
      <c r="Z10" s="1326" t="s">
        <v>444</v>
      </c>
      <c r="AA10" s="1326"/>
      <c r="AB10" s="1326"/>
      <c r="AC10" s="1326"/>
      <c r="AD10" s="1326"/>
      <c r="AE10" s="1326"/>
    </row>
    <row r="11" spans="2:34">
      <c r="B11" s="81" t="s">
        <v>145</v>
      </c>
      <c r="C11" s="1328">
        <f>+Model!AG23</f>
        <v>111.8</v>
      </c>
      <c r="D11" s="1328">
        <f>+Model!AH23</f>
        <v>125.6</v>
      </c>
      <c r="E11" s="1328">
        <f>+Model!AI23</f>
        <v>134.6</v>
      </c>
      <c r="F11" s="1328">
        <f>+Model!AJ23</f>
        <v>146.69999999999999</v>
      </c>
      <c r="G11" s="1325"/>
      <c r="H11" s="81" t="s">
        <v>145</v>
      </c>
      <c r="I11" s="1328">
        <f>+Model!AK23</f>
        <v>158.613</v>
      </c>
      <c r="J11" s="1328">
        <f>+Model!AL23</f>
        <v>173.428</v>
      </c>
      <c r="K11" s="1328">
        <f>+Model!AM23</f>
        <v>186.232</v>
      </c>
      <c r="L11" s="1328">
        <f>+Model!AN23</f>
        <v>194.79599999999999</v>
      </c>
      <c r="M11" s="1325"/>
      <c r="N11" s="81" t="s">
        <v>145</v>
      </c>
      <c r="O11" s="1328">
        <f>+Model!AO23</f>
        <v>197.32300000000001</v>
      </c>
      <c r="P11" s="1328">
        <f>+Model!AP23</f>
        <v>208.864</v>
      </c>
      <c r="Q11" s="1328">
        <f>+Model!AQ23</f>
        <v>222.38</v>
      </c>
      <c r="R11" s="1328">
        <f>+Model!AR23</f>
        <v>218.24600000000001</v>
      </c>
      <c r="S11" s="1325"/>
      <c r="T11" s="81" t="s">
        <v>145</v>
      </c>
      <c r="U11" s="1328">
        <f>+Model!AT23</f>
        <v>231.4</v>
      </c>
      <c r="V11" s="1328">
        <f>+Model!AU23</f>
        <v>248</v>
      </c>
      <c r="W11" s="1328">
        <f>+Model!AV23</f>
        <v>259.39999999999998</v>
      </c>
      <c r="X11" s="1328">
        <f>+Model!AW23</f>
        <v>262.2</v>
      </c>
      <c r="Y11" s="1325"/>
      <c r="Z11" s="81" t="s">
        <v>145</v>
      </c>
      <c r="AA11" s="1328">
        <f>+Model!BP23</f>
        <v>518.70000000000005</v>
      </c>
      <c r="AB11" s="1328">
        <f>+Model!BQ23</f>
        <v>713.06899999999996</v>
      </c>
      <c r="AC11" s="1328">
        <f>Model!BR23</f>
        <v>846.81299999999999</v>
      </c>
      <c r="AD11" s="1328">
        <f>Model!BS23</f>
        <v>960</v>
      </c>
      <c r="AE11" s="1328">
        <f>Model!BT23</f>
        <v>1116.4000000000001</v>
      </c>
    </row>
    <row r="12" spans="2:34" outlineLevel="1">
      <c r="B12" s="81" t="s">
        <v>640</v>
      </c>
      <c r="C12" s="1328">
        <f>Model!AG29</f>
        <v>103.22499999999999</v>
      </c>
      <c r="D12" s="1328">
        <f>Model!AH29</f>
        <v>112.76499999999999</v>
      </c>
      <c r="E12" s="1328">
        <f>Model!AI29</f>
        <v>120.776</v>
      </c>
      <c r="F12" s="1328">
        <f>Model!AJ29</f>
        <v>132.036</v>
      </c>
      <c r="G12" s="1325"/>
      <c r="H12" s="81" t="s">
        <v>640</v>
      </c>
      <c r="I12" s="1328">
        <f>Model!AK29</f>
        <v>143.93600000000001</v>
      </c>
      <c r="J12" s="1328">
        <f>Model!AL29</f>
        <v>158.74799999999999</v>
      </c>
      <c r="K12" s="1328">
        <f>Model!AM29</f>
        <v>172.40199999999999</v>
      </c>
      <c r="L12" s="1328">
        <f>Model!AN29</f>
        <v>180.066</v>
      </c>
      <c r="M12" s="1325"/>
      <c r="N12" s="81" t="s">
        <v>640</v>
      </c>
      <c r="O12" s="1328">
        <f>Model!AO29</f>
        <v>181.39000000000001</v>
      </c>
      <c r="P12" s="1328">
        <f>Model!AP29</f>
        <v>191.76500000000001</v>
      </c>
      <c r="Q12" s="1328">
        <f>Model!AQ29</f>
        <v>204.06099999999998</v>
      </c>
      <c r="R12" s="1328">
        <f>Model!AR29</f>
        <v>203.089</v>
      </c>
      <c r="S12" s="1325"/>
      <c r="T12" s="81" t="s">
        <v>640</v>
      </c>
      <c r="U12" s="1328">
        <f>Model!AT29</f>
        <v>213.38165274245443</v>
      </c>
      <c r="V12" s="1328">
        <f>Model!AU29</f>
        <v>228.81050094432953</v>
      </c>
      <c r="W12" s="1328">
        <f>Model!AV29</f>
        <v>242.1630895283304</v>
      </c>
      <c r="X12" s="1328">
        <f>Model!AW29</f>
        <v>242.33945588198031</v>
      </c>
      <c r="Y12" s="1325"/>
      <c r="Z12" s="81" t="s">
        <v>640</v>
      </c>
      <c r="AA12" s="1328">
        <f>Model!BP29</f>
        <v>468.80200000000002</v>
      </c>
      <c r="AB12" s="1328">
        <f>Model!BQ29</f>
        <v>655.15199999999993</v>
      </c>
      <c r="AC12" s="1328">
        <f>Model!BR29</f>
        <v>780.30499999999995</v>
      </c>
      <c r="AD12" s="1328">
        <f>Model!BS29</f>
        <v>888.35787617123196</v>
      </c>
      <c r="AE12" s="1328">
        <f>Model!BT29</f>
        <v>1035.2587322307422</v>
      </c>
    </row>
    <row r="13" spans="2:34" outlineLevel="1">
      <c r="B13" s="2515" t="s">
        <v>588</v>
      </c>
      <c r="C13" s="1329">
        <f>+C12/C11</f>
        <v>0.92330053667262968</v>
      </c>
      <c r="D13" s="1329">
        <f>+D12/D11</f>
        <v>0.8978105095541401</v>
      </c>
      <c r="E13" s="1329">
        <f>+E12/E11</f>
        <v>0.89729569093610695</v>
      </c>
      <c r="F13" s="1329">
        <f>+F12/F11</f>
        <v>0.90004089979550106</v>
      </c>
      <c r="G13" s="1325"/>
      <c r="H13" s="2515" t="s">
        <v>588</v>
      </c>
      <c r="I13" s="1329">
        <f>+I12/I11</f>
        <v>0.90746660109827071</v>
      </c>
      <c r="J13" s="1329">
        <f>+J12/J11</f>
        <v>0.91535392208870536</v>
      </c>
      <c r="K13" s="1329">
        <f>+K12/K11</f>
        <v>0.92573778942394425</v>
      </c>
      <c r="L13" s="1329">
        <f>+L12/L11</f>
        <v>0.92438243085073624</v>
      </c>
      <c r="M13" s="1325"/>
      <c r="N13" s="2515" t="s">
        <v>588</v>
      </c>
      <c r="O13" s="1329">
        <f>+O12/O11</f>
        <v>0.91925421770396765</v>
      </c>
      <c r="P13" s="1329">
        <f>+P12/P11</f>
        <v>0.91813333077983761</v>
      </c>
      <c r="Q13" s="1329">
        <f>+Q12/Q11</f>
        <v>0.91762298767874806</v>
      </c>
      <c r="R13" s="1329">
        <f>+R12/R11</f>
        <v>0.93055084629271556</v>
      </c>
      <c r="S13" s="1325"/>
      <c r="T13" s="2515" t="s">
        <v>588</v>
      </c>
      <c r="U13" s="1329">
        <f>+U12/U11</f>
        <v>0.92213333077983761</v>
      </c>
      <c r="V13" s="1329">
        <f>+V12/V11</f>
        <v>0.92262298767874806</v>
      </c>
      <c r="W13" s="1329">
        <f>+W12/W11</f>
        <v>0.93355084629271556</v>
      </c>
      <c r="X13" s="1329">
        <f>+X12/X11</f>
        <v>0.92425421770396765</v>
      </c>
      <c r="Y13" s="1325"/>
      <c r="Z13" s="2515" t="s">
        <v>588</v>
      </c>
      <c r="AA13" s="1329">
        <f>+AA12/AA11</f>
        <v>0.90380181222286482</v>
      </c>
      <c r="AB13" s="1329">
        <f>+AB12/AB11</f>
        <v>0.91877784618318836</v>
      </c>
      <c r="AC13" s="1329">
        <f>+AC12/AC11</f>
        <v>0.92146081838611349</v>
      </c>
      <c r="AD13" s="1329">
        <f>+AD12/AD11</f>
        <v>0.92537278767836662</v>
      </c>
      <c r="AE13" s="1329">
        <f>+AE12/AE11</f>
        <v>0.9273188214177196</v>
      </c>
    </row>
    <row r="14" spans="2:34">
      <c r="B14" s="81" t="s">
        <v>445</v>
      </c>
      <c r="C14" s="1328">
        <f>+Model!AG49</f>
        <v>9.6089999999999982</v>
      </c>
      <c r="D14" s="1328">
        <f>+Model!AH49</f>
        <v>14.419999999999986</v>
      </c>
      <c r="E14" s="1328">
        <f>+Model!AI49</f>
        <v>3.5740000000000007</v>
      </c>
      <c r="F14" s="1328">
        <f>+Model!AJ49</f>
        <v>10.507999999999992</v>
      </c>
      <c r="G14" s="1325"/>
      <c r="H14" s="81" t="s">
        <v>445</v>
      </c>
      <c r="I14" s="1328">
        <f>+Model!AK49</f>
        <v>13.026000000000018</v>
      </c>
      <c r="J14" s="1328">
        <f>+Model!AL49</f>
        <v>28.102999999999987</v>
      </c>
      <c r="K14" s="1328">
        <f>+Model!AM49</f>
        <v>33.678999999999981</v>
      </c>
      <c r="L14" s="1328">
        <f>+Model!AN49</f>
        <v>45.273999999999987</v>
      </c>
      <c r="M14" s="1325"/>
      <c r="N14" s="81" t="s">
        <v>445</v>
      </c>
      <c r="O14" s="1328">
        <f>+Model!AO49</f>
        <v>29.270999999999979</v>
      </c>
      <c r="P14" s="1328">
        <f>+Model!AP49</f>
        <v>42.891999999999989</v>
      </c>
      <c r="Q14" s="1328">
        <f>+Model!AQ49</f>
        <v>42.807999999999986</v>
      </c>
      <c r="R14" s="1328">
        <f>+Model!AR49</f>
        <v>41.635999999999981</v>
      </c>
      <c r="S14" s="1325"/>
      <c r="T14" s="81" t="s">
        <v>445</v>
      </c>
      <c r="U14" s="1328">
        <f>+Model!AT49</f>
        <v>47.355181476941937</v>
      </c>
      <c r="V14" s="1328">
        <f>+Model!AU49</f>
        <v>49.635846478999952</v>
      </c>
      <c r="W14" s="1328">
        <f>+Model!AV49</f>
        <v>56.817297403847036</v>
      </c>
      <c r="X14" s="1328">
        <f>+Model!AW49</f>
        <v>44.23587203215029</v>
      </c>
      <c r="Y14" s="1325"/>
      <c r="Z14" s="81" t="s">
        <v>445</v>
      </c>
      <c r="AA14" s="1328">
        <f>+Model!BP49</f>
        <v>38.111000000000004</v>
      </c>
      <c r="AB14" s="1328">
        <f>+Model!BQ49</f>
        <v>120.08199999999995</v>
      </c>
      <c r="AC14" s="1328">
        <f>+Model!BR49</f>
        <v>156.607</v>
      </c>
      <c r="AD14" s="1328">
        <f>+Model!BS49</f>
        <v>186.58690435868911</v>
      </c>
      <c r="AE14" s="1328">
        <f>+Model!BT49</f>
        <v>234.7880648287065</v>
      </c>
    </row>
    <row r="15" spans="2:34">
      <c r="B15" s="2515" t="s">
        <v>221</v>
      </c>
      <c r="C15" s="1329">
        <f>+C14/C11</f>
        <v>8.5948121645796044E-2</v>
      </c>
      <c r="D15" s="1329">
        <f>+D14/D11</f>
        <v>0.11480891719745212</v>
      </c>
      <c r="E15" s="1329">
        <f>+E14/E11</f>
        <v>2.6552748885586931E-2</v>
      </c>
      <c r="F15" s="1329">
        <f>+F14/F11</f>
        <v>7.1629175187457345E-2</v>
      </c>
      <c r="G15" s="1325"/>
      <c r="H15" s="2515" t="s">
        <v>221</v>
      </c>
      <c r="I15" s="1329">
        <f>+I14/I11</f>
        <v>8.2124416031472941E-2</v>
      </c>
      <c r="J15" s="1329">
        <f>+J14/J11</f>
        <v>0.16204419124939448</v>
      </c>
      <c r="K15" s="1329">
        <f>+K14/K11</f>
        <v>0.18084432320975977</v>
      </c>
      <c r="L15" s="1329">
        <f>+L14/L11</f>
        <v>0.23241750343949563</v>
      </c>
      <c r="M15" s="1325"/>
      <c r="N15" s="2515" t="s">
        <v>221</v>
      </c>
      <c r="O15" s="1329">
        <f>+O14/O11</f>
        <v>0.14834053810250189</v>
      </c>
      <c r="P15" s="1329">
        <f>+P14/P11</f>
        <v>0.20535851080128689</v>
      </c>
      <c r="Q15" s="1329">
        <f>+Q14/Q11</f>
        <v>0.19249932547890991</v>
      </c>
      <c r="R15" s="1329">
        <f>+R14/R11</f>
        <v>0.19077554685996526</v>
      </c>
      <c r="S15" s="1325"/>
      <c r="T15" s="2515" t="s">
        <v>221</v>
      </c>
      <c r="U15" s="1329">
        <f>+U14/U11</f>
        <v>0.20464641952006021</v>
      </c>
      <c r="V15" s="1329">
        <f>+V14/V11</f>
        <v>0.20014454225403205</v>
      </c>
      <c r="W15" s="1329">
        <f>+W14/W11</f>
        <v>0.21903352892770639</v>
      </c>
      <c r="X15" s="1329">
        <f>+X14/X11</f>
        <v>0.16871041964969599</v>
      </c>
      <c r="Y15" s="1325"/>
      <c r="Z15" s="2515" t="s">
        <v>221</v>
      </c>
      <c r="AA15" s="1329">
        <f>+AA14/AA11</f>
        <v>7.3474069789859264E-2</v>
      </c>
      <c r="AB15" s="1329">
        <f>+AB14/AB11</f>
        <v>0.16840165537977383</v>
      </c>
      <c r="AC15" s="1329">
        <f>+AC14/AC11</f>
        <v>0.18493693412831405</v>
      </c>
      <c r="AD15" s="1329">
        <f>+AD14/AD11</f>
        <v>0.19436135870696783</v>
      </c>
      <c r="AE15" s="1329">
        <f>+AE14/AE11</f>
        <v>0.2103081913549861</v>
      </c>
    </row>
    <row r="16" spans="2:34">
      <c r="B16" s="2516" t="s">
        <v>516</v>
      </c>
      <c r="C16" s="2534">
        <f>Model!AG78</f>
        <v>-0.10846316703762023</v>
      </c>
      <c r="D16" s="2534">
        <f>Model!AH78</f>
        <v>-0.1221348842524987</v>
      </c>
      <c r="E16" s="2534">
        <f>Model!AI78</f>
        <v>-0.21930659940286226</v>
      </c>
      <c r="F16" s="2534">
        <f>Model!AJ78</f>
        <v>3.1369137476652389E-2</v>
      </c>
      <c r="G16" s="1330"/>
      <c r="H16" s="2516" t="s">
        <v>516</v>
      </c>
      <c r="I16" s="2534">
        <f>Model!AK78</f>
        <v>-0.19840525930586367</v>
      </c>
      <c r="J16" s="2534">
        <f>Model!AL78</f>
        <v>5.6634712411703847E-3</v>
      </c>
      <c r="K16" s="2534">
        <f>Model!AM78</f>
        <v>2.4964723759904234E-2</v>
      </c>
      <c r="L16" s="2534">
        <f>Model!AN78</f>
        <v>9.7944620928357914E-2</v>
      </c>
      <c r="M16" s="1330"/>
      <c r="N16" s="2516" t="s">
        <v>516</v>
      </c>
      <c r="O16" s="2534">
        <f>Model!AO78</f>
        <v>-5.616261308894397E-2</v>
      </c>
      <c r="P16" s="2534">
        <f>Model!AP78</f>
        <v>8.9441432948385496E-2</v>
      </c>
      <c r="Q16" s="2534">
        <f>Model!AQ78</f>
        <v>9.0892454793956426E-2</v>
      </c>
      <c r="R16" s="2534">
        <f>Model!AR78</f>
        <v>1.5954931285367824</v>
      </c>
      <c r="S16" s="1330"/>
      <c r="T16" s="2516" t="s">
        <v>516</v>
      </c>
      <c r="U16" s="2534">
        <f>Model!AT78</f>
        <v>6.0146567512489056E-2</v>
      </c>
      <c r="V16" s="2534">
        <f>Model!AU78</f>
        <v>6.1398419131879982E-2</v>
      </c>
      <c r="W16" s="2534">
        <f>Model!AV78</f>
        <v>9.4760338651598219E-2</v>
      </c>
      <c r="X16" s="2534">
        <f>Model!AW78</f>
        <v>4.6513415797601598E-2</v>
      </c>
      <c r="Y16" s="1330"/>
      <c r="Z16" s="2516" t="s">
        <v>516</v>
      </c>
      <c r="AA16" s="2534">
        <f>Model!BP78</f>
        <v>-0.41193101860143844</v>
      </c>
      <c r="AB16" s="2534">
        <f>Model!BQ78</f>
        <v>-5.7575776255849025E-2</v>
      </c>
      <c r="AC16" s="2534">
        <f>Model!BR78</f>
        <v>1.7647625892220618</v>
      </c>
      <c r="AD16" s="2534">
        <f>Model!BS78</f>
        <v>0.17524765369812612</v>
      </c>
      <c r="AE16" s="2534">
        <f>Model!BT78</f>
        <v>0.48199913563104579</v>
      </c>
    </row>
    <row r="17" spans="2:34" s="1160" customFormat="1">
      <c r="B17" s="40"/>
      <c r="H17" s="40"/>
      <c r="N17" s="40"/>
      <c r="T17" s="40"/>
      <c r="Z17" s="40"/>
    </row>
    <row r="18" spans="2:34">
      <c r="B18" s="1327"/>
      <c r="C18" s="1327"/>
      <c r="D18" s="1327"/>
      <c r="E18" s="1327"/>
      <c r="F18" s="1327"/>
      <c r="G18" s="1327"/>
      <c r="H18" s="1327"/>
      <c r="I18" s="1327"/>
      <c r="J18" s="1327"/>
      <c r="K18" s="1327"/>
      <c r="L18" s="1327"/>
      <c r="M18" s="1327"/>
      <c r="N18" s="1327"/>
      <c r="O18" s="1327"/>
      <c r="P18" s="1327"/>
      <c r="Q18" s="1327"/>
      <c r="R18" s="1327"/>
      <c r="S18" s="1327"/>
      <c r="T18" s="1327"/>
      <c r="U18" s="1327"/>
      <c r="V18" s="1327"/>
      <c r="W18" s="1327"/>
      <c r="X18" s="1327"/>
      <c r="Y18" s="1327"/>
      <c r="Z18" s="1327"/>
      <c r="AA18" s="1327"/>
      <c r="AB18" s="1327"/>
      <c r="AC18" s="1327"/>
      <c r="AD18" s="1327"/>
      <c r="AE18" s="1327"/>
    </row>
    <row r="19" spans="2:34" s="1161" customFormat="1">
      <c r="B19" s="1331" t="s">
        <v>443</v>
      </c>
      <c r="C19" s="1331" t="str">
        <f>C9</f>
        <v>1Q2015</v>
      </c>
      <c r="D19" s="1331" t="str">
        <f>D9</f>
        <v>2Q2015</v>
      </c>
      <c r="E19" s="1331" t="str">
        <f>E9</f>
        <v>3Q2015</v>
      </c>
      <c r="F19" s="1331" t="str">
        <f>F9</f>
        <v>4Q2015</v>
      </c>
      <c r="G19" s="1327"/>
      <c r="H19" s="1331" t="s">
        <v>443</v>
      </c>
      <c r="I19" s="1331" t="str">
        <f>I9</f>
        <v>1Q2016</v>
      </c>
      <c r="J19" s="1331" t="str">
        <f>J9</f>
        <v>2Q2016</v>
      </c>
      <c r="K19" s="1331" t="str">
        <f>K9</f>
        <v>3Q2016</v>
      </c>
      <c r="L19" s="1331" t="str">
        <f>L9</f>
        <v>4Q2016</v>
      </c>
      <c r="M19" s="1327"/>
      <c r="N19" s="1331" t="s">
        <v>443</v>
      </c>
      <c r="O19" s="1331" t="str">
        <f>O9</f>
        <v>1Q2017</v>
      </c>
      <c r="P19" s="1331" t="str">
        <f>P9</f>
        <v>2Q2017</v>
      </c>
      <c r="Q19" s="1331" t="str">
        <f>Q9</f>
        <v>3Q2017</v>
      </c>
      <c r="R19" s="1331" t="str">
        <f>R9</f>
        <v>4Q2017</v>
      </c>
      <c r="S19" s="1327"/>
      <c r="T19" s="1331" t="s">
        <v>443</v>
      </c>
      <c r="U19" s="1331" t="str">
        <f>U9</f>
        <v>1Q2017</v>
      </c>
      <c r="V19" s="1331" t="str">
        <f>V9</f>
        <v>2Q2017</v>
      </c>
      <c r="W19" s="1331" t="str">
        <f>W9</f>
        <v>3Q2017</v>
      </c>
      <c r="X19" s="1331" t="str">
        <f>X9</f>
        <v>4Q2017</v>
      </c>
      <c r="Y19" s="1327"/>
      <c r="Z19" s="1331" t="s">
        <v>443</v>
      </c>
      <c r="AA19" s="1331">
        <f>AA9</f>
        <v>2015</v>
      </c>
      <c r="AB19" s="1331">
        <f>AB9</f>
        <v>2016</v>
      </c>
      <c r="AC19" s="1331">
        <f>AC9</f>
        <v>2017</v>
      </c>
      <c r="AD19" s="1331">
        <f>AD9</f>
        <v>2018</v>
      </c>
      <c r="AE19" s="1331">
        <f>AE9</f>
        <v>2019</v>
      </c>
    </row>
    <row r="20" spans="2:34">
      <c r="B20" s="1326" t="s">
        <v>269</v>
      </c>
      <c r="C20" s="1326"/>
      <c r="D20" s="1326"/>
      <c r="E20" s="1326"/>
      <c r="F20" s="1326"/>
      <c r="G20" s="1327"/>
      <c r="H20" s="1326" t="s">
        <v>269</v>
      </c>
      <c r="I20" s="1326"/>
      <c r="J20" s="1326"/>
      <c r="K20" s="1326"/>
      <c r="L20" s="1326"/>
      <c r="M20" s="1327"/>
      <c r="N20" s="1326" t="s">
        <v>269</v>
      </c>
      <c r="O20" s="1326"/>
      <c r="P20" s="1326"/>
      <c r="Q20" s="1326"/>
      <c r="R20" s="1326"/>
      <c r="S20" s="1327"/>
      <c r="T20" s="1326" t="s">
        <v>269</v>
      </c>
      <c r="U20" s="1326"/>
      <c r="V20" s="1326"/>
      <c r="W20" s="1326"/>
      <c r="X20" s="1326"/>
      <c r="Y20" s="1327"/>
      <c r="Z20" s="1326" t="s">
        <v>269</v>
      </c>
      <c r="AA20" s="1326"/>
      <c r="AB20" s="1326"/>
      <c r="AC20" s="1326"/>
      <c r="AD20" s="1326"/>
      <c r="AE20" s="1326"/>
    </row>
    <row r="21" spans="2:34">
      <c r="B21" s="81" t="s">
        <v>145</v>
      </c>
      <c r="C21" s="2517">
        <f>_xll.ThomsonONEAddinShim.SpreadsheetFormulas.TF($C$2,"TF.ES.SALES.Mean(period=#1,scale=6)","",C$9)</f>
        <v>119.96</v>
      </c>
      <c r="D21" s="2517">
        <f>_xll.ThomsonONEAddinShim.SpreadsheetFormulas.TF($C$2,"TF.ES.SALES.Mean(period=#1,scale=6)","",D$9)</f>
        <v>133.482</v>
      </c>
      <c r="E21" s="2517">
        <f>_xll.ThomsonONEAddinShim.SpreadsheetFormulas.TF($C$2,"TF.ES.SALES.Mean(period=#1,scale=6)","",E$9)</f>
        <v>141.42099999999999</v>
      </c>
      <c r="F21" s="2517">
        <f>_xll.ThomsonONEAddinShim.SpreadsheetFormulas.TF($C$2,"TF.ES.SALES.Mean(period=#1,scale=6)","",F$9)</f>
        <v>152.351</v>
      </c>
      <c r="G21" s="1327"/>
      <c r="H21" s="81" t="s">
        <v>145</v>
      </c>
      <c r="I21" s="2517">
        <f>_xll.ThomsonONEAddinShim.SpreadsheetFormulas.TF($C$2,"TF.ES.SALES.Mean(period=#1,scale=6)","",I$9)</f>
        <v>155.56800000000001</v>
      </c>
      <c r="J21" s="2517">
        <f>_xll.ThomsonONEAddinShim.SpreadsheetFormulas.TF($C$2,"TF.ES.SALES.Mean(period=#1,scale=6)","",J$9)</f>
        <v>169.821</v>
      </c>
      <c r="K21" s="2517">
        <f>_xll.ThomsonONEAddinShim.SpreadsheetFormulas.TF($C$2,"TF.ES.SALES.Mean(period=#1,scale=6)","",K$9)</f>
        <v>183.02500000000001</v>
      </c>
      <c r="L21" s="2517">
        <f>_xll.ThomsonONEAddinShim.SpreadsheetFormulas.TF($C$2,"TF.ES.SALES.Mean(period=#1,scale=6)","",L$9)</f>
        <v>194.48599999999999</v>
      </c>
      <c r="M21" s="1327"/>
      <c r="N21" s="81" t="s">
        <v>145</v>
      </c>
      <c r="O21" s="2517">
        <f>_xll.ThomsonONEAddinShim.SpreadsheetFormulas.TF($C$2,"TF.ES.SALES.Mean(period=#1,scale=6)","",O$9)</f>
        <v>198.60400000000001</v>
      </c>
      <c r="P21" s="2517">
        <f>_xll.ThomsonONEAddinShim.SpreadsheetFormulas.TF($C$2,"TF.ES.SALES.Mean(period=#1,scale=6)","",P$9)</f>
        <v>204.92599999999999</v>
      </c>
      <c r="Q21" s="2517">
        <f>_xll.ThomsonONEAddinShim.SpreadsheetFormulas.TF($C$2,"TF.ES.SALES.Mean(period=#1,scale=6)","",Q$9)</f>
        <v>220.8</v>
      </c>
      <c r="R21" s="2517">
        <f>_xll.ThomsonONEAddinShim.SpreadsheetFormulas.TF($C$2,"TF.ES.SALES.Mean(period=#1,scale=6)","",R$9)</f>
        <v>214.96299999999999</v>
      </c>
      <c r="S21" s="1327"/>
      <c r="T21" s="81" t="s">
        <v>145</v>
      </c>
      <c r="U21" s="2517">
        <f>_xll.ThomsonONEAddinShim.SpreadsheetFormulas.TF($C$2,"TF.ES.SALES.Mean(period=#1,scale=6)","",U$9)</f>
        <v>198.60400000000001</v>
      </c>
      <c r="V21" s="2517">
        <f>_xll.ThomsonONEAddinShim.SpreadsheetFormulas.TF($C$2,"TF.ES.SALES.Mean(period=#1,scale=6)","",V$9)</f>
        <v>204.92599999999999</v>
      </c>
      <c r="W21" s="2517">
        <f>_xll.ThomsonONEAddinShim.SpreadsheetFormulas.TF($C$2,"TF.ES.SALES.Mean(period=#1,scale=6)","",W$9)</f>
        <v>220.8</v>
      </c>
      <c r="X21" s="2517">
        <f>_xll.ThomsonONEAddinShim.SpreadsheetFormulas.TF($C$2,"TF.ES.SALES.Mean(period=#1,scale=6)","",X$9)</f>
        <v>214.96299999999999</v>
      </c>
      <c r="Y21" s="1327"/>
      <c r="Z21" s="81" t="s">
        <v>145</v>
      </c>
      <c r="AA21" s="2517">
        <f>_xll.ThomsonONEAddinShim.SpreadsheetFormulas.TF($C$2,"TF.ES.SALES.Mean(period=#1,scale=6)","",AA$9)</f>
        <v>548.36900000000003</v>
      </c>
      <c r="AB21" s="2517">
        <f>_xll.ThomsonONEAddinShim.SpreadsheetFormulas.TF($C$2,"TF.ES.SALES.Mean(period=#1,scale=6)","",AB$9)</f>
        <v>712.84500000000003</v>
      </c>
      <c r="AC21" s="2517">
        <f>_xll.ThomsonONEAddinShim.SpreadsheetFormulas.TF($C$2,"TF.ES.SALES.Mean(period=#1,scale=6)","",AC$9)</f>
        <v>843.55700000000002</v>
      </c>
      <c r="AD21" s="2517">
        <f>_xll.ThomsonONEAddinShim.SpreadsheetFormulas.TF($C$2,"TF.ES.SALES.Mean(period=#1,scale=6)","",AD$9)</f>
        <v>950.33500000000004</v>
      </c>
      <c r="AE21" s="2517">
        <f>_xll.ThomsonONEAddinShim.SpreadsheetFormulas.TF($C$2,"TF.ES.SALES.Mean(period=#1,scale=6)","",AE$9)</f>
        <v>1105.944</v>
      </c>
      <c r="AF21" s="2260"/>
      <c r="AG21" s="2260"/>
      <c r="AH21" s="2259"/>
    </row>
    <row r="22" spans="2:34" outlineLevel="1">
      <c r="B22" s="81" t="s">
        <v>640</v>
      </c>
      <c r="C22" s="2517">
        <f>C23*C11</f>
        <v>104.60220419999999</v>
      </c>
      <c r="D22" s="2517">
        <f>D23*D11</f>
        <v>117.00418719999999</v>
      </c>
      <c r="E22" s="2517">
        <f>E23*E11</f>
        <v>121.39910499999999</v>
      </c>
      <c r="F22" s="2517">
        <f>F23*F11</f>
        <v>132.49078469999998</v>
      </c>
      <c r="G22" s="1327"/>
      <c r="H22" s="81" t="s">
        <v>640</v>
      </c>
      <c r="I22" s="2517">
        <f>I23*I11</f>
        <v>143.43738399899999</v>
      </c>
      <c r="J22" s="2517">
        <f>J23*J11</f>
        <v>157.08848097999999</v>
      </c>
      <c r="K22" s="2517">
        <f>K23*K11</f>
        <v>169.29550322399999</v>
      </c>
      <c r="L22" s="2517">
        <f>L23*L11</f>
        <v>179.17920468</v>
      </c>
      <c r="M22" s="1327"/>
      <c r="N22" s="81" t="s">
        <v>640</v>
      </c>
      <c r="O22" s="2517">
        <f>O23*O11</f>
        <v>180.83173027500001</v>
      </c>
      <c r="P22" s="2517">
        <f>P23*P11</f>
        <v>191.730259488</v>
      </c>
      <c r="Q22" s="2517">
        <f>Q23*Q11</f>
        <v>204.75905355999998</v>
      </c>
      <c r="R22" s="2517">
        <f>R23*R11</f>
        <v>201.33040727800002</v>
      </c>
      <c r="S22" s="1327"/>
      <c r="T22" s="81" t="s">
        <v>640</v>
      </c>
      <c r="U22" s="2517">
        <f>U23*U11</f>
        <v>212.06074500000003</v>
      </c>
      <c r="V22" s="2517">
        <f>V23*V11</f>
        <v>227.65581599999999</v>
      </c>
      <c r="W22" s="2517">
        <f>W23*W11</f>
        <v>238.84566279999999</v>
      </c>
      <c r="X22" s="2517">
        <f>X23*X11</f>
        <v>241.8776646</v>
      </c>
      <c r="Y22" s="1327"/>
      <c r="Z22" s="81" t="s">
        <v>640</v>
      </c>
      <c r="AA22" s="2517">
        <f>AA23*AA11</f>
        <v>471.27422160000009</v>
      </c>
      <c r="AB22" s="2517">
        <f>AB23*AB11</f>
        <v>653.5655311569999</v>
      </c>
      <c r="AC22" s="2517">
        <f>AC23*AC11</f>
        <v>777.724914582</v>
      </c>
      <c r="AD22" s="2517">
        <f>AD23*AD11</f>
        <v>887.43360000000007</v>
      </c>
      <c r="AE22" s="2517">
        <f>AE23*AE11</f>
        <v>1031.8327000000002</v>
      </c>
      <c r="AF22" s="2260"/>
      <c r="AG22" s="2260"/>
      <c r="AH22" s="2259"/>
    </row>
    <row r="23" spans="2:34" outlineLevel="1">
      <c r="B23" s="2515" t="s">
        <v>588</v>
      </c>
      <c r="C23" s="2518">
        <f>_xll.ThomsonONEAddinShim.SpreadsheetFormulas.TF($C$2,"TF.ES.GPM.Mean(period=#1)",,C$9)</f>
        <v>0.93561899999999998</v>
      </c>
      <c r="D23" s="2518">
        <f>_xll.ThomsonONEAddinShim.SpreadsheetFormulas.TF($C$2,"TF.ES.GPM.Mean(period=#1)",,D$9)</f>
        <v>0.931562</v>
      </c>
      <c r="E23" s="2518">
        <f>_xll.ThomsonONEAddinShim.SpreadsheetFormulas.TF($C$2,"TF.ES.GPM.Mean(period=#1)",,E$9)</f>
        <v>0.90192499999999998</v>
      </c>
      <c r="F23" s="2518">
        <f>_xll.ThomsonONEAddinShim.SpreadsheetFormulas.TF($C$2,"TF.ES.GPM.Mean(period=#1)",,F$9)</f>
        <v>0.90314099999999997</v>
      </c>
      <c r="G23" s="1327"/>
      <c r="H23" s="2515" t="s">
        <v>588</v>
      </c>
      <c r="I23" s="2518">
        <f>_xll.ThomsonONEAddinShim.SpreadsheetFormulas.TF($C$2,"TF.ES.GPM.Mean(period=#1)",,I$9)</f>
        <v>0.90432299999999999</v>
      </c>
      <c r="J23" s="2518">
        <f>_xll.ThomsonONEAddinShim.SpreadsheetFormulas.TF($C$2,"TF.ES.GPM.Mean(period=#1)",,J$9)</f>
        <v>0.90578499999999995</v>
      </c>
      <c r="K23" s="2518">
        <f>_xll.ThomsonONEAddinShim.SpreadsheetFormulas.TF($C$2,"TF.ES.GPM.Mean(period=#1)",,K$9)</f>
        <v>0.909057</v>
      </c>
      <c r="L23" s="2518">
        <f>_xll.ThomsonONEAddinShim.SpreadsheetFormulas.TF($C$2,"TF.ES.GPM.Mean(period=#1)",,L$9)</f>
        <v>0.91983000000000004</v>
      </c>
      <c r="M23" s="1327"/>
      <c r="N23" s="2515" t="s">
        <v>588</v>
      </c>
      <c r="O23" s="2518">
        <f>_xll.ThomsonONEAddinShim.SpreadsheetFormulas.TF($C$2,"TF.ES.GPM.Mean(period=#1)",,O$9)</f>
        <v>0.91642500000000005</v>
      </c>
      <c r="P23" s="2518">
        <f>_xll.ThomsonONEAddinShim.SpreadsheetFormulas.TF($C$2,"TF.ES.GPM.Mean(period=#1)",,P$9)</f>
        <v>0.91796699999999998</v>
      </c>
      <c r="Q23" s="2518">
        <f>_xll.ThomsonONEAddinShim.SpreadsheetFormulas.TF($C$2,"TF.ES.GPM.Mean(period=#1)",,Q$9)</f>
        <v>0.92076199999999997</v>
      </c>
      <c r="R23" s="2518">
        <f>_xll.ThomsonONEAddinShim.SpreadsheetFormulas.TF($C$2,"TF.ES.GPM.Mean(period=#1)",,R$9)</f>
        <v>0.92249300000000001</v>
      </c>
      <c r="S23" s="1327"/>
      <c r="T23" s="2515" t="s">
        <v>588</v>
      </c>
      <c r="U23" s="2518">
        <f>_xll.ThomsonONEAddinShim.SpreadsheetFormulas.TF($C$2,"TF.ES.GPM.Mean(period=#1)",,U$9)</f>
        <v>0.91642500000000005</v>
      </c>
      <c r="V23" s="2518">
        <f>_xll.ThomsonONEAddinShim.SpreadsheetFormulas.TF($C$2,"TF.ES.GPM.Mean(period=#1)",,V$9)</f>
        <v>0.91796699999999998</v>
      </c>
      <c r="W23" s="2518">
        <f>_xll.ThomsonONEAddinShim.SpreadsheetFormulas.TF($C$2,"TF.ES.GPM.Mean(period=#1)",,W$9)</f>
        <v>0.92076199999999997</v>
      </c>
      <c r="X23" s="2518">
        <f>_xll.ThomsonONEAddinShim.SpreadsheetFormulas.TF($C$2,"TF.ES.GPM.Mean(period=#1)",,X$9)</f>
        <v>0.92249300000000001</v>
      </c>
      <c r="Y23" s="1327"/>
      <c r="Z23" s="2515" t="s">
        <v>588</v>
      </c>
      <c r="AA23" s="2518">
        <f>_xll.ThomsonONEAddinShim.SpreadsheetFormulas.TF($C$2,"TF.ES.GPM.Mean(period=#1)",,AA$9)</f>
        <v>0.90856800000000004</v>
      </c>
      <c r="AB23" s="2518">
        <f>_xll.ThomsonONEAddinShim.SpreadsheetFormulas.TF($C$2,"TF.ES.GPM.Mean(period=#1)",,AB$9)</f>
        <v>0.91655299999999995</v>
      </c>
      <c r="AC23" s="2518">
        <f>_xll.ThomsonONEAddinShim.SpreadsheetFormulas.TF($C$2,"TF.ES.GPM.Mean(period=#1)",,AC$9)</f>
        <v>0.91841399999999995</v>
      </c>
      <c r="AD23" s="2518">
        <f>_xll.ThomsonONEAddinShim.SpreadsheetFormulas.TF($C$2,"TF.ES.GPM.Mean(period=#1)",,AD$9)</f>
        <v>0.92441000000000006</v>
      </c>
      <c r="AE23" s="2518">
        <f>_xll.ThomsonONEAddinShim.SpreadsheetFormulas.TF($C$2,"TF.ES.GPM.Mean(period=#1)",,AE$9)</f>
        <v>0.92425000000000002</v>
      </c>
      <c r="AF23" s="2260"/>
      <c r="AG23" s="2260"/>
      <c r="AH23" s="2259"/>
    </row>
    <row r="24" spans="2:34">
      <c r="B24" s="81" t="s">
        <v>445</v>
      </c>
      <c r="C24" s="2517">
        <f>_xll.ThomsonONEAddinShim.SpreadsheetFormulas.TF($C$2,"TF.ES.EBITDA.Mean(period=#1,scale=6)","",C$9)</f>
        <v>20.5609</v>
      </c>
      <c r="D24" s="2517">
        <f>_xll.ThomsonONEAddinShim.SpreadsheetFormulas.TF($C$2,"TF.ES.EBITDA.Mean(period=#1,scale=6)","",D$9)</f>
        <v>23.181799999999999</v>
      </c>
      <c r="E24" s="2517">
        <f>_xll.ThomsonONEAddinShim.SpreadsheetFormulas.TF($C$2,"TF.ES.EBITDA.Mean(period=#1,scale=6)","",E$9)</f>
        <v>14.4779</v>
      </c>
      <c r="F24" s="2517">
        <f>_xll.ThomsonONEAddinShim.SpreadsheetFormulas.TF($C$2,"TF.ES.EBITDA.Mean(period=#1,scale=6)","",F$9)</f>
        <v>21.919</v>
      </c>
      <c r="G24" s="1327"/>
      <c r="H24" s="81" t="s">
        <v>445</v>
      </c>
      <c r="I24" s="2517">
        <f>_xll.ThomsonONEAddinShim.SpreadsheetFormulas.TF($C$2,"TF.ES.EBITDA.Mean(period=#1,scale=6)","",I$9)</f>
        <v>11.4452</v>
      </c>
      <c r="J24" s="2517">
        <f>_xll.ThomsonONEAddinShim.SpreadsheetFormulas.TF($C$2,"TF.ES.EBITDA.Mean(period=#1,scale=6)","",J$9)</f>
        <v>23.302900000000001</v>
      </c>
      <c r="K24" s="2517">
        <f>_xll.ThomsonONEAddinShim.SpreadsheetFormulas.TF($C$2,"TF.ES.EBITDA.Mean(period=#1,scale=6)","",K$9)</f>
        <v>27.6999</v>
      </c>
      <c r="L24" s="2517">
        <f>_xll.ThomsonONEAddinShim.SpreadsheetFormulas.TF($C$2,"TF.ES.EBITDA.Mean(period=#1,scale=6)","",L$9)</f>
        <v>38.625999999999998</v>
      </c>
      <c r="M24" s="1327"/>
      <c r="N24" s="81" t="s">
        <v>445</v>
      </c>
      <c r="O24" s="2517">
        <f>_xll.ThomsonONEAddinShim.SpreadsheetFormulas.TF($C$2,"TF.ES.EBITDA.Mean(period=#1,scale=6)","",O$9)</f>
        <v>26.795000000000002</v>
      </c>
      <c r="P24" s="2517">
        <f>_xll.ThomsonONEAddinShim.SpreadsheetFormulas.TF($C$2,"TF.ES.EBITDA.Mean(period=#1,scale=6)","",P$9)</f>
        <v>33.255499999999998</v>
      </c>
      <c r="Q24" s="2517">
        <f>_xll.ThomsonONEAddinShim.SpreadsheetFormulas.TF($C$2,"TF.ES.EBITDA.Mean(period=#1,scale=6)","",Q$9)</f>
        <v>34.742699999999999</v>
      </c>
      <c r="R24" s="2517">
        <f>_xll.ThomsonONEAddinShim.SpreadsheetFormulas.TF($C$2,"TF.ES.EBITDA.Mean(period=#1,scale=6)","",R$9)</f>
        <v>41.604900000000001</v>
      </c>
      <c r="S24" s="1327"/>
      <c r="T24" s="81" t="s">
        <v>445</v>
      </c>
      <c r="U24" s="2517">
        <f>_xll.ThomsonONEAddinShim.SpreadsheetFormulas.TF($C$2,"TF.ES.EBITDA.Mean(period=#1,scale=6)","",U$9)</f>
        <v>26.795000000000002</v>
      </c>
      <c r="V24" s="2517">
        <f>_xll.ThomsonONEAddinShim.SpreadsheetFormulas.TF($C$2,"TF.ES.EBITDA.Mean(period=#1,scale=6)","",V$9)</f>
        <v>33.255499999999998</v>
      </c>
      <c r="W24" s="2517">
        <f>_xll.ThomsonONEAddinShim.SpreadsheetFormulas.TF($C$2,"TF.ES.EBITDA.Mean(period=#1,scale=6)","",W$9)</f>
        <v>34.742699999999999</v>
      </c>
      <c r="X24" s="2517">
        <f>_xll.ThomsonONEAddinShim.SpreadsheetFormulas.TF($C$2,"TF.ES.EBITDA.Mean(period=#1,scale=6)","",X$9)</f>
        <v>41.604900000000001</v>
      </c>
      <c r="Y24" s="1327"/>
      <c r="Z24" s="81" t="s">
        <v>445</v>
      </c>
      <c r="AA24" s="2517">
        <f>_xll.ThomsonONEAddinShim.SpreadsheetFormulas.TF($C$2,"TF.ES.EBITDA.Mean(period=#1,scale=6)","",AA$9)</f>
        <v>73.4375</v>
      </c>
      <c r="AB24" s="2517">
        <f>_xll.ThomsonONEAddinShim.SpreadsheetFormulas.TF($C$2,"TF.ES.EBITDA.Mean(period=#1,scale=6)","",AB$9)</f>
        <v>113.413</v>
      </c>
      <c r="AC24" s="2517">
        <f>_xll.ThomsonONEAddinShim.SpreadsheetFormulas.TF($C$2,"TF.ES.EBITDA.Mean(period=#1,scale=6)","",AC$9)</f>
        <v>153.048</v>
      </c>
      <c r="AD24" s="2517">
        <f>_xll.ThomsonONEAddinShim.SpreadsheetFormulas.TF($C$2,"TF.ES.EBITDA.Mean(period=#1,scale=6)","",AD$9)</f>
        <v>197.30699999999999</v>
      </c>
      <c r="AE24" s="2517">
        <f>_xll.ThomsonONEAddinShim.SpreadsheetFormulas.TF($C$2,"TF.ES.EBITDA.Mean(period=#1,scale=6)","",AE$9)</f>
        <v>248.57</v>
      </c>
      <c r="AG24" s="1159"/>
      <c r="AH24" s="1159"/>
    </row>
    <row r="25" spans="2:34">
      <c r="B25" s="2515" t="s">
        <v>221</v>
      </c>
      <c r="C25" s="2518">
        <f>+C24/C21</f>
        <v>0.17139796598866289</v>
      </c>
      <c r="D25" s="2518">
        <f>+D24/D21</f>
        <v>0.17366985810820934</v>
      </c>
      <c r="E25" s="2518">
        <f>+E24/E21</f>
        <v>0.10237447055246393</v>
      </c>
      <c r="F25" s="2518">
        <f>+F24/F21</f>
        <v>0.14387171728442871</v>
      </c>
      <c r="G25" s="1327"/>
      <c r="H25" s="2515" t="s">
        <v>221</v>
      </c>
      <c r="I25" s="2518">
        <f>+I24/I21</f>
        <v>7.3570400082279122E-2</v>
      </c>
      <c r="J25" s="2518">
        <f>+J24/J21</f>
        <v>0.1372203673279512</v>
      </c>
      <c r="K25" s="2518">
        <f>+K24/K21</f>
        <v>0.15134489823794564</v>
      </c>
      <c r="L25" s="2518">
        <f>+L24/L21</f>
        <v>0.19860555515564102</v>
      </c>
      <c r="M25" s="1327"/>
      <c r="N25" s="2515" t="s">
        <v>221</v>
      </c>
      <c r="O25" s="2518">
        <f>+O24/O21</f>
        <v>0.13491671869650157</v>
      </c>
      <c r="P25" s="2518">
        <f>+P24/P21</f>
        <v>0.16228053053297287</v>
      </c>
      <c r="Q25" s="2518">
        <f>+Q24/Q21</f>
        <v>0.15734918478260868</v>
      </c>
      <c r="R25" s="2518">
        <f>+R24/R21</f>
        <v>0.19354447044375078</v>
      </c>
      <c r="S25" s="1327"/>
      <c r="T25" s="2515" t="s">
        <v>221</v>
      </c>
      <c r="U25" s="2518">
        <f>+U24/U21</f>
        <v>0.13491671869650157</v>
      </c>
      <c r="V25" s="2518">
        <f>+V24/V21</f>
        <v>0.16228053053297287</v>
      </c>
      <c r="W25" s="2518">
        <f>+W24/W21</f>
        <v>0.15734918478260868</v>
      </c>
      <c r="X25" s="2518">
        <f>+X24/X21</f>
        <v>0.19354447044375078</v>
      </c>
      <c r="Y25" s="1327"/>
      <c r="Z25" s="2515" t="s">
        <v>221</v>
      </c>
      <c r="AA25" s="2518">
        <f>+AA24/AA21</f>
        <v>0.13391986053186813</v>
      </c>
      <c r="AB25" s="2518">
        <f>+AB24/AB21</f>
        <v>0.1590991028905302</v>
      </c>
      <c r="AC25" s="2518">
        <f>+AC24/AC21</f>
        <v>0.18143172304894631</v>
      </c>
      <c r="AD25" s="2518">
        <f>+AD24/AD21</f>
        <v>0.20761836615509266</v>
      </c>
      <c r="AE25" s="2518">
        <f>+AE24/AE21</f>
        <v>0.22475821560585346</v>
      </c>
      <c r="AG25" s="1159"/>
      <c r="AH25" s="1159"/>
    </row>
    <row r="26" spans="2:34">
      <c r="B26" s="2516" t="s">
        <v>516</v>
      </c>
      <c r="C26" s="2519">
        <f>_xll.ThomsonONEAddinShim.SpreadsheetFormulas.TF($C$2,"TF.ES.EPS.Mean(period=#1,curn=USD)",,C$9)</f>
        <v>1.29167E-2</v>
      </c>
      <c r="D26" s="2519">
        <f>_xll.ThomsonONEAddinShim.SpreadsheetFormulas.TF($C$2,"TF.ES.EPS.Mean(period=#1,curn=USD)",,D$9)</f>
        <v>1.11538E-2</v>
      </c>
      <c r="E26" s="2519">
        <f>_xll.ThomsonONEAddinShim.SpreadsheetFormulas.TF($C$2,"TF.ES.EPS.Mean(period=#1,curn=USD)",,E$9)</f>
        <v>-8.85185E-2</v>
      </c>
      <c r="F26" s="2519">
        <f>_xll.ThomsonONEAddinShim.SpreadsheetFormulas.TF($C$2,"TF.ES.EPS.Mean(period=#1,curn=USD)",,F$9)</f>
        <v>-3.2592599999999999E-2</v>
      </c>
      <c r="G26" s="1332"/>
      <c r="H26" s="2516" t="s">
        <v>516</v>
      </c>
      <c r="I26" s="2519">
        <f>_xll.ThomsonONEAddinShim.SpreadsheetFormulas.TF($C$2,"TF.ES.EPS.Mean(period=#1,curn=USD)",,I$9)</f>
        <v>-0.16206899999999999</v>
      </c>
      <c r="J26" s="2519">
        <f>_xll.ThomsonONEAddinShim.SpreadsheetFormulas.TF($C$2,"TF.ES.EPS.Mean(period=#1,curn=USD)",,J$9)</f>
        <v>-7.42308E-2</v>
      </c>
      <c r="K26" s="2519">
        <f>_xll.ThomsonONEAddinShim.SpreadsheetFormulas.TF($C$2,"TF.ES.EPS.Mean(period=#1,curn=USD)",,K$9)</f>
        <v>-3.1724099999999998E-2</v>
      </c>
      <c r="L26" s="2519">
        <f>_xll.ThomsonONEAddinShim.SpreadsheetFormulas.TF($C$2,"TF.ES.EPS.Mean(period=#1,curn=USD)",,L$9)</f>
        <v>3.0800000000000001E-2</v>
      </c>
      <c r="M26" s="1332"/>
      <c r="N26" s="2516" t="s">
        <v>516</v>
      </c>
      <c r="O26" s="2519">
        <f>_xll.ThomsonONEAddinShim.SpreadsheetFormulas.TF($C$2,"TF.ES.EPS.Mean(period=#1,curn=USD)",,O$9)</f>
        <v>-8.0740699999999999E-2</v>
      </c>
      <c r="P26" s="2519">
        <f>_xll.ThomsonONEAddinShim.SpreadsheetFormulas.TF($C$2,"TF.ES.EPS.Mean(period=#1,curn=USD)",,P$9)</f>
        <v>-3.1153900000000002E-2</v>
      </c>
      <c r="Q26" s="2519">
        <f>_xll.ThomsonONEAddinShim.SpreadsheetFormulas.TF($C$2,"TF.ES.EPS.Mean(period=#1,curn=USD)",,Q$9)</f>
        <v>-1.53846E-2</v>
      </c>
      <c r="R26" s="2519">
        <f>_xll.ThomsonONEAddinShim.SpreadsheetFormulas.TF($C$2,"TF.ES.EPS.Mean(period=#1,curn=USD)",,R$9)</f>
        <v>4.7391299999999997E-2</v>
      </c>
      <c r="S26" s="1332"/>
      <c r="T26" s="2516" t="s">
        <v>516</v>
      </c>
      <c r="U26" s="2519">
        <f>_xll.ThomsonONEAddinShim.SpreadsheetFormulas.TF($C$2,"TF.ES.EPS.Mean(period=#1,curn=USD)",,U$9)</f>
        <v>-8.0740699999999999E-2</v>
      </c>
      <c r="V26" s="2519">
        <f>_xll.ThomsonONEAddinShim.SpreadsheetFormulas.TF($C$2,"TF.ES.EPS.Mean(period=#1,curn=USD)",,V$9)</f>
        <v>-3.1153900000000002E-2</v>
      </c>
      <c r="W26" s="2519">
        <f>_xll.ThomsonONEAddinShim.SpreadsheetFormulas.TF($C$2,"TF.ES.EPS.Mean(period=#1,curn=USD)",,W$9)</f>
        <v>-1.53846E-2</v>
      </c>
      <c r="X26" s="2519">
        <f>_xll.ThomsonONEAddinShim.SpreadsheetFormulas.TF($C$2,"TF.ES.EPS.Mean(period=#1,curn=USD)",,X$9)</f>
        <v>4.7391299999999997E-2</v>
      </c>
      <c r="Y26" s="1332"/>
      <c r="Z26" s="2516" t="s">
        <v>516</v>
      </c>
      <c r="AA26" s="2519">
        <f>_xll.ThomsonONEAddinShim.SpreadsheetFormulas.TF($C$2,"TF.ES.EPS.Mean(period=#1,curn=USD)",,AA$9)</f>
        <v>-0.17346200000000001</v>
      </c>
      <c r="AB26" s="2519">
        <f>_xll.ThomsonONEAddinShim.SpreadsheetFormulas.TF($C$2,"TF.ES.EPS.Mean(period=#1,curn=USD)",,AB$9)</f>
        <v>-0.13250000000000001</v>
      </c>
      <c r="AC26" s="2519">
        <f>_xll.ThomsonONEAddinShim.SpreadsheetFormulas.TF($C$2,"TF.ES.EPS.Mean(period=#1,curn=USD)",,AC$9)</f>
        <v>0.17260900000000001</v>
      </c>
      <c r="AD26" s="2519">
        <f>_xll.ThomsonONEAddinShim.SpreadsheetFormulas.TF($C$2,"TF.ES.EPS.Mean(period=#1,curn=USD)",,AD$9)</f>
        <v>0.377</v>
      </c>
      <c r="AE26" s="2519">
        <f>_xll.ThomsonONEAddinShim.SpreadsheetFormulas.TF($C$2,"TF.ES.EPS.Mean(period=#1,curn=USD)",,AE$9)</f>
        <v>0.68100000000000005</v>
      </c>
      <c r="AG26" s="1159"/>
      <c r="AH26" s="1159"/>
    </row>
    <row r="27" spans="2:34">
      <c r="B27" s="1327"/>
      <c r="C27" s="1327"/>
      <c r="D27" s="1327"/>
      <c r="E27" s="1327"/>
      <c r="F27" s="1327"/>
      <c r="G27" s="1327"/>
      <c r="H27" s="1327"/>
      <c r="I27" s="1327"/>
      <c r="J27" s="1327"/>
      <c r="K27" s="1327"/>
      <c r="L27" s="1327"/>
      <c r="M27" s="1327"/>
      <c r="N27" s="1327"/>
      <c r="O27" s="1327"/>
      <c r="P27" s="1327"/>
      <c r="Q27" s="1327"/>
      <c r="R27" s="1327"/>
      <c r="S27" s="1327"/>
      <c r="T27" s="1327"/>
      <c r="U27" s="1327"/>
      <c r="V27" s="1327"/>
      <c r="W27" s="1327"/>
      <c r="X27" s="1327"/>
      <c r="Y27" s="1327"/>
      <c r="Z27" s="1327"/>
      <c r="AA27" s="1327"/>
      <c r="AB27" s="1327"/>
      <c r="AC27" s="1327"/>
      <c r="AD27" s="1327"/>
      <c r="AE27" s="1327"/>
      <c r="AG27" s="1159"/>
      <c r="AH27" s="1159"/>
    </row>
    <row r="28" spans="2:34">
      <c r="B28" s="1331" t="s">
        <v>443</v>
      </c>
      <c r="C28" s="1331" t="str">
        <f>C19</f>
        <v>1Q2015</v>
      </c>
      <c r="D28" s="1331" t="str">
        <f>D19</f>
        <v>2Q2015</v>
      </c>
      <c r="E28" s="1331" t="str">
        <f>E19</f>
        <v>3Q2015</v>
      </c>
      <c r="F28" s="1331" t="str">
        <f>F19</f>
        <v>4Q2015</v>
      </c>
      <c r="G28" s="1327"/>
      <c r="H28" s="1331" t="s">
        <v>443</v>
      </c>
      <c r="I28" s="1331" t="str">
        <f>I19</f>
        <v>1Q2016</v>
      </c>
      <c r="J28" s="1331" t="str">
        <f>J19</f>
        <v>2Q2016</v>
      </c>
      <c r="K28" s="1331" t="str">
        <f>K19</f>
        <v>3Q2016</v>
      </c>
      <c r="L28" s="1331" t="str">
        <f>L19</f>
        <v>4Q2016</v>
      </c>
      <c r="M28" s="1327"/>
      <c r="N28" s="1331" t="s">
        <v>443</v>
      </c>
      <c r="O28" s="1331" t="str">
        <f>O19</f>
        <v>1Q2017</v>
      </c>
      <c r="P28" s="1331" t="str">
        <f>P19</f>
        <v>2Q2017</v>
      </c>
      <c r="Q28" s="1331" t="str">
        <f>Q19</f>
        <v>3Q2017</v>
      </c>
      <c r="R28" s="1331" t="str">
        <f>R19</f>
        <v>4Q2017</v>
      </c>
      <c r="S28" s="1327"/>
      <c r="T28" s="1331" t="s">
        <v>443</v>
      </c>
      <c r="U28" s="1331" t="str">
        <f>U19</f>
        <v>1Q2017</v>
      </c>
      <c r="V28" s="1331" t="str">
        <f>V19</f>
        <v>2Q2017</v>
      </c>
      <c r="W28" s="1331" t="str">
        <f>W19</f>
        <v>3Q2017</v>
      </c>
      <c r="X28" s="1331" t="str">
        <f>X19</f>
        <v>4Q2017</v>
      </c>
      <c r="Y28" s="1327"/>
      <c r="Z28" s="1331" t="s">
        <v>443</v>
      </c>
      <c r="AA28" s="1331">
        <f>AA19</f>
        <v>2015</v>
      </c>
      <c r="AB28" s="1331">
        <f>AB19</f>
        <v>2016</v>
      </c>
      <c r="AC28" s="1331">
        <f>AC19</f>
        <v>2017</v>
      </c>
      <c r="AD28" s="1331">
        <f>AD19</f>
        <v>2018</v>
      </c>
      <c r="AE28" s="1331">
        <f>AE19</f>
        <v>2019</v>
      </c>
      <c r="AG28" s="1159"/>
      <c r="AH28" s="1159"/>
    </row>
    <row r="29" spans="2:34">
      <c r="B29" s="1326" t="s">
        <v>206</v>
      </c>
      <c r="C29" s="1326"/>
      <c r="D29" s="1326"/>
      <c r="E29" s="1326"/>
      <c r="F29" s="1326"/>
      <c r="G29" s="1327"/>
      <c r="H29" s="1326" t="s">
        <v>206</v>
      </c>
      <c r="I29" s="2525"/>
      <c r="J29" s="2525"/>
      <c r="K29" s="2525"/>
      <c r="L29" s="2525"/>
      <c r="M29" s="1327"/>
      <c r="N29" s="1326" t="s">
        <v>206</v>
      </c>
      <c r="O29" s="1326"/>
      <c r="P29" s="1326"/>
      <c r="Q29" s="1326"/>
      <c r="R29" s="1326"/>
      <c r="S29" s="1327"/>
      <c r="T29" s="1326" t="s">
        <v>206</v>
      </c>
      <c r="U29" s="1326"/>
      <c r="V29" s="1326"/>
      <c r="W29" s="1326"/>
      <c r="X29" s="1326"/>
      <c r="Y29" s="1327"/>
      <c r="Z29" s="1326" t="s">
        <v>206</v>
      </c>
      <c r="AA29" s="1326"/>
      <c r="AB29" s="1326"/>
      <c r="AC29" s="1326"/>
      <c r="AD29" s="1326"/>
      <c r="AE29" s="1326"/>
    </row>
    <row r="30" spans="2:34">
      <c r="B30" s="2526" t="s">
        <v>145</v>
      </c>
      <c r="C30" s="2521">
        <f t="shared" ref="C30:F31" si="0">(C11/C21)-1</f>
        <v>-6.8022674224741508E-2</v>
      </c>
      <c r="D30" s="2521">
        <f t="shared" si="0"/>
        <v>-5.9049160186392169E-2</v>
      </c>
      <c r="E30" s="2521">
        <f t="shared" si="0"/>
        <v>-4.8231875039774885E-2</v>
      </c>
      <c r="F30" s="2521">
        <f t="shared" si="0"/>
        <v>-3.7091978392002734E-2</v>
      </c>
      <c r="G30" s="2527"/>
      <c r="H30" s="2526" t="s">
        <v>145</v>
      </c>
      <c r="I30" s="2521">
        <f t="shared" ref="I30:L31" si="1">(I11/I21)-1</f>
        <v>1.9573434125269795E-2</v>
      </c>
      <c r="J30" s="2521">
        <f t="shared" si="1"/>
        <v>2.1240011541564296E-2</v>
      </c>
      <c r="K30" s="2521">
        <f t="shared" si="1"/>
        <v>1.7522196421253966E-2</v>
      </c>
      <c r="L30" s="2521">
        <f t="shared" si="1"/>
        <v>1.5939450654545162E-3</v>
      </c>
      <c r="M30" s="2527"/>
      <c r="N30" s="2526" t="s">
        <v>145</v>
      </c>
      <c r="O30" s="2521">
        <f t="shared" ref="O30:R31" si="2">(O11/O21)-1</f>
        <v>-6.4500211476103964E-3</v>
      </c>
      <c r="P30" s="2521">
        <f t="shared" si="2"/>
        <v>1.9216692854981954E-2</v>
      </c>
      <c r="Q30" s="2521">
        <f t="shared" si="2"/>
        <v>7.1557971014493127E-3</v>
      </c>
      <c r="R30" s="2521">
        <f t="shared" si="2"/>
        <v>1.5272395714611475E-2</v>
      </c>
      <c r="S30" s="2527"/>
      <c r="T30" s="2526" t="s">
        <v>145</v>
      </c>
      <c r="U30" s="2521">
        <f t="shared" ref="U30:X30" si="3">(U11/U21)-1</f>
        <v>0.16513262572757847</v>
      </c>
      <c r="V30" s="2521">
        <f t="shared" si="3"/>
        <v>0.21019294769819363</v>
      </c>
      <c r="W30" s="2521">
        <f t="shared" si="3"/>
        <v>0.17481884057970998</v>
      </c>
      <c r="X30" s="2521">
        <f t="shared" si="3"/>
        <v>0.21974479329000807</v>
      </c>
      <c r="Y30" s="2527"/>
      <c r="Z30" s="2526" t="s">
        <v>145</v>
      </c>
      <c r="AA30" s="2521">
        <f t="shared" ref="AA30:AD31" si="4">(AA11/AA21)-1</f>
        <v>-5.4104079552272255E-2</v>
      </c>
      <c r="AB30" s="2521">
        <f t="shared" si="4"/>
        <v>3.1423380959383351E-4</v>
      </c>
      <c r="AC30" s="2521">
        <f t="shared" si="4"/>
        <v>3.8598458669656388E-3</v>
      </c>
      <c r="AD30" s="2521">
        <f t="shared" si="4"/>
        <v>1.0170097912841181E-2</v>
      </c>
      <c r="AE30" s="2521">
        <f t="shared" ref="AE30" si="5">(AE11/AE21)-1</f>
        <v>9.4543665863733306E-3</v>
      </c>
    </row>
    <row r="31" spans="2:34" outlineLevel="1">
      <c r="B31" s="2528" t="s">
        <v>640</v>
      </c>
      <c r="C31" s="2522">
        <f t="shared" si="0"/>
        <v>-1.3166110700370881E-2</v>
      </c>
      <c r="D31" s="2522">
        <f t="shared" si="0"/>
        <v>-3.6231072591904723E-2</v>
      </c>
      <c r="E31" s="2522">
        <f t="shared" si="0"/>
        <v>-5.1326984659399999E-3</v>
      </c>
      <c r="F31" s="2522">
        <f t="shared" si="0"/>
        <v>-3.4325760922145898E-3</v>
      </c>
      <c r="G31" s="2529"/>
      <c r="H31" s="2528" t="s">
        <v>640</v>
      </c>
      <c r="I31" s="2522">
        <f t="shared" si="1"/>
        <v>3.4761927964575001E-3</v>
      </c>
      <c r="J31" s="2522">
        <f t="shared" si="1"/>
        <v>1.0564231124058576E-2</v>
      </c>
      <c r="K31" s="2522">
        <f t="shared" si="1"/>
        <v>1.8349552804658442E-2</v>
      </c>
      <c r="L31" s="2522">
        <f t="shared" si="1"/>
        <v>4.9492089307112686E-3</v>
      </c>
      <c r="M31" s="2529"/>
      <c r="N31" s="2528" t="s">
        <v>640</v>
      </c>
      <c r="O31" s="2522">
        <f t="shared" si="2"/>
        <v>3.0872332203590869E-3</v>
      </c>
      <c r="P31" s="2522">
        <f t="shared" si="2"/>
        <v>1.8119472686661808E-4</v>
      </c>
      <c r="Q31" s="2522">
        <f t="shared" si="2"/>
        <v>-3.4091462519652005E-3</v>
      </c>
      <c r="R31" s="2522">
        <f t="shared" si="2"/>
        <v>8.7348590100038148E-3</v>
      </c>
      <c r="S31" s="2529"/>
      <c r="T31" s="2528" t="s">
        <v>640</v>
      </c>
      <c r="U31" s="2522">
        <f t="shared" ref="U31:X31" si="6">(U12/U22)-1</f>
        <v>6.2289121093788147E-3</v>
      </c>
      <c r="V31" s="2522">
        <f t="shared" si="6"/>
        <v>5.0720643321036096E-3</v>
      </c>
      <c r="W31" s="2522">
        <f t="shared" si="6"/>
        <v>1.3889415823758577E-2</v>
      </c>
      <c r="X31" s="2522">
        <f t="shared" si="6"/>
        <v>1.9091935699973028E-3</v>
      </c>
      <c r="Y31" s="2529"/>
      <c r="Z31" s="2528" t="s">
        <v>640</v>
      </c>
      <c r="AA31" s="2522">
        <f t="shared" si="4"/>
        <v>-5.2458239527864992E-3</v>
      </c>
      <c r="AB31" s="2522">
        <f t="shared" si="4"/>
        <v>2.4274059254494329E-3</v>
      </c>
      <c r="AC31" s="2522">
        <f t="shared" si="4"/>
        <v>3.3174781592109071E-3</v>
      </c>
      <c r="AD31" s="2522">
        <f t="shared" si="4"/>
        <v>1.0415158624057508E-3</v>
      </c>
      <c r="AE31" s="2522">
        <f t="shared" ref="AE31" si="7">(AE12/AE22)-1</f>
        <v>3.3203369410002015E-3</v>
      </c>
    </row>
    <row r="32" spans="2:34" outlineLevel="1">
      <c r="B32" s="2530" t="s">
        <v>588</v>
      </c>
      <c r="C32" s="2523">
        <f>+(C13-C23)*10000</f>
        <v>-123.18463327370299</v>
      </c>
      <c r="D32" s="2523">
        <f>+(D13-D23)*10000</f>
        <v>-337.51490445859901</v>
      </c>
      <c r="E32" s="2523">
        <f>+(E13-E23)*10000</f>
        <v>-46.293090638930281</v>
      </c>
      <c r="F32" s="2523">
        <f>+(F13-F23)*10000</f>
        <v>-31.001002044989121</v>
      </c>
      <c r="G32" s="2529"/>
      <c r="H32" s="2530" t="s">
        <v>588</v>
      </c>
      <c r="I32" s="2523">
        <f>+(I13-I23)*10000</f>
        <v>31.436010982707209</v>
      </c>
      <c r="J32" s="2523">
        <f>+(J13-J23)*10000</f>
        <v>95.68922088705412</v>
      </c>
      <c r="K32" s="2523">
        <f>+(K13-K23)*10000</f>
        <v>166.80789423944242</v>
      </c>
      <c r="L32" s="2523">
        <f>+(L13-L23)*10000</f>
        <v>45.524308507362001</v>
      </c>
      <c r="M32" s="2529"/>
      <c r="N32" s="2530" t="s">
        <v>588</v>
      </c>
      <c r="O32" s="2523">
        <f>+(O13-O23)*10000</f>
        <v>28.292177039676012</v>
      </c>
      <c r="P32" s="2523">
        <f>+(P13-P23)*10000</f>
        <v>1.6633077983763123</v>
      </c>
      <c r="Q32" s="2523">
        <f>+(Q13-Q23)*10000</f>
        <v>-31.390123212519107</v>
      </c>
      <c r="R32" s="2523">
        <f>+(R13-R23)*10000</f>
        <v>80.578462927155542</v>
      </c>
      <c r="S32" s="2529"/>
      <c r="T32" s="2530" t="s">
        <v>588</v>
      </c>
      <c r="U32" s="2523">
        <f>+(U13-U23)*10000</f>
        <v>57.083307798375671</v>
      </c>
      <c r="V32" s="2523">
        <f>+(V13-V23)*10000</f>
        <v>46.55987678748086</v>
      </c>
      <c r="W32" s="2523">
        <f>+(W13-W23)*10000</f>
        <v>127.88846292715594</v>
      </c>
      <c r="X32" s="2523">
        <f>+(X13-X23)*10000</f>
        <v>17.612177039676435</v>
      </c>
      <c r="Y32" s="2529"/>
      <c r="Z32" s="2530" t="s">
        <v>588</v>
      </c>
      <c r="AA32" s="2523">
        <f>+(AA13-AA23)*10000</f>
        <v>-47.661877771352223</v>
      </c>
      <c r="AB32" s="2523">
        <f>+(AB13-AB23)*10000</f>
        <v>22.248461831884114</v>
      </c>
      <c r="AC32" s="2523">
        <f>+(AC13-AC23)*10000</f>
        <v>30.468183861135365</v>
      </c>
      <c r="AD32" s="2523">
        <f>+(AD13-AD23)*10000</f>
        <v>9.627876783665501</v>
      </c>
      <c r="AE32" s="2523">
        <f>+(AE13-AE23)*10000</f>
        <v>30.688214177195803</v>
      </c>
    </row>
    <row r="33" spans="2:31">
      <c r="B33" s="2528" t="s">
        <v>445</v>
      </c>
      <c r="C33" s="2522">
        <f>(C14/C24)-1</f>
        <v>-0.53265664440758931</v>
      </c>
      <c r="D33" s="2522">
        <f>(D14/D24)-1</f>
        <v>-0.37796029643944873</v>
      </c>
      <c r="E33" s="2522">
        <f>(E14/E24)-1</f>
        <v>-0.75314099420496061</v>
      </c>
      <c r="F33" s="2522">
        <f>(F14/F24)-1</f>
        <v>-0.52059856745289512</v>
      </c>
      <c r="G33" s="2529"/>
      <c r="H33" s="2528" t="s">
        <v>445</v>
      </c>
      <c r="I33" s="2522">
        <f>(I14/I24)-1</f>
        <v>0.13811903680145554</v>
      </c>
      <c r="J33" s="2522">
        <f>(J14/J24)-1</f>
        <v>0.20598723763994986</v>
      </c>
      <c r="K33" s="2522">
        <f>(K14/K24)-1</f>
        <v>0.21585276481142457</v>
      </c>
      <c r="L33" s="2522">
        <f>(L14/L24)-1</f>
        <v>0.17211204887899312</v>
      </c>
      <c r="M33" s="2529"/>
      <c r="N33" s="2528" t="s">
        <v>445</v>
      </c>
      <c r="O33" s="2522">
        <f>(O14/O24)-1</f>
        <v>9.2405299496173932E-2</v>
      </c>
      <c r="P33" s="2522">
        <f>(P14/P24)-1</f>
        <v>0.28977161672505281</v>
      </c>
      <c r="Q33" s="2522">
        <f>(Q14/Q24)-1</f>
        <v>0.23214373091325613</v>
      </c>
      <c r="R33" s="2522">
        <f>(R14/R24)-1</f>
        <v>7.4750810601598161E-4</v>
      </c>
      <c r="S33" s="2529"/>
      <c r="T33" s="2528" t="s">
        <v>445</v>
      </c>
      <c r="U33" s="2522">
        <f>(U14/U24)-1</f>
        <v>0.76731410624899921</v>
      </c>
      <c r="V33" s="2522">
        <f>(V14/V24)-1</f>
        <v>0.49256052319165122</v>
      </c>
      <c r="W33" s="2522">
        <f>(W14/W24)-1</f>
        <v>0.63537368724500509</v>
      </c>
      <c r="X33" s="2522">
        <f>(X14/X24)-1</f>
        <v>6.323707140625956E-2</v>
      </c>
      <c r="Y33" s="2529"/>
      <c r="Z33" s="2528" t="s">
        <v>445</v>
      </c>
      <c r="AA33" s="2522">
        <f>(AA14/AA24)-1</f>
        <v>-0.48104170212765951</v>
      </c>
      <c r="AB33" s="2522">
        <f>(AB14/AB24)-1</f>
        <v>5.8802782749772575E-2</v>
      </c>
      <c r="AC33" s="2522">
        <f>(AC14/AC24)-1</f>
        <v>2.3254142491244467E-2</v>
      </c>
      <c r="AD33" s="2522">
        <f>(AD14/AD24)-1</f>
        <v>-5.4332059386189457E-2</v>
      </c>
      <c r="AE33" s="2522">
        <f>(AE14/AE24)-1</f>
        <v>-5.5444885429832613E-2</v>
      </c>
    </row>
    <row r="34" spans="2:31">
      <c r="B34" s="2530" t="s">
        <v>221</v>
      </c>
      <c r="C34" s="2523">
        <f>+(C15-C25)*10000</f>
        <v>-854.49844342866845</v>
      </c>
      <c r="D34" s="2523">
        <f>+(D15-D25)*10000</f>
        <v>-588.60940910757222</v>
      </c>
      <c r="E34" s="2523">
        <f>+(E15-E25)*10000</f>
        <v>-758.21721666877011</v>
      </c>
      <c r="F34" s="2523">
        <f>+(F15-F25)*10000</f>
        <v>-722.42542096971363</v>
      </c>
      <c r="G34" s="2531"/>
      <c r="H34" s="2530" t="s">
        <v>221</v>
      </c>
      <c r="I34" s="2523">
        <f>+(I15-I25)*10000</f>
        <v>85.540159491938184</v>
      </c>
      <c r="J34" s="2523">
        <f>+(J15-J25)*10000</f>
        <v>248.23823921443278</v>
      </c>
      <c r="K34" s="2523">
        <f>+(K15-K25)*10000</f>
        <v>294.99424971814125</v>
      </c>
      <c r="L34" s="2523">
        <f>+(L15-L25)*10000</f>
        <v>338.11948283854616</v>
      </c>
      <c r="M34" s="2531"/>
      <c r="N34" s="2530" t="s">
        <v>221</v>
      </c>
      <c r="O34" s="2523">
        <f>+(O15-O25)*10000</f>
        <v>134.2381940600032</v>
      </c>
      <c r="P34" s="2523">
        <f>+(P15-P25)*10000</f>
        <v>430.77980268314025</v>
      </c>
      <c r="Q34" s="2523">
        <f>+(Q15-Q25)*10000</f>
        <v>351.50140696301236</v>
      </c>
      <c r="R34" s="2523">
        <f>+(R15-R25)*10000</f>
        <v>-27.689235837855264</v>
      </c>
      <c r="S34" s="2531"/>
      <c r="T34" s="2530" t="s">
        <v>221</v>
      </c>
      <c r="U34" s="2523">
        <f>+(U15-U25)*10000</f>
        <v>697.29700823558642</v>
      </c>
      <c r="V34" s="2523">
        <f>+(V15-V25)*10000</f>
        <v>378.64011721059188</v>
      </c>
      <c r="W34" s="2523">
        <f>+(W15-W25)*10000</f>
        <v>616.84344145097714</v>
      </c>
      <c r="X34" s="2523">
        <f>+(X15-X25)*10000</f>
        <v>-248.34050794054789</v>
      </c>
      <c r="Y34" s="2531"/>
      <c r="Z34" s="2530" t="s">
        <v>221</v>
      </c>
      <c r="AA34" s="2523">
        <f>+(AA15-AA25)*10000</f>
        <v>-604.45790742008876</v>
      </c>
      <c r="AB34" s="2523">
        <f>+(AB15-AB25)*10000</f>
        <v>93.02552489243638</v>
      </c>
      <c r="AC34" s="2523">
        <f>+(AC15-AC25)*10000</f>
        <v>35.052110793677429</v>
      </c>
      <c r="AD34" s="2523">
        <f>+(AD15-AD25)*10000</f>
        <v>-132.5700744812483</v>
      </c>
      <c r="AE34" s="2523">
        <f>+(AE15-AE25)*10000</f>
        <v>-144.50024250867361</v>
      </c>
    </row>
    <row r="35" spans="2:31">
      <c r="B35" s="2532" t="s">
        <v>516</v>
      </c>
      <c r="C35" s="2524">
        <f>(C16/C26)-1</f>
        <v>-9.3971267458112546</v>
      </c>
      <c r="D35" s="2524">
        <f>(D16/D26)-1</f>
        <v>-11.950069416028501</v>
      </c>
      <c r="E35" s="2524">
        <f>(E16/E26)-1</f>
        <v>1.4775227709785215</v>
      </c>
      <c r="F35" s="2524">
        <f>(F16/F26)-1</f>
        <v>-1.9624619538377543</v>
      </c>
      <c r="G35" s="2533"/>
      <c r="H35" s="2532" t="s">
        <v>516</v>
      </c>
      <c r="I35" s="2524">
        <f>(I16/I26)-1</f>
        <v>0.22420240333354124</v>
      </c>
      <c r="J35" s="2524">
        <f>(J16/J26)-1</f>
        <v>-1.0762954358725809</v>
      </c>
      <c r="K35" s="2524">
        <f>(K16/K26)-1</f>
        <v>-1.7869324507205637</v>
      </c>
      <c r="L35" s="2524">
        <f>(L16/L26)-1</f>
        <v>2.1800201600116207</v>
      </c>
      <c r="M35" s="2533"/>
      <c r="N35" s="2532" t="s">
        <v>516</v>
      </c>
      <c r="O35" s="2524">
        <f>(O16/O26)-1</f>
        <v>-0.30440765203987619</v>
      </c>
      <c r="P35" s="2524">
        <f>IF(ISERROR((P16/P26)-1),"N/A",P16/P26-1)</f>
        <v>-3.8709546139772386</v>
      </c>
      <c r="Q35" s="2524">
        <f>(Q16/Q26)-1</f>
        <v>-6.9080154696226375</v>
      </c>
      <c r="R35" s="2524">
        <f>(R16/R26)-1</f>
        <v>32.666371855947872</v>
      </c>
      <c r="S35" s="2533"/>
      <c r="T35" s="2532" t="s">
        <v>516</v>
      </c>
      <c r="U35" s="2524">
        <f>(U16/U26)-1</f>
        <v>-1.7449349276447821</v>
      </c>
      <c r="V35" s="2524">
        <f>IF(ISERROR((V16/V26)-1),"N/A",V16/V26-1)</f>
        <v>-2.9708100472775474</v>
      </c>
      <c r="W35" s="2524">
        <f>(W16/W26)-1</f>
        <v>-7.1594281717820563</v>
      </c>
      <c r="X35" s="2524">
        <f>(X16/X26)-1</f>
        <v>-1.8524163768421587E-2</v>
      </c>
      <c r="Y35" s="2533"/>
      <c r="Z35" s="2532" t="s">
        <v>516</v>
      </c>
      <c r="AA35" s="2524">
        <f>(AA16/AA26)-1</f>
        <v>1.3747623029910785</v>
      </c>
      <c r="AB35" s="2524">
        <f>(AB16/AB26)-1</f>
        <v>-0.56546583957849794</v>
      </c>
      <c r="AC35" s="2524">
        <f>(AC16/AC26)-1</f>
        <v>9.2240473510770684</v>
      </c>
      <c r="AD35" s="2524">
        <f>(AD16/AD26)-1</f>
        <v>-0.535152112206562</v>
      </c>
      <c r="AE35" s="2524">
        <f>(AE16/AE26)-1</f>
        <v>-0.29221859672386818</v>
      </c>
    </row>
    <row r="36" spans="2:31">
      <c r="B36" s="1757"/>
      <c r="H36" s="1757"/>
      <c r="N36" s="1757"/>
      <c r="T36" s="1757"/>
      <c r="Z36" s="1757"/>
      <c r="AD36" s="1240">
        <f>AD14-AD24</f>
        <v>-10.720095641310877</v>
      </c>
      <c r="AE36" s="1240">
        <f>AE14-AE24</f>
        <v>-13.781935171293497</v>
      </c>
    </row>
    <row r="37" spans="2:31">
      <c r="C37" s="1240"/>
      <c r="I37" s="1240"/>
      <c r="O37" s="1240"/>
      <c r="U37" s="1240"/>
      <c r="AB37" s="1155" t="s">
        <v>708</v>
      </c>
      <c r="AC37" s="1155">
        <v>2018</v>
      </c>
      <c r="AD37" s="1155">
        <v>2019</v>
      </c>
    </row>
    <row r="38" spans="2:31">
      <c r="C38" s="1240"/>
      <c r="D38" s="1240"/>
      <c r="E38" s="1240"/>
      <c r="F38" s="1240"/>
      <c r="I38" s="1240"/>
      <c r="J38" s="1240"/>
      <c r="K38" s="1240"/>
      <c r="L38" s="1240"/>
      <c r="O38" s="1240"/>
      <c r="P38" s="1240"/>
      <c r="Q38" s="1240"/>
      <c r="R38" s="1240"/>
      <c r="U38" s="1240"/>
      <c r="V38" s="1240"/>
      <c r="W38" s="1240"/>
      <c r="X38" s="1240"/>
      <c r="Z38" s="1240" t="s">
        <v>145</v>
      </c>
      <c r="AB38" s="2520">
        <f>R30</f>
        <v>1.5272395714611475E-2</v>
      </c>
      <c r="AC38" s="2520">
        <f>AD30</f>
        <v>1.0170097912841181E-2</v>
      </c>
      <c r="AD38" s="2520">
        <f>AE30</f>
        <v>9.4543665863733306E-3</v>
      </c>
      <c r="AE38" s="2520"/>
    </row>
    <row r="39" spans="2:31">
      <c r="C39" s="1240"/>
      <c r="D39" s="1240"/>
      <c r="E39" s="1240"/>
      <c r="F39" s="1240"/>
      <c r="Z39" s="1155" t="s">
        <v>445</v>
      </c>
      <c r="AB39" s="2520">
        <f>R33</f>
        <v>7.4750810601598161E-4</v>
      </c>
      <c r="AC39" s="2520">
        <f>AD33</f>
        <v>-5.4332059386189457E-2</v>
      </c>
      <c r="AD39" s="2520">
        <f>AE33</f>
        <v>-5.5444885429832613E-2</v>
      </c>
      <c r="AE39" s="2520"/>
    </row>
    <row r="40" spans="2:31">
      <c r="C40" s="1240"/>
      <c r="D40" s="1240"/>
      <c r="E40" s="1240"/>
      <c r="F40" s="1240"/>
    </row>
    <row r="41" spans="2:31">
      <c r="C41" s="1240"/>
      <c r="D41" s="1240"/>
      <c r="E41" s="1240"/>
      <c r="F41" s="1240"/>
      <c r="AA41" s="2520"/>
      <c r="AB41" s="2520"/>
      <c r="AC41" s="2520"/>
      <c r="AD41" s="2520"/>
    </row>
    <row r="43" spans="2:31">
      <c r="B43" s="2262" t="s">
        <v>443</v>
      </c>
      <c r="C43" s="2265"/>
      <c r="D43" s="2265"/>
      <c r="E43" s="2265"/>
      <c r="H43" s="2262" t="s">
        <v>443</v>
      </c>
      <c r="I43" s="2265"/>
      <c r="J43" s="2265"/>
      <c r="K43" s="2265"/>
      <c r="N43" s="2262" t="s">
        <v>443</v>
      </c>
      <c r="O43" s="2265"/>
      <c r="P43" s="2265"/>
      <c r="Q43" s="2265"/>
      <c r="T43" s="2262" t="s">
        <v>443</v>
      </c>
      <c r="U43" s="2265"/>
      <c r="V43" s="2265"/>
      <c r="W43" s="2265"/>
    </row>
    <row r="44" spans="2:31">
      <c r="B44" s="2263">
        <f>AA9</f>
        <v>2015</v>
      </c>
      <c r="C44" s="2264" t="s">
        <v>609</v>
      </c>
      <c r="D44" s="2264" t="s">
        <v>269</v>
      </c>
      <c r="E44" s="2264" t="s">
        <v>610</v>
      </c>
      <c r="H44" s="2263">
        <f>AB9</f>
        <v>2016</v>
      </c>
      <c r="I44" s="2264" t="s">
        <v>609</v>
      </c>
      <c r="J44" s="2264" t="s">
        <v>269</v>
      </c>
      <c r="K44" s="2264" t="s">
        <v>610</v>
      </c>
      <c r="N44" s="2263">
        <f>AC9</f>
        <v>2017</v>
      </c>
      <c r="O44" s="2264" t="s">
        <v>609</v>
      </c>
      <c r="P44" s="2264" t="s">
        <v>269</v>
      </c>
      <c r="Q44" s="2264" t="s">
        <v>610</v>
      </c>
      <c r="T44" s="2263">
        <f>AD9</f>
        <v>2018</v>
      </c>
      <c r="U44" s="2264" t="s">
        <v>609</v>
      </c>
      <c r="V44" s="2264" t="s">
        <v>269</v>
      </c>
      <c r="W44" s="2264" t="s">
        <v>610</v>
      </c>
    </row>
    <row r="45" spans="2:31">
      <c r="B45" s="1155" t="s">
        <v>460</v>
      </c>
      <c r="C45" s="2258">
        <f t="shared" ref="C45:C50" si="8">AA11</f>
        <v>518.70000000000005</v>
      </c>
      <c r="D45" s="2258">
        <f t="shared" ref="D45:D50" si="9">AA21</f>
        <v>548.36900000000003</v>
      </c>
      <c r="E45" s="2259">
        <f>C45/D45-1</f>
        <v>-5.4104079552272255E-2</v>
      </c>
      <c r="H45" s="1155" t="s">
        <v>460</v>
      </c>
      <c r="I45" s="2258">
        <f t="shared" ref="I45:I50" si="10">AB11</f>
        <v>713.06899999999996</v>
      </c>
      <c r="J45" s="2258">
        <f t="shared" ref="J45:J50" si="11">AB21</f>
        <v>712.84500000000003</v>
      </c>
      <c r="K45" s="2259">
        <f>I45/J45-1</f>
        <v>3.1423380959383351E-4</v>
      </c>
      <c r="N45" s="1155" t="s">
        <v>460</v>
      </c>
      <c r="O45" s="2258">
        <f t="shared" ref="O45:O50" si="12">AC11</f>
        <v>846.81299999999999</v>
      </c>
      <c r="P45" s="2258">
        <f t="shared" ref="P45:P50" si="13">AC21</f>
        <v>843.55700000000002</v>
      </c>
      <c r="Q45" s="2259">
        <f>O45/P45-1</f>
        <v>3.8598458669656388E-3</v>
      </c>
      <c r="T45" s="1155" t="s">
        <v>460</v>
      </c>
      <c r="U45" s="2258">
        <f t="shared" ref="U45:U50" si="14">AD11</f>
        <v>960</v>
      </c>
      <c r="V45" s="2258">
        <f t="shared" ref="V45:V50" si="15">AD21</f>
        <v>950.33500000000004</v>
      </c>
      <c r="W45" s="2259">
        <f>U45/V45-1</f>
        <v>1.0170097912841181E-2</v>
      </c>
    </row>
    <row r="46" spans="2:31" outlineLevel="1">
      <c r="B46" s="81" t="s">
        <v>640</v>
      </c>
      <c r="C46" s="2258">
        <f t="shared" si="8"/>
        <v>468.80200000000002</v>
      </c>
      <c r="D46" s="2258">
        <f t="shared" si="9"/>
        <v>471.27422160000009</v>
      </c>
      <c r="E46" s="2259">
        <f>C46/D46-1</f>
        <v>-5.2458239527864992E-3</v>
      </c>
      <c r="H46" s="81" t="s">
        <v>640</v>
      </c>
      <c r="I46" s="2258">
        <f t="shared" si="10"/>
        <v>655.15199999999993</v>
      </c>
      <c r="J46" s="2258">
        <f t="shared" si="11"/>
        <v>653.5655311569999</v>
      </c>
      <c r="K46" s="2259">
        <f>I46/J46-1</f>
        <v>2.4274059254494329E-3</v>
      </c>
      <c r="N46" s="81" t="s">
        <v>640</v>
      </c>
      <c r="O46" s="2258">
        <f t="shared" si="12"/>
        <v>780.30499999999995</v>
      </c>
      <c r="P46" s="2258">
        <f t="shared" si="13"/>
        <v>777.724914582</v>
      </c>
      <c r="Q46" s="2259">
        <f>O46/P46-1</f>
        <v>3.3174781592109071E-3</v>
      </c>
      <c r="T46" s="81" t="s">
        <v>640</v>
      </c>
      <c r="U46" s="2258">
        <f t="shared" si="14"/>
        <v>888.35787617123196</v>
      </c>
      <c r="V46" s="2258">
        <f t="shared" si="15"/>
        <v>887.43360000000007</v>
      </c>
      <c r="W46" s="2259">
        <f>U46/V46-1</f>
        <v>1.0415158624057508E-3</v>
      </c>
    </row>
    <row r="47" spans="2:31" outlineLevel="1">
      <c r="B47" s="2515" t="s">
        <v>588</v>
      </c>
      <c r="C47" s="2514">
        <f t="shared" si="8"/>
        <v>0.90380181222286482</v>
      </c>
      <c r="D47" s="2514">
        <f t="shared" si="9"/>
        <v>0.90856800000000004</v>
      </c>
      <c r="E47" s="2513">
        <f>+(C47-D47)*10000</f>
        <v>-47.661877771352223</v>
      </c>
      <c r="H47" s="2515" t="s">
        <v>588</v>
      </c>
      <c r="I47" s="2514">
        <f t="shared" si="10"/>
        <v>0.91877784618318836</v>
      </c>
      <c r="J47" s="2514">
        <f t="shared" si="11"/>
        <v>0.91655299999999995</v>
      </c>
      <c r="K47" s="2513">
        <f>+(I47-J47)*10000</f>
        <v>22.248461831884114</v>
      </c>
      <c r="N47" s="2515" t="s">
        <v>588</v>
      </c>
      <c r="O47" s="2514">
        <f t="shared" si="12"/>
        <v>0.92146081838611349</v>
      </c>
      <c r="P47" s="2514">
        <f t="shared" si="13"/>
        <v>0.91841399999999995</v>
      </c>
      <c r="Q47" s="2513">
        <f>+(O47-P47)*10000</f>
        <v>30.468183861135365</v>
      </c>
      <c r="T47" s="2515" t="s">
        <v>588</v>
      </c>
      <c r="U47" s="2514">
        <f t="shared" si="14"/>
        <v>0.92537278767836662</v>
      </c>
      <c r="V47" s="2514">
        <f t="shared" si="15"/>
        <v>0.92441000000000006</v>
      </c>
      <c r="W47" s="2513">
        <f>+(U47-V47)*10000</f>
        <v>9.627876783665501</v>
      </c>
    </row>
    <row r="48" spans="2:31">
      <c r="B48" s="1155" t="s">
        <v>445</v>
      </c>
      <c r="C48" s="2260">
        <f t="shared" si="8"/>
        <v>38.111000000000004</v>
      </c>
      <c r="D48" s="2260">
        <f t="shared" si="9"/>
        <v>73.4375</v>
      </c>
      <c r="E48" s="2259">
        <f>C48/D48-1</f>
        <v>-0.48104170212765951</v>
      </c>
      <c r="H48" s="1155" t="s">
        <v>445</v>
      </c>
      <c r="I48" s="2260">
        <f t="shared" si="10"/>
        <v>120.08199999999995</v>
      </c>
      <c r="J48" s="2260">
        <f t="shared" si="11"/>
        <v>113.413</v>
      </c>
      <c r="K48" s="2259">
        <f>I48/J48-1</f>
        <v>5.8802782749772575E-2</v>
      </c>
      <c r="N48" s="1155" t="s">
        <v>445</v>
      </c>
      <c r="O48" s="2260">
        <f t="shared" si="12"/>
        <v>156.607</v>
      </c>
      <c r="P48" s="2260">
        <f t="shared" si="13"/>
        <v>153.048</v>
      </c>
      <c r="Q48" s="2259">
        <f>O48/P48-1</f>
        <v>2.3254142491244467E-2</v>
      </c>
      <c r="T48" s="1155" t="s">
        <v>445</v>
      </c>
      <c r="U48" s="2260">
        <f t="shared" si="14"/>
        <v>186.58690435868911</v>
      </c>
      <c r="V48" s="2260">
        <f t="shared" si="15"/>
        <v>197.30699999999999</v>
      </c>
      <c r="W48" s="2259">
        <f>U48/V48-1</f>
        <v>-5.4332059386189457E-2</v>
      </c>
    </row>
    <row r="49" spans="2:23">
      <c r="B49" s="2515" t="s">
        <v>221</v>
      </c>
      <c r="C49" s="2514">
        <f t="shared" si="8"/>
        <v>7.3474069789859264E-2</v>
      </c>
      <c r="D49" s="2514">
        <f t="shared" si="9"/>
        <v>0.13391986053186813</v>
      </c>
      <c r="E49" s="2513">
        <f>+(C49-D49)*10000</f>
        <v>-604.45790742008876</v>
      </c>
      <c r="H49" s="2515" t="s">
        <v>221</v>
      </c>
      <c r="I49" s="2514">
        <f t="shared" si="10"/>
        <v>0.16840165537977383</v>
      </c>
      <c r="J49" s="2514">
        <f t="shared" si="11"/>
        <v>0.1590991028905302</v>
      </c>
      <c r="K49" s="2513">
        <f>+(I49-J49)*10000</f>
        <v>93.02552489243638</v>
      </c>
      <c r="N49" s="2515" t="s">
        <v>221</v>
      </c>
      <c r="O49" s="2514">
        <f t="shared" si="12"/>
        <v>0.18493693412831405</v>
      </c>
      <c r="P49" s="2514">
        <f t="shared" si="13"/>
        <v>0.18143172304894631</v>
      </c>
      <c r="Q49" s="2513">
        <f>+(O49-P49)*10000</f>
        <v>35.052110793677429</v>
      </c>
      <c r="T49" s="2515" t="s">
        <v>221</v>
      </c>
      <c r="U49" s="2514">
        <f t="shared" si="14"/>
        <v>0.19436135870696783</v>
      </c>
      <c r="V49" s="2514">
        <f t="shared" si="15"/>
        <v>0.20761836615509266</v>
      </c>
      <c r="W49" s="2513">
        <f>+(U49-V49)*10000</f>
        <v>-132.5700744812483</v>
      </c>
    </row>
    <row r="50" spans="2:23">
      <c r="B50" s="1155" t="s">
        <v>639</v>
      </c>
      <c r="C50" s="2260">
        <f t="shared" si="8"/>
        <v>-0.41193101860143844</v>
      </c>
      <c r="D50" s="2260">
        <f t="shared" si="9"/>
        <v>-0.17346200000000001</v>
      </c>
      <c r="E50" s="2259">
        <f>C50/D50-1</f>
        <v>1.3747623029910785</v>
      </c>
      <c r="H50" s="1155" t="s">
        <v>639</v>
      </c>
      <c r="I50" s="2260">
        <f t="shared" si="10"/>
        <v>-5.7575776255849025E-2</v>
      </c>
      <c r="J50" s="2260">
        <f t="shared" si="11"/>
        <v>-0.13250000000000001</v>
      </c>
      <c r="K50" s="2259">
        <f>I50/J50-1</f>
        <v>-0.56546583957849794</v>
      </c>
      <c r="N50" s="1155" t="s">
        <v>639</v>
      </c>
      <c r="O50" s="2260">
        <f t="shared" si="12"/>
        <v>1.7647625892220618</v>
      </c>
      <c r="P50" s="2260">
        <f t="shared" si="13"/>
        <v>0.17260900000000001</v>
      </c>
      <c r="Q50" s="2259">
        <f>O50/P50-1</f>
        <v>9.2240473510770684</v>
      </c>
      <c r="T50" s="1155" t="s">
        <v>639</v>
      </c>
      <c r="U50" s="2260">
        <f t="shared" si="14"/>
        <v>0.17524765369812612</v>
      </c>
      <c r="V50" s="2260">
        <f t="shared" si="15"/>
        <v>0.377</v>
      </c>
      <c r="W50" s="2259">
        <f>U50/V50-1</f>
        <v>-0.535152112206562</v>
      </c>
    </row>
    <row r="51" spans="2:23">
      <c r="C51" s="2260"/>
      <c r="D51" s="2260"/>
      <c r="E51" s="2259"/>
    </row>
    <row r="55" spans="2:23">
      <c r="F55" s="1159"/>
    </row>
    <row r="56" spans="2:23">
      <c r="F56" s="1159"/>
    </row>
    <row r="57" spans="2:23">
      <c r="F57" s="1159"/>
    </row>
    <row r="58" spans="2:23">
      <c r="F58" s="1159"/>
    </row>
    <row r="59" spans="2:23">
      <c r="F59" s="1159"/>
    </row>
  </sheetData>
  <pageMargins left="0" right="0" top="0" bottom="0" header="0" footer="0"/>
  <pageSetup paperSize="5" scale="54" orientation="landscape" r:id="rId1"/>
  <ignoredErrors>
    <ignoredError sqref="Y32:AD34 E48:E49 L47:P47 L49:P49 K48:O48 C35:O35 Y35:AD35 Q35:R35 C32:R34" formula="1"/>
  </ignoredError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pageSetUpPr fitToPage="1"/>
  </sheetPr>
  <dimension ref="A1:CS295"/>
  <sheetViews>
    <sheetView showGridLines="0" zoomScale="85" zoomScaleNormal="85" zoomScaleSheetLayoutView="70" workbookViewId="0">
      <pane xSplit="12" ySplit="8" topLeftCell="M170" activePane="bottomRight" state="frozen"/>
      <selection activeCell="H1" sqref="H1"/>
      <selection pane="topRight" activeCell="M1" sqref="M1"/>
      <selection pane="bottomLeft" activeCell="H9" sqref="H9"/>
      <selection pane="bottomRight" activeCell="AS203" sqref="AS203"/>
    </sheetView>
  </sheetViews>
  <sheetFormatPr defaultRowHeight="11.25" customHeight="1" outlineLevelRow="1" outlineLevelCol="2"/>
  <cols>
    <col min="1" max="1" width="1.7109375" hidden="1" customWidth="1" outlineLevel="1"/>
    <col min="2" max="2" width="34.140625" hidden="1" customWidth="1" outlineLevel="1"/>
    <col min="3" max="7" width="5.7109375" hidden="1" customWidth="1" outlineLevel="1"/>
    <col min="8" max="8" width="1.7109375" customWidth="1" collapsed="1"/>
    <col min="9" max="9" width="10.85546875" customWidth="1"/>
    <col min="10" max="10" width="25.85546875" customWidth="1"/>
    <col min="11" max="11" width="3.28515625" customWidth="1"/>
    <col min="12" max="12" width="2.5703125" customWidth="1"/>
    <col min="13" max="16" width="9.28515625" hidden="1" customWidth="1"/>
    <col min="17" max="17" width="9.28515625" hidden="1" customWidth="1" collapsed="1"/>
    <col min="18" max="24" width="9.28515625" hidden="1" customWidth="1"/>
    <col min="25" max="25" width="9.28515625" hidden="1" customWidth="1" collapsed="1"/>
    <col min="26" max="28" width="9.28515625" hidden="1" customWidth="1"/>
    <col min="29" max="29" width="9.28515625" hidden="1" customWidth="1" collapsed="1"/>
    <col min="30" max="32" width="9.28515625" hidden="1" customWidth="1"/>
    <col min="33" max="37" width="9.28515625" customWidth="1" outlineLevel="1"/>
    <col min="38" max="38" width="9.28515625" style="401" customWidth="1" outlineLevel="1"/>
    <col min="39" max="48" width="9.28515625" customWidth="1" outlineLevel="1"/>
    <col min="49" max="56" width="9.28515625" hidden="1" customWidth="1" outlineLevel="2"/>
    <col min="57" max="57" width="4.85546875" customWidth="1" outlineLevel="1" collapsed="1"/>
    <col min="58" max="58" width="4.140625" style="40" customWidth="1"/>
    <col min="59" max="62" width="9.140625" hidden="1" customWidth="1" outlineLevel="1"/>
    <col min="63" max="63" width="9.28515625" hidden="1" customWidth="1" outlineLevel="1"/>
    <col min="64" max="65" width="9.42578125" hidden="1" customWidth="1" outlineLevel="1"/>
    <col min="66" max="67" width="9.42578125" style="401" hidden="1" customWidth="1" outlineLevel="1"/>
    <col min="68" max="68" width="9.42578125" customWidth="1" collapsed="1"/>
    <col min="69" max="71" width="9.42578125" customWidth="1"/>
    <col min="72" max="72" width="9.7109375" customWidth="1"/>
    <col min="73" max="73" width="7.85546875" bestFit="1" customWidth="1"/>
    <col min="74" max="74" width="9.7109375" style="401" hidden="1" customWidth="1" outlineLevel="1"/>
    <col min="75" max="78" width="9.7109375" hidden="1" customWidth="1" outlineLevel="1"/>
    <col min="79" max="79" width="4.7109375" customWidth="1" collapsed="1"/>
    <col min="80" max="80" width="12" customWidth="1"/>
    <col min="81" max="84" width="4.7109375" customWidth="1"/>
    <col min="85" max="87" width="4.7109375" style="1777" customWidth="1"/>
    <col min="88" max="89" width="12" customWidth="1"/>
  </cols>
  <sheetData>
    <row r="1" spans="1:96" ht="11.25" customHeight="1">
      <c r="A1" s="36"/>
      <c r="H1" s="36"/>
      <c r="I1" s="48">
        <f>DCF!L1</f>
        <v>40</v>
      </c>
      <c r="J1" s="49"/>
      <c r="K1" s="1"/>
      <c r="M1" s="8"/>
      <c r="N1" s="8"/>
      <c r="O1" s="8"/>
      <c r="P1" s="8"/>
      <c r="Q1" s="8"/>
      <c r="R1" s="242"/>
      <c r="S1" s="8"/>
      <c r="T1" s="8"/>
      <c r="U1" s="102"/>
      <c r="V1" s="8"/>
      <c r="W1" s="8"/>
      <c r="X1" s="93"/>
      <c r="Y1" s="8"/>
      <c r="Z1" s="8"/>
      <c r="AA1" s="8"/>
      <c r="AB1" s="254"/>
      <c r="AC1" s="8"/>
      <c r="AD1" s="8"/>
      <c r="AE1" s="8"/>
      <c r="AF1" s="254"/>
      <c r="AG1" s="254"/>
      <c r="AH1" s="254"/>
      <c r="AI1" s="254"/>
      <c r="AJ1" s="254"/>
      <c r="AK1" s="254"/>
      <c r="AL1" s="2284"/>
      <c r="AM1" s="254"/>
      <c r="AN1" s="254"/>
      <c r="AO1" s="254"/>
      <c r="AP1" s="2644"/>
      <c r="AQ1" s="1753"/>
      <c r="AR1" s="1753"/>
      <c r="AS1" s="254"/>
      <c r="AT1" s="254"/>
      <c r="AU1" s="254"/>
      <c r="AV1" s="254"/>
      <c r="AW1" s="254"/>
      <c r="AX1" s="254"/>
      <c r="AY1" s="254"/>
      <c r="AZ1" s="254"/>
      <c r="BA1" s="254"/>
      <c r="BB1" s="254"/>
      <c r="BC1" s="254"/>
      <c r="BD1" s="254"/>
      <c r="BF1" s="57"/>
      <c r="BG1" s="8"/>
      <c r="BH1" s="8"/>
      <c r="BI1" s="8"/>
      <c r="BJ1" s="36"/>
      <c r="BK1" s="8"/>
      <c r="BL1" s="8"/>
      <c r="BM1" s="8"/>
      <c r="BN1" s="1709"/>
      <c r="BO1" s="2247"/>
      <c r="BP1" s="254"/>
      <c r="BQ1" s="254"/>
      <c r="BR1" s="8"/>
      <c r="BS1" s="8"/>
      <c r="BT1" s="8"/>
      <c r="BU1" s="428"/>
      <c r="BV1" s="428"/>
      <c r="BW1" s="8"/>
      <c r="BX1" s="8"/>
      <c r="BY1" s="8"/>
      <c r="BZ1" s="8"/>
      <c r="CA1" s="36"/>
      <c r="CB1" s="36"/>
      <c r="CC1" s="36"/>
      <c r="CD1" s="36"/>
      <c r="CE1" s="36"/>
      <c r="CF1" s="36"/>
      <c r="CG1" s="1765"/>
      <c r="CH1" s="1765"/>
      <c r="CI1" s="1765"/>
      <c r="CJ1" s="36"/>
      <c r="CK1" s="36"/>
      <c r="CL1" s="36"/>
      <c r="CM1" s="36"/>
      <c r="CN1" s="36"/>
      <c r="CO1" s="36"/>
      <c r="CP1" s="36"/>
      <c r="CQ1" s="36"/>
      <c r="CR1" s="36"/>
    </row>
    <row r="2" spans="1:96" ht="11.25" customHeight="1">
      <c r="A2" s="36"/>
      <c r="H2" s="36"/>
      <c r="I2" s="49"/>
      <c r="J2" s="49"/>
      <c r="K2" s="1"/>
      <c r="L2" s="1"/>
      <c r="M2" s="8"/>
      <c r="N2" s="8"/>
      <c r="O2" s="8"/>
      <c r="P2" s="8"/>
      <c r="Q2" s="8"/>
      <c r="R2" s="242"/>
      <c r="S2" s="242"/>
      <c r="T2" s="8"/>
      <c r="U2" s="8"/>
      <c r="V2" s="8"/>
      <c r="W2" s="8"/>
      <c r="X2" s="93"/>
      <c r="Y2" s="8"/>
      <c r="Z2" s="8"/>
      <c r="AA2" s="8"/>
      <c r="AB2" s="93"/>
      <c r="AC2" s="8"/>
      <c r="AD2" s="8"/>
      <c r="AE2" s="8"/>
      <c r="AF2" s="93"/>
      <c r="AG2" s="93"/>
      <c r="AH2" s="93"/>
      <c r="AI2" s="93"/>
      <c r="AJ2" s="93"/>
      <c r="AK2" s="1794"/>
      <c r="AL2" s="2285"/>
      <c r="AM2" s="254"/>
      <c r="AN2" s="43"/>
      <c r="AO2" s="43"/>
      <c r="AP2" s="2644"/>
      <c r="AS2" s="1794"/>
      <c r="AT2" s="93"/>
      <c r="AU2" s="93"/>
      <c r="AV2" s="93"/>
      <c r="AW2" s="1794"/>
      <c r="AX2" s="93"/>
      <c r="AY2" s="93"/>
      <c r="AZ2" s="93"/>
      <c r="BA2" s="1794"/>
      <c r="BB2" s="93"/>
      <c r="BC2" s="93"/>
      <c r="BD2" s="93"/>
      <c r="BF2" s="36"/>
      <c r="BG2" s="8"/>
      <c r="BH2" s="8"/>
      <c r="BI2" s="8"/>
      <c r="BJ2" s="36"/>
      <c r="BK2" s="8"/>
      <c r="BL2" s="8"/>
      <c r="BM2" s="8"/>
      <c r="BN2" s="1219"/>
      <c r="BO2" s="1219"/>
      <c r="BP2" s="2868"/>
      <c r="BQ2" s="2868"/>
      <c r="BR2" s="2644"/>
      <c r="BS2" s="8"/>
      <c r="BT2" s="8"/>
      <c r="BU2" s="428"/>
      <c r="BV2" s="2069"/>
      <c r="BW2" s="8"/>
      <c r="BX2" s="8"/>
      <c r="BY2" s="8"/>
      <c r="BZ2" s="8"/>
      <c r="CA2" s="36"/>
      <c r="CB2" s="36"/>
      <c r="CC2" s="42"/>
      <c r="CD2" s="42"/>
      <c r="CE2" s="42"/>
      <c r="CF2" s="42"/>
      <c r="CG2" s="1765"/>
      <c r="CH2" s="1765"/>
      <c r="CI2" s="1765"/>
      <c r="CJ2" s="36"/>
      <c r="CK2" s="36"/>
      <c r="CL2" s="36"/>
      <c r="CM2" s="36"/>
      <c r="CN2" s="36"/>
      <c r="CO2" s="36"/>
      <c r="CP2" s="36"/>
      <c r="CQ2" s="36"/>
      <c r="CR2" s="36"/>
    </row>
    <row r="3" spans="1:96" ht="11.25" customHeight="1">
      <c r="A3" s="36"/>
      <c r="H3" s="36"/>
      <c r="I3" s="49"/>
      <c r="J3" s="49"/>
      <c r="K3" s="1"/>
      <c r="L3" s="1"/>
      <c r="M3" s="212"/>
      <c r="N3" s="210"/>
      <c r="O3" s="210"/>
      <c r="P3" s="210"/>
      <c r="Q3" s="210"/>
      <c r="R3" s="210"/>
      <c r="S3" s="210"/>
      <c r="T3" s="8"/>
      <c r="U3" s="8"/>
      <c r="V3" s="8"/>
      <c r="W3" s="8"/>
      <c r="X3" s="93"/>
      <c r="Y3" s="8"/>
      <c r="Z3" s="8"/>
      <c r="AA3" s="8"/>
      <c r="AB3" s="93"/>
      <c r="AC3" s="8"/>
      <c r="AD3" s="8"/>
      <c r="AE3" s="8"/>
      <c r="AF3" s="93"/>
      <c r="AG3" s="93"/>
      <c r="AH3" s="93"/>
      <c r="AI3" s="93"/>
      <c r="AJ3" s="93"/>
      <c r="AK3" s="1795"/>
      <c r="AL3" s="1795"/>
      <c r="AM3" s="1795"/>
      <c r="AN3" s="1795"/>
      <c r="AO3" s="1795"/>
      <c r="AS3" s="2908"/>
      <c r="AT3" s="93"/>
      <c r="AV3" s="93"/>
      <c r="AW3" s="1795"/>
      <c r="AX3" s="93"/>
      <c r="AZ3" s="93"/>
      <c r="BA3" s="1795"/>
      <c r="BB3" s="93"/>
      <c r="BD3" s="93"/>
      <c r="BF3" s="36"/>
      <c r="BG3" s="210"/>
      <c r="BH3" s="210"/>
      <c r="BI3" s="210"/>
      <c r="BJ3" s="210"/>
      <c r="BK3" s="210"/>
      <c r="BL3" s="210"/>
      <c r="BM3" s="210"/>
      <c r="BN3" s="210"/>
      <c r="BO3" s="1882"/>
      <c r="BP3" s="1753"/>
      <c r="BQ3" s="1753"/>
      <c r="BR3" s="2644"/>
      <c r="BS3" s="2908"/>
      <c r="BT3" s="210"/>
      <c r="BU3" s="210"/>
      <c r="BV3" s="1882"/>
      <c r="BW3" s="210"/>
      <c r="BX3" s="210"/>
      <c r="BY3" s="210"/>
      <c r="BZ3" s="210"/>
      <c r="CA3" s="36"/>
      <c r="CB3" s="36"/>
      <c r="CC3" s="42"/>
      <c r="CD3" s="42"/>
      <c r="CE3" s="42"/>
      <c r="CF3" s="42"/>
      <c r="CG3" s="1765"/>
      <c r="CH3" s="1765"/>
      <c r="CI3" s="1765"/>
      <c r="CJ3" s="36"/>
      <c r="CK3" s="36"/>
      <c r="CL3" s="36"/>
      <c r="CM3" s="36"/>
      <c r="CN3" s="36"/>
      <c r="CO3" s="36"/>
      <c r="CP3" s="36"/>
      <c r="CQ3" s="36"/>
      <c r="CR3" s="36"/>
    </row>
    <row r="4" spans="1:96" ht="11.25" customHeight="1">
      <c r="A4" s="36"/>
      <c r="H4" s="36"/>
      <c r="I4" s="49"/>
      <c r="J4" s="49"/>
      <c r="K4" s="1"/>
      <c r="L4" s="1"/>
      <c r="M4" s="211"/>
      <c r="N4" s="211"/>
      <c r="O4" s="211"/>
      <c r="P4" s="211"/>
      <c r="Q4" s="211"/>
      <c r="R4" s="211"/>
      <c r="S4" s="211"/>
      <c r="T4" s="8"/>
      <c r="U4" s="8"/>
      <c r="V4" s="8"/>
      <c r="W4" s="8"/>
      <c r="X4" s="8"/>
      <c r="Y4" s="8"/>
      <c r="Z4" s="8"/>
      <c r="AA4" s="8"/>
      <c r="AB4" s="8"/>
      <c r="AC4" s="8"/>
      <c r="AD4" s="8"/>
      <c r="AE4" s="8"/>
      <c r="AF4" s="8"/>
      <c r="AG4" s="8"/>
      <c r="AH4" s="8"/>
      <c r="AI4" s="8"/>
      <c r="AJ4" s="8"/>
      <c r="AK4" s="8"/>
      <c r="AL4" s="1219"/>
      <c r="AM4" s="8"/>
      <c r="AN4" s="8"/>
      <c r="AO4" s="8"/>
      <c r="AP4" s="8"/>
      <c r="AQ4" s="8"/>
      <c r="AR4" s="8"/>
      <c r="AS4" s="8"/>
      <c r="AT4" s="8"/>
      <c r="AU4" s="8"/>
      <c r="AV4" s="8"/>
      <c r="AW4" s="8"/>
      <c r="AX4" s="8"/>
      <c r="AY4" s="8"/>
      <c r="AZ4" s="8"/>
      <c r="BA4" s="8"/>
      <c r="BB4" s="8"/>
      <c r="BC4" s="8"/>
      <c r="BD4" s="8"/>
      <c r="BF4" s="36"/>
      <c r="BG4" s="211"/>
      <c r="BH4" s="211"/>
      <c r="BI4" s="211"/>
      <c r="BJ4" s="211"/>
      <c r="BK4" s="211"/>
      <c r="BL4" s="211"/>
      <c r="BM4" s="211"/>
      <c r="BN4" s="1708"/>
      <c r="BO4" s="2248"/>
      <c r="BP4" s="1708"/>
      <c r="BQ4" s="1162"/>
      <c r="BR4" s="68"/>
      <c r="BS4" s="211"/>
      <c r="BT4" s="211"/>
      <c r="BU4" s="211"/>
      <c r="BV4" s="1883"/>
      <c r="BW4" s="211"/>
      <c r="BX4" s="211"/>
      <c r="BY4" s="211"/>
      <c r="BZ4" s="211"/>
      <c r="CA4" s="36"/>
      <c r="CB4" s="36"/>
      <c r="CC4" s="42"/>
      <c r="CD4" s="42"/>
      <c r="CE4" s="42"/>
      <c r="CF4" s="42"/>
      <c r="CG4" s="1765"/>
      <c r="CH4" s="1765"/>
      <c r="CI4" s="1765"/>
      <c r="CJ4" s="36"/>
      <c r="CK4" s="36"/>
      <c r="CL4" s="36"/>
      <c r="CM4" s="36"/>
      <c r="CN4" s="36"/>
      <c r="CO4" s="36"/>
      <c r="CP4" s="36"/>
      <c r="CQ4" s="36"/>
      <c r="CR4" s="36"/>
    </row>
    <row r="5" spans="1:96" ht="11.25" hidden="1" customHeight="1" outlineLevel="1">
      <c r="AL5"/>
      <c r="BF5"/>
      <c r="BN5"/>
      <c r="BO5"/>
      <c r="BV5"/>
      <c r="CG5"/>
      <c r="CH5"/>
      <c r="CI5"/>
    </row>
    <row r="6" spans="1:96" ht="11.25" hidden="1" customHeight="1" outlineLevel="1">
      <c r="A6" s="56"/>
      <c r="H6" s="56"/>
      <c r="I6" s="6" t="s">
        <v>108</v>
      </c>
      <c r="J6" s="6"/>
      <c r="K6" s="6"/>
      <c r="L6" s="6"/>
      <c r="M6" s="45">
        <v>40268</v>
      </c>
      <c r="N6" s="45">
        <f t="shared" ref="N6:AJ6" si="0">+EOMONTH(M6,3)</f>
        <v>40359</v>
      </c>
      <c r="O6" s="45">
        <f t="shared" si="0"/>
        <v>40451</v>
      </c>
      <c r="P6" s="45">
        <f t="shared" si="0"/>
        <v>40543</v>
      </c>
      <c r="Q6" s="45">
        <f t="shared" si="0"/>
        <v>40633</v>
      </c>
      <c r="R6" s="45">
        <f t="shared" si="0"/>
        <v>40724</v>
      </c>
      <c r="S6" s="45">
        <f t="shared" si="0"/>
        <v>40816</v>
      </c>
      <c r="T6" s="45">
        <f t="shared" si="0"/>
        <v>40908</v>
      </c>
      <c r="U6" s="45">
        <f t="shared" si="0"/>
        <v>40999</v>
      </c>
      <c r="V6" s="45">
        <f t="shared" si="0"/>
        <v>41090</v>
      </c>
      <c r="W6" s="45">
        <f t="shared" si="0"/>
        <v>41182</v>
      </c>
      <c r="X6" s="45">
        <f t="shared" si="0"/>
        <v>41274</v>
      </c>
      <c r="Y6" s="45">
        <f t="shared" si="0"/>
        <v>41364</v>
      </c>
      <c r="Z6" s="45">
        <f t="shared" si="0"/>
        <v>41455</v>
      </c>
      <c r="AA6" s="45">
        <f t="shared" si="0"/>
        <v>41547</v>
      </c>
      <c r="AB6" s="45">
        <f t="shared" si="0"/>
        <v>41639</v>
      </c>
      <c r="AC6" s="45">
        <f t="shared" si="0"/>
        <v>41729</v>
      </c>
      <c r="AD6" s="45">
        <f t="shared" si="0"/>
        <v>41820</v>
      </c>
      <c r="AE6" s="45">
        <f t="shared" si="0"/>
        <v>41912</v>
      </c>
      <c r="AF6" s="45">
        <f t="shared" si="0"/>
        <v>42004</v>
      </c>
      <c r="AG6" s="45">
        <f t="shared" si="0"/>
        <v>42094</v>
      </c>
      <c r="AH6" s="45">
        <f t="shared" si="0"/>
        <v>42185</v>
      </c>
      <c r="AI6" s="45">
        <f t="shared" si="0"/>
        <v>42277</v>
      </c>
      <c r="AJ6" s="45">
        <f t="shared" si="0"/>
        <v>42369</v>
      </c>
      <c r="AK6" s="45">
        <f>+EOMONTH(AJ6,3)</f>
        <v>42460</v>
      </c>
      <c r="AL6" s="2286">
        <f>+EOMONTH(AK6,3)</f>
        <v>42551</v>
      </c>
      <c r="AM6" s="45">
        <f>+EOMONTH(AL6,3)</f>
        <v>42643</v>
      </c>
      <c r="AN6" s="45">
        <f>+EOMONTH(AM6,3)</f>
        <v>42735</v>
      </c>
      <c r="AO6" s="45">
        <f t="shared" ref="AO6:AV6" si="1">+EOMONTH(AN6,3)</f>
        <v>42825</v>
      </c>
      <c r="AP6" s="45">
        <f t="shared" si="1"/>
        <v>42916</v>
      </c>
      <c r="AQ6" s="45">
        <f t="shared" si="1"/>
        <v>43008</v>
      </c>
      <c r="AR6" s="45">
        <f t="shared" si="1"/>
        <v>43100</v>
      </c>
      <c r="AS6" s="45">
        <f t="shared" si="1"/>
        <v>43190</v>
      </c>
      <c r="AT6" s="45">
        <f t="shared" si="1"/>
        <v>43281</v>
      </c>
      <c r="AU6" s="45">
        <f t="shared" si="1"/>
        <v>43373</v>
      </c>
      <c r="AV6" s="45">
        <f t="shared" si="1"/>
        <v>43465</v>
      </c>
      <c r="AW6" s="45">
        <f t="shared" ref="AW6:BD6" si="2">+EOMONTH(AV6,3)</f>
        <v>43555</v>
      </c>
      <c r="AX6" s="45">
        <f t="shared" si="2"/>
        <v>43646</v>
      </c>
      <c r="AY6" s="45">
        <f t="shared" si="2"/>
        <v>43738</v>
      </c>
      <c r="AZ6" s="45">
        <f t="shared" si="2"/>
        <v>43830</v>
      </c>
      <c r="BA6" s="45">
        <f t="shared" si="2"/>
        <v>43921</v>
      </c>
      <c r="BB6" s="45">
        <f t="shared" si="2"/>
        <v>44012</v>
      </c>
      <c r="BC6" s="45">
        <f t="shared" si="2"/>
        <v>44104</v>
      </c>
      <c r="BD6" s="45">
        <f t="shared" si="2"/>
        <v>44196</v>
      </c>
      <c r="BF6" s="56"/>
      <c r="BG6" s="46">
        <v>39082</v>
      </c>
      <c r="BH6" s="46">
        <f t="shared" ref="BH6:BZ6" si="3">+EOMONTH(BG6,12)</f>
        <v>39447</v>
      </c>
      <c r="BI6" s="46">
        <f t="shared" si="3"/>
        <v>39813</v>
      </c>
      <c r="BJ6" s="46">
        <f t="shared" si="3"/>
        <v>40178</v>
      </c>
      <c r="BK6" s="46">
        <f t="shared" si="3"/>
        <v>40543</v>
      </c>
      <c r="BL6" s="46">
        <f t="shared" si="3"/>
        <v>40908</v>
      </c>
      <c r="BM6" s="46">
        <f t="shared" si="3"/>
        <v>41274</v>
      </c>
      <c r="BN6" s="1221">
        <f t="shared" si="3"/>
        <v>41639</v>
      </c>
      <c r="BO6" s="1221">
        <f t="shared" si="3"/>
        <v>42004</v>
      </c>
      <c r="BP6" s="46">
        <f t="shared" si="3"/>
        <v>42369</v>
      </c>
      <c r="BQ6" s="46">
        <f t="shared" si="3"/>
        <v>42735</v>
      </c>
      <c r="BR6" s="46">
        <f t="shared" si="3"/>
        <v>43100</v>
      </c>
      <c r="BS6" s="46">
        <f t="shared" si="3"/>
        <v>43465</v>
      </c>
      <c r="BT6" s="46">
        <f t="shared" si="3"/>
        <v>43830</v>
      </c>
      <c r="BU6" s="46">
        <f t="shared" si="3"/>
        <v>44196</v>
      </c>
      <c r="BV6" s="1221">
        <f>+EOMONTH(BU6,12)</f>
        <v>44561</v>
      </c>
      <c r="BW6" s="46">
        <f t="shared" si="3"/>
        <v>44926</v>
      </c>
      <c r="BX6" s="46">
        <f t="shared" si="3"/>
        <v>45291</v>
      </c>
      <c r="BY6" s="46">
        <f t="shared" si="3"/>
        <v>45657</v>
      </c>
      <c r="BZ6" s="46">
        <f t="shared" si="3"/>
        <v>46022</v>
      </c>
      <c r="CA6" s="56"/>
      <c r="CB6" s="56"/>
      <c r="CC6" s="42"/>
      <c r="CD6" s="42"/>
      <c r="CE6" s="42"/>
      <c r="CF6" s="42"/>
      <c r="CG6" s="1766"/>
      <c r="CH6" s="1766"/>
      <c r="CI6" s="1766"/>
      <c r="CJ6" s="56"/>
      <c r="CK6" s="56"/>
      <c r="CL6" s="56"/>
      <c r="CM6" s="56"/>
      <c r="CN6" s="56"/>
      <c r="CO6" s="56"/>
      <c r="CP6" s="56"/>
      <c r="CQ6" s="56"/>
      <c r="CR6" s="56"/>
    </row>
    <row r="7" spans="1:96" ht="11.25" customHeight="1" collapsed="1">
      <c r="A7" s="36"/>
      <c r="H7" s="1"/>
      <c r="I7" s="741" t="s">
        <v>38</v>
      </c>
      <c r="J7" s="742"/>
      <c r="K7" s="742"/>
      <c r="L7" s="742"/>
      <c r="M7" s="298">
        <v>2010</v>
      </c>
      <c r="N7" s="299"/>
      <c r="O7" s="299"/>
      <c r="P7" s="300"/>
      <c r="Q7" s="1097">
        <v>2011</v>
      </c>
      <c r="R7" s="299"/>
      <c r="S7" s="299"/>
      <c r="T7" s="300"/>
      <c r="U7" s="299">
        <v>2012</v>
      </c>
      <c r="V7" s="301"/>
      <c r="W7" s="301"/>
      <c r="X7" s="301"/>
      <c r="Y7" s="302">
        <v>2013</v>
      </c>
      <c r="Z7" s="301"/>
      <c r="AA7" s="301"/>
      <c r="AB7" s="303"/>
      <c r="AC7" s="302" t="s">
        <v>448</v>
      </c>
      <c r="AD7" s="301"/>
      <c r="AE7" s="301"/>
      <c r="AF7" s="303"/>
      <c r="AG7" s="302" t="s">
        <v>520</v>
      </c>
      <c r="AH7" s="301"/>
      <c r="AI7" s="301"/>
      <c r="AJ7" s="303"/>
      <c r="AK7" s="302" t="s">
        <v>501</v>
      </c>
      <c r="AL7" s="301"/>
      <c r="AM7" s="301"/>
      <c r="AN7" s="303"/>
      <c r="AO7" s="302" t="s">
        <v>517</v>
      </c>
      <c r="AP7" s="301"/>
      <c r="AQ7" s="301"/>
      <c r="AR7" s="303"/>
      <c r="AS7" s="2911" t="s">
        <v>203</v>
      </c>
      <c r="AT7" s="2912"/>
      <c r="AU7" s="2912"/>
      <c r="AV7" s="2913"/>
      <c r="AW7" s="2911" t="s">
        <v>204</v>
      </c>
      <c r="AX7" s="2912"/>
      <c r="AY7" s="2912"/>
      <c r="AZ7" s="2913"/>
      <c r="BA7" s="2911" t="s">
        <v>205</v>
      </c>
      <c r="BB7" s="2912"/>
      <c r="BC7" s="2912"/>
      <c r="BD7" s="2913"/>
      <c r="BF7" s="898"/>
      <c r="BG7" s="723"/>
      <c r="BH7" s="724"/>
      <c r="BI7" s="724"/>
      <c r="BJ7" s="724"/>
      <c r="BK7" s="724"/>
      <c r="BL7" s="724"/>
      <c r="BM7" s="724"/>
      <c r="BN7" s="724"/>
      <c r="BO7" s="2249"/>
      <c r="BP7" s="724"/>
      <c r="BQ7" s="724"/>
      <c r="BR7" s="724"/>
      <c r="BS7" s="724"/>
      <c r="BT7" s="724"/>
      <c r="BU7" s="724"/>
      <c r="BV7" s="724"/>
      <c r="BW7" s="724"/>
      <c r="BX7" s="724"/>
      <c r="BY7" s="724"/>
      <c r="BZ7" s="725"/>
      <c r="CA7" s="36"/>
      <c r="CB7" s="1360" t="s">
        <v>135</v>
      </c>
      <c r="CC7" s="42"/>
      <c r="CD7" s="42"/>
      <c r="CE7" s="42"/>
      <c r="CF7" s="42"/>
      <c r="CG7" s="1765"/>
      <c r="CH7" s="1765"/>
      <c r="CI7" s="1765"/>
      <c r="CJ7" s="1360" t="s">
        <v>135</v>
      </c>
      <c r="CK7" s="1360" t="s">
        <v>135</v>
      </c>
      <c r="CL7" s="71" t="s">
        <v>135</v>
      </c>
      <c r="CM7" s="71"/>
      <c r="CN7" s="71"/>
      <c r="CO7" s="71"/>
      <c r="CP7" s="71"/>
      <c r="CQ7" s="71"/>
      <c r="CR7" s="71"/>
    </row>
    <row r="8" spans="1:96" ht="11.25" customHeight="1">
      <c r="A8" s="36"/>
      <c r="H8" s="1"/>
      <c r="I8" s="622" t="s">
        <v>83</v>
      </c>
      <c r="J8" s="53"/>
      <c r="K8" s="53"/>
      <c r="L8" s="53"/>
      <c r="M8" s="304">
        <v>1</v>
      </c>
      <c r="N8" s="305">
        <v>2</v>
      </c>
      <c r="O8" s="305">
        <v>3</v>
      </c>
      <c r="P8" s="306">
        <v>4</v>
      </c>
      <c r="Q8" s="305">
        <v>1</v>
      </c>
      <c r="R8" s="305">
        <v>2</v>
      </c>
      <c r="S8" s="305">
        <v>3</v>
      </c>
      <c r="T8" s="306">
        <v>4</v>
      </c>
      <c r="U8" s="305">
        <v>1</v>
      </c>
      <c r="V8" s="305">
        <v>2</v>
      </c>
      <c r="W8" s="305">
        <v>3</v>
      </c>
      <c r="X8" s="305">
        <v>4</v>
      </c>
      <c r="Y8" s="304">
        <v>1</v>
      </c>
      <c r="Z8" s="305">
        <v>2</v>
      </c>
      <c r="AA8" s="305">
        <v>3</v>
      </c>
      <c r="AB8" s="306">
        <v>4</v>
      </c>
      <c r="AC8" s="304">
        <v>1</v>
      </c>
      <c r="AD8" s="305">
        <v>2</v>
      </c>
      <c r="AE8" s="305">
        <v>3</v>
      </c>
      <c r="AF8" s="305">
        <v>4</v>
      </c>
      <c r="AG8" s="304">
        <v>1</v>
      </c>
      <c r="AH8" s="305">
        <v>2</v>
      </c>
      <c r="AI8" s="305">
        <v>3</v>
      </c>
      <c r="AJ8" s="305">
        <v>4</v>
      </c>
      <c r="AK8" s="2351">
        <v>1</v>
      </c>
      <c r="AL8" s="305">
        <v>2</v>
      </c>
      <c r="AM8" s="305">
        <v>3</v>
      </c>
      <c r="AN8" s="305">
        <v>4</v>
      </c>
      <c r="AO8" s="2351">
        <v>1</v>
      </c>
      <c r="AP8" s="305">
        <v>2</v>
      </c>
      <c r="AQ8" s="305">
        <v>3</v>
      </c>
      <c r="AR8" s="305">
        <v>4</v>
      </c>
      <c r="AS8" s="308">
        <v>1</v>
      </c>
      <c r="AT8" s="309">
        <v>2</v>
      </c>
      <c r="AU8" s="309">
        <v>3</v>
      </c>
      <c r="AV8" s="307">
        <v>4</v>
      </c>
      <c r="AW8" s="308">
        <v>1</v>
      </c>
      <c r="AX8" s="309">
        <v>2</v>
      </c>
      <c r="AY8" s="309">
        <v>3</v>
      </c>
      <c r="AZ8" s="307">
        <v>4</v>
      </c>
      <c r="BA8" s="308">
        <v>1</v>
      </c>
      <c r="BB8" s="309">
        <v>2</v>
      </c>
      <c r="BC8" s="309">
        <v>3</v>
      </c>
      <c r="BD8" s="307">
        <v>4</v>
      </c>
      <c r="BF8" s="54"/>
      <c r="BG8" s="313">
        <v>39082</v>
      </c>
      <c r="BH8" s="312">
        <v>39447</v>
      </c>
      <c r="BI8" s="312">
        <v>39813</v>
      </c>
      <c r="BJ8" s="312">
        <v>40178</v>
      </c>
      <c r="BK8" s="312">
        <v>40543</v>
      </c>
      <c r="BL8" s="312">
        <v>40908</v>
      </c>
      <c r="BM8" s="312">
        <v>41274</v>
      </c>
      <c r="BN8" s="312">
        <v>41639</v>
      </c>
      <c r="BO8" s="1170">
        <v>42004</v>
      </c>
      <c r="BP8" s="1879">
        <v>42369</v>
      </c>
      <c r="BQ8" s="1879">
        <v>42735</v>
      </c>
      <c r="BR8" s="1879">
        <v>43100</v>
      </c>
      <c r="BS8" s="1357">
        <v>43465</v>
      </c>
      <c r="BT8" s="1357">
        <v>43830</v>
      </c>
      <c r="BU8" s="1357">
        <v>44196</v>
      </c>
      <c r="BV8" s="1357">
        <v>44561</v>
      </c>
      <c r="BW8" s="1357">
        <v>44926</v>
      </c>
      <c r="BX8" s="1357">
        <v>45291</v>
      </c>
      <c r="BY8" s="1357">
        <v>45657</v>
      </c>
      <c r="BZ8" s="1358">
        <v>46022</v>
      </c>
      <c r="CA8" s="36"/>
      <c r="CB8" s="1366" t="s">
        <v>611</v>
      </c>
      <c r="CC8" s="42"/>
      <c r="CD8" s="42"/>
      <c r="CE8" s="1783"/>
      <c r="CF8" s="42"/>
      <c r="CG8" s="1765"/>
      <c r="CH8" s="1765"/>
      <c r="CI8" s="1765"/>
      <c r="CJ8" s="1366" t="s">
        <v>485</v>
      </c>
      <c r="CK8" s="1366" t="s">
        <v>484</v>
      </c>
      <c r="CL8" s="72" t="s">
        <v>198</v>
      </c>
      <c r="CM8" s="72" t="s">
        <v>136</v>
      </c>
      <c r="CN8" s="72" t="s">
        <v>137</v>
      </c>
      <c r="CO8" s="72" t="s">
        <v>138</v>
      </c>
      <c r="CP8" s="72" t="s">
        <v>139</v>
      </c>
      <c r="CQ8" s="72" t="s">
        <v>325</v>
      </c>
      <c r="CR8" s="72" t="s">
        <v>331</v>
      </c>
    </row>
    <row r="9" spans="1:96" ht="11.25" customHeight="1">
      <c r="A9" s="36"/>
      <c r="H9" s="1"/>
      <c r="I9" s="497"/>
      <c r="J9" s="494"/>
      <c r="K9" s="494"/>
      <c r="L9" s="494"/>
      <c r="M9" s="5"/>
      <c r="N9" s="5"/>
      <c r="O9" s="5"/>
      <c r="P9" s="492"/>
      <c r="Q9" s="5"/>
      <c r="R9" s="5"/>
      <c r="S9" s="5"/>
      <c r="T9" s="5"/>
      <c r="U9" s="493"/>
      <c r="V9" s="5"/>
      <c r="W9" s="5"/>
      <c r="X9" s="5"/>
      <c r="Y9" s="450"/>
      <c r="Z9" s="5"/>
      <c r="AA9" s="5"/>
      <c r="AB9" s="5"/>
      <c r="AC9" s="497"/>
      <c r="AD9" s="5"/>
      <c r="AE9" s="5"/>
      <c r="AF9" s="492"/>
      <c r="AG9" s="450"/>
      <c r="AH9" s="5"/>
      <c r="AI9" s="5"/>
      <c r="AJ9" s="496"/>
      <c r="AK9" s="450"/>
      <c r="AL9" s="5"/>
      <c r="AM9" s="5"/>
      <c r="AN9" s="496"/>
      <c r="AO9" s="450"/>
      <c r="AP9" s="5"/>
      <c r="AQ9" s="5"/>
      <c r="AR9" s="496"/>
      <c r="AS9" s="450"/>
      <c r="AT9" s="5"/>
      <c r="AU9" s="5"/>
      <c r="AV9" s="496"/>
      <c r="AW9" s="450"/>
      <c r="AX9" s="5"/>
      <c r="AY9" s="5"/>
      <c r="AZ9" s="496"/>
      <c r="BA9" s="450"/>
      <c r="BB9" s="5"/>
      <c r="BC9" s="5"/>
      <c r="BD9" s="496"/>
      <c r="BF9" s="54"/>
      <c r="BG9" s="450"/>
      <c r="BH9" s="5"/>
      <c r="BI9" s="5"/>
      <c r="BJ9" s="5"/>
      <c r="BK9" s="5"/>
      <c r="BL9" s="5"/>
      <c r="BM9" s="5"/>
      <c r="BN9" s="5"/>
      <c r="BO9" s="5"/>
      <c r="BP9" s="5"/>
      <c r="BQ9" s="5"/>
      <c r="BR9" s="5"/>
      <c r="BS9" s="5"/>
      <c r="BT9" s="5"/>
      <c r="BU9" s="5"/>
      <c r="BV9" s="498"/>
      <c r="BW9" s="498"/>
      <c r="BX9" s="498"/>
      <c r="BY9" s="498"/>
      <c r="BZ9" s="954"/>
      <c r="CA9" s="36"/>
      <c r="CB9" s="36"/>
      <c r="CC9" s="42"/>
      <c r="CD9" s="42"/>
      <c r="CE9" s="42"/>
      <c r="CF9" s="42"/>
      <c r="CG9" s="1765"/>
      <c r="CH9" s="1765"/>
      <c r="CI9" s="1765"/>
      <c r="CJ9" s="36"/>
      <c r="CK9" s="36"/>
      <c r="CL9" s="36"/>
      <c r="CM9" s="36"/>
      <c r="CN9" s="36"/>
      <c r="CO9" s="36"/>
      <c r="CP9" s="36"/>
      <c r="CQ9" s="36"/>
      <c r="CR9" s="36"/>
    </row>
    <row r="10" spans="1:96" ht="11.25" customHeight="1">
      <c r="A10" s="36"/>
      <c r="H10" s="1"/>
      <c r="I10" s="986" t="s">
        <v>102</v>
      </c>
      <c r="J10" s="453"/>
      <c r="K10" s="453"/>
      <c r="L10" s="453"/>
      <c r="M10" s="453"/>
      <c r="N10" s="453"/>
      <c r="O10" s="453"/>
      <c r="P10" s="454"/>
      <c r="Q10" s="453"/>
      <c r="R10" s="453"/>
      <c r="S10" s="453"/>
      <c r="T10" s="453"/>
      <c r="U10" s="452"/>
      <c r="V10" s="453"/>
      <c r="W10" s="453"/>
      <c r="X10" s="454"/>
      <c r="Y10" s="452"/>
      <c r="Z10" s="453"/>
      <c r="AA10" s="453"/>
      <c r="AB10" s="453"/>
      <c r="AC10" s="452"/>
      <c r="AD10" s="453"/>
      <c r="AE10" s="453"/>
      <c r="AF10" s="453"/>
      <c r="AG10" s="452"/>
      <c r="AH10" s="453"/>
      <c r="AI10" s="453"/>
      <c r="AJ10" s="453"/>
      <c r="AK10" s="452"/>
      <c r="AL10" s="453"/>
      <c r="AM10" s="453"/>
      <c r="AN10" s="454"/>
      <c r="AO10" s="452"/>
      <c r="AP10" s="453"/>
      <c r="AQ10" s="453"/>
      <c r="AR10" s="454"/>
      <c r="AS10" s="452"/>
      <c r="AT10" s="453"/>
      <c r="AU10" s="453"/>
      <c r="AV10" s="454"/>
      <c r="AW10" s="452"/>
      <c r="AX10" s="453"/>
      <c r="AY10" s="453"/>
      <c r="AZ10" s="454"/>
      <c r="BA10" s="452"/>
      <c r="BB10" s="453"/>
      <c r="BC10" s="453"/>
      <c r="BD10" s="454"/>
      <c r="BF10" s="54"/>
      <c r="BG10" s="726"/>
      <c r="BH10" s="392"/>
      <c r="BI10" s="392"/>
      <c r="BJ10" s="392"/>
      <c r="BK10" s="392"/>
      <c r="BL10" s="393"/>
      <c r="BM10" s="392"/>
      <c r="BN10" s="392"/>
      <c r="BO10" s="392"/>
      <c r="BP10" s="392"/>
      <c r="BQ10" s="392"/>
      <c r="BR10" s="392"/>
      <c r="BS10" s="392"/>
      <c r="BT10" s="392"/>
      <c r="BU10" s="392"/>
      <c r="BV10" s="394"/>
      <c r="BW10" s="394"/>
      <c r="BX10" s="394"/>
      <c r="BY10" s="394"/>
      <c r="BZ10" s="1666"/>
      <c r="CA10" s="36"/>
      <c r="CB10" s="36"/>
      <c r="CC10" s="42"/>
      <c r="CD10" s="42"/>
      <c r="CE10" s="42"/>
      <c r="CF10" s="42"/>
      <c r="CG10" s="1765"/>
      <c r="CH10" s="1765"/>
      <c r="CI10" s="1765"/>
      <c r="CJ10" s="36"/>
      <c r="CK10" s="36"/>
      <c r="CL10" s="36"/>
      <c r="CM10" s="36"/>
      <c r="CN10" s="36"/>
      <c r="CO10" s="36"/>
      <c r="CP10" s="36"/>
      <c r="CQ10" s="36"/>
      <c r="CR10" s="36"/>
    </row>
    <row r="11" spans="1:96" s="427" customFormat="1" ht="11.25" customHeight="1">
      <c r="B11"/>
      <c r="C11"/>
      <c r="D11"/>
      <c r="E11"/>
      <c r="F11"/>
      <c r="G11"/>
      <c r="I11" s="470"/>
      <c r="AC11" s="470"/>
      <c r="AG11" s="470"/>
      <c r="AK11" s="470"/>
      <c r="AN11" s="1710"/>
      <c r="AO11" s="470"/>
      <c r="AR11" s="1710"/>
      <c r="AS11" s="470"/>
      <c r="AV11" s="1710"/>
      <c r="AW11" s="470"/>
      <c r="AZ11" s="1710"/>
      <c r="BA11" s="470"/>
      <c r="BD11" s="1710"/>
      <c r="BE11"/>
      <c r="BG11" s="470"/>
      <c r="BN11" s="277"/>
      <c r="BO11" s="277"/>
      <c r="BU11" s="277"/>
      <c r="BV11" s="277"/>
      <c r="BZ11" s="464"/>
      <c r="CG11" s="1767"/>
      <c r="CH11" s="1767"/>
      <c r="CI11" s="1767"/>
    </row>
    <row r="12" spans="1:96" s="427" customFormat="1" ht="11.25" hidden="1" customHeight="1" outlineLevel="1">
      <c r="B12"/>
      <c r="C12"/>
      <c r="D12"/>
      <c r="E12"/>
      <c r="F12"/>
      <c r="G12"/>
      <c r="I12" s="470"/>
      <c r="AC12" s="470"/>
      <c r="AG12" s="470"/>
      <c r="AK12" s="470"/>
      <c r="AN12" s="464"/>
      <c r="AO12" s="470"/>
      <c r="AR12" s="464"/>
      <c r="AS12" s="470"/>
      <c r="AV12" s="464"/>
      <c r="AW12" s="470"/>
      <c r="AZ12" s="464"/>
      <c r="BA12" s="470"/>
      <c r="BD12" s="464"/>
      <c r="BE12"/>
      <c r="BG12" s="470"/>
      <c r="BN12" s="277"/>
      <c r="BO12" s="277"/>
      <c r="BU12" s="277"/>
      <c r="BV12" s="277"/>
      <c r="BZ12" s="464"/>
      <c r="CG12" s="1767"/>
      <c r="CH12" s="1767"/>
      <c r="CI12" s="1767"/>
    </row>
    <row r="13" spans="1:96" s="427" customFormat="1" ht="11.25" hidden="1" customHeight="1" outlineLevel="1">
      <c r="B13"/>
      <c r="C13"/>
      <c r="D13"/>
      <c r="E13"/>
      <c r="F13"/>
      <c r="G13"/>
      <c r="I13" s="463" t="s">
        <v>509</v>
      </c>
      <c r="AC13" s="470"/>
      <c r="AG13" s="2603" t="e">
        <f>#REF!</f>
        <v>#REF!</v>
      </c>
      <c r="AH13" s="2604" t="e">
        <f>#REF!</f>
        <v>#REF!</v>
      </c>
      <c r="AI13" s="2604" t="e">
        <f>#REF!</f>
        <v>#REF!</v>
      </c>
      <c r="AJ13" s="2604" t="e">
        <f>#REF!</f>
        <v>#REF!</v>
      </c>
      <c r="AK13" s="2603" t="e">
        <f>#REF!</f>
        <v>#REF!</v>
      </c>
      <c r="AL13" s="2604" t="e">
        <f>#REF!</f>
        <v>#REF!</v>
      </c>
      <c r="AM13" s="2604" t="e">
        <f>#REF!</f>
        <v>#REF!</v>
      </c>
      <c r="AN13" s="2605" t="e">
        <f>#REF!</f>
        <v>#REF!</v>
      </c>
      <c r="AO13" s="2603" t="e">
        <f>#REF!</f>
        <v>#REF!</v>
      </c>
      <c r="AP13" s="2604" t="e">
        <f>#REF!</f>
        <v>#REF!</v>
      </c>
      <c r="AQ13" s="2604" t="e">
        <f>#REF!</f>
        <v>#REF!</v>
      </c>
      <c r="AR13" s="2605" t="e">
        <f>#REF!</f>
        <v>#REF!</v>
      </c>
      <c r="AS13" s="2603" t="e">
        <f>#REF!</f>
        <v>#REF!</v>
      </c>
      <c r="AT13" s="2604" t="e">
        <f>#REF!</f>
        <v>#REF!</v>
      </c>
      <c r="AU13" s="2604" t="e">
        <f>#REF!</f>
        <v>#REF!</v>
      </c>
      <c r="AV13" s="2605" t="e">
        <f>#REF!</f>
        <v>#REF!</v>
      </c>
      <c r="AW13" s="2603" t="e">
        <f>#REF!</f>
        <v>#REF!</v>
      </c>
      <c r="AX13" s="2604" t="e">
        <f>#REF!</f>
        <v>#REF!</v>
      </c>
      <c r="AY13" s="2604" t="e">
        <f>#REF!</f>
        <v>#REF!</v>
      </c>
      <c r="AZ13" s="2605" t="e">
        <f>#REF!</f>
        <v>#REF!</v>
      </c>
      <c r="BA13" s="2603" t="e">
        <f>#REF!</f>
        <v>#REF!</v>
      </c>
      <c r="BB13" s="2604" t="e">
        <f>#REF!</f>
        <v>#REF!</v>
      </c>
      <c r="BC13" s="2604" t="e">
        <f>#REF!</f>
        <v>#REF!</v>
      </c>
      <c r="BD13" s="2605" t="e">
        <f>#REF!</f>
        <v>#REF!</v>
      </c>
      <c r="BE13"/>
      <c r="BG13" s="470"/>
      <c r="BN13" s="277"/>
      <c r="BO13" s="277"/>
      <c r="BP13" s="427" t="e">
        <f>SUM(AG13:AJ13)</f>
        <v>#REF!</v>
      </c>
      <c r="BQ13" s="427" t="e">
        <f>SUM(AK13:AN13)</f>
        <v>#REF!</v>
      </c>
      <c r="BR13" s="427" t="e">
        <f>SUM(AO13:AR13)</f>
        <v>#REF!</v>
      </c>
      <c r="BS13" s="427" t="e">
        <f>SUM(AS13:AV13)</f>
        <v>#REF!</v>
      </c>
      <c r="BT13" s="427" t="e">
        <f>SUM(AW13:AZ13)</f>
        <v>#REF!</v>
      </c>
      <c r="BU13" s="427" t="e">
        <f>SUM(BA13:BD13)</f>
        <v>#REF!</v>
      </c>
      <c r="BV13" s="2801" t="e">
        <f>#REF!</f>
        <v>#REF!</v>
      </c>
      <c r="BW13" s="2801" t="e">
        <f>#REF!</f>
        <v>#REF!</v>
      </c>
      <c r="BX13" s="2801" t="e">
        <f>#REF!</f>
        <v>#REF!</v>
      </c>
      <c r="BY13" s="2801" t="e">
        <f>#REF!</f>
        <v>#REF!</v>
      </c>
      <c r="BZ13" s="2802" t="e">
        <f>#REF!</f>
        <v>#REF!</v>
      </c>
      <c r="CG13" s="1767"/>
      <c r="CH13" s="1767"/>
      <c r="CI13" s="1767"/>
    </row>
    <row r="14" spans="1:96" s="427" customFormat="1" ht="11.25" hidden="1" customHeight="1" outlineLevel="1">
      <c r="B14"/>
      <c r="C14"/>
      <c r="D14"/>
      <c r="E14"/>
      <c r="F14"/>
      <c r="G14"/>
      <c r="I14" s="463" t="s">
        <v>694</v>
      </c>
      <c r="AC14" s="470"/>
      <c r="AG14" s="470" t="e">
        <f>+AG23-AG13</f>
        <v>#REF!</v>
      </c>
      <c r="AH14" s="427" t="e">
        <f t="shared" ref="AH14:AR14" si="4">+AH23-AH13</f>
        <v>#REF!</v>
      </c>
      <c r="AI14" s="427" t="e">
        <f t="shared" si="4"/>
        <v>#REF!</v>
      </c>
      <c r="AJ14" s="427" t="e">
        <f t="shared" si="4"/>
        <v>#REF!</v>
      </c>
      <c r="AK14" s="470" t="e">
        <f t="shared" si="4"/>
        <v>#REF!</v>
      </c>
      <c r="AL14" s="427" t="e">
        <f t="shared" si="4"/>
        <v>#REF!</v>
      </c>
      <c r="AM14" s="427" t="e">
        <f t="shared" si="4"/>
        <v>#REF!</v>
      </c>
      <c r="AN14" s="464" t="e">
        <f t="shared" si="4"/>
        <v>#REF!</v>
      </c>
      <c r="AO14" s="470" t="e">
        <f t="shared" si="4"/>
        <v>#REF!</v>
      </c>
      <c r="AP14" s="427" t="e">
        <f t="shared" si="4"/>
        <v>#REF!</v>
      </c>
      <c r="AQ14" s="427" t="e">
        <f t="shared" si="4"/>
        <v>#REF!</v>
      </c>
      <c r="AR14" s="464" t="e">
        <f t="shared" si="4"/>
        <v>#REF!</v>
      </c>
      <c r="AS14" s="470" t="e">
        <f t="shared" ref="AS14:BD14" si="5">+AS23-AS13</f>
        <v>#REF!</v>
      </c>
      <c r="AT14" s="427" t="e">
        <f t="shared" si="5"/>
        <v>#REF!</v>
      </c>
      <c r="AU14" s="427" t="e">
        <f t="shared" si="5"/>
        <v>#REF!</v>
      </c>
      <c r="AV14" s="464" t="e">
        <f t="shared" si="5"/>
        <v>#REF!</v>
      </c>
      <c r="AW14" s="470" t="e">
        <f t="shared" si="5"/>
        <v>#REF!</v>
      </c>
      <c r="AX14" s="427" t="e">
        <f t="shared" si="5"/>
        <v>#REF!</v>
      </c>
      <c r="AY14" s="427" t="e">
        <f t="shared" si="5"/>
        <v>#REF!</v>
      </c>
      <c r="AZ14" s="464" t="e">
        <f t="shared" si="5"/>
        <v>#REF!</v>
      </c>
      <c r="BA14" s="470" t="e">
        <f t="shared" si="5"/>
        <v>#REF!</v>
      </c>
      <c r="BB14" s="427" t="e">
        <f t="shared" si="5"/>
        <v>#REF!</v>
      </c>
      <c r="BC14" s="427" t="e">
        <f t="shared" si="5"/>
        <v>#REF!</v>
      </c>
      <c r="BD14" s="464" t="e">
        <f t="shared" si="5"/>
        <v>#REF!</v>
      </c>
      <c r="BE14"/>
      <c r="BG14" s="470"/>
      <c r="BN14" s="277"/>
      <c r="BO14" s="277"/>
      <c r="BP14" s="427" t="e">
        <f>SUM(AG14:AJ14)</f>
        <v>#REF!</v>
      </c>
      <c r="BQ14" s="427" t="e">
        <f>SUM(AK14:AN14)</f>
        <v>#REF!</v>
      </c>
      <c r="BR14" s="427" t="e">
        <f>SUM(AO14:AR14)</f>
        <v>#REF!</v>
      </c>
      <c r="BS14" s="427" t="e">
        <f>SUM(AS14:AV14)</f>
        <v>#REF!</v>
      </c>
      <c r="BT14" s="427" t="e">
        <f>SUM(AW14:AZ14)</f>
        <v>#REF!</v>
      </c>
      <c r="BU14" s="427" t="e">
        <f>SUM(BA14:BD14)</f>
        <v>#REF!</v>
      </c>
      <c r="BV14" s="74" t="e">
        <f>BV23-BV13</f>
        <v>#REF!</v>
      </c>
      <c r="BW14" s="74" t="e">
        <f>BW23-BW13</f>
        <v>#REF!</v>
      </c>
      <c r="BX14" s="74" t="e">
        <f>BX23-BX13</f>
        <v>#REF!</v>
      </c>
      <c r="BY14" s="74" t="e">
        <f>BY23-BY13</f>
        <v>#REF!</v>
      </c>
      <c r="BZ14" s="481" t="e">
        <f>BZ23-BZ13</f>
        <v>#REF!</v>
      </c>
      <c r="CG14" s="1767"/>
      <c r="CH14" s="1767"/>
      <c r="CI14" s="1767"/>
    </row>
    <row r="15" spans="1:96" s="427" customFormat="1" ht="11.25" hidden="1" customHeight="1" outlineLevel="1">
      <c r="B15"/>
      <c r="C15"/>
      <c r="D15"/>
      <c r="E15"/>
      <c r="F15"/>
      <c r="G15"/>
      <c r="I15" s="459" t="s">
        <v>463</v>
      </c>
      <c r="AC15" s="470"/>
      <c r="AG15" s="1356" t="e">
        <f t="shared" ref="AG15:AN15" si="6">+AG14/AC18-1</f>
        <v>#REF!</v>
      </c>
      <c r="AH15" s="1243" t="e">
        <f t="shared" si="6"/>
        <v>#REF!</v>
      </c>
      <c r="AI15" s="1243" t="e">
        <f t="shared" si="6"/>
        <v>#REF!</v>
      </c>
      <c r="AJ15" s="1243" t="e">
        <f t="shared" si="6"/>
        <v>#REF!</v>
      </c>
      <c r="AK15" s="1356" t="e">
        <f t="shared" si="6"/>
        <v>#REF!</v>
      </c>
      <c r="AL15" s="1243" t="e">
        <f t="shared" si="6"/>
        <v>#REF!</v>
      </c>
      <c r="AM15" s="1243" t="e">
        <f t="shared" si="6"/>
        <v>#REF!</v>
      </c>
      <c r="AN15" s="1244" t="e">
        <f t="shared" si="6"/>
        <v>#REF!</v>
      </c>
      <c r="AO15" s="1356" t="e">
        <f>AO14/AK14-1</f>
        <v>#REF!</v>
      </c>
      <c r="AP15" s="1243" t="e">
        <f t="shared" ref="AP15:AR15" si="7">AP14/AL14-1</f>
        <v>#REF!</v>
      </c>
      <c r="AQ15" s="1243" t="e">
        <f t="shared" si="7"/>
        <v>#REF!</v>
      </c>
      <c r="AR15" s="1243" t="e">
        <f t="shared" si="7"/>
        <v>#REF!</v>
      </c>
      <c r="AS15" s="1356" t="e">
        <f t="shared" ref="AS15:AV15" si="8">+AS14/AO18-1</f>
        <v>#REF!</v>
      </c>
      <c r="AT15" s="1243" t="e">
        <f t="shared" si="8"/>
        <v>#REF!</v>
      </c>
      <c r="AU15" s="1243" t="e">
        <f t="shared" si="8"/>
        <v>#REF!</v>
      </c>
      <c r="AV15" s="1244" t="e">
        <f t="shared" si="8"/>
        <v>#REF!</v>
      </c>
      <c r="AW15" s="1356" t="e">
        <f t="shared" ref="AW15:BD15" si="9">+AW14/AS18-1</f>
        <v>#REF!</v>
      </c>
      <c r="AX15" s="1243" t="e">
        <f t="shared" si="9"/>
        <v>#REF!</v>
      </c>
      <c r="AY15" s="1243" t="e">
        <f t="shared" si="9"/>
        <v>#REF!</v>
      </c>
      <c r="AZ15" s="1244" t="e">
        <f t="shared" si="9"/>
        <v>#REF!</v>
      </c>
      <c r="BA15" s="1356" t="e">
        <f t="shared" si="9"/>
        <v>#REF!</v>
      </c>
      <c r="BB15" s="1243" t="e">
        <f t="shared" si="9"/>
        <v>#REF!</v>
      </c>
      <c r="BC15" s="1243" t="e">
        <f t="shared" si="9"/>
        <v>#REF!</v>
      </c>
      <c r="BD15" s="1244" t="e">
        <f t="shared" si="9"/>
        <v>#REF!</v>
      </c>
      <c r="BE15"/>
      <c r="BG15" s="470"/>
      <c r="BN15" s="277"/>
      <c r="BO15" s="277"/>
      <c r="BQ15" s="1243" t="e">
        <f t="shared" ref="BQ15:BZ15" si="10">BQ14/BP14-1</f>
        <v>#REF!</v>
      </c>
      <c r="BR15" s="1243" t="e">
        <f t="shared" si="10"/>
        <v>#REF!</v>
      </c>
      <c r="BS15" s="1243" t="e">
        <f t="shared" si="10"/>
        <v>#REF!</v>
      </c>
      <c r="BT15" s="1243" t="e">
        <f t="shared" si="10"/>
        <v>#REF!</v>
      </c>
      <c r="BU15" s="1243" t="e">
        <f t="shared" si="10"/>
        <v>#REF!</v>
      </c>
      <c r="BV15" s="1243" t="e">
        <f t="shared" si="10"/>
        <v>#REF!</v>
      </c>
      <c r="BW15" s="1243" t="e">
        <f t="shared" si="10"/>
        <v>#REF!</v>
      </c>
      <c r="BX15" s="1243" t="e">
        <f t="shared" si="10"/>
        <v>#REF!</v>
      </c>
      <c r="BY15" s="1243" t="e">
        <f t="shared" si="10"/>
        <v>#REF!</v>
      </c>
      <c r="BZ15" s="1244" t="e">
        <f t="shared" si="10"/>
        <v>#REF!</v>
      </c>
      <c r="CG15" s="1767"/>
      <c r="CH15" s="1767"/>
      <c r="CI15" s="1767"/>
    </row>
    <row r="16" spans="1:96" s="427" customFormat="1" ht="11.25" hidden="1" customHeight="1" outlineLevel="1">
      <c r="B16"/>
      <c r="C16"/>
      <c r="D16"/>
      <c r="E16"/>
      <c r="F16"/>
      <c r="G16"/>
      <c r="I16" s="470"/>
      <c r="AB16" s="464"/>
      <c r="AF16" s="464"/>
      <c r="AJ16" s="464"/>
      <c r="AN16" s="464"/>
      <c r="AR16" s="464"/>
      <c r="AS16" s="470"/>
      <c r="AV16" s="464"/>
      <c r="AW16" s="470"/>
      <c r="AZ16" s="464"/>
      <c r="BA16" s="470"/>
      <c r="BD16" s="464"/>
      <c r="BE16"/>
      <c r="BG16" s="470"/>
      <c r="BN16" s="277"/>
      <c r="BO16" s="277"/>
      <c r="BU16" s="277"/>
      <c r="BV16" s="277"/>
      <c r="BZ16" s="464"/>
      <c r="CG16" s="1767"/>
      <c r="CH16" s="1767"/>
      <c r="CI16" s="1767"/>
    </row>
    <row r="17" spans="1:96" s="396" customFormat="1" ht="11.25" hidden="1" customHeight="1" outlineLevel="1">
      <c r="A17" s="42"/>
      <c r="B17"/>
      <c r="C17"/>
      <c r="D17"/>
      <c r="E17"/>
      <c r="F17"/>
      <c r="G17"/>
      <c r="H17" s="213"/>
      <c r="I17" s="455"/>
      <c r="J17" s="334"/>
      <c r="K17" s="334"/>
      <c r="L17" s="334"/>
      <c r="M17" s="334"/>
      <c r="N17" s="334"/>
      <c r="O17" s="334"/>
      <c r="P17" s="456"/>
      <c r="Q17" s="334"/>
      <c r="R17" s="334"/>
      <c r="S17" s="334"/>
      <c r="T17" s="334"/>
      <c r="U17" s="455"/>
      <c r="V17" s="334"/>
      <c r="W17" s="334"/>
      <c r="X17" s="334"/>
      <c r="Y17" s="428"/>
      <c r="Z17" s="428"/>
      <c r="AA17" s="428"/>
      <c r="AB17" s="471"/>
      <c r="AC17" s="428"/>
      <c r="AD17" s="428"/>
      <c r="AE17" s="428"/>
      <c r="AF17" s="471"/>
      <c r="AG17" s="428"/>
      <c r="AH17" s="428"/>
      <c r="AI17" s="428"/>
      <c r="AJ17" s="471"/>
      <c r="AK17" s="428"/>
      <c r="AL17" s="428"/>
      <c r="AM17" s="428"/>
      <c r="AN17" s="471"/>
      <c r="AO17" s="334"/>
      <c r="AP17" s="334"/>
      <c r="AQ17" s="334"/>
      <c r="AR17" s="456"/>
      <c r="AS17" s="455"/>
      <c r="AT17" s="334"/>
      <c r="AU17" s="334"/>
      <c r="AV17" s="456"/>
      <c r="AW17" s="455"/>
      <c r="AX17" s="334"/>
      <c r="AY17" s="334"/>
      <c r="AZ17" s="456"/>
      <c r="BA17" s="455"/>
      <c r="BB17" s="334"/>
      <c r="BC17" s="334"/>
      <c r="BD17" s="456"/>
      <c r="BE17"/>
      <c r="BF17" s="83"/>
      <c r="BG17" s="728"/>
      <c r="BH17" s="277"/>
      <c r="BI17" s="277"/>
      <c r="BJ17" s="277"/>
      <c r="BK17" s="277"/>
      <c r="BL17" s="395"/>
      <c r="BM17" s="277"/>
      <c r="BN17" s="277"/>
      <c r="BO17" s="277"/>
      <c r="BP17" s="277"/>
      <c r="BQ17" s="395"/>
      <c r="BR17" s="277"/>
      <c r="BS17" s="277"/>
      <c r="BT17" s="277"/>
      <c r="BU17" s="277"/>
      <c r="BV17" s="277"/>
      <c r="BW17" s="277"/>
      <c r="BX17" s="277"/>
      <c r="BY17" s="277"/>
      <c r="BZ17" s="729"/>
      <c r="CA17" s="42"/>
      <c r="CB17" s="42"/>
      <c r="CC17" s="42"/>
      <c r="CD17" s="42"/>
      <c r="CE17" s="42"/>
      <c r="CF17" s="42"/>
      <c r="CG17" s="1768"/>
      <c r="CH17" s="1768"/>
      <c r="CI17" s="1768"/>
      <c r="CJ17" s="42"/>
      <c r="CK17" s="42"/>
      <c r="CL17" s="42"/>
      <c r="CM17" s="42"/>
      <c r="CN17" s="42"/>
      <c r="CO17" s="42"/>
      <c r="CP17" s="42"/>
      <c r="CQ17" s="42"/>
      <c r="CR17" s="42"/>
    </row>
    <row r="18" spans="1:96" s="225" customFormat="1" ht="11.25" hidden="1" customHeight="1" outlineLevel="1">
      <c r="A18" s="81"/>
      <c r="B18"/>
      <c r="C18"/>
      <c r="D18"/>
      <c r="E18"/>
      <c r="F18"/>
      <c r="G18"/>
      <c r="H18" s="81"/>
      <c r="I18" s="2797" t="s">
        <v>693</v>
      </c>
      <c r="J18" s="321"/>
      <c r="K18" s="321"/>
      <c r="L18" s="321"/>
      <c r="M18" s="436">
        <f t="shared" ref="M18:W18" si="11">SUM(M19:M21)</f>
        <v>9.1359999999999992</v>
      </c>
      <c r="N18" s="436">
        <f t="shared" si="11"/>
        <v>10.726999999999999</v>
      </c>
      <c r="O18" s="436">
        <f t="shared" si="11"/>
        <v>12.594000000000001</v>
      </c>
      <c r="P18" s="713">
        <f t="shared" si="11"/>
        <v>15.274000000000001</v>
      </c>
      <c r="Q18" s="436">
        <f t="shared" si="11"/>
        <v>16.5</v>
      </c>
      <c r="R18" s="436">
        <f t="shared" si="11"/>
        <v>19.577999999999999</v>
      </c>
      <c r="S18" s="436">
        <f t="shared" si="11"/>
        <v>22.302</v>
      </c>
      <c r="T18" s="436">
        <f t="shared" si="11"/>
        <v>24.905000000000001</v>
      </c>
      <c r="U18" s="712">
        <f t="shared" si="11"/>
        <v>27.384999999999998</v>
      </c>
      <c r="V18" s="436">
        <f t="shared" si="11"/>
        <v>32.652999999999999</v>
      </c>
      <c r="W18" s="436">
        <f t="shared" si="11"/>
        <v>36.371000000000002</v>
      </c>
      <c r="X18" s="713">
        <v>41.156999999999996</v>
      </c>
      <c r="Y18" s="518">
        <v>46.133000000000003</v>
      </c>
      <c r="Z18" s="437">
        <v>55.023000000000003</v>
      </c>
      <c r="AA18" s="437">
        <v>61.180999999999997</v>
      </c>
      <c r="AB18" s="437">
        <v>70.650999999999996</v>
      </c>
      <c r="AC18" s="518">
        <v>76.406999999999996</v>
      </c>
      <c r="AD18" s="437">
        <v>88.787000000000006</v>
      </c>
      <c r="AE18" s="437">
        <v>102.455</v>
      </c>
      <c r="AF18" s="437">
        <v>109.887</v>
      </c>
      <c r="AG18" s="2598">
        <v>118.508</v>
      </c>
      <c r="AH18" s="2599">
        <v>133.91300000000001</v>
      </c>
      <c r="AI18" s="2599">
        <v>143.559</v>
      </c>
      <c r="AJ18" s="2295">
        <v>153.73099999999999</v>
      </c>
      <c r="AK18" s="2598">
        <v>158.613</v>
      </c>
      <c r="AL18" s="2294">
        <v>173.428</v>
      </c>
      <c r="AM18" s="2294">
        <v>186.232</v>
      </c>
      <c r="AN18" s="2294">
        <v>194.79599999999999</v>
      </c>
      <c r="AO18" s="2598">
        <v>197.32300000000001</v>
      </c>
      <c r="AP18" s="322" t="e">
        <f>SUM(AP19:AP21)</f>
        <v>#REF!</v>
      </c>
      <c r="AQ18" s="322" t="e">
        <f>SUM(AQ19:AQ21)</f>
        <v>#REF!</v>
      </c>
      <c r="AR18" s="734" t="e">
        <f>SUM(AR19:AR21)</f>
        <v>#REF!</v>
      </c>
      <c r="AS18" s="750" t="e">
        <f t="shared" ref="AS18:BD18" si="12">SUM(AS19:AS21)</f>
        <v>#REF!</v>
      </c>
      <c r="AT18" s="322" t="e">
        <f t="shared" si="12"/>
        <v>#REF!</v>
      </c>
      <c r="AU18" s="322" t="e">
        <f t="shared" si="12"/>
        <v>#REF!</v>
      </c>
      <c r="AV18" s="734" t="e">
        <f t="shared" si="12"/>
        <v>#REF!</v>
      </c>
      <c r="AW18" s="750" t="e">
        <f t="shared" si="12"/>
        <v>#REF!</v>
      </c>
      <c r="AX18" s="322" t="e">
        <f t="shared" si="12"/>
        <v>#REF!</v>
      </c>
      <c r="AY18" s="322" t="e">
        <f t="shared" si="12"/>
        <v>#REF!</v>
      </c>
      <c r="AZ18" s="734" t="e">
        <f t="shared" si="12"/>
        <v>#REF!</v>
      </c>
      <c r="BA18" s="750" t="e">
        <f t="shared" si="12"/>
        <v>#REF!</v>
      </c>
      <c r="BB18" s="322" t="e">
        <f t="shared" si="12"/>
        <v>#REF!</v>
      </c>
      <c r="BC18" s="322" t="e">
        <f t="shared" si="12"/>
        <v>#REF!</v>
      </c>
      <c r="BD18" s="734" t="e">
        <f t="shared" si="12"/>
        <v>#REF!</v>
      </c>
      <c r="BE18"/>
      <c r="BF18" s="105"/>
      <c r="BG18" s="474">
        <v>0.443</v>
      </c>
      <c r="BH18" s="65">
        <v>3.7450000000000001</v>
      </c>
      <c r="BI18" s="65">
        <f t="shared" ref="BI18:BO18" si="13">SUM(BI19:BI21)</f>
        <v>12.139000000000001</v>
      </c>
      <c r="BJ18" s="65">
        <f t="shared" si="13"/>
        <v>25.808000000000003</v>
      </c>
      <c r="BK18" s="65">
        <f t="shared" si="13"/>
        <v>47.731000000000002</v>
      </c>
      <c r="BL18" s="65">
        <f t="shared" si="13"/>
        <v>83.284999999999997</v>
      </c>
      <c r="BM18" s="65">
        <f t="shared" si="13"/>
        <v>137.566</v>
      </c>
      <c r="BN18" s="65">
        <f t="shared" si="13"/>
        <v>232.98799999999997</v>
      </c>
      <c r="BO18" s="68">
        <f t="shared" si="13"/>
        <v>377.53599999999994</v>
      </c>
      <c r="BP18" s="68">
        <f>SUM(AG18:AJ18)</f>
        <v>549.71100000000001</v>
      </c>
      <c r="BQ18" s="68">
        <f>SUM(AK18:AN18)</f>
        <v>713.06899999999996</v>
      </c>
      <c r="BR18" s="68" t="e">
        <f>SUM(AO18:AR18)</f>
        <v>#REF!</v>
      </c>
      <c r="BS18" s="68" t="e">
        <f>SUM(AS18:AV18)</f>
        <v>#REF!</v>
      </c>
      <c r="BT18" s="68" t="e">
        <f>SUM(AW18:AZ18)</f>
        <v>#REF!</v>
      </c>
      <c r="BU18" s="68" t="e">
        <f>SUM(BA18:BD18)</f>
        <v>#REF!</v>
      </c>
      <c r="BV18" s="68" t="e">
        <f>SUM(BB18:BF18)</f>
        <v>#REF!</v>
      </c>
      <c r="BW18" s="68" t="e">
        <f>SUM(BC18:BG18)</f>
        <v>#REF!</v>
      </c>
      <c r="BX18" s="68" t="e">
        <f>SUM(BD18:BH18)</f>
        <v>#REF!</v>
      </c>
      <c r="BY18" s="68">
        <f>SUM(BF18:BI18)</f>
        <v>16.327000000000002</v>
      </c>
      <c r="BZ18" s="475">
        <f>SUM(BG18:BJ18)</f>
        <v>42.135000000000005</v>
      </c>
      <c r="CA18" s="83"/>
      <c r="CB18" s="2261" t="str">
        <f>IF(ISERROR(RATE(5,,-BP18,BU18)),"NM",(RATE(5,,-BP18,BU18)))</f>
        <v>NM</v>
      </c>
      <c r="CC18" s="83"/>
      <c r="CD18" s="83"/>
      <c r="CE18" s="83"/>
      <c r="CF18" s="83"/>
      <c r="CG18" s="1769"/>
      <c r="CH18" s="1769"/>
      <c r="CI18" s="1769"/>
      <c r="CJ18" s="1363">
        <f>RATE(2,,-BM18,BO18)</f>
        <v>0.65662278509361638</v>
      </c>
      <c r="CK18" s="1364" t="e">
        <f>RATE(4,,-BO18,BS18)</f>
        <v>#REF!</v>
      </c>
      <c r="CL18" s="75">
        <f t="shared" ref="CL18:CR18" si="14">IF(ISERROR(RATE(3,,-BL18,BO18)),"NM",(RATE(3,,-BL18,BO18)))</f>
        <v>0.65499693326849873</v>
      </c>
      <c r="CM18" s="75">
        <f t="shared" si="14"/>
        <v>0.58686910911176748</v>
      </c>
      <c r="CN18" s="75">
        <f t="shared" si="14"/>
        <v>0.45188650189823915</v>
      </c>
      <c r="CO18" s="75" t="str">
        <f t="shared" si="14"/>
        <v>NM</v>
      </c>
      <c r="CP18" s="75" t="str">
        <f t="shared" si="14"/>
        <v>NM</v>
      </c>
      <c r="CQ18" s="75" t="str">
        <f t="shared" si="14"/>
        <v>NM</v>
      </c>
      <c r="CR18" s="75" t="str">
        <f t="shared" si="14"/>
        <v>NM</v>
      </c>
    </row>
    <row r="19" spans="1:96" s="225" customFormat="1" ht="11.25" hidden="1" customHeight="1" outlineLevel="1">
      <c r="A19" s="81"/>
      <c r="B19"/>
      <c r="C19"/>
      <c r="D19"/>
      <c r="E19"/>
      <c r="F19"/>
      <c r="G19"/>
      <c r="H19" s="81"/>
      <c r="I19" s="459" t="s">
        <v>243</v>
      </c>
      <c r="J19" s="63"/>
      <c r="K19" s="64"/>
      <c r="L19" s="64"/>
      <c r="M19" s="435">
        <v>7.0880000000000001</v>
      </c>
      <c r="N19" s="435">
        <v>8.1519999999999992</v>
      </c>
      <c r="O19" s="435">
        <v>8.8800000000000008</v>
      </c>
      <c r="P19" s="524">
        <v>9.6389999999999993</v>
      </c>
      <c r="Q19" s="435">
        <v>11.222</v>
      </c>
      <c r="R19" s="435">
        <v>13.356999999999999</v>
      </c>
      <c r="S19" s="435">
        <v>15.746</v>
      </c>
      <c r="T19" s="435">
        <v>18.148</v>
      </c>
      <c r="U19" s="519">
        <v>21.472999999999999</v>
      </c>
      <c r="V19" s="435">
        <v>25.254999999999999</v>
      </c>
      <c r="W19" s="435">
        <v>28.484999999999999</v>
      </c>
      <c r="X19" s="524">
        <v>33.945</v>
      </c>
      <c r="Y19" s="519">
        <v>38.866</v>
      </c>
      <c r="Z19" s="435">
        <v>44.8</v>
      </c>
      <c r="AA19" s="435">
        <v>51.167000000000002</v>
      </c>
      <c r="AB19" s="524">
        <v>58.052</v>
      </c>
      <c r="AC19" s="519">
        <v>65.2</v>
      </c>
      <c r="AD19" s="435">
        <v>75.685000000000002</v>
      </c>
      <c r="AE19" s="435">
        <v>85.132000000000005</v>
      </c>
      <c r="AF19" s="435">
        <v>93.1</v>
      </c>
      <c r="AG19" s="2600">
        <v>98.57</v>
      </c>
      <c r="AH19" s="2601">
        <v>107.88200000000001</v>
      </c>
      <c r="AI19" s="2601">
        <v>115.932</v>
      </c>
      <c r="AJ19" s="2602">
        <v>125.851</v>
      </c>
      <c r="AK19" s="2600">
        <v>138.11600000000001</v>
      </c>
      <c r="AL19" s="2602">
        <v>151.87899999999999</v>
      </c>
      <c r="AM19" s="2602">
        <v>163.6</v>
      </c>
      <c r="AN19" s="2602">
        <v>171.1</v>
      </c>
      <c r="AO19" s="2600">
        <v>177</v>
      </c>
      <c r="AP19" s="439">
        <f>'Revenue drivers'!AP490</f>
        <v>187.87899999999999</v>
      </c>
      <c r="AQ19" s="439">
        <f>'Revenue drivers'!AQ490</f>
        <v>197.6</v>
      </c>
      <c r="AR19" s="461">
        <f>'Revenue drivers'!AR490</f>
        <v>209.1</v>
      </c>
      <c r="AS19" s="501">
        <f>'Revenue drivers'!AS490</f>
        <v>213</v>
      </c>
      <c r="AT19" s="439">
        <f>'Revenue drivers'!AT490</f>
        <v>224.87899999999999</v>
      </c>
      <c r="AU19" s="439">
        <f>'Revenue drivers'!AU490</f>
        <v>234.6</v>
      </c>
      <c r="AV19" s="461">
        <f>'Revenue drivers'!AV490</f>
        <v>245.1</v>
      </c>
      <c r="AW19" s="501">
        <f>'Revenue drivers'!AW490</f>
        <v>250</v>
      </c>
      <c r="AX19" s="439">
        <f>'Revenue drivers'!AX490</f>
        <v>261.87900000000002</v>
      </c>
      <c r="AY19" s="439">
        <f>'Revenue drivers'!AY490</f>
        <v>271.60000000000002</v>
      </c>
      <c r="AZ19" s="461">
        <f>'Revenue drivers'!AZ490</f>
        <v>282.10000000000002</v>
      </c>
      <c r="BA19" s="501">
        <f>'Revenue drivers'!BA490</f>
        <v>287</v>
      </c>
      <c r="BB19" s="439">
        <f>'Revenue drivers'!BB490</f>
        <v>298.87900000000002</v>
      </c>
      <c r="BC19" s="439">
        <f>'Revenue drivers'!BC490</f>
        <v>308.60000000000002</v>
      </c>
      <c r="BD19" s="461">
        <f>'Revenue drivers'!BD490</f>
        <v>319.10000000000002</v>
      </c>
      <c r="BE19"/>
      <c r="BF19" s="320"/>
      <c r="BG19" s="503"/>
      <c r="BH19" s="409"/>
      <c r="BI19" s="409">
        <v>9.0570000000000004</v>
      </c>
      <c r="BJ19" s="409">
        <v>20.097000000000001</v>
      </c>
      <c r="BK19" s="409">
        <f>SUM(M19:P19)</f>
        <v>33.759</v>
      </c>
      <c r="BL19" s="409">
        <f>SUM(Q19:T19)</f>
        <v>58.472999999999999</v>
      </c>
      <c r="BM19" s="409">
        <f>SUM(U19:X19)</f>
        <v>109.15799999999999</v>
      </c>
      <c r="BN19" s="409">
        <f>SUM(Y19:AB19)</f>
        <v>192.88499999999999</v>
      </c>
      <c r="BO19" s="409">
        <f>SUM(AC19:AF19)</f>
        <v>319.11699999999996</v>
      </c>
      <c r="BP19" s="409">
        <f>SUM(AG19:AJ19)</f>
        <v>448.23500000000001</v>
      </c>
      <c r="BQ19" s="110">
        <f>SUM(AK19:AN19)</f>
        <v>624.69500000000005</v>
      </c>
      <c r="BR19" s="110">
        <f>SUM(AO19:AR19)</f>
        <v>771.57900000000006</v>
      </c>
      <c r="BS19" s="110">
        <f>SUM(AS19:AV19)</f>
        <v>917.57900000000006</v>
      </c>
      <c r="BT19" s="110">
        <f>SUM(AW19:AZ19)</f>
        <v>1065.5790000000002</v>
      </c>
      <c r="BU19" s="110">
        <f>SUM(BA19:BD19)</f>
        <v>1213.5790000000002</v>
      </c>
      <c r="BV19" s="439"/>
      <c r="BW19" s="439"/>
      <c r="BX19" s="439"/>
      <c r="BY19" s="439"/>
      <c r="BZ19" s="461"/>
      <c r="CA19" s="83"/>
      <c r="CB19" s="1363">
        <f>IF(ISERROR(RATE(5,,-BP19,BU19)),"NM",(RATE(5,,-BP19,BU19)))</f>
        <v>0.22042882771083569</v>
      </c>
      <c r="CC19" s="83"/>
      <c r="CD19" s="83"/>
      <c r="CE19" s="83"/>
      <c r="CF19" s="83"/>
      <c r="CG19" s="1769"/>
      <c r="CH19" s="1769"/>
      <c r="CI19" s="1769"/>
      <c r="CJ19" s="1363">
        <f>RATE(2,,-BM19,BO19)</f>
        <v>0.70980737227840784</v>
      </c>
      <c r="CK19" s="1364">
        <f>RATE(4,,-BO19,BS19)</f>
        <v>0.30218707761048497</v>
      </c>
      <c r="CL19" s="403">
        <f t="shared" ref="CL19:CR21" si="15">IF(ISERROR(RATE(3,,-BL19,BO19)),"NM",(RATE(3,,-BL19,BO19)))</f>
        <v>0.76061685332556961</v>
      </c>
      <c r="CM19" s="403">
        <f t="shared" si="15"/>
        <v>0.60133943328517936</v>
      </c>
      <c r="CN19" s="403">
        <f t="shared" si="15"/>
        <v>0.47952800999183592</v>
      </c>
      <c r="CO19" s="403">
        <f t="shared" si="15"/>
        <v>0.34217811406855625</v>
      </c>
      <c r="CP19" s="403">
        <f t="shared" si="15"/>
        <v>0.26973346762839978</v>
      </c>
      <c r="CQ19" s="403">
        <f t="shared" si="15"/>
        <v>0.19482932858968266</v>
      </c>
      <c r="CR19" s="403">
        <f t="shared" si="15"/>
        <v>0.16295403872129036</v>
      </c>
    </row>
    <row r="20" spans="1:96" s="225" customFormat="1" ht="11.25" hidden="1" customHeight="1" outlineLevel="1">
      <c r="A20" s="81"/>
      <c r="B20"/>
      <c r="C20"/>
      <c r="D20"/>
      <c r="E20"/>
      <c r="F20"/>
      <c r="G20"/>
      <c r="H20" s="81"/>
      <c r="I20" s="459" t="s">
        <v>244</v>
      </c>
      <c r="J20" s="63"/>
      <c r="K20" s="64"/>
      <c r="L20" s="64"/>
      <c r="M20" s="409">
        <v>1.9350000000000001</v>
      </c>
      <c r="N20" s="409">
        <v>2.4620000000000002</v>
      </c>
      <c r="O20" s="409">
        <v>3.1949999999999998</v>
      </c>
      <c r="P20" s="466">
        <v>4.4539999999999997</v>
      </c>
      <c r="Q20" s="409">
        <v>3.5830000000000002</v>
      </c>
      <c r="R20" s="409">
        <v>4.4710000000000001</v>
      </c>
      <c r="S20" s="409">
        <v>4.5990000000000002</v>
      </c>
      <c r="T20" s="409">
        <v>5.0330000000000004</v>
      </c>
      <c r="U20" s="503">
        <v>3.9940000000000002</v>
      </c>
      <c r="V20" s="409">
        <v>5.7030000000000003</v>
      </c>
      <c r="W20" s="409">
        <v>5.8860000000000001</v>
      </c>
      <c r="X20" s="466">
        <f t="shared" ref="X20:AE20" si="16">X18-X19-X21</f>
        <v>4.9969999999999963</v>
      </c>
      <c r="Y20" s="505">
        <f t="shared" si="16"/>
        <v>4.767000000000003</v>
      </c>
      <c r="Z20" s="110">
        <f t="shared" si="16"/>
        <v>7.0530000000000062</v>
      </c>
      <c r="AA20" s="110">
        <f t="shared" si="16"/>
        <v>6.9099999999999957</v>
      </c>
      <c r="AB20" s="469">
        <f t="shared" si="16"/>
        <v>9.2439999999999962</v>
      </c>
      <c r="AC20" s="505">
        <f t="shared" si="16"/>
        <v>7.4569999999999936</v>
      </c>
      <c r="AD20" s="110">
        <f t="shared" si="16"/>
        <v>9.0550000000000033</v>
      </c>
      <c r="AE20" s="110">
        <f t="shared" si="16"/>
        <v>9.3179999999999925</v>
      </c>
      <c r="AF20" s="110">
        <f>AF18-AF19-AF21</f>
        <v>8.6870000000000065</v>
      </c>
      <c r="AG20" s="2600">
        <v>6.6269999999999998</v>
      </c>
      <c r="AH20" s="2601">
        <v>8.3030000000000008</v>
      </c>
      <c r="AI20" s="2601">
        <v>8.9779999999999998</v>
      </c>
      <c r="AJ20" s="2602">
        <v>7.1050000000000004</v>
      </c>
      <c r="AK20" s="2600">
        <v>0</v>
      </c>
      <c r="AL20" s="2602">
        <v>0</v>
      </c>
      <c r="AM20" s="2602">
        <v>0</v>
      </c>
      <c r="AN20" s="2602">
        <v>0</v>
      </c>
      <c r="AO20" s="2600">
        <v>0</v>
      </c>
      <c r="AP20" s="439">
        <f>'Revenue drivers'!AP472</f>
        <v>0</v>
      </c>
      <c r="AQ20" s="439">
        <f>'Revenue drivers'!AQ472</f>
        <v>0</v>
      </c>
      <c r="AR20" s="461">
        <f>'Revenue drivers'!AR472</f>
        <v>0</v>
      </c>
      <c r="AS20" s="501">
        <f>'Revenue drivers'!AS472</f>
        <v>0</v>
      </c>
      <c r="AT20" s="439">
        <f>'Revenue drivers'!AT472</f>
        <v>0</v>
      </c>
      <c r="AU20" s="439">
        <f>'Revenue drivers'!AU472</f>
        <v>0</v>
      </c>
      <c r="AV20" s="461">
        <f>'Revenue drivers'!AV472</f>
        <v>0</v>
      </c>
      <c r="AW20" s="501">
        <f>'Revenue drivers'!AW472</f>
        <v>0</v>
      </c>
      <c r="AX20" s="439">
        <f>'Revenue drivers'!AX472</f>
        <v>0</v>
      </c>
      <c r="AY20" s="439">
        <f>'Revenue drivers'!AY472</f>
        <v>0</v>
      </c>
      <c r="AZ20" s="461">
        <f>'Revenue drivers'!AZ472</f>
        <v>0</v>
      </c>
      <c r="BA20" s="501">
        <f>'Revenue drivers'!BA472</f>
        <v>0</v>
      </c>
      <c r="BB20" s="439">
        <f>'Revenue drivers'!BB472</f>
        <v>0</v>
      </c>
      <c r="BC20" s="439">
        <f>'Revenue drivers'!BC472</f>
        <v>0</v>
      </c>
      <c r="BD20" s="461">
        <f>'Revenue drivers'!BD472</f>
        <v>0</v>
      </c>
      <c r="BE20"/>
      <c r="BF20" s="320"/>
      <c r="BG20" s="503"/>
      <c r="BH20" s="409"/>
      <c r="BI20" s="409">
        <v>2.9550000000000001</v>
      </c>
      <c r="BJ20" s="409">
        <v>5.3929999999999998</v>
      </c>
      <c r="BK20" s="409">
        <f>SUM(M20:P20)</f>
        <v>12.045999999999999</v>
      </c>
      <c r="BL20" s="409">
        <f>SUM(Q20:T20)</f>
        <v>17.686</v>
      </c>
      <c r="BM20" s="409">
        <f>SUM(U20:X20)</f>
        <v>20.58</v>
      </c>
      <c r="BN20" s="409">
        <f>SUM(Y20:AB20)</f>
        <v>27.974</v>
      </c>
      <c r="BO20" s="409">
        <f>SUM(AC20:AF20)</f>
        <v>34.516999999999996</v>
      </c>
      <c r="BP20" s="409">
        <f>SUM(AG20:AJ20)</f>
        <v>31.013000000000002</v>
      </c>
      <c r="BQ20" s="110">
        <f>SUM(AK20:AN20)</f>
        <v>0</v>
      </c>
      <c r="BR20" s="110">
        <f>SUM(AO20:AR20)</f>
        <v>0</v>
      </c>
      <c r="BS20" s="110">
        <f>SUM(AS20:AV20)</f>
        <v>0</v>
      </c>
      <c r="BT20" s="110">
        <f>SUM(AW20:AZ20)</f>
        <v>0</v>
      </c>
      <c r="BU20" s="110">
        <f>SUM(BA20:BD20)</f>
        <v>0</v>
      </c>
      <c r="BV20" s="439"/>
      <c r="BW20" s="439"/>
      <c r="BX20" s="439"/>
      <c r="BY20" s="439"/>
      <c r="BZ20" s="461"/>
      <c r="CA20" s="83"/>
      <c r="CB20" s="1363">
        <f>IF(ISERROR(RATE(5,,-BP20,BU20)),"NM",(RATE(5,,-BP20,BU20)))</f>
        <v>-0.99999940914518248</v>
      </c>
      <c r="CC20" s="83"/>
      <c r="CD20" s="83"/>
      <c r="CE20" s="83"/>
      <c r="CF20" s="83"/>
      <c r="CG20" s="1769"/>
      <c r="CH20" s="1769"/>
      <c r="CI20" s="1769"/>
      <c r="CJ20" s="1363">
        <f>RATE(2,,-BM20,BO20)</f>
        <v>0.29507176803206275</v>
      </c>
      <c r="CK20" s="1364">
        <f>RATE(4,,-BO20,BS20)</f>
        <v>-0.99999959914231695</v>
      </c>
      <c r="CL20" s="403">
        <f t="shared" ref="CL20:CR20" si="17">IF(ISERROR(RATE(3,,-BL20,BO20)),"NM",(RATE(3,,-BL20,BO20)))</f>
        <v>0.24968667935829691</v>
      </c>
      <c r="CM20" s="403">
        <f t="shared" si="17"/>
        <v>0.14647908461643452</v>
      </c>
      <c r="CN20" s="403">
        <f t="shared" si="17"/>
        <v>-0.99999974478297993</v>
      </c>
      <c r="CO20" s="403">
        <f t="shared" si="17"/>
        <v>-0.99999974478297993</v>
      </c>
      <c r="CP20" s="403">
        <f t="shared" si="17"/>
        <v>-0.99999974478297993</v>
      </c>
      <c r="CQ20" s="403" t="str">
        <f t="shared" si="17"/>
        <v>NM</v>
      </c>
      <c r="CR20" s="403" t="str">
        <f t="shared" si="17"/>
        <v>NM</v>
      </c>
    </row>
    <row r="21" spans="1:96" s="225" customFormat="1" ht="11.25" hidden="1" customHeight="1" outlineLevel="1">
      <c r="A21" s="81"/>
      <c r="B21"/>
      <c r="C21"/>
      <c r="D21"/>
      <c r="E21"/>
      <c r="F21"/>
      <c r="G21"/>
      <c r="H21" s="81"/>
      <c r="I21" s="459" t="s">
        <v>469</v>
      </c>
      <c r="J21" s="63"/>
      <c r="K21" s="64"/>
      <c r="L21" s="64"/>
      <c r="M21" s="435">
        <v>0.113</v>
      </c>
      <c r="N21" s="435">
        <v>0.113</v>
      </c>
      <c r="O21" s="435">
        <v>0.51900000000000002</v>
      </c>
      <c r="P21" s="524">
        <v>1.181</v>
      </c>
      <c r="Q21" s="435">
        <v>1.6950000000000001</v>
      </c>
      <c r="R21" s="435">
        <v>1.75</v>
      </c>
      <c r="S21" s="435">
        <v>1.9570000000000001</v>
      </c>
      <c r="T21" s="435">
        <v>1.724</v>
      </c>
      <c r="U21" s="519">
        <v>1.9179999999999999</v>
      </c>
      <c r="V21" s="435">
        <v>1.6950000000000001</v>
      </c>
      <c r="W21" s="435">
        <v>2</v>
      </c>
      <c r="X21" s="524">
        <v>2.2149999999999999</v>
      </c>
      <c r="Y21" s="519">
        <v>2.5</v>
      </c>
      <c r="Z21" s="435">
        <v>3.17</v>
      </c>
      <c r="AA21" s="435">
        <v>3.1040000000000001</v>
      </c>
      <c r="AB21" s="524">
        <v>3.355</v>
      </c>
      <c r="AC21" s="519">
        <v>3.75</v>
      </c>
      <c r="AD21" s="435">
        <v>4.0469999999999997</v>
      </c>
      <c r="AE21" s="435">
        <v>8.0050000000000008</v>
      </c>
      <c r="AF21" s="435">
        <v>8.1</v>
      </c>
      <c r="AG21" s="2600">
        <v>13.311</v>
      </c>
      <c r="AH21" s="2601">
        <v>17.728000000000002</v>
      </c>
      <c r="AI21" s="2601">
        <v>18.649000000000001</v>
      </c>
      <c r="AJ21" s="2602">
        <v>20.775000000000002</v>
      </c>
      <c r="AK21" s="2600">
        <v>20.497</v>
      </c>
      <c r="AL21" s="2602">
        <v>21.548999999999999</v>
      </c>
      <c r="AM21" s="2602">
        <v>22.7</v>
      </c>
      <c r="AN21" s="2602">
        <v>23.700000000000003</v>
      </c>
      <c r="AO21" s="2600">
        <v>20.3</v>
      </c>
      <c r="AP21" s="439" t="e">
        <f>'Revenue drivers'!AP109+'Revenue drivers'!AP144</f>
        <v>#REF!</v>
      </c>
      <c r="AQ21" s="439" t="e">
        <f>'Revenue drivers'!AQ109+'Revenue drivers'!AQ144</f>
        <v>#REF!</v>
      </c>
      <c r="AR21" s="461" t="e">
        <f>'Revenue drivers'!AR109+'Revenue drivers'!AR144</f>
        <v>#REF!</v>
      </c>
      <c r="AS21" s="501" t="e">
        <f>'Revenue drivers'!AS109+'Revenue drivers'!AS144</f>
        <v>#REF!</v>
      </c>
      <c r="AT21" s="439" t="e">
        <f>'Revenue drivers'!AT109+'Revenue drivers'!AT144</f>
        <v>#REF!</v>
      </c>
      <c r="AU21" s="439" t="e">
        <f>'Revenue drivers'!AU109+'Revenue drivers'!AU144</f>
        <v>#REF!</v>
      </c>
      <c r="AV21" s="461" t="e">
        <f>'Revenue drivers'!AV109+'Revenue drivers'!AV144</f>
        <v>#REF!</v>
      </c>
      <c r="AW21" s="501" t="e">
        <f>'Revenue drivers'!AW109+'Revenue drivers'!AW144</f>
        <v>#REF!</v>
      </c>
      <c r="AX21" s="439" t="e">
        <f>'Revenue drivers'!AX109+'Revenue drivers'!AX144</f>
        <v>#REF!</v>
      </c>
      <c r="AY21" s="439" t="e">
        <f>'Revenue drivers'!AY109+'Revenue drivers'!AY144</f>
        <v>#REF!</v>
      </c>
      <c r="AZ21" s="461" t="e">
        <f>'Revenue drivers'!AZ109+'Revenue drivers'!AZ144</f>
        <v>#REF!</v>
      </c>
      <c r="BA21" s="501" t="e">
        <f>'Revenue drivers'!BA109+'Revenue drivers'!BA144</f>
        <v>#REF!</v>
      </c>
      <c r="BB21" s="439" t="e">
        <f>'Revenue drivers'!BB109+'Revenue drivers'!BB144</f>
        <v>#REF!</v>
      </c>
      <c r="BC21" s="439" t="e">
        <f>'Revenue drivers'!BC109+'Revenue drivers'!BC144</f>
        <v>#REF!</v>
      </c>
      <c r="BD21" s="461" t="e">
        <f>'Revenue drivers'!BD109+'Revenue drivers'!BD144</f>
        <v>#REF!</v>
      </c>
      <c r="BE21"/>
      <c r="BF21" s="320"/>
      <c r="BG21" s="503"/>
      <c r="BH21" s="409"/>
      <c r="BI21" s="409">
        <v>0.127</v>
      </c>
      <c r="BJ21" s="409">
        <v>0.318</v>
      </c>
      <c r="BK21" s="409">
        <f>SUM(M21:P21)</f>
        <v>1.9260000000000002</v>
      </c>
      <c r="BL21" s="409">
        <f>SUM(Q21:T21)</f>
        <v>7.1260000000000003</v>
      </c>
      <c r="BM21" s="409">
        <f>SUM(U21:X21)</f>
        <v>7.8279999999999994</v>
      </c>
      <c r="BN21" s="409">
        <f>SUM(Y21:AB21)</f>
        <v>12.129000000000001</v>
      </c>
      <c r="BO21" s="409">
        <f>SUM(AC21:AF21)</f>
        <v>23.902000000000001</v>
      </c>
      <c r="BP21" s="409">
        <f>SUM(AG21:AJ21)</f>
        <v>70.463000000000008</v>
      </c>
      <c r="BQ21" s="110">
        <f>SUM(AK21:AN21)</f>
        <v>88.445999999999998</v>
      </c>
      <c r="BR21" s="110" t="e">
        <f>SUM(AO21:AR21)</f>
        <v>#REF!</v>
      </c>
      <c r="BS21" s="110" t="e">
        <f>SUM(AS21:AV21)</f>
        <v>#REF!</v>
      </c>
      <c r="BT21" s="110" t="e">
        <f>SUM(AW21:AZ21)</f>
        <v>#REF!</v>
      </c>
      <c r="BU21" s="110" t="e">
        <f>SUM(BA21:BD21)</f>
        <v>#REF!</v>
      </c>
      <c r="BV21" s="439"/>
      <c r="BW21" s="439"/>
      <c r="BX21" s="439"/>
      <c r="BY21" s="439"/>
      <c r="BZ21" s="461"/>
      <c r="CA21" s="83"/>
      <c r="CB21" s="1363" t="str">
        <f>IF(ISERROR(RATE(5,,-BP21,BU21)),"NM",(RATE(5,,-BP21,BU21)))</f>
        <v>NM</v>
      </c>
      <c r="CC21" s="83"/>
      <c r="CD21" s="83"/>
      <c r="CE21" s="83"/>
      <c r="CF21" s="83"/>
      <c r="CG21" s="1769"/>
      <c r="CH21" s="1769"/>
      <c r="CI21" s="1769"/>
      <c r="CJ21" s="1363">
        <f>RATE(2,,-BM21,BO21)</f>
        <v>0.7473975100852237</v>
      </c>
      <c r="CK21" s="1364" t="e">
        <f>RATE(4,,-BO21,BS21)</f>
        <v>#REF!</v>
      </c>
      <c r="CL21" s="403">
        <f t="shared" si="15"/>
        <v>0.49691155683306293</v>
      </c>
      <c r="CM21" s="403">
        <f t="shared" si="15"/>
        <v>1.0801920751541476</v>
      </c>
      <c r="CN21" s="403">
        <f t="shared" si="15"/>
        <v>0.9391782592902389</v>
      </c>
      <c r="CO21" s="403" t="str">
        <f t="shared" si="15"/>
        <v>NM</v>
      </c>
      <c r="CP21" s="403" t="str">
        <f t="shared" si="15"/>
        <v>NM</v>
      </c>
      <c r="CQ21" s="403" t="str">
        <f t="shared" si="15"/>
        <v>NM</v>
      </c>
      <c r="CR21" s="403" t="str">
        <f t="shared" si="15"/>
        <v>NM</v>
      </c>
    </row>
    <row r="22" spans="1:96" s="225" customFormat="1" ht="11.25" customHeight="1" collapsed="1">
      <c r="A22" s="81"/>
      <c r="B22"/>
      <c r="C22"/>
      <c r="D22"/>
      <c r="E22"/>
      <c r="F22"/>
      <c r="G22"/>
      <c r="H22" s="81"/>
      <c r="I22" s="459"/>
      <c r="J22" s="63"/>
      <c r="K22" s="64"/>
      <c r="L22" s="64"/>
      <c r="M22" s="435"/>
      <c r="N22" s="435"/>
      <c r="O22" s="435"/>
      <c r="P22" s="524"/>
      <c r="Q22" s="435"/>
      <c r="R22" s="435"/>
      <c r="S22" s="435"/>
      <c r="T22" s="435"/>
      <c r="U22" s="519"/>
      <c r="V22" s="435"/>
      <c r="W22" s="435"/>
      <c r="X22" s="524"/>
      <c r="Y22" s="519"/>
      <c r="Z22" s="435"/>
      <c r="AA22" s="435"/>
      <c r="AB22" s="524"/>
      <c r="AC22" s="519"/>
      <c r="AD22" s="435"/>
      <c r="AE22" s="435"/>
      <c r="AF22" s="435"/>
      <c r="AG22" s="2600"/>
      <c r="AH22" s="2602"/>
      <c r="AI22" s="2602"/>
      <c r="AJ22" s="2602"/>
      <c r="AK22" s="2600"/>
      <c r="AL22" s="2602"/>
      <c r="AM22" s="2602"/>
      <c r="AN22" s="2602"/>
      <c r="AO22" s="2600"/>
      <c r="AP22" s="110"/>
      <c r="AQ22" s="110"/>
      <c r="AR22" s="469"/>
      <c r="AS22" s="505"/>
      <c r="AT22" s="110"/>
      <c r="AU22" s="110"/>
      <c r="AV22" s="469"/>
      <c r="AW22" s="505"/>
      <c r="AX22" s="110"/>
      <c r="AY22" s="110"/>
      <c r="AZ22" s="469"/>
      <c r="BA22" s="505"/>
      <c r="BB22" s="110"/>
      <c r="BC22" s="110"/>
      <c r="BD22" s="469"/>
      <c r="BE22"/>
      <c r="BF22" s="320"/>
      <c r="BG22" s="503"/>
      <c r="BH22" s="409"/>
      <c r="BI22" s="409"/>
      <c r="BJ22" s="409"/>
      <c r="BK22" s="409"/>
      <c r="BL22" s="409"/>
      <c r="BM22" s="409"/>
      <c r="BN22" s="409"/>
      <c r="BO22" s="409"/>
      <c r="BP22" s="409"/>
      <c r="BQ22" s="110"/>
      <c r="BR22" s="110"/>
      <c r="BS22" s="110"/>
      <c r="BT22" s="110"/>
      <c r="BU22" s="110"/>
      <c r="BV22" s="110"/>
      <c r="BW22" s="110"/>
      <c r="BX22" s="110"/>
      <c r="BY22" s="110"/>
      <c r="BZ22" s="469"/>
      <c r="CA22" s="83"/>
      <c r="CB22" s="1363"/>
      <c r="CC22" s="83"/>
      <c r="CD22" s="83"/>
      <c r="CE22" s="83"/>
      <c r="CF22" s="83"/>
      <c r="CG22" s="1769"/>
      <c r="CH22" s="1769"/>
      <c r="CI22" s="1769"/>
      <c r="CJ22" s="1363"/>
      <c r="CK22" s="1364"/>
      <c r="CL22" s="403"/>
      <c r="CM22" s="403"/>
      <c r="CN22" s="403"/>
      <c r="CO22" s="403"/>
      <c r="CP22" s="403"/>
      <c r="CQ22" s="403"/>
      <c r="CR22" s="403"/>
    </row>
    <row r="23" spans="1:96" s="225" customFormat="1" ht="11.25" customHeight="1" collapsed="1">
      <c r="A23" s="81"/>
      <c r="B23"/>
      <c r="C23"/>
      <c r="D23"/>
      <c r="E23"/>
      <c r="F23"/>
      <c r="G23"/>
      <c r="H23" s="81"/>
      <c r="I23" s="457" t="s">
        <v>207</v>
      </c>
      <c r="J23" s="321"/>
      <c r="K23" s="321"/>
      <c r="L23" s="321"/>
      <c r="M23" s="436">
        <v>9.1359999999999992</v>
      </c>
      <c r="N23" s="436">
        <v>10.726999999999999</v>
      </c>
      <c r="O23" s="436">
        <v>12.594000000000001</v>
      </c>
      <c r="P23" s="713">
        <v>15.274000000000001</v>
      </c>
      <c r="Q23" s="436">
        <v>16.5</v>
      </c>
      <c r="R23" s="436">
        <v>19.577999999999999</v>
      </c>
      <c r="S23" s="436">
        <v>22.302</v>
      </c>
      <c r="T23" s="436">
        <v>24.905000000000001</v>
      </c>
      <c r="U23" s="712">
        <v>27.384999999999998</v>
      </c>
      <c r="V23" s="436">
        <v>32.652999999999999</v>
      </c>
      <c r="W23" s="436">
        <v>36.371000000000002</v>
      </c>
      <c r="X23" s="713">
        <v>41.156999999999996</v>
      </c>
      <c r="Y23" s="518">
        <v>46.133000000000003</v>
      </c>
      <c r="Z23" s="437">
        <v>55.023000000000003</v>
      </c>
      <c r="AA23" s="437">
        <v>61.180999999999997</v>
      </c>
      <c r="AB23" s="437">
        <v>70.650999999999996</v>
      </c>
      <c r="AC23" s="518">
        <v>76.406999999999996</v>
      </c>
      <c r="AD23" s="437">
        <v>88.787000000000006</v>
      </c>
      <c r="AE23" s="437">
        <v>102.455</v>
      </c>
      <c r="AF23" s="437">
        <v>109.887</v>
      </c>
      <c r="AG23" s="2598">
        <v>111.8</v>
      </c>
      <c r="AH23" s="2599">
        <v>125.6</v>
      </c>
      <c r="AI23" s="2599">
        <v>134.6</v>
      </c>
      <c r="AJ23" s="2295">
        <v>146.69999999999999</v>
      </c>
      <c r="AK23" s="2598">
        <v>158.613</v>
      </c>
      <c r="AL23" s="2294">
        <v>173.428</v>
      </c>
      <c r="AM23" s="2294">
        <v>186.232</v>
      </c>
      <c r="AN23" s="2294">
        <v>194.79599999999999</v>
      </c>
      <c r="AO23" s="2598">
        <v>197.32300000000001</v>
      </c>
      <c r="AP23" s="2294">
        <v>208.864</v>
      </c>
      <c r="AQ23" s="2294">
        <v>222.38</v>
      </c>
      <c r="AR23" s="2294">
        <v>218.24600000000001</v>
      </c>
      <c r="AS23" s="750">
        <f t="shared" ref="AS23:BD23" si="18">SUM(AS24:AS26)</f>
        <v>221.2</v>
      </c>
      <c r="AT23" s="322">
        <f t="shared" si="18"/>
        <v>231.4</v>
      </c>
      <c r="AU23" s="322">
        <f t="shared" si="18"/>
        <v>248</v>
      </c>
      <c r="AV23" s="734">
        <f t="shared" si="18"/>
        <v>259.39999999999998</v>
      </c>
      <c r="AW23" s="750">
        <f t="shared" si="18"/>
        <v>262.2</v>
      </c>
      <c r="AX23" s="322">
        <f t="shared" si="18"/>
        <v>271</v>
      </c>
      <c r="AY23" s="322">
        <f t="shared" si="18"/>
        <v>286.8</v>
      </c>
      <c r="AZ23" s="734">
        <f t="shared" si="18"/>
        <v>296.39999999999998</v>
      </c>
      <c r="BA23" s="750">
        <f t="shared" si="18"/>
        <v>298.39999999999998</v>
      </c>
      <c r="BB23" s="322">
        <f t="shared" si="18"/>
        <v>307.40000000000003</v>
      </c>
      <c r="BC23" s="322">
        <f t="shared" si="18"/>
        <v>322.8</v>
      </c>
      <c r="BD23" s="734">
        <f t="shared" si="18"/>
        <v>332</v>
      </c>
      <c r="BE23"/>
      <c r="BF23" s="105"/>
      <c r="BG23" s="470">
        <v>0.443</v>
      </c>
      <c r="BH23" s="427">
        <v>3.7450000000000001</v>
      </c>
      <c r="BI23" s="431">
        <v>12.139000000000001</v>
      </c>
      <c r="BJ23" s="431">
        <v>25.808000000000003</v>
      </c>
      <c r="BK23" s="431">
        <f>SUM(M23:P23)</f>
        <v>47.731000000000002</v>
      </c>
      <c r="BL23" s="431">
        <f>SUM(Q23:T23)</f>
        <v>83.284999999999997</v>
      </c>
      <c r="BM23" s="431">
        <f>SUM(U23:X23)</f>
        <v>137.56599999999997</v>
      </c>
      <c r="BN23" s="431">
        <f>SUM(Y23:AB23)</f>
        <v>232.988</v>
      </c>
      <c r="BO23" s="431">
        <f>SUM(AC23:AF23)</f>
        <v>377.536</v>
      </c>
      <c r="BP23" s="68">
        <f>SUM(AG23:AJ23)</f>
        <v>518.70000000000005</v>
      </c>
      <c r="BQ23" s="68">
        <f>SUM(AK23:AN23)</f>
        <v>713.06899999999996</v>
      </c>
      <c r="BR23" s="68">
        <f>SUM(AO23:AR23)</f>
        <v>846.81299999999999</v>
      </c>
      <c r="BS23" s="68">
        <f>SUM(AS23:AV23)</f>
        <v>960</v>
      </c>
      <c r="BT23" s="68">
        <f>SUM(AW23:AZ23)</f>
        <v>1116.4000000000001</v>
      </c>
      <c r="BU23" s="68">
        <f>SUM(BA23:BD23)</f>
        <v>1260.5999999999999</v>
      </c>
      <c r="BV23" s="68">
        <f>SUM(BV24:BV26)</f>
        <v>1400.6</v>
      </c>
      <c r="BW23" s="68">
        <f>SUM(BW24:BW26)</f>
        <v>1537.6</v>
      </c>
      <c r="BX23" s="68">
        <f>SUM(BX24:BX26)</f>
        <v>1670.6</v>
      </c>
      <c r="BY23" s="68">
        <f>SUM(BY24:BY26)</f>
        <v>1799.6</v>
      </c>
      <c r="BZ23" s="475">
        <f>SUM(BZ24:BZ26)</f>
        <v>1925.6</v>
      </c>
      <c r="CA23" s="83"/>
      <c r="CB23" s="2261">
        <f>IF(ISERROR(RATE(5,,-BP23,BU23)),"NM",(RATE(5,,-BP23,BU23)))</f>
        <v>0.19435164199410504</v>
      </c>
      <c r="CC23" s="83"/>
      <c r="CD23" s="83"/>
      <c r="CE23" s="83"/>
      <c r="CF23" s="83"/>
      <c r="CG23" s="1769"/>
      <c r="CH23" s="1769"/>
      <c r="CI23" s="1769"/>
      <c r="CJ23" s="1363">
        <f>RATE(2,,-BM23,BO23)</f>
        <v>0.65662278509361671</v>
      </c>
      <c r="CK23" s="1364">
        <f>RATE(4,,-BO23,BS23)</f>
        <v>0.26278151440844533</v>
      </c>
      <c r="CL23" s="75">
        <f t="shared" ref="CL23:CQ23" si="19">IF(ISERROR(RATE(3,,-BL23,BO23)),"NM",(RATE(3,,-BL23,BO23)))</f>
        <v>0.65499693326849895</v>
      </c>
      <c r="CM23" s="75">
        <f t="shared" si="19"/>
        <v>0.55644954257198587</v>
      </c>
      <c r="CN23" s="75">
        <f t="shared" si="19"/>
        <v>0.45188650189823898</v>
      </c>
      <c r="CO23" s="75">
        <f t="shared" si="19"/>
        <v>0.30901025469906773</v>
      </c>
      <c r="CP23" s="75">
        <f t="shared" si="19"/>
        <v>0.22777370615442566</v>
      </c>
      <c r="CQ23" s="75">
        <f t="shared" si="19"/>
        <v>0.16117075834531464</v>
      </c>
      <c r="CR23" s="75">
        <f>IF(ISERROR(RATE(3,,-BR23,BU23)),"NM",(RATE(3,,-BR23,BU23)))</f>
        <v>0.14181723841464564</v>
      </c>
    </row>
    <row r="24" spans="1:96" s="225" customFormat="1" ht="11.25" customHeight="1">
      <c r="A24" s="81"/>
      <c r="B24"/>
      <c r="C24"/>
      <c r="D24"/>
      <c r="E24"/>
      <c r="F24"/>
      <c r="G24"/>
      <c r="H24" s="81"/>
      <c r="I24" s="459" t="s">
        <v>676</v>
      </c>
      <c r="J24" s="63"/>
      <c r="K24" s="64"/>
      <c r="L24" s="64"/>
      <c r="M24" s="435"/>
      <c r="N24" s="435"/>
      <c r="O24" s="435"/>
      <c r="P24" s="524"/>
      <c r="Q24" s="435"/>
      <c r="R24" s="435"/>
      <c r="S24" s="435"/>
      <c r="T24" s="435"/>
      <c r="U24" s="519"/>
      <c r="V24" s="435"/>
      <c r="W24" s="435"/>
      <c r="X24" s="524"/>
      <c r="Y24" s="519"/>
      <c r="Z24" s="435"/>
      <c r="AA24" s="435"/>
      <c r="AB24" s="524"/>
      <c r="AC24" s="519"/>
      <c r="AD24" s="435"/>
      <c r="AE24" s="435"/>
      <c r="AF24" s="435"/>
      <c r="AG24" s="2600">
        <v>104.3</v>
      </c>
      <c r="AH24" s="2602">
        <v>113.5</v>
      </c>
      <c r="AI24" s="2602">
        <v>121.9</v>
      </c>
      <c r="AJ24" s="2602">
        <v>131.69999999999999</v>
      </c>
      <c r="AK24" s="2600">
        <v>143</v>
      </c>
      <c r="AL24" s="2602">
        <v>156.69999999999999</v>
      </c>
      <c r="AM24" s="2602">
        <v>169</v>
      </c>
      <c r="AN24" s="2602">
        <v>176.5</v>
      </c>
      <c r="AO24" s="2600">
        <v>177</v>
      </c>
      <c r="AP24" s="2602">
        <v>186.6</v>
      </c>
      <c r="AQ24" s="2602">
        <v>199.6</v>
      </c>
      <c r="AR24" s="2606">
        <v>208.4</v>
      </c>
      <c r="AS24" s="2674">
        <f>'Revenue drivers'!AS67</f>
        <v>212</v>
      </c>
      <c r="AT24" s="2674">
        <f>'Revenue drivers'!AT67</f>
        <v>219.6</v>
      </c>
      <c r="AU24" s="2674">
        <f>'Revenue drivers'!AU67</f>
        <v>233.6</v>
      </c>
      <c r="AV24" s="2675">
        <f>'Revenue drivers'!AV67</f>
        <v>242.4</v>
      </c>
      <c r="AW24" s="2674">
        <f>'Revenue drivers'!AW67</f>
        <v>244</v>
      </c>
      <c r="AX24" s="2674">
        <f>'Revenue drivers'!AX67</f>
        <v>251.6</v>
      </c>
      <c r="AY24" s="2674">
        <f>'Revenue drivers'!AY67</f>
        <v>266.10000000000002</v>
      </c>
      <c r="AZ24" s="2675">
        <f>'Revenue drivers'!AZ67</f>
        <v>274.39999999999998</v>
      </c>
      <c r="BA24" s="2674">
        <f>'Revenue drivers'!BA67</f>
        <v>275</v>
      </c>
      <c r="BB24" s="2674">
        <f>'Revenue drivers'!BB67</f>
        <v>282.60000000000002</v>
      </c>
      <c r="BC24" s="2674">
        <f>'Revenue drivers'!BC67</f>
        <v>296.60000000000002</v>
      </c>
      <c r="BD24" s="2675">
        <f>'Revenue drivers'!BD67</f>
        <v>304.39999999999998</v>
      </c>
      <c r="BE24"/>
      <c r="BF24" s="320"/>
      <c r="BG24" s="503"/>
      <c r="BH24" s="409"/>
      <c r="BI24" s="409"/>
      <c r="BJ24" s="409"/>
      <c r="BK24" s="409"/>
      <c r="BL24" s="409"/>
      <c r="BM24" s="409"/>
      <c r="BN24" s="409"/>
      <c r="BO24" s="409"/>
      <c r="BP24" s="409">
        <f>SUM(AG24:AJ24)</f>
        <v>471.40000000000003</v>
      </c>
      <c r="BQ24" s="110">
        <f>SUM(AK24:AN24)</f>
        <v>645.20000000000005</v>
      </c>
      <c r="BR24" s="110">
        <f>SUM(AO24:AR24)</f>
        <v>771.6</v>
      </c>
      <c r="BS24" s="110">
        <f>SUM(AS24:AV24)</f>
        <v>907.6</v>
      </c>
      <c r="BT24" s="110">
        <f>SUM(AW24:AZ24)</f>
        <v>1036.0999999999999</v>
      </c>
      <c r="BU24" s="110">
        <f>SUM(BA24:BD24)</f>
        <v>1158.5999999999999</v>
      </c>
      <c r="BV24" s="439">
        <f>'Revenue drivers'!BU67</f>
        <v>1276.5999999999999</v>
      </c>
      <c r="BW24" s="439">
        <f>'Revenue drivers'!BV67</f>
        <v>1390.6</v>
      </c>
      <c r="BX24" s="439">
        <f>'Revenue drivers'!BW67</f>
        <v>1499.6</v>
      </c>
      <c r="BY24" s="439">
        <f>'Revenue drivers'!BX67</f>
        <v>1603.6</v>
      </c>
      <c r="BZ24" s="461">
        <f>'Revenue drivers'!BY67</f>
        <v>1703.6</v>
      </c>
      <c r="CA24" s="83"/>
      <c r="CB24" s="1363">
        <f>IF(ISERROR(RATE(5,,-BP24,BU24)),"NM",(RATE(5,,-BP24,BU24)))</f>
        <v>0.1970403480263489</v>
      </c>
      <c r="CC24" s="83"/>
      <c r="CD24" s="83"/>
      <c r="CE24" s="83"/>
      <c r="CF24" s="83"/>
      <c r="CG24" s="1769"/>
      <c r="CH24" s="1769"/>
      <c r="CI24" s="1769"/>
      <c r="CJ24" s="1363"/>
      <c r="CK24" s="1364"/>
      <c r="CL24" s="403"/>
      <c r="CM24" s="403"/>
      <c r="CN24" s="403"/>
      <c r="CO24" s="403"/>
      <c r="CP24" s="403"/>
      <c r="CQ24" s="403"/>
      <c r="CR24" s="403"/>
    </row>
    <row r="25" spans="1:96" s="225" customFormat="1" ht="11.25" customHeight="1">
      <c r="A25" s="81"/>
      <c r="B25"/>
      <c r="C25"/>
      <c r="D25"/>
      <c r="E25"/>
      <c r="F25"/>
      <c r="G25"/>
      <c r="H25" s="81"/>
      <c r="I25" s="459" t="s">
        <v>674</v>
      </c>
      <c r="J25" s="63"/>
      <c r="K25" s="64"/>
      <c r="L25" s="64"/>
      <c r="M25" s="435"/>
      <c r="N25" s="435"/>
      <c r="O25" s="435"/>
      <c r="P25" s="524"/>
      <c r="Q25" s="435"/>
      <c r="R25" s="435"/>
      <c r="S25" s="435"/>
      <c r="T25" s="435"/>
      <c r="U25" s="519"/>
      <c r="V25" s="435"/>
      <c r="W25" s="435"/>
      <c r="X25" s="524"/>
      <c r="Y25" s="519"/>
      <c r="Z25" s="435"/>
      <c r="AA25" s="435"/>
      <c r="AB25" s="524"/>
      <c r="AC25" s="519"/>
      <c r="AD25" s="435"/>
      <c r="AE25" s="435"/>
      <c r="AF25" s="435"/>
      <c r="AG25" s="2600">
        <v>6.6</v>
      </c>
      <c r="AH25" s="2602">
        <v>11.3</v>
      </c>
      <c r="AI25" s="2602">
        <v>12</v>
      </c>
      <c r="AJ25" s="2602">
        <v>14</v>
      </c>
      <c r="AK25" s="2600">
        <v>14.5</v>
      </c>
      <c r="AL25" s="2602">
        <v>15.5</v>
      </c>
      <c r="AM25" s="2602">
        <v>15.9</v>
      </c>
      <c r="AN25" s="2602">
        <v>16.600000000000001</v>
      </c>
      <c r="AO25" s="2600">
        <v>18.100000000000001</v>
      </c>
      <c r="AP25" s="2602">
        <v>18.399999999999999</v>
      </c>
      <c r="AQ25" s="2602">
        <v>18.5</v>
      </c>
      <c r="AR25" s="2606">
        <v>5.2</v>
      </c>
      <c r="AS25" s="2674">
        <f>'Revenue drivers'!AS117</f>
        <v>4</v>
      </c>
      <c r="AT25" s="2674">
        <f>'Revenue drivers'!AT117</f>
        <v>6</v>
      </c>
      <c r="AU25" s="2674">
        <f>'Revenue drivers'!AU117</f>
        <v>8</v>
      </c>
      <c r="AV25" s="2675">
        <f>'Revenue drivers'!AV117</f>
        <v>10</v>
      </c>
      <c r="AW25" s="2674">
        <f>'Revenue drivers'!AW117</f>
        <v>10.6</v>
      </c>
      <c r="AX25" s="2674">
        <f>'Revenue drivers'!AX117</f>
        <v>11.2</v>
      </c>
      <c r="AY25" s="2674">
        <f>'Revenue drivers'!AY117</f>
        <v>11.899999999999999</v>
      </c>
      <c r="AZ25" s="2675">
        <f>'Revenue drivers'!AZ117</f>
        <v>12.599999999999998</v>
      </c>
      <c r="BA25" s="2674">
        <f>'Revenue drivers'!BA117</f>
        <v>13.399999999999999</v>
      </c>
      <c r="BB25" s="2674">
        <f>'Revenue drivers'!BB117</f>
        <v>14.2</v>
      </c>
      <c r="BC25" s="2674">
        <f>'Revenue drivers'!BC117</f>
        <v>15</v>
      </c>
      <c r="BD25" s="2675">
        <f>'Revenue drivers'!BD117</f>
        <v>15.8</v>
      </c>
      <c r="BE25"/>
      <c r="BF25" s="320"/>
      <c r="BG25" s="503"/>
      <c r="BH25" s="409"/>
      <c r="BI25" s="409"/>
      <c r="BJ25" s="409"/>
      <c r="BK25" s="409"/>
      <c r="BL25" s="409"/>
      <c r="BM25" s="409"/>
      <c r="BN25" s="409"/>
      <c r="BO25" s="409"/>
      <c r="BP25" s="409">
        <f>SUM(AG25:AJ25)</f>
        <v>43.9</v>
      </c>
      <c r="BQ25" s="110">
        <f>SUM(AK25:AN25)</f>
        <v>62.5</v>
      </c>
      <c r="BR25" s="110">
        <f>SUM(AO25:AR25)</f>
        <v>60.2</v>
      </c>
      <c r="BS25" s="110">
        <f>SUM(AS25:AV25)</f>
        <v>28</v>
      </c>
      <c r="BT25" s="110">
        <f>SUM(AW25:AZ25)</f>
        <v>46.3</v>
      </c>
      <c r="BU25" s="110">
        <f>SUM(BA25:BD25)</f>
        <v>58.399999999999991</v>
      </c>
      <c r="BV25" s="439">
        <f>'Revenue drivers'!BU117</f>
        <v>70.399999999999991</v>
      </c>
      <c r="BW25" s="439">
        <f>'Revenue drivers'!BV117</f>
        <v>82.399999999999991</v>
      </c>
      <c r="BX25" s="439">
        <f>'Revenue drivers'!BW117</f>
        <v>94.399999999999991</v>
      </c>
      <c r="BY25" s="439">
        <f>'Revenue drivers'!BX117</f>
        <v>106.39999999999999</v>
      </c>
      <c r="BZ25" s="461">
        <f>'Revenue drivers'!BY117</f>
        <v>118.39999999999999</v>
      </c>
      <c r="CA25" s="83"/>
      <c r="CB25" s="1363">
        <f>IF(ISERROR(RATE(5,,-BP25,BU25)),"NM",(RATE(5,,-BP25,BU25)))</f>
        <v>5.8740838640403331E-2</v>
      </c>
      <c r="CC25" s="83"/>
      <c r="CD25" s="83"/>
      <c r="CE25" s="83"/>
      <c r="CF25" s="83"/>
      <c r="CG25" s="1769"/>
      <c r="CH25" s="1769"/>
      <c r="CI25" s="1769"/>
      <c r="CJ25" s="1363"/>
      <c r="CK25" s="1364"/>
      <c r="CL25" s="403"/>
      <c r="CM25" s="403"/>
      <c r="CN25" s="403"/>
      <c r="CO25" s="403"/>
      <c r="CP25" s="403"/>
      <c r="CQ25" s="403"/>
      <c r="CR25" s="403"/>
    </row>
    <row r="26" spans="1:96" s="225" customFormat="1" ht="11.25" customHeight="1">
      <c r="A26" s="81"/>
      <c r="B26"/>
      <c r="C26"/>
      <c r="D26"/>
      <c r="E26"/>
      <c r="F26"/>
      <c r="G26"/>
      <c r="H26" s="81"/>
      <c r="I26" s="459" t="s">
        <v>675</v>
      </c>
      <c r="J26" s="63"/>
      <c r="K26" s="64"/>
      <c r="L26" s="64"/>
      <c r="M26" s="435"/>
      <c r="N26" s="435"/>
      <c r="O26" s="435"/>
      <c r="P26" s="524"/>
      <c r="Q26" s="435"/>
      <c r="R26" s="435"/>
      <c r="S26" s="435"/>
      <c r="T26" s="435"/>
      <c r="U26" s="519"/>
      <c r="V26" s="435"/>
      <c r="W26" s="435"/>
      <c r="X26" s="524"/>
      <c r="Y26" s="519"/>
      <c r="Z26" s="435"/>
      <c r="AA26" s="435"/>
      <c r="AB26" s="524"/>
      <c r="AC26" s="519"/>
      <c r="AD26" s="435"/>
      <c r="AE26" s="435"/>
      <c r="AF26" s="435"/>
      <c r="AG26" s="2600">
        <v>0.9</v>
      </c>
      <c r="AH26" s="2602">
        <v>0.8</v>
      </c>
      <c r="AI26" s="2602">
        <v>0.7</v>
      </c>
      <c r="AJ26" s="2602">
        <v>1</v>
      </c>
      <c r="AK26" s="2600">
        <v>1.1000000000000001</v>
      </c>
      <c r="AL26" s="2602">
        <v>1.2</v>
      </c>
      <c r="AM26" s="2602">
        <v>1.4</v>
      </c>
      <c r="AN26" s="2602">
        <v>1.7</v>
      </c>
      <c r="AO26" s="2600">
        <v>2.2000000000000002</v>
      </c>
      <c r="AP26" s="2602">
        <v>3.8</v>
      </c>
      <c r="AQ26" s="2602">
        <v>4.3</v>
      </c>
      <c r="AR26" s="2606">
        <v>4.5999999999999996</v>
      </c>
      <c r="AS26" s="2674">
        <f>'Revenue drivers'!AS136</f>
        <v>5.1999999999999993</v>
      </c>
      <c r="AT26" s="2674">
        <f>'Revenue drivers'!AT136</f>
        <v>5.7999999999999989</v>
      </c>
      <c r="AU26" s="2674">
        <f>'Revenue drivers'!AU136</f>
        <v>6.3999999999999986</v>
      </c>
      <c r="AV26" s="2675">
        <f>'Revenue drivers'!AV136</f>
        <v>6.9999999999999982</v>
      </c>
      <c r="AW26" s="2674">
        <f>'Revenue drivers'!AW136</f>
        <v>7.5999999999999979</v>
      </c>
      <c r="AX26" s="2674">
        <f>'Revenue drivers'!AX136</f>
        <v>8.1999999999999975</v>
      </c>
      <c r="AY26" s="2674">
        <f>'Revenue drivers'!AY136</f>
        <v>8.7999999999999972</v>
      </c>
      <c r="AZ26" s="2675">
        <f>'Revenue drivers'!AZ136</f>
        <v>9.3999999999999968</v>
      </c>
      <c r="BA26" s="2674">
        <f>'Revenue drivers'!BA136</f>
        <v>9.9999999999999964</v>
      </c>
      <c r="BB26" s="2674">
        <f>'Revenue drivers'!BB136</f>
        <v>10.599999999999996</v>
      </c>
      <c r="BC26" s="2674">
        <f>'Revenue drivers'!BC136</f>
        <v>11.199999999999996</v>
      </c>
      <c r="BD26" s="2675">
        <f>'Revenue drivers'!BD136</f>
        <v>11.799999999999995</v>
      </c>
      <c r="BE26"/>
      <c r="BF26" s="320"/>
      <c r="BG26" s="503"/>
      <c r="BH26" s="409"/>
      <c r="BI26" s="409"/>
      <c r="BJ26" s="409"/>
      <c r="BK26" s="409"/>
      <c r="BL26" s="409"/>
      <c r="BM26" s="409"/>
      <c r="BN26" s="409"/>
      <c r="BO26" s="409"/>
      <c r="BP26" s="409">
        <f>SUM(AG26:AJ26)</f>
        <v>3.4000000000000004</v>
      </c>
      <c r="BQ26" s="110">
        <f>SUM(AK26:AN26)</f>
        <v>5.3999999999999995</v>
      </c>
      <c r="BR26" s="110">
        <f>SUM(AO26:AR26)</f>
        <v>14.9</v>
      </c>
      <c r="BS26" s="110">
        <f>SUM(AS26:AV26)</f>
        <v>24.4</v>
      </c>
      <c r="BT26" s="110">
        <f>SUM(AW26:AZ26)</f>
        <v>33.999999999999993</v>
      </c>
      <c r="BU26" s="110">
        <f>SUM(BA26:BD26)</f>
        <v>43.599999999999987</v>
      </c>
      <c r="BV26" s="439">
        <f>'Revenue drivers'!BU136</f>
        <v>53.599999999999987</v>
      </c>
      <c r="BW26" s="439">
        <f>'Revenue drivers'!BV136</f>
        <v>64.599999999999994</v>
      </c>
      <c r="BX26" s="439">
        <f>'Revenue drivers'!BW136</f>
        <v>76.599999999999994</v>
      </c>
      <c r="BY26" s="439">
        <f>'Revenue drivers'!BX136</f>
        <v>89.6</v>
      </c>
      <c r="BZ26" s="461">
        <f>'Revenue drivers'!BY136</f>
        <v>103.6</v>
      </c>
      <c r="CA26" s="83"/>
      <c r="CB26" s="1363">
        <f>IF(ISERROR(RATE(5,,-BP26,BU26)),"NM",(RATE(5,,-BP26,BU26)))</f>
        <v>0.66571813664951618</v>
      </c>
      <c r="CC26" s="83"/>
      <c r="CD26" s="83"/>
      <c r="CE26" s="83"/>
      <c r="CF26" s="83"/>
      <c r="CG26" s="1769"/>
      <c r="CH26" s="1769"/>
      <c r="CI26" s="1769"/>
      <c r="CJ26" s="1363"/>
      <c r="CK26" s="1364"/>
      <c r="CL26" s="403"/>
      <c r="CM26" s="403"/>
      <c r="CN26" s="403"/>
      <c r="CO26" s="403"/>
      <c r="CP26" s="403"/>
      <c r="CQ26" s="403"/>
      <c r="CR26" s="403"/>
    </row>
    <row r="27" spans="1:96" s="225" customFormat="1" ht="11.25" customHeight="1">
      <c r="A27" s="81"/>
      <c r="B27"/>
      <c r="C27"/>
      <c r="D27"/>
      <c r="E27"/>
      <c r="F27"/>
      <c r="G27"/>
      <c r="H27" s="81"/>
      <c r="I27" s="457"/>
      <c r="J27" s="321"/>
      <c r="K27" s="321"/>
      <c r="L27" s="321"/>
      <c r="M27" s="65"/>
      <c r="N27" s="65"/>
      <c r="O27" s="65"/>
      <c r="P27" s="714"/>
      <c r="Q27" s="65"/>
      <c r="R27" s="65"/>
      <c r="S27" s="65"/>
      <c r="T27" s="65"/>
      <c r="U27" s="474"/>
      <c r="V27" s="65"/>
      <c r="W27" s="65"/>
      <c r="X27" s="714"/>
      <c r="Y27" s="511"/>
      <c r="Z27" s="74"/>
      <c r="AA27" s="74"/>
      <c r="AB27" s="481"/>
      <c r="AC27" s="511"/>
      <c r="AD27" s="74"/>
      <c r="AE27" s="74"/>
      <c r="AF27" s="462"/>
      <c r="AG27" s="1613"/>
      <c r="AH27" s="399"/>
      <c r="AI27" s="399"/>
      <c r="AJ27" s="462"/>
      <c r="AK27" s="502"/>
      <c r="AL27" s="399"/>
      <c r="AM27" s="399"/>
      <c r="AN27" s="462"/>
      <c r="AO27" s="502"/>
      <c r="AP27" s="399"/>
      <c r="AQ27" s="399"/>
      <c r="AR27" s="462"/>
      <c r="AS27" s="502"/>
      <c r="AT27" s="399"/>
      <c r="AU27" s="399"/>
      <c r="AV27" s="462"/>
      <c r="AW27" s="502"/>
      <c r="AX27" s="399"/>
      <c r="AY27" s="399"/>
      <c r="AZ27" s="462"/>
      <c r="BA27" s="502"/>
      <c r="BB27" s="399"/>
      <c r="BC27" s="399"/>
      <c r="BD27" s="462"/>
      <c r="BE27"/>
      <c r="BF27" s="105"/>
      <c r="BG27" s="474"/>
      <c r="BH27" s="65"/>
      <c r="BI27" s="65"/>
      <c r="BJ27" s="65"/>
      <c r="BK27" s="65"/>
      <c r="BL27" s="65"/>
      <c r="BM27" s="65"/>
      <c r="BN27" s="65"/>
      <c r="BO27" s="68"/>
      <c r="BP27" s="68"/>
      <c r="BQ27" s="68"/>
      <c r="BR27" s="68"/>
      <c r="BS27" s="68"/>
      <c r="BT27" s="68"/>
      <c r="BU27" s="68"/>
      <c r="BV27" s="68"/>
      <c r="BW27" s="68"/>
      <c r="BX27" s="68"/>
      <c r="BY27" s="68"/>
      <c r="BZ27" s="475"/>
      <c r="CA27" s="83"/>
      <c r="CB27" s="1365"/>
      <c r="CC27" s="83"/>
      <c r="CD27" s="83"/>
      <c r="CE27" s="83"/>
      <c r="CF27" s="83"/>
      <c r="CG27" s="1769"/>
      <c r="CH27" s="1769"/>
      <c r="CI27" s="1769"/>
      <c r="CJ27" s="1365"/>
      <c r="CK27" s="1364"/>
      <c r="CL27" s="75"/>
      <c r="CM27" s="75"/>
      <c r="CN27" s="75"/>
      <c r="CO27" s="75"/>
      <c r="CP27" s="75"/>
      <c r="CQ27" s="75"/>
      <c r="CR27" s="75"/>
    </row>
    <row r="28" spans="1:96" s="224" customFormat="1" ht="11.25" customHeight="1">
      <c r="A28" s="426"/>
      <c r="B28"/>
      <c r="C28"/>
      <c r="D28"/>
      <c r="E28"/>
      <c r="F28"/>
      <c r="G28"/>
      <c r="H28" s="426"/>
      <c r="I28" s="463" t="s">
        <v>301</v>
      </c>
      <c r="J28" s="432"/>
      <c r="K28" s="432"/>
      <c r="L28" s="432"/>
      <c r="M28" s="427">
        <f>'Expense drivers'!M220</f>
        <v>0.56699999999999995</v>
      </c>
      <c r="N28" s="427">
        <f>'Expense drivers'!N220</f>
        <v>0.71299999999999997</v>
      </c>
      <c r="O28" s="427">
        <f>'Expense drivers'!O220</f>
        <v>0.87</v>
      </c>
      <c r="P28" s="464">
        <f>'Expense drivers'!P220</f>
        <v>0.96099999999999997</v>
      </c>
      <c r="Q28" s="427">
        <f>'Expense drivers'!Q220</f>
        <v>1.2670000000000001</v>
      </c>
      <c r="R28" s="427">
        <f>'Expense drivers'!R220</f>
        <v>1.274</v>
      </c>
      <c r="S28" s="427">
        <f>'Expense drivers'!S220</f>
        <v>1.524</v>
      </c>
      <c r="T28" s="427">
        <f>'Expense drivers'!T220</f>
        <v>1.8160000000000001</v>
      </c>
      <c r="U28" s="470">
        <f>'Expense drivers'!U220</f>
        <v>2.1029999999999998</v>
      </c>
      <c r="V28" s="427">
        <f>'Expense drivers'!V220</f>
        <v>2.2629999999999999</v>
      </c>
      <c r="W28" s="427">
        <f>'Expense drivers'!W220</f>
        <v>2.4739999999999998</v>
      </c>
      <c r="X28" s="464">
        <f>'Expense drivers'!X220</f>
        <v>2.9650000000000003</v>
      </c>
      <c r="Y28" s="470">
        <f>'Expense drivers'!Y220</f>
        <v>3.2679999999999998</v>
      </c>
      <c r="Z28" s="427">
        <f>'Expense drivers'!Z220</f>
        <v>3.9129999999999998</v>
      </c>
      <c r="AA28" s="427">
        <f>'Expense drivers'!AA220</f>
        <v>4.173</v>
      </c>
      <c r="AB28" s="464">
        <f>'Expense drivers'!AB220</f>
        <v>4.7860000000000005</v>
      </c>
      <c r="AC28" s="470">
        <f>'Expense drivers'!AC220</f>
        <v>4.9269999999999996</v>
      </c>
      <c r="AD28" s="427">
        <f>'Expense drivers'!AD220</f>
        <v>5.726</v>
      </c>
      <c r="AE28" s="427">
        <f>'Expense drivers'!AE220</f>
        <v>5.9210000000000003</v>
      </c>
      <c r="AF28" s="464">
        <f>'Expense drivers'!AF220</f>
        <v>7.0789999999999997</v>
      </c>
      <c r="AG28" s="2603">
        <f>'Expense drivers'!AG220</f>
        <v>8.5749999999999993</v>
      </c>
      <c r="AH28" s="2604">
        <f>'Expense drivers'!AH220</f>
        <v>12.835000000000001</v>
      </c>
      <c r="AI28" s="2604">
        <f>'Expense drivers'!AI220</f>
        <v>13.824</v>
      </c>
      <c r="AJ28" s="2605">
        <f>'Expense drivers'!AJ220</f>
        <v>14.664</v>
      </c>
      <c r="AK28" s="2603">
        <f>'Expense drivers'!AK220</f>
        <v>14.677</v>
      </c>
      <c r="AL28" s="2604">
        <f>'Expense drivers'!AL220</f>
        <v>14.68</v>
      </c>
      <c r="AM28" s="2604">
        <f>'Expense drivers'!AM220</f>
        <v>13.83</v>
      </c>
      <c r="AN28" s="2605">
        <f>'Expense drivers'!AN220</f>
        <v>14.729999999999999</v>
      </c>
      <c r="AO28" s="2603">
        <f>'Expense drivers'!AO220</f>
        <v>15.933000000000002</v>
      </c>
      <c r="AP28" s="2604">
        <f>'Expense drivers'!AP220</f>
        <v>17.099</v>
      </c>
      <c r="AQ28" s="2604">
        <f>'Expense drivers'!AQ220</f>
        <v>18.319000000000003</v>
      </c>
      <c r="AR28" s="2605">
        <f>'Expense drivers'!AR220</f>
        <v>15.157</v>
      </c>
      <c r="AS28" s="470">
        <f>'Expense drivers'!AS220</f>
        <v>17.197367043882355</v>
      </c>
      <c r="AT28" s="427">
        <f>'Expense drivers'!AT220</f>
        <v>18.018347257545578</v>
      </c>
      <c r="AU28" s="427">
        <f>'Expense drivers'!AU220</f>
        <v>19.189499055670481</v>
      </c>
      <c r="AV28" s="464">
        <f>'Expense drivers'!AV220</f>
        <v>17.236910471669582</v>
      </c>
      <c r="AW28" s="470">
        <f>'Expense drivers'!AW220</f>
        <v>19.860544118019682</v>
      </c>
      <c r="AX28" s="427">
        <f>'Expense drivers'!AX220</f>
        <v>20.559867358664007</v>
      </c>
      <c r="AY28" s="427">
        <f>'Expense drivers'!AY220</f>
        <v>21.618127133735054</v>
      </c>
      <c r="AZ28" s="464">
        <f>'Expense drivers'!AZ220</f>
        <v>19.102729158839104</v>
      </c>
      <c r="BA28" s="470">
        <f>'Expense drivers'!BA220</f>
        <v>22.005741437136052</v>
      </c>
      <c r="BB28" s="427">
        <f>'Expense drivers'!BB220</f>
        <v>22.706614118277919</v>
      </c>
      <c r="BC28" s="427">
        <f>'Expense drivers'!BC220</f>
        <v>23.686099577300126</v>
      </c>
      <c r="BD28" s="464">
        <f>'Expense drivers'!BD220</f>
        <v>20.733119030818433</v>
      </c>
      <c r="BE28"/>
      <c r="BF28" s="433"/>
      <c r="BG28" s="470">
        <f>'Expense drivers'!BF220</f>
        <v>0</v>
      </c>
      <c r="BH28" s="427">
        <f>'Expense drivers'!BG220</f>
        <v>0.23200000000000001</v>
      </c>
      <c r="BI28" s="427">
        <f>'Expense drivers'!BH220</f>
        <v>0.60799999999999998</v>
      </c>
      <c r="BJ28" s="427">
        <f>'Expense drivers'!BI220</f>
        <v>1.121</v>
      </c>
      <c r="BK28" s="427">
        <f>'Expense drivers'!BJ220</f>
        <v>3.1109999999999998</v>
      </c>
      <c r="BL28" s="427">
        <f>'Expense drivers'!BK220</f>
        <v>5.8810000000000002</v>
      </c>
      <c r="BM28" s="427">
        <f>'Expense drivers'!BL220</f>
        <v>9.8049999999999997</v>
      </c>
      <c r="BN28" s="427">
        <f>'Expense drivers'!BM220</f>
        <v>16.14</v>
      </c>
      <c r="BO28" s="431">
        <f>'Expense drivers'!BN220</f>
        <v>23.652999999999999</v>
      </c>
      <c r="BP28" s="431">
        <f>'Expense drivers'!BO220</f>
        <v>49.898000000000003</v>
      </c>
      <c r="BQ28" s="431">
        <f>'Expense drivers'!BP220</f>
        <v>57.916999999999994</v>
      </c>
      <c r="BR28" s="431">
        <f>'Expense drivers'!BQ220</f>
        <v>66.50800000000001</v>
      </c>
      <c r="BS28" s="431">
        <f>'Expense drivers'!BR220</f>
        <v>71.642123828768007</v>
      </c>
      <c r="BT28" s="431">
        <f>'Expense drivers'!BS220</f>
        <v>81.141267769257837</v>
      </c>
      <c r="BU28" s="431">
        <f>'Expense drivers'!BT220</f>
        <v>89.131574163532534</v>
      </c>
      <c r="BV28" s="431">
        <f>'Expense drivers'!BU220</f>
        <v>96.229168692244798</v>
      </c>
      <c r="BW28" s="431">
        <f>'Expense drivers'!BV220</f>
        <v>102.56664619534172</v>
      </c>
      <c r="BX28" s="431">
        <f>'Expense drivers'!BW220</f>
        <v>108.09730099761828</v>
      </c>
      <c r="BY28" s="431">
        <f>'Expense drivers'!BX220</f>
        <v>114.6447330990745</v>
      </c>
      <c r="BZ28" s="730">
        <f>'Expense drivers'!BY220</f>
        <v>120.74604817491546</v>
      </c>
      <c r="CA28" s="226"/>
      <c r="CB28" s="2261">
        <f>IF(ISERROR(RATE(5,,-BP28,BU28)),"NM",(RATE(5,,-BP28,BU28)))</f>
        <v>0.12302568080463037</v>
      </c>
      <c r="CC28" s="226"/>
      <c r="CD28" s="226"/>
      <c r="CE28" s="226"/>
      <c r="CF28" s="226"/>
      <c r="CG28" s="1134"/>
      <c r="CH28" s="1134"/>
      <c r="CI28" s="1134"/>
      <c r="CJ28" s="1363">
        <f>RATE(2,,-BM28,BO28)</f>
        <v>0.55317115686884966</v>
      </c>
      <c r="CK28" s="1364">
        <f>RATE(4,,-BO28,BS28)</f>
        <v>0.3192301100128288</v>
      </c>
      <c r="CL28" s="430">
        <f t="shared" ref="CL28:CR29" si="20">IF(ISERROR(RATE(3,,-BL28,BO28)),"NM",(RATE(3,,-BL28,BO28)))</f>
        <v>0.59029740689628674</v>
      </c>
      <c r="CM28" s="430">
        <f t="shared" si="20"/>
        <v>0.72006627268725998</v>
      </c>
      <c r="CN28" s="430">
        <f t="shared" si="20"/>
        <v>0.53097292107884875</v>
      </c>
      <c r="CO28" s="430">
        <f t="shared" si="20"/>
        <v>0.41144042572634182</v>
      </c>
      <c r="CP28" s="430">
        <f t="shared" si="20"/>
        <v>0.12813681273147751</v>
      </c>
      <c r="CQ28" s="430">
        <f t="shared" si="20"/>
        <v>0.11895316821083288</v>
      </c>
      <c r="CR28" s="430">
        <f t="shared" si="20"/>
        <v>0.10251852701568188</v>
      </c>
    </row>
    <row r="29" spans="1:96" s="223" customFormat="1" ht="11.25" customHeight="1">
      <c r="A29" s="81"/>
      <c r="B29"/>
      <c r="C29"/>
      <c r="D29"/>
      <c r="E29"/>
      <c r="F29"/>
      <c r="G29"/>
      <c r="H29" s="81"/>
      <c r="I29" s="465" t="s">
        <v>126</v>
      </c>
      <c r="J29" s="409"/>
      <c r="K29" s="409"/>
      <c r="L29" s="409"/>
      <c r="M29" s="400">
        <f>M23-M28</f>
        <v>8.5689999999999991</v>
      </c>
      <c r="N29" s="400">
        <f t="shared" ref="N29:AF29" si="21">N23-N28</f>
        <v>10.013999999999999</v>
      </c>
      <c r="O29" s="400">
        <f t="shared" si="21"/>
        <v>11.724000000000002</v>
      </c>
      <c r="P29" s="715">
        <f t="shared" si="21"/>
        <v>14.313000000000001</v>
      </c>
      <c r="Q29" s="400">
        <f t="shared" si="21"/>
        <v>15.233000000000001</v>
      </c>
      <c r="R29" s="400">
        <f t="shared" si="21"/>
        <v>18.303999999999998</v>
      </c>
      <c r="S29" s="400">
        <f t="shared" si="21"/>
        <v>20.777999999999999</v>
      </c>
      <c r="T29" s="715">
        <f t="shared" si="21"/>
        <v>23.089000000000002</v>
      </c>
      <c r="U29" s="400">
        <f t="shared" si="21"/>
        <v>25.281999999999996</v>
      </c>
      <c r="V29" s="400">
        <f t="shared" si="21"/>
        <v>30.39</v>
      </c>
      <c r="W29" s="400">
        <f t="shared" si="21"/>
        <v>33.897000000000006</v>
      </c>
      <c r="X29" s="715">
        <f t="shared" si="21"/>
        <v>38.191999999999993</v>
      </c>
      <c r="Y29" s="400">
        <f t="shared" si="21"/>
        <v>42.865000000000002</v>
      </c>
      <c r="Z29" s="400">
        <f t="shared" si="21"/>
        <v>51.110000000000007</v>
      </c>
      <c r="AA29" s="400">
        <f t="shared" si="21"/>
        <v>57.007999999999996</v>
      </c>
      <c r="AB29" s="715">
        <f t="shared" si="21"/>
        <v>65.864999999999995</v>
      </c>
      <c r="AC29" s="400">
        <f t="shared" si="21"/>
        <v>71.47999999999999</v>
      </c>
      <c r="AD29" s="400">
        <f t="shared" si="21"/>
        <v>83.061000000000007</v>
      </c>
      <c r="AE29" s="400">
        <f t="shared" si="21"/>
        <v>96.533999999999992</v>
      </c>
      <c r="AF29" s="715">
        <f t="shared" si="21"/>
        <v>102.80800000000001</v>
      </c>
      <c r="AG29" s="400">
        <f t="shared" ref="AG29:BD29" si="22">AG23-AG28</f>
        <v>103.22499999999999</v>
      </c>
      <c r="AH29" s="400">
        <f t="shared" si="22"/>
        <v>112.76499999999999</v>
      </c>
      <c r="AI29" s="400">
        <f t="shared" si="22"/>
        <v>120.776</v>
      </c>
      <c r="AJ29" s="715">
        <f t="shared" si="22"/>
        <v>132.036</v>
      </c>
      <c r="AK29" s="400">
        <f t="shared" si="22"/>
        <v>143.93600000000001</v>
      </c>
      <c r="AL29" s="400">
        <f t="shared" si="22"/>
        <v>158.74799999999999</v>
      </c>
      <c r="AM29" s="400">
        <f t="shared" si="22"/>
        <v>172.40199999999999</v>
      </c>
      <c r="AN29" s="715">
        <f t="shared" si="22"/>
        <v>180.066</v>
      </c>
      <c r="AO29" s="400">
        <f t="shared" si="22"/>
        <v>181.39000000000001</v>
      </c>
      <c r="AP29" s="400">
        <f>AP23-AP28</f>
        <v>191.76500000000001</v>
      </c>
      <c r="AQ29" s="400">
        <f>AQ23-AQ28</f>
        <v>204.06099999999998</v>
      </c>
      <c r="AR29" s="715">
        <f t="shared" ref="AR29" si="23">AR23-AR28</f>
        <v>203.089</v>
      </c>
      <c r="AS29" s="400">
        <f t="shared" si="22"/>
        <v>204.00263295611762</v>
      </c>
      <c r="AT29" s="400">
        <f t="shared" si="22"/>
        <v>213.38165274245443</v>
      </c>
      <c r="AU29" s="400">
        <f t="shared" si="22"/>
        <v>228.81050094432953</v>
      </c>
      <c r="AV29" s="715">
        <f t="shared" si="22"/>
        <v>242.1630895283304</v>
      </c>
      <c r="AW29" s="400">
        <f t="shared" si="22"/>
        <v>242.33945588198031</v>
      </c>
      <c r="AX29" s="400">
        <f t="shared" si="22"/>
        <v>250.44013264133599</v>
      </c>
      <c r="AY29" s="400">
        <f t="shared" si="22"/>
        <v>265.18187286626494</v>
      </c>
      <c r="AZ29" s="715">
        <f t="shared" si="22"/>
        <v>277.29727084116087</v>
      </c>
      <c r="BA29" s="400">
        <f t="shared" si="22"/>
        <v>276.39425856286391</v>
      </c>
      <c r="BB29" s="400">
        <f t="shared" si="22"/>
        <v>284.69338588172212</v>
      </c>
      <c r="BC29" s="400">
        <f t="shared" si="22"/>
        <v>299.11390042269988</v>
      </c>
      <c r="BD29" s="715">
        <f t="shared" si="22"/>
        <v>311.26688096918156</v>
      </c>
      <c r="BE29"/>
      <c r="BF29" s="320"/>
      <c r="BG29" s="472">
        <f t="shared" ref="BG29:BZ29" si="24">BG23-BG28</f>
        <v>0.443</v>
      </c>
      <c r="BH29" s="400">
        <f t="shared" si="24"/>
        <v>3.5129999999999999</v>
      </c>
      <c r="BI29" s="400">
        <f t="shared" si="24"/>
        <v>11.531000000000001</v>
      </c>
      <c r="BJ29" s="400">
        <f t="shared" si="24"/>
        <v>24.687000000000005</v>
      </c>
      <c r="BK29" s="400">
        <f t="shared" si="24"/>
        <v>44.620000000000005</v>
      </c>
      <c r="BL29" s="400">
        <f t="shared" si="24"/>
        <v>77.403999999999996</v>
      </c>
      <c r="BM29" s="400">
        <f t="shared" si="24"/>
        <v>127.76099999999997</v>
      </c>
      <c r="BN29" s="400">
        <f t="shared" si="24"/>
        <v>216.84800000000001</v>
      </c>
      <c r="BO29" s="409">
        <f t="shared" si="24"/>
        <v>353.88299999999998</v>
      </c>
      <c r="BP29" s="409">
        <f t="shared" si="24"/>
        <v>468.80200000000002</v>
      </c>
      <c r="BQ29" s="409">
        <f t="shared" si="24"/>
        <v>655.15199999999993</v>
      </c>
      <c r="BR29" s="409">
        <f t="shared" si="24"/>
        <v>780.30499999999995</v>
      </c>
      <c r="BS29" s="409">
        <f t="shared" si="24"/>
        <v>888.35787617123196</v>
      </c>
      <c r="BT29" s="409">
        <f t="shared" si="24"/>
        <v>1035.2587322307422</v>
      </c>
      <c r="BU29" s="409">
        <f t="shared" si="24"/>
        <v>1171.4684258364673</v>
      </c>
      <c r="BV29" s="409">
        <f t="shared" si="24"/>
        <v>1304.370831307755</v>
      </c>
      <c r="BW29" s="409">
        <f t="shared" si="24"/>
        <v>1435.0333538046582</v>
      </c>
      <c r="BX29" s="409">
        <f t="shared" si="24"/>
        <v>1562.5026990023816</v>
      </c>
      <c r="BY29" s="409">
        <f t="shared" si="24"/>
        <v>1684.9552669009254</v>
      </c>
      <c r="BZ29" s="466">
        <f t="shared" si="24"/>
        <v>1804.8539518250846</v>
      </c>
      <c r="CA29" s="83"/>
      <c r="CB29" s="1363">
        <f>IF(ISERROR(RATE(5,,-BP29,BU29)),"NM",(RATE(5,,-BP29,BU29)))</f>
        <v>0.20101443267648947</v>
      </c>
      <c r="CC29" s="83"/>
      <c r="CD29" s="83"/>
      <c r="CE29" s="83"/>
      <c r="CF29" s="83"/>
      <c r="CG29" s="1769"/>
      <c r="CH29" s="1769"/>
      <c r="CI29" s="1769"/>
      <c r="CJ29" s="1363">
        <f>RATE(2,,-BM29,BO29)</f>
        <v>0.66429649644918842</v>
      </c>
      <c r="CK29" s="1364">
        <f>RATE(4,,-BO29,BS29)</f>
        <v>0.2587284961010145</v>
      </c>
      <c r="CL29" s="403">
        <f t="shared" si="20"/>
        <v>0.65970957193205493</v>
      </c>
      <c r="CM29" s="403">
        <f t="shared" si="20"/>
        <v>0.54240012277031258</v>
      </c>
      <c r="CN29" s="403">
        <f t="shared" si="20"/>
        <v>0.4456468582550257</v>
      </c>
      <c r="CO29" s="403">
        <f t="shared" si="20"/>
        <v>0.30157209750798925</v>
      </c>
      <c r="CP29" s="403">
        <f t="shared" si="20"/>
        <v>0.23746474192435366</v>
      </c>
      <c r="CQ29" s="403">
        <f t="shared" si="20"/>
        <v>0.16475775429626918</v>
      </c>
      <c r="CR29" s="403">
        <f t="shared" si="20"/>
        <v>0.14504371149984743</v>
      </c>
    </row>
    <row r="30" spans="1:96" s="2859" customFormat="1" ht="11.25" customHeight="1">
      <c r="A30" s="83"/>
      <c r="B30"/>
      <c r="C30"/>
      <c r="D30"/>
      <c r="E30"/>
      <c r="F30"/>
      <c r="G30"/>
      <c r="H30" s="83"/>
      <c r="I30" s="1127" t="s">
        <v>122</v>
      </c>
      <c r="J30" s="405"/>
      <c r="K30" s="228"/>
      <c r="L30" s="228"/>
      <c r="M30" s="2411">
        <f t="shared" ref="M30:BD30" si="25">M29/M$23</f>
        <v>0.93793782837127848</v>
      </c>
      <c r="N30" s="2411">
        <f t="shared" si="25"/>
        <v>0.93353220844597751</v>
      </c>
      <c r="O30" s="2411">
        <f t="shared" si="25"/>
        <v>0.93091948546927117</v>
      </c>
      <c r="P30" s="2609">
        <f t="shared" si="25"/>
        <v>0.93708262406704201</v>
      </c>
      <c r="Q30" s="2411">
        <f t="shared" si="25"/>
        <v>0.92321212121212126</v>
      </c>
      <c r="R30" s="2411">
        <f t="shared" si="25"/>
        <v>0.93492695883134125</v>
      </c>
      <c r="S30" s="2411">
        <f t="shared" si="25"/>
        <v>0.93166532149582992</v>
      </c>
      <c r="T30" s="2411">
        <f t="shared" si="25"/>
        <v>0.92708291507729379</v>
      </c>
      <c r="U30" s="2283">
        <f t="shared" si="25"/>
        <v>0.92320613474529845</v>
      </c>
      <c r="V30" s="2411">
        <f t="shared" si="25"/>
        <v>0.93069549505405325</v>
      </c>
      <c r="W30" s="2411">
        <f t="shared" si="25"/>
        <v>0.93197877429820475</v>
      </c>
      <c r="X30" s="2609">
        <f t="shared" si="25"/>
        <v>0.92795879194304731</v>
      </c>
      <c r="Y30" s="2283">
        <f t="shared" si="25"/>
        <v>0.92916133787093835</v>
      </c>
      <c r="Z30" s="2411">
        <f t="shared" si="25"/>
        <v>0.92888428475364859</v>
      </c>
      <c r="AA30" s="2411">
        <f t="shared" si="25"/>
        <v>0.93179254997466532</v>
      </c>
      <c r="AB30" s="2609">
        <f t="shared" si="25"/>
        <v>0.93225856675772456</v>
      </c>
      <c r="AC30" s="2283">
        <f t="shared" si="25"/>
        <v>0.93551637938932286</v>
      </c>
      <c r="AD30" s="2411">
        <f t="shared" si="25"/>
        <v>0.93550857670604937</v>
      </c>
      <c r="AE30" s="2411">
        <f t="shared" si="25"/>
        <v>0.94220877458396368</v>
      </c>
      <c r="AF30" s="2609">
        <f t="shared" si="25"/>
        <v>0.93557927689353615</v>
      </c>
      <c r="AG30" s="2283">
        <f t="shared" si="25"/>
        <v>0.92330053667262968</v>
      </c>
      <c r="AH30" s="2411">
        <f t="shared" si="25"/>
        <v>0.8978105095541401</v>
      </c>
      <c r="AI30" s="2411">
        <f t="shared" si="25"/>
        <v>0.89729569093610695</v>
      </c>
      <c r="AJ30" s="2609">
        <f t="shared" si="25"/>
        <v>0.90004089979550106</v>
      </c>
      <c r="AK30" s="2283">
        <f t="shared" si="25"/>
        <v>0.90746660109827071</v>
      </c>
      <c r="AL30" s="2411">
        <f t="shared" si="25"/>
        <v>0.91535392208870536</v>
      </c>
      <c r="AM30" s="2411">
        <f t="shared" si="25"/>
        <v>0.92573778942394425</v>
      </c>
      <c r="AN30" s="2609">
        <f t="shared" si="25"/>
        <v>0.92438243085073624</v>
      </c>
      <c r="AO30" s="2283">
        <f t="shared" si="25"/>
        <v>0.91925421770396765</v>
      </c>
      <c r="AP30" s="2411">
        <f t="shared" si="25"/>
        <v>0.91813333077983761</v>
      </c>
      <c r="AQ30" s="2411">
        <f t="shared" ref="AQ30:AR30" si="26">AQ29/AQ$23</f>
        <v>0.91762298767874806</v>
      </c>
      <c r="AR30" s="2609">
        <f t="shared" si="26"/>
        <v>0.93055084629271556</v>
      </c>
      <c r="AS30" s="2283">
        <f t="shared" si="25"/>
        <v>0.92225421770396765</v>
      </c>
      <c r="AT30" s="2411">
        <f t="shared" si="25"/>
        <v>0.92213333077983761</v>
      </c>
      <c r="AU30" s="2411">
        <f t="shared" si="25"/>
        <v>0.92262298767874806</v>
      </c>
      <c r="AV30" s="2609">
        <f t="shared" si="25"/>
        <v>0.93355084629271556</v>
      </c>
      <c r="AW30" s="2283">
        <f t="shared" si="25"/>
        <v>0.92425421770396765</v>
      </c>
      <c r="AX30" s="2411">
        <f t="shared" si="25"/>
        <v>0.92413333077983761</v>
      </c>
      <c r="AY30" s="2411">
        <f t="shared" si="25"/>
        <v>0.92462298767874795</v>
      </c>
      <c r="AZ30" s="2609">
        <f t="shared" si="25"/>
        <v>0.93555084629271557</v>
      </c>
      <c r="BA30" s="2283">
        <f t="shared" si="25"/>
        <v>0.92625421770396765</v>
      </c>
      <c r="BB30" s="2411">
        <f t="shared" si="25"/>
        <v>0.92613333077983762</v>
      </c>
      <c r="BC30" s="2411">
        <f t="shared" si="25"/>
        <v>0.92662298767874807</v>
      </c>
      <c r="BD30" s="2609">
        <f t="shared" si="25"/>
        <v>0.93755084629271557</v>
      </c>
      <c r="BE30" s="2858"/>
      <c r="BF30" s="83"/>
      <c r="BG30" s="2283">
        <f t="shared" ref="BG30:BZ30" si="27">BG29/BG$23</f>
        <v>1</v>
      </c>
      <c r="BH30" s="2411">
        <f t="shared" si="27"/>
        <v>0.93805073431241648</v>
      </c>
      <c r="BI30" s="2411">
        <f t="shared" si="27"/>
        <v>0.94991350193590907</v>
      </c>
      <c r="BJ30" s="2411">
        <f t="shared" si="27"/>
        <v>0.95656385616862993</v>
      </c>
      <c r="BK30" s="2411">
        <f t="shared" si="27"/>
        <v>0.93482223293038069</v>
      </c>
      <c r="BL30" s="2411">
        <f t="shared" si="27"/>
        <v>0.92938704448580178</v>
      </c>
      <c r="BM30" s="2411">
        <f t="shared" si="27"/>
        <v>0.92872512103281324</v>
      </c>
      <c r="BN30" s="2411">
        <f t="shared" si="27"/>
        <v>0.9307260459766169</v>
      </c>
      <c r="BO30" s="2411">
        <f t="shared" si="27"/>
        <v>0.93734902102051187</v>
      </c>
      <c r="BP30" s="2411">
        <f t="shared" si="27"/>
        <v>0.90380181222286482</v>
      </c>
      <c r="BQ30" s="2411">
        <f t="shared" si="27"/>
        <v>0.91877784618318836</v>
      </c>
      <c r="BR30" s="2411">
        <f t="shared" si="27"/>
        <v>0.92146081838611349</v>
      </c>
      <c r="BS30" s="2411">
        <f t="shared" si="27"/>
        <v>0.92537278767836662</v>
      </c>
      <c r="BT30" s="2411">
        <f t="shared" si="27"/>
        <v>0.9273188214177196</v>
      </c>
      <c r="BU30" s="2411">
        <f t="shared" si="27"/>
        <v>0.92929432479491303</v>
      </c>
      <c r="BV30" s="2411">
        <f t="shared" si="27"/>
        <v>0.93129432479491292</v>
      </c>
      <c r="BW30" s="2411">
        <f t="shared" si="27"/>
        <v>0.93329432479491303</v>
      </c>
      <c r="BX30" s="2411">
        <f t="shared" si="27"/>
        <v>0.93529432479491303</v>
      </c>
      <c r="BY30" s="2411">
        <f t="shared" si="27"/>
        <v>0.93629432479491304</v>
      </c>
      <c r="BZ30" s="2609">
        <f t="shared" si="27"/>
        <v>0.93729432479491304</v>
      </c>
      <c r="CA30" s="83"/>
      <c r="CB30" s="1365"/>
      <c r="CC30" s="83"/>
      <c r="CD30" s="83"/>
      <c r="CE30" s="83"/>
      <c r="CF30" s="83"/>
      <c r="CG30" s="1769"/>
      <c r="CH30" s="1769"/>
      <c r="CI30" s="1769"/>
      <c r="CJ30" s="1365"/>
      <c r="CK30" s="1365"/>
      <c r="CL30" s="83"/>
      <c r="CM30" s="83"/>
      <c r="CN30" s="83"/>
      <c r="CO30" s="83"/>
      <c r="CP30" s="83"/>
      <c r="CQ30" s="83"/>
      <c r="CR30" s="83"/>
    </row>
    <row r="31" spans="1:96" s="225" customFormat="1" ht="11.25" customHeight="1">
      <c r="A31" s="81"/>
      <c r="B31"/>
      <c r="C31"/>
      <c r="D31"/>
      <c r="E31"/>
      <c r="F31"/>
      <c r="G31"/>
      <c r="H31" s="81"/>
      <c r="I31" s="459"/>
      <c r="J31" s="63"/>
      <c r="K31" s="64"/>
      <c r="L31" s="64"/>
      <c r="M31" s="410"/>
      <c r="N31" s="410"/>
      <c r="O31" s="410"/>
      <c r="P31" s="717"/>
      <c r="Q31" s="410"/>
      <c r="R31" s="410"/>
      <c r="S31" s="410"/>
      <c r="T31" s="410"/>
      <c r="U31" s="716"/>
      <c r="V31" s="410"/>
      <c r="W31" s="410"/>
      <c r="X31" s="717"/>
      <c r="Y31" s="504"/>
      <c r="Z31" s="62"/>
      <c r="AA31" s="62"/>
      <c r="AB31" s="467"/>
      <c r="AC31" s="504"/>
      <c r="AD31" s="62"/>
      <c r="AE31" s="62"/>
      <c r="AF31" s="467"/>
      <c r="AG31" s="504"/>
      <c r="AH31" s="1752"/>
      <c r="AI31" s="62"/>
      <c r="AJ31" s="467"/>
      <c r="AK31" s="504"/>
      <c r="AL31" s="62"/>
      <c r="AM31" s="62"/>
      <c r="AN31" s="467"/>
      <c r="AO31" s="504"/>
      <c r="AP31" s="62"/>
      <c r="AQ31" s="62"/>
      <c r="AR31" s="467"/>
      <c r="AS31" s="504"/>
      <c r="AT31" s="62"/>
      <c r="AU31" s="62"/>
      <c r="AV31" s="467"/>
      <c r="AW31" s="504"/>
      <c r="AX31" s="62"/>
      <c r="AY31" s="62"/>
      <c r="AZ31" s="467"/>
      <c r="BA31" s="504"/>
      <c r="BB31" s="62"/>
      <c r="BC31" s="62"/>
      <c r="BD31" s="467"/>
      <c r="BE31"/>
      <c r="BF31" s="83"/>
      <c r="BG31" s="716"/>
      <c r="BH31" s="410"/>
      <c r="BI31" s="410"/>
      <c r="BJ31" s="410"/>
      <c r="BK31" s="410"/>
      <c r="BL31" s="410"/>
      <c r="BM31" s="410"/>
      <c r="BN31" s="410"/>
      <c r="BO31" s="62"/>
      <c r="BP31" s="62"/>
      <c r="BQ31" s="62"/>
      <c r="BR31" s="62"/>
      <c r="BS31" s="62"/>
      <c r="BT31" s="62"/>
      <c r="BU31" s="62"/>
      <c r="BV31" s="62"/>
      <c r="BW31" s="62"/>
      <c r="BX31" s="62"/>
      <c r="BY31" s="62"/>
      <c r="BZ31" s="467"/>
      <c r="CA31" s="83"/>
      <c r="CB31" s="1365"/>
      <c r="CC31" s="83"/>
      <c r="CD31" s="83"/>
      <c r="CE31" s="83"/>
      <c r="CF31" s="83"/>
      <c r="CG31" s="1769"/>
      <c r="CH31" s="1769"/>
      <c r="CI31" s="1769"/>
      <c r="CJ31" s="1365"/>
      <c r="CK31" s="1365"/>
      <c r="CL31" s="83"/>
      <c r="CM31" s="83"/>
      <c r="CN31" s="83"/>
      <c r="CO31" s="83"/>
      <c r="CP31" s="83"/>
      <c r="CQ31" s="83"/>
      <c r="CR31" s="83"/>
    </row>
    <row r="32" spans="1:96" s="225" customFormat="1" ht="11.25" customHeight="1">
      <c r="A32" s="81"/>
      <c r="B32"/>
      <c r="C32"/>
      <c r="D32"/>
      <c r="E32"/>
      <c r="F32"/>
      <c r="G32"/>
      <c r="H32" s="81"/>
      <c r="I32" s="468" t="s">
        <v>58</v>
      </c>
      <c r="J32" s="63"/>
      <c r="K32" s="64"/>
      <c r="L32" s="64"/>
      <c r="M32" s="110">
        <f>'Expense drivers'!M221</f>
        <v>6.5660000000000007</v>
      </c>
      <c r="N32" s="110">
        <f>'Expense drivers'!N221</f>
        <v>7.7779999999999996</v>
      </c>
      <c r="O32" s="110">
        <f>'Expense drivers'!O221</f>
        <v>9.3360000000000003</v>
      </c>
      <c r="P32" s="469">
        <f>'Expense drivers'!P221</f>
        <v>9.577</v>
      </c>
      <c r="Q32" s="110">
        <f>'Expense drivers'!Q221</f>
        <v>11</v>
      </c>
      <c r="R32" s="110">
        <f>'Expense drivers'!R221</f>
        <v>12.065999999999999</v>
      </c>
      <c r="S32" s="110">
        <f>'Expense drivers'!S221</f>
        <v>14.338000000000001</v>
      </c>
      <c r="T32" s="110">
        <f>'Expense drivers'!T221</f>
        <v>15.528</v>
      </c>
      <c r="U32" s="505">
        <f>'Expense drivers'!U221</f>
        <v>17.646000000000001</v>
      </c>
      <c r="V32" s="110">
        <f>'Expense drivers'!V221</f>
        <v>19.437999999999999</v>
      </c>
      <c r="W32" s="110">
        <f>'Expense drivers'!W221</f>
        <v>20.149999999999999</v>
      </c>
      <c r="X32" s="469">
        <f>'Expense drivers'!X221</f>
        <v>23.765000000000001</v>
      </c>
      <c r="Y32" s="505">
        <f>'Expense drivers'!Y221</f>
        <v>26.206</v>
      </c>
      <c r="Z32" s="110">
        <f>'Expense drivers'!Z221</f>
        <v>28.521000000000001</v>
      </c>
      <c r="AA32" s="110">
        <f>'Expense drivers'!AA221</f>
        <v>31.465999999999998</v>
      </c>
      <c r="AB32" s="469">
        <f>'Expense drivers'!AB221</f>
        <v>35.646000000000001</v>
      </c>
      <c r="AC32" s="505">
        <f>'Expense drivers'!AC221</f>
        <v>41.724000000000004</v>
      </c>
      <c r="AD32" s="110">
        <f>'Expense drivers'!AD221</f>
        <v>44.07</v>
      </c>
      <c r="AE32" s="110">
        <f>'Expense drivers'!AE221</f>
        <v>50.667999999999999</v>
      </c>
      <c r="AF32" s="469">
        <f>'Expense drivers'!AF221</f>
        <v>49.585000000000001</v>
      </c>
      <c r="AG32" s="505">
        <f>'Expense drivers'!AG221</f>
        <v>58.329000000000001</v>
      </c>
      <c r="AH32" s="110">
        <f>'Expense drivers'!AH221</f>
        <v>62.36</v>
      </c>
      <c r="AI32" s="110">
        <f>'Expense drivers'!AI221</f>
        <v>77.381</v>
      </c>
      <c r="AJ32" s="469">
        <f>'Expense drivers'!AJ221</f>
        <v>81.731999999999999</v>
      </c>
      <c r="AK32" s="505">
        <f>'Expense drivers'!AK221</f>
        <v>89.286000000000001</v>
      </c>
      <c r="AL32" s="110">
        <f>'Expense drivers'!AL221</f>
        <v>87.558999999999997</v>
      </c>
      <c r="AM32" s="110">
        <f>'Expense drivers'!AM221</f>
        <v>92.082999999999998</v>
      </c>
      <c r="AN32" s="469">
        <f>'Expense drivers'!AN221</f>
        <v>86.828000000000003</v>
      </c>
      <c r="AO32" s="505">
        <f>'Expense drivers'!AO221</f>
        <v>102.41800000000001</v>
      </c>
      <c r="AP32" s="110">
        <f>'Expense drivers'!AP221</f>
        <v>97.971000000000004</v>
      </c>
      <c r="AQ32" s="110">
        <f>'Expense drivers'!AQ221</f>
        <v>105.73599999999999</v>
      </c>
      <c r="AR32" s="469">
        <f>'Expense drivers'!AR221</f>
        <v>104.41800000000001</v>
      </c>
      <c r="AS32" s="505">
        <f>'Expense drivers'!AS221</f>
        <v>117.02305395721736</v>
      </c>
      <c r="AT32" s="110">
        <f>'Expense drivers'!AT221</f>
        <v>110.6244712655125</v>
      </c>
      <c r="AU32" s="110">
        <f>'Expense drivers'!AU221</f>
        <v>119.1576544653296</v>
      </c>
      <c r="AV32" s="469">
        <f>'Expense drivers'!AV221</f>
        <v>122.81079212448338</v>
      </c>
      <c r="AW32" s="505">
        <f>'Expense drivers'!AW221</f>
        <v>137.40258384982999</v>
      </c>
      <c r="AX32" s="110">
        <f>'Expense drivers'!AX221</f>
        <v>128.20088467136509</v>
      </c>
      <c r="AY32" s="110">
        <f>'Expense drivers'!AY221</f>
        <v>136.36606169619569</v>
      </c>
      <c r="AZ32" s="469">
        <f>'Expense drivers'!AZ221</f>
        <v>138.84613718464485</v>
      </c>
      <c r="BA32" s="505">
        <f>'Expense drivers'!BA221</f>
        <v>154.88073463306355</v>
      </c>
      <c r="BB32" s="110">
        <f>'Expense drivers'!BB221</f>
        <v>143.8834868929064</v>
      </c>
      <c r="BC32" s="110">
        <f>'Expense drivers'!BC221</f>
        <v>151.86914057019516</v>
      </c>
      <c r="BD32" s="469">
        <f>'Expense drivers'!BD221</f>
        <v>153.86266378307047</v>
      </c>
      <c r="BE32"/>
      <c r="BF32" s="105"/>
      <c r="BG32" s="505">
        <f>'Expense drivers'!BF221</f>
        <v>1.0780000000000001</v>
      </c>
      <c r="BH32" s="110">
        <f>'Expense drivers'!BG221</f>
        <v>3.9359999999999999</v>
      </c>
      <c r="BI32" s="110">
        <f>'Expense drivers'!BH221</f>
        <v>9.8979999999999997</v>
      </c>
      <c r="BJ32" s="110">
        <f>'Expense drivers'!BI221</f>
        <v>17.757999999999999</v>
      </c>
      <c r="BK32" s="110">
        <f t="shared" ref="BK32:BK37" si="28">SUM(M32:P32)</f>
        <v>33.256999999999998</v>
      </c>
      <c r="BL32" s="110">
        <f t="shared" ref="BL32:BL37" si="29">SUM(Q32:T32)</f>
        <v>52.931999999999995</v>
      </c>
      <c r="BM32" s="110">
        <f t="shared" ref="BM32:BM37" si="30">SUM(U32:X32)</f>
        <v>80.998999999999995</v>
      </c>
      <c r="BN32" s="110">
        <f t="shared" ref="BN32:BN37" si="31">SUM(Y32:AB32)</f>
        <v>121.839</v>
      </c>
      <c r="BO32" s="110">
        <f t="shared" ref="BO32:BO37" si="32">SUM(AC32:AF32)</f>
        <v>186.04700000000003</v>
      </c>
      <c r="BP32" s="110">
        <f t="shared" ref="BP32:BP37" si="33">SUM(AG32:AJ32)</f>
        <v>279.80200000000002</v>
      </c>
      <c r="BQ32" s="110">
        <f t="shared" ref="BQ32:BQ37" si="34">SUM(AK32:AN32)</f>
        <v>355.75599999999997</v>
      </c>
      <c r="BR32" s="110">
        <f t="shared" ref="BR32:BR37" si="35">SUM(AO32:AR32)</f>
        <v>410.54300000000001</v>
      </c>
      <c r="BS32" s="110">
        <f t="shared" ref="BS32:BS37" si="36">SUM(AS32:AV32)</f>
        <v>469.61597181254285</v>
      </c>
      <c r="BT32" s="110">
        <f t="shared" ref="BT32:BT37" si="37">SUM(AW32:AZ32)</f>
        <v>540.81566740203561</v>
      </c>
      <c r="BU32" s="110">
        <f t="shared" ref="BU32:BU37" si="38">SUM(BA32:BD32)</f>
        <v>604.49602587923562</v>
      </c>
      <c r="BV32" s="439">
        <f>'Expense drivers'!BU221</f>
        <v>659.49602587923562</v>
      </c>
      <c r="BW32" s="439">
        <f>'Expense drivers'!BV221</f>
        <v>709.49602587923562</v>
      </c>
      <c r="BX32" s="439">
        <f>'Expense drivers'!BW221</f>
        <v>754.49602587923562</v>
      </c>
      <c r="BY32" s="439">
        <f>'Expense drivers'!BX221</f>
        <v>794.49602587923562</v>
      </c>
      <c r="BZ32" s="461">
        <f>'Expense drivers'!BY221</f>
        <v>829.49602587923562</v>
      </c>
      <c r="CA32" s="83"/>
      <c r="CB32" s="1363">
        <f t="shared" ref="CB32:CB37" si="39">IF(ISERROR(RATE(5,,-BP32,BU32)),"NM",(RATE(5,,-BP32,BU32)))</f>
        <v>0.16656388471040759</v>
      </c>
      <c r="CC32" s="83"/>
      <c r="CD32" s="83"/>
      <c r="CE32" s="83"/>
      <c r="CF32" s="83"/>
      <c r="CG32" s="1769"/>
      <c r="CH32" s="1769"/>
      <c r="CI32" s="1769"/>
      <c r="CJ32" s="1363">
        <f>RATE(2,,-BM32,BO32)</f>
        <v>0.51555432105236487</v>
      </c>
      <c r="CK32" s="1364">
        <f>RATE(4,,-BO32,BS32)</f>
        <v>0.26046284066520486</v>
      </c>
      <c r="CL32" s="403">
        <f t="shared" ref="CL32:CR34" si="40">IF(ISERROR(RATE(3,,-BL32,BO32)),"NM",(RATE(3,,-BL32,BO32)))</f>
        <v>0.52043592476771983</v>
      </c>
      <c r="CM32" s="403">
        <f t="shared" si="40"/>
        <v>0.51167020223464033</v>
      </c>
      <c r="CN32" s="403">
        <f t="shared" si="40"/>
        <v>0.42929531177700825</v>
      </c>
      <c r="CO32" s="403">
        <f t="shared" si="40"/>
        <v>0.30190309678220073</v>
      </c>
      <c r="CP32" s="403">
        <f t="shared" si="40"/>
        <v>0.18840375355692562</v>
      </c>
      <c r="CQ32" s="403">
        <f t="shared" si="40"/>
        <v>0.14982657980128936</v>
      </c>
      <c r="CR32" s="403">
        <f t="shared" si="40"/>
        <v>0.13765767091812359</v>
      </c>
    </row>
    <row r="33" spans="1:96" s="225" customFormat="1" ht="11.25" customHeight="1">
      <c r="A33" s="81"/>
      <c r="B33"/>
      <c r="C33"/>
      <c r="D33"/>
      <c r="E33"/>
      <c r="F33"/>
      <c r="G33"/>
      <c r="H33" s="81"/>
      <c r="I33" s="468" t="s">
        <v>245</v>
      </c>
      <c r="J33" s="63"/>
      <c r="K33" s="64"/>
      <c r="L33" s="64"/>
      <c r="M33" s="110">
        <f>'Expense drivers'!M222</f>
        <v>1.1520000000000001</v>
      </c>
      <c r="N33" s="110">
        <f>'Expense drivers'!N222</f>
        <v>1.484</v>
      </c>
      <c r="O33" s="110">
        <f>'Expense drivers'!O222</f>
        <v>1.847</v>
      </c>
      <c r="P33" s="469">
        <f>'Expense drivers'!P222</f>
        <v>1.8169999999999999</v>
      </c>
      <c r="Q33" s="110">
        <f>'Expense drivers'!Q222</f>
        <v>2.1720000000000002</v>
      </c>
      <c r="R33" s="110">
        <f>'Expense drivers'!R222</f>
        <v>2.488</v>
      </c>
      <c r="S33" s="110">
        <f>'Expense drivers'!S222</f>
        <v>3.2069999999999999</v>
      </c>
      <c r="T33" s="110">
        <f>'Expense drivers'!T222</f>
        <v>2.9979999999999998</v>
      </c>
      <c r="U33" s="505">
        <f>'Expense drivers'!U222</f>
        <v>3.8969999999999998</v>
      </c>
      <c r="V33" s="110">
        <f>'Expense drivers'!V222</f>
        <v>4.0360000000000005</v>
      </c>
      <c r="W33" s="110">
        <f>'Expense drivers'!W222</f>
        <v>5.2869999999999999</v>
      </c>
      <c r="X33" s="469">
        <f>'Expense drivers'!X222</f>
        <v>5.548</v>
      </c>
      <c r="Y33" s="505">
        <f>'Expense drivers'!Y222</f>
        <v>6.42</v>
      </c>
      <c r="Z33" s="110">
        <f>'Expense drivers'!Z222</f>
        <v>6.9569999999999999</v>
      </c>
      <c r="AA33" s="110">
        <f>'Expense drivers'!AA222</f>
        <v>9.4990000000000006</v>
      </c>
      <c r="AB33" s="469">
        <f>'Expense drivers'!AB222</f>
        <v>9.0969999999999995</v>
      </c>
      <c r="AC33" s="505">
        <f>'Expense drivers'!AC222</f>
        <v>10.94</v>
      </c>
      <c r="AD33" s="110">
        <f>'Expense drivers'!AD222</f>
        <v>11.270000000000001</v>
      </c>
      <c r="AE33" s="110">
        <f>'Expense drivers'!AE222</f>
        <v>13.561999999999998</v>
      </c>
      <c r="AF33" s="469">
        <f>'Expense drivers'!AF222</f>
        <v>14.525</v>
      </c>
      <c r="AG33" s="505">
        <f>'Expense drivers'!AG222</f>
        <v>18.855</v>
      </c>
      <c r="AH33" s="110">
        <f>'Expense drivers'!AH222</f>
        <v>20.279999999999998</v>
      </c>
      <c r="AI33" s="110">
        <f>'Expense drivers'!AI222</f>
        <v>22.564</v>
      </c>
      <c r="AJ33" s="469">
        <f>'Expense drivers'!AJ222</f>
        <v>22.655999999999999</v>
      </c>
      <c r="AK33" s="505">
        <f>'Expense drivers'!AK222</f>
        <v>24.192</v>
      </c>
      <c r="AL33" s="110">
        <f>'Expense drivers'!AL222</f>
        <v>24.684999999999999</v>
      </c>
      <c r="AM33" s="110">
        <f>'Expense drivers'!AM222</f>
        <v>27.085000000000001</v>
      </c>
      <c r="AN33" s="469">
        <f>'Expense drivers'!AN222</f>
        <v>26.265000000000001</v>
      </c>
      <c r="AO33" s="505">
        <f>'Expense drivers'!AO222</f>
        <v>28.663000000000004</v>
      </c>
      <c r="AP33" s="110">
        <f>'Expense drivers'!AP222</f>
        <v>30.843000000000004</v>
      </c>
      <c r="AQ33" s="110">
        <f>'Expense drivers'!AQ222</f>
        <v>33.858000000000004</v>
      </c>
      <c r="AR33" s="469">
        <f>'Expense drivers'!AR222</f>
        <v>35.143000000000001</v>
      </c>
      <c r="AS33" s="505">
        <f>'Expense drivers'!AS222</f>
        <v>31.663000000000004</v>
      </c>
      <c r="AT33" s="110">
        <f>'Expense drivers'!AT222</f>
        <v>33.843000000000004</v>
      </c>
      <c r="AU33" s="110">
        <f>'Expense drivers'!AU222</f>
        <v>36.858000000000004</v>
      </c>
      <c r="AV33" s="469">
        <f>'Expense drivers'!AV222</f>
        <v>38.143000000000001</v>
      </c>
      <c r="AW33" s="505">
        <f>'Expense drivers'!AW222</f>
        <v>35.163000000000004</v>
      </c>
      <c r="AX33" s="110">
        <f>'Expense drivers'!AX222</f>
        <v>37.843000000000004</v>
      </c>
      <c r="AY33" s="110">
        <f>'Expense drivers'!AY222</f>
        <v>40.858000000000004</v>
      </c>
      <c r="AZ33" s="469">
        <f>'Expense drivers'!AZ222</f>
        <v>42.143000000000001</v>
      </c>
      <c r="BA33" s="505">
        <f>'Expense drivers'!BA222</f>
        <v>38.163000000000004</v>
      </c>
      <c r="BB33" s="110">
        <f>'Expense drivers'!BB222</f>
        <v>40.843000000000004</v>
      </c>
      <c r="BC33" s="110">
        <f>'Expense drivers'!BC222</f>
        <v>43.858000000000004</v>
      </c>
      <c r="BD33" s="469">
        <f>'Expense drivers'!BD222</f>
        <v>45.143000000000001</v>
      </c>
      <c r="BE33"/>
      <c r="BF33" s="105"/>
      <c r="BG33" s="505">
        <f>'Expense drivers'!BF222</f>
        <v>0.86899999999999999</v>
      </c>
      <c r="BH33" s="110">
        <f>'Expense drivers'!BG222</f>
        <v>1.456</v>
      </c>
      <c r="BI33" s="110">
        <f>'Expense drivers'!BH222</f>
        <v>1.9830000000000001</v>
      </c>
      <c r="BJ33" s="110">
        <f>'Expense drivers'!BI222</f>
        <v>3.0640000000000001</v>
      </c>
      <c r="BK33" s="110">
        <f t="shared" si="28"/>
        <v>6.3000000000000007</v>
      </c>
      <c r="BL33" s="110">
        <f t="shared" si="29"/>
        <v>10.865</v>
      </c>
      <c r="BM33" s="110">
        <f t="shared" si="30"/>
        <v>18.768000000000001</v>
      </c>
      <c r="BN33" s="110">
        <f t="shared" si="31"/>
        <v>31.972999999999999</v>
      </c>
      <c r="BO33" s="110">
        <f t="shared" si="32"/>
        <v>50.296999999999997</v>
      </c>
      <c r="BP33" s="110">
        <f t="shared" si="33"/>
        <v>84.35499999999999</v>
      </c>
      <c r="BQ33" s="110">
        <f t="shared" si="34"/>
        <v>102.22699999999999</v>
      </c>
      <c r="BR33" s="110">
        <f t="shared" si="35"/>
        <v>128.50700000000001</v>
      </c>
      <c r="BS33" s="110">
        <f t="shared" si="36"/>
        <v>140.50700000000001</v>
      </c>
      <c r="BT33" s="110">
        <f t="shared" si="37"/>
        <v>156.00700000000001</v>
      </c>
      <c r="BU33" s="110">
        <f t="shared" si="38"/>
        <v>168.00700000000001</v>
      </c>
      <c r="BV33" s="439">
        <f>'Expense drivers'!BU222</f>
        <v>178.80700000000002</v>
      </c>
      <c r="BW33" s="439">
        <f>'Expense drivers'!BV222</f>
        <v>187.80700000000002</v>
      </c>
      <c r="BX33" s="439">
        <f>'Expense drivers'!BW222</f>
        <v>196.80700000000002</v>
      </c>
      <c r="BY33" s="439">
        <f>'Expense drivers'!BX222</f>
        <v>204.80700000000002</v>
      </c>
      <c r="BZ33" s="461">
        <f>'Expense drivers'!BY222</f>
        <v>212.80700000000002</v>
      </c>
      <c r="CA33" s="83"/>
      <c r="CB33" s="1363">
        <f t="shared" si="39"/>
        <v>0.1477394500241295</v>
      </c>
      <c r="CC33" s="83"/>
      <c r="CD33" s="83"/>
      <c r="CE33" s="83"/>
      <c r="CF33" s="83"/>
      <c r="CG33" s="1769"/>
      <c r="CH33" s="1769"/>
      <c r="CI33" s="1769"/>
      <c r="CJ33" s="1363">
        <f>RATE(2,,-BM33,BO33)</f>
        <v>0.63705037494078376</v>
      </c>
      <c r="CK33" s="1364">
        <f>RATE(4,,-BO33,BS33)</f>
        <v>0.29282270218014222</v>
      </c>
      <c r="CL33" s="403">
        <f t="shared" ref="CL33:CR33" si="41">IF(ISERROR(RATE(3,,-BL33,BO33)),"NM",(RATE(3,,-BL33,BO33)))</f>
        <v>0.66662330510540457</v>
      </c>
      <c r="CM33" s="403">
        <f t="shared" si="41"/>
        <v>0.65030523885543268</v>
      </c>
      <c r="CN33" s="403">
        <f t="shared" si="41"/>
        <v>0.47319671837031652</v>
      </c>
      <c r="CO33" s="403">
        <f t="shared" si="41"/>
        <v>0.36708305741246294</v>
      </c>
      <c r="CP33" s="403">
        <f t="shared" si="41"/>
        <v>0.18539305137311465</v>
      </c>
      <c r="CQ33" s="403">
        <f t="shared" si="41"/>
        <v>0.15131144827717985</v>
      </c>
      <c r="CR33" s="403">
        <f t="shared" si="41"/>
        <v>9.3453193456572062E-2</v>
      </c>
    </row>
    <row r="34" spans="1:96" s="225" customFormat="1" ht="11.25" customHeight="1">
      <c r="A34" s="81"/>
      <c r="B34"/>
      <c r="C34"/>
      <c r="D34"/>
      <c r="E34"/>
      <c r="F34"/>
      <c r="G34"/>
      <c r="H34" s="81"/>
      <c r="I34" s="468" t="s">
        <v>105</v>
      </c>
      <c r="J34" s="63"/>
      <c r="K34" s="64"/>
      <c r="L34" s="64"/>
      <c r="M34" s="110">
        <f>'Expense drivers'!M223</f>
        <v>1.72</v>
      </c>
      <c r="N34" s="110">
        <f>'Expense drivers'!N223</f>
        <v>2.718</v>
      </c>
      <c r="O34" s="110">
        <f>'Expense drivers'!O223</f>
        <v>2.5350000000000001</v>
      </c>
      <c r="P34" s="469">
        <f>'Expense drivers'!P223</f>
        <v>2.5310000000000001</v>
      </c>
      <c r="Q34" s="110">
        <f>'Expense drivers'!Q223</f>
        <v>2.9409999999999998</v>
      </c>
      <c r="R34" s="110">
        <f>'Expense drivers'!R223</f>
        <v>3.101</v>
      </c>
      <c r="S34" s="110">
        <f>'Expense drivers'!S223</f>
        <v>4.1150000000000002</v>
      </c>
      <c r="T34" s="110">
        <f>'Expense drivers'!T223</f>
        <v>4.5780000000000003</v>
      </c>
      <c r="U34" s="505">
        <f>'Expense drivers'!U223</f>
        <v>4.6899999999999995</v>
      </c>
      <c r="V34" s="110">
        <f>'Expense drivers'!V223</f>
        <v>5.335</v>
      </c>
      <c r="W34" s="110">
        <f>'Expense drivers'!W223</f>
        <v>6.298</v>
      </c>
      <c r="X34" s="469">
        <f>'Expense drivers'!X223</f>
        <v>7.0739999999999998</v>
      </c>
      <c r="Y34" s="505">
        <f>'Expense drivers'!Y223</f>
        <v>7.0349999999999993</v>
      </c>
      <c r="Z34" s="110">
        <f>'Expense drivers'!Z223</f>
        <v>7.8620000000000001</v>
      </c>
      <c r="AA34" s="110">
        <f>'Expense drivers'!AA223</f>
        <v>7.9930000000000003</v>
      </c>
      <c r="AB34" s="469">
        <f>'Expense drivers'!AB223</f>
        <v>10.717000000000001</v>
      </c>
      <c r="AC34" s="505">
        <f>'Expense drivers'!AC223</f>
        <v>10.303000000000001</v>
      </c>
      <c r="AD34" s="110">
        <f>'Expense drivers'!AD223</f>
        <v>10.477</v>
      </c>
      <c r="AE34" s="110">
        <f>'Expense drivers'!AE223</f>
        <v>12.238</v>
      </c>
      <c r="AF34" s="469">
        <f>'Expense drivers'!AF223</f>
        <v>13.598999999999998</v>
      </c>
      <c r="AG34" s="505">
        <f>'Expense drivers'!AG223</f>
        <v>16.432000000000002</v>
      </c>
      <c r="AH34" s="110">
        <f>'Expense drivers'!AH223</f>
        <v>15.705000000000002</v>
      </c>
      <c r="AI34" s="110">
        <f>'Expense drivers'!AI223</f>
        <v>17.256999999999998</v>
      </c>
      <c r="AJ34" s="469">
        <f>'Expense drivers'!AJ223</f>
        <v>17.14</v>
      </c>
      <c r="AK34" s="505">
        <f>'Expense drivers'!AK223</f>
        <v>17.431999999999999</v>
      </c>
      <c r="AL34" s="110">
        <f>'Expense drivers'!AL223</f>
        <v>18.401</v>
      </c>
      <c r="AM34" s="110">
        <f>'Expense drivers'!AM223</f>
        <v>19.555</v>
      </c>
      <c r="AN34" s="469">
        <f>'Expense drivers'!AN223</f>
        <v>21.698999999999998</v>
      </c>
      <c r="AO34" s="505">
        <f>'Expense drivers'!AO223</f>
        <v>21.038</v>
      </c>
      <c r="AP34" s="110">
        <f>'Expense drivers'!AP223</f>
        <v>20.058999999999997</v>
      </c>
      <c r="AQ34" s="110">
        <f>'Expense drivers'!AQ223</f>
        <v>21.658999999999999</v>
      </c>
      <c r="AR34" s="469">
        <f>'Expense drivers'!AR223</f>
        <v>21.891999999999999</v>
      </c>
      <c r="AS34" s="505">
        <f>'Expense drivers'!AS223</f>
        <v>22.538</v>
      </c>
      <c r="AT34" s="110">
        <f>'Expense drivers'!AT223</f>
        <v>21.558999999999997</v>
      </c>
      <c r="AU34" s="110">
        <f>'Expense drivers'!AU223</f>
        <v>23.158999999999999</v>
      </c>
      <c r="AV34" s="469">
        <f>'Expense drivers'!AV223</f>
        <v>24.391999999999999</v>
      </c>
      <c r="AW34" s="505">
        <f>'Expense drivers'!AW223</f>
        <v>25.538</v>
      </c>
      <c r="AX34" s="110">
        <f>'Expense drivers'!AX223</f>
        <v>24.558999999999997</v>
      </c>
      <c r="AY34" s="110">
        <f>'Expense drivers'!AY223</f>
        <v>26.158999999999999</v>
      </c>
      <c r="AZ34" s="469">
        <f>'Expense drivers'!AZ223</f>
        <v>27.391999999999999</v>
      </c>
      <c r="BA34" s="505">
        <f>'Expense drivers'!BA223</f>
        <v>28.538</v>
      </c>
      <c r="BB34" s="110">
        <f>'Expense drivers'!BB223</f>
        <v>27.558999999999997</v>
      </c>
      <c r="BC34" s="110">
        <f>'Expense drivers'!BC223</f>
        <v>29.158999999999999</v>
      </c>
      <c r="BD34" s="469">
        <f>'Expense drivers'!BD223</f>
        <v>30.391999999999999</v>
      </c>
      <c r="BE34"/>
      <c r="BF34" s="105"/>
      <c r="BG34" s="505">
        <f>'Expense drivers'!BF223</f>
        <v>0.71399999999999997</v>
      </c>
      <c r="BH34" s="110">
        <f>'Expense drivers'!BG223</f>
        <v>1.772</v>
      </c>
      <c r="BI34" s="110">
        <f>'Expense drivers'!BH223</f>
        <v>4.9530000000000003</v>
      </c>
      <c r="BJ34" s="110">
        <f>'Expense drivers'!BI223</f>
        <v>4.4400000000000004</v>
      </c>
      <c r="BK34" s="110">
        <f t="shared" si="28"/>
        <v>9.5039999999999996</v>
      </c>
      <c r="BL34" s="110">
        <f t="shared" si="29"/>
        <v>14.734999999999999</v>
      </c>
      <c r="BM34" s="110">
        <f t="shared" si="30"/>
        <v>23.396999999999998</v>
      </c>
      <c r="BN34" s="110">
        <f t="shared" si="31"/>
        <v>33.606999999999999</v>
      </c>
      <c r="BO34" s="110">
        <f t="shared" si="32"/>
        <v>46.616999999999997</v>
      </c>
      <c r="BP34" s="110">
        <f t="shared" si="33"/>
        <v>66.533999999999992</v>
      </c>
      <c r="BQ34" s="110">
        <f t="shared" si="34"/>
        <v>77.086999999999989</v>
      </c>
      <c r="BR34" s="110">
        <f t="shared" si="35"/>
        <v>84.647999999999996</v>
      </c>
      <c r="BS34" s="110">
        <f t="shared" si="36"/>
        <v>91.647999999999996</v>
      </c>
      <c r="BT34" s="110">
        <f t="shared" si="37"/>
        <v>103.648</v>
      </c>
      <c r="BU34" s="110">
        <f t="shared" si="38"/>
        <v>115.648</v>
      </c>
      <c r="BV34" s="439">
        <f>'Expense drivers'!BU223</f>
        <v>125.648</v>
      </c>
      <c r="BW34" s="439">
        <f>'Expense drivers'!BV223</f>
        <v>135.648</v>
      </c>
      <c r="BX34" s="439">
        <f>'Expense drivers'!BW223</f>
        <v>145.648</v>
      </c>
      <c r="BY34" s="439">
        <f>'Expense drivers'!BX223</f>
        <v>154.648</v>
      </c>
      <c r="BZ34" s="461">
        <f>'Expense drivers'!BY223</f>
        <v>162.648</v>
      </c>
      <c r="CA34" s="83"/>
      <c r="CB34" s="1363">
        <f t="shared" si="39"/>
        <v>0.1169118496905681</v>
      </c>
      <c r="CC34" s="83"/>
      <c r="CD34" s="83"/>
      <c r="CE34" s="83"/>
      <c r="CF34" s="83"/>
      <c r="CG34" s="1769"/>
      <c r="CH34" s="1769"/>
      <c r="CI34" s="1769"/>
      <c r="CJ34" s="1363">
        <f>RATE(2,,-BM34,BO34)</f>
        <v>0.41153637131843501</v>
      </c>
      <c r="CK34" s="1364">
        <f>RATE(4,,-BO34,BS34)</f>
        <v>0.18411714026902309</v>
      </c>
      <c r="CL34" s="403">
        <f t="shared" si="40"/>
        <v>0.46801804413373554</v>
      </c>
      <c r="CM34" s="403">
        <f t="shared" si="40"/>
        <v>0.41675412651624277</v>
      </c>
      <c r="CN34" s="403">
        <f t="shared" si="40"/>
        <v>0.31881476137156051</v>
      </c>
      <c r="CO34" s="403">
        <f t="shared" si="40"/>
        <v>0.21999334040134796</v>
      </c>
      <c r="CP34" s="403">
        <f t="shared" si="40"/>
        <v>0.11265310964191419</v>
      </c>
      <c r="CQ34" s="403">
        <f t="shared" si="40"/>
        <v>0.10372257951785215</v>
      </c>
      <c r="CR34" s="403">
        <f t="shared" si="40"/>
        <v>0.1096188054058521</v>
      </c>
    </row>
    <row r="35" spans="1:96" s="225" customFormat="1" ht="11.25" customHeight="1">
      <c r="A35" s="81"/>
      <c r="B35"/>
      <c r="C35"/>
      <c r="D35"/>
      <c r="E35"/>
      <c r="F35"/>
      <c r="G35"/>
      <c r="H35" s="81"/>
      <c r="I35" s="468" t="s">
        <v>300</v>
      </c>
      <c r="J35" s="63"/>
      <c r="K35" s="64"/>
      <c r="L35" s="64"/>
      <c r="M35" s="110">
        <f>'Expense drivers'!M209</f>
        <v>1.3</v>
      </c>
      <c r="N35" s="110">
        <f>'Expense drivers'!N209</f>
        <v>0</v>
      </c>
      <c r="O35" s="110">
        <f>'Expense drivers'!O209</f>
        <v>0</v>
      </c>
      <c r="P35" s="469">
        <f>'Expense drivers'!P209</f>
        <v>0</v>
      </c>
      <c r="Q35" s="110">
        <f>'Expense drivers'!Q209</f>
        <v>0</v>
      </c>
      <c r="R35" s="110">
        <f>'Expense drivers'!R209</f>
        <v>0</v>
      </c>
      <c r="S35" s="110">
        <f>'Expense drivers'!S209</f>
        <v>0</v>
      </c>
      <c r="T35" s="110">
        <f>'Expense drivers'!T209</f>
        <v>5.9279999999999999</v>
      </c>
      <c r="U35" s="505">
        <f>'Expense drivers'!U209</f>
        <v>0</v>
      </c>
      <c r="V35" s="110">
        <f>'Expense drivers'!V209</f>
        <v>0</v>
      </c>
      <c r="W35" s="110">
        <f>'Expense drivers'!W209</f>
        <v>0</v>
      </c>
      <c r="X35" s="469">
        <f>'Expense drivers'!X209</f>
        <v>1.262</v>
      </c>
      <c r="Y35" s="505">
        <f>'Expense drivers'!Y209-'Expense drivers'!Y216</f>
        <v>0.12</v>
      </c>
      <c r="Z35" s="110">
        <f>'Expense drivers'!Z209</f>
        <v>0</v>
      </c>
      <c r="AA35" s="110">
        <f>'Expense drivers'!AA209</f>
        <v>0</v>
      </c>
      <c r="AB35" s="469">
        <f>'Expense drivers'!AB209</f>
        <v>0</v>
      </c>
      <c r="AC35" s="505">
        <f>'Expense drivers'!AC209</f>
        <v>0</v>
      </c>
      <c r="AD35" s="110">
        <f>'Expense drivers'!AD209</f>
        <v>0</v>
      </c>
      <c r="AE35" s="110">
        <f>'Expense drivers'!AE209</f>
        <v>0</v>
      </c>
      <c r="AF35" s="469">
        <f>'Expense drivers'!AF209</f>
        <v>0</v>
      </c>
      <c r="AG35" s="505">
        <f>'Expense drivers'!AG209</f>
        <v>0</v>
      </c>
      <c r="AH35" s="110">
        <f>'Expense drivers'!AH209</f>
        <v>0</v>
      </c>
      <c r="AI35" s="110">
        <f>'Expense drivers'!AI209</f>
        <v>0</v>
      </c>
      <c r="AJ35" s="469">
        <f>'Expense drivers'!AJ209</f>
        <v>0</v>
      </c>
      <c r="AK35" s="505">
        <f>'Expense drivers'!AK209</f>
        <v>0</v>
      </c>
      <c r="AL35" s="110">
        <f>'Expense drivers'!AL209</f>
        <v>0</v>
      </c>
      <c r="AM35" s="110">
        <f>'Expense drivers'!AM209</f>
        <v>0</v>
      </c>
      <c r="AN35" s="469">
        <f>'Expense drivers'!AN209</f>
        <v>0</v>
      </c>
      <c r="AO35" s="505">
        <f>'Expense drivers'!AO209</f>
        <v>0</v>
      </c>
      <c r="AP35" s="110">
        <f>'Expense drivers'!AP209</f>
        <v>2.1000000000000001E-2</v>
      </c>
      <c r="AQ35" s="110">
        <f>'Expense drivers'!AQ209</f>
        <v>3.5000000000000003E-2</v>
      </c>
      <c r="AR35" s="469">
        <f>'Expense drivers'!AR209</f>
        <v>-164.77799999999999</v>
      </c>
      <c r="AS35" s="505">
        <f>'Expense drivers'!AS209</f>
        <v>0</v>
      </c>
      <c r="AT35" s="110">
        <f>'Expense drivers'!AT209</f>
        <v>0</v>
      </c>
      <c r="AU35" s="110">
        <f>'Expense drivers'!AU209</f>
        <v>0</v>
      </c>
      <c r="AV35" s="469">
        <f>'Expense drivers'!AV209</f>
        <v>0</v>
      </c>
      <c r="AW35" s="505">
        <f>'Expense drivers'!AW209</f>
        <v>0</v>
      </c>
      <c r="AX35" s="110">
        <f>'Expense drivers'!AX209</f>
        <v>0</v>
      </c>
      <c r="AY35" s="110">
        <f>'Expense drivers'!AY209</f>
        <v>0</v>
      </c>
      <c r="AZ35" s="469">
        <f>'Expense drivers'!AZ209</f>
        <v>0</v>
      </c>
      <c r="BA35" s="505">
        <f>'Expense drivers'!BA209</f>
        <v>0</v>
      </c>
      <c r="BB35" s="110">
        <f>'Expense drivers'!BB209</f>
        <v>0</v>
      </c>
      <c r="BC35" s="110">
        <f>'Expense drivers'!BC209</f>
        <v>0</v>
      </c>
      <c r="BD35" s="469">
        <f>'Expense drivers'!BD209</f>
        <v>0</v>
      </c>
      <c r="BE35"/>
      <c r="BF35" s="105"/>
      <c r="BG35" s="505">
        <f>'Expense drivers'!BF209</f>
        <v>0</v>
      </c>
      <c r="BH35" s="110">
        <f>'Expense drivers'!BG209</f>
        <v>0</v>
      </c>
      <c r="BI35" s="110">
        <f>'Expense drivers'!BH209</f>
        <v>0</v>
      </c>
      <c r="BJ35" s="110">
        <f>'Expense drivers'!BI209</f>
        <v>0</v>
      </c>
      <c r="BK35" s="110">
        <f t="shared" si="28"/>
        <v>1.3</v>
      </c>
      <c r="BL35" s="110">
        <f t="shared" si="29"/>
        <v>5.9279999999999999</v>
      </c>
      <c r="BM35" s="110">
        <f t="shared" si="30"/>
        <v>1.262</v>
      </c>
      <c r="BN35" s="110">
        <f t="shared" si="31"/>
        <v>0.12</v>
      </c>
      <c r="BO35" s="110">
        <f t="shared" si="32"/>
        <v>0</v>
      </c>
      <c r="BP35" s="110">
        <f t="shared" si="33"/>
        <v>0</v>
      </c>
      <c r="BQ35" s="110">
        <f t="shared" si="34"/>
        <v>0</v>
      </c>
      <c r="BR35" s="110">
        <f t="shared" si="35"/>
        <v>-164.72199999999998</v>
      </c>
      <c r="BS35" s="110">
        <f t="shared" si="36"/>
        <v>0</v>
      </c>
      <c r="BT35" s="110">
        <f t="shared" si="37"/>
        <v>0</v>
      </c>
      <c r="BU35" s="110">
        <f t="shared" si="38"/>
        <v>0</v>
      </c>
      <c r="BV35" s="439">
        <f>'Expense drivers'!BU209</f>
        <v>0</v>
      </c>
      <c r="BW35" s="439">
        <f>'Expense drivers'!BV209</f>
        <v>0</v>
      </c>
      <c r="BX35" s="439">
        <f>'Expense drivers'!BW209</f>
        <v>0</v>
      </c>
      <c r="BY35" s="439">
        <f>'Expense drivers'!BX209</f>
        <v>0</v>
      </c>
      <c r="BZ35" s="461">
        <f>'Expense drivers'!BY209</f>
        <v>0</v>
      </c>
      <c r="CA35" s="83"/>
      <c r="CB35" s="1363" t="str">
        <f t="shared" si="39"/>
        <v>NM</v>
      </c>
      <c r="CC35" s="83"/>
      <c r="CD35" s="83"/>
      <c r="CE35" s="83"/>
      <c r="CF35" s="83"/>
      <c r="CG35" s="1769"/>
      <c r="CH35" s="1769"/>
      <c r="CI35" s="1769"/>
      <c r="CJ35" s="1363"/>
      <c r="CK35" s="1364"/>
      <c r="CL35" s="403">
        <f t="shared" ref="CL35:CR37" si="42">IF(ISERROR(RATE(3,,-BL35,BO35)),"NM",(RATE(3,,-BL35,BO35)))</f>
        <v>-0.99999974478297993</v>
      </c>
      <c r="CM35" s="403">
        <f t="shared" si="42"/>
        <v>-0.99999974478297993</v>
      </c>
      <c r="CN35" s="403">
        <f t="shared" si="42"/>
        <v>-0.99999974478297993</v>
      </c>
      <c r="CO35" s="403" t="str">
        <f t="shared" si="42"/>
        <v>NM</v>
      </c>
      <c r="CP35" s="403" t="str">
        <f t="shared" si="42"/>
        <v>NM</v>
      </c>
      <c r="CQ35" s="403" t="str">
        <f t="shared" si="42"/>
        <v>NM</v>
      </c>
      <c r="CR35" s="403">
        <f t="shared" si="42"/>
        <v>-0.99999974507007583</v>
      </c>
    </row>
    <row r="36" spans="1:96" s="225" customFormat="1" ht="11.25" customHeight="1">
      <c r="A36" s="81"/>
      <c r="B36"/>
      <c r="C36"/>
      <c r="D36"/>
      <c r="E36"/>
      <c r="F36"/>
      <c r="G36"/>
      <c r="H36" s="81"/>
      <c r="I36" s="468" t="s">
        <v>260</v>
      </c>
      <c r="J36" s="63"/>
      <c r="K36" s="64"/>
      <c r="L36" s="64"/>
      <c r="M36" s="110">
        <f>'Expense drivers'!M217</f>
        <v>0.253</v>
      </c>
      <c r="N36" s="110">
        <f>'Expense drivers'!N217</f>
        <v>0.25700000000000001</v>
      </c>
      <c r="O36" s="110">
        <f>'Expense drivers'!O217</f>
        <v>0.36699999999999999</v>
      </c>
      <c r="P36" s="469">
        <f>'Expense drivers'!P217</f>
        <v>0.55400000000000005</v>
      </c>
      <c r="Q36" s="110">
        <f>'Expense drivers'!Q217</f>
        <v>1.1030000000000002</v>
      </c>
      <c r="R36" s="110">
        <f>'Expense drivers'!R217</f>
        <v>0.94799999999999995</v>
      </c>
      <c r="S36" s="110">
        <f>'Expense drivers'!S217</f>
        <v>1.46</v>
      </c>
      <c r="T36" s="110">
        <f>'Expense drivers'!T217</f>
        <v>1.3660000000000001</v>
      </c>
      <c r="U36" s="505">
        <f>'Expense drivers'!U217</f>
        <v>7.4290000000000003</v>
      </c>
      <c r="V36" s="110">
        <f>'Expense drivers'!V217</f>
        <v>1.8580000000000001</v>
      </c>
      <c r="W36" s="110">
        <f>'Expense drivers'!W217</f>
        <v>2.3339999999999996</v>
      </c>
      <c r="X36" s="469">
        <f>'Expense drivers'!X217</f>
        <v>3.258</v>
      </c>
      <c r="Y36" s="505">
        <f>'Expense drivers'!Y217</f>
        <v>5.16</v>
      </c>
      <c r="Z36" s="110">
        <f>'Expense drivers'!Z217</f>
        <v>5.7130000000000001</v>
      </c>
      <c r="AA36" s="110">
        <f>'Expense drivers'!AA217</f>
        <v>7.0150000000000006</v>
      </c>
      <c r="AB36" s="469">
        <f>'Expense drivers'!AB217</f>
        <v>8.7889999999999997</v>
      </c>
      <c r="AC36" s="505">
        <f>'Expense drivers'!AC217</f>
        <v>9.4559999999999995</v>
      </c>
      <c r="AD36" s="110">
        <f>'Expense drivers'!AD217</f>
        <v>10.083</v>
      </c>
      <c r="AE36" s="110">
        <f>'Expense drivers'!AE217</f>
        <v>10.917999999999999</v>
      </c>
      <c r="AF36" s="469">
        <f>'Expense drivers'!AF217</f>
        <v>11.816000000000001</v>
      </c>
      <c r="AG36" s="505">
        <f>'Expense drivers'!AG217</f>
        <v>13.670999999999999</v>
      </c>
      <c r="AH36" s="110">
        <f>'Expense drivers'!AH217</f>
        <v>15.516000000000002</v>
      </c>
      <c r="AI36" s="110">
        <f>'Expense drivers'!AI217</f>
        <v>15.683</v>
      </c>
      <c r="AJ36" s="469">
        <f>'Expense drivers'!AJ217</f>
        <v>15.972</v>
      </c>
      <c r="AK36" s="505">
        <f>'Expense drivers'!AK217</f>
        <v>19.11</v>
      </c>
      <c r="AL36" s="110">
        <f>'Expense drivers'!AL217</f>
        <v>20.725999999999999</v>
      </c>
      <c r="AM36" s="110">
        <f>'Expense drivers'!AM217</f>
        <v>22.560000000000002</v>
      </c>
      <c r="AN36" s="469">
        <f>'Expense drivers'!AN217</f>
        <v>23.864000000000004</v>
      </c>
      <c r="AO36" s="505">
        <f>'Expense drivers'!AO217</f>
        <v>24.334000000000003</v>
      </c>
      <c r="AP36" s="110">
        <f>'Expense drivers'!AP217</f>
        <v>25.365000000000002</v>
      </c>
      <c r="AQ36" s="110">
        <f>'Expense drivers'!AQ217</f>
        <v>25.309000000000001</v>
      </c>
      <c r="AR36" s="469">
        <f>'Expense drivers'!AR217</f>
        <v>25.407</v>
      </c>
      <c r="AS36" s="505">
        <f>'Expense drivers'!AS217</f>
        <v>26.767400000000006</v>
      </c>
      <c r="AT36" s="110">
        <f>'Expense drivers'!AT217</f>
        <v>27.901500000000006</v>
      </c>
      <c r="AU36" s="110">
        <f>'Expense drivers'!AU217</f>
        <v>29.105349999999998</v>
      </c>
      <c r="AV36" s="469">
        <f>'Expense drivers'!AV217</f>
        <v>30.488399999999999</v>
      </c>
      <c r="AW36" s="505">
        <f>'Expense drivers'!AW217</f>
        <v>29.979488000000011</v>
      </c>
      <c r="AX36" s="110">
        <f>'Expense drivers'!AX217</f>
        <v>31.249680000000009</v>
      </c>
      <c r="AY36" s="110">
        <f>'Expense drivers'!AY217</f>
        <v>32.597991999999998</v>
      </c>
      <c r="AZ36" s="469">
        <f>'Expense drivers'!AZ217</f>
        <v>34.147008</v>
      </c>
      <c r="BA36" s="505">
        <f>'Expense drivers'!BA217</f>
        <v>32.977436800000014</v>
      </c>
      <c r="BB36" s="110">
        <f>'Expense drivers'!BB217</f>
        <v>34.374648000000015</v>
      </c>
      <c r="BC36" s="110">
        <f>'Expense drivers'!BC217</f>
        <v>35.857791200000001</v>
      </c>
      <c r="BD36" s="469">
        <f>'Expense drivers'!BD217</f>
        <v>37.561708800000005</v>
      </c>
      <c r="BE36"/>
      <c r="BF36" s="105"/>
      <c r="BG36" s="505">
        <f>'Expense drivers'!BF217</f>
        <v>0</v>
      </c>
      <c r="BH36" s="110">
        <f>'Expense drivers'!BG217</f>
        <v>9.4E-2</v>
      </c>
      <c r="BI36" s="110">
        <f>'Expense drivers'!BH217</f>
        <v>0.36499999999999999</v>
      </c>
      <c r="BJ36" s="110">
        <f>'Expense drivers'!BI217</f>
        <v>0.55700000000000005</v>
      </c>
      <c r="BK36" s="110">
        <f t="shared" si="28"/>
        <v>1.431</v>
      </c>
      <c r="BL36" s="110">
        <f t="shared" si="29"/>
        <v>4.8770000000000007</v>
      </c>
      <c r="BM36" s="110">
        <f t="shared" si="30"/>
        <v>14.879000000000001</v>
      </c>
      <c r="BN36" s="110">
        <f t="shared" si="31"/>
        <v>26.677</v>
      </c>
      <c r="BO36" s="110">
        <f t="shared" si="32"/>
        <v>42.273000000000003</v>
      </c>
      <c r="BP36" s="110">
        <f t="shared" si="33"/>
        <v>60.842000000000006</v>
      </c>
      <c r="BQ36" s="110">
        <f t="shared" si="34"/>
        <v>86.26</v>
      </c>
      <c r="BR36" s="110">
        <f t="shared" si="35"/>
        <v>100.41500000000001</v>
      </c>
      <c r="BS36" s="110">
        <f t="shared" si="36"/>
        <v>114.26265000000001</v>
      </c>
      <c r="BT36" s="110">
        <f t="shared" si="37"/>
        <v>127.97416800000002</v>
      </c>
      <c r="BU36" s="110">
        <f t="shared" si="38"/>
        <v>140.77158480000003</v>
      </c>
      <c r="BV36" s="439">
        <f>'Expense drivers'!BU217</f>
        <v>150.62559573600004</v>
      </c>
      <c r="BW36" s="439">
        <f>'Expense drivers'!BV217</f>
        <v>158.15687552280005</v>
      </c>
      <c r="BX36" s="439">
        <f>'Expense drivers'!BW217</f>
        <v>166.06471929894005</v>
      </c>
      <c r="BY36" s="439">
        <f>'Expense drivers'!BX217</f>
        <v>174.36795526388707</v>
      </c>
      <c r="BZ36" s="461">
        <f>'Expense drivers'!BY217</f>
        <v>183.08635302708143</v>
      </c>
      <c r="CA36" s="83"/>
      <c r="CB36" s="1363">
        <f t="shared" si="39"/>
        <v>0.18266652285449461</v>
      </c>
      <c r="CC36" s="83"/>
      <c r="CD36" s="83"/>
      <c r="CE36" s="83"/>
      <c r="CF36" s="83"/>
      <c r="CG36" s="1769"/>
      <c r="CH36" s="1769"/>
      <c r="CI36" s="1769"/>
      <c r="CJ36" s="1363">
        <f>RATE(2,,-BM36,BO36)</f>
        <v>0.68556173269568221</v>
      </c>
      <c r="CK36" s="1364">
        <f>RATE(4,,-BO36,BS36)</f>
        <v>0.2822133833786391</v>
      </c>
      <c r="CL36" s="403">
        <f t="shared" si="42"/>
        <v>1.0541718401268967</v>
      </c>
      <c r="CM36" s="403">
        <f t="shared" si="42"/>
        <v>0.59910352024410052</v>
      </c>
      <c r="CN36" s="403">
        <f t="shared" si="42"/>
        <v>0.47873659831770271</v>
      </c>
      <c r="CO36" s="403">
        <f t="shared" si="42"/>
        <v>0.33427446388117504</v>
      </c>
      <c r="CP36" s="403">
        <f t="shared" si="42"/>
        <v>0.23376828862297008</v>
      </c>
      <c r="CQ36" s="403">
        <f t="shared" si="42"/>
        <v>0.14052362821765071</v>
      </c>
      <c r="CR36" s="403">
        <f t="shared" si="42"/>
        <v>0.1191942470511069</v>
      </c>
    </row>
    <row r="37" spans="1:96" s="225" customFormat="1" ht="11.25" customHeight="1">
      <c r="A37" s="81"/>
      <c r="B37"/>
      <c r="C37"/>
      <c r="D37"/>
      <c r="E37"/>
      <c r="F37"/>
      <c r="G37"/>
      <c r="H37" s="81"/>
      <c r="I37" s="468" t="s">
        <v>36</v>
      </c>
      <c r="J37" s="63"/>
      <c r="K37" s="64"/>
      <c r="L37" s="64"/>
      <c r="M37" s="110">
        <f>'Expense drivers'!M208</f>
        <v>0.44400000000000001</v>
      </c>
      <c r="N37" s="110">
        <f>'Expense drivers'!N208</f>
        <v>0.45300000000000001</v>
      </c>
      <c r="O37" s="110">
        <f>'Expense drivers'!O208</f>
        <v>0.58599999999999997</v>
      </c>
      <c r="P37" s="469">
        <f>'Expense drivers'!P208</f>
        <v>0.85099999999999998</v>
      </c>
      <c r="Q37" s="110">
        <f>'Expense drivers'!Q208</f>
        <v>0.81899999999999995</v>
      </c>
      <c r="R37" s="110">
        <f>'Expense drivers'!R208</f>
        <v>0.92400000000000004</v>
      </c>
      <c r="S37" s="110">
        <f>'Expense drivers'!S208</f>
        <v>1.0469999999999999</v>
      </c>
      <c r="T37" s="110">
        <f>'Expense drivers'!T208</f>
        <v>1.448</v>
      </c>
      <c r="U37" s="505">
        <f>'Expense drivers'!U208</f>
        <v>1.361</v>
      </c>
      <c r="V37" s="110">
        <f>'Expense drivers'!V208</f>
        <v>1.661</v>
      </c>
      <c r="W37" s="110">
        <f>'Expense drivers'!W208</f>
        <v>1.78</v>
      </c>
      <c r="X37" s="469">
        <f>'Expense drivers'!X208</f>
        <v>2.4209999999999998</v>
      </c>
      <c r="Y37" s="505">
        <f>'Expense drivers'!Y208</f>
        <v>2.4780000000000002</v>
      </c>
      <c r="Z37" s="110">
        <f>'Expense drivers'!Z208</f>
        <v>2.637</v>
      </c>
      <c r="AA37" s="110">
        <f>'Expense drivers'!AA208</f>
        <v>2.8159999999999998</v>
      </c>
      <c r="AB37" s="469">
        <f>'Expense drivers'!AB208</f>
        <v>3.524</v>
      </c>
      <c r="AC37" s="505">
        <f>'Expense drivers'!AC208</f>
        <v>3.661</v>
      </c>
      <c r="AD37" s="110">
        <f>'Expense drivers'!AD208</f>
        <v>4.0339999999999998</v>
      </c>
      <c r="AE37" s="110">
        <f>'Expense drivers'!AE208</f>
        <v>4.6040000000000001</v>
      </c>
      <c r="AF37" s="469">
        <f>'Expense drivers'!AF208</f>
        <v>5.2910000000000004</v>
      </c>
      <c r="AG37" s="505">
        <f>'Expense drivers'!AG208</f>
        <v>6.8949999999999996</v>
      </c>
      <c r="AH37" s="110">
        <f>'Expense drivers'!AH208</f>
        <v>7.1669999999999998</v>
      </c>
      <c r="AI37" s="110">
        <f>'Expense drivers'!AI208</f>
        <v>7.5620000000000003</v>
      </c>
      <c r="AJ37" s="469">
        <f>'Expense drivers'!AJ208</f>
        <v>7.98</v>
      </c>
      <c r="AK37" s="505">
        <f>'Expense drivers'!AK208</f>
        <v>8.1890000000000001</v>
      </c>
      <c r="AL37" s="110">
        <f>'Expense drivers'!AL208</f>
        <v>8.5640000000000001</v>
      </c>
      <c r="AM37" s="110">
        <f>'Expense drivers'!AM208</f>
        <v>9.1590000000000007</v>
      </c>
      <c r="AN37" s="469">
        <f>'Expense drivers'!AN208</f>
        <v>12.888999999999999</v>
      </c>
      <c r="AO37" s="505">
        <f>'Expense drivers'!AO208</f>
        <v>10.382</v>
      </c>
      <c r="AP37" s="110">
        <f>'Expense drivers'!AP208</f>
        <v>10.662000000000001</v>
      </c>
      <c r="AQ37" s="110">
        <f>'Expense drivers'!AQ208</f>
        <v>10.656000000000001</v>
      </c>
      <c r="AR37" s="469">
        <f>'Expense drivers'!AR208</f>
        <v>9.7289999999999992</v>
      </c>
      <c r="AS37" s="505">
        <f>'Expense drivers'!AS208</f>
        <v>10.507</v>
      </c>
      <c r="AT37" s="110">
        <f>'Expense drivers'!AT208</f>
        <v>10.9915</v>
      </c>
      <c r="AU37" s="110">
        <f>'Expense drivers'!AU208</f>
        <v>11.78</v>
      </c>
      <c r="AV37" s="469">
        <f>'Expense drivers'!AV208</f>
        <v>12.321499999999999</v>
      </c>
      <c r="AW37" s="505">
        <f>'Expense drivers'!AW208</f>
        <v>7.6903817599424471</v>
      </c>
      <c r="AX37" s="110">
        <f>'Expense drivers'!AX208</f>
        <v>8.0100684262184867</v>
      </c>
      <c r="AY37" s="110">
        <f>'Expense drivers'!AY208</f>
        <v>8.3505940209007985</v>
      </c>
      <c r="AZ37" s="469">
        <f>'Expense drivers'!AZ208</f>
        <v>8.6215700530094619</v>
      </c>
      <c r="BA37" s="505">
        <f>'Expense drivers'!BA208</f>
        <v>8.7823240376417804</v>
      </c>
      <c r="BB37" s="110">
        <f>'Expense drivers'!BB208</f>
        <v>9.1135613901937784</v>
      </c>
      <c r="BC37" s="110">
        <f>'Expense drivers'!BC208</f>
        <v>9.4384435538660227</v>
      </c>
      <c r="BD37" s="469">
        <f>'Expense drivers'!BD208</f>
        <v>9.6734759684153673</v>
      </c>
      <c r="BE37"/>
      <c r="BF37" s="105"/>
      <c r="BG37" s="505">
        <f>'Expense drivers'!BF208</f>
        <v>0.01</v>
      </c>
      <c r="BH37" s="110">
        <f>'Expense drivers'!BG208</f>
        <v>0.17499999999999999</v>
      </c>
      <c r="BI37" s="110">
        <f>'Expense drivers'!BH208</f>
        <v>0.57099999999999995</v>
      </c>
      <c r="BJ37" s="110">
        <f>'Expense drivers'!BI208</f>
        <v>1.2010000000000001</v>
      </c>
      <c r="BK37" s="110">
        <f t="shared" si="28"/>
        <v>2.3340000000000001</v>
      </c>
      <c r="BL37" s="110">
        <f t="shared" si="29"/>
        <v>4.2379999999999995</v>
      </c>
      <c r="BM37" s="110">
        <f t="shared" si="30"/>
        <v>7.2230000000000008</v>
      </c>
      <c r="BN37" s="110">
        <f t="shared" si="31"/>
        <v>11.455</v>
      </c>
      <c r="BO37" s="110">
        <f t="shared" si="32"/>
        <v>17.59</v>
      </c>
      <c r="BP37" s="110">
        <f t="shared" si="33"/>
        <v>29.603999999999999</v>
      </c>
      <c r="BQ37" s="110">
        <f t="shared" si="34"/>
        <v>38.801000000000002</v>
      </c>
      <c r="BR37" s="110">
        <f t="shared" si="35"/>
        <v>41.429000000000002</v>
      </c>
      <c r="BS37" s="110">
        <f t="shared" si="36"/>
        <v>45.6</v>
      </c>
      <c r="BT37" s="110">
        <f t="shared" si="37"/>
        <v>32.672614260071192</v>
      </c>
      <c r="BU37" s="110">
        <f t="shared" si="38"/>
        <v>37.007804950116949</v>
      </c>
      <c r="BV37" s="439">
        <f>'Expense drivers'!BU208</f>
        <v>41.507804950116942</v>
      </c>
      <c r="BW37" s="439">
        <f>'Expense drivers'!BV208</f>
        <v>46.007804950116942</v>
      </c>
      <c r="BX37" s="439">
        <f>'Expense drivers'!BW208</f>
        <v>50.507804950116942</v>
      </c>
      <c r="BY37" s="439">
        <f>'Expense drivers'!BX208</f>
        <v>55.007804950116942</v>
      </c>
      <c r="BZ37" s="461">
        <f>'Expense drivers'!BY208</f>
        <v>59.507804950116942</v>
      </c>
      <c r="CA37" s="83"/>
      <c r="CB37" s="1363">
        <f t="shared" si="39"/>
        <v>4.5655403843115103E-2</v>
      </c>
      <c r="CC37" s="83"/>
      <c r="CD37" s="83"/>
      <c r="CE37" s="83"/>
      <c r="CF37" s="83"/>
      <c r="CG37" s="1769"/>
      <c r="CH37" s="1769"/>
      <c r="CI37" s="1769"/>
      <c r="CJ37" s="1363">
        <f>RATE(2,,-BM37,BO37)</f>
        <v>0.56053715144001104</v>
      </c>
      <c r="CK37" s="1364">
        <f>RATE(4,,-BO37,BS37)</f>
        <v>0.26889226737484162</v>
      </c>
      <c r="CL37" s="403">
        <f t="shared" si="42"/>
        <v>0.60707062311516324</v>
      </c>
      <c r="CM37" s="403">
        <f t="shared" si="42"/>
        <v>0.60033508603240582</v>
      </c>
      <c r="CN37" s="403">
        <f t="shared" si="42"/>
        <v>0.50181328474957043</v>
      </c>
      <c r="CO37" s="403">
        <f t="shared" si="42"/>
        <v>0.33049384673689675</v>
      </c>
      <c r="CP37" s="403">
        <f t="shared" si="42"/>
        <v>0.1548834268297937</v>
      </c>
      <c r="CQ37" s="403">
        <f t="shared" si="42"/>
        <v>-5.5692029047560425E-2</v>
      </c>
      <c r="CR37" s="403">
        <f t="shared" si="42"/>
        <v>-3.6918681534336951E-2</v>
      </c>
    </row>
    <row r="38" spans="1:96" s="225" customFormat="1" ht="11.25" customHeight="1">
      <c r="A38" s="81"/>
      <c r="B38"/>
      <c r="C38"/>
      <c r="D38"/>
      <c r="E38"/>
      <c r="F38"/>
      <c r="G38"/>
      <c r="H38" s="81"/>
      <c r="I38" s="468"/>
      <c r="J38" s="63"/>
      <c r="K38" s="64"/>
      <c r="L38" s="64"/>
      <c r="M38" s="110"/>
      <c r="N38" s="110"/>
      <c r="O38" s="110"/>
      <c r="P38" s="469"/>
      <c r="Q38" s="110"/>
      <c r="R38" s="110"/>
      <c r="S38" s="110"/>
      <c r="T38" s="110"/>
      <c r="U38" s="505"/>
      <c r="V38" s="110"/>
      <c r="W38" s="110"/>
      <c r="X38" s="469"/>
      <c r="Y38" s="505"/>
      <c r="Z38" s="110"/>
      <c r="AA38" s="110"/>
      <c r="AB38" s="469"/>
      <c r="AC38" s="505"/>
      <c r="AD38" s="110"/>
      <c r="AE38" s="110"/>
      <c r="AF38" s="469"/>
      <c r="AG38" s="505"/>
      <c r="AH38" s="110"/>
      <c r="AI38" s="1747"/>
      <c r="AJ38" s="1764"/>
      <c r="AK38" s="505"/>
      <c r="AL38" s="110"/>
      <c r="AM38" s="110"/>
      <c r="AN38" s="469"/>
      <c r="AO38" s="505"/>
      <c r="AP38" s="110"/>
      <c r="AQ38" s="110"/>
      <c r="AR38" s="469"/>
      <c r="AS38" s="505"/>
      <c r="AT38" s="110"/>
      <c r="AU38" s="110"/>
      <c r="AV38" s="469"/>
      <c r="AW38" s="505"/>
      <c r="AX38" s="110"/>
      <c r="AY38" s="110"/>
      <c r="AZ38" s="469"/>
      <c r="BA38" s="505"/>
      <c r="BB38" s="110"/>
      <c r="BC38" s="110"/>
      <c r="BD38" s="469"/>
      <c r="BE38"/>
      <c r="BF38" s="105"/>
      <c r="BG38" s="505"/>
      <c r="BH38" s="110"/>
      <c r="BI38" s="110"/>
      <c r="BJ38" s="110"/>
      <c r="BK38" s="110"/>
      <c r="BL38" s="110"/>
      <c r="BM38" s="110"/>
      <c r="BN38" s="110"/>
      <c r="BO38" s="110"/>
      <c r="BP38" s="1747"/>
      <c r="BQ38" s="266"/>
      <c r="BR38" s="2570"/>
      <c r="BS38" s="266"/>
      <c r="BT38" s="266"/>
      <c r="BU38" s="266"/>
      <c r="BV38" s="266"/>
      <c r="BW38" s="266"/>
      <c r="BX38" s="266"/>
      <c r="BY38" s="266"/>
      <c r="BZ38" s="731"/>
      <c r="CA38" s="83"/>
      <c r="CB38" s="1365"/>
      <c r="CC38" s="83"/>
      <c r="CD38" s="83"/>
      <c r="CE38" s="83"/>
      <c r="CF38" s="83"/>
      <c r="CG38" s="1769"/>
      <c r="CH38" s="1769"/>
      <c r="CI38" s="1769"/>
      <c r="CJ38" s="1365"/>
      <c r="CK38" s="1364"/>
      <c r="CL38" s="403"/>
      <c r="CM38" s="403"/>
      <c r="CN38" s="403"/>
      <c r="CO38" s="403"/>
      <c r="CP38" s="403"/>
      <c r="CQ38" s="403"/>
      <c r="CR38" s="403"/>
    </row>
    <row r="39" spans="1:96" s="224" customFormat="1" ht="11.25" customHeight="1">
      <c r="A39" s="426"/>
      <c r="B39"/>
      <c r="C39"/>
      <c r="D39"/>
      <c r="E39"/>
      <c r="F39"/>
      <c r="G39"/>
      <c r="H39" s="426"/>
      <c r="I39" s="470" t="s">
        <v>112</v>
      </c>
      <c r="J39" s="427"/>
      <c r="K39" s="427"/>
      <c r="L39" s="428"/>
      <c r="M39" s="428">
        <f t="shared" ref="M39:V39" si="43">SUM(M32:M34,M37)</f>
        <v>9.8820000000000014</v>
      </c>
      <c r="N39" s="428">
        <f t="shared" si="43"/>
        <v>12.433</v>
      </c>
      <c r="O39" s="428">
        <f t="shared" si="43"/>
        <v>14.304</v>
      </c>
      <c r="P39" s="471">
        <f t="shared" si="43"/>
        <v>14.776</v>
      </c>
      <c r="Q39" s="428">
        <f t="shared" si="43"/>
        <v>16.931999999999999</v>
      </c>
      <c r="R39" s="428">
        <f t="shared" si="43"/>
        <v>18.578999999999997</v>
      </c>
      <c r="S39" s="428">
        <f t="shared" si="43"/>
        <v>22.707000000000004</v>
      </c>
      <c r="T39" s="428">
        <f t="shared" si="43"/>
        <v>24.552</v>
      </c>
      <c r="U39" s="506">
        <f t="shared" si="43"/>
        <v>27.593999999999998</v>
      </c>
      <c r="V39" s="428">
        <f t="shared" si="43"/>
        <v>30.470000000000002</v>
      </c>
      <c r="W39" s="428">
        <f t="shared" ref="W39:AB39" si="44">SUM(W32:W34,W37)</f>
        <v>33.515000000000001</v>
      </c>
      <c r="X39" s="471">
        <f t="shared" si="44"/>
        <v>38.808</v>
      </c>
      <c r="Y39" s="506">
        <f t="shared" si="44"/>
        <v>42.138999999999996</v>
      </c>
      <c r="Z39" s="428">
        <f t="shared" si="44"/>
        <v>45.977000000000004</v>
      </c>
      <c r="AA39" s="428">
        <f t="shared" si="44"/>
        <v>51.774000000000001</v>
      </c>
      <c r="AB39" s="471">
        <f t="shared" si="44"/>
        <v>58.984000000000002</v>
      </c>
      <c r="AC39" s="506">
        <f t="shared" ref="AC39:AJ39" si="45">SUM(AC32:AC34,AC37)</f>
        <v>66.628</v>
      </c>
      <c r="AD39" s="428">
        <f t="shared" si="45"/>
        <v>69.851000000000013</v>
      </c>
      <c r="AE39" s="428">
        <f t="shared" si="45"/>
        <v>81.071999999999989</v>
      </c>
      <c r="AF39" s="471">
        <f t="shared" si="45"/>
        <v>83</v>
      </c>
      <c r="AG39" s="506">
        <f t="shared" si="45"/>
        <v>100.511</v>
      </c>
      <c r="AH39" s="428">
        <f>SUM(AH32:AH34,AH37)</f>
        <v>105.512</v>
      </c>
      <c r="AI39" s="428">
        <f t="shared" si="45"/>
        <v>124.764</v>
      </c>
      <c r="AJ39" s="471">
        <f t="shared" si="45"/>
        <v>129.50800000000001</v>
      </c>
      <c r="AK39" s="506">
        <f t="shared" ref="AK39:AP39" si="46">SUM(AK32:AK34,AK37)</f>
        <v>139.09899999999999</v>
      </c>
      <c r="AL39" s="428">
        <f t="shared" si="46"/>
        <v>139.209</v>
      </c>
      <c r="AM39" s="428">
        <f>SUM(AM32:AM34,AM37)</f>
        <v>147.88200000000001</v>
      </c>
      <c r="AN39" s="471">
        <f t="shared" si="46"/>
        <v>147.68100000000001</v>
      </c>
      <c r="AO39" s="506">
        <f>SUM(AO32:AO34,AO37)</f>
        <v>162.50100000000003</v>
      </c>
      <c r="AP39" s="428">
        <f t="shared" si="46"/>
        <v>159.53500000000003</v>
      </c>
      <c r="AQ39" s="428">
        <f t="shared" ref="AQ39:AR39" si="47">SUM(AQ32:AQ34,AQ37)</f>
        <v>171.90899999999999</v>
      </c>
      <c r="AR39" s="471">
        <f t="shared" si="47"/>
        <v>171.18200000000002</v>
      </c>
      <c r="AS39" s="506">
        <f t="shared" ref="AS39:BD39" si="48">SUM(AS32:AS34,AS37)</f>
        <v>181.73105395721737</v>
      </c>
      <c r="AT39" s="428">
        <f t="shared" si="48"/>
        <v>177.0179712655125</v>
      </c>
      <c r="AU39" s="428">
        <f t="shared" si="48"/>
        <v>190.95465446532958</v>
      </c>
      <c r="AV39" s="471">
        <f t="shared" si="48"/>
        <v>197.66729212448337</v>
      </c>
      <c r="AW39" s="506">
        <f t="shared" si="48"/>
        <v>205.79396560977247</v>
      </c>
      <c r="AX39" s="428">
        <f t="shared" si="48"/>
        <v>198.61295309758358</v>
      </c>
      <c r="AY39" s="428">
        <f t="shared" si="48"/>
        <v>211.73365571709647</v>
      </c>
      <c r="AZ39" s="471">
        <f t="shared" si="48"/>
        <v>217.00270723765431</v>
      </c>
      <c r="BA39" s="506">
        <f t="shared" si="48"/>
        <v>230.36405867070536</v>
      </c>
      <c r="BB39" s="428">
        <f t="shared" si="48"/>
        <v>221.39904828310017</v>
      </c>
      <c r="BC39" s="428">
        <f t="shared" si="48"/>
        <v>234.32458412406118</v>
      </c>
      <c r="BD39" s="471">
        <f t="shared" si="48"/>
        <v>239.07113975148584</v>
      </c>
      <c r="BE39"/>
      <c r="BF39" s="429"/>
      <c r="BG39" s="506">
        <f t="shared" ref="BG39:BU39" si="49">SUM(BG32:BG34,BG37)</f>
        <v>2.6709999999999998</v>
      </c>
      <c r="BH39" s="428">
        <f t="shared" si="49"/>
        <v>7.3389999999999995</v>
      </c>
      <c r="BI39" s="428">
        <f t="shared" si="49"/>
        <v>17.405000000000001</v>
      </c>
      <c r="BJ39" s="428">
        <f t="shared" si="49"/>
        <v>26.463000000000001</v>
      </c>
      <c r="BK39" s="428">
        <f t="shared" si="49"/>
        <v>51.395000000000003</v>
      </c>
      <c r="BL39" s="428">
        <f t="shared" si="49"/>
        <v>82.77</v>
      </c>
      <c r="BM39" s="428">
        <f t="shared" si="49"/>
        <v>130.387</v>
      </c>
      <c r="BN39" s="428">
        <f t="shared" si="49"/>
        <v>198.87400000000002</v>
      </c>
      <c r="BO39" s="428">
        <f t="shared" si="49"/>
        <v>300.55099999999999</v>
      </c>
      <c r="BP39" s="428">
        <f t="shared" si="49"/>
        <v>460.29500000000002</v>
      </c>
      <c r="BQ39" s="428">
        <f t="shared" si="49"/>
        <v>573.87099999999998</v>
      </c>
      <c r="BR39" s="428">
        <f t="shared" si="49"/>
        <v>665.12699999999995</v>
      </c>
      <c r="BS39" s="428">
        <f t="shared" si="49"/>
        <v>747.37097181254285</v>
      </c>
      <c r="BT39" s="428">
        <f t="shared" si="49"/>
        <v>833.14328166210692</v>
      </c>
      <c r="BU39" s="428">
        <f t="shared" si="49"/>
        <v>925.1588308293525</v>
      </c>
      <c r="BV39" s="428">
        <f>SUM(BV32:BV34,BV37)</f>
        <v>1005.4588308293526</v>
      </c>
      <c r="BW39" s="428">
        <f>SUM(BW32:BW34,BW37)</f>
        <v>1078.9588308293526</v>
      </c>
      <c r="BX39" s="428">
        <f>SUM(BX32:BX34,BX37)</f>
        <v>1147.4588308293526</v>
      </c>
      <c r="BY39" s="428">
        <f>SUM(BY32:BY34,BY37)</f>
        <v>1208.9588308293526</v>
      </c>
      <c r="BZ39" s="471">
        <f>SUM(BZ32:BZ34,BZ37)</f>
        <v>1264.4588308293523</v>
      </c>
      <c r="CA39" s="226"/>
      <c r="CB39" s="2261">
        <f>IF(ISERROR(RATE(5,,-BP39,BU39)),"NM",(RATE(5,,-BP39,BU39)))</f>
        <v>0.1498362819269298</v>
      </c>
      <c r="CC39" s="226"/>
      <c r="CD39" s="226"/>
      <c r="CE39" s="226"/>
      <c r="CF39" s="226"/>
      <c r="CG39" s="1134"/>
      <c r="CH39" s="1134"/>
      <c r="CI39" s="1134"/>
      <c r="CJ39" s="1363">
        <f>RATE(2,,-BM39,BO39)</f>
        <v>0.51824528876416875</v>
      </c>
      <c r="CK39" s="1364">
        <f>RATE(4,,-BO39,BS39)</f>
        <v>0.25575383195854756</v>
      </c>
      <c r="CL39" s="430">
        <f t="shared" ref="CL39:CR43" si="50">IF(ISERROR(RATE(3,,-BL39,BO39)),"NM",(RATE(3,,-BL39,BO39)))</f>
        <v>0.53702786408822145</v>
      </c>
      <c r="CM39" s="430">
        <f t="shared" si="50"/>
        <v>0.52265199125326189</v>
      </c>
      <c r="CN39" s="430">
        <f t="shared" si="50"/>
        <v>0.42367903574936844</v>
      </c>
      <c r="CO39" s="430">
        <f t="shared" si="50"/>
        <v>0.3031531760986923</v>
      </c>
      <c r="CP39" s="430">
        <f t="shared" si="50"/>
        <v>0.17534849648474823</v>
      </c>
      <c r="CQ39" s="430">
        <f t="shared" si="50"/>
        <v>0.13231816026544815</v>
      </c>
      <c r="CR39" s="430">
        <f t="shared" si="50"/>
        <v>0.11627339397471144</v>
      </c>
    </row>
    <row r="40" spans="1:96" s="225" customFormat="1" ht="11.25" customHeight="1">
      <c r="A40" s="81"/>
      <c r="B40"/>
      <c r="C40"/>
      <c r="D40"/>
      <c r="E40"/>
      <c r="F40"/>
      <c r="G40"/>
      <c r="H40" s="81"/>
      <c r="I40" s="472"/>
      <c r="J40" s="400"/>
      <c r="K40" s="400"/>
      <c r="L40" s="110"/>
      <c r="M40" s="110"/>
      <c r="N40" s="110"/>
      <c r="O40" s="110"/>
      <c r="P40" s="469"/>
      <c r="Q40" s="110"/>
      <c r="R40" s="110"/>
      <c r="S40" s="110"/>
      <c r="T40" s="110"/>
      <c r="U40" s="505"/>
      <c r="V40" s="110"/>
      <c r="W40" s="110"/>
      <c r="X40" s="469"/>
      <c r="Y40" s="505"/>
      <c r="Z40" s="110"/>
      <c r="AA40" s="110"/>
      <c r="AB40" s="469"/>
      <c r="AC40" s="505"/>
      <c r="AD40" s="110"/>
      <c r="AE40" s="110"/>
      <c r="AF40" s="469"/>
      <c r="AG40" s="505"/>
      <c r="AH40" s="110"/>
      <c r="AI40" s="110"/>
      <c r="AJ40" s="469"/>
      <c r="AK40" s="505"/>
      <c r="AL40" s="110"/>
      <c r="AM40" s="110"/>
      <c r="AN40" s="469"/>
      <c r="AO40" s="505"/>
      <c r="AP40" s="110"/>
      <c r="AQ40" s="110"/>
      <c r="AR40" s="469"/>
      <c r="AS40" s="505"/>
      <c r="AT40" s="110"/>
      <c r="AU40" s="110"/>
      <c r="AV40" s="469"/>
      <c r="AW40" s="505"/>
      <c r="AX40" s="110"/>
      <c r="AY40" s="110"/>
      <c r="AZ40" s="469"/>
      <c r="BA40" s="505"/>
      <c r="BB40" s="110"/>
      <c r="BC40" s="110"/>
      <c r="BD40" s="469"/>
      <c r="BE40"/>
      <c r="BF40" s="82"/>
      <c r="BG40" s="505"/>
      <c r="BH40" s="110"/>
      <c r="BI40" s="110"/>
      <c r="BJ40" s="110"/>
      <c r="BK40" s="110"/>
      <c r="BL40" s="110"/>
      <c r="BM40" s="110"/>
      <c r="BN40" s="110"/>
      <c r="BO40" s="110"/>
      <c r="BP40" s="110"/>
      <c r="BQ40" s="1752"/>
      <c r="BR40" s="110"/>
      <c r="BS40" s="110"/>
      <c r="BT40" s="110"/>
      <c r="BU40" s="110"/>
      <c r="BV40" s="110"/>
      <c r="BW40" s="110"/>
      <c r="BX40" s="110"/>
      <c r="BY40" s="110"/>
      <c r="BZ40" s="469"/>
      <c r="CA40" s="83"/>
      <c r="CB40" s="1365"/>
      <c r="CC40" s="83"/>
      <c r="CD40" s="83"/>
      <c r="CE40" s="83"/>
      <c r="CF40" s="1128"/>
      <c r="CG40" s="1769"/>
      <c r="CH40" s="1769"/>
      <c r="CI40" s="1769"/>
      <c r="CJ40" s="1365"/>
      <c r="CK40" s="1364"/>
      <c r="CL40" s="403"/>
      <c r="CM40" s="403"/>
      <c r="CN40" s="403"/>
      <c r="CO40" s="403"/>
      <c r="CP40" s="403"/>
      <c r="CQ40" s="403"/>
      <c r="CR40" s="403"/>
    </row>
    <row r="41" spans="1:96" s="225" customFormat="1" ht="11.25" customHeight="1">
      <c r="A41" s="81"/>
      <c r="B41"/>
      <c r="C41"/>
      <c r="D41"/>
      <c r="E41"/>
      <c r="F41"/>
      <c r="G41"/>
      <c r="H41" s="81"/>
      <c r="I41" s="473" t="s">
        <v>111</v>
      </c>
      <c r="J41" s="64"/>
      <c r="K41" s="64"/>
      <c r="L41" s="110"/>
      <c r="M41" s="110">
        <f t="shared" ref="M41:V41" si="51">SUM(M32:M37)</f>
        <v>11.435000000000002</v>
      </c>
      <c r="N41" s="110">
        <f t="shared" si="51"/>
        <v>12.69</v>
      </c>
      <c r="O41" s="110">
        <f t="shared" si="51"/>
        <v>14.671000000000001</v>
      </c>
      <c r="P41" s="469">
        <f t="shared" si="51"/>
        <v>15.330000000000002</v>
      </c>
      <c r="Q41" s="110">
        <f t="shared" si="51"/>
        <v>18.035</v>
      </c>
      <c r="R41" s="110">
        <f t="shared" si="51"/>
        <v>19.526999999999997</v>
      </c>
      <c r="S41" s="110">
        <f t="shared" si="51"/>
        <v>24.167000000000005</v>
      </c>
      <c r="T41" s="110">
        <f t="shared" si="51"/>
        <v>31.846</v>
      </c>
      <c r="U41" s="505">
        <f t="shared" si="51"/>
        <v>35.022999999999996</v>
      </c>
      <c r="V41" s="110">
        <f t="shared" si="51"/>
        <v>32.328000000000003</v>
      </c>
      <c r="W41" s="110">
        <f t="shared" ref="W41:AB41" si="52">SUM(W32:W37)</f>
        <v>35.849000000000004</v>
      </c>
      <c r="X41" s="469">
        <f t="shared" si="52"/>
        <v>43.328000000000003</v>
      </c>
      <c r="Y41" s="505">
        <f>SUM(Y32:Y37)</f>
        <v>47.41899999999999</v>
      </c>
      <c r="Z41" s="110">
        <f t="shared" si="52"/>
        <v>51.690000000000005</v>
      </c>
      <c r="AA41" s="110">
        <f t="shared" si="52"/>
        <v>58.789000000000001</v>
      </c>
      <c r="AB41" s="469">
        <f t="shared" si="52"/>
        <v>67.772999999999996</v>
      </c>
      <c r="AC41" s="505">
        <f t="shared" ref="AC41:AJ41" si="53">SUM(AC32:AC37)</f>
        <v>76.084000000000003</v>
      </c>
      <c r="AD41" s="110">
        <f t="shared" si="53"/>
        <v>79.934000000000012</v>
      </c>
      <c r="AE41" s="110">
        <f t="shared" si="53"/>
        <v>91.99</v>
      </c>
      <c r="AF41" s="469">
        <f t="shared" si="53"/>
        <v>94.816000000000003</v>
      </c>
      <c r="AG41" s="505">
        <f t="shared" si="53"/>
        <v>114.182</v>
      </c>
      <c r="AH41" s="110">
        <f t="shared" si="53"/>
        <v>121.02800000000001</v>
      </c>
      <c r="AI41" s="110">
        <f t="shared" si="53"/>
        <v>140.447</v>
      </c>
      <c r="AJ41" s="469">
        <f t="shared" si="53"/>
        <v>145.47999999999999</v>
      </c>
      <c r="AK41" s="505">
        <f t="shared" ref="AK41:AP41" si="54">SUM(AK32:AK37)</f>
        <v>158.20899999999997</v>
      </c>
      <c r="AL41" s="110">
        <f t="shared" si="54"/>
        <v>159.935</v>
      </c>
      <c r="AM41" s="110">
        <f>SUM(AM32:AM37)</f>
        <v>170.44200000000001</v>
      </c>
      <c r="AN41" s="469">
        <f t="shared" si="54"/>
        <v>171.54500000000002</v>
      </c>
      <c r="AO41" s="505">
        <f>SUM(AO32:AO37)</f>
        <v>186.83500000000004</v>
      </c>
      <c r="AP41" s="110">
        <f t="shared" si="54"/>
        <v>184.92100000000002</v>
      </c>
      <c r="AQ41" s="110">
        <f t="shared" ref="AQ41:AR41" si="55">SUM(AQ32:AQ37)</f>
        <v>197.25299999999999</v>
      </c>
      <c r="AR41" s="469">
        <f t="shared" si="55"/>
        <v>31.811000000000011</v>
      </c>
      <c r="AS41" s="505">
        <f t="shared" ref="AS41:BD41" si="56">SUM(AS32:AS37)</f>
        <v>208.49845395721738</v>
      </c>
      <c r="AT41" s="110">
        <f t="shared" si="56"/>
        <v>204.9194712655125</v>
      </c>
      <c r="AU41" s="110">
        <f t="shared" si="56"/>
        <v>220.06000446532957</v>
      </c>
      <c r="AV41" s="469">
        <f t="shared" si="56"/>
        <v>228.15569212448335</v>
      </c>
      <c r="AW41" s="505">
        <f t="shared" si="56"/>
        <v>235.77345360977247</v>
      </c>
      <c r="AX41" s="110">
        <f t="shared" si="56"/>
        <v>229.8626330975836</v>
      </c>
      <c r="AY41" s="110">
        <f t="shared" si="56"/>
        <v>244.33164771709647</v>
      </c>
      <c r="AZ41" s="469">
        <f t="shared" si="56"/>
        <v>251.14971523765431</v>
      </c>
      <c r="BA41" s="505">
        <f t="shared" si="56"/>
        <v>263.34149547070535</v>
      </c>
      <c r="BB41" s="110">
        <f t="shared" si="56"/>
        <v>255.77369628310018</v>
      </c>
      <c r="BC41" s="110">
        <f t="shared" si="56"/>
        <v>270.18237532406118</v>
      </c>
      <c r="BD41" s="469">
        <f t="shared" si="56"/>
        <v>276.63284855148584</v>
      </c>
      <c r="BE41"/>
      <c r="BF41" s="105"/>
      <c r="BG41" s="505">
        <f t="shared" ref="BG41:BU41" si="57">SUM(BG32:BG37)</f>
        <v>2.6709999999999998</v>
      </c>
      <c r="BH41" s="110">
        <f t="shared" si="57"/>
        <v>7.4329999999999998</v>
      </c>
      <c r="BI41" s="110">
        <f t="shared" si="57"/>
        <v>17.77</v>
      </c>
      <c r="BJ41" s="110">
        <f t="shared" si="57"/>
        <v>27.02</v>
      </c>
      <c r="BK41" s="110">
        <f t="shared" si="57"/>
        <v>54.125999999999998</v>
      </c>
      <c r="BL41" s="110">
        <f t="shared" si="57"/>
        <v>93.574999999999989</v>
      </c>
      <c r="BM41" s="110">
        <f t="shared" ref="BM41:BR41" si="58">SUM(BM32:BM37)</f>
        <v>146.52799999999999</v>
      </c>
      <c r="BN41" s="110">
        <f t="shared" si="58"/>
        <v>225.67100000000002</v>
      </c>
      <c r="BO41" s="110">
        <f t="shared" si="58"/>
        <v>342.82400000000001</v>
      </c>
      <c r="BP41" s="110">
        <f>SUM(BP32:BP37)</f>
        <v>521.13700000000006</v>
      </c>
      <c r="BQ41" s="110">
        <f t="shared" si="58"/>
        <v>660.13099999999997</v>
      </c>
      <c r="BR41" s="110">
        <f t="shared" si="58"/>
        <v>600.81999999999994</v>
      </c>
      <c r="BS41" s="110">
        <f t="shared" si="57"/>
        <v>861.63362181254286</v>
      </c>
      <c r="BT41" s="110">
        <f t="shared" si="57"/>
        <v>961.11744966210699</v>
      </c>
      <c r="BU41" s="110">
        <f t="shared" si="57"/>
        <v>1065.9304156293526</v>
      </c>
      <c r="BV41" s="110">
        <f>SUM(BV32:BV37)</f>
        <v>1156.0844265653525</v>
      </c>
      <c r="BW41" s="110">
        <f>SUM(BW32:BW37)</f>
        <v>1237.1157063521525</v>
      </c>
      <c r="BX41" s="110">
        <f>SUM(BX32:BX37)</f>
        <v>1313.5235501282925</v>
      </c>
      <c r="BY41" s="110">
        <f>SUM(BY32:BY37)</f>
        <v>1383.3267860932397</v>
      </c>
      <c r="BZ41" s="469">
        <f>SUM(BZ32:BZ37)</f>
        <v>1447.5451838564338</v>
      </c>
      <c r="CA41" s="83"/>
      <c r="CB41" s="1363"/>
      <c r="CC41" s="83"/>
      <c r="CD41" s="83"/>
      <c r="CE41" s="83"/>
      <c r="CF41" s="83"/>
      <c r="CG41" s="1769"/>
      <c r="CH41" s="1769"/>
      <c r="CI41" s="1769"/>
      <c r="CJ41" s="1363">
        <f>RATE(2,,-BM41,BO41)</f>
        <v>0.52959092402054864</v>
      </c>
      <c r="CK41" s="1364">
        <f>RATE(4,,-BO41,BS41)</f>
        <v>0.25910762751492161</v>
      </c>
      <c r="CL41" s="403">
        <f t="shared" si="50"/>
        <v>0.54159559503690302</v>
      </c>
      <c r="CM41" s="403">
        <f t="shared" si="50"/>
        <v>0.52643071220471938</v>
      </c>
      <c r="CN41" s="403">
        <f t="shared" si="50"/>
        <v>0.43016054125495434</v>
      </c>
      <c r="CO41" s="403">
        <f t="shared" si="50"/>
        <v>0.20565870929160648</v>
      </c>
      <c r="CP41" s="403">
        <f t="shared" si="50"/>
        <v>0.18247030402141251</v>
      </c>
      <c r="CQ41" s="403">
        <f t="shared" si="50"/>
        <v>0.13339713747378254</v>
      </c>
      <c r="CR41" s="403">
        <f t="shared" si="50"/>
        <v>0.21058370712026259</v>
      </c>
    </row>
    <row r="42" spans="1:96" s="225" customFormat="1" ht="11.25" customHeight="1">
      <c r="A42" s="81"/>
      <c r="B42"/>
      <c r="C42"/>
      <c r="D42"/>
      <c r="E42"/>
      <c r="F42"/>
      <c r="G42"/>
      <c r="H42" s="81"/>
      <c r="I42" s="473"/>
      <c r="J42" s="64"/>
      <c r="K42" s="64"/>
      <c r="L42" s="110"/>
      <c r="M42" s="110"/>
      <c r="N42" s="110"/>
      <c r="O42" s="110"/>
      <c r="P42" s="469"/>
      <c r="Q42" s="110"/>
      <c r="R42" s="110"/>
      <c r="S42" s="110"/>
      <c r="T42" s="110"/>
      <c r="U42" s="505"/>
      <c r="V42" s="110"/>
      <c r="W42" s="110"/>
      <c r="X42" s="469"/>
      <c r="Y42" s="505"/>
      <c r="Z42" s="110"/>
      <c r="AA42" s="110"/>
      <c r="AB42" s="469"/>
      <c r="AC42" s="505"/>
      <c r="AD42" s="110"/>
      <c r="AE42" s="110"/>
      <c r="AF42" s="469"/>
      <c r="AG42" s="505"/>
      <c r="AH42" s="110"/>
      <c r="AI42" s="110"/>
      <c r="AJ42" s="469"/>
      <c r="AK42" s="505"/>
      <c r="AL42" s="110"/>
      <c r="AM42" s="110"/>
      <c r="AN42" s="469"/>
      <c r="AO42" s="505"/>
      <c r="AP42" s="110"/>
      <c r="AQ42" s="110"/>
      <c r="AR42" s="469"/>
      <c r="AS42" s="505"/>
      <c r="AT42" s="110"/>
      <c r="AU42" s="110"/>
      <c r="AV42" s="469"/>
      <c r="AW42" s="505"/>
      <c r="AX42" s="110"/>
      <c r="AY42" s="110"/>
      <c r="AZ42" s="469"/>
      <c r="BA42" s="505"/>
      <c r="BB42" s="110"/>
      <c r="BC42" s="110"/>
      <c r="BD42" s="469"/>
      <c r="BE42"/>
      <c r="BF42" s="105"/>
      <c r="BG42" s="505"/>
      <c r="BH42" s="110"/>
      <c r="BI42" s="110"/>
      <c r="BJ42" s="110"/>
      <c r="BK42" s="110"/>
      <c r="BL42" s="110"/>
      <c r="BM42" s="110"/>
      <c r="BN42" s="110"/>
      <c r="BO42" s="110"/>
      <c r="BP42" s="110"/>
      <c r="BQ42" s="110"/>
      <c r="BR42" s="110"/>
      <c r="BS42" s="110"/>
      <c r="BT42" s="110"/>
      <c r="BU42" s="110"/>
      <c r="BV42" s="110"/>
      <c r="BW42" s="110"/>
      <c r="BX42" s="110"/>
      <c r="BY42" s="110"/>
      <c r="BZ42" s="469"/>
      <c r="CA42" s="83"/>
      <c r="CB42" s="1365"/>
      <c r="CC42" s="83"/>
      <c r="CD42" s="83"/>
      <c r="CE42" s="83"/>
      <c r="CF42" s="1128"/>
      <c r="CG42" s="1769"/>
      <c r="CH42" s="1769"/>
      <c r="CI42" s="1769"/>
      <c r="CJ42" s="1365"/>
      <c r="CK42" s="1364"/>
      <c r="CL42" s="403"/>
      <c r="CM42" s="403"/>
      <c r="CN42" s="403"/>
      <c r="CO42" s="403"/>
      <c r="CP42" s="403"/>
      <c r="CQ42" s="403"/>
      <c r="CR42" s="403"/>
    </row>
    <row r="43" spans="1:96" s="225" customFormat="1" ht="11.25" customHeight="1">
      <c r="A43" s="81"/>
      <c r="B43"/>
      <c r="C43"/>
      <c r="D43"/>
      <c r="E43"/>
      <c r="F43"/>
      <c r="G43"/>
      <c r="H43" s="81"/>
      <c r="I43" s="474" t="s">
        <v>115</v>
      </c>
      <c r="J43" s="65"/>
      <c r="K43" s="65"/>
      <c r="L43" s="65"/>
      <c r="M43" s="68">
        <f t="shared" ref="M43:AJ43" si="59">M29-M39</f>
        <v>-1.3130000000000024</v>
      </c>
      <c r="N43" s="68">
        <f t="shared" si="59"/>
        <v>-2.4190000000000005</v>
      </c>
      <c r="O43" s="68">
        <f t="shared" si="59"/>
        <v>-2.5799999999999983</v>
      </c>
      <c r="P43" s="475">
        <f t="shared" si="59"/>
        <v>-0.46299999999999919</v>
      </c>
      <c r="Q43" s="68">
        <f t="shared" si="59"/>
        <v>-1.6989999999999981</v>
      </c>
      <c r="R43" s="68">
        <f t="shared" si="59"/>
        <v>-0.27499999999999858</v>
      </c>
      <c r="S43" s="68">
        <f t="shared" si="59"/>
        <v>-1.9290000000000056</v>
      </c>
      <c r="T43" s="68">
        <f t="shared" si="59"/>
        <v>-1.4629999999999974</v>
      </c>
      <c r="U43" s="507">
        <f t="shared" si="59"/>
        <v>-2.3120000000000012</v>
      </c>
      <c r="V43" s="68">
        <f t="shared" si="59"/>
        <v>-8.0000000000001847E-2</v>
      </c>
      <c r="W43" s="68">
        <f t="shared" si="59"/>
        <v>0.382000000000005</v>
      </c>
      <c r="X43" s="475">
        <f t="shared" si="59"/>
        <v>-0.61600000000000676</v>
      </c>
      <c r="Y43" s="507">
        <f t="shared" si="59"/>
        <v>0.7260000000000062</v>
      </c>
      <c r="Z43" s="68">
        <f t="shared" si="59"/>
        <v>5.1330000000000027</v>
      </c>
      <c r="AA43" s="68">
        <f t="shared" si="59"/>
        <v>5.2339999999999947</v>
      </c>
      <c r="AB43" s="475">
        <f t="shared" si="59"/>
        <v>6.8809999999999931</v>
      </c>
      <c r="AC43" s="507">
        <f t="shared" si="59"/>
        <v>4.8519999999999897</v>
      </c>
      <c r="AD43" s="68">
        <f t="shared" si="59"/>
        <v>13.209999999999994</v>
      </c>
      <c r="AE43" s="68">
        <f t="shared" si="59"/>
        <v>15.462000000000003</v>
      </c>
      <c r="AF43" s="475">
        <f t="shared" si="59"/>
        <v>19.808000000000007</v>
      </c>
      <c r="AG43" s="507">
        <f t="shared" si="59"/>
        <v>2.7139999999999986</v>
      </c>
      <c r="AH43" s="68">
        <f>AH29-AH39</f>
        <v>7.2529999999999859</v>
      </c>
      <c r="AI43" s="292">
        <f t="shared" si="59"/>
        <v>-3.9879999999999995</v>
      </c>
      <c r="AJ43" s="475">
        <f t="shared" si="59"/>
        <v>2.5279999999999916</v>
      </c>
      <c r="AK43" s="507">
        <f t="shared" ref="AK43:AP43" si="60">AK29-AK39</f>
        <v>4.8370000000000175</v>
      </c>
      <c r="AL43" s="68">
        <f t="shared" si="60"/>
        <v>19.538999999999987</v>
      </c>
      <c r="AM43" s="68">
        <f>AM29-AM39</f>
        <v>24.519999999999982</v>
      </c>
      <c r="AN43" s="475">
        <f t="shared" si="60"/>
        <v>32.384999999999991</v>
      </c>
      <c r="AO43" s="507">
        <f>AO29-AO39</f>
        <v>18.888999999999982</v>
      </c>
      <c r="AP43" s="68">
        <f t="shared" si="60"/>
        <v>32.22999999999999</v>
      </c>
      <c r="AQ43" s="68">
        <f t="shared" ref="AQ43:AR43" si="61">AQ29-AQ39</f>
        <v>32.151999999999987</v>
      </c>
      <c r="AR43" s="475">
        <f t="shared" si="61"/>
        <v>31.906999999999982</v>
      </c>
      <c r="AS43" s="507">
        <f t="shared" ref="AS43:BD43" si="62">AS29-AS39</f>
        <v>22.271578998900253</v>
      </c>
      <c r="AT43" s="68">
        <f t="shared" si="62"/>
        <v>36.363681476941935</v>
      </c>
      <c r="AU43" s="68">
        <f t="shared" si="62"/>
        <v>37.85584647899995</v>
      </c>
      <c r="AV43" s="475">
        <f t="shared" si="62"/>
        <v>44.495797403847035</v>
      </c>
      <c r="AW43" s="507">
        <f t="shared" si="62"/>
        <v>36.545490272207843</v>
      </c>
      <c r="AX43" s="68">
        <f t="shared" si="62"/>
        <v>51.827179543752408</v>
      </c>
      <c r="AY43" s="68">
        <f t="shared" si="62"/>
        <v>53.448217149168471</v>
      </c>
      <c r="AZ43" s="475">
        <f t="shared" si="62"/>
        <v>60.29456360350656</v>
      </c>
      <c r="BA43" s="507">
        <f t="shared" si="62"/>
        <v>46.030199892158549</v>
      </c>
      <c r="BB43" s="68">
        <f t="shared" si="62"/>
        <v>63.294337598621951</v>
      </c>
      <c r="BC43" s="68">
        <f t="shared" si="62"/>
        <v>64.78931629863871</v>
      </c>
      <c r="BD43" s="475">
        <f t="shared" si="62"/>
        <v>72.195741217695712</v>
      </c>
      <c r="BE43"/>
      <c r="BF43" s="105"/>
      <c r="BG43" s="507">
        <f t="shared" ref="BG43:BU43" si="63">BG29-BG39</f>
        <v>-2.2279999999999998</v>
      </c>
      <c r="BH43" s="68">
        <f t="shared" si="63"/>
        <v>-3.8259999999999996</v>
      </c>
      <c r="BI43" s="68">
        <f t="shared" si="63"/>
        <v>-5.8740000000000006</v>
      </c>
      <c r="BJ43" s="68">
        <f t="shared" si="63"/>
        <v>-1.7759999999999962</v>
      </c>
      <c r="BK43" s="68">
        <f t="shared" si="63"/>
        <v>-6.7749999999999986</v>
      </c>
      <c r="BL43" s="68">
        <f t="shared" si="63"/>
        <v>-5.3659999999999997</v>
      </c>
      <c r="BM43" s="68">
        <f t="shared" si="63"/>
        <v>-2.6260000000000332</v>
      </c>
      <c r="BN43" s="68">
        <f t="shared" si="63"/>
        <v>17.97399999999999</v>
      </c>
      <c r="BO43" s="68">
        <f t="shared" si="63"/>
        <v>53.331999999999994</v>
      </c>
      <c r="BP43" s="68">
        <f t="shared" si="63"/>
        <v>8.507000000000005</v>
      </c>
      <c r="BQ43" s="68">
        <f t="shared" si="63"/>
        <v>81.280999999999949</v>
      </c>
      <c r="BR43" s="68">
        <f>BR29-BR39</f>
        <v>115.178</v>
      </c>
      <c r="BS43" s="68">
        <f t="shared" si="63"/>
        <v>140.98690435868912</v>
      </c>
      <c r="BT43" s="68">
        <f t="shared" si="63"/>
        <v>202.11545056863531</v>
      </c>
      <c r="BU43" s="68">
        <f t="shared" si="63"/>
        <v>246.30959500711481</v>
      </c>
      <c r="BV43" s="68">
        <f>BV29-BV39</f>
        <v>298.91200047840243</v>
      </c>
      <c r="BW43" s="68">
        <f>BW29-BW39</f>
        <v>356.07452297530563</v>
      </c>
      <c r="BX43" s="68">
        <f>BX29-BX39</f>
        <v>415.04386817302907</v>
      </c>
      <c r="BY43" s="68">
        <f>BY29-BY39</f>
        <v>475.99643607157282</v>
      </c>
      <c r="BZ43" s="475">
        <f>BZ29-BZ39</f>
        <v>540.39512099573221</v>
      </c>
      <c r="CA43" s="83"/>
      <c r="CB43" s="2261">
        <f>IF(ISERROR(RATE(5,,-BP43,BU43)),"NM",(RATE(5,,-BP43,BU43)))</f>
        <v>0.96038323343452203</v>
      </c>
      <c r="CC43" s="83"/>
      <c r="CD43" s="83"/>
      <c r="CE43" s="83"/>
      <c r="CF43" s="83"/>
      <c r="CG43" s="1769"/>
      <c r="CH43" s="1769"/>
      <c r="CI43" s="1769"/>
      <c r="CJ43" s="1363"/>
      <c r="CK43" s="1364">
        <f>RATE(4,,-BO43,BS43)</f>
        <v>0.27511021846708045</v>
      </c>
      <c r="CL43" s="75" t="str">
        <f t="shared" si="50"/>
        <v>NM</v>
      </c>
      <c r="CM43" s="75" t="str">
        <f t="shared" si="50"/>
        <v>NM</v>
      </c>
      <c r="CN43" s="75">
        <f t="shared" si="50"/>
        <v>0.65366715379061024</v>
      </c>
      <c r="CO43" s="75">
        <f t="shared" si="50"/>
        <v>0.29258929301149816</v>
      </c>
      <c r="CP43" s="75">
        <f t="shared" si="50"/>
        <v>1.5495729767793416</v>
      </c>
      <c r="CQ43" s="75">
        <f t="shared" si="50"/>
        <v>0.35478431097205965</v>
      </c>
      <c r="CR43" s="75">
        <f t="shared" si="50"/>
        <v>0.2883600978936659</v>
      </c>
    </row>
    <row r="44" spans="1:96" s="1876" customFormat="1" ht="11.25" customHeight="1">
      <c r="A44" s="1868"/>
      <c r="B44"/>
      <c r="C44"/>
      <c r="D44"/>
      <c r="E44"/>
      <c r="F44"/>
      <c r="G44"/>
      <c r="H44" s="1868"/>
      <c r="I44" s="1870" t="s">
        <v>116</v>
      </c>
      <c r="J44" s="1871"/>
      <c r="K44" s="1869"/>
      <c r="L44" s="1869"/>
      <c r="M44" s="1872" t="str">
        <f t="shared" ref="M44:BD44" si="64">IF(M43&lt;0,"NM",M43/M$23)</f>
        <v>NM</v>
      </c>
      <c r="N44" s="1872" t="str">
        <f t="shared" si="64"/>
        <v>NM</v>
      </c>
      <c r="O44" s="1872" t="str">
        <f t="shared" si="64"/>
        <v>NM</v>
      </c>
      <c r="P44" s="1873" t="str">
        <f t="shared" si="64"/>
        <v>NM</v>
      </c>
      <c r="Q44" s="1872" t="str">
        <f t="shared" si="64"/>
        <v>NM</v>
      </c>
      <c r="R44" s="1872" t="str">
        <f t="shared" si="64"/>
        <v>NM</v>
      </c>
      <c r="S44" s="1872" t="str">
        <f t="shared" si="64"/>
        <v>NM</v>
      </c>
      <c r="T44" s="1872" t="str">
        <f t="shared" si="64"/>
        <v>NM</v>
      </c>
      <c r="U44" s="1874" t="str">
        <f t="shared" si="64"/>
        <v>NM</v>
      </c>
      <c r="V44" s="1872" t="str">
        <f t="shared" si="64"/>
        <v>NM</v>
      </c>
      <c r="W44" s="1872">
        <f t="shared" si="64"/>
        <v>1.0502873168183579E-2</v>
      </c>
      <c r="X44" s="1873" t="str">
        <f t="shared" si="64"/>
        <v>NM</v>
      </c>
      <c r="Y44" s="1874">
        <f t="shared" si="64"/>
        <v>1.5737107927080531E-2</v>
      </c>
      <c r="Z44" s="1872">
        <f t="shared" si="64"/>
        <v>9.3288261272558792E-2</v>
      </c>
      <c r="AA44" s="1872">
        <f t="shared" si="64"/>
        <v>8.5549435282195371E-2</v>
      </c>
      <c r="AB44" s="1873">
        <f t="shared" si="64"/>
        <v>9.7394233627266333E-2</v>
      </c>
      <c r="AC44" s="1874">
        <f t="shared" si="64"/>
        <v>6.3502035153847031E-2</v>
      </c>
      <c r="AD44" s="1872">
        <f t="shared" si="64"/>
        <v>0.14878304256253722</v>
      </c>
      <c r="AE44" s="1872">
        <f t="shared" si="64"/>
        <v>0.15091503586940611</v>
      </c>
      <c r="AF44" s="1873">
        <f t="shared" si="64"/>
        <v>0.1802579012986068</v>
      </c>
      <c r="AG44" s="1874">
        <f t="shared" si="64"/>
        <v>2.4275491949910542E-2</v>
      </c>
      <c r="AH44" s="1872">
        <f t="shared" si="64"/>
        <v>5.7746815286624092E-2</v>
      </c>
      <c r="AI44" s="1872" t="str">
        <f t="shared" si="64"/>
        <v>NM</v>
      </c>
      <c r="AJ44" s="1873">
        <f t="shared" si="64"/>
        <v>1.7232447171097422E-2</v>
      </c>
      <c r="AK44" s="1874">
        <f t="shared" si="64"/>
        <v>3.0495608808861933E-2</v>
      </c>
      <c r="AL44" s="1872">
        <f t="shared" si="64"/>
        <v>0.11266346841340491</v>
      </c>
      <c r="AM44" s="1872">
        <f t="shared" si="64"/>
        <v>0.13166373125993375</v>
      </c>
      <c r="AN44" s="1873">
        <f t="shared" si="64"/>
        <v>0.16625084703998025</v>
      </c>
      <c r="AO44" s="1874">
        <f t="shared" si="64"/>
        <v>9.5726296478362796E-2</v>
      </c>
      <c r="AP44" s="1872">
        <f t="shared" si="64"/>
        <v>0.15431093917573152</v>
      </c>
      <c r="AQ44" s="1872">
        <f t="shared" ref="AQ44:AR44" si="65">IF(AQ43&lt;0,"NM",AQ43/AQ$23)</f>
        <v>0.14458134724345709</v>
      </c>
      <c r="AR44" s="1873">
        <f t="shared" si="65"/>
        <v>0.14619741026181457</v>
      </c>
      <c r="AS44" s="1874">
        <f t="shared" si="64"/>
        <v>0.10068525768038089</v>
      </c>
      <c r="AT44" s="1872">
        <f t="shared" si="64"/>
        <v>0.15714641952006023</v>
      </c>
      <c r="AU44" s="1872">
        <f t="shared" si="64"/>
        <v>0.15264454225403207</v>
      </c>
      <c r="AV44" s="1873">
        <f t="shared" si="64"/>
        <v>0.1715335289277064</v>
      </c>
      <c r="AW44" s="1874">
        <f t="shared" si="64"/>
        <v>0.13938020698782549</v>
      </c>
      <c r="AX44" s="1872">
        <f t="shared" si="64"/>
        <v>0.19124420495849598</v>
      </c>
      <c r="AY44" s="1872">
        <f t="shared" si="64"/>
        <v>0.18636058978092213</v>
      </c>
      <c r="AZ44" s="1873">
        <f t="shared" si="64"/>
        <v>0.20342295412788988</v>
      </c>
      <c r="BA44" s="1874">
        <f t="shared" si="64"/>
        <v>0.15425670205146969</v>
      </c>
      <c r="BB44" s="1872">
        <f t="shared" si="64"/>
        <v>0.20590220428959644</v>
      </c>
      <c r="BC44" s="1872">
        <f t="shared" si="64"/>
        <v>0.20071039745551025</v>
      </c>
      <c r="BD44" s="1873">
        <f t="shared" si="64"/>
        <v>0.21745705186052924</v>
      </c>
      <c r="BE44"/>
      <c r="BF44" s="1868"/>
      <c r="BG44" s="1874" t="str">
        <f t="shared" ref="BG44:BZ44" si="66">IF(BG43&lt;0,"NM",BG43/BG$23)</f>
        <v>NM</v>
      </c>
      <c r="BH44" s="1872" t="str">
        <f t="shared" si="66"/>
        <v>NM</v>
      </c>
      <c r="BI44" s="1872" t="str">
        <f t="shared" si="66"/>
        <v>NM</v>
      </c>
      <c r="BJ44" s="1872" t="str">
        <f t="shared" si="66"/>
        <v>NM</v>
      </c>
      <c r="BK44" s="1872" t="str">
        <f t="shared" si="66"/>
        <v>NM</v>
      </c>
      <c r="BL44" s="1872" t="str">
        <f t="shared" si="66"/>
        <v>NM</v>
      </c>
      <c r="BM44" s="1872" t="str">
        <f t="shared" si="66"/>
        <v>NM</v>
      </c>
      <c r="BN44" s="1872">
        <f t="shared" si="66"/>
        <v>7.7145604065445392E-2</v>
      </c>
      <c r="BO44" s="1872">
        <f t="shared" si="66"/>
        <v>0.14126334972029156</v>
      </c>
      <c r="BP44" s="1872">
        <f t="shared" si="66"/>
        <v>1.6400616926932725E-2</v>
      </c>
      <c r="BQ44" s="1872">
        <f t="shared" si="66"/>
        <v>0.11398756642064085</v>
      </c>
      <c r="BR44" s="1872">
        <f t="shared" si="66"/>
        <v>0.13601350002893201</v>
      </c>
      <c r="BS44" s="1872">
        <f t="shared" si="66"/>
        <v>0.14686135870696784</v>
      </c>
      <c r="BT44" s="1872">
        <f t="shared" si="66"/>
        <v>0.18104214490203807</v>
      </c>
      <c r="BU44" s="1872">
        <f t="shared" si="66"/>
        <v>0.19539076234103983</v>
      </c>
      <c r="BV44" s="1872">
        <f t="shared" si="66"/>
        <v>0.21341710729573216</v>
      </c>
      <c r="BW44" s="1872">
        <f t="shared" si="66"/>
        <v>0.23157812368321126</v>
      </c>
      <c r="BX44" s="1872">
        <f t="shared" si="66"/>
        <v>0.24844000249792236</v>
      </c>
      <c r="BY44" s="1872">
        <f t="shared" si="66"/>
        <v>0.26450124253810448</v>
      </c>
      <c r="BZ44" s="1873">
        <f t="shared" si="66"/>
        <v>0.28063726682370804</v>
      </c>
      <c r="CA44" s="1868"/>
      <c r="CB44" s="1877"/>
      <c r="CC44" s="1868"/>
      <c r="CD44" s="1868"/>
      <c r="CE44" s="1868"/>
      <c r="CF44" s="1868"/>
      <c r="CG44" s="1875"/>
      <c r="CH44" s="1875"/>
      <c r="CI44" s="1875"/>
      <c r="CJ44" s="1877"/>
      <c r="CK44" s="1877"/>
      <c r="CL44" s="1868"/>
      <c r="CM44" s="1868"/>
      <c r="CN44" s="1868"/>
      <c r="CO44" s="1868"/>
      <c r="CP44" s="1868"/>
      <c r="CQ44" s="1868"/>
      <c r="CR44" s="1868"/>
    </row>
    <row r="45" spans="1:96" s="225" customFormat="1" ht="11.25" customHeight="1">
      <c r="A45" s="81"/>
      <c r="B45"/>
      <c r="C45"/>
      <c r="D45"/>
      <c r="E45"/>
      <c r="F45"/>
      <c r="G45"/>
      <c r="H45" s="81"/>
      <c r="I45" s="459"/>
      <c r="J45" s="63"/>
      <c r="K45" s="64"/>
      <c r="L45" s="64"/>
      <c r="M45" s="207"/>
      <c r="N45" s="207"/>
      <c r="O45" s="207"/>
      <c r="P45" s="476"/>
      <c r="Q45" s="207"/>
      <c r="R45" s="207"/>
      <c r="S45" s="207"/>
      <c r="T45" s="207"/>
      <c r="U45" s="508"/>
      <c r="V45" s="207"/>
      <c r="W45" s="207"/>
      <c r="X45" s="476"/>
      <c r="Y45" s="508"/>
      <c r="Z45" s="207"/>
      <c r="AA45" s="207"/>
      <c r="AB45" s="476"/>
      <c r="AC45" s="508"/>
      <c r="AD45" s="207"/>
      <c r="AE45" s="207"/>
      <c r="AF45" s="476"/>
      <c r="AG45" s="508"/>
      <c r="AH45" s="207"/>
      <c r="AI45" s="207"/>
      <c r="AJ45" s="476"/>
      <c r="AK45" s="508"/>
      <c r="AL45" s="207"/>
      <c r="AM45" s="207"/>
      <c r="AN45" s="476"/>
      <c r="AO45" s="508"/>
      <c r="AP45" s="207"/>
      <c r="AQ45" s="207"/>
      <c r="AR45" s="476"/>
      <c r="AS45" s="508"/>
      <c r="AT45" s="207"/>
      <c r="AU45" s="207"/>
      <c r="AV45" s="476"/>
      <c r="AW45" s="508"/>
      <c r="AX45" s="207"/>
      <c r="AY45" s="207"/>
      <c r="AZ45" s="476"/>
      <c r="BA45" s="508"/>
      <c r="BB45" s="207"/>
      <c r="BC45" s="207"/>
      <c r="BD45" s="476"/>
      <c r="BE45"/>
      <c r="BF45" s="83"/>
      <c r="BG45" s="508"/>
      <c r="BH45" s="207"/>
      <c r="BI45" s="207"/>
      <c r="BJ45" s="207"/>
      <c r="BK45" s="207"/>
      <c r="BL45" s="207"/>
      <c r="BM45" s="207"/>
      <c r="BN45" s="207"/>
      <c r="BO45" s="207"/>
      <c r="BP45" s="207"/>
      <c r="BQ45" s="207"/>
      <c r="BR45" s="207"/>
      <c r="BS45" s="207"/>
      <c r="BT45" s="207"/>
      <c r="BU45" s="207"/>
      <c r="BV45" s="207"/>
      <c r="BW45" s="207"/>
      <c r="BX45" s="207"/>
      <c r="BY45" s="207"/>
      <c r="BZ45" s="476"/>
      <c r="CA45" s="83"/>
      <c r="CB45" s="1365"/>
      <c r="CC45" s="83"/>
      <c r="CD45" s="83"/>
      <c r="CE45" s="83"/>
      <c r="CF45" s="83"/>
      <c r="CG45" s="1769"/>
      <c r="CH45" s="1769"/>
      <c r="CI45" s="1769"/>
      <c r="CJ45" s="1365"/>
      <c r="CK45" s="1365"/>
      <c r="CL45" s="83"/>
      <c r="CM45" s="83"/>
      <c r="CN45" s="83"/>
      <c r="CO45" s="83"/>
      <c r="CP45" s="83"/>
      <c r="CQ45" s="83"/>
      <c r="CR45" s="83"/>
    </row>
    <row r="46" spans="1:96" s="223" customFormat="1" ht="11.25" customHeight="1">
      <c r="A46" s="81"/>
      <c r="B46"/>
      <c r="C46"/>
      <c r="D46"/>
      <c r="E46"/>
      <c r="F46"/>
      <c r="G46"/>
      <c r="H46" s="81"/>
      <c r="I46" s="472" t="s">
        <v>113</v>
      </c>
      <c r="J46" s="400"/>
      <c r="K46" s="400"/>
      <c r="L46" s="400"/>
      <c r="M46" s="409">
        <f t="shared" ref="M46:AJ46" si="67">M29-M41</f>
        <v>-2.8660000000000032</v>
      </c>
      <c r="N46" s="409">
        <f t="shared" si="67"/>
        <v>-2.6760000000000002</v>
      </c>
      <c r="O46" s="409">
        <f t="shared" si="67"/>
        <v>-2.9469999999999992</v>
      </c>
      <c r="P46" s="466">
        <f t="shared" si="67"/>
        <v>-1.0170000000000012</v>
      </c>
      <c r="Q46" s="409">
        <f t="shared" si="67"/>
        <v>-2.8019999999999996</v>
      </c>
      <c r="R46" s="409">
        <f t="shared" si="67"/>
        <v>-1.222999999999999</v>
      </c>
      <c r="S46" s="409">
        <f t="shared" si="67"/>
        <v>-3.3890000000000065</v>
      </c>
      <c r="T46" s="409">
        <f t="shared" si="67"/>
        <v>-8.7569999999999979</v>
      </c>
      <c r="U46" s="503">
        <f t="shared" si="67"/>
        <v>-9.7409999999999997</v>
      </c>
      <c r="V46" s="409">
        <f t="shared" si="67"/>
        <v>-1.9380000000000024</v>
      </c>
      <c r="W46" s="409">
        <f t="shared" si="67"/>
        <v>-1.9519999999999982</v>
      </c>
      <c r="X46" s="466">
        <f t="shared" si="67"/>
        <v>-5.1360000000000099</v>
      </c>
      <c r="Y46" s="505">
        <f t="shared" si="67"/>
        <v>-4.5539999999999878</v>
      </c>
      <c r="Z46" s="110">
        <f t="shared" si="67"/>
        <v>-0.57999999999999829</v>
      </c>
      <c r="AA46" s="110">
        <f t="shared" si="67"/>
        <v>-1.7810000000000059</v>
      </c>
      <c r="AB46" s="469">
        <f t="shared" si="67"/>
        <v>-1.9080000000000013</v>
      </c>
      <c r="AC46" s="505">
        <f t="shared" si="67"/>
        <v>-4.6040000000000134</v>
      </c>
      <c r="AD46" s="110">
        <f t="shared" si="67"/>
        <v>3.1269999999999953</v>
      </c>
      <c r="AE46" s="110">
        <f t="shared" si="67"/>
        <v>4.5439999999999969</v>
      </c>
      <c r="AF46" s="469">
        <f t="shared" si="67"/>
        <v>7.9920000000000044</v>
      </c>
      <c r="AG46" s="505">
        <f t="shared" si="67"/>
        <v>-10.957000000000008</v>
      </c>
      <c r="AH46" s="110">
        <f t="shared" si="67"/>
        <v>-8.2630000000000194</v>
      </c>
      <c r="AI46" s="110">
        <f t="shared" si="67"/>
        <v>-19.671000000000006</v>
      </c>
      <c r="AJ46" s="2280">
        <f t="shared" si="67"/>
        <v>-13.443999999999988</v>
      </c>
      <c r="AK46" s="1781">
        <f t="shared" ref="AK46:AP46" si="68">AK29-AK41</f>
        <v>-14.272999999999968</v>
      </c>
      <c r="AL46" s="110">
        <f t="shared" si="68"/>
        <v>-1.1870000000000118</v>
      </c>
      <c r="AM46" s="110">
        <f>AM29-AM41</f>
        <v>1.9599999999999795</v>
      </c>
      <c r="AN46" s="469">
        <f t="shared" si="68"/>
        <v>8.5209999999999866</v>
      </c>
      <c r="AO46" s="1781">
        <f>AO29-AO41</f>
        <v>-5.4450000000000216</v>
      </c>
      <c r="AP46" s="110">
        <f t="shared" si="68"/>
        <v>6.8439999999999941</v>
      </c>
      <c r="AQ46" s="110">
        <f t="shared" ref="AQ46:AR46" si="69">AQ29-AQ41</f>
        <v>6.8079999999999927</v>
      </c>
      <c r="AR46" s="469">
        <f t="shared" si="69"/>
        <v>171.27799999999999</v>
      </c>
      <c r="AS46" s="505">
        <f t="shared" ref="AS46:BD46" si="70">AS29-AS41</f>
        <v>-4.4958210010997561</v>
      </c>
      <c r="AT46" s="110">
        <f t="shared" si="70"/>
        <v>8.4621814769419359</v>
      </c>
      <c r="AU46" s="110">
        <f t="shared" si="70"/>
        <v>8.7504964789999633</v>
      </c>
      <c r="AV46" s="469">
        <f t="shared" si="70"/>
        <v>14.007397403847051</v>
      </c>
      <c r="AW46" s="505">
        <f t="shared" si="70"/>
        <v>6.5660022722078395</v>
      </c>
      <c r="AX46" s="110">
        <f t="shared" si="70"/>
        <v>20.577499543752396</v>
      </c>
      <c r="AY46" s="110">
        <f t="shared" si="70"/>
        <v>20.850225149168466</v>
      </c>
      <c r="AZ46" s="469">
        <f t="shared" si="70"/>
        <v>26.147555603506561</v>
      </c>
      <c r="BA46" s="505">
        <f t="shared" si="70"/>
        <v>13.052763092158557</v>
      </c>
      <c r="BB46" s="110">
        <f t="shared" si="70"/>
        <v>28.919689598621943</v>
      </c>
      <c r="BC46" s="110">
        <f t="shared" si="70"/>
        <v>28.931525098638701</v>
      </c>
      <c r="BD46" s="469">
        <f t="shared" si="70"/>
        <v>34.634032417695721</v>
      </c>
      <c r="BE46"/>
      <c r="BF46" s="82"/>
      <c r="BG46" s="503">
        <f t="shared" ref="BG46:BU46" si="71">BG29-BG41</f>
        <v>-2.2279999999999998</v>
      </c>
      <c r="BH46" s="409">
        <f t="shared" si="71"/>
        <v>-3.92</v>
      </c>
      <c r="BI46" s="409">
        <f t="shared" si="71"/>
        <v>-6.238999999999999</v>
      </c>
      <c r="BJ46" s="409">
        <f t="shared" si="71"/>
        <v>-2.3329999999999949</v>
      </c>
      <c r="BK46" s="409">
        <f t="shared" si="71"/>
        <v>-9.5059999999999931</v>
      </c>
      <c r="BL46" s="409">
        <f t="shared" si="71"/>
        <v>-16.170999999999992</v>
      </c>
      <c r="BM46" s="409">
        <f t="shared" si="71"/>
        <v>-18.767000000000024</v>
      </c>
      <c r="BN46" s="409">
        <f t="shared" si="71"/>
        <v>-8.8230000000000075</v>
      </c>
      <c r="BO46" s="409">
        <f t="shared" si="71"/>
        <v>11.058999999999969</v>
      </c>
      <c r="BP46" s="409">
        <f t="shared" si="71"/>
        <v>-52.335000000000036</v>
      </c>
      <c r="BQ46" s="409">
        <f t="shared" si="71"/>
        <v>-4.9790000000000418</v>
      </c>
      <c r="BR46" s="409">
        <f t="shared" si="71"/>
        <v>179.48500000000001</v>
      </c>
      <c r="BS46" s="409">
        <f t="shared" si="71"/>
        <v>26.724254358689109</v>
      </c>
      <c r="BT46" s="409">
        <f t="shared" si="71"/>
        <v>74.141282568635233</v>
      </c>
      <c r="BU46" s="409">
        <f t="shared" si="71"/>
        <v>105.53801020711467</v>
      </c>
      <c r="BV46" s="409">
        <f>BV29-BV41</f>
        <v>148.28640474240251</v>
      </c>
      <c r="BW46" s="409">
        <f>BW29-BW41</f>
        <v>197.91764745250566</v>
      </c>
      <c r="BX46" s="409">
        <f>BX29-BX41</f>
        <v>248.97914887408911</v>
      </c>
      <c r="BY46" s="409">
        <f>BY29-BY41</f>
        <v>301.62848080768572</v>
      </c>
      <c r="BZ46" s="466">
        <f>BZ29-BZ41</f>
        <v>357.30876796865073</v>
      </c>
      <c r="CA46" s="83"/>
      <c r="CB46" s="1363" t="str">
        <f>IF(ISERROR(RATE(5,,-BP46,BU46)),"NM",(RATE(5,,-BP46,BU46)))</f>
        <v>NM</v>
      </c>
      <c r="CC46" s="83"/>
      <c r="CD46" s="83"/>
      <c r="CE46" s="83"/>
      <c r="CF46" s="83"/>
      <c r="CG46" s="1769"/>
      <c r="CH46" s="1769"/>
      <c r="CI46" s="1769"/>
      <c r="CJ46" s="1363"/>
      <c r="CK46" s="1364">
        <f>RATE(4,,-BO46,BS46)</f>
        <v>0.24680184036160069</v>
      </c>
      <c r="CL46" s="403" t="str">
        <f t="shared" ref="CL46:CR46" si="72">IF(ISERROR(RATE(3,,-BL46,BO46)),"NM",(RATE(3,,-BL46,BO46)))</f>
        <v>NM</v>
      </c>
      <c r="CM46" s="403">
        <f t="shared" si="72"/>
        <v>0.40755635362868026</v>
      </c>
      <c r="CN46" s="403">
        <f t="shared" si="72"/>
        <v>-0.17362859213189441</v>
      </c>
      <c r="CO46" s="403">
        <f t="shared" si="72"/>
        <v>1.531846860863247</v>
      </c>
      <c r="CP46" s="403" t="str">
        <f t="shared" si="72"/>
        <v>NM</v>
      </c>
      <c r="CQ46" s="403" t="str">
        <f t="shared" si="72"/>
        <v>NM</v>
      </c>
      <c r="CR46" s="403">
        <f t="shared" si="72"/>
        <v>-0.1622259304068836</v>
      </c>
    </row>
    <row r="47" spans="1:96" s="1876" customFormat="1" ht="11.25" customHeight="1">
      <c r="A47" s="1868"/>
      <c r="B47"/>
      <c r="C47"/>
      <c r="D47"/>
      <c r="E47"/>
      <c r="F47"/>
      <c r="G47"/>
      <c r="H47" s="1868"/>
      <c r="I47" s="1870" t="s">
        <v>114</v>
      </c>
      <c r="J47" s="1871"/>
      <c r="K47" s="1869"/>
      <c r="L47" s="1869"/>
      <c r="M47" s="1872" t="str">
        <f t="shared" ref="M47:BD47" si="73">IF(M46&lt;0,"NM",M46/M$23)</f>
        <v>NM</v>
      </c>
      <c r="N47" s="1872" t="str">
        <f t="shared" si="73"/>
        <v>NM</v>
      </c>
      <c r="O47" s="1872" t="str">
        <f t="shared" si="73"/>
        <v>NM</v>
      </c>
      <c r="P47" s="1873" t="str">
        <f t="shared" si="73"/>
        <v>NM</v>
      </c>
      <c r="Q47" s="1872" t="str">
        <f t="shared" si="73"/>
        <v>NM</v>
      </c>
      <c r="R47" s="1872" t="str">
        <f t="shared" si="73"/>
        <v>NM</v>
      </c>
      <c r="S47" s="1872" t="str">
        <f t="shared" si="73"/>
        <v>NM</v>
      </c>
      <c r="T47" s="1872" t="str">
        <f t="shared" si="73"/>
        <v>NM</v>
      </c>
      <c r="U47" s="1874" t="str">
        <f t="shared" si="73"/>
        <v>NM</v>
      </c>
      <c r="V47" s="1872" t="str">
        <f t="shared" si="73"/>
        <v>NM</v>
      </c>
      <c r="W47" s="1872" t="str">
        <f t="shared" si="73"/>
        <v>NM</v>
      </c>
      <c r="X47" s="1873" t="str">
        <f t="shared" si="73"/>
        <v>NM</v>
      </c>
      <c r="Y47" s="1874" t="str">
        <f t="shared" si="73"/>
        <v>NM</v>
      </c>
      <c r="Z47" s="1872" t="str">
        <f t="shared" si="73"/>
        <v>NM</v>
      </c>
      <c r="AA47" s="1872" t="str">
        <f t="shared" si="73"/>
        <v>NM</v>
      </c>
      <c r="AB47" s="1873" t="str">
        <f t="shared" si="73"/>
        <v>NM</v>
      </c>
      <c r="AC47" s="1874" t="str">
        <f t="shared" si="73"/>
        <v>NM</v>
      </c>
      <c r="AD47" s="1872">
        <f t="shared" si="73"/>
        <v>3.5219119916203891E-2</v>
      </c>
      <c r="AE47" s="1872">
        <f t="shared" si="73"/>
        <v>4.4351178566199766E-2</v>
      </c>
      <c r="AF47" s="1873">
        <f t="shared" si="73"/>
        <v>7.2729258238008174E-2</v>
      </c>
      <c r="AG47" s="1874" t="str">
        <f t="shared" si="73"/>
        <v>NM</v>
      </c>
      <c r="AH47" s="1872" t="str">
        <f t="shared" si="73"/>
        <v>NM</v>
      </c>
      <c r="AI47" s="1872" t="str">
        <f t="shared" si="73"/>
        <v>NM</v>
      </c>
      <c r="AJ47" s="1873" t="str">
        <f t="shared" si="73"/>
        <v>NM</v>
      </c>
      <c r="AK47" s="1874" t="str">
        <f t="shared" si="73"/>
        <v>NM</v>
      </c>
      <c r="AL47" s="1872" t="str">
        <f t="shared" si="73"/>
        <v>NM</v>
      </c>
      <c r="AM47" s="1872">
        <f t="shared" si="73"/>
        <v>1.0524507066454634E-2</v>
      </c>
      <c r="AN47" s="1873">
        <f t="shared" si="73"/>
        <v>4.3743198012279445E-2</v>
      </c>
      <c r="AO47" s="1874" t="str">
        <f t="shared" si="73"/>
        <v>NM</v>
      </c>
      <c r="AP47" s="1872">
        <f t="shared" si="73"/>
        <v>3.2767734027884146E-2</v>
      </c>
      <c r="AQ47" s="1872">
        <f t="shared" ref="AQ47:AR47" si="74">IF(AQ46&lt;0,"NM",AQ46/AQ$23)</f>
        <v>3.0614263872650385E-2</v>
      </c>
      <c r="AR47" s="1873">
        <f t="shared" si="74"/>
        <v>0.78479330663563129</v>
      </c>
      <c r="AS47" s="1874" t="str">
        <f t="shared" si="73"/>
        <v>NM</v>
      </c>
      <c r="AT47" s="1872">
        <f t="shared" si="73"/>
        <v>3.6569496443137145E-2</v>
      </c>
      <c r="AU47" s="1872">
        <f t="shared" si="73"/>
        <v>3.5284259995967591E-2</v>
      </c>
      <c r="AV47" s="1873">
        <f t="shared" si="73"/>
        <v>5.3999218981677151E-2</v>
      </c>
      <c r="AW47" s="1874">
        <f t="shared" si="73"/>
        <v>2.5041961373790389E-2</v>
      </c>
      <c r="AX47" s="1872">
        <f t="shared" si="73"/>
        <v>7.5931732633772675E-2</v>
      </c>
      <c r="AY47" s="1872">
        <f t="shared" si="73"/>
        <v>7.2699529808816124E-2</v>
      </c>
      <c r="AZ47" s="1873">
        <f t="shared" si="73"/>
        <v>8.8217124168375724E-2</v>
      </c>
      <c r="BA47" s="1874">
        <f t="shared" si="73"/>
        <v>4.3742503660048788E-2</v>
      </c>
      <c r="BB47" s="1872">
        <f t="shared" si="73"/>
        <v>9.4078365642882036E-2</v>
      </c>
      <c r="BC47" s="1872">
        <f t="shared" si="73"/>
        <v>8.9626781594295851E-2</v>
      </c>
      <c r="BD47" s="1873">
        <f t="shared" si="73"/>
        <v>0.10431937475209555</v>
      </c>
      <c r="BE47"/>
      <c r="BF47" s="1868"/>
      <c r="BG47" s="1874" t="str">
        <f t="shared" ref="BG47:BZ47" si="75">IF(BG46&lt;0,"NM",BG46/BG$23)</f>
        <v>NM</v>
      </c>
      <c r="BH47" s="1872" t="str">
        <f t="shared" si="75"/>
        <v>NM</v>
      </c>
      <c r="BI47" s="1872" t="str">
        <f t="shared" si="75"/>
        <v>NM</v>
      </c>
      <c r="BJ47" s="1872" t="str">
        <f t="shared" si="75"/>
        <v>NM</v>
      </c>
      <c r="BK47" s="1872" t="str">
        <f t="shared" si="75"/>
        <v>NM</v>
      </c>
      <c r="BL47" s="1872" t="str">
        <f t="shared" si="75"/>
        <v>NM</v>
      </c>
      <c r="BM47" s="1872" t="str">
        <f t="shared" si="75"/>
        <v>NM</v>
      </c>
      <c r="BN47" s="1872" t="str">
        <f t="shared" si="75"/>
        <v>NM</v>
      </c>
      <c r="BO47" s="1872">
        <f t="shared" si="75"/>
        <v>2.9292570774707496E-2</v>
      </c>
      <c r="BP47" s="1872" t="str">
        <f t="shared" si="75"/>
        <v>NM</v>
      </c>
      <c r="BQ47" s="1872" t="str">
        <f t="shared" si="75"/>
        <v>NM</v>
      </c>
      <c r="BR47" s="1872">
        <f t="shared" si="75"/>
        <v>0.2119535245679979</v>
      </c>
      <c r="BS47" s="1872">
        <f t="shared" si="75"/>
        <v>2.7837764956967822E-2</v>
      </c>
      <c r="BT47" s="1872">
        <f t="shared" si="75"/>
        <v>6.6411037771977099E-2</v>
      </c>
      <c r="BU47" s="1872">
        <f t="shared" si="75"/>
        <v>8.3720458676118256E-2</v>
      </c>
      <c r="BV47" s="1872">
        <f t="shared" si="75"/>
        <v>0.10587348617906792</v>
      </c>
      <c r="BW47" s="1872">
        <f t="shared" si="75"/>
        <v>0.12871855323393969</v>
      </c>
      <c r="BX47" s="1872">
        <f t="shared" si="75"/>
        <v>0.14903576491924406</v>
      </c>
      <c r="BY47" s="1872">
        <f t="shared" si="75"/>
        <v>0.16760862458751152</v>
      </c>
      <c r="BZ47" s="1873">
        <f t="shared" si="75"/>
        <v>0.18555710841745468</v>
      </c>
      <c r="CA47" s="1868"/>
      <c r="CB47" s="1877"/>
      <c r="CC47" s="1868"/>
      <c r="CD47" s="1868"/>
      <c r="CE47" s="1868"/>
      <c r="CF47" s="1868"/>
      <c r="CG47" s="1875"/>
      <c r="CH47" s="1875"/>
      <c r="CI47" s="1875"/>
      <c r="CJ47" s="1877"/>
      <c r="CK47" s="1877"/>
      <c r="CL47" s="1868"/>
      <c r="CM47" s="1868"/>
      <c r="CN47" s="1868"/>
      <c r="CO47" s="1868"/>
      <c r="CP47" s="1868"/>
      <c r="CQ47" s="1868"/>
      <c r="CR47" s="1868"/>
    </row>
    <row r="48" spans="1:96" s="225" customFormat="1" ht="11.25" customHeight="1">
      <c r="A48" s="81"/>
      <c r="B48"/>
      <c r="C48"/>
      <c r="D48"/>
      <c r="E48"/>
      <c r="F48"/>
      <c r="G48"/>
      <c r="H48" s="81"/>
      <c r="I48" s="473"/>
      <c r="J48" s="64"/>
      <c r="K48" s="64"/>
      <c r="L48" s="64"/>
      <c r="M48" s="66"/>
      <c r="N48" s="66"/>
      <c r="O48" s="66"/>
      <c r="P48" s="719"/>
      <c r="Q48" s="66"/>
      <c r="R48" s="66"/>
      <c r="S48" s="66"/>
      <c r="T48" s="66"/>
      <c r="U48" s="718"/>
      <c r="V48" s="66"/>
      <c r="W48" s="66"/>
      <c r="X48" s="719"/>
      <c r="Y48" s="504"/>
      <c r="Z48" s="62"/>
      <c r="AA48" s="62"/>
      <c r="AB48" s="467"/>
      <c r="AC48" s="504"/>
      <c r="AD48" s="62"/>
      <c r="AE48" s="62"/>
      <c r="AF48" s="467"/>
      <c r="AG48" s="504"/>
      <c r="AH48" s="62"/>
      <c r="AI48" s="62"/>
      <c r="AJ48" s="467"/>
      <c r="AK48" s="504"/>
      <c r="AL48" s="62"/>
      <c r="AM48" s="62"/>
      <c r="AN48" s="467"/>
      <c r="AO48" s="504"/>
      <c r="AP48" s="62"/>
      <c r="AQ48" s="62"/>
      <c r="AR48" s="467"/>
      <c r="AS48" s="504"/>
      <c r="AT48" s="62"/>
      <c r="AU48" s="62"/>
      <c r="AV48" s="467"/>
      <c r="AW48" s="504"/>
      <c r="AX48" s="62"/>
      <c r="AY48" s="62"/>
      <c r="AZ48" s="467"/>
      <c r="BA48" s="504"/>
      <c r="BB48" s="62"/>
      <c r="BC48" s="62"/>
      <c r="BD48" s="467"/>
      <c r="BE48"/>
      <c r="BF48" s="83"/>
      <c r="BG48" s="718"/>
      <c r="BH48" s="66"/>
      <c r="BI48" s="66"/>
      <c r="BJ48" s="66"/>
      <c r="BK48" s="66"/>
      <c r="BL48" s="66"/>
      <c r="BM48" s="66"/>
      <c r="BN48" s="66"/>
      <c r="BO48" s="62"/>
      <c r="BP48" s="62"/>
      <c r="BQ48" s="62"/>
      <c r="BR48" s="1095">
        <f>BR49+6.3</f>
        <v>162.90700000000001</v>
      </c>
      <c r="BS48" s="2844"/>
      <c r="BT48" s="62"/>
      <c r="BU48" s="2844">
        <f>(BU49/BR48)^(1/3)-1</f>
        <v>0.20257221989495955</v>
      </c>
      <c r="BV48" s="62"/>
      <c r="BW48" s="62"/>
      <c r="BX48" s="62"/>
      <c r="BY48" s="62"/>
      <c r="BZ48" s="467"/>
      <c r="CA48" s="83"/>
      <c r="CB48" s="1365"/>
      <c r="CC48" s="83"/>
      <c r="CD48" s="83"/>
      <c r="CE48" s="83"/>
      <c r="CF48" s="83"/>
      <c r="CG48" s="1769"/>
      <c r="CH48" s="1769"/>
      <c r="CI48" s="1769"/>
      <c r="CJ48" s="1365"/>
      <c r="CK48" s="1365"/>
      <c r="CL48" s="83"/>
      <c r="CM48" s="83"/>
      <c r="CN48" s="83"/>
      <c r="CO48" s="83"/>
      <c r="CP48" s="83"/>
      <c r="CQ48" s="83"/>
      <c r="CR48" s="83"/>
    </row>
    <row r="49" spans="1:96" s="225" customFormat="1" ht="11.25" customHeight="1">
      <c r="A49" s="81"/>
      <c r="B49"/>
      <c r="C49"/>
      <c r="D49"/>
      <c r="E49"/>
      <c r="F49"/>
      <c r="G49"/>
      <c r="H49" s="81"/>
      <c r="I49" s="457" t="s">
        <v>123</v>
      </c>
      <c r="J49" s="321"/>
      <c r="K49" s="321"/>
      <c r="L49" s="321"/>
      <c r="M49" s="68">
        <f t="shared" ref="M49:V49" si="76">M43+M37</f>
        <v>-0.86900000000000244</v>
      </c>
      <c r="N49" s="68">
        <f t="shared" si="76"/>
        <v>-1.9660000000000004</v>
      </c>
      <c r="O49" s="68">
        <f t="shared" si="76"/>
        <v>-1.9939999999999984</v>
      </c>
      <c r="P49" s="475">
        <f t="shared" si="76"/>
        <v>0.38800000000000079</v>
      </c>
      <c r="Q49" s="68">
        <f t="shared" si="76"/>
        <v>-0.87999999999999812</v>
      </c>
      <c r="R49" s="68">
        <f t="shared" si="76"/>
        <v>0.64900000000000146</v>
      </c>
      <c r="S49" s="68">
        <f t="shared" si="76"/>
        <v>-0.88200000000000567</v>
      </c>
      <c r="T49" s="68">
        <f t="shared" si="76"/>
        <v>-1.499999999999746E-2</v>
      </c>
      <c r="U49" s="507">
        <f t="shared" si="76"/>
        <v>-0.95100000000000118</v>
      </c>
      <c r="V49" s="68">
        <f t="shared" si="76"/>
        <v>1.5809999999999982</v>
      </c>
      <c r="W49" s="68">
        <f t="shared" ref="W49:AB49" si="77">W43+W37</f>
        <v>2.1620000000000053</v>
      </c>
      <c r="X49" s="475">
        <f t="shared" si="77"/>
        <v>1.8049999999999931</v>
      </c>
      <c r="Y49" s="507">
        <f t="shared" si="77"/>
        <v>3.2040000000000064</v>
      </c>
      <c r="Z49" s="68">
        <f t="shared" si="77"/>
        <v>7.7700000000000031</v>
      </c>
      <c r="AA49" s="68">
        <f t="shared" si="77"/>
        <v>8.0499999999999936</v>
      </c>
      <c r="AB49" s="475">
        <f t="shared" si="77"/>
        <v>10.404999999999994</v>
      </c>
      <c r="AC49" s="507">
        <f t="shared" ref="AC49:AJ49" si="78">AC43+AC37</f>
        <v>8.5129999999999892</v>
      </c>
      <c r="AD49" s="68">
        <f t="shared" si="78"/>
        <v>17.243999999999993</v>
      </c>
      <c r="AE49" s="68">
        <f t="shared" si="78"/>
        <v>20.066000000000003</v>
      </c>
      <c r="AF49" s="475">
        <f>AF43+AF37</f>
        <v>25.099000000000007</v>
      </c>
      <c r="AG49" s="2159">
        <f t="shared" si="78"/>
        <v>9.6089999999999982</v>
      </c>
      <c r="AH49" s="68">
        <f>AH43+AH37</f>
        <v>14.419999999999986</v>
      </c>
      <c r="AI49" s="68">
        <f t="shared" si="78"/>
        <v>3.5740000000000007</v>
      </c>
      <c r="AJ49" s="475">
        <f t="shared" si="78"/>
        <v>10.507999999999992</v>
      </c>
      <c r="AK49" s="507">
        <f t="shared" ref="AK49:AP49" si="79">AK43+AK37</f>
        <v>13.026000000000018</v>
      </c>
      <c r="AL49" s="68">
        <f t="shared" si="79"/>
        <v>28.102999999999987</v>
      </c>
      <c r="AM49" s="68">
        <f>AM43+AM37</f>
        <v>33.678999999999981</v>
      </c>
      <c r="AN49" s="475">
        <f t="shared" si="79"/>
        <v>45.273999999999987</v>
      </c>
      <c r="AO49" s="507">
        <f>AO43+AO37</f>
        <v>29.270999999999979</v>
      </c>
      <c r="AP49" s="68">
        <f t="shared" si="79"/>
        <v>42.891999999999989</v>
      </c>
      <c r="AQ49" s="68">
        <f t="shared" ref="AQ49:AR49" si="80">AQ43+AQ37</f>
        <v>42.807999999999986</v>
      </c>
      <c r="AR49" s="475">
        <f t="shared" si="80"/>
        <v>41.635999999999981</v>
      </c>
      <c r="AS49" s="507">
        <f t="shared" ref="AS49:BD49" si="81">AS43+AS37</f>
        <v>32.778578998900251</v>
      </c>
      <c r="AT49" s="68">
        <f t="shared" si="81"/>
        <v>47.355181476941937</v>
      </c>
      <c r="AU49" s="68">
        <f t="shared" si="81"/>
        <v>49.635846478999952</v>
      </c>
      <c r="AV49" s="475">
        <f t="shared" si="81"/>
        <v>56.817297403847036</v>
      </c>
      <c r="AW49" s="507">
        <f t="shared" si="81"/>
        <v>44.23587203215029</v>
      </c>
      <c r="AX49" s="68">
        <f t="shared" si="81"/>
        <v>59.837247969970896</v>
      </c>
      <c r="AY49" s="68">
        <f t="shared" si="81"/>
        <v>61.798811170069271</v>
      </c>
      <c r="AZ49" s="475">
        <f t="shared" si="81"/>
        <v>68.916133656516024</v>
      </c>
      <c r="BA49" s="507">
        <f t="shared" si="81"/>
        <v>54.812523929800328</v>
      </c>
      <c r="BB49" s="68">
        <f t="shared" si="81"/>
        <v>72.407898988815731</v>
      </c>
      <c r="BC49" s="68">
        <f t="shared" si="81"/>
        <v>74.227759852504732</v>
      </c>
      <c r="BD49" s="475">
        <f t="shared" si="81"/>
        <v>81.869217186111086</v>
      </c>
      <c r="BE49"/>
      <c r="BF49" s="404"/>
      <c r="BG49" s="507">
        <f t="shared" ref="BG49:BU49" si="82">BG43+BG37</f>
        <v>-2.218</v>
      </c>
      <c r="BH49" s="68">
        <f t="shared" si="82"/>
        <v>-3.6509999999999998</v>
      </c>
      <c r="BI49" s="68">
        <f t="shared" si="82"/>
        <v>-5.3030000000000008</v>
      </c>
      <c r="BJ49" s="68">
        <f t="shared" si="82"/>
        <v>-0.57499999999999618</v>
      </c>
      <c r="BK49" s="68">
        <f t="shared" si="82"/>
        <v>-4.4409999999999989</v>
      </c>
      <c r="BL49" s="68">
        <f t="shared" si="82"/>
        <v>-1.1280000000000001</v>
      </c>
      <c r="BM49" s="68">
        <f t="shared" si="82"/>
        <v>4.5969999999999676</v>
      </c>
      <c r="BN49" s="68">
        <f t="shared" si="82"/>
        <v>29.428999999999988</v>
      </c>
      <c r="BO49" s="68">
        <f t="shared" si="82"/>
        <v>70.921999999999997</v>
      </c>
      <c r="BP49" s="68">
        <f>BP43+BP37</f>
        <v>38.111000000000004</v>
      </c>
      <c r="BQ49" s="68">
        <f t="shared" si="82"/>
        <v>120.08199999999995</v>
      </c>
      <c r="BR49" s="68">
        <f t="shared" si="82"/>
        <v>156.607</v>
      </c>
      <c r="BS49" s="68">
        <f t="shared" si="82"/>
        <v>186.58690435868911</v>
      </c>
      <c r="BT49" s="68">
        <f t="shared" si="82"/>
        <v>234.7880648287065</v>
      </c>
      <c r="BU49" s="68">
        <f t="shared" si="82"/>
        <v>283.31739995723177</v>
      </c>
      <c r="BV49" s="68">
        <f>BV43+BV37</f>
        <v>340.4198054285194</v>
      </c>
      <c r="BW49" s="68">
        <f>BW43+BW37</f>
        <v>402.08232792542259</v>
      </c>
      <c r="BX49" s="68">
        <f>BX43+BX37</f>
        <v>465.55167312314603</v>
      </c>
      <c r="BY49" s="68">
        <f>BY43+BY37</f>
        <v>531.00424102168972</v>
      </c>
      <c r="BZ49" s="475">
        <f>BZ43+BZ37</f>
        <v>599.90292594584912</v>
      </c>
      <c r="CA49" s="83"/>
      <c r="CB49" s="2261">
        <f>IF(ISERROR(RATE(5,,-BP49,BU49)),"NM",(RATE(5,,-BP49,BU49)))</f>
        <v>0.49363533994683695</v>
      </c>
      <c r="CC49" s="83"/>
      <c r="CD49" s="83"/>
      <c r="CE49" s="83"/>
      <c r="CF49" s="83"/>
      <c r="CG49" s="1769"/>
      <c r="CH49" s="1769"/>
      <c r="CI49" s="1769"/>
      <c r="CJ49" s="1363">
        <f>RATE(2,,-BM49,BO49)</f>
        <v>2.9278349956281633</v>
      </c>
      <c r="CK49" s="1364">
        <f>RATE(4,,-BO49,BS49)</f>
        <v>0.27357652765201179</v>
      </c>
      <c r="CL49" s="75" t="str">
        <f t="shared" ref="CL49:CR49" si="83">IF(ISERROR(RATE(3,,-BL49,BO49)),"NM",(RATE(3,,-BL49,BO49)))</f>
        <v>NM</v>
      </c>
      <c r="CM49" s="75">
        <f t="shared" si="83"/>
        <v>1.0239134982972544</v>
      </c>
      <c r="CN49" s="75">
        <f t="shared" si="83"/>
        <v>0.59796575947870223</v>
      </c>
      <c r="CO49" s="75">
        <f t="shared" si="83"/>
        <v>0.30219712447216091</v>
      </c>
      <c r="CP49" s="75">
        <f t="shared" si="83"/>
        <v>0.69802314255480047</v>
      </c>
      <c r="CQ49" s="75">
        <f t="shared" si="83"/>
        <v>0.2504491468181268</v>
      </c>
      <c r="CR49" s="75">
        <f t="shared" si="83"/>
        <v>0.21848641750089695</v>
      </c>
    </row>
    <row r="50" spans="1:96" s="223" customFormat="1" ht="11.25" customHeight="1">
      <c r="A50" s="81"/>
      <c r="B50"/>
      <c r="C50"/>
      <c r="D50"/>
      <c r="E50"/>
      <c r="F50"/>
      <c r="G50"/>
      <c r="H50" s="81"/>
      <c r="I50" s="459" t="s">
        <v>463</v>
      </c>
      <c r="J50" s="64"/>
      <c r="K50" s="64"/>
      <c r="L50" s="64"/>
      <c r="M50" s="409"/>
      <c r="N50" s="409"/>
      <c r="O50" s="409"/>
      <c r="P50" s="466"/>
      <c r="Q50" s="1356">
        <f t="shared" ref="Q50:AB50" si="84">+Q49/M49-1</f>
        <v>1.2658227848096226E-2</v>
      </c>
      <c r="R50" s="1243">
        <f t="shared" si="84"/>
        <v>-1.3301119023397769</v>
      </c>
      <c r="S50" s="1243">
        <f t="shared" si="84"/>
        <v>-0.55767301905716837</v>
      </c>
      <c r="T50" s="1244">
        <f t="shared" si="84"/>
        <v>-1.0386597938144264</v>
      </c>
      <c r="U50" s="1356">
        <f t="shared" si="84"/>
        <v>8.0681818181821852E-2</v>
      </c>
      <c r="V50" s="1243">
        <f t="shared" si="84"/>
        <v>1.4360554699537667</v>
      </c>
      <c r="W50" s="1243">
        <f t="shared" si="84"/>
        <v>-3.45124716553287</v>
      </c>
      <c r="X50" s="1244">
        <f t="shared" si="84"/>
        <v>-121.33333333335325</v>
      </c>
      <c r="Y50" s="1356">
        <f t="shared" si="84"/>
        <v>-4.3690851735015794</v>
      </c>
      <c r="Z50" s="1243">
        <f t="shared" si="84"/>
        <v>3.9146110056926071</v>
      </c>
      <c r="AA50" s="1243">
        <f t="shared" si="84"/>
        <v>2.7234042553191369</v>
      </c>
      <c r="AB50" s="1244">
        <f t="shared" si="84"/>
        <v>4.7645429362881071</v>
      </c>
      <c r="AC50" s="1356">
        <f t="shared" ref="AC50:AO50" si="85">+AC49/Y49-1</f>
        <v>1.6569912609238364</v>
      </c>
      <c r="AD50" s="1243">
        <f t="shared" si="85"/>
        <v>1.2193050193050174</v>
      </c>
      <c r="AE50" s="1243">
        <f t="shared" si="85"/>
        <v>1.4926708074534183</v>
      </c>
      <c r="AF50" s="1244">
        <f t="shared" si="85"/>
        <v>1.412205670350795</v>
      </c>
      <c r="AG50" s="1356">
        <f t="shared" si="85"/>
        <v>0.12874427346411488</v>
      </c>
      <c r="AH50" s="1243">
        <f t="shared" si="85"/>
        <v>-0.1637671073996757</v>
      </c>
      <c r="AI50" s="1243">
        <f t="shared" si="85"/>
        <v>-0.82188777035781913</v>
      </c>
      <c r="AJ50" s="1244">
        <f t="shared" si="85"/>
        <v>-0.58133790190844303</v>
      </c>
      <c r="AK50" s="1356">
        <f t="shared" si="85"/>
        <v>0.35560412113643669</v>
      </c>
      <c r="AL50" s="1243">
        <f t="shared" si="85"/>
        <v>0.94889042995839223</v>
      </c>
      <c r="AM50" s="1243">
        <f t="shared" si="85"/>
        <v>8.4233351986569591</v>
      </c>
      <c r="AN50" s="1244">
        <f t="shared" ref="AN50:AV50" si="86">+AN49/AJ49-1</f>
        <v>3.3085268366958527</v>
      </c>
      <c r="AO50" s="1356">
        <f t="shared" si="85"/>
        <v>1.2471211423307187</v>
      </c>
      <c r="AP50" s="1243">
        <f t="shared" si="86"/>
        <v>0.52624274988435427</v>
      </c>
      <c r="AQ50" s="1243">
        <f t="shared" si="86"/>
        <v>0.27105911695715457</v>
      </c>
      <c r="AR50" s="1244">
        <f t="shared" si="86"/>
        <v>-8.035517073817211E-2</v>
      </c>
      <c r="AS50" s="1356">
        <f t="shared" si="86"/>
        <v>0.11983119807660403</v>
      </c>
      <c r="AT50" s="1243">
        <f t="shared" si="86"/>
        <v>0.10405626869677209</v>
      </c>
      <c r="AU50" s="1243">
        <f t="shared" si="86"/>
        <v>0.15949931038590837</v>
      </c>
      <c r="AV50" s="1244">
        <f t="shared" si="86"/>
        <v>0.36461949764259449</v>
      </c>
      <c r="AW50" s="1356">
        <f t="shared" ref="AW50:BD50" si="87">+AW49/AS49-1</f>
        <v>0.34953598914810913</v>
      </c>
      <c r="AX50" s="1243">
        <f t="shared" si="87"/>
        <v>0.26358396491641978</v>
      </c>
      <c r="AY50" s="1243">
        <f t="shared" si="87"/>
        <v>0.24504396628382796</v>
      </c>
      <c r="AZ50" s="1244">
        <f t="shared" si="87"/>
        <v>0.21294283264958302</v>
      </c>
      <c r="BA50" s="1356">
        <f t="shared" si="87"/>
        <v>0.23909671973829316</v>
      </c>
      <c r="BB50" s="1243">
        <f t="shared" si="87"/>
        <v>0.21008070132425494</v>
      </c>
      <c r="BC50" s="1243">
        <f t="shared" si="87"/>
        <v>0.20111954335547333</v>
      </c>
      <c r="BD50" s="1244">
        <f t="shared" si="87"/>
        <v>0.18795429810607711</v>
      </c>
      <c r="BE50"/>
      <c r="BF50" s="404"/>
      <c r="BG50" s="503"/>
      <c r="BH50" s="1243">
        <f t="shared" ref="BH50:BZ50" si="88">+BH49/BG49-1</f>
        <v>0.64607754733994582</v>
      </c>
      <c r="BI50" s="1243">
        <f t="shared" si="88"/>
        <v>0.45247877293892125</v>
      </c>
      <c r="BJ50" s="1243">
        <f t="shared" si="88"/>
        <v>-0.89157080897605201</v>
      </c>
      <c r="BK50" s="1243">
        <f t="shared" si="88"/>
        <v>6.7234782608696149</v>
      </c>
      <c r="BL50" s="1243">
        <f t="shared" si="88"/>
        <v>-0.74600315244314341</v>
      </c>
      <c r="BM50" s="1243">
        <f t="shared" si="88"/>
        <v>-5.0753546099290485</v>
      </c>
      <c r="BN50" s="1243">
        <f t="shared" si="88"/>
        <v>5.4017837720252766</v>
      </c>
      <c r="BO50" s="1243">
        <f t="shared" si="88"/>
        <v>1.4099357776343071</v>
      </c>
      <c r="BP50" s="1243">
        <f t="shared" si="88"/>
        <v>-0.46263500747299846</v>
      </c>
      <c r="BQ50" s="1243">
        <f>+BQ49/BP49-1</f>
        <v>2.1508488362939819</v>
      </c>
      <c r="BR50" s="1243">
        <f t="shared" si="88"/>
        <v>0.30416715244582915</v>
      </c>
      <c r="BS50" s="1243">
        <f t="shared" si="88"/>
        <v>0.19143399949356743</v>
      </c>
      <c r="BT50" s="1243">
        <f t="shared" si="88"/>
        <v>0.25833088680948846</v>
      </c>
      <c r="BU50" s="1243">
        <f t="shared" si="88"/>
        <v>0.20669421660735043</v>
      </c>
      <c r="BV50" s="1243">
        <f t="shared" si="88"/>
        <v>0.20154923587434981</v>
      </c>
      <c r="BW50" s="1243">
        <f t="shared" si="88"/>
        <v>0.18113670683549854</v>
      </c>
      <c r="BX50" s="1243">
        <f t="shared" si="88"/>
        <v>0.1578516159245269</v>
      </c>
      <c r="BY50" s="1243">
        <f t="shared" si="88"/>
        <v>0.1405914137510369</v>
      </c>
      <c r="BZ50" s="1244">
        <f t="shared" si="88"/>
        <v>0.12975166599723087</v>
      </c>
      <c r="CA50" s="83"/>
      <c r="CB50" s="83"/>
      <c r="CC50" s="83"/>
      <c r="CD50" s="83"/>
      <c r="CE50" s="83"/>
      <c r="CF50" s="83"/>
      <c r="CG50" s="1769"/>
      <c r="CH50" s="1769"/>
      <c r="CI50" s="1769"/>
      <c r="CJ50" s="83"/>
      <c r="CK50" s="403"/>
      <c r="CL50" s="403"/>
      <c r="CM50" s="403"/>
      <c r="CN50" s="403"/>
      <c r="CO50" s="403"/>
      <c r="CP50" s="403"/>
      <c r="CQ50" s="403"/>
      <c r="CR50" s="403"/>
    </row>
    <row r="51" spans="1:96" s="1888" customFormat="1" ht="11.25" customHeight="1">
      <c r="A51" s="1637"/>
      <c r="B51"/>
      <c r="C51"/>
      <c r="D51"/>
      <c r="E51"/>
      <c r="F51"/>
      <c r="G51"/>
      <c r="H51" s="1637"/>
      <c r="I51" s="1127" t="s">
        <v>124</v>
      </c>
      <c r="J51" s="1885"/>
      <c r="K51" s="1333"/>
      <c r="L51" s="1333"/>
      <c r="M51" s="265">
        <f t="shared" ref="M51:BD51" si="89">IF((ISERROR(M49/M$23)),"NM",M49/M$23)</f>
        <v>-9.5118213660245463E-2</v>
      </c>
      <c r="N51" s="265">
        <f t="shared" si="89"/>
        <v>-0.18327584599608471</v>
      </c>
      <c r="O51" s="265">
        <f t="shared" si="89"/>
        <v>-0.15832936318881993</v>
      </c>
      <c r="P51" s="1785">
        <f t="shared" si="89"/>
        <v>2.5402645017677149E-2</v>
      </c>
      <c r="Q51" s="265">
        <f t="shared" si="89"/>
        <v>-5.3333333333333219E-2</v>
      </c>
      <c r="R51" s="265">
        <f t="shared" si="89"/>
        <v>3.3149453468178644E-2</v>
      </c>
      <c r="S51" s="265">
        <f t="shared" si="89"/>
        <v>-3.954802259887031E-2</v>
      </c>
      <c r="T51" s="265">
        <f t="shared" si="89"/>
        <v>-6.022886970486834E-4</v>
      </c>
      <c r="U51" s="1886">
        <f t="shared" si="89"/>
        <v>-3.4727040350556918E-2</v>
      </c>
      <c r="V51" s="265">
        <f t="shared" si="89"/>
        <v>4.841821578415454E-2</v>
      </c>
      <c r="W51" s="265">
        <f t="shared" si="89"/>
        <v>5.9442962800033132E-2</v>
      </c>
      <c r="X51" s="1785">
        <f t="shared" si="89"/>
        <v>4.3856452122360549E-2</v>
      </c>
      <c r="Y51" s="1886">
        <f t="shared" si="89"/>
        <v>6.9451368868272301E-2</v>
      </c>
      <c r="Z51" s="265">
        <f t="shared" si="89"/>
        <v>0.14121367428166409</v>
      </c>
      <c r="AA51" s="265">
        <f t="shared" si="89"/>
        <v>0.13157679671793521</v>
      </c>
      <c r="AB51" s="1785">
        <f t="shared" si="89"/>
        <v>0.1472732162319004</v>
      </c>
      <c r="AC51" s="1886">
        <f t="shared" si="89"/>
        <v>0.11141649325323583</v>
      </c>
      <c r="AD51" s="265">
        <f t="shared" si="89"/>
        <v>0.19421762194915912</v>
      </c>
      <c r="AE51" s="265">
        <f t="shared" si="89"/>
        <v>0.1958518373920258</v>
      </c>
      <c r="AF51" s="1785">
        <f t="shared" si="89"/>
        <v>0.22840736392839925</v>
      </c>
      <c r="AG51" s="1886">
        <f t="shared" si="89"/>
        <v>8.5948121645796044E-2</v>
      </c>
      <c r="AH51" s="265">
        <f t="shared" si="89"/>
        <v>0.11480891719745212</v>
      </c>
      <c r="AI51" s="265">
        <f t="shared" si="89"/>
        <v>2.6552748885586931E-2</v>
      </c>
      <c r="AJ51" s="1785">
        <f t="shared" si="89"/>
        <v>7.1629175187457345E-2</v>
      </c>
      <c r="AK51" s="1886">
        <f t="shared" si="89"/>
        <v>8.2124416031472941E-2</v>
      </c>
      <c r="AL51" s="265">
        <f t="shared" si="89"/>
        <v>0.16204419124939448</v>
      </c>
      <c r="AM51" s="265">
        <f t="shared" si="89"/>
        <v>0.18084432320975977</v>
      </c>
      <c r="AN51" s="1785">
        <f t="shared" si="89"/>
        <v>0.23241750343949563</v>
      </c>
      <c r="AO51" s="1886">
        <f t="shared" si="89"/>
        <v>0.14834053810250189</v>
      </c>
      <c r="AP51" s="265">
        <f t="shared" si="89"/>
        <v>0.20535851080128689</v>
      </c>
      <c r="AQ51" s="265">
        <f t="shared" ref="AQ51:AR51" si="90">IF((ISERROR(AQ49/AQ$23)),"NM",AQ49/AQ$23)</f>
        <v>0.19249932547890991</v>
      </c>
      <c r="AR51" s="1785">
        <f t="shared" si="90"/>
        <v>0.19077554685996526</v>
      </c>
      <c r="AS51" s="1886">
        <f t="shared" si="89"/>
        <v>0.14818525768038088</v>
      </c>
      <c r="AT51" s="265">
        <f t="shared" si="89"/>
        <v>0.20464641952006021</v>
      </c>
      <c r="AU51" s="265">
        <f t="shared" si="89"/>
        <v>0.20014454225403205</v>
      </c>
      <c r="AV51" s="1785">
        <f t="shared" si="89"/>
        <v>0.21903352892770639</v>
      </c>
      <c r="AW51" s="1886">
        <f t="shared" si="89"/>
        <v>0.16871041964969599</v>
      </c>
      <c r="AX51" s="265">
        <f t="shared" si="89"/>
        <v>0.22080165302572285</v>
      </c>
      <c r="AY51" s="265">
        <f t="shared" si="89"/>
        <v>0.21547702639494165</v>
      </c>
      <c r="AZ51" s="1785">
        <f t="shared" si="89"/>
        <v>0.23251057239040496</v>
      </c>
      <c r="BA51" s="1886">
        <f t="shared" si="89"/>
        <v>0.18368808287466598</v>
      </c>
      <c r="BB51" s="265">
        <f t="shared" si="89"/>
        <v>0.23554944368515199</v>
      </c>
      <c r="BC51" s="265">
        <f t="shared" si="89"/>
        <v>0.22994968975373212</v>
      </c>
      <c r="BD51" s="1785">
        <f t="shared" si="89"/>
        <v>0.24659402766900929</v>
      </c>
      <c r="BE51"/>
      <c r="BF51" s="1637"/>
      <c r="BG51" s="1886">
        <f t="shared" ref="BG51:BZ51" si="91">IF((ISERROR(BG49/BG$23)),"NM",BG49/BG$23)</f>
        <v>-5.006772009029345</v>
      </c>
      <c r="BH51" s="265">
        <f t="shared" si="91"/>
        <v>-0.97489986648865146</v>
      </c>
      <c r="BI51" s="265">
        <f t="shared" si="91"/>
        <v>-0.43685641321360907</v>
      </c>
      <c r="BJ51" s="265">
        <f t="shared" si="91"/>
        <v>-2.2279913205207537E-2</v>
      </c>
      <c r="BK51" s="265">
        <f t="shared" si="91"/>
        <v>-9.3042257652259514E-2</v>
      </c>
      <c r="BL51" s="265">
        <f t="shared" si="91"/>
        <v>-1.354385543615297E-2</v>
      </c>
      <c r="BM51" s="265">
        <f t="shared" si="91"/>
        <v>3.3416687262840881E-2</v>
      </c>
      <c r="BN51" s="265">
        <f t="shared" si="91"/>
        <v>0.12631122632925296</v>
      </c>
      <c r="BO51" s="265">
        <f t="shared" si="91"/>
        <v>0.18785493303949821</v>
      </c>
      <c r="BP51" s="265">
        <f t="shared" si="91"/>
        <v>7.3474069789859264E-2</v>
      </c>
      <c r="BQ51" s="265">
        <f t="shared" si="91"/>
        <v>0.16840165537977383</v>
      </c>
      <c r="BR51" s="265">
        <f t="shared" si="91"/>
        <v>0.18493693412831405</v>
      </c>
      <c r="BS51" s="265">
        <f t="shared" si="91"/>
        <v>0.19436135870696783</v>
      </c>
      <c r="BT51" s="265">
        <f t="shared" si="91"/>
        <v>0.2103081913549861</v>
      </c>
      <c r="BU51" s="265">
        <f t="shared" si="91"/>
        <v>0.2247480564471139</v>
      </c>
      <c r="BV51" s="265">
        <f t="shared" si="91"/>
        <v>0.24305283837535299</v>
      </c>
      <c r="BW51" s="265">
        <f t="shared" si="91"/>
        <v>0.26149995312527485</v>
      </c>
      <c r="BX51" s="265">
        <f t="shared" si="91"/>
        <v>0.27867333480375078</v>
      </c>
      <c r="BY51" s="265">
        <f t="shared" si="91"/>
        <v>0.29506792677355509</v>
      </c>
      <c r="BZ51" s="1785">
        <f t="shared" si="91"/>
        <v>0.31154077998849666</v>
      </c>
      <c r="CA51" s="1637"/>
      <c r="CC51" s="1637"/>
      <c r="CD51" s="1637"/>
      <c r="CE51" s="1637"/>
      <c r="CF51" s="1637"/>
      <c r="CG51" s="1887"/>
      <c r="CH51" s="1887"/>
      <c r="CI51" s="1887"/>
      <c r="CJ51" s="1637"/>
      <c r="CK51" s="1637"/>
      <c r="CL51" s="1637"/>
      <c r="CM51" s="1637"/>
      <c r="CN51" s="1637"/>
      <c r="CO51" s="1637"/>
      <c r="CP51" s="1637"/>
      <c r="CQ51" s="1637"/>
      <c r="CR51" s="1637"/>
    </row>
    <row r="52" spans="1:96" s="1888" customFormat="1" ht="11.25" customHeight="1">
      <c r="A52" s="1637"/>
      <c r="B52"/>
      <c r="C52"/>
      <c r="D52"/>
      <c r="E52"/>
      <c r="F52"/>
      <c r="G52"/>
      <c r="H52" s="1637"/>
      <c r="I52" s="1127" t="s">
        <v>477</v>
      </c>
      <c r="J52" s="1885"/>
      <c r="K52" s="1333"/>
      <c r="L52" s="1333"/>
      <c r="M52" s="265"/>
      <c r="N52" s="265"/>
      <c r="O52" s="265"/>
      <c r="P52" s="1785"/>
      <c r="Q52" s="1889">
        <f t="shared" ref="Q52:AO52" si="92">+(Q51-M51)*10000</f>
        <v>417.84880326912241</v>
      </c>
      <c r="R52" s="1889">
        <f t="shared" si="92"/>
        <v>2164.2529946426334</v>
      </c>
      <c r="S52" s="1889">
        <f t="shared" si="92"/>
        <v>1187.8134058994963</v>
      </c>
      <c r="T52" s="1889">
        <f t="shared" si="92"/>
        <v>-260.04933714725831</v>
      </c>
      <c r="U52" s="1890">
        <f t="shared" si="92"/>
        <v>186.06292982776301</v>
      </c>
      <c r="V52" s="1889">
        <f t="shared" si="92"/>
        <v>152.68762315975897</v>
      </c>
      <c r="W52" s="1889">
        <f t="shared" si="92"/>
        <v>989.90985398903445</v>
      </c>
      <c r="X52" s="1891">
        <f t="shared" si="92"/>
        <v>444.58740819409229</v>
      </c>
      <c r="Y52" s="1890">
        <f t="shared" si="92"/>
        <v>1041.7840921882921</v>
      </c>
      <c r="Z52" s="1889">
        <f t="shared" si="92"/>
        <v>927.9545849750956</v>
      </c>
      <c r="AA52" s="1889">
        <f t="shared" si="92"/>
        <v>721.33833917902064</v>
      </c>
      <c r="AB52" s="1891">
        <f t="shared" si="92"/>
        <v>1034.1676410953985</v>
      </c>
      <c r="AC52" s="1890">
        <f t="shared" si="92"/>
        <v>419.65124384963525</v>
      </c>
      <c r="AD52" s="1889">
        <f t="shared" si="92"/>
        <v>530.03947667495027</v>
      </c>
      <c r="AE52" s="1889">
        <f t="shared" si="92"/>
        <v>642.75040674090599</v>
      </c>
      <c r="AF52" s="1891">
        <f t="shared" si="92"/>
        <v>811.34147696498849</v>
      </c>
      <c r="AG52" s="1890">
        <f t="shared" si="92"/>
        <v>-254.68371607439784</v>
      </c>
      <c r="AH52" s="1889">
        <f t="shared" si="92"/>
        <v>-794.08704751707</v>
      </c>
      <c r="AI52" s="1889">
        <f t="shared" si="92"/>
        <v>-1692.9908850643887</v>
      </c>
      <c r="AJ52" s="1891">
        <f t="shared" si="92"/>
        <v>-1567.7818874094191</v>
      </c>
      <c r="AK52" s="1890">
        <f t="shared" si="92"/>
        <v>-38.23705614323103</v>
      </c>
      <c r="AL52" s="1889">
        <f t="shared" si="92"/>
        <v>472.35274051942361</v>
      </c>
      <c r="AM52" s="1889">
        <f t="shared" si="92"/>
        <v>1542.9157432417285</v>
      </c>
      <c r="AN52" s="1891">
        <f t="shared" ref="AN52:AV52" si="93">+(AN51-AJ51)*10000</f>
        <v>1607.8832825203829</v>
      </c>
      <c r="AO52" s="1890">
        <f t="shared" si="92"/>
        <v>662.16122071028951</v>
      </c>
      <c r="AP52" s="1889">
        <f t="shared" si="93"/>
        <v>433.14319551892413</v>
      </c>
      <c r="AQ52" s="1889">
        <f t="shared" si="93"/>
        <v>116.55002269150144</v>
      </c>
      <c r="AR52" s="1891">
        <f t="shared" si="93"/>
        <v>-416.41956579530375</v>
      </c>
      <c r="AS52" s="1890">
        <f t="shared" si="93"/>
        <v>-1.5528042212101245</v>
      </c>
      <c r="AT52" s="1889">
        <f t="shared" si="93"/>
        <v>-7.1209128122667886</v>
      </c>
      <c r="AU52" s="1889">
        <f t="shared" si="93"/>
        <v>76.452167751221438</v>
      </c>
      <c r="AV52" s="1891">
        <f t="shared" si="93"/>
        <v>282.57982067741131</v>
      </c>
      <c r="AW52" s="1890">
        <f t="shared" ref="AW52:BD52" si="94">+(AW51-AS51)*10000</f>
        <v>205.25161969315116</v>
      </c>
      <c r="AX52" s="1889">
        <f t="shared" si="94"/>
        <v>161.55233505662642</v>
      </c>
      <c r="AY52" s="1889">
        <f t="shared" si="94"/>
        <v>153.32484140909597</v>
      </c>
      <c r="AZ52" s="1891">
        <f t="shared" si="94"/>
        <v>134.77043462698569</v>
      </c>
      <c r="BA52" s="1890">
        <f t="shared" si="94"/>
        <v>149.7766322496999</v>
      </c>
      <c r="BB52" s="1889">
        <f t="shared" si="94"/>
        <v>147.47790659429134</v>
      </c>
      <c r="BC52" s="1889">
        <f t="shared" si="94"/>
        <v>144.72663358790467</v>
      </c>
      <c r="BD52" s="1891">
        <f t="shared" si="94"/>
        <v>140.83455278604328</v>
      </c>
      <c r="BE52"/>
      <c r="BF52" s="1637"/>
      <c r="BG52" s="1886"/>
      <c r="BH52" s="1889">
        <f t="shared" ref="BH52:BO52" si="95">+(BH51-BG51)*10000</f>
        <v>40318.72142540694</v>
      </c>
      <c r="BI52" s="1889">
        <f t="shared" si="95"/>
        <v>5380.4345327504243</v>
      </c>
      <c r="BJ52" s="1889">
        <f t="shared" si="95"/>
        <v>4145.7650000840149</v>
      </c>
      <c r="BK52" s="1889">
        <f t="shared" si="95"/>
        <v>-707.62344447051987</v>
      </c>
      <c r="BL52" s="1889">
        <f t="shared" si="95"/>
        <v>794.98402216106547</v>
      </c>
      <c r="BM52" s="1889">
        <f t="shared" si="95"/>
        <v>469.60542698993851</v>
      </c>
      <c r="BN52" s="1889">
        <f t="shared" si="95"/>
        <v>928.94539066412074</v>
      </c>
      <c r="BO52" s="1889">
        <f t="shared" si="95"/>
        <v>615.4370671024526</v>
      </c>
      <c r="BP52" s="1889">
        <f t="shared" ref="BP52:BZ52" si="96">+(BP51-BO51)*10000</f>
        <v>-1143.8086324963895</v>
      </c>
      <c r="BQ52" s="1889">
        <f t="shared" si="96"/>
        <v>949.27585589914565</v>
      </c>
      <c r="BR52" s="1889">
        <f t="shared" si="96"/>
        <v>165.35278748540216</v>
      </c>
      <c r="BS52" s="1889">
        <f t="shared" si="96"/>
        <v>94.244245786537789</v>
      </c>
      <c r="BT52" s="1889">
        <f t="shared" si="96"/>
        <v>159.46832648018272</v>
      </c>
      <c r="BU52" s="1889">
        <f t="shared" si="96"/>
        <v>144.398650921278</v>
      </c>
      <c r="BV52" s="1889">
        <f t="shared" si="96"/>
        <v>183.04781928239089</v>
      </c>
      <c r="BW52" s="1889">
        <f t="shared" si="96"/>
        <v>184.4711474992186</v>
      </c>
      <c r="BX52" s="1889">
        <f t="shared" si="96"/>
        <v>171.73381678475928</v>
      </c>
      <c r="BY52" s="1889">
        <f t="shared" si="96"/>
        <v>163.94591969804307</v>
      </c>
      <c r="BZ52" s="1891">
        <f t="shared" si="96"/>
        <v>164.72853214941574</v>
      </c>
      <c r="CA52" s="1637"/>
      <c r="CC52" s="1637"/>
      <c r="CD52" s="1637"/>
      <c r="CE52" s="1637"/>
      <c r="CF52" s="1637"/>
      <c r="CG52" s="1887"/>
      <c r="CH52" s="1887"/>
      <c r="CI52" s="1887"/>
      <c r="CJ52" s="1637"/>
      <c r="CK52" s="1637"/>
      <c r="CL52" s="1637"/>
      <c r="CM52" s="1637"/>
      <c r="CN52" s="1637"/>
      <c r="CO52" s="1637"/>
      <c r="CP52" s="1637"/>
      <c r="CQ52" s="1637"/>
      <c r="CR52" s="1637"/>
    </row>
    <row r="53" spans="1:96" s="1888" customFormat="1" ht="11.25" customHeight="1">
      <c r="A53" s="1637"/>
      <c r="B53"/>
      <c r="C53"/>
      <c r="D53"/>
      <c r="E53"/>
      <c r="F53"/>
      <c r="G53"/>
      <c r="H53" s="1637"/>
      <c r="I53" s="1127" t="s">
        <v>34</v>
      </c>
      <c r="J53" s="1885"/>
      <c r="K53" s="1333"/>
      <c r="L53" s="1333"/>
      <c r="M53" s="265"/>
      <c r="N53" s="265"/>
      <c r="O53" s="265"/>
      <c r="P53" s="1785"/>
      <c r="Q53" s="265" t="str">
        <f t="shared" ref="Q53:BD53" si="97">IF(OR(Q49&lt;0,M49&lt;0),"NM",(Q49-M49)/(Q23-M23))</f>
        <v>NM</v>
      </c>
      <c r="R53" s="265" t="str">
        <f t="shared" si="97"/>
        <v>NM</v>
      </c>
      <c r="S53" s="265" t="str">
        <f t="shared" si="97"/>
        <v>NM</v>
      </c>
      <c r="T53" s="265" t="str">
        <f t="shared" si="97"/>
        <v>NM</v>
      </c>
      <c r="U53" s="1886" t="str">
        <f t="shared" si="97"/>
        <v>NM</v>
      </c>
      <c r="V53" s="265">
        <f t="shared" si="97"/>
        <v>7.1281070745697644E-2</v>
      </c>
      <c r="W53" s="265" t="str">
        <f t="shared" si="97"/>
        <v>NM</v>
      </c>
      <c r="X53" s="1785" t="str">
        <f t="shared" si="97"/>
        <v>NM</v>
      </c>
      <c r="Y53" s="1886" t="str">
        <f t="shared" si="97"/>
        <v>NM</v>
      </c>
      <c r="Z53" s="265">
        <f t="shared" si="97"/>
        <v>0.27666517657577133</v>
      </c>
      <c r="AA53" s="265">
        <f t="shared" si="97"/>
        <v>0.23732365981459047</v>
      </c>
      <c r="AB53" s="1785">
        <f t="shared" si="97"/>
        <v>0.2915847290974436</v>
      </c>
      <c r="AC53" s="1886">
        <f t="shared" si="97"/>
        <v>0.17536499966968305</v>
      </c>
      <c r="AD53" s="265">
        <f t="shared" si="97"/>
        <v>0.28059471626584492</v>
      </c>
      <c r="AE53" s="265">
        <f t="shared" si="97"/>
        <v>0.29112758637398867</v>
      </c>
      <c r="AF53" s="1785">
        <f t="shared" si="97"/>
        <v>0.37450300744214526</v>
      </c>
      <c r="AG53" s="1886">
        <f t="shared" si="97"/>
        <v>3.0966575311502528E-2</v>
      </c>
      <c r="AH53" s="265">
        <f t="shared" si="97"/>
        <v>-7.6712031075978807E-2</v>
      </c>
      <c r="AI53" s="265">
        <f t="shared" si="97"/>
        <v>-0.51305024109503816</v>
      </c>
      <c r="AJ53" s="1785">
        <f t="shared" si="97"/>
        <v>-0.39635454866487435</v>
      </c>
      <c r="AK53" s="1886">
        <f t="shared" si="97"/>
        <v>7.2992544805930384E-2</v>
      </c>
      <c r="AL53" s="265">
        <f t="shared" si="97"/>
        <v>0.28608764740319481</v>
      </c>
      <c r="AM53" s="265">
        <f t="shared" si="97"/>
        <v>0.58306863960334632</v>
      </c>
      <c r="AN53" s="1785">
        <f t="shared" si="97"/>
        <v>0.722845974717232</v>
      </c>
      <c r="AO53" s="1886">
        <f t="shared" si="97"/>
        <v>0.41965900284164193</v>
      </c>
      <c r="AP53" s="265">
        <f t="shared" si="97"/>
        <v>0.41734394401173941</v>
      </c>
      <c r="AQ53" s="265">
        <f t="shared" si="97"/>
        <v>0.25254509239791983</v>
      </c>
      <c r="AR53" s="1785">
        <f t="shared" si="97"/>
        <v>-0.15513859275053316</v>
      </c>
      <c r="AS53" s="1886">
        <f t="shared" si="97"/>
        <v>0.1469019976923514</v>
      </c>
      <c r="AT53" s="265">
        <f t="shared" si="97"/>
        <v>0.19804674640317482</v>
      </c>
      <c r="AU53" s="265">
        <f t="shared" si="97"/>
        <v>0.26650454640905408</v>
      </c>
      <c r="AV53" s="1785">
        <f t="shared" si="97"/>
        <v>0.36888995975718197</v>
      </c>
      <c r="AW53" s="1886">
        <f t="shared" si="97"/>
        <v>0.27944617154268386</v>
      </c>
      <c r="AX53" s="265">
        <f t="shared" si="97"/>
        <v>0.31520369931891318</v>
      </c>
      <c r="AY53" s="265">
        <f t="shared" si="97"/>
        <v>0.31347847141931229</v>
      </c>
      <c r="AZ53" s="1785">
        <f t="shared" si="97"/>
        <v>0.32699557439645915</v>
      </c>
      <c r="BA53" s="1886">
        <f t="shared" si="97"/>
        <v>0.2921727043549735</v>
      </c>
      <c r="BB53" s="265">
        <f t="shared" si="97"/>
        <v>0.34534755546276985</v>
      </c>
      <c r="BC53" s="265">
        <f t="shared" si="97"/>
        <v>0.34524857451209612</v>
      </c>
      <c r="BD53" s="1785">
        <f t="shared" si="97"/>
        <v>0.36385066094368129</v>
      </c>
      <c r="BE53"/>
      <c r="BF53" s="1637"/>
      <c r="BG53" s="1886"/>
      <c r="BH53" s="265" t="str">
        <f t="shared" ref="BH53:BZ53" si="98">IF(OR(BH49&lt;0,BG49&lt;0),"NM",(BH49-BG49)/(BH23-BG23))</f>
        <v>NM</v>
      </c>
      <c r="BI53" s="265" t="str">
        <f t="shared" si="98"/>
        <v>NM</v>
      </c>
      <c r="BJ53" s="265" t="str">
        <f t="shared" si="98"/>
        <v>NM</v>
      </c>
      <c r="BK53" s="265" t="str">
        <f t="shared" si="98"/>
        <v>NM</v>
      </c>
      <c r="BL53" s="265" t="str">
        <f t="shared" si="98"/>
        <v>NM</v>
      </c>
      <c r="BM53" s="265" t="str">
        <f t="shared" si="98"/>
        <v>NM</v>
      </c>
      <c r="BN53" s="265">
        <f t="shared" si="98"/>
        <v>0.26023348913248534</v>
      </c>
      <c r="BO53" s="265">
        <f t="shared" si="98"/>
        <v>0.28705343553698431</v>
      </c>
      <c r="BP53" s="265">
        <f t="shared" si="98"/>
        <v>-0.23243178147403007</v>
      </c>
      <c r="BQ53" s="265">
        <f t="shared" si="98"/>
        <v>0.42172877362130784</v>
      </c>
      <c r="BR53" s="265">
        <f t="shared" si="98"/>
        <v>0.27309636320134018</v>
      </c>
      <c r="BS53" s="265">
        <f t="shared" si="98"/>
        <v>0.26487056250884916</v>
      </c>
      <c r="BT53" s="265">
        <f t="shared" si="98"/>
        <v>0.30819156310752788</v>
      </c>
      <c r="BU53" s="265">
        <f t="shared" si="98"/>
        <v>0.33654185248630608</v>
      </c>
      <c r="BV53" s="265">
        <f t="shared" si="98"/>
        <v>0.40787432479491159</v>
      </c>
      <c r="BW53" s="265">
        <f t="shared" si="98"/>
        <v>0.45009140508688461</v>
      </c>
      <c r="BX53" s="265">
        <f t="shared" si="98"/>
        <v>0.47721312178739428</v>
      </c>
      <c r="BY53" s="265">
        <f t="shared" si="98"/>
        <v>0.50738424727553244</v>
      </c>
      <c r="BZ53" s="1785">
        <f t="shared" si="98"/>
        <v>0.54681495971555072</v>
      </c>
      <c r="CA53" s="2493"/>
      <c r="CC53" s="1637"/>
      <c r="CD53" s="2493"/>
      <c r="CE53" s="1637"/>
      <c r="CF53" s="1637"/>
      <c r="CG53" s="1887"/>
      <c r="CH53" s="1887"/>
      <c r="CI53" s="1887"/>
      <c r="CJ53" s="1637"/>
      <c r="CK53" s="1637"/>
      <c r="CL53" s="1637"/>
      <c r="CM53" s="1637"/>
      <c r="CN53" s="1637"/>
      <c r="CO53" s="1637"/>
      <c r="CP53" s="1637"/>
      <c r="CQ53" s="1637"/>
      <c r="CR53" s="1637"/>
    </row>
    <row r="54" spans="1:96" s="1876" customFormat="1" ht="11.25" customHeight="1">
      <c r="A54" s="1868"/>
      <c r="B54"/>
      <c r="C54"/>
      <c r="D54"/>
      <c r="E54"/>
      <c r="F54"/>
      <c r="G54"/>
      <c r="H54" s="1868"/>
      <c r="I54" s="1870"/>
      <c r="J54" s="1871"/>
      <c r="K54" s="1869"/>
      <c r="L54" s="1869"/>
      <c r="M54" s="1872"/>
      <c r="N54" s="1872"/>
      <c r="O54" s="1872"/>
      <c r="P54" s="1873"/>
      <c r="Q54" s="1872"/>
      <c r="R54" s="1872"/>
      <c r="S54" s="1872"/>
      <c r="T54" s="1872"/>
      <c r="U54" s="1874"/>
      <c r="V54" s="1872"/>
      <c r="W54" s="1872"/>
      <c r="X54" s="1873"/>
      <c r="Y54" s="1874"/>
      <c r="Z54" s="1872"/>
      <c r="AA54" s="1872"/>
      <c r="AB54" s="1873"/>
      <c r="AC54" s="1874"/>
      <c r="AD54" s="1872"/>
      <c r="AE54" s="1872"/>
      <c r="AF54" s="1873"/>
      <c r="AG54" s="1874"/>
      <c r="AH54" s="1872"/>
      <c r="AI54" s="1872"/>
      <c r="AJ54" s="1873"/>
      <c r="AK54" s="1874"/>
      <c r="AL54" s="1872"/>
      <c r="AM54" s="1872"/>
      <c r="AN54" s="1873"/>
      <c r="AO54" s="1874"/>
      <c r="AP54" s="1872"/>
      <c r="AQ54" s="1872"/>
      <c r="AR54" s="1873"/>
      <c r="AS54" s="1874"/>
      <c r="AT54" s="1872"/>
      <c r="AU54" s="1872"/>
      <c r="AV54" s="1873"/>
      <c r="AW54" s="1874"/>
      <c r="AX54" s="1872"/>
      <c r="AY54" s="1872"/>
      <c r="AZ54" s="1873"/>
      <c r="BA54" s="1874"/>
      <c r="BB54" s="1872"/>
      <c r="BC54" s="1872"/>
      <c r="BD54" s="1873"/>
      <c r="BE54"/>
      <c r="BF54" s="1868"/>
      <c r="BG54" s="1874"/>
      <c r="BH54" s="1872"/>
      <c r="BI54" s="1872"/>
      <c r="BJ54" s="1872"/>
      <c r="BK54" s="1872"/>
      <c r="BL54" s="1872"/>
      <c r="BM54" s="1872"/>
      <c r="BN54" s="1872"/>
      <c r="BO54" s="1872"/>
      <c r="BP54" s="68"/>
      <c r="BQ54" s="68"/>
      <c r="BR54" s="68"/>
      <c r="BS54" s="1872"/>
      <c r="BT54" s="1872"/>
      <c r="BU54" s="1872"/>
      <c r="BV54" s="1872"/>
      <c r="BW54" s="1872"/>
      <c r="BX54" s="1872"/>
      <c r="BY54" s="1872"/>
      <c r="BZ54" s="1873"/>
      <c r="CA54" s="1868"/>
      <c r="CC54" s="1868"/>
      <c r="CD54" s="1868"/>
      <c r="CE54" s="1868"/>
      <c r="CF54" s="1868"/>
      <c r="CG54" s="1875"/>
      <c r="CH54" s="1875"/>
      <c r="CI54" s="1875"/>
      <c r="CJ54" s="1868"/>
      <c r="CK54" s="1868"/>
      <c r="CL54" s="1868"/>
      <c r="CM54" s="1868"/>
      <c r="CN54" s="1868"/>
      <c r="CO54" s="1868"/>
      <c r="CP54" s="1868"/>
      <c r="CQ54" s="1868"/>
      <c r="CR54" s="1868"/>
    </row>
    <row r="55" spans="1:96" s="225" customFormat="1" ht="11.25" customHeight="1">
      <c r="A55" s="81"/>
      <c r="B55"/>
      <c r="C55"/>
      <c r="D55"/>
      <c r="E55"/>
      <c r="F55"/>
      <c r="G55"/>
      <c r="H55" s="81"/>
      <c r="I55" s="468"/>
      <c r="J55" s="63"/>
      <c r="K55" s="64"/>
      <c r="L55" s="64"/>
      <c r="M55" s="296"/>
      <c r="N55" s="296"/>
      <c r="O55" s="296"/>
      <c r="P55" s="477"/>
      <c r="Q55" s="296"/>
      <c r="R55" s="296"/>
      <c r="S55" s="296"/>
      <c r="T55" s="296"/>
      <c r="U55" s="509"/>
      <c r="V55" s="296"/>
      <c r="W55" s="296"/>
      <c r="X55" s="477"/>
      <c r="Y55" s="509"/>
      <c r="Z55" s="296"/>
      <c r="AA55" s="296"/>
      <c r="AB55" s="477"/>
      <c r="AC55" s="509"/>
      <c r="AD55" s="296"/>
      <c r="AE55" s="296"/>
      <c r="AF55" s="477"/>
      <c r="AG55" s="509"/>
      <c r="AH55" s="296"/>
      <c r="AI55" s="296"/>
      <c r="AJ55" s="477"/>
      <c r="AK55" s="509"/>
      <c r="AL55" s="296"/>
      <c r="AM55" s="296"/>
      <c r="AN55" s="477"/>
      <c r="AO55" s="509"/>
      <c r="AP55" s="296"/>
      <c r="AQ55" s="296"/>
      <c r="AR55" s="477"/>
      <c r="AS55" s="509"/>
      <c r="AT55" s="296"/>
      <c r="AU55" s="296"/>
      <c r="AV55" s="477"/>
      <c r="AW55" s="509"/>
      <c r="AX55" s="296"/>
      <c r="AY55" s="296"/>
      <c r="AZ55" s="477"/>
      <c r="BA55" s="509"/>
      <c r="BB55" s="296"/>
      <c r="BC55" s="296"/>
      <c r="BD55" s="477"/>
      <c r="BE55"/>
      <c r="BF55" s="105"/>
      <c r="BG55" s="509"/>
      <c r="BH55" s="296"/>
      <c r="BI55" s="296"/>
      <c r="BJ55" s="296"/>
      <c r="BK55" s="296"/>
      <c r="BL55" s="296"/>
      <c r="BM55" s="296"/>
      <c r="BN55" s="296"/>
      <c r="BO55" s="296"/>
      <c r="BP55" s="296"/>
      <c r="BQ55" s="296"/>
      <c r="BR55" s="296"/>
      <c r="BS55" s="296"/>
      <c r="BT55" s="296"/>
      <c r="BU55" s="296"/>
      <c r="BV55" s="296"/>
      <c r="BW55" s="296"/>
      <c r="BX55" s="296"/>
      <c r="BY55" s="296"/>
      <c r="BZ55" s="477"/>
      <c r="CA55" s="83"/>
      <c r="CB55" s="83"/>
      <c r="CC55" s="83"/>
      <c r="CD55" s="83"/>
      <c r="CE55" s="83"/>
      <c r="CF55" s="83"/>
      <c r="CG55" s="1769"/>
      <c r="CH55" s="1769"/>
      <c r="CI55" s="1769"/>
      <c r="CJ55" s="83"/>
      <c r="CK55" s="83"/>
      <c r="CL55" s="83"/>
      <c r="CM55" s="83"/>
      <c r="CN55" s="83"/>
      <c r="CO55" s="83"/>
      <c r="CP55" s="83"/>
      <c r="CQ55" s="83"/>
      <c r="CR55" s="83"/>
    </row>
    <row r="56" spans="1:96" s="225" customFormat="1" ht="11.25" customHeight="1">
      <c r="A56" s="81"/>
      <c r="B56"/>
      <c r="C56"/>
      <c r="D56"/>
      <c r="E56"/>
      <c r="F56"/>
      <c r="G56"/>
      <c r="H56" s="81"/>
      <c r="I56" s="227" t="s">
        <v>321</v>
      </c>
      <c r="J56" s="321"/>
      <c r="K56" s="321"/>
      <c r="L56" s="321"/>
      <c r="M56" s="409">
        <f t="shared" ref="M56:AB56" si="99">M58-M57</f>
        <v>-3.9E-2</v>
      </c>
      <c r="N56" s="409">
        <f t="shared" si="99"/>
        <v>1.4999999999999999E-2</v>
      </c>
      <c r="O56" s="409">
        <f t="shared" si="99"/>
        <v>0.104</v>
      </c>
      <c r="P56" s="466">
        <f t="shared" si="99"/>
        <v>-6.5000000000000002E-2</v>
      </c>
      <c r="Q56" s="409">
        <f t="shared" si="99"/>
        <v>0.108</v>
      </c>
      <c r="R56" s="409">
        <f t="shared" si="99"/>
        <v>7.4999999999999997E-2</v>
      </c>
      <c r="S56" s="409">
        <f t="shared" si="99"/>
        <v>-0.32600000000000001</v>
      </c>
      <c r="T56" s="409">
        <f t="shared" si="99"/>
        <v>-0.252</v>
      </c>
      <c r="U56" s="503">
        <f t="shared" si="99"/>
        <v>-0.03</v>
      </c>
      <c r="V56" s="409">
        <f t="shared" si="99"/>
        <v>2.1999999999999999E-2</v>
      </c>
      <c r="W56" s="409">
        <f t="shared" si="99"/>
        <v>-1.4E-2</v>
      </c>
      <c r="X56" s="466">
        <f t="shared" si="99"/>
        <v>-0.20300000000000001</v>
      </c>
      <c r="Y56" s="505">
        <f t="shared" si="99"/>
        <v>-0.20100000000000001</v>
      </c>
      <c r="Z56" s="110">
        <f t="shared" si="99"/>
        <v>-6.6000000000000003E-2</v>
      </c>
      <c r="AA56" s="110">
        <f t="shared" si="99"/>
        <v>-3.1E-2</v>
      </c>
      <c r="AB56" s="469">
        <f t="shared" si="99"/>
        <v>-0.109</v>
      </c>
      <c r="AC56" s="505">
        <f t="shared" ref="AC56:AJ56" si="100">AC58-AC57</f>
        <v>-2E-3</v>
      </c>
      <c r="AD56" s="110">
        <f t="shared" si="100"/>
        <v>-1.4999999999999999E-2</v>
      </c>
      <c r="AE56" s="110">
        <f t="shared" si="100"/>
        <v>0.2</v>
      </c>
      <c r="AF56" s="469">
        <f t="shared" si="100"/>
        <v>3.7999999999999999E-2</v>
      </c>
      <c r="AG56" s="505">
        <f>AG58-AG57</f>
        <v>0.56200000000000006</v>
      </c>
      <c r="AH56" s="110">
        <f t="shared" si="100"/>
        <v>0.32900000000000001</v>
      </c>
      <c r="AI56" s="1732">
        <f>AI58-AI57</f>
        <v>-0.54500000000000004</v>
      </c>
      <c r="AJ56" s="469">
        <f t="shared" si="100"/>
        <v>0.04</v>
      </c>
      <c r="AK56" s="505">
        <f t="shared" ref="AK56:AP56" si="101">AK58-AK57</f>
        <v>0.25800000000000001</v>
      </c>
      <c r="AL56" s="110">
        <f t="shared" si="101"/>
        <v>0.36699999999999999</v>
      </c>
      <c r="AM56" s="110">
        <f t="shared" si="101"/>
        <v>0.32700000000000001</v>
      </c>
      <c r="AN56" s="110">
        <f t="shared" si="101"/>
        <v>0.74199999999999999</v>
      </c>
      <c r="AO56" s="505">
        <f t="shared" si="101"/>
        <v>0.73199999999999998</v>
      </c>
      <c r="AP56" s="110">
        <f t="shared" si="101"/>
        <v>0.86399999999999999</v>
      </c>
      <c r="AQ56" s="110">
        <f t="shared" ref="AQ56:AR56" si="102">AQ58-AQ57</f>
        <v>1.371</v>
      </c>
      <c r="AR56" s="110">
        <f t="shared" si="102"/>
        <v>1.897</v>
      </c>
      <c r="AS56" s="505">
        <f t="shared" ref="AS56:BD56" si="103">AS58-AS57</f>
        <v>0.64619492701213921</v>
      </c>
      <c r="AT56" s="110">
        <f t="shared" si="103"/>
        <v>0.64641470714940685</v>
      </c>
      <c r="AU56" s="110">
        <f t="shared" si="103"/>
        <v>0.67047695259570128</v>
      </c>
      <c r="AV56" s="469">
        <f t="shared" si="103"/>
        <v>0.72214963615737993</v>
      </c>
      <c r="AW56" s="505">
        <f t="shared" si="103"/>
        <v>0.75706991096655607</v>
      </c>
      <c r="AX56" s="110">
        <f t="shared" si="103"/>
        <v>0.77927700481111895</v>
      </c>
      <c r="AY56" s="110">
        <f t="shared" si="103"/>
        <v>0.81158030463807318</v>
      </c>
      <c r="AZ56" s="469">
        <f t="shared" si="103"/>
        <v>0.84273153159402669</v>
      </c>
      <c r="BA56" s="505">
        <f t="shared" si="103"/>
        <v>0.88156036233928714</v>
      </c>
      <c r="BB56" s="110">
        <f t="shared" si="103"/>
        <v>0.90929818944829244</v>
      </c>
      <c r="BC56" s="110">
        <f t="shared" si="103"/>
        <v>0.94770585634617033</v>
      </c>
      <c r="BD56" s="469">
        <f t="shared" si="103"/>
        <v>0.98377990480209088</v>
      </c>
      <c r="BE56"/>
      <c r="BF56" s="105"/>
      <c r="BG56" s="503">
        <f t="shared" ref="BG56:BO56" si="104">BG58-BG57</f>
        <v>0</v>
      </c>
      <c r="BH56" s="409">
        <f t="shared" si="104"/>
        <v>0.60599999999999998</v>
      </c>
      <c r="BI56" s="409">
        <f t="shared" si="104"/>
        <v>0.434</v>
      </c>
      <c r="BJ56" s="409">
        <f t="shared" si="104"/>
        <v>3.3000000000000002E-2</v>
      </c>
      <c r="BK56" s="409">
        <f t="shared" si="104"/>
        <v>1.4999999999999986E-2</v>
      </c>
      <c r="BL56" s="409">
        <f t="shared" si="104"/>
        <v>-0.39500000000000002</v>
      </c>
      <c r="BM56" s="409">
        <f t="shared" si="104"/>
        <v>-0.22500000000000001</v>
      </c>
      <c r="BN56" s="409">
        <f t="shared" si="104"/>
        <v>-0.40700000000000003</v>
      </c>
      <c r="BO56" s="110">
        <f t="shared" si="104"/>
        <v>0.221</v>
      </c>
      <c r="BP56" s="110">
        <f>SUM(AG56:AJ56)</f>
        <v>0.38599999999999995</v>
      </c>
      <c r="BQ56" s="110">
        <f>SUM(AK56:AN56)</f>
        <v>1.694</v>
      </c>
      <c r="BR56" s="110">
        <f>SUM(AO56:AR56)</f>
        <v>4.8639999999999999</v>
      </c>
      <c r="BS56" s="110">
        <f>SUM(AS56:AV56)</f>
        <v>2.6852362229146274</v>
      </c>
      <c r="BT56" s="110">
        <f>SUM(AW56:AZ56)</f>
        <v>3.1906587520097749</v>
      </c>
      <c r="BU56" s="110">
        <f>SUM(BA56:BD56)</f>
        <v>3.7223443129358409</v>
      </c>
      <c r="BV56" s="439">
        <f>BV58-BV57</f>
        <v>4.0355024083098492</v>
      </c>
      <c r="BW56" s="439">
        <f>BW58-BW57</f>
        <v>4.7310550492475629</v>
      </c>
      <c r="BX56" s="439">
        <f>BX58-BX57</f>
        <v>5.5479440173246957</v>
      </c>
      <c r="BY56" s="439">
        <f>BY58-BY57</f>
        <v>6.4735235403427573</v>
      </c>
      <c r="BZ56" s="461">
        <f>BZ58-BZ57</f>
        <v>7.5221961129019723</v>
      </c>
      <c r="CA56" s="83"/>
      <c r="CB56" s="83"/>
      <c r="CC56" s="83"/>
      <c r="CD56" s="83"/>
      <c r="CE56" s="83"/>
      <c r="CF56" s="83"/>
      <c r="CG56" s="1769"/>
      <c r="CH56" s="1769"/>
      <c r="CI56" s="1769"/>
      <c r="CJ56" s="83"/>
      <c r="CK56" s="75"/>
      <c r="CL56" s="75"/>
      <c r="CM56" s="75"/>
      <c r="CN56" s="75"/>
      <c r="CO56" s="75"/>
      <c r="CP56" s="75"/>
      <c r="CQ56" s="75"/>
      <c r="CR56" s="75"/>
    </row>
    <row r="57" spans="1:96" s="225" customFormat="1" ht="11.25" customHeight="1">
      <c r="A57" s="81"/>
      <c r="B57"/>
      <c r="C57"/>
      <c r="D57"/>
      <c r="E57"/>
      <c r="F57"/>
      <c r="G57"/>
      <c r="H57" s="81"/>
      <c r="I57" s="478" t="s">
        <v>263</v>
      </c>
      <c r="J57" s="321"/>
      <c r="K57" s="321"/>
      <c r="L57" s="321"/>
      <c r="M57" s="435">
        <v>0</v>
      </c>
      <c r="N57" s="435">
        <v>0</v>
      </c>
      <c r="O57" s="435">
        <v>0</v>
      </c>
      <c r="P57" s="524">
        <v>0</v>
      </c>
      <c r="Q57" s="435">
        <v>0</v>
      </c>
      <c r="R57" s="435">
        <v>0</v>
      </c>
      <c r="S57" s="435">
        <v>0</v>
      </c>
      <c r="T57" s="435">
        <v>0</v>
      </c>
      <c r="U57" s="519">
        <v>0</v>
      </c>
      <c r="V57" s="435">
        <v>0</v>
      </c>
      <c r="W57" s="435">
        <v>0</v>
      </c>
      <c r="X57" s="524">
        <v>0</v>
      </c>
      <c r="Y57" s="519">
        <v>0</v>
      </c>
      <c r="Z57" s="435">
        <v>0</v>
      </c>
      <c r="AA57" s="435">
        <v>0</v>
      </c>
      <c r="AB57" s="524">
        <v>0</v>
      </c>
      <c r="AC57" s="519">
        <v>0</v>
      </c>
      <c r="AD57" s="435">
        <v>0</v>
      </c>
      <c r="AE57" s="435">
        <v>0</v>
      </c>
      <c r="AF57" s="524">
        <v>0</v>
      </c>
      <c r="AG57" s="519">
        <v>0</v>
      </c>
      <c r="AH57" s="435">
        <v>0</v>
      </c>
      <c r="AI57" s="1731">
        <v>0</v>
      </c>
      <c r="AJ57" s="524">
        <v>0</v>
      </c>
      <c r="AK57" s="519">
        <v>0</v>
      </c>
      <c r="AL57" s="435">
        <v>0</v>
      </c>
      <c r="AM57" s="435">
        <v>0</v>
      </c>
      <c r="AN57" s="435">
        <v>0</v>
      </c>
      <c r="AO57" s="519">
        <v>0</v>
      </c>
      <c r="AP57" s="435">
        <v>0</v>
      </c>
      <c r="AQ57" s="435">
        <v>0</v>
      </c>
      <c r="AR57" s="435">
        <v>0</v>
      </c>
      <c r="AS57" s="1665">
        <v>0</v>
      </c>
      <c r="AT57" s="438">
        <v>0</v>
      </c>
      <c r="AU57" s="438">
        <v>0</v>
      </c>
      <c r="AV57" s="460">
        <v>0</v>
      </c>
      <c r="AW57" s="1665">
        <v>0</v>
      </c>
      <c r="AX57" s="438">
        <v>0</v>
      </c>
      <c r="AY57" s="438">
        <v>0</v>
      </c>
      <c r="AZ57" s="460">
        <v>0</v>
      </c>
      <c r="BA57" s="1665">
        <v>0</v>
      </c>
      <c r="BB57" s="438">
        <v>0</v>
      </c>
      <c r="BC57" s="438">
        <v>0</v>
      </c>
      <c r="BD57" s="460">
        <v>0</v>
      </c>
      <c r="BE57"/>
      <c r="BF57" s="105"/>
      <c r="BG57" s="503">
        <v>0</v>
      </c>
      <c r="BH57" s="409">
        <v>0</v>
      </c>
      <c r="BI57" s="409">
        <v>0</v>
      </c>
      <c r="BJ57" s="409">
        <v>0</v>
      </c>
      <c r="BK57" s="409">
        <f>SUM(M57:P57)</f>
        <v>0</v>
      </c>
      <c r="BL57" s="409">
        <f>SUM(Q57:T57)</f>
        <v>0</v>
      </c>
      <c r="BM57" s="409">
        <f>SUM(U57:X57)</f>
        <v>0</v>
      </c>
      <c r="BN57" s="409">
        <f>SUM(Y57:AB57)</f>
        <v>0</v>
      </c>
      <c r="BO57" s="409">
        <f>SUM(AC57:AF57)</f>
        <v>0</v>
      </c>
      <c r="BP57" s="409">
        <f>SUM(AG57:AJ57)</f>
        <v>0</v>
      </c>
      <c r="BQ57" s="110">
        <f>SUM(AK57:AN57)</f>
        <v>0</v>
      </c>
      <c r="BR57" s="110">
        <f>SUM(AO57:AR57)</f>
        <v>0</v>
      </c>
      <c r="BS57" s="110">
        <f>SUM(AS57:AV57)</f>
        <v>0</v>
      </c>
      <c r="BT57" s="110">
        <f>SUM(AW57:AZ57)</f>
        <v>0</v>
      </c>
      <c r="BU57" s="110">
        <f>SUM(BA57:BD57)</f>
        <v>0</v>
      </c>
      <c r="BV57" s="438">
        <v>0</v>
      </c>
      <c r="BW57" s="438">
        <v>0</v>
      </c>
      <c r="BX57" s="438">
        <v>0</v>
      </c>
      <c r="BY57" s="438">
        <v>0</v>
      </c>
      <c r="BZ57" s="460">
        <v>0</v>
      </c>
      <c r="CA57" s="83"/>
      <c r="CB57" s="83"/>
      <c r="CC57" s="83"/>
      <c r="CD57" s="83"/>
      <c r="CE57" s="83"/>
      <c r="CF57" s="83"/>
      <c r="CG57" s="1769"/>
      <c r="CH57" s="1769"/>
      <c r="CI57" s="1769"/>
      <c r="CJ57" s="83"/>
      <c r="CK57" s="75"/>
      <c r="CL57" s="75"/>
      <c r="CM57" s="75"/>
      <c r="CN57" s="75"/>
      <c r="CO57" s="75"/>
      <c r="CP57" s="75"/>
      <c r="CQ57" s="75"/>
      <c r="CR57" s="75"/>
    </row>
    <row r="58" spans="1:96" s="412" customFormat="1" ht="11.25" customHeight="1">
      <c r="A58" s="83"/>
      <c r="B58"/>
      <c r="C58"/>
      <c r="D58"/>
      <c r="E58"/>
      <c r="F58"/>
      <c r="G58"/>
      <c r="H58" s="83"/>
      <c r="I58" s="478" t="s">
        <v>322</v>
      </c>
      <c r="J58" s="405"/>
      <c r="K58" s="228"/>
      <c r="L58" s="228"/>
      <c r="M58" s="435">
        <v>-3.9E-2</v>
      </c>
      <c r="N58" s="435">
        <v>1.4999999999999999E-2</v>
      </c>
      <c r="O58" s="435">
        <v>0.104</v>
      </c>
      <c r="P58" s="524">
        <v>-6.5000000000000002E-2</v>
      </c>
      <c r="Q58" s="435">
        <v>0.108</v>
      </c>
      <c r="R58" s="435">
        <v>7.4999999999999997E-2</v>
      </c>
      <c r="S58" s="435">
        <v>-0.32600000000000001</v>
      </c>
      <c r="T58" s="435">
        <v>-0.252</v>
      </c>
      <c r="U58" s="519">
        <v>-0.03</v>
      </c>
      <c r="V58" s="435">
        <v>2.1999999999999999E-2</v>
      </c>
      <c r="W58" s="435">
        <v>-1.4E-2</v>
      </c>
      <c r="X58" s="524">
        <v>-0.20300000000000001</v>
      </c>
      <c r="Y58" s="519">
        <v>-0.20100000000000001</v>
      </c>
      <c r="Z58" s="435">
        <v>-6.6000000000000003E-2</v>
      </c>
      <c r="AA58" s="435">
        <v>-3.1E-2</v>
      </c>
      <c r="AB58" s="524">
        <v>-0.109</v>
      </c>
      <c r="AC58" s="519">
        <v>-2E-3</v>
      </c>
      <c r="AD58" s="435">
        <v>-1.4999999999999999E-2</v>
      </c>
      <c r="AE58" s="435">
        <v>0.2</v>
      </c>
      <c r="AF58" s="524">
        <v>3.7999999999999999E-2</v>
      </c>
      <c r="AG58" s="2600">
        <v>0.56200000000000006</v>
      </c>
      <c r="AH58" s="2602">
        <v>0.32900000000000001</v>
      </c>
      <c r="AI58" s="2601">
        <v>-0.54500000000000004</v>
      </c>
      <c r="AJ58" s="2606">
        <v>0.04</v>
      </c>
      <c r="AK58" s="2607">
        <v>0.25800000000000001</v>
      </c>
      <c r="AL58" s="2607">
        <v>0.36699999999999999</v>
      </c>
      <c r="AM58" s="2607">
        <v>0.32700000000000001</v>
      </c>
      <c r="AN58" s="2608">
        <v>0.74199999999999999</v>
      </c>
      <c r="AO58" s="2607">
        <v>0.73199999999999998</v>
      </c>
      <c r="AP58" s="2607">
        <v>0.86399999999999999</v>
      </c>
      <c r="AQ58" s="2607">
        <v>1.371</v>
      </c>
      <c r="AR58" s="2608">
        <v>1.897</v>
      </c>
      <c r="AS58" s="501">
        <f t="shared" ref="AS58:BD58" si="105">AS281</f>
        <v>0.64619492701213921</v>
      </c>
      <c r="AT58" s="439">
        <f t="shared" si="105"/>
        <v>0.64641470714940685</v>
      </c>
      <c r="AU58" s="439">
        <f t="shared" si="105"/>
        <v>0.67047695259570128</v>
      </c>
      <c r="AV58" s="461">
        <f t="shared" si="105"/>
        <v>0.72214963615737993</v>
      </c>
      <c r="AW58" s="501">
        <f t="shared" si="105"/>
        <v>0.75706991096655607</v>
      </c>
      <c r="AX58" s="439">
        <f t="shared" si="105"/>
        <v>0.77927700481111895</v>
      </c>
      <c r="AY58" s="439">
        <f t="shared" si="105"/>
        <v>0.81158030463807318</v>
      </c>
      <c r="AZ58" s="461">
        <f t="shared" si="105"/>
        <v>0.84273153159402669</v>
      </c>
      <c r="BA58" s="501">
        <f t="shared" si="105"/>
        <v>0.88156036233928714</v>
      </c>
      <c r="BB58" s="439">
        <f t="shared" si="105"/>
        <v>0.90929818944829244</v>
      </c>
      <c r="BC58" s="439">
        <f t="shared" si="105"/>
        <v>0.94770585634617033</v>
      </c>
      <c r="BD58" s="461">
        <f t="shared" si="105"/>
        <v>0.98377990480209088</v>
      </c>
      <c r="BE58"/>
      <c r="BF58" s="105"/>
      <c r="BG58" s="503">
        <v>0</v>
      </c>
      <c r="BH58" s="409">
        <v>0.60599999999999998</v>
      </c>
      <c r="BI58" s="409">
        <v>0.434</v>
      </c>
      <c r="BJ58" s="409">
        <v>3.3000000000000002E-2</v>
      </c>
      <c r="BK58" s="409">
        <f>SUM(M58:P58)</f>
        <v>1.4999999999999986E-2</v>
      </c>
      <c r="BL58" s="409">
        <f>SUM(Q58:T58)</f>
        <v>-0.39500000000000002</v>
      </c>
      <c r="BM58" s="409">
        <f>SUM(U58:X58)</f>
        <v>-0.22500000000000001</v>
      </c>
      <c r="BN58" s="409">
        <f>SUM(Y58:AB58)</f>
        <v>-0.40700000000000003</v>
      </c>
      <c r="BO58" s="409">
        <f>SUM(AC58:AF58)</f>
        <v>0.221</v>
      </c>
      <c r="BP58" s="409">
        <f>SUM(AG58:AJ58)</f>
        <v>0.38599999999999995</v>
      </c>
      <c r="BQ58" s="110">
        <f>SUM(AK58:AN58)</f>
        <v>1.694</v>
      </c>
      <c r="BR58" s="2091">
        <f>SUM(AO58:AR58)</f>
        <v>4.8639999999999999</v>
      </c>
      <c r="BS58" s="110">
        <f>SUM(AS58:AV58)</f>
        <v>2.6852362229146274</v>
      </c>
      <c r="BT58" s="110">
        <f>SUM(AW58:AZ58)</f>
        <v>3.1906587520097749</v>
      </c>
      <c r="BU58" s="110">
        <f>SUM(BA58:BD58)</f>
        <v>3.7223443129358409</v>
      </c>
      <c r="BV58" s="443">
        <f>BV281</f>
        <v>4.0355024083098492</v>
      </c>
      <c r="BW58" s="443">
        <f>BW281</f>
        <v>4.7310550492475629</v>
      </c>
      <c r="BX58" s="443">
        <f>BX281</f>
        <v>5.5479440173246957</v>
      </c>
      <c r="BY58" s="443">
        <f>BY281</f>
        <v>6.4735235403427573</v>
      </c>
      <c r="BZ58" s="732">
        <f>BZ281</f>
        <v>7.5221961129019723</v>
      </c>
      <c r="CA58" s="83"/>
      <c r="CB58" s="83"/>
      <c r="CC58" s="83"/>
      <c r="CD58" s="83"/>
      <c r="CE58" s="83"/>
      <c r="CF58" s="83"/>
      <c r="CG58" s="1769"/>
      <c r="CH58" s="1769"/>
      <c r="CI58" s="1769"/>
      <c r="CJ58" s="83"/>
      <c r="CK58" s="83"/>
      <c r="CL58" s="83"/>
      <c r="CM58" s="83"/>
      <c r="CN58" s="83"/>
      <c r="CO58" s="83"/>
      <c r="CP58" s="83"/>
      <c r="CQ58" s="83"/>
      <c r="CR58" s="83"/>
    </row>
    <row r="59" spans="1:96" s="412" customFormat="1" ht="11.25" customHeight="1">
      <c r="A59" s="83"/>
      <c r="B59"/>
      <c r="C59"/>
      <c r="D59"/>
      <c r="E59"/>
      <c r="F59"/>
      <c r="G59"/>
      <c r="H59" s="83"/>
      <c r="I59" s="478"/>
      <c r="J59" s="405"/>
      <c r="K59" s="228"/>
      <c r="L59" s="228"/>
      <c r="M59" s="409"/>
      <c r="N59" s="409"/>
      <c r="O59" s="409"/>
      <c r="P59" s="466"/>
      <c r="Q59" s="409"/>
      <c r="R59" s="409"/>
      <c r="S59" s="409"/>
      <c r="T59" s="409"/>
      <c r="U59" s="503"/>
      <c r="V59" s="409"/>
      <c r="W59" s="409"/>
      <c r="X59" s="466"/>
      <c r="Y59" s="503"/>
      <c r="Z59" s="409"/>
      <c r="AA59" s="409"/>
      <c r="AB59" s="466"/>
      <c r="AC59" s="503"/>
      <c r="AD59" s="409"/>
      <c r="AE59" s="409"/>
      <c r="AF59" s="479"/>
      <c r="AG59" s="510"/>
      <c r="AH59" s="280"/>
      <c r="AI59" s="280"/>
      <c r="AJ59" s="479"/>
      <c r="AK59" s="510"/>
      <c r="AL59" s="280"/>
      <c r="AM59" s="280"/>
      <c r="AN59" s="479"/>
      <c r="AO59" s="280"/>
      <c r="AP59" s="280"/>
      <c r="AQ59" s="280"/>
      <c r="AR59" s="479"/>
      <c r="AS59" s="510"/>
      <c r="AT59" s="280"/>
      <c r="AU59" s="280"/>
      <c r="AV59" s="479"/>
      <c r="AW59" s="510"/>
      <c r="AX59" s="280"/>
      <c r="AY59" s="280"/>
      <c r="AZ59" s="479"/>
      <c r="BA59" s="510"/>
      <c r="BB59" s="280"/>
      <c r="BC59" s="280"/>
      <c r="BD59" s="479"/>
      <c r="BE59"/>
      <c r="BF59" s="105"/>
      <c r="BG59" s="503"/>
      <c r="BH59" s="409"/>
      <c r="BI59" s="409"/>
      <c r="BJ59" s="409"/>
      <c r="BK59" s="409"/>
      <c r="BL59" s="409"/>
      <c r="BM59" s="409"/>
      <c r="BN59" s="409"/>
      <c r="BO59" s="409"/>
      <c r="BP59" s="409"/>
      <c r="BQ59" s="280"/>
      <c r="BR59" s="280"/>
      <c r="BS59" s="280"/>
      <c r="BT59" s="280"/>
      <c r="BU59" s="280"/>
      <c r="BV59" s="280"/>
      <c r="BW59" s="280"/>
      <c r="BX59" s="280"/>
      <c r="BY59" s="280"/>
      <c r="BZ59" s="479"/>
      <c r="CA59" s="83"/>
      <c r="CB59" s="83"/>
      <c r="CC59" s="83"/>
      <c r="CD59" s="83"/>
      <c r="CE59" s="83"/>
      <c r="CF59" s="83"/>
      <c r="CG59" s="1769"/>
      <c r="CH59" s="1769"/>
      <c r="CI59" s="1769"/>
      <c r="CJ59" s="83"/>
      <c r="CK59" s="83"/>
      <c r="CL59" s="83"/>
      <c r="CM59" s="83"/>
      <c r="CN59" s="83"/>
      <c r="CO59" s="83"/>
      <c r="CP59" s="83"/>
      <c r="CQ59" s="83"/>
      <c r="CR59" s="83"/>
    </row>
    <row r="60" spans="1:96" s="412" customFormat="1" ht="11.25" customHeight="1">
      <c r="A60" s="83"/>
      <c r="B60"/>
      <c r="C60"/>
      <c r="D60"/>
      <c r="E60"/>
      <c r="F60"/>
      <c r="G60"/>
      <c r="H60" s="83"/>
      <c r="I60" s="480" t="s">
        <v>118</v>
      </c>
      <c r="J60" s="406"/>
      <c r="K60" s="406"/>
      <c r="L60" s="406"/>
      <c r="M60" s="74">
        <f t="shared" ref="M60:AN60" si="106">M43+M56</f>
        <v>-1.3520000000000023</v>
      </c>
      <c r="N60" s="74">
        <f t="shared" si="106"/>
        <v>-2.4040000000000004</v>
      </c>
      <c r="O60" s="74">
        <f t="shared" si="106"/>
        <v>-2.4759999999999982</v>
      </c>
      <c r="P60" s="481">
        <f t="shared" si="106"/>
        <v>-0.52799999999999914</v>
      </c>
      <c r="Q60" s="74">
        <f t="shared" si="106"/>
        <v>-1.590999999999998</v>
      </c>
      <c r="R60" s="74">
        <f t="shared" si="106"/>
        <v>-0.19999999999999857</v>
      </c>
      <c r="S60" s="74">
        <f t="shared" si="106"/>
        <v>-2.2550000000000057</v>
      </c>
      <c r="T60" s="74">
        <f t="shared" si="106"/>
        <v>-1.7149999999999974</v>
      </c>
      <c r="U60" s="511">
        <f t="shared" si="106"/>
        <v>-2.342000000000001</v>
      </c>
      <c r="V60" s="74">
        <f t="shared" si="106"/>
        <v>-5.8000000000001849E-2</v>
      </c>
      <c r="W60" s="74">
        <f t="shared" si="106"/>
        <v>0.36800000000000499</v>
      </c>
      <c r="X60" s="481">
        <f t="shared" si="106"/>
        <v>-0.81900000000000683</v>
      </c>
      <c r="Y60" s="511">
        <f t="shared" si="106"/>
        <v>0.52500000000000613</v>
      </c>
      <c r="Z60" s="74">
        <f t="shared" si="106"/>
        <v>5.0670000000000028</v>
      </c>
      <c r="AA60" s="74">
        <f t="shared" si="106"/>
        <v>5.202999999999995</v>
      </c>
      <c r="AB60" s="481">
        <f t="shared" si="106"/>
        <v>6.7719999999999931</v>
      </c>
      <c r="AC60" s="511">
        <f t="shared" si="106"/>
        <v>4.8499999999999899</v>
      </c>
      <c r="AD60" s="74">
        <f t="shared" si="106"/>
        <v>13.194999999999993</v>
      </c>
      <c r="AE60" s="74">
        <f t="shared" si="106"/>
        <v>15.662000000000003</v>
      </c>
      <c r="AF60" s="481">
        <f t="shared" si="106"/>
        <v>19.846000000000007</v>
      </c>
      <c r="AG60" s="511">
        <f t="shared" si="106"/>
        <v>3.2759999999999989</v>
      </c>
      <c r="AH60" s="74">
        <f t="shared" si="106"/>
        <v>7.5819999999999856</v>
      </c>
      <c r="AI60" s="74">
        <f t="shared" si="106"/>
        <v>-4.5329999999999995</v>
      </c>
      <c r="AJ60" s="481">
        <f t="shared" si="106"/>
        <v>2.5679999999999916</v>
      </c>
      <c r="AK60" s="511">
        <f t="shared" si="106"/>
        <v>5.0950000000000175</v>
      </c>
      <c r="AL60" s="74">
        <f t="shared" si="106"/>
        <v>19.905999999999988</v>
      </c>
      <c r="AM60" s="74">
        <f>AM43+AM56</f>
        <v>24.846999999999984</v>
      </c>
      <c r="AN60" s="481">
        <f t="shared" si="106"/>
        <v>33.126999999999988</v>
      </c>
      <c r="AO60" s="74">
        <f>AO43+AO56</f>
        <v>19.620999999999981</v>
      </c>
      <c r="AP60" s="74">
        <f>AP43+AP56</f>
        <v>33.093999999999987</v>
      </c>
      <c r="AQ60" s="74">
        <f>AQ43+AQ56</f>
        <v>33.522999999999989</v>
      </c>
      <c r="AR60" s="481">
        <f t="shared" ref="AR60" si="107">AR43+AR56</f>
        <v>33.803999999999981</v>
      </c>
      <c r="AS60" s="511">
        <f t="shared" ref="AS60:AV60" si="108">AS43+AS56</f>
        <v>22.917773925912392</v>
      </c>
      <c r="AT60" s="74">
        <f t="shared" si="108"/>
        <v>37.010096184091339</v>
      </c>
      <c r="AU60" s="74">
        <f t="shared" si="108"/>
        <v>38.52632343159565</v>
      </c>
      <c r="AV60" s="481">
        <f t="shared" si="108"/>
        <v>45.217947040004418</v>
      </c>
      <c r="AW60" s="511">
        <f t="shared" ref="AW60:BD60" si="109">AW43+AW56</f>
        <v>37.3025601831744</v>
      </c>
      <c r="AX60" s="74">
        <f t="shared" si="109"/>
        <v>52.606456548563528</v>
      </c>
      <c r="AY60" s="74">
        <f t="shared" si="109"/>
        <v>54.259797453806542</v>
      </c>
      <c r="AZ60" s="481">
        <f t="shared" si="109"/>
        <v>61.137295135100587</v>
      </c>
      <c r="BA60" s="511">
        <f t="shared" si="109"/>
        <v>46.911760254497835</v>
      </c>
      <c r="BB60" s="74">
        <f t="shared" si="109"/>
        <v>64.203635788070244</v>
      </c>
      <c r="BC60" s="74">
        <f t="shared" si="109"/>
        <v>65.737022154984885</v>
      </c>
      <c r="BD60" s="481">
        <f t="shared" si="109"/>
        <v>73.179521122497803</v>
      </c>
      <c r="BE60"/>
      <c r="BF60" s="105"/>
      <c r="BG60" s="511">
        <f t="shared" ref="BG60:BZ60" si="110">BG43+BG56</f>
        <v>-2.2279999999999998</v>
      </c>
      <c r="BH60" s="74">
        <f t="shared" si="110"/>
        <v>-3.2199999999999998</v>
      </c>
      <c r="BI60" s="74">
        <f t="shared" si="110"/>
        <v>-5.44</v>
      </c>
      <c r="BJ60" s="74">
        <f t="shared" si="110"/>
        <v>-1.7429999999999963</v>
      </c>
      <c r="BK60" s="74">
        <f t="shared" si="110"/>
        <v>-6.7599999999999989</v>
      </c>
      <c r="BL60" s="74">
        <f t="shared" si="110"/>
        <v>-5.7609999999999992</v>
      </c>
      <c r="BM60" s="74">
        <f t="shared" si="110"/>
        <v>-2.8510000000000333</v>
      </c>
      <c r="BN60" s="74">
        <f t="shared" si="110"/>
        <v>17.56699999999999</v>
      </c>
      <c r="BO60" s="74">
        <f t="shared" si="110"/>
        <v>53.55299999999999</v>
      </c>
      <c r="BP60" s="74">
        <f t="shared" si="110"/>
        <v>8.8930000000000042</v>
      </c>
      <c r="BQ60" s="74">
        <f t="shared" si="110"/>
        <v>82.974999999999952</v>
      </c>
      <c r="BR60" s="74">
        <f t="shared" si="110"/>
        <v>120.042</v>
      </c>
      <c r="BS60" s="74">
        <f t="shared" si="110"/>
        <v>143.67214058160374</v>
      </c>
      <c r="BT60" s="74">
        <f t="shared" si="110"/>
        <v>205.30610932064508</v>
      </c>
      <c r="BU60" s="74">
        <f t="shared" si="110"/>
        <v>250.03193932005064</v>
      </c>
      <c r="BV60" s="74">
        <f t="shared" si="110"/>
        <v>302.9475028867123</v>
      </c>
      <c r="BW60" s="74">
        <f t="shared" si="110"/>
        <v>360.8055780245532</v>
      </c>
      <c r="BX60" s="74">
        <f t="shared" si="110"/>
        <v>420.59181219035378</v>
      </c>
      <c r="BY60" s="74">
        <f t="shared" si="110"/>
        <v>482.46995961191556</v>
      </c>
      <c r="BZ60" s="481">
        <f t="shared" si="110"/>
        <v>547.91731710863417</v>
      </c>
      <c r="CA60" s="83"/>
      <c r="CB60" s="2261">
        <f>IF(ISERROR(RATE(5,,-BP60,BU60)),"NM",(RATE(5,,-BP60,BU60)))</f>
        <v>0.94889947860518986</v>
      </c>
      <c r="CC60" s="83"/>
      <c r="CD60" s="83"/>
      <c r="CE60" s="83"/>
      <c r="CF60" s="83"/>
      <c r="CG60" s="1769"/>
      <c r="CH60" s="1769"/>
      <c r="CI60" s="1769"/>
      <c r="CJ60" s="83"/>
      <c r="CK60" s="75"/>
      <c r="CL60" s="75"/>
      <c r="CM60" s="75"/>
      <c r="CN60" s="75"/>
      <c r="CO60" s="75"/>
      <c r="CP60" s="75"/>
      <c r="CQ60" s="75"/>
      <c r="CR60" s="75"/>
    </row>
    <row r="61" spans="1:96" s="412" customFormat="1" ht="11.25" customHeight="1">
      <c r="A61" s="83"/>
      <c r="B61"/>
      <c r="C61"/>
      <c r="D61"/>
      <c r="E61"/>
      <c r="F61"/>
      <c r="G61"/>
      <c r="H61" s="83"/>
      <c r="I61" s="480"/>
      <c r="J61" s="406"/>
      <c r="K61" s="406"/>
      <c r="L61" s="406"/>
      <c r="M61" s="74"/>
      <c r="N61" s="74"/>
      <c r="O61" s="74"/>
      <c r="P61" s="481"/>
      <c r="Q61" s="74"/>
      <c r="R61" s="74"/>
      <c r="S61" s="74"/>
      <c r="T61" s="74"/>
      <c r="U61" s="511"/>
      <c r="V61" s="74"/>
      <c r="W61" s="74"/>
      <c r="X61" s="481"/>
      <c r="Y61" s="511"/>
      <c r="Z61" s="74"/>
      <c r="AA61" s="74"/>
      <c r="AB61" s="481"/>
      <c r="AC61" s="511"/>
      <c r="AD61" s="74"/>
      <c r="AE61" s="74"/>
      <c r="AF61" s="481"/>
      <c r="AG61" s="511"/>
      <c r="AH61" s="74"/>
      <c r="AI61" s="74"/>
      <c r="AJ61" s="481"/>
      <c r="AK61" s="511"/>
      <c r="AL61" s="74"/>
      <c r="AM61" s="74"/>
      <c r="AN61" s="481"/>
      <c r="AO61" s="74"/>
      <c r="AP61" s="74"/>
      <c r="AQ61" s="74"/>
      <c r="AR61" s="481"/>
      <c r="AS61" s="511"/>
      <c r="AT61" s="74"/>
      <c r="AU61" s="74"/>
      <c r="AV61" s="481"/>
      <c r="AW61" s="511"/>
      <c r="AX61" s="74"/>
      <c r="AY61" s="74"/>
      <c r="AZ61" s="481"/>
      <c r="BA61" s="511"/>
      <c r="BB61" s="74"/>
      <c r="BC61" s="74"/>
      <c r="BD61" s="481"/>
      <c r="BE61"/>
      <c r="BF61" s="105"/>
      <c r="BG61" s="511"/>
      <c r="BH61" s="74"/>
      <c r="BI61" s="74"/>
      <c r="BJ61" s="74"/>
      <c r="BK61" s="74"/>
      <c r="BL61" s="74"/>
      <c r="BM61" s="74"/>
      <c r="BN61" s="74"/>
      <c r="BO61" s="74"/>
      <c r="BP61" s="74"/>
      <c r="BQ61" s="74"/>
      <c r="BR61" s="74"/>
      <c r="BS61" s="74"/>
      <c r="BT61" s="74"/>
      <c r="BU61" s="74"/>
      <c r="BV61" s="74"/>
      <c r="BW61" s="74"/>
      <c r="BX61" s="74"/>
      <c r="BY61" s="74"/>
      <c r="BZ61" s="481"/>
      <c r="CA61" s="83"/>
      <c r="CB61" s="83"/>
      <c r="CC61" s="83"/>
      <c r="CD61" s="83"/>
      <c r="CE61" s="83"/>
      <c r="CF61" s="83"/>
      <c r="CG61" s="1769"/>
      <c r="CH61" s="1769"/>
      <c r="CI61" s="1769"/>
      <c r="CJ61" s="83"/>
      <c r="CK61" s="75"/>
      <c r="CL61" s="75"/>
      <c r="CM61" s="75"/>
      <c r="CN61" s="75"/>
      <c r="CO61" s="75"/>
      <c r="CP61" s="75"/>
      <c r="CQ61" s="75"/>
      <c r="CR61" s="75"/>
    </row>
    <row r="62" spans="1:96" s="225" customFormat="1" ht="11.25" customHeight="1">
      <c r="A62" s="81"/>
      <c r="B62"/>
      <c r="C62"/>
      <c r="D62"/>
      <c r="E62"/>
      <c r="F62"/>
      <c r="G62"/>
      <c r="H62" s="81"/>
      <c r="I62" s="482" t="s">
        <v>117</v>
      </c>
      <c r="J62" s="321"/>
      <c r="K62" s="321"/>
      <c r="L62" s="321"/>
      <c r="M62" s="68">
        <f t="shared" ref="M62:AN62" si="111">M46+M58</f>
        <v>-2.9050000000000034</v>
      </c>
      <c r="N62" s="68">
        <f t="shared" si="111"/>
        <v>-2.661</v>
      </c>
      <c r="O62" s="68">
        <f t="shared" si="111"/>
        <v>-2.8429999999999991</v>
      </c>
      <c r="P62" s="475">
        <f t="shared" si="111"/>
        <v>-1.0820000000000012</v>
      </c>
      <c r="Q62" s="68">
        <f t="shared" si="111"/>
        <v>-2.6939999999999995</v>
      </c>
      <c r="R62" s="68">
        <f t="shared" si="111"/>
        <v>-1.147999999999999</v>
      </c>
      <c r="S62" s="68">
        <f t="shared" si="111"/>
        <v>-3.7150000000000065</v>
      </c>
      <c r="T62" s="68">
        <f t="shared" si="111"/>
        <v>-9.0089999999999986</v>
      </c>
      <c r="U62" s="507">
        <f t="shared" si="111"/>
        <v>-9.770999999999999</v>
      </c>
      <c r="V62" s="68">
        <f t="shared" si="111"/>
        <v>-1.9160000000000024</v>
      </c>
      <c r="W62" s="68">
        <f t="shared" si="111"/>
        <v>-1.9659999999999982</v>
      </c>
      <c r="X62" s="475">
        <f t="shared" si="111"/>
        <v>-5.3390000000000102</v>
      </c>
      <c r="Y62" s="507">
        <f t="shared" si="111"/>
        <v>-4.7549999999999875</v>
      </c>
      <c r="Z62" s="68">
        <f t="shared" si="111"/>
        <v>-0.64599999999999835</v>
      </c>
      <c r="AA62" s="68">
        <f t="shared" si="111"/>
        <v>-1.8120000000000058</v>
      </c>
      <c r="AB62" s="475">
        <f t="shared" si="111"/>
        <v>-2.0170000000000012</v>
      </c>
      <c r="AC62" s="507">
        <f t="shared" si="111"/>
        <v>-4.6060000000000132</v>
      </c>
      <c r="AD62" s="68">
        <f t="shared" si="111"/>
        <v>3.1119999999999952</v>
      </c>
      <c r="AE62" s="68">
        <f t="shared" si="111"/>
        <v>4.7439999999999971</v>
      </c>
      <c r="AF62" s="475">
        <f t="shared" si="111"/>
        <v>8.0300000000000047</v>
      </c>
      <c r="AG62" s="507">
        <f t="shared" si="111"/>
        <v>-10.395000000000008</v>
      </c>
      <c r="AH62" s="68">
        <f t="shared" si="111"/>
        <v>-7.9340000000000197</v>
      </c>
      <c r="AI62" s="68">
        <f t="shared" si="111"/>
        <v>-20.216000000000008</v>
      </c>
      <c r="AJ62" s="475">
        <f t="shared" si="111"/>
        <v>-13.403999999999989</v>
      </c>
      <c r="AK62" s="2159">
        <f t="shared" si="111"/>
        <v>-14.014999999999969</v>
      </c>
      <c r="AL62" s="68">
        <f t="shared" si="111"/>
        <v>-0.82000000000001183</v>
      </c>
      <c r="AM62" s="68">
        <f>AM46+AM58</f>
        <v>2.2869999999999795</v>
      </c>
      <c r="AN62" s="475">
        <f t="shared" si="111"/>
        <v>9.2629999999999875</v>
      </c>
      <c r="AO62" s="292">
        <f>AO46+AO58</f>
        <v>-4.7130000000000214</v>
      </c>
      <c r="AP62" s="292">
        <f>AP46+AP58</f>
        <v>7.707999999999994</v>
      </c>
      <c r="AQ62" s="292">
        <f>AQ46+AQ58</f>
        <v>8.1789999999999932</v>
      </c>
      <c r="AR62" s="475">
        <f t="shared" ref="AR62" si="112">AR46+AR58</f>
        <v>173.17499999999998</v>
      </c>
      <c r="AS62" s="507">
        <f t="shared" ref="AS62:AV62" si="113">AS46+AS58</f>
        <v>-3.8496260740876167</v>
      </c>
      <c r="AT62" s="68">
        <f t="shared" si="113"/>
        <v>9.1085961840913434</v>
      </c>
      <c r="AU62" s="68">
        <f t="shared" si="113"/>
        <v>9.4209734315956641</v>
      </c>
      <c r="AV62" s="475">
        <f t="shared" si="113"/>
        <v>14.72954704000443</v>
      </c>
      <c r="AW62" s="507">
        <f t="shared" ref="AW62:BD62" si="114">AW46+AW58</f>
        <v>7.3230721831743955</v>
      </c>
      <c r="AX62" s="68">
        <f t="shared" si="114"/>
        <v>21.356776548563513</v>
      </c>
      <c r="AY62" s="68">
        <f t="shared" si="114"/>
        <v>21.66180545380654</v>
      </c>
      <c r="AZ62" s="475">
        <f t="shared" si="114"/>
        <v>26.990287135100587</v>
      </c>
      <c r="BA62" s="507">
        <f t="shared" si="114"/>
        <v>13.934323454497845</v>
      </c>
      <c r="BB62" s="68">
        <f t="shared" si="114"/>
        <v>29.828987788070236</v>
      </c>
      <c r="BC62" s="68">
        <f t="shared" si="114"/>
        <v>29.879230954984873</v>
      </c>
      <c r="BD62" s="475">
        <f t="shared" si="114"/>
        <v>35.617812322497812</v>
      </c>
      <c r="BE62"/>
      <c r="BF62" s="105"/>
      <c r="BG62" s="507">
        <f t="shared" ref="BG62:BZ62" si="115">BG46+BG58</f>
        <v>-2.2279999999999998</v>
      </c>
      <c r="BH62" s="68">
        <f t="shared" si="115"/>
        <v>-3.3140000000000001</v>
      </c>
      <c r="BI62" s="68">
        <f t="shared" si="115"/>
        <v>-5.8049999999999988</v>
      </c>
      <c r="BJ62" s="68">
        <f t="shared" si="115"/>
        <v>-2.2999999999999949</v>
      </c>
      <c r="BK62" s="68">
        <f t="shared" si="115"/>
        <v>-9.4909999999999926</v>
      </c>
      <c r="BL62" s="68">
        <f t="shared" si="115"/>
        <v>-16.565999999999992</v>
      </c>
      <c r="BM62" s="68">
        <f t="shared" si="115"/>
        <v>-18.992000000000026</v>
      </c>
      <c r="BN62" s="68">
        <f t="shared" si="115"/>
        <v>-9.2300000000000075</v>
      </c>
      <c r="BO62" s="68">
        <f t="shared" si="115"/>
        <v>11.279999999999969</v>
      </c>
      <c r="BP62" s="68">
        <f t="shared" si="115"/>
        <v>-51.949000000000034</v>
      </c>
      <c r="BQ62" s="68">
        <f t="shared" si="115"/>
        <v>-3.2850000000000419</v>
      </c>
      <c r="BR62" s="68">
        <f t="shared" si="115"/>
        <v>184.34900000000002</v>
      </c>
      <c r="BS62" s="68">
        <f t="shared" si="115"/>
        <v>29.409490581603738</v>
      </c>
      <c r="BT62" s="68">
        <f t="shared" si="115"/>
        <v>77.331941320645015</v>
      </c>
      <c r="BU62" s="68">
        <f t="shared" si="115"/>
        <v>109.26035452005051</v>
      </c>
      <c r="BV62" s="68">
        <f t="shared" si="115"/>
        <v>152.32190715071235</v>
      </c>
      <c r="BW62" s="68">
        <f t="shared" si="115"/>
        <v>202.64870250175323</v>
      </c>
      <c r="BX62" s="68">
        <f t="shared" si="115"/>
        <v>254.52709289141382</v>
      </c>
      <c r="BY62" s="68">
        <f t="shared" si="115"/>
        <v>308.10200434802846</v>
      </c>
      <c r="BZ62" s="475">
        <f t="shared" si="115"/>
        <v>364.83096408155268</v>
      </c>
      <c r="CA62" s="83"/>
      <c r="CB62" s="2261" t="str">
        <f>IF(ISERROR(RATE(5,,-BP62,BU62)),"NM",(RATE(5,,-BP62,BU62)))</f>
        <v>NM</v>
      </c>
      <c r="CC62" s="83"/>
      <c r="CD62" s="83"/>
      <c r="CE62" s="83"/>
      <c r="CF62" s="83"/>
      <c r="CG62" s="1769"/>
      <c r="CH62" s="1769"/>
      <c r="CI62" s="1769"/>
      <c r="CJ62" s="83"/>
      <c r="CK62" s="75"/>
      <c r="CL62" s="75"/>
      <c r="CM62" s="75"/>
      <c r="CN62" s="75"/>
      <c r="CO62" s="75"/>
      <c r="CP62" s="75"/>
      <c r="CQ62" s="75"/>
      <c r="CR62" s="75"/>
    </row>
    <row r="63" spans="1:96" s="225" customFormat="1" ht="11.25" customHeight="1">
      <c r="A63" s="81"/>
      <c r="B63"/>
      <c r="C63"/>
      <c r="D63"/>
      <c r="E63"/>
      <c r="F63"/>
      <c r="G63"/>
      <c r="H63" s="81"/>
      <c r="I63" s="482"/>
      <c r="J63" s="64"/>
      <c r="K63" s="64"/>
      <c r="L63" s="64"/>
      <c r="M63" s="407"/>
      <c r="N63" s="407"/>
      <c r="O63" s="407"/>
      <c r="P63" s="721"/>
      <c r="Q63" s="407"/>
      <c r="R63" s="407"/>
      <c r="S63" s="407"/>
      <c r="T63" s="407"/>
      <c r="U63" s="720"/>
      <c r="V63" s="407"/>
      <c r="W63" s="407"/>
      <c r="X63" s="721"/>
      <c r="Y63" s="510"/>
      <c r="Z63" s="280"/>
      <c r="AA63" s="280"/>
      <c r="AB63" s="479"/>
      <c r="AC63" s="510"/>
      <c r="AD63" s="280"/>
      <c r="AE63" s="280"/>
      <c r="AF63" s="479"/>
      <c r="AG63" s="510"/>
      <c r="AH63" s="280"/>
      <c r="AI63" s="280"/>
      <c r="AJ63" s="479"/>
      <c r="AK63" s="510"/>
      <c r="AL63" s="280"/>
      <c r="AM63" s="280"/>
      <c r="AN63" s="479"/>
      <c r="AO63" s="280"/>
      <c r="AP63" s="280"/>
      <c r="AQ63" s="280"/>
      <c r="AR63" s="479"/>
      <c r="AS63" s="510"/>
      <c r="AT63" s="280"/>
      <c r="AU63" s="280"/>
      <c r="AV63" s="479"/>
      <c r="AW63" s="510"/>
      <c r="AX63" s="280"/>
      <c r="AY63" s="280"/>
      <c r="AZ63" s="479"/>
      <c r="BA63" s="510"/>
      <c r="BB63" s="280"/>
      <c r="BC63" s="280"/>
      <c r="BD63" s="479"/>
      <c r="BE63"/>
      <c r="BF63" s="105"/>
      <c r="BG63" s="720"/>
      <c r="BH63" s="407"/>
      <c r="BI63" s="407"/>
      <c r="BJ63" s="407"/>
      <c r="BK63" s="407"/>
      <c r="BL63" s="407"/>
      <c r="BM63" s="407"/>
      <c r="BN63" s="407"/>
      <c r="BO63" s="280"/>
      <c r="BP63" s="280"/>
      <c r="BQ63" s="280"/>
      <c r="BR63" s="280"/>
      <c r="BS63" s="280"/>
      <c r="BT63" s="280"/>
      <c r="BU63" s="280"/>
      <c r="BV63" s="280"/>
      <c r="BW63" s="280"/>
      <c r="BX63" s="280"/>
      <c r="BY63" s="280"/>
      <c r="BZ63" s="479"/>
      <c r="CA63" s="83"/>
      <c r="CB63" s="83"/>
      <c r="CC63" s="83"/>
      <c r="CD63" s="83"/>
      <c r="CE63" s="83"/>
      <c r="CF63" s="83"/>
      <c r="CG63" s="1769"/>
      <c r="CH63" s="1769"/>
      <c r="CI63" s="1769"/>
      <c r="CJ63" s="83"/>
      <c r="CK63" s="83"/>
      <c r="CL63" s="83"/>
      <c r="CM63" s="83"/>
      <c r="CN63" s="83"/>
      <c r="CO63" s="83"/>
      <c r="CP63" s="83"/>
      <c r="CQ63" s="83"/>
      <c r="CR63" s="83"/>
    </row>
    <row r="64" spans="1:96" s="225" customFormat="1" ht="11.25" customHeight="1">
      <c r="A64" s="414"/>
      <c r="B64"/>
      <c r="C64"/>
      <c r="D64"/>
      <c r="E64"/>
      <c r="F64"/>
      <c r="G64"/>
      <c r="H64" s="414"/>
      <c r="I64" s="483" t="s">
        <v>267</v>
      </c>
      <c r="J64" s="415"/>
      <c r="K64" s="415"/>
      <c r="L64" s="415"/>
      <c r="M64" s="416">
        <f t="shared" ref="M64:R64" si="116">IF(M60&gt;0,(M60*M65),M66)</f>
        <v>1.0999999999999999E-2</v>
      </c>
      <c r="N64" s="416">
        <f t="shared" si="116"/>
        <v>0.01</v>
      </c>
      <c r="O64" s="416">
        <f t="shared" si="116"/>
        <v>2.7E-2</v>
      </c>
      <c r="P64" s="527">
        <f t="shared" si="116"/>
        <v>2.7E-2</v>
      </c>
      <c r="Q64" s="416">
        <f t="shared" si="116"/>
        <v>1.2E-2</v>
      </c>
      <c r="R64" s="416">
        <f t="shared" si="116"/>
        <v>1.7000000000000001E-2</v>
      </c>
      <c r="S64" s="416">
        <f t="shared" ref="S64:AC64" si="117">IF(S60&gt;0,(S60*S65),S66)</f>
        <v>3.5999999999999997E-2</v>
      </c>
      <c r="T64" s="416">
        <f t="shared" si="117"/>
        <v>3.6999999999999998E-2</v>
      </c>
      <c r="U64" s="522">
        <f t="shared" si="117"/>
        <v>3.1E-2</v>
      </c>
      <c r="V64" s="416">
        <f t="shared" si="117"/>
        <v>6.6000000000000003E-2</v>
      </c>
      <c r="W64" s="416">
        <f t="shared" si="117"/>
        <v>0.147200000000002</v>
      </c>
      <c r="X64" s="527">
        <f t="shared" si="117"/>
        <v>-0.02</v>
      </c>
      <c r="Y64" s="522">
        <f t="shared" si="117"/>
        <v>0.21000000000000246</v>
      </c>
      <c r="Z64" s="417">
        <f t="shared" si="117"/>
        <v>2.026800000000001</v>
      </c>
      <c r="AA64" s="417">
        <f t="shared" si="117"/>
        <v>2.0811999999999982</v>
      </c>
      <c r="AB64" s="484">
        <f t="shared" si="117"/>
        <v>2.7087999999999974</v>
      </c>
      <c r="AC64" s="512">
        <f t="shared" si="117"/>
        <v>1.9399999999999959</v>
      </c>
      <c r="AD64" s="417">
        <f t="shared" ref="AD64:AJ64" si="118">IF(AD60&gt;0,(AD60*AD65),AD66)</f>
        <v>5.2779999999999978</v>
      </c>
      <c r="AE64" s="417">
        <f t="shared" si="118"/>
        <v>6.264800000000001</v>
      </c>
      <c r="AF64" s="484">
        <f t="shared" si="118"/>
        <v>7.9384000000000032</v>
      </c>
      <c r="AG64" s="512">
        <f t="shared" si="118"/>
        <v>1.3103999999999996</v>
      </c>
      <c r="AH64" s="417">
        <f>IF(AH60&gt;0,(AH60*AH65),AH66)</f>
        <v>3.0327999999999946</v>
      </c>
      <c r="AI64" s="417">
        <f>IF(AI60&gt;0,(AI60*AI65),AI66)</f>
        <v>-3.1749999999999998</v>
      </c>
      <c r="AJ64" s="2281">
        <f t="shared" si="118"/>
        <v>1.0271999999999968</v>
      </c>
      <c r="AK64" s="512">
        <f t="shared" ref="AK64:AP64" si="119">IF(AK60&gt;0,(AK60*AK65),AK66)</f>
        <v>2.0380000000000069</v>
      </c>
      <c r="AL64" s="417">
        <f t="shared" si="119"/>
        <v>7.9623999999999953</v>
      </c>
      <c r="AM64" s="417">
        <f t="shared" si="119"/>
        <v>9.9387999999999934</v>
      </c>
      <c r="AN64" s="484">
        <f t="shared" si="119"/>
        <v>13.250799999999996</v>
      </c>
      <c r="AO64" s="417">
        <f t="shared" si="119"/>
        <v>7.8483999999999927</v>
      </c>
      <c r="AP64" s="417">
        <f t="shared" si="119"/>
        <v>13.237599999999995</v>
      </c>
      <c r="AQ64" s="417">
        <f t="shared" ref="AQ64:AR64" si="120">IF(AQ60&gt;0,(AQ60*AQ65),AQ66)</f>
        <v>13.409199999999997</v>
      </c>
      <c r="AR64" s="484">
        <f t="shared" si="120"/>
        <v>13.521599999999992</v>
      </c>
      <c r="AS64" s="512">
        <f t="shared" ref="AS64:BD64" si="121">IF(AS60&gt;0,(AS60*AS65),AS66)</f>
        <v>9.167109570364957</v>
      </c>
      <c r="AT64" s="417">
        <f t="shared" si="121"/>
        <v>14.804038473636536</v>
      </c>
      <c r="AU64" s="417">
        <f t="shared" si="121"/>
        <v>15.41052937263826</v>
      </c>
      <c r="AV64" s="484">
        <f t="shared" si="121"/>
        <v>18.087178816001767</v>
      </c>
      <c r="AW64" s="512">
        <f t="shared" si="121"/>
        <v>14.921024073269761</v>
      </c>
      <c r="AX64" s="417">
        <f t="shared" si="121"/>
        <v>21.042582619425414</v>
      </c>
      <c r="AY64" s="417">
        <f t="shared" si="121"/>
        <v>21.703918981522619</v>
      </c>
      <c r="AZ64" s="484">
        <f t="shared" si="121"/>
        <v>24.454918054040235</v>
      </c>
      <c r="BA64" s="512">
        <f t="shared" si="121"/>
        <v>18.764704101799136</v>
      </c>
      <c r="BB64" s="417">
        <f t="shared" si="121"/>
        <v>25.681454315228098</v>
      </c>
      <c r="BC64" s="417">
        <f t="shared" si="121"/>
        <v>26.294808861993957</v>
      </c>
      <c r="BD64" s="484">
        <f t="shared" si="121"/>
        <v>29.271808448999124</v>
      </c>
      <c r="BE64"/>
      <c r="BF64" s="105"/>
      <c r="BG64" s="522">
        <f>IF(BG60&gt;0,(BG60*BG65),BG66)</f>
        <v>0</v>
      </c>
      <c r="BH64" s="416">
        <f>IF(BH60&gt;0,(BH60*BH65),BH66)</f>
        <v>2E-3</v>
      </c>
      <c r="BI64" s="416">
        <f>IF(BI60&gt;0,(BI60*BI65),BI66)</f>
        <v>4.0000000000000001E-3</v>
      </c>
      <c r="BJ64" s="416">
        <f>IF(BJ60&gt;0,(BJ60*BJ65),BJ66)</f>
        <v>8.0000000000000002E-3</v>
      </c>
      <c r="BK64" s="416">
        <f>SUM(M64:P64)</f>
        <v>7.4999999999999997E-2</v>
      </c>
      <c r="BL64" s="416">
        <f>SUM(Q64:T64)</f>
        <v>0.10200000000000001</v>
      </c>
      <c r="BM64" s="416">
        <f>SUM(U64:X64)</f>
        <v>0.22420000000000201</v>
      </c>
      <c r="BN64" s="416">
        <f>SUM(Y64:AB64)</f>
        <v>7.0267999999999988</v>
      </c>
      <c r="BO64" s="409">
        <f>SUM(AC64:AF64)</f>
        <v>21.421199999999999</v>
      </c>
      <c r="BP64" s="409">
        <f>SUM(AG64:AJ64)</f>
        <v>2.1953999999999914</v>
      </c>
      <c r="BQ64" s="110">
        <f>SUM(AK64:AN64)</f>
        <v>33.189999999999991</v>
      </c>
      <c r="BR64" s="2091">
        <f>SUM(AO64:AR64)</f>
        <v>48.016799999999975</v>
      </c>
      <c r="BS64" s="2091">
        <f>SUM(AS64:AV64)</f>
        <v>57.468856232641521</v>
      </c>
      <c r="BT64" s="110">
        <f>SUM(AW64:AZ64)</f>
        <v>82.12244372825802</v>
      </c>
      <c r="BU64" s="110">
        <f>SUM(BA64:BD64)</f>
        <v>100.01277572802032</v>
      </c>
      <c r="BV64" s="443">
        <f>IF(BV60&gt;0,(BV60*BV65),BV66)</f>
        <v>121.179001154685</v>
      </c>
      <c r="BW64" s="443">
        <f>IF(BW60&gt;0,(BW60*BW65),BW66)</f>
        <v>144.32223120982138</v>
      </c>
      <c r="BX64" s="443">
        <f>IF(BX60&gt;0,(BX60*BX65),BX66)</f>
        <v>168.23672487614161</v>
      </c>
      <c r="BY64" s="443">
        <f>IF(BY60&gt;0,(BY60*BY65),BY66)</f>
        <v>192.98798384476635</v>
      </c>
      <c r="BZ64" s="732">
        <f>IF(BZ60&gt;0,(BZ60*BZ65),BZ66)</f>
        <v>219.16692684345381</v>
      </c>
      <c r="CA64" s="418"/>
      <c r="CB64" s="418"/>
      <c r="CC64" s="418"/>
      <c r="CD64" s="418"/>
      <c r="CE64" s="418"/>
      <c r="CF64" s="418"/>
      <c r="CG64" s="1770"/>
      <c r="CH64" s="1770"/>
      <c r="CI64" s="1770"/>
      <c r="CJ64" s="418"/>
      <c r="CK64" s="418"/>
      <c r="CL64" s="418"/>
      <c r="CM64" s="418"/>
      <c r="CN64" s="418"/>
      <c r="CO64" s="418"/>
      <c r="CP64" s="418"/>
      <c r="CQ64" s="418"/>
      <c r="CR64" s="418"/>
    </row>
    <row r="65" spans="1:96" s="225" customFormat="1" ht="11.25" customHeight="1">
      <c r="A65" s="414"/>
      <c r="B65"/>
      <c r="C65"/>
      <c r="D65"/>
      <c r="E65"/>
      <c r="F65"/>
      <c r="G65"/>
      <c r="H65" s="414"/>
      <c r="I65" s="485" t="s">
        <v>119</v>
      </c>
      <c r="J65" s="419"/>
      <c r="K65" s="415"/>
      <c r="L65" s="415"/>
      <c r="M65" s="440">
        <v>0.4</v>
      </c>
      <c r="N65" s="440">
        <v>0.4</v>
      </c>
      <c r="O65" s="440">
        <v>0.4</v>
      </c>
      <c r="P65" s="525">
        <v>0.4</v>
      </c>
      <c r="Q65" s="440">
        <v>0.4</v>
      </c>
      <c r="R65" s="440">
        <v>0.4</v>
      </c>
      <c r="S65" s="440">
        <v>0.4</v>
      </c>
      <c r="T65" s="440">
        <v>0.4</v>
      </c>
      <c r="U65" s="520">
        <v>0.4</v>
      </c>
      <c r="V65" s="440">
        <v>0.4</v>
      </c>
      <c r="W65" s="440">
        <v>0.4</v>
      </c>
      <c r="X65" s="525">
        <v>0.4</v>
      </c>
      <c r="Y65" s="520">
        <v>0.4</v>
      </c>
      <c r="Z65" s="440">
        <v>0.4</v>
      </c>
      <c r="AA65" s="440">
        <v>0.4</v>
      </c>
      <c r="AB65" s="525">
        <v>0.4</v>
      </c>
      <c r="AC65" s="520">
        <v>0.4</v>
      </c>
      <c r="AD65" s="440">
        <v>0.4</v>
      </c>
      <c r="AE65" s="440">
        <v>0.4</v>
      </c>
      <c r="AF65" s="440">
        <v>0.4</v>
      </c>
      <c r="AG65" s="520">
        <v>0.4</v>
      </c>
      <c r="AH65" s="440">
        <v>0.4</v>
      </c>
      <c r="AI65" s="1760">
        <v>0.4</v>
      </c>
      <c r="AJ65" s="440">
        <v>0.4</v>
      </c>
      <c r="AK65" s="520">
        <v>0.4</v>
      </c>
      <c r="AL65" s="440">
        <v>0.4</v>
      </c>
      <c r="AM65" s="440">
        <v>0.4</v>
      </c>
      <c r="AN65" s="525">
        <v>0.4</v>
      </c>
      <c r="AO65" s="440">
        <v>0.4</v>
      </c>
      <c r="AP65" s="440">
        <v>0.4</v>
      </c>
      <c r="AQ65" s="440">
        <v>0.4</v>
      </c>
      <c r="AR65" s="525">
        <v>0.4</v>
      </c>
      <c r="AS65" s="513">
        <v>0.4</v>
      </c>
      <c r="AT65" s="441">
        <v>0.4</v>
      </c>
      <c r="AU65" s="441">
        <v>0.4</v>
      </c>
      <c r="AV65" s="486">
        <v>0.4</v>
      </c>
      <c r="AW65" s="513">
        <v>0.4</v>
      </c>
      <c r="AX65" s="441">
        <v>0.4</v>
      </c>
      <c r="AY65" s="441">
        <v>0.4</v>
      </c>
      <c r="AZ65" s="486">
        <v>0.4</v>
      </c>
      <c r="BA65" s="513">
        <v>0.4</v>
      </c>
      <c r="BB65" s="441">
        <v>0.4</v>
      </c>
      <c r="BC65" s="441">
        <v>0.4</v>
      </c>
      <c r="BD65" s="486">
        <v>0.4</v>
      </c>
      <c r="BE65"/>
      <c r="BF65" s="83"/>
      <c r="BG65" s="733">
        <v>0.4</v>
      </c>
      <c r="BH65" s="420">
        <v>0.4</v>
      </c>
      <c r="BI65" s="420">
        <v>0.4</v>
      </c>
      <c r="BJ65" s="420">
        <v>0.4</v>
      </c>
      <c r="BK65" s="420">
        <f t="shared" ref="BK65:BR65" si="122">IF(ISERROR(BK64/BK60),"NA",BK64/BK60)</f>
        <v>-1.1094674556213019E-2</v>
      </c>
      <c r="BL65" s="420">
        <f t="shared" si="122"/>
        <v>-1.7705259503558415E-2</v>
      </c>
      <c r="BM65" s="420">
        <f t="shared" si="122"/>
        <v>-7.8639074009119389E-2</v>
      </c>
      <c r="BN65" s="420">
        <f t="shared" si="122"/>
        <v>0.40000000000000019</v>
      </c>
      <c r="BO65" s="420">
        <f t="shared" si="122"/>
        <v>0.40000000000000008</v>
      </c>
      <c r="BP65" s="420">
        <f t="shared" si="122"/>
        <v>0.24686832340042622</v>
      </c>
      <c r="BQ65" s="420">
        <f t="shared" si="122"/>
        <v>0.40000000000000013</v>
      </c>
      <c r="BR65" s="420">
        <f t="shared" si="122"/>
        <v>0.3999999999999998</v>
      </c>
      <c r="BS65" s="420">
        <f>IF(ISERROR(BS64/BS60),"NA",BS64/BS60)</f>
        <v>0.40000000000000019</v>
      </c>
      <c r="BT65" s="420">
        <f>IF(ISERROR(BT64/BT60),"NA",BT64/BT60)</f>
        <v>0.39999999999999997</v>
      </c>
      <c r="BU65" s="420">
        <f>IF(ISERROR(BU64/BU60),"NA",BU64/BU60)</f>
        <v>0.40000000000000024</v>
      </c>
      <c r="BV65" s="441">
        <f>+BU65</f>
        <v>0.40000000000000024</v>
      </c>
      <c r="BW65" s="441">
        <f>+BV65</f>
        <v>0.40000000000000024</v>
      </c>
      <c r="BX65" s="441">
        <f>+BW65</f>
        <v>0.40000000000000024</v>
      </c>
      <c r="BY65" s="441">
        <f>+BX65</f>
        <v>0.40000000000000024</v>
      </c>
      <c r="BZ65" s="486">
        <f>+BY65</f>
        <v>0.40000000000000024</v>
      </c>
      <c r="CA65" s="418"/>
      <c r="CB65" s="418"/>
      <c r="CC65" s="418"/>
      <c r="CD65" s="418"/>
      <c r="CE65" s="418"/>
      <c r="CF65" s="418"/>
      <c r="CG65" s="1770"/>
      <c r="CH65" s="1770"/>
      <c r="CI65" s="1770"/>
      <c r="CJ65" s="418"/>
      <c r="CK65" s="418"/>
      <c r="CL65" s="418"/>
      <c r="CM65" s="418"/>
      <c r="CN65" s="418"/>
      <c r="CO65" s="418"/>
      <c r="CP65" s="418"/>
      <c r="CQ65" s="418"/>
      <c r="CR65" s="418"/>
    </row>
    <row r="66" spans="1:96" s="225" customFormat="1" ht="11.25" customHeight="1">
      <c r="A66" s="414"/>
      <c r="B66"/>
      <c r="C66"/>
      <c r="D66"/>
      <c r="E66"/>
      <c r="F66"/>
      <c r="G66"/>
      <c r="H66" s="414"/>
      <c r="I66" s="483" t="s">
        <v>268</v>
      </c>
      <c r="J66" s="415"/>
      <c r="K66" s="415"/>
      <c r="L66" s="415"/>
      <c r="M66" s="435">
        <v>1.0999999999999999E-2</v>
      </c>
      <c r="N66" s="435">
        <v>0.01</v>
      </c>
      <c r="O66" s="435">
        <v>2.7E-2</v>
      </c>
      <c r="P66" s="524">
        <v>2.7E-2</v>
      </c>
      <c r="Q66" s="435">
        <v>1.2E-2</v>
      </c>
      <c r="R66" s="435">
        <v>1.7000000000000001E-2</v>
      </c>
      <c r="S66" s="435">
        <v>3.5999999999999997E-2</v>
      </c>
      <c r="T66" s="435">
        <v>3.6999999999999998E-2</v>
      </c>
      <c r="U66" s="519">
        <v>3.1E-2</v>
      </c>
      <c r="V66" s="435">
        <v>6.6000000000000003E-2</v>
      </c>
      <c r="W66" s="435">
        <v>4.4999999999999998E-2</v>
      </c>
      <c r="X66" s="524">
        <v>-0.02</v>
      </c>
      <c r="Y66" s="519">
        <v>4.3999999999999997E-2</v>
      </c>
      <c r="Z66" s="435">
        <v>0.23200000000000001</v>
      </c>
      <c r="AA66" s="435">
        <v>0.51</v>
      </c>
      <c r="AB66" s="524">
        <v>5.1999999999999998E-2</v>
      </c>
      <c r="AC66" s="519">
        <v>-1.9710000000000001</v>
      </c>
      <c r="AD66" s="435">
        <v>0.36899999999999999</v>
      </c>
      <c r="AE66" s="435">
        <v>1.107</v>
      </c>
      <c r="AF66" s="435">
        <v>-24.698</v>
      </c>
      <c r="AG66" s="2600">
        <v>-2.403</v>
      </c>
      <c r="AH66" s="2602">
        <v>1.6839999999999999</v>
      </c>
      <c r="AI66" s="2601">
        <v>-3.1749999999999998</v>
      </c>
      <c r="AJ66" s="2602">
        <v>-15.856</v>
      </c>
      <c r="AK66" s="2602">
        <v>1.4370000000000001</v>
      </c>
      <c r="AL66" s="2602">
        <v>-1.2689999999999999</v>
      </c>
      <c r="AM66" s="2602">
        <v>0.217</v>
      </c>
      <c r="AN66" s="2606">
        <v>1</v>
      </c>
      <c r="AO66" s="2602">
        <v>6.7000000000000004E-2</v>
      </c>
      <c r="AP66" s="2602">
        <v>0.11799999999999999</v>
      </c>
      <c r="AQ66" s="2602">
        <v>0.23200000000000001</v>
      </c>
      <c r="AR66" s="2606">
        <v>31.074000000000002</v>
      </c>
      <c r="AS66" s="501">
        <f t="shared" ref="AS66:BD66" si="123">AS62*AS67</f>
        <v>7.6992521481752341E-2</v>
      </c>
      <c r="AT66" s="439">
        <f t="shared" si="123"/>
        <v>3.6434384736365377</v>
      </c>
      <c r="AU66" s="439">
        <f t="shared" si="123"/>
        <v>3.768389372638266</v>
      </c>
      <c r="AV66" s="461">
        <f t="shared" si="123"/>
        <v>5.8918188160017726</v>
      </c>
      <c r="AW66" s="501">
        <f t="shared" si="123"/>
        <v>2.9292288732697584</v>
      </c>
      <c r="AX66" s="439">
        <f t="shared" si="123"/>
        <v>8.5427106194254048</v>
      </c>
      <c r="AY66" s="439">
        <f t="shared" si="123"/>
        <v>8.6647221815226168</v>
      </c>
      <c r="AZ66" s="461">
        <f t="shared" si="123"/>
        <v>10.796114854040235</v>
      </c>
      <c r="BA66" s="501">
        <f t="shared" si="123"/>
        <v>5.5737293817991382</v>
      </c>
      <c r="BB66" s="439">
        <f t="shared" si="123"/>
        <v>11.931595115228095</v>
      </c>
      <c r="BC66" s="439">
        <f t="shared" si="123"/>
        <v>11.951692381993951</v>
      </c>
      <c r="BD66" s="461">
        <f t="shared" si="123"/>
        <v>14.247124928999126</v>
      </c>
      <c r="BE66"/>
      <c r="BF66" s="105"/>
      <c r="BG66" s="522">
        <v>0</v>
      </c>
      <c r="BH66" s="416">
        <v>2E-3</v>
      </c>
      <c r="BI66" s="416">
        <v>4.0000000000000001E-3</v>
      </c>
      <c r="BJ66" s="416">
        <v>8.0000000000000002E-3</v>
      </c>
      <c r="BK66" s="416">
        <f>SUM(M66:P66)</f>
        <v>7.4999999999999997E-2</v>
      </c>
      <c r="BL66" s="416">
        <f>SUM(Q66:T66)</f>
        <v>0.10200000000000001</v>
      </c>
      <c r="BM66" s="416">
        <f>SUM(U66:X66)</f>
        <v>0.12200000000000001</v>
      </c>
      <c r="BN66" s="416">
        <f>SUM(Y66:AB66)</f>
        <v>0.83800000000000008</v>
      </c>
      <c r="BO66" s="409">
        <f>SUM(AC66:AF66)</f>
        <v>-25.193000000000001</v>
      </c>
      <c r="BP66" s="409">
        <f>SUM(AG66:AJ66)</f>
        <v>-19.75</v>
      </c>
      <c r="BQ66" s="110">
        <f>SUM(AK66:AN66)</f>
        <v>1.3850000000000002</v>
      </c>
      <c r="BR66" s="110">
        <f>SUM(AO66:AR66)</f>
        <v>31.491000000000003</v>
      </c>
      <c r="BS66" s="2091">
        <f>SUM(AS66:AV66)</f>
        <v>13.38063918375833</v>
      </c>
      <c r="BT66" s="110">
        <f>SUM(AW66:AZ66)</f>
        <v>30.932776528258017</v>
      </c>
      <c r="BU66" s="110">
        <f>SUM(BA66:BD66)</f>
        <v>43.70414180802031</v>
      </c>
      <c r="BV66" s="439">
        <f>BV62*BV67</f>
        <v>60.928762860284976</v>
      </c>
      <c r="BW66" s="439">
        <f>BW62*BW67</f>
        <v>81.059481000701339</v>
      </c>
      <c r="BX66" s="439">
        <f>BX62*BX67</f>
        <v>101.81083715656558</v>
      </c>
      <c r="BY66" s="439">
        <f>BY62*BY67</f>
        <v>123.24080173921146</v>
      </c>
      <c r="BZ66" s="461">
        <f>BZ62*BZ67</f>
        <v>145.93238563262116</v>
      </c>
      <c r="CA66" s="418"/>
      <c r="CB66" s="418"/>
      <c r="CC66" s="418"/>
      <c r="CD66" s="418"/>
      <c r="CE66" s="418"/>
      <c r="CF66" s="418"/>
      <c r="CG66" s="1770"/>
      <c r="CH66" s="1770"/>
      <c r="CI66" s="1770"/>
      <c r="CJ66" s="418"/>
      <c r="CK66" s="418"/>
      <c r="CL66" s="418"/>
      <c r="CM66" s="418"/>
      <c r="CN66" s="418"/>
      <c r="CO66" s="418"/>
      <c r="CP66" s="418"/>
      <c r="CQ66" s="418"/>
      <c r="CR66" s="418"/>
    </row>
    <row r="67" spans="1:96" s="225" customFormat="1" ht="11.25" customHeight="1">
      <c r="A67" s="414"/>
      <c r="B67"/>
      <c r="C67"/>
      <c r="D67"/>
      <c r="E67"/>
      <c r="F67"/>
      <c r="G67"/>
      <c r="H67" s="414"/>
      <c r="I67" s="485" t="s">
        <v>266</v>
      </c>
      <c r="J67" s="419"/>
      <c r="K67" s="415"/>
      <c r="L67" s="415"/>
      <c r="M67" s="408">
        <f t="shared" ref="M67:V67" si="124">IF(ISERROR(M66/M62),"NA",M66/M62)</f>
        <v>-3.7865748709122156E-3</v>
      </c>
      <c r="N67" s="408">
        <f t="shared" si="124"/>
        <v>-3.7579857196542651E-3</v>
      </c>
      <c r="O67" s="408">
        <f t="shared" si="124"/>
        <v>-9.4970102004924405E-3</v>
      </c>
      <c r="P67" s="526">
        <f t="shared" si="124"/>
        <v>-2.4953789279112727E-2</v>
      </c>
      <c r="Q67" s="408">
        <f t="shared" si="124"/>
        <v>-4.4543429844098002E-3</v>
      </c>
      <c r="R67" s="408">
        <f t="shared" si="124"/>
        <v>-1.4808362369337993E-2</v>
      </c>
      <c r="S67" s="408">
        <f t="shared" si="124"/>
        <v>-9.6904441453566446E-3</v>
      </c>
      <c r="T67" s="408">
        <f t="shared" si="124"/>
        <v>-4.1070041070041079E-3</v>
      </c>
      <c r="U67" s="521">
        <f t="shared" si="124"/>
        <v>-3.1726537713642412E-3</v>
      </c>
      <c r="V67" s="408">
        <f t="shared" si="124"/>
        <v>-3.4446764091857998E-2</v>
      </c>
      <c r="W67" s="408">
        <f t="shared" ref="W67:AG67" si="125">IF(ISERROR(W66/W62),"NA",W66/W62)</f>
        <v>-2.288911495422179E-2</v>
      </c>
      <c r="X67" s="526">
        <f t="shared" si="125"/>
        <v>3.7460198539052188E-3</v>
      </c>
      <c r="Y67" s="521">
        <f t="shared" si="125"/>
        <v>-9.2534174553102234E-3</v>
      </c>
      <c r="Z67" s="408">
        <f t="shared" si="125"/>
        <v>-0.35913312693498545</v>
      </c>
      <c r="AA67" s="408">
        <f t="shared" si="125"/>
        <v>-0.28145695364238321</v>
      </c>
      <c r="AB67" s="526">
        <f>IF(ISERROR(AB66/AB62),"NA",AB66/AB62)</f>
        <v>-2.5780862667327698E-2</v>
      </c>
      <c r="AC67" s="521">
        <f t="shared" si="125"/>
        <v>0.4279201042118963</v>
      </c>
      <c r="AD67" s="408">
        <f t="shared" si="125"/>
        <v>0.11857326478149119</v>
      </c>
      <c r="AE67" s="408">
        <f t="shared" si="125"/>
        <v>0.23334738617200687</v>
      </c>
      <c r="AF67" s="408">
        <f t="shared" si="125"/>
        <v>-3.0757160647571591</v>
      </c>
      <c r="AG67" s="521">
        <f t="shared" si="125"/>
        <v>0.231168831168831</v>
      </c>
      <c r="AH67" s="408">
        <f>IF(ISERROR(AH66/AH62),"NA",AH66/AH62)</f>
        <v>-0.21225107133854246</v>
      </c>
      <c r="AI67" s="1761">
        <f t="shared" ref="AI67:AN67" si="126">IF(AI62&gt;0,AI65,-2%)</f>
        <v>-0.02</v>
      </c>
      <c r="AJ67" s="408">
        <f t="shared" si="126"/>
        <v>-0.02</v>
      </c>
      <c r="AK67" s="2283">
        <f t="shared" si="126"/>
        <v>-0.02</v>
      </c>
      <c r="AL67" s="2411">
        <f t="shared" si="126"/>
        <v>-0.02</v>
      </c>
      <c r="AM67" s="2411">
        <f t="shared" si="126"/>
        <v>0.4</v>
      </c>
      <c r="AN67" s="2609">
        <f t="shared" si="126"/>
        <v>0.4</v>
      </c>
      <c r="AO67" s="2411">
        <f>IF(AO62&gt;0,AO65,-2%)</f>
        <v>-0.02</v>
      </c>
      <c r="AP67" s="2411">
        <f>IF(AP62&gt;0,AP65,-2%)</f>
        <v>0.4</v>
      </c>
      <c r="AQ67" s="2411">
        <f>IF(AQ62&gt;0,AQ65,-2%)</f>
        <v>0.4</v>
      </c>
      <c r="AR67" s="2609">
        <f t="shared" ref="AR67" si="127">IF(AR62&gt;0,AR65,-2%)</f>
        <v>0.4</v>
      </c>
      <c r="AS67" s="514">
        <f t="shared" ref="AS67:AV67" si="128">IF(AS62&gt;0,AS65,-2%)</f>
        <v>-0.02</v>
      </c>
      <c r="AT67" s="442">
        <f t="shared" si="128"/>
        <v>0.4</v>
      </c>
      <c r="AU67" s="442">
        <f t="shared" si="128"/>
        <v>0.4</v>
      </c>
      <c r="AV67" s="487">
        <f t="shared" si="128"/>
        <v>0.4</v>
      </c>
      <c r="AW67" s="514">
        <f t="shared" ref="AW67:BD67" si="129">IF(AW62&gt;0,AW65,-2%)</f>
        <v>0.4</v>
      </c>
      <c r="AX67" s="442">
        <f t="shared" si="129"/>
        <v>0.4</v>
      </c>
      <c r="AY67" s="442">
        <f t="shared" si="129"/>
        <v>0.4</v>
      </c>
      <c r="AZ67" s="487">
        <f t="shared" si="129"/>
        <v>0.4</v>
      </c>
      <c r="BA67" s="514">
        <f t="shared" si="129"/>
        <v>0.4</v>
      </c>
      <c r="BB67" s="442">
        <f t="shared" si="129"/>
        <v>0.4</v>
      </c>
      <c r="BC67" s="442">
        <f t="shared" si="129"/>
        <v>0.4</v>
      </c>
      <c r="BD67" s="487">
        <f t="shared" si="129"/>
        <v>0.4</v>
      </c>
      <c r="BE67"/>
      <c r="BF67" s="83"/>
      <c r="BG67" s="521">
        <f t="shared" ref="BG67:BR67" si="130">IF(ISERROR(BG66/BG62),"NA",BG66/BG62)</f>
        <v>0</v>
      </c>
      <c r="BH67" s="408">
        <f t="shared" si="130"/>
        <v>-6.0350030175015089E-4</v>
      </c>
      <c r="BI67" s="408">
        <f t="shared" si="130"/>
        <v>-6.8906115417743344E-4</v>
      </c>
      <c r="BJ67" s="408">
        <f t="shared" si="130"/>
        <v>-3.4782608695652253E-3</v>
      </c>
      <c r="BK67" s="408">
        <f t="shared" si="130"/>
        <v>-7.90222315878201E-3</v>
      </c>
      <c r="BL67" s="408">
        <f t="shared" si="130"/>
        <v>-6.1571894241216982E-3</v>
      </c>
      <c r="BM67" s="408">
        <f t="shared" si="130"/>
        <v>-6.4237573715248443E-3</v>
      </c>
      <c r="BN67" s="408">
        <f t="shared" si="130"/>
        <v>-9.0790899241603398E-2</v>
      </c>
      <c r="BO67" s="408">
        <f t="shared" si="130"/>
        <v>-2.233421985815609</v>
      </c>
      <c r="BP67" s="408">
        <f t="shared" si="130"/>
        <v>0.38018056170474862</v>
      </c>
      <c r="BQ67" s="408">
        <f t="shared" si="130"/>
        <v>-0.42161339421612865</v>
      </c>
      <c r="BR67" s="408">
        <f t="shared" si="130"/>
        <v>0.17082273296844572</v>
      </c>
      <c r="BS67" s="408">
        <f>IF(ISERROR(BS66/BS62),"NA",BS66/BS62)</f>
        <v>0.4549769111651395</v>
      </c>
      <c r="BT67" s="408">
        <f>IF(ISERROR(BT66/BT62),"NA",BT66/BT62)</f>
        <v>0.40000000000000013</v>
      </c>
      <c r="BU67" s="408">
        <f>IF(ISERROR(BU66/BU62),"NA",BU66/BU62)</f>
        <v>0.40000000000000097</v>
      </c>
      <c r="BV67" s="442">
        <f>IF(BV62&gt;0,BV65,-2%)</f>
        <v>0.40000000000000024</v>
      </c>
      <c r="BW67" s="442">
        <f>IF(BW62&gt;0,BW65,-2%)</f>
        <v>0.40000000000000024</v>
      </c>
      <c r="BX67" s="442">
        <f>IF(BX62&gt;0,BX65,-2%)</f>
        <v>0.40000000000000024</v>
      </c>
      <c r="BY67" s="442">
        <f>IF(BY62&gt;0,BY65,-2%)</f>
        <v>0.40000000000000024</v>
      </c>
      <c r="BZ67" s="487">
        <f>IF(BZ62&gt;0,BZ65,-2%)</f>
        <v>0.40000000000000024</v>
      </c>
      <c r="CA67" s="418"/>
      <c r="CB67" s="418"/>
      <c r="CC67" s="418"/>
      <c r="CD67" s="418"/>
      <c r="CE67" s="418"/>
      <c r="CF67" s="418"/>
      <c r="CG67" s="1770"/>
      <c r="CH67" s="1770"/>
      <c r="CI67" s="1770"/>
      <c r="CJ67" s="418"/>
      <c r="CK67" s="418"/>
      <c r="CL67" s="418"/>
      <c r="CM67" s="418"/>
      <c r="CN67" s="418"/>
      <c r="CO67" s="418"/>
      <c r="CP67" s="418"/>
      <c r="CQ67" s="418"/>
      <c r="CR67" s="418"/>
    </row>
    <row r="68" spans="1:96" s="225" customFormat="1" ht="11.25" customHeight="1" outlineLevel="1">
      <c r="A68" s="414"/>
      <c r="B68"/>
      <c r="C68"/>
      <c r="D68"/>
      <c r="E68"/>
      <c r="F68"/>
      <c r="G68"/>
      <c r="H68" s="414"/>
      <c r="I68" s="473" t="s">
        <v>518</v>
      </c>
      <c r="J68" s="415"/>
      <c r="K68" s="415"/>
      <c r="L68" s="415"/>
      <c r="M68" s="435">
        <v>3.3000000000000002E-2</v>
      </c>
      <c r="N68" s="435">
        <v>4.8000000000000001E-2</v>
      </c>
      <c r="O68" s="435">
        <v>4.7E-2</v>
      </c>
      <c r="P68" s="524">
        <v>4.7E-2</v>
      </c>
      <c r="Q68" s="435">
        <v>4.7E-2</v>
      </c>
      <c r="R68" s="435">
        <v>4.7E-2</v>
      </c>
      <c r="S68" s="435">
        <v>4.7E-2</v>
      </c>
      <c r="T68" s="435">
        <v>4.8000000000000001E-2</v>
      </c>
      <c r="U68" s="519">
        <v>3.1E-2</v>
      </c>
      <c r="V68" s="435">
        <v>0</v>
      </c>
      <c r="W68" s="435">
        <v>0</v>
      </c>
      <c r="X68" s="524">
        <v>0</v>
      </c>
      <c r="Y68" s="519">
        <v>0</v>
      </c>
      <c r="Z68" s="435">
        <v>0</v>
      </c>
      <c r="AA68" s="435">
        <v>0</v>
      </c>
      <c r="AB68" s="524">
        <v>0</v>
      </c>
      <c r="AC68" s="519">
        <v>0</v>
      </c>
      <c r="AD68" s="435">
        <v>0</v>
      </c>
      <c r="AE68" s="435">
        <v>0</v>
      </c>
      <c r="AF68" s="435">
        <v>0</v>
      </c>
      <c r="AG68" s="519">
        <v>0</v>
      </c>
      <c r="AH68" s="435">
        <v>0</v>
      </c>
      <c r="AI68" s="1731">
        <v>0</v>
      </c>
      <c r="AJ68" s="435">
        <v>0</v>
      </c>
      <c r="AK68" s="519">
        <v>0</v>
      </c>
      <c r="AL68" s="435">
        <v>0</v>
      </c>
      <c r="AM68" s="435">
        <v>0</v>
      </c>
      <c r="AN68" s="524">
        <v>0</v>
      </c>
      <c r="AO68" s="435">
        <v>0</v>
      </c>
      <c r="AP68" s="435">
        <v>0</v>
      </c>
      <c r="AQ68" s="435">
        <v>0</v>
      </c>
      <c r="AR68" s="524">
        <v>0</v>
      </c>
      <c r="AS68" s="1665">
        <v>0</v>
      </c>
      <c r="AT68" s="438">
        <v>0</v>
      </c>
      <c r="AU68" s="438">
        <v>0</v>
      </c>
      <c r="AV68" s="460">
        <v>0</v>
      </c>
      <c r="AW68" s="1665">
        <v>0</v>
      </c>
      <c r="AX68" s="438">
        <v>0</v>
      </c>
      <c r="AY68" s="438">
        <v>0</v>
      </c>
      <c r="AZ68" s="460">
        <v>0</v>
      </c>
      <c r="BA68" s="1665">
        <v>0</v>
      </c>
      <c r="BB68" s="438">
        <v>0</v>
      </c>
      <c r="BC68" s="438">
        <v>0</v>
      </c>
      <c r="BD68" s="460">
        <v>0</v>
      </c>
      <c r="BE68"/>
      <c r="BF68" s="105"/>
      <c r="BG68" s="522">
        <v>0</v>
      </c>
      <c r="BH68" s="416">
        <v>1.7000000000000001E-2</v>
      </c>
      <c r="BI68" s="416">
        <v>0.03</v>
      </c>
      <c r="BJ68" s="416">
        <v>3.2000000000000001E-2</v>
      </c>
      <c r="BK68" s="416">
        <f>SUM(M68:P68)</f>
        <v>0.17499999999999999</v>
      </c>
      <c r="BL68" s="416">
        <f>SUM(Q68:T68)</f>
        <v>0.189</v>
      </c>
      <c r="BM68" s="416">
        <f>SUM(U68:X68)</f>
        <v>3.1E-2</v>
      </c>
      <c r="BN68" s="416">
        <f>SUM(Y68:AB68)</f>
        <v>0</v>
      </c>
      <c r="BO68" s="409">
        <f>SUM(AC68:AF68)</f>
        <v>0</v>
      </c>
      <c r="BP68" s="409">
        <f>SUM(AG68:AJ68)</f>
        <v>0</v>
      </c>
      <c r="BQ68" s="110">
        <f>SUM(AK68:AN68)</f>
        <v>0</v>
      </c>
      <c r="BR68" s="110">
        <f>SUM(AO68:AR68)</f>
        <v>0</v>
      </c>
      <c r="BS68" s="2091">
        <f>SUM(AS68:AV68)</f>
        <v>0</v>
      </c>
      <c r="BT68" s="110">
        <f>SUM(AW68:AZ68)</f>
        <v>0</v>
      </c>
      <c r="BU68" s="110">
        <f>SUM(BA68:BD68)</f>
        <v>0</v>
      </c>
      <c r="BV68" s="438">
        <v>0</v>
      </c>
      <c r="BW68" s="438">
        <v>0</v>
      </c>
      <c r="BX68" s="438">
        <v>0</v>
      </c>
      <c r="BY68" s="438">
        <v>0</v>
      </c>
      <c r="BZ68" s="460">
        <v>0</v>
      </c>
      <c r="CA68" s="418"/>
      <c r="CB68" s="418"/>
      <c r="CC68" s="418"/>
      <c r="CD68" s="418"/>
      <c r="CE68" s="418"/>
      <c r="CF68" s="418"/>
      <c r="CG68" s="1770"/>
      <c r="CH68" s="1770"/>
      <c r="CI68" s="1770"/>
      <c r="CJ68" s="418"/>
      <c r="CK68" s="418"/>
      <c r="CL68" s="418"/>
      <c r="CM68" s="418"/>
      <c r="CN68" s="418"/>
      <c r="CO68" s="418"/>
      <c r="CP68" s="418"/>
      <c r="CQ68" s="418"/>
      <c r="CR68" s="418"/>
    </row>
    <row r="69" spans="1:96" s="225" customFormat="1" ht="11.25" customHeight="1" outlineLevel="1">
      <c r="A69" s="414"/>
      <c r="B69"/>
      <c r="C69"/>
      <c r="D69"/>
      <c r="E69"/>
      <c r="F69"/>
      <c r="G69"/>
      <c r="H69" s="414"/>
      <c r="I69" s="473" t="s">
        <v>519</v>
      </c>
      <c r="J69" s="415"/>
      <c r="K69" s="415"/>
      <c r="L69" s="415"/>
      <c r="M69" s="435"/>
      <c r="N69" s="435"/>
      <c r="O69" s="435"/>
      <c r="P69" s="524"/>
      <c r="Q69" s="435"/>
      <c r="R69" s="435"/>
      <c r="S69" s="435"/>
      <c r="T69" s="435"/>
      <c r="U69" s="519"/>
      <c r="V69" s="435"/>
      <c r="W69" s="435"/>
      <c r="X69" s="524"/>
      <c r="Y69" s="519"/>
      <c r="Z69" s="435"/>
      <c r="AA69" s="435"/>
      <c r="AB69" s="524"/>
      <c r="AC69" s="519">
        <v>-2.6349999999999998</v>
      </c>
      <c r="AD69" s="435">
        <v>-1.4990000000000001</v>
      </c>
      <c r="AE69" s="435">
        <v>-1.468</v>
      </c>
      <c r="AF69" s="435">
        <v>-2.5670000000000002</v>
      </c>
      <c r="AG69" s="519">
        <v>-1.9119999999999999</v>
      </c>
      <c r="AH69" s="435">
        <v>0.183</v>
      </c>
      <c r="AI69" s="1731">
        <v>-1.7999999999999999E-2</v>
      </c>
      <c r="AJ69" s="435">
        <v>-3.2160000000000002</v>
      </c>
      <c r="AK69" s="2638">
        <v>-2.9059999999999921</v>
      </c>
      <c r="AL69" s="2607">
        <v>-0.57240000000002311</v>
      </c>
      <c r="AM69" s="2607">
        <v>-3.5008000000000195</v>
      </c>
      <c r="AN69" s="2608">
        <v>-2.674800000000026</v>
      </c>
      <c r="AO69" s="2607">
        <v>-4.5013999999999914</v>
      </c>
      <c r="AP69" s="2607">
        <v>-1.7806000000000068</v>
      </c>
      <c r="AQ69" s="2607">
        <v>-5.291200000000007</v>
      </c>
      <c r="AR69" s="2608">
        <v>3.4333999999999847</v>
      </c>
      <c r="AS69" s="1665"/>
      <c r="AT69" s="438"/>
      <c r="AU69" s="438"/>
      <c r="AV69" s="460"/>
      <c r="AW69" s="1665"/>
      <c r="AX69" s="438"/>
      <c r="AY69" s="438"/>
      <c r="AZ69" s="460"/>
      <c r="BA69" s="1665"/>
      <c r="BB69" s="438"/>
      <c r="BC69" s="438"/>
      <c r="BD69" s="460"/>
      <c r="BE69"/>
      <c r="BF69" s="105"/>
      <c r="BG69" s="522"/>
      <c r="BH69" s="416"/>
      <c r="BI69" s="416"/>
      <c r="BJ69" s="416"/>
      <c r="BK69" s="416"/>
      <c r="BL69" s="416"/>
      <c r="BM69" s="416"/>
      <c r="BN69" s="416"/>
      <c r="BO69" s="409">
        <f>SUM(AC69:AF69)</f>
        <v>-8.1690000000000005</v>
      </c>
      <c r="BP69" s="409">
        <f>SUM(AG69:AJ69)</f>
        <v>-4.9630000000000001</v>
      </c>
      <c r="BQ69" s="110">
        <f>SUM(AK69:AN69)</f>
        <v>-9.6540000000000603</v>
      </c>
      <c r="BR69" s="110">
        <f>SUM(AO69:AR69)</f>
        <v>-8.1398000000000206</v>
      </c>
      <c r="BS69" s="2091">
        <f>SUM(AS69:AV69)</f>
        <v>0</v>
      </c>
      <c r="BT69" s="110">
        <f>SUM(AW69:AZ69)</f>
        <v>0</v>
      </c>
      <c r="BU69" s="110">
        <f>SUM(BA69:BD69)</f>
        <v>0</v>
      </c>
      <c r="BV69" s="438"/>
      <c r="BW69" s="438"/>
      <c r="BX69" s="438"/>
      <c r="BY69" s="438"/>
      <c r="BZ69" s="460"/>
      <c r="CA69" s="418"/>
      <c r="CB69" s="418"/>
      <c r="CC69" s="418"/>
      <c r="CD69" s="418"/>
      <c r="CE69" s="418"/>
      <c r="CF69" s="418"/>
      <c r="CG69" s="1770"/>
      <c r="CH69" s="1770"/>
      <c r="CI69" s="1770"/>
      <c r="CJ69" s="418"/>
      <c r="CK69" s="418"/>
      <c r="CL69" s="418"/>
      <c r="CM69" s="418"/>
      <c r="CN69" s="418"/>
      <c r="CO69" s="418"/>
      <c r="CP69" s="418"/>
      <c r="CQ69" s="418"/>
      <c r="CR69" s="418"/>
    </row>
    <row r="70" spans="1:96" s="225" customFormat="1" ht="11.25" customHeight="1" outlineLevel="1">
      <c r="A70" s="414"/>
      <c r="B70"/>
      <c r="C70"/>
      <c r="D70"/>
      <c r="E70"/>
      <c r="F70"/>
      <c r="G70"/>
      <c r="H70" s="414"/>
      <c r="I70" s="483"/>
      <c r="J70" s="415"/>
      <c r="K70" s="415"/>
      <c r="L70" s="415"/>
      <c r="M70" s="416"/>
      <c r="N70" s="416"/>
      <c r="O70" s="416"/>
      <c r="P70" s="527"/>
      <c r="Q70" s="416"/>
      <c r="R70" s="416"/>
      <c r="S70" s="416"/>
      <c r="T70" s="416"/>
      <c r="U70" s="522"/>
      <c r="V70" s="416"/>
      <c r="W70" s="416"/>
      <c r="X70" s="527"/>
      <c r="Y70" s="522"/>
      <c r="Z70" s="416"/>
      <c r="AA70" s="416"/>
      <c r="AB70" s="527"/>
      <c r="AC70" s="1905"/>
      <c r="AD70" s="1903"/>
      <c r="AE70" s="1903"/>
      <c r="AF70" s="1789"/>
      <c r="AG70" s="1904"/>
      <c r="AH70" s="1902"/>
      <c r="AI70" s="1902"/>
      <c r="AJ70" s="1789"/>
      <c r="AK70" s="515"/>
      <c r="AL70" s="411"/>
      <c r="AM70" s="411"/>
      <c r="AN70" s="488"/>
      <c r="AO70" s="411"/>
      <c r="AP70" s="411"/>
      <c r="AQ70" s="411"/>
      <c r="AR70" s="488"/>
      <c r="AS70" s="515"/>
      <c r="AT70" s="411"/>
      <c r="AU70" s="411"/>
      <c r="AV70" s="488"/>
      <c r="AW70" s="515"/>
      <c r="AX70" s="411"/>
      <c r="AY70" s="411"/>
      <c r="AZ70" s="488"/>
      <c r="BA70" s="515"/>
      <c r="BB70" s="411"/>
      <c r="BC70" s="411"/>
      <c r="BD70" s="488"/>
      <c r="BE70"/>
      <c r="BF70" s="105"/>
      <c r="BG70" s="522"/>
      <c r="BH70" s="416"/>
      <c r="BI70" s="416"/>
      <c r="BJ70" s="416"/>
      <c r="BK70" s="416"/>
      <c r="BL70" s="416"/>
      <c r="BM70" s="416"/>
      <c r="BN70" s="416"/>
      <c r="BO70" s="409"/>
      <c r="BP70" s="409"/>
      <c r="BQ70" s="411"/>
      <c r="BR70" s="411"/>
      <c r="BS70" s="411"/>
      <c r="BT70" s="411"/>
      <c r="BU70" s="411"/>
      <c r="BV70" s="411"/>
      <c r="BW70" s="411"/>
      <c r="BX70" s="411"/>
      <c r="BY70" s="411"/>
      <c r="BZ70" s="488"/>
      <c r="CA70" s="418"/>
      <c r="CB70" s="418"/>
      <c r="CC70" s="418"/>
      <c r="CD70" s="418"/>
      <c r="CE70" s="418"/>
      <c r="CF70" s="418"/>
      <c r="CG70" s="1770"/>
      <c r="CH70" s="1770"/>
      <c r="CI70" s="1770"/>
      <c r="CJ70" s="418"/>
      <c r="CK70" s="418"/>
      <c r="CL70" s="418"/>
      <c r="CM70" s="418"/>
      <c r="CN70" s="418"/>
      <c r="CO70" s="418"/>
      <c r="CP70" s="418"/>
      <c r="CQ70" s="418"/>
      <c r="CR70" s="418"/>
    </row>
    <row r="71" spans="1:96" s="225" customFormat="1" ht="11.25" customHeight="1">
      <c r="A71" s="81"/>
      <c r="B71"/>
      <c r="C71"/>
      <c r="D71"/>
      <c r="E71"/>
      <c r="F71"/>
      <c r="G71"/>
      <c r="H71" s="81"/>
      <c r="I71" s="457" t="s">
        <v>121</v>
      </c>
      <c r="J71" s="321"/>
      <c r="K71" s="321"/>
      <c r="L71" s="321"/>
      <c r="M71" s="68">
        <f t="shared" ref="M71:V71" si="131">M60-M64</f>
        <v>-1.3630000000000022</v>
      </c>
      <c r="N71" s="68">
        <f t="shared" si="131"/>
        <v>-2.4140000000000001</v>
      </c>
      <c r="O71" s="68">
        <f t="shared" si="131"/>
        <v>-2.5029999999999983</v>
      </c>
      <c r="P71" s="475">
        <f t="shared" si="131"/>
        <v>-0.55499999999999916</v>
      </c>
      <c r="Q71" s="68">
        <f t="shared" si="131"/>
        <v>-1.602999999999998</v>
      </c>
      <c r="R71" s="68">
        <f t="shared" si="131"/>
        <v>-0.21699999999999858</v>
      </c>
      <c r="S71" s="68">
        <f t="shared" si="131"/>
        <v>-2.2910000000000057</v>
      </c>
      <c r="T71" s="68">
        <f t="shared" si="131"/>
        <v>-1.7519999999999973</v>
      </c>
      <c r="U71" s="507">
        <f t="shared" si="131"/>
        <v>-2.3730000000000011</v>
      </c>
      <c r="V71" s="68">
        <f t="shared" si="131"/>
        <v>-0.12400000000000186</v>
      </c>
      <c r="W71" s="68">
        <f t="shared" ref="W71:AB71" si="132">W60-W64</f>
        <v>0.22080000000000299</v>
      </c>
      <c r="X71" s="475">
        <f t="shared" si="132"/>
        <v>-0.79900000000000682</v>
      </c>
      <c r="Y71" s="507">
        <f t="shared" si="132"/>
        <v>0.31500000000000367</v>
      </c>
      <c r="Z71" s="68">
        <f t="shared" si="132"/>
        <v>3.0402000000000018</v>
      </c>
      <c r="AA71" s="68">
        <f t="shared" si="132"/>
        <v>3.1217999999999968</v>
      </c>
      <c r="AB71" s="475">
        <f t="shared" si="132"/>
        <v>4.0631999999999957</v>
      </c>
      <c r="AC71" s="507">
        <f t="shared" ref="AC71:AK71" si="133">AC60-AC64-AC69</f>
        <v>5.5449999999999937</v>
      </c>
      <c r="AD71" s="68">
        <f t="shared" si="133"/>
        <v>9.415999999999995</v>
      </c>
      <c r="AE71" s="68">
        <f t="shared" si="133"/>
        <v>10.865200000000002</v>
      </c>
      <c r="AF71" s="475">
        <f t="shared" si="133"/>
        <v>14.474600000000004</v>
      </c>
      <c r="AG71" s="507">
        <f t="shared" si="133"/>
        <v>3.8775999999999993</v>
      </c>
      <c r="AH71" s="68">
        <f t="shared" si="133"/>
        <v>4.3661999999999912</v>
      </c>
      <c r="AI71" s="68">
        <f t="shared" si="133"/>
        <v>-1.3399999999999996</v>
      </c>
      <c r="AJ71" s="1388">
        <f t="shared" si="133"/>
        <v>4.7567999999999948</v>
      </c>
      <c r="AK71" s="68">
        <f t="shared" si="133"/>
        <v>5.9630000000000027</v>
      </c>
      <c r="AL71" s="292">
        <f t="shared" ref="AL71:AQ71" si="134">AL60-AL64-AL69</f>
        <v>12.516000000000016</v>
      </c>
      <c r="AM71" s="292">
        <f t="shared" si="134"/>
        <v>18.40900000000001</v>
      </c>
      <c r="AN71" s="1388">
        <f t="shared" si="134"/>
        <v>22.551000000000016</v>
      </c>
      <c r="AO71" s="68">
        <f t="shared" si="134"/>
        <v>16.27399999999998</v>
      </c>
      <c r="AP71" s="292">
        <f t="shared" si="134"/>
        <v>21.637</v>
      </c>
      <c r="AQ71" s="292">
        <f t="shared" si="134"/>
        <v>25.404999999999998</v>
      </c>
      <c r="AR71" s="1388">
        <f t="shared" ref="AR71" si="135">AR60-AR64-AR69</f>
        <v>16.849000000000004</v>
      </c>
      <c r="AS71" s="507">
        <f t="shared" ref="AS71:BD71" si="136">AS60-AS64</f>
        <v>13.750664355547435</v>
      </c>
      <c r="AT71" s="68">
        <f t="shared" si="136"/>
        <v>22.2060577104548</v>
      </c>
      <c r="AU71" s="68">
        <f t="shared" si="136"/>
        <v>23.115794058957391</v>
      </c>
      <c r="AV71" s="475">
        <f t="shared" si="136"/>
        <v>27.130768224002651</v>
      </c>
      <c r="AW71" s="507">
        <f t="shared" si="136"/>
        <v>22.381536109904637</v>
      </c>
      <c r="AX71" s="68">
        <f t="shared" si="136"/>
        <v>31.563873929138115</v>
      </c>
      <c r="AY71" s="68">
        <f t="shared" si="136"/>
        <v>32.555878472283922</v>
      </c>
      <c r="AZ71" s="475">
        <f t="shared" si="136"/>
        <v>36.682377081060352</v>
      </c>
      <c r="BA71" s="507">
        <f t="shared" si="136"/>
        <v>28.147056152698699</v>
      </c>
      <c r="BB71" s="68">
        <f t="shared" si="136"/>
        <v>38.522181472842149</v>
      </c>
      <c r="BC71" s="68">
        <f t="shared" si="136"/>
        <v>39.442213292990928</v>
      </c>
      <c r="BD71" s="475">
        <f t="shared" si="136"/>
        <v>43.907712673498679</v>
      </c>
      <c r="BE71"/>
      <c r="BF71" s="320"/>
      <c r="BG71" s="507">
        <f t="shared" ref="BG71:BU71" si="137">BG60-BG64</f>
        <v>-2.2279999999999998</v>
      </c>
      <c r="BH71" s="68">
        <f t="shared" si="137"/>
        <v>-3.2219999999999995</v>
      </c>
      <c r="BI71" s="68">
        <f t="shared" si="137"/>
        <v>-5.444</v>
      </c>
      <c r="BJ71" s="68">
        <f t="shared" si="137"/>
        <v>-1.7509999999999963</v>
      </c>
      <c r="BK71" s="68">
        <f t="shared" si="137"/>
        <v>-6.8349999999999991</v>
      </c>
      <c r="BL71" s="68">
        <f t="shared" si="137"/>
        <v>-5.8629999999999995</v>
      </c>
      <c r="BM71" s="68">
        <f t="shared" si="137"/>
        <v>-3.0752000000000352</v>
      </c>
      <c r="BN71" s="68">
        <f t="shared" si="137"/>
        <v>10.540199999999992</v>
      </c>
      <c r="BO71" s="68">
        <f t="shared" si="137"/>
        <v>32.131799999999991</v>
      </c>
      <c r="BP71" s="68">
        <f>BP60-BP64-BP69</f>
        <v>11.660600000000013</v>
      </c>
      <c r="BQ71" s="68">
        <f t="shared" si="137"/>
        <v>49.784999999999961</v>
      </c>
      <c r="BR71" s="68">
        <f t="shared" si="137"/>
        <v>72.025200000000027</v>
      </c>
      <c r="BS71" s="68">
        <f t="shared" si="137"/>
        <v>86.203284348962228</v>
      </c>
      <c r="BT71" s="68">
        <f t="shared" si="137"/>
        <v>123.18366559238706</v>
      </c>
      <c r="BU71" s="68">
        <f t="shared" si="137"/>
        <v>150.01916359203034</v>
      </c>
      <c r="BV71" s="68">
        <f>BV60-BV64</f>
        <v>181.76850173202729</v>
      </c>
      <c r="BW71" s="68">
        <f>BW60-BW64</f>
        <v>216.48334681473182</v>
      </c>
      <c r="BX71" s="68">
        <f>BX60-BX64</f>
        <v>252.35508731421217</v>
      </c>
      <c r="BY71" s="68">
        <f>BY60-BY64</f>
        <v>289.48197576714921</v>
      </c>
      <c r="BZ71" s="475">
        <f>BZ60-BZ64</f>
        <v>328.75039026518039</v>
      </c>
      <c r="CA71" s="83"/>
      <c r="CB71" s="2261">
        <f>IF(ISERROR(RATE(5,,-BP71,BU71)),"NM",(RATE(5,,-BP71,BU71)))</f>
        <v>0.6668064347974848</v>
      </c>
      <c r="CC71" s="83"/>
      <c r="CD71" s="83"/>
      <c r="CE71" s="83"/>
      <c r="CF71" s="83"/>
      <c r="CG71" s="1769"/>
      <c r="CH71" s="1769"/>
      <c r="CI71" s="1769"/>
      <c r="CJ71" s="1363"/>
      <c r="CK71" s="1364">
        <f>RATE(4,,-BO71,BS71)</f>
        <v>0.2798149806519602</v>
      </c>
      <c r="CL71" s="75" t="str">
        <f t="shared" ref="CL71:CR73" si="138">IF(ISERROR(RATE(3,,-BL71,BO71)),"NM",(RATE(3,,-BL71,BO71)))</f>
        <v>NM</v>
      </c>
      <c r="CM71" s="75" t="str">
        <f t="shared" si="138"/>
        <v>NM</v>
      </c>
      <c r="CN71" s="75">
        <f t="shared" si="138"/>
        <v>0.67783746081877483</v>
      </c>
      <c r="CO71" s="75">
        <f t="shared" si="138"/>
        <v>0.30872924086156311</v>
      </c>
      <c r="CP71" s="75">
        <f t="shared" si="138"/>
        <v>0.94805391177857701</v>
      </c>
      <c r="CQ71" s="75">
        <f t="shared" si="138"/>
        <v>0.35254442078613268</v>
      </c>
      <c r="CR71" s="75">
        <f t="shared" si="138"/>
        <v>0.27708779859193372</v>
      </c>
    </row>
    <row r="72" spans="1:96" s="225" customFormat="1" ht="11.25" customHeight="1">
      <c r="A72" s="81"/>
      <c r="B72"/>
      <c r="C72"/>
      <c r="D72"/>
      <c r="E72"/>
      <c r="F72"/>
      <c r="G72"/>
      <c r="H72" s="81"/>
      <c r="I72" s="457"/>
      <c r="J72" s="321"/>
      <c r="K72" s="321"/>
      <c r="L72" s="321"/>
      <c r="M72" s="68"/>
      <c r="N72" s="68"/>
      <c r="O72" s="68"/>
      <c r="P72" s="475"/>
      <c r="Q72" s="68"/>
      <c r="R72" s="68"/>
      <c r="S72" s="68"/>
      <c r="T72" s="68"/>
      <c r="U72" s="507"/>
      <c r="V72" s="68"/>
      <c r="W72" s="68"/>
      <c r="X72" s="475"/>
      <c r="Y72" s="507"/>
      <c r="Z72" s="68"/>
      <c r="AA72" s="68"/>
      <c r="AB72" s="475"/>
      <c r="AC72" s="507"/>
      <c r="AD72" s="68"/>
      <c r="AE72" s="68"/>
      <c r="AF72" s="475"/>
      <c r="AG72" s="507"/>
      <c r="AH72" s="68"/>
      <c r="AI72" s="68"/>
      <c r="AJ72" s="1388"/>
      <c r="AK72" s="507"/>
      <c r="AL72" s="68"/>
      <c r="AM72" s="68"/>
      <c r="AN72" s="475"/>
      <c r="AO72" s="68"/>
      <c r="AP72" s="68"/>
      <c r="AQ72" s="68"/>
      <c r="AR72" s="475"/>
      <c r="AS72" s="507"/>
      <c r="AT72" s="68"/>
      <c r="AU72" s="68"/>
      <c r="AV72" s="475"/>
      <c r="AW72" s="507"/>
      <c r="AX72" s="68"/>
      <c r="AY72" s="68"/>
      <c r="AZ72" s="475"/>
      <c r="BA72" s="507"/>
      <c r="BB72" s="68"/>
      <c r="BC72" s="68"/>
      <c r="BD72" s="475"/>
      <c r="BE72"/>
      <c r="BF72" s="320"/>
      <c r="BG72" s="507"/>
      <c r="BH72" s="68"/>
      <c r="BI72" s="68"/>
      <c r="BJ72" s="68"/>
      <c r="BK72" s="68"/>
      <c r="BL72" s="68"/>
      <c r="BM72" s="68"/>
      <c r="BN72" s="68"/>
      <c r="BO72" s="68"/>
      <c r="BP72" s="68"/>
      <c r="BQ72" s="68"/>
      <c r="BR72" s="68"/>
      <c r="BS72" s="68"/>
      <c r="BT72" s="68"/>
      <c r="BU72" s="68"/>
      <c r="BV72" s="68"/>
      <c r="BW72" s="68"/>
      <c r="BX72" s="68"/>
      <c r="BY72" s="68"/>
      <c r="BZ72" s="475"/>
      <c r="CA72" s="83"/>
      <c r="CB72" s="226"/>
      <c r="CC72" s="83"/>
      <c r="CD72" s="83"/>
      <c r="CE72" s="83"/>
      <c r="CF72" s="83"/>
      <c r="CG72" s="1769"/>
      <c r="CH72" s="1769"/>
      <c r="CI72" s="1769"/>
      <c r="CJ72" s="83"/>
      <c r="CK72" s="75"/>
      <c r="CL72" s="75"/>
      <c r="CM72" s="75"/>
      <c r="CN72" s="75"/>
      <c r="CO72" s="75"/>
      <c r="CP72" s="75"/>
      <c r="CQ72" s="75"/>
      <c r="CR72" s="75"/>
    </row>
    <row r="73" spans="1:96" s="223" customFormat="1" ht="11.25" customHeight="1">
      <c r="A73" s="81"/>
      <c r="B73"/>
      <c r="C73"/>
      <c r="D73"/>
      <c r="E73"/>
      <c r="F73"/>
      <c r="G73"/>
      <c r="H73" s="81"/>
      <c r="I73" s="473" t="s">
        <v>120</v>
      </c>
      <c r="J73" s="64"/>
      <c r="K73" s="64"/>
      <c r="L73" s="64"/>
      <c r="M73" s="110">
        <f t="shared" ref="M73:T73" si="139">M62-M66-M68</f>
        <v>-2.9490000000000034</v>
      </c>
      <c r="N73" s="110">
        <f t="shared" si="139"/>
        <v>-2.7189999999999999</v>
      </c>
      <c r="O73" s="110">
        <f t="shared" si="139"/>
        <v>-2.9169999999999994</v>
      </c>
      <c r="P73" s="469">
        <f t="shared" si="139"/>
        <v>-1.156000000000001</v>
      </c>
      <c r="Q73" s="110">
        <f t="shared" si="139"/>
        <v>-2.7529999999999997</v>
      </c>
      <c r="R73" s="110">
        <f t="shared" si="139"/>
        <v>-1.2119999999999989</v>
      </c>
      <c r="S73" s="110">
        <f t="shared" si="139"/>
        <v>-3.7980000000000067</v>
      </c>
      <c r="T73" s="110">
        <f t="shared" si="139"/>
        <v>-9.0939999999999994</v>
      </c>
      <c r="U73" s="505">
        <f t="shared" ref="U73:AB73" si="140">U62-U66-U68</f>
        <v>-9.8330000000000002</v>
      </c>
      <c r="V73" s="110">
        <f t="shared" si="140"/>
        <v>-1.9820000000000024</v>
      </c>
      <c r="W73" s="110">
        <f t="shared" si="140"/>
        <v>-2.0109999999999983</v>
      </c>
      <c r="X73" s="469">
        <f t="shared" si="140"/>
        <v>-5.3190000000000106</v>
      </c>
      <c r="Y73" s="505">
        <f t="shared" si="140"/>
        <v>-4.7989999999999871</v>
      </c>
      <c r="Z73" s="110">
        <f t="shared" si="140"/>
        <v>-0.87799999999999834</v>
      </c>
      <c r="AA73" s="110">
        <f t="shared" si="140"/>
        <v>-2.3220000000000058</v>
      </c>
      <c r="AB73" s="469">
        <f t="shared" si="140"/>
        <v>-2.0690000000000013</v>
      </c>
      <c r="AC73" s="505">
        <f t="shared" ref="AC73:AJ73" si="141">AC62-AC66-AC68</f>
        <v>-2.6350000000000131</v>
      </c>
      <c r="AD73" s="110">
        <f t="shared" si="141"/>
        <v>2.742999999999995</v>
      </c>
      <c r="AE73" s="110">
        <f t="shared" si="141"/>
        <v>3.6369999999999969</v>
      </c>
      <c r="AF73" s="469">
        <f t="shared" si="141"/>
        <v>32.728000000000009</v>
      </c>
      <c r="AG73" s="505">
        <f t="shared" si="141"/>
        <v>-7.992000000000008</v>
      </c>
      <c r="AH73" s="110">
        <f t="shared" si="141"/>
        <v>-9.6180000000000199</v>
      </c>
      <c r="AI73" s="110">
        <f t="shared" si="141"/>
        <v>-17.041000000000007</v>
      </c>
      <c r="AJ73" s="469">
        <f t="shared" si="141"/>
        <v>2.4520000000000106</v>
      </c>
      <c r="AK73" s="505">
        <f t="shared" ref="AK73:AN73" si="142">AK62-AK66-AK68</f>
        <v>-15.451999999999968</v>
      </c>
      <c r="AL73" s="110">
        <f t="shared" si="142"/>
        <v>0.44899999999998808</v>
      </c>
      <c r="AM73" s="110">
        <f>AM62-AM66-AM68</f>
        <v>2.0699999999999794</v>
      </c>
      <c r="AN73" s="469">
        <f t="shared" si="142"/>
        <v>8.2629999999999875</v>
      </c>
      <c r="AO73" s="110">
        <f>AO62-AO66-AO68</f>
        <v>-4.7800000000000216</v>
      </c>
      <c r="AP73" s="110">
        <f>AP62-AP66-AP68</f>
        <v>7.5899999999999936</v>
      </c>
      <c r="AQ73" s="110">
        <f>AQ62-AQ66-AQ68</f>
        <v>7.946999999999993</v>
      </c>
      <c r="AR73" s="469">
        <f t="shared" ref="AR73" si="143">AR62-AR66-AR68</f>
        <v>142.10099999999997</v>
      </c>
      <c r="AS73" s="505">
        <f t="shared" ref="AS73:BD73" si="144">AS62-AS66-AS68</f>
        <v>-3.9266185955693689</v>
      </c>
      <c r="AT73" s="110">
        <f t="shared" si="144"/>
        <v>5.4651577104548057</v>
      </c>
      <c r="AU73" s="110">
        <f t="shared" si="144"/>
        <v>5.6525840589573981</v>
      </c>
      <c r="AV73" s="469">
        <f t="shared" si="144"/>
        <v>8.8377282240026567</v>
      </c>
      <c r="AW73" s="505">
        <f t="shared" si="144"/>
        <v>4.3938433099046375</v>
      </c>
      <c r="AX73" s="110">
        <f t="shared" si="144"/>
        <v>12.814065929138108</v>
      </c>
      <c r="AY73" s="110">
        <f t="shared" si="144"/>
        <v>12.997083272283923</v>
      </c>
      <c r="AZ73" s="469">
        <f t="shared" si="144"/>
        <v>16.194172281060354</v>
      </c>
      <c r="BA73" s="505">
        <f t="shared" si="144"/>
        <v>8.3605940726987065</v>
      </c>
      <c r="BB73" s="110">
        <f t="shared" si="144"/>
        <v>17.897392672842141</v>
      </c>
      <c r="BC73" s="110">
        <f t="shared" si="144"/>
        <v>17.927538572990922</v>
      </c>
      <c r="BD73" s="469">
        <f t="shared" si="144"/>
        <v>21.370687393498685</v>
      </c>
      <c r="BE73"/>
      <c r="BF73" s="320"/>
      <c r="BG73" s="505">
        <f t="shared" ref="BG73:BZ73" si="145">BG62-BG66-BG68</f>
        <v>-2.2279999999999998</v>
      </c>
      <c r="BH73" s="110">
        <f t="shared" si="145"/>
        <v>-3.3329999999999997</v>
      </c>
      <c r="BI73" s="110">
        <f t="shared" si="145"/>
        <v>-5.8389999999999986</v>
      </c>
      <c r="BJ73" s="110">
        <f t="shared" si="145"/>
        <v>-2.339999999999995</v>
      </c>
      <c r="BK73" s="110">
        <f t="shared" si="145"/>
        <v>-9.7409999999999926</v>
      </c>
      <c r="BL73" s="110">
        <f t="shared" si="145"/>
        <v>-16.856999999999992</v>
      </c>
      <c r="BM73" s="110">
        <f t="shared" si="145"/>
        <v>-19.145000000000024</v>
      </c>
      <c r="BN73" s="110">
        <f t="shared" si="145"/>
        <v>-10.068000000000008</v>
      </c>
      <c r="BO73" s="110">
        <f t="shared" si="145"/>
        <v>36.472999999999971</v>
      </c>
      <c r="BP73" s="110">
        <f>BP62-BP66-BP68</f>
        <v>-32.199000000000034</v>
      </c>
      <c r="BQ73" s="110">
        <f t="shared" si="145"/>
        <v>-4.6700000000000426</v>
      </c>
      <c r="BR73" s="110">
        <f t="shared" si="145"/>
        <v>152.858</v>
      </c>
      <c r="BS73" s="110">
        <f t="shared" si="145"/>
        <v>16.028851397845408</v>
      </c>
      <c r="BT73" s="110">
        <f t="shared" si="145"/>
        <v>46.399164792386998</v>
      </c>
      <c r="BU73" s="110">
        <f t="shared" si="145"/>
        <v>65.556212712030202</v>
      </c>
      <c r="BV73" s="110">
        <f t="shared" si="145"/>
        <v>91.393144290427372</v>
      </c>
      <c r="BW73" s="110">
        <f t="shared" si="145"/>
        <v>121.5892215010519</v>
      </c>
      <c r="BX73" s="110">
        <f t="shared" si="145"/>
        <v>152.71625573484823</v>
      </c>
      <c r="BY73" s="110">
        <f t="shared" si="145"/>
        <v>184.861202608817</v>
      </c>
      <c r="BZ73" s="469">
        <f t="shared" si="145"/>
        <v>218.89857844893152</v>
      </c>
      <c r="CA73" s="83"/>
      <c r="CB73" s="1363" t="str">
        <f>IF(ISERROR(RATE(5,,-BP73,BU73)),"NM",(RATE(5,,-BP73,BU73)))</f>
        <v>NM</v>
      </c>
      <c r="CC73" s="83"/>
      <c r="CD73" s="83"/>
      <c r="CE73" s="83"/>
      <c r="CF73" s="83"/>
      <c r="CG73" s="1769"/>
      <c r="CH73" s="1769"/>
      <c r="CI73" s="1769"/>
      <c r="CJ73" s="1363"/>
      <c r="CK73" s="1364">
        <f>RATE(4,,-BO73,BS73)</f>
        <v>-0.18579694234883454</v>
      </c>
      <c r="CL73" s="403" t="str">
        <f t="shared" si="138"/>
        <v>NM</v>
      </c>
      <c r="CM73" s="403">
        <f t="shared" si="138"/>
        <v>0.18922036515017338</v>
      </c>
      <c r="CN73" s="403">
        <f t="shared" si="138"/>
        <v>-0.22591041448500337</v>
      </c>
      <c r="CO73" s="403">
        <f t="shared" si="138"/>
        <v>0.61227416689920977</v>
      </c>
      <c r="CP73" s="403" t="str">
        <f t="shared" si="138"/>
        <v>NM</v>
      </c>
      <c r="CQ73" s="403" t="str">
        <f t="shared" si="138"/>
        <v>NM</v>
      </c>
      <c r="CR73" s="403">
        <f t="shared" si="138"/>
        <v>-0.24587750752777307</v>
      </c>
    </row>
    <row r="74" spans="1:96" s="225" customFormat="1" ht="11.25" customHeight="1">
      <c r="A74" s="81"/>
      <c r="B74"/>
      <c r="C74"/>
      <c r="D74"/>
      <c r="E74"/>
      <c r="F74"/>
      <c r="G74"/>
      <c r="H74" s="81"/>
      <c r="I74" s="473"/>
      <c r="J74" s="64"/>
      <c r="K74" s="64"/>
      <c r="L74" s="64"/>
      <c r="M74" s="64"/>
      <c r="N74" s="64"/>
      <c r="O74" s="64"/>
      <c r="P74" s="722"/>
      <c r="Q74" s="64"/>
      <c r="R74" s="64"/>
      <c r="S74" s="64"/>
      <c r="T74" s="64"/>
      <c r="U74" s="473"/>
      <c r="V74" s="64"/>
      <c r="W74" s="64"/>
      <c r="X74" s="722"/>
      <c r="Y74" s="227"/>
      <c r="Z74" s="228"/>
      <c r="AA74" s="228"/>
      <c r="AB74" s="229"/>
      <c r="AC74" s="227"/>
      <c r="AD74" s="228"/>
      <c r="AE74" s="228"/>
      <c r="AF74" s="229"/>
      <c r="AG74" s="227"/>
      <c r="AH74" s="228"/>
      <c r="AI74" s="228"/>
      <c r="AJ74" s="229"/>
      <c r="AK74" s="227"/>
      <c r="AL74" s="228"/>
      <c r="AM74" s="228"/>
      <c r="AN74" s="229"/>
      <c r="AO74" s="227"/>
      <c r="AP74" s="228"/>
      <c r="AQ74" s="228"/>
      <c r="AR74" s="229"/>
      <c r="AS74" s="227"/>
      <c r="AT74" s="228"/>
      <c r="AU74" s="228"/>
      <c r="AV74" s="229"/>
      <c r="AW74" s="227"/>
      <c r="AX74" s="228"/>
      <c r="AY74" s="228"/>
      <c r="AZ74" s="229"/>
      <c r="BA74" s="227"/>
      <c r="BB74" s="228"/>
      <c r="BC74" s="228"/>
      <c r="BD74" s="229"/>
      <c r="BE74"/>
      <c r="BF74" s="83"/>
      <c r="BG74" s="473"/>
      <c r="BH74" s="64"/>
      <c r="BI74" s="64"/>
      <c r="BJ74" s="64"/>
      <c r="BK74" s="64"/>
      <c r="BL74" s="64"/>
      <c r="BM74" s="64"/>
      <c r="BN74" s="64"/>
      <c r="BO74" s="228"/>
      <c r="BP74" s="228"/>
      <c r="BQ74" s="228"/>
      <c r="BR74" s="228"/>
      <c r="BS74" s="228"/>
      <c r="BT74" s="228"/>
      <c r="BU74" s="228"/>
      <c r="BV74" s="228"/>
      <c r="BW74" s="228"/>
      <c r="BX74" s="228"/>
      <c r="BY74" s="228"/>
      <c r="BZ74" s="229"/>
      <c r="CA74" s="83"/>
      <c r="CB74" s="226"/>
      <c r="CC74" s="83"/>
      <c r="CD74" s="83"/>
      <c r="CE74" s="83"/>
      <c r="CF74" s="83"/>
      <c r="CG74" s="1769"/>
      <c r="CH74" s="1769"/>
      <c r="CI74" s="1769"/>
      <c r="CJ74" s="83"/>
      <c r="CK74" s="83"/>
      <c r="CL74" s="83"/>
      <c r="CM74" s="83"/>
      <c r="CN74" s="83"/>
      <c r="CO74" s="83"/>
      <c r="CP74" s="83"/>
      <c r="CQ74" s="83"/>
      <c r="CR74" s="83"/>
    </row>
    <row r="75" spans="1:96" s="225" customFormat="1" ht="11.25" customHeight="1">
      <c r="A75" s="81"/>
      <c r="B75"/>
      <c r="C75"/>
      <c r="D75"/>
      <c r="E75"/>
      <c r="F75"/>
      <c r="G75"/>
      <c r="H75" s="81"/>
      <c r="I75" s="1112" t="s">
        <v>424</v>
      </c>
      <c r="J75" s="321"/>
      <c r="K75" s="321"/>
      <c r="L75" s="321"/>
      <c r="M75" s="421">
        <f>M71/M84</f>
        <v>-0.10425271531283481</v>
      </c>
      <c r="N75" s="421">
        <f t="shared" ref="N75:AJ75" si="146">N71/N84</f>
        <v>-0.17870891323660054</v>
      </c>
      <c r="O75" s="421">
        <f t="shared" si="146"/>
        <v>-0.17687795915482993</v>
      </c>
      <c r="P75" s="490">
        <f t="shared" si="146"/>
        <v>-3.868404544504072E-2</v>
      </c>
      <c r="Q75" s="421">
        <f t="shared" si="146"/>
        <v>-0.11014911014911001</v>
      </c>
      <c r="R75" s="421">
        <f t="shared" si="146"/>
        <v>-1.4481147814481054E-2</v>
      </c>
      <c r="S75" s="421">
        <f t="shared" si="146"/>
        <v>-0.14770163110050968</v>
      </c>
      <c r="T75" s="421">
        <f t="shared" si="146"/>
        <v>-0.10884015655090994</v>
      </c>
      <c r="U75" s="516">
        <f t="shared" si="146"/>
        <v>-7.5904423759715983E-2</v>
      </c>
      <c r="V75" s="421">
        <f t="shared" si="146"/>
        <v>-2.0365595283065654E-3</v>
      </c>
      <c r="W75" s="421">
        <f t="shared" si="146"/>
        <v>3.6038976937013889E-3</v>
      </c>
      <c r="X75" s="490">
        <f t="shared" si="146"/>
        <v>-1.2681935780835941E-2</v>
      </c>
      <c r="Y75" s="516">
        <f t="shared" si="146"/>
        <v>4.9424712042213988E-3</v>
      </c>
      <c r="Z75" s="421">
        <f t="shared" si="146"/>
        <v>4.707941030723492E-2</v>
      </c>
      <c r="AA75" s="421">
        <f t="shared" si="146"/>
        <v>4.7639249198840175E-2</v>
      </c>
      <c r="AB75" s="490">
        <f t="shared" si="146"/>
        <v>5.9017822127325752E-2</v>
      </c>
      <c r="AC75" s="516">
        <f t="shared" si="146"/>
        <v>7.7910946874429093E-2</v>
      </c>
      <c r="AD75" s="421">
        <f t="shared" si="146"/>
        <v>0.12219684385382054</v>
      </c>
      <c r="AE75" s="421">
        <f t="shared" si="146"/>
        <v>0.14056613537569862</v>
      </c>
      <c r="AF75" s="490">
        <f t="shared" si="146"/>
        <v>0.18746810687596333</v>
      </c>
      <c r="AG75" s="516">
        <f t="shared" si="146"/>
        <v>4.9777275703154072E-2</v>
      </c>
      <c r="AH75" s="421">
        <f t="shared" si="146"/>
        <v>5.5444513581124732E-2</v>
      </c>
      <c r="AI75" s="421">
        <f t="shared" si="146"/>
        <v>-1.7244929475960052E-2</v>
      </c>
      <c r="AJ75" s="490">
        <f t="shared" si="146"/>
        <v>6.0855103241818628E-2</v>
      </c>
      <c r="AK75" s="516">
        <f t="shared" ref="AK75:AN75" si="147">AK71/AK84</f>
        <v>7.6565529461614545E-2</v>
      </c>
      <c r="AL75" s="421">
        <f t="shared" si="147"/>
        <v>0.15787083753784076</v>
      </c>
      <c r="AM75" s="421">
        <f>AM71/AM84</f>
        <v>0.22201719792081248</v>
      </c>
      <c r="AN75" s="490">
        <f t="shared" si="147"/>
        <v>0.26730595988810413</v>
      </c>
      <c r="AO75" s="516">
        <f>AO71/AO84</f>
        <v>0.19121137351662532</v>
      </c>
      <c r="AP75" s="421">
        <f>AP71/AP84</f>
        <v>0.25497289653547017</v>
      </c>
      <c r="AQ75" s="421">
        <f>AQ71/AQ84</f>
        <v>0.29056534718012644</v>
      </c>
      <c r="AR75" s="490">
        <f t="shared" ref="AR75" si="148">AR71/AR84</f>
        <v>0.18917856822060547</v>
      </c>
      <c r="AS75" s="516">
        <f t="shared" ref="AS75:BD75" si="149">AS71/AS84</f>
        <v>0.15335769490037737</v>
      </c>
      <c r="AT75" s="421">
        <f t="shared" si="149"/>
        <v>0.24438785118919262</v>
      </c>
      <c r="AU75" s="421">
        <f t="shared" si="149"/>
        <v>0.25108396397025323</v>
      </c>
      <c r="AV75" s="490">
        <f t="shared" si="149"/>
        <v>0.29090290169843291</v>
      </c>
      <c r="AW75" s="516">
        <f t="shared" si="149"/>
        <v>0.23693191173256095</v>
      </c>
      <c r="AX75" s="421">
        <f t="shared" si="149"/>
        <v>0.32994516149375008</v>
      </c>
      <c r="AY75" s="421">
        <f t="shared" si="149"/>
        <v>0.33609884448591759</v>
      </c>
      <c r="AZ75" s="490">
        <f t="shared" si="149"/>
        <v>0.37406568242229915</v>
      </c>
      <c r="BA75" s="516">
        <f t="shared" si="149"/>
        <v>0.28355754505861841</v>
      </c>
      <c r="BB75" s="421">
        <f t="shared" si="149"/>
        <v>0.38344264087476249</v>
      </c>
      <c r="BC75" s="421">
        <f t="shared" si="149"/>
        <v>0.38796637249164817</v>
      </c>
      <c r="BD75" s="490">
        <f t="shared" si="149"/>
        <v>0.42685208307569866</v>
      </c>
      <c r="BE75"/>
      <c r="BF75" s="83"/>
      <c r="BG75" s="516">
        <f t="shared" ref="BG75:BU75" si="150">BG71/BG84</f>
        <v>-0.15540210643788796</v>
      </c>
      <c r="BH75" s="421">
        <f t="shared" si="150"/>
        <v>-0.64763819095477382</v>
      </c>
      <c r="BI75" s="421">
        <f t="shared" si="150"/>
        <v>-0.58879515466147525</v>
      </c>
      <c r="BJ75" s="421">
        <f t="shared" si="150"/>
        <v>-0.1418502916396627</v>
      </c>
      <c r="BK75" s="421">
        <f t="shared" si="150"/>
        <v>-0.49622477130826192</v>
      </c>
      <c r="BL75" s="421">
        <f t="shared" si="150"/>
        <v>-0.38342816035576477</v>
      </c>
      <c r="BM75" s="421">
        <f t="shared" si="150"/>
        <v>-5.6791445825408321E-2</v>
      </c>
      <c r="BN75" s="421">
        <f t="shared" si="150"/>
        <v>0.16051473387649418</v>
      </c>
      <c r="BO75" s="421">
        <f t="shared" si="150"/>
        <v>0.41615572910595627</v>
      </c>
      <c r="BP75" s="421">
        <f t="shared" si="150"/>
        <v>0.14917739170483346</v>
      </c>
      <c r="BQ75" s="421">
        <f t="shared" si="150"/>
        <v>0.61379229569537808</v>
      </c>
      <c r="BR75" s="421">
        <f t="shared" si="150"/>
        <v>0.83153893444397331</v>
      </c>
      <c r="BS75" s="421">
        <f t="shared" si="150"/>
        <v>0.94248321032277427</v>
      </c>
      <c r="BT75" s="421">
        <f t="shared" si="150"/>
        <v>1.2796441618090568</v>
      </c>
      <c r="BU75" s="421">
        <f t="shared" si="150"/>
        <v>1.4843976449777398</v>
      </c>
      <c r="BV75" s="421">
        <f>BV71/BV84</f>
        <v>1.6789376129833307</v>
      </c>
      <c r="BW75" s="421">
        <f>BW71/BW84</f>
        <v>1.9146973998331198</v>
      </c>
      <c r="BX75" s="421">
        <f>BX71/BX84</f>
        <v>2.1410701088900108</v>
      </c>
      <c r="BY75" s="421">
        <f>BY71/BY84</f>
        <v>2.3599587145955558</v>
      </c>
      <c r="BZ75" s="490">
        <f>BZ71/BZ84</f>
        <v>2.57916266761737</v>
      </c>
      <c r="CA75" s="83"/>
      <c r="CB75" s="2261">
        <f>IF(ISERROR(RATE(5,,-BP75,BU75)),"NM",(RATE(5,,-BP75,BU75)))</f>
        <v>0.58332274074812962</v>
      </c>
      <c r="CC75" s="83"/>
      <c r="CD75" s="83"/>
      <c r="CE75" s="83"/>
      <c r="CF75" s="83"/>
      <c r="CG75" s="1769"/>
      <c r="CH75" s="1769"/>
      <c r="CI75" s="1769"/>
      <c r="CJ75" s="1363"/>
      <c r="CK75" s="1364">
        <f>RATE(4,,-BO75,BS75)</f>
        <v>0.22674539423963166</v>
      </c>
      <c r="CL75" s="75" t="str">
        <f t="shared" ref="CL75:CR77" si="151">IF(ISERROR(RATE(3,,-BL75,BO75)),"NM",(RATE(3,,-BL75,BO75)))</f>
        <v>NM</v>
      </c>
      <c r="CM75" s="75" t="str">
        <f t="shared" si="151"/>
        <v>NM</v>
      </c>
      <c r="CN75" s="75">
        <f t="shared" si="151"/>
        <v>0.56375547505471757</v>
      </c>
      <c r="CO75" s="75">
        <f t="shared" si="151"/>
        <v>0.2595311236492685</v>
      </c>
      <c r="CP75" s="75">
        <f t="shared" si="151"/>
        <v>0.84865926181424067</v>
      </c>
      <c r="CQ75" s="75">
        <f t="shared" si="151"/>
        <v>0.27748535145995551</v>
      </c>
      <c r="CR75" s="75">
        <f t="shared" si="151"/>
        <v>0.21307938572544596</v>
      </c>
    </row>
    <row r="76" spans="1:96" s="225" customFormat="1" ht="11.25" customHeight="1">
      <c r="A76" s="81"/>
      <c r="B76"/>
      <c r="C76"/>
      <c r="D76"/>
      <c r="E76"/>
      <c r="F76"/>
      <c r="G76"/>
      <c r="H76" s="81"/>
      <c r="I76" s="489"/>
      <c r="J76" s="321"/>
      <c r="K76" s="321"/>
      <c r="L76" s="321"/>
      <c r="M76" s="421"/>
      <c r="N76" s="421"/>
      <c r="O76" s="421"/>
      <c r="P76" s="490"/>
      <c r="Q76" s="421"/>
      <c r="R76" s="421"/>
      <c r="S76" s="421"/>
      <c r="T76" s="421"/>
      <c r="U76" s="516"/>
      <c r="V76" s="421"/>
      <c r="W76" s="421"/>
      <c r="X76" s="490"/>
      <c r="Y76" s="516"/>
      <c r="Z76" s="421"/>
      <c r="AA76" s="421"/>
      <c r="AB76" s="490"/>
      <c r="AC76" s="516"/>
      <c r="AD76" s="421"/>
      <c r="AE76" s="421"/>
      <c r="AF76" s="490"/>
      <c r="AG76" s="516"/>
      <c r="AH76" s="421"/>
      <c r="AI76" s="421"/>
      <c r="AJ76" s="490"/>
      <c r="AK76" s="516"/>
      <c r="AL76" s="421"/>
      <c r="AM76" s="421"/>
      <c r="AN76" s="490"/>
      <c r="AO76" s="516"/>
      <c r="AP76" s="421"/>
      <c r="AQ76" s="421"/>
      <c r="AR76" s="490"/>
      <c r="AS76" s="516"/>
      <c r="AT76" s="421"/>
      <c r="AU76" s="421"/>
      <c r="AV76" s="490"/>
      <c r="AW76" s="516"/>
      <c r="AX76" s="421"/>
      <c r="AY76" s="421"/>
      <c r="AZ76" s="490"/>
      <c r="BA76" s="516"/>
      <c r="BB76" s="421"/>
      <c r="BC76" s="421"/>
      <c r="BD76" s="490"/>
      <c r="BE76"/>
      <c r="BF76" s="83"/>
      <c r="BG76" s="516"/>
      <c r="BH76" s="421"/>
      <c r="BI76" s="421"/>
      <c r="BJ76" s="421"/>
      <c r="BK76" s="421"/>
      <c r="BL76" s="421"/>
      <c r="BM76" s="421"/>
      <c r="BN76" s="421"/>
      <c r="BO76" s="421"/>
      <c r="BP76" s="421"/>
      <c r="BQ76" s="421"/>
      <c r="BR76" s="421"/>
      <c r="BS76" s="421"/>
      <c r="BT76" s="421"/>
      <c r="BU76" s="421"/>
      <c r="BV76" s="421"/>
      <c r="BW76" s="421"/>
      <c r="BX76" s="421"/>
      <c r="BY76" s="421"/>
      <c r="BZ76" s="490"/>
      <c r="CA76" s="83"/>
      <c r="CB76" s="226"/>
      <c r="CC76" s="83"/>
      <c r="CD76" s="83"/>
      <c r="CE76" s="83"/>
      <c r="CF76" s="83"/>
      <c r="CG76" s="1769"/>
      <c r="CH76" s="1769"/>
      <c r="CI76" s="1769"/>
      <c r="CJ76" s="83"/>
      <c r="CK76" s="75"/>
      <c r="CL76" s="75"/>
      <c r="CM76" s="75"/>
      <c r="CN76" s="75"/>
      <c r="CO76" s="75"/>
      <c r="CP76" s="75"/>
      <c r="CQ76" s="75"/>
      <c r="CR76" s="75"/>
    </row>
    <row r="77" spans="1:96" s="223" customFormat="1" ht="11.25" customHeight="1">
      <c r="A77" s="81"/>
      <c r="B77"/>
      <c r="C77"/>
      <c r="D77"/>
      <c r="E77"/>
      <c r="F77"/>
      <c r="G77"/>
      <c r="H77" s="81"/>
      <c r="I77" s="468" t="s">
        <v>425</v>
      </c>
      <c r="J77" s="63"/>
      <c r="K77" s="64"/>
      <c r="L77" s="64"/>
      <c r="M77" s="2298">
        <f>IFERROR(M73/M83, "NA")</f>
        <v>-0.22556218448829765</v>
      </c>
      <c r="N77" s="2298">
        <f t="shared" ref="N77:AJ77" si="152">IFERROR(N73/N83, "NA")</f>
        <v>-0.20128812555522654</v>
      </c>
      <c r="O77" s="2298">
        <f t="shared" si="152"/>
        <v>-0.2061338421312981</v>
      </c>
      <c r="P77" s="2299">
        <f t="shared" si="152"/>
        <v>-8.0574336098139063E-2</v>
      </c>
      <c r="Q77" s="2298">
        <f t="shared" si="152"/>
        <v>-0.18917061774204627</v>
      </c>
      <c r="R77" s="2298">
        <f t="shared" si="152"/>
        <v>-8.0880880880880801E-2</v>
      </c>
      <c r="S77" s="2298">
        <f t="shared" si="152"/>
        <v>-0.24485848752498271</v>
      </c>
      <c r="T77" s="2298">
        <f t="shared" si="152"/>
        <v>-0.56494999068149332</v>
      </c>
      <c r="U77" s="2300">
        <f t="shared" si="152"/>
        <v>-0.31452515753446564</v>
      </c>
      <c r="V77" s="2298">
        <f t="shared" si="152"/>
        <v>-3.2552104718577078E-2</v>
      </c>
      <c r="W77" s="2298">
        <f t="shared" si="152"/>
        <v>-3.2823542853412088E-2</v>
      </c>
      <c r="X77" s="2299">
        <f t="shared" si="152"/>
        <v>-8.4424551211847221E-2</v>
      </c>
      <c r="Y77" s="2300">
        <f t="shared" si="152"/>
        <v>-7.5298156536692543E-2</v>
      </c>
      <c r="Z77" s="2298">
        <f t="shared" si="152"/>
        <v>-1.3596382556987091E-2</v>
      </c>
      <c r="AA77" s="2298">
        <f t="shared" si="152"/>
        <v>-3.5434152296658104E-2</v>
      </c>
      <c r="AB77" s="2299">
        <f t="shared" si="152"/>
        <v>-3.0052144610513188E-2</v>
      </c>
      <c r="AC77" s="2300">
        <f t="shared" si="152"/>
        <v>-3.7023506765396196E-2</v>
      </c>
      <c r="AD77" s="2298">
        <f t="shared" si="152"/>
        <v>3.8249156371140854E-2</v>
      </c>
      <c r="AE77" s="2298">
        <f t="shared" si="152"/>
        <v>5.0377449961908682E-2</v>
      </c>
      <c r="AF77" s="2299">
        <f t="shared" si="152"/>
        <v>0.45051965035446362</v>
      </c>
      <c r="AG77" s="2300">
        <f t="shared" si="152"/>
        <v>-0.10846316703762023</v>
      </c>
      <c r="AH77" s="2298">
        <f t="shared" si="152"/>
        <v>-0.12887406037705537</v>
      </c>
      <c r="AI77" s="2298">
        <f t="shared" si="152"/>
        <v>-0.22715578720057594</v>
      </c>
      <c r="AJ77" s="2299">
        <f t="shared" si="152"/>
        <v>3.2531974738629871E-2</v>
      </c>
      <c r="AK77" s="2300">
        <f t="shared" ref="AK77:AN77" si="153">IFERROR(AK73/AK83, "NA")</f>
        <v>-0.20362658795002858</v>
      </c>
      <c r="AL77" s="2298">
        <f t="shared" si="153"/>
        <v>5.8718139851176073E-3</v>
      </c>
      <c r="AM77" s="2298">
        <f>IFERROR(AM73/AM83, "NA")</f>
        <v>2.6702441918963628E-2</v>
      </c>
      <c r="AN77" s="2299">
        <f t="shared" si="153"/>
        <v>0.10479258348023472</v>
      </c>
      <c r="AO77" s="2300">
        <f>IFERROR(AO73/AO83, "NA")</f>
        <v>-5.9867489949025229E-2</v>
      </c>
      <c r="AP77" s="2298">
        <f>IFERROR(AP73/AP83, "NA")</f>
        <v>9.3708331275618478E-2</v>
      </c>
      <c r="AQ77" s="2298">
        <f>IFERROR(AQ73/AQ83, "NA")</f>
        <v>9.6609489539138491E-2</v>
      </c>
      <c r="AR77" s="2299">
        <f t="shared" ref="AR77" si="154">IFERROR(AR73/AR83, "NA")</f>
        <v>1.7066319177555724</v>
      </c>
      <c r="AS77" s="2300">
        <f t="shared" ref="AS77:BD77" si="155">IFERROR(AS73/AS83, "NA")</f>
        <v>-4.6821265329215982E-2</v>
      </c>
      <c r="AT77" s="2298">
        <f t="shared" si="155"/>
        <v>6.4247598401848086E-2</v>
      </c>
      <c r="AU77" s="2298">
        <f t="shared" si="155"/>
        <v>6.5526570283749863E-2</v>
      </c>
      <c r="AV77" s="2299">
        <f t="shared" si="155"/>
        <v>0.10104418073724795</v>
      </c>
      <c r="AW77" s="2300">
        <f t="shared" si="155"/>
        <v>4.955611420536675E-2</v>
      </c>
      <c r="AX77" s="2298">
        <f t="shared" si="155"/>
        <v>0.14259398567989523</v>
      </c>
      <c r="AY77" s="2298">
        <f t="shared" si="155"/>
        <v>0.14272471308402795</v>
      </c>
      <c r="AZ77" s="2299">
        <f t="shared" si="155"/>
        <v>0.17551994581917485</v>
      </c>
      <c r="BA77" s="2300">
        <f t="shared" si="155"/>
        <v>8.9452560051984778E-2</v>
      </c>
      <c r="BB77" s="2298">
        <f t="shared" si="155"/>
        <v>0.18906229055229162</v>
      </c>
      <c r="BC77" s="2298">
        <f t="shared" si="155"/>
        <v>0.18701012447833304</v>
      </c>
      <c r="BD77" s="2299">
        <f t="shared" si="155"/>
        <v>0.22017109735327903</v>
      </c>
      <c r="BE77"/>
      <c r="BF77" s="424"/>
      <c r="BG77" s="2300">
        <f t="shared" ref="BG77:BU77" si="156">IFERROR(BG73/BG83, "NA")</f>
        <v>-0.15540210643788796</v>
      </c>
      <c r="BH77" s="2298">
        <f t="shared" si="156"/>
        <v>-0.6699497487437186</v>
      </c>
      <c r="BI77" s="2298">
        <f t="shared" si="156"/>
        <v>-0.63151633138654539</v>
      </c>
      <c r="BJ77" s="2298">
        <f t="shared" si="156"/>
        <v>-0.1895657809462083</v>
      </c>
      <c r="BK77" s="2298">
        <f t="shared" si="156"/>
        <v>-0.70720197473500745</v>
      </c>
      <c r="BL77" s="2298">
        <f t="shared" si="156"/>
        <v>-1.1024131842260148</v>
      </c>
      <c r="BM77" s="2298">
        <f t="shared" si="156"/>
        <v>-0.3535614692792115</v>
      </c>
      <c r="BN77" s="2298">
        <f t="shared" si="156"/>
        <v>-0.1533236884184879</v>
      </c>
      <c r="BO77" s="2298">
        <f t="shared" si="156"/>
        <v>0.47238087837225229</v>
      </c>
      <c r="BP77" s="2298">
        <f t="shared" si="156"/>
        <v>-0.43117982230018859</v>
      </c>
      <c r="BQ77" s="2298">
        <f t="shared" si="156"/>
        <v>-6.0507315619504114E-2</v>
      </c>
      <c r="BR77" s="2298">
        <f t="shared" si="156"/>
        <v>1.8734779171594731</v>
      </c>
      <c r="BS77" s="2298">
        <f t="shared" si="156"/>
        <v>0.18711303929124729</v>
      </c>
      <c r="BT77" s="2298">
        <f t="shared" si="156"/>
        <v>0.51290198081432381</v>
      </c>
      <c r="BU77" s="2298">
        <f t="shared" si="156"/>
        <v>0.68815305584512709</v>
      </c>
      <c r="BV77" s="2298">
        <f>IFERROR(BV73/BV83, "NA")</f>
        <v>0.84416929256657236</v>
      </c>
      <c r="BW77" s="2298">
        <f>IFERROR(BW73/BW83, "NA")</f>
        <v>1.0754017326563001</v>
      </c>
      <c r="BX77" s="2298">
        <f>IFERROR(BX73/BX83, "NA")</f>
        <v>1.2956989049654539</v>
      </c>
      <c r="BY77" s="2298">
        <f>IFERROR(BY73/BY83, "NA")</f>
        <v>1.5070534354726492</v>
      </c>
      <c r="BZ77" s="2299">
        <f>IFERROR(BZ73/BZ83, "NA")</f>
        <v>1.7173364906870299</v>
      </c>
      <c r="CA77" s="83"/>
      <c r="CB77" s="1363" t="str">
        <f>IF(ISERROR(RATE(5,,-BP77,BU77)),"NM",(RATE(5,,-BP77,BU77)))</f>
        <v>NM</v>
      </c>
      <c r="CC77" s="83"/>
      <c r="CD77" s="83"/>
      <c r="CE77" s="83"/>
      <c r="CF77" s="83"/>
      <c r="CG77" s="1769"/>
      <c r="CH77" s="1769"/>
      <c r="CI77" s="1769"/>
      <c r="CJ77" s="83"/>
      <c r="CK77" s="403"/>
      <c r="CL77" s="403" t="str">
        <f t="shared" si="151"/>
        <v>NM</v>
      </c>
      <c r="CM77" s="403">
        <f t="shared" si="151"/>
        <v>6.8393325936173158E-2</v>
      </c>
      <c r="CN77" s="403">
        <f t="shared" si="151"/>
        <v>-0.26650097212242863</v>
      </c>
      <c r="CO77" s="403">
        <f t="shared" si="151"/>
        <v>0.58289493589273289</v>
      </c>
      <c r="CP77" s="403" t="str">
        <f t="shared" si="151"/>
        <v>NM</v>
      </c>
      <c r="CQ77" s="403" t="str">
        <f t="shared" si="151"/>
        <v>NM</v>
      </c>
      <c r="CR77" s="403">
        <f t="shared" si="151"/>
        <v>-0.28383654648695994</v>
      </c>
    </row>
    <row r="78" spans="1:96" s="224" customFormat="1" ht="11.25" customHeight="1">
      <c r="A78" s="426"/>
      <c r="B78"/>
      <c r="C78"/>
      <c r="D78"/>
      <c r="E78"/>
      <c r="F78"/>
      <c r="G78"/>
      <c r="H78" s="426"/>
      <c r="I78" s="1112" t="s">
        <v>426</v>
      </c>
      <c r="J78" s="2301"/>
      <c r="K78" s="432"/>
      <c r="L78" s="432"/>
      <c r="M78" s="2302">
        <f>M73/M84</f>
        <v>-0.22556218448829765</v>
      </c>
      <c r="N78" s="2302">
        <f t="shared" ref="N78:AJ78" si="157">N73/N84</f>
        <v>-0.20128812555522654</v>
      </c>
      <c r="O78" s="2302">
        <f t="shared" si="157"/>
        <v>-0.2061338421312981</v>
      </c>
      <c r="P78" s="2303">
        <f t="shared" si="157"/>
        <v>-8.0574336098139063E-2</v>
      </c>
      <c r="Q78" s="2302">
        <f t="shared" si="157"/>
        <v>-0.18917061774204627</v>
      </c>
      <c r="R78" s="2302">
        <f t="shared" si="157"/>
        <v>-8.0880880880880801E-2</v>
      </c>
      <c r="S78" s="2302">
        <f t="shared" si="157"/>
        <v>-0.24485848752498271</v>
      </c>
      <c r="T78" s="2302">
        <f t="shared" si="157"/>
        <v>-0.56494999068149332</v>
      </c>
      <c r="U78" s="2304">
        <f t="shared" si="157"/>
        <v>-0.31452515753446564</v>
      </c>
      <c r="V78" s="2302">
        <f t="shared" si="157"/>
        <v>-3.2552104718577078E-2</v>
      </c>
      <c r="W78" s="2302">
        <f t="shared" si="157"/>
        <v>-3.2823542853412088E-2</v>
      </c>
      <c r="X78" s="2303">
        <f t="shared" si="157"/>
        <v>-8.4424551211847221E-2</v>
      </c>
      <c r="Y78" s="2304">
        <f t="shared" si="157"/>
        <v>-7.5298156536692543E-2</v>
      </c>
      <c r="Z78" s="2302">
        <f t="shared" si="157"/>
        <v>-1.3596382556987091E-2</v>
      </c>
      <c r="AA78" s="2302">
        <f t="shared" si="157"/>
        <v>-3.5434152296658104E-2</v>
      </c>
      <c r="AB78" s="2303">
        <f t="shared" si="157"/>
        <v>-3.0052144610513188E-2</v>
      </c>
      <c r="AC78" s="2304">
        <f t="shared" si="157"/>
        <v>-3.7023506765396196E-2</v>
      </c>
      <c r="AD78" s="2302">
        <f t="shared" si="157"/>
        <v>3.5597487541528174E-2</v>
      </c>
      <c r="AE78" s="2302">
        <f t="shared" si="157"/>
        <v>4.7052887600910739E-2</v>
      </c>
      <c r="AF78" s="2303">
        <f t="shared" si="157"/>
        <v>0.42387742679151946</v>
      </c>
      <c r="AG78" s="2304">
        <f>AG73/AG83</f>
        <v>-0.10846316703762023</v>
      </c>
      <c r="AH78" s="2302">
        <f t="shared" si="157"/>
        <v>-0.1221348842524987</v>
      </c>
      <c r="AI78" s="2302">
        <f t="shared" si="157"/>
        <v>-0.21930659940286226</v>
      </c>
      <c r="AJ78" s="2303">
        <f t="shared" si="157"/>
        <v>3.1369137476652389E-2</v>
      </c>
      <c r="AK78" s="2304">
        <f t="shared" ref="AK78:AN78" si="158">AK73/AK84</f>
        <v>-0.19840525930586367</v>
      </c>
      <c r="AL78" s="2302">
        <f t="shared" si="158"/>
        <v>5.6634712411703847E-3</v>
      </c>
      <c r="AM78" s="2302">
        <f>AM73/AM84</f>
        <v>2.4964723759904234E-2</v>
      </c>
      <c r="AN78" s="2303">
        <f t="shared" si="158"/>
        <v>9.7944620928357914E-2</v>
      </c>
      <c r="AO78" s="2304">
        <f>AO73/AO84</f>
        <v>-5.616261308894397E-2</v>
      </c>
      <c r="AP78" s="2302">
        <f>AP73/AP84</f>
        <v>8.9441432948385496E-2</v>
      </c>
      <c r="AQ78" s="2302">
        <f>AQ73/AQ84</f>
        <v>9.0892454793956426E-2</v>
      </c>
      <c r="AR78" s="2303">
        <f t="shared" ref="AR78" si="159">AR73/AR84</f>
        <v>1.5954931285367824</v>
      </c>
      <c r="AS78" s="2304">
        <f t="shared" ref="AS78:BD78" si="160">AS73/AS84</f>
        <v>-4.3792587834240823E-2</v>
      </c>
      <c r="AT78" s="2302">
        <f t="shared" si="160"/>
        <v>6.0146567512489056E-2</v>
      </c>
      <c r="AU78" s="2302">
        <f t="shared" si="160"/>
        <v>6.1398419131879982E-2</v>
      </c>
      <c r="AV78" s="2303">
        <f t="shared" si="160"/>
        <v>9.4760338651598219E-2</v>
      </c>
      <c r="AW78" s="2304">
        <f t="shared" si="160"/>
        <v>4.6513415797601598E-2</v>
      </c>
      <c r="AX78" s="2302">
        <f t="shared" si="160"/>
        <v>0.13394867378677566</v>
      </c>
      <c r="AY78" s="2302">
        <f t="shared" si="160"/>
        <v>0.13417867600227043</v>
      </c>
      <c r="AZ78" s="2303">
        <f t="shared" si="160"/>
        <v>0.16513881017560317</v>
      </c>
      <c r="BA78" s="2304">
        <f t="shared" si="160"/>
        <v>8.4225842930958916E-2</v>
      </c>
      <c r="BB78" s="2302">
        <f t="shared" si="160"/>
        <v>0.17814732314900997</v>
      </c>
      <c r="BC78" s="2302">
        <f t="shared" si="160"/>
        <v>0.17634107031978793</v>
      </c>
      <c r="BD78" s="2303">
        <f t="shared" si="160"/>
        <v>0.20775672143314161</v>
      </c>
      <c r="BE78"/>
      <c r="BF78" s="2305"/>
      <c r="BG78" s="2304">
        <f t="shared" ref="BG78:BU78" si="161">BG73/BG84</f>
        <v>-0.15540210643788796</v>
      </c>
      <c r="BH78" s="2302">
        <f t="shared" si="161"/>
        <v>-0.6699497487437186</v>
      </c>
      <c r="BI78" s="2302">
        <f t="shared" si="161"/>
        <v>-0.63151633138654539</v>
      </c>
      <c r="BJ78" s="2302">
        <f t="shared" si="161"/>
        <v>-0.1895657809462083</v>
      </c>
      <c r="BK78" s="2302">
        <f t="shared" si="161"/>
        <v>-0.70720197473500745</v>
      </c>
      <c r="BL78" s="2302">
        <f t="shared" si="161"/>
        <v>-1.1024131842260148</v>
      </c>
      <c r="BM78" s="2302">
        <f t="shared" si="161"/>
        <v>-0.3535614692792115</v>
      </c>
      <c r="BN78" s="2302">
        <f t="shared" si="161"/>
        <v>-0.1533236884184879</v>
      </c>
      <c r="BO78" s="2302">
        <f t="shared" si="161"/>
        <v>0.47238087837225229</v>
      </c>
      <c r="BP78" s="2302">
        <f t="shared" si="161"/>
        <v>-0.41193101860143844</v>
      </c>
      <c r="BQ78" s="2302">
        <f t="shared" si="161"/>
        <v>-5.7575776255849025E-2</v>
      </c>
      <c r="BR78" s="2302">
        <f t="shared" si="161"/>
        <v>1.7647625892220618</v>
      </c>
      <c r="BS78" s="2302">
        <f t="shared" si="161"/>
        <v>0.17524765369812612</v>
      </c>
      <c r="BT78" s="2302">
        <f t="shared" si="161"/>
        <v>0.48199913563104579</v>
      </c>
      <c r="BU78" s="2302">
        <f t="shared" si="161"/>
        <v>0.64866038066997334</v>
      </c>
      <c r="BV78" s="2302">
        <f>BV73/BV84</f>
        <v>0.84416929256657236</v>
      </c>
      <c r="BW78" s="2302">
        <f>BW73/BW84</f>
        <v>1.0754017326563001</v>
      </c>
      <c r="BX78" s="2302">
        <f>BX73/BX84</f>
        <v>1.2956989049654539</v>
      </c>
      <c r="BY78" s="2302">
        <f>BY73/BY84</f>
        <v>1.5070534354726492</v>
      </c>
      <c r="BZ78" s="2303">
        <f>BZ73/BZ84</f>
        <v>1.7173364906870299</v>
      </c>
      <c r="CA78" s="226"/>
      <c r="CB78" s="2261" t="str">
        <f>IF(ISERROR(RATE(5,,-BP78,BU78)),"NM",(RATE(5,,-BP78,BU78)))</f>
        <v>NM</v>
      </c>
      <c r="CC78" s="226"/>
      <c r="CD78" s="226"/>
      <c r="CE78" s="226"/>
      <c r="CF78" s="226"/>
      <c r="CG78" s="1134"/>
      <c r="CH78" s="1134"/>
      <c r="CI78" s="1134"/>
      <c r="CJ78" s="226"/>
      <c r="CK78" s="226"/>
      <c r="CL78" s="430"/>
      <c r="CM78" s="430"/>
      <c r="CN78" s="430"/>
      <c r="CO78" s="430"/>
      <c r="CP78" s="430"/>
      <c r="CQ78" s="430"/>
      <c r="CR78" s="430"/>
    </row>
    <row r="79" spans="1:96" s="225" customFormat="1" ht="11.25" customHeight="1">
      <c r="A79" s="81"/>
      <c r="B79"/>
      <c r="C79"/>
      <c r="D79"/>
      <c r="E79"/>
      <c r="F79"/>
      <c r="G79"/>
      <c r="H79" s="81"/>
      <c r="I79" s="489"/>
      <c r="J79" s="422"/>
      <c r="K79" s="321"/>
      <c r="L79" s="321"/>
      <c r="M79" s="423"/>
      <c r="N79" s="423"/>
      <c r="O79" s="423"/>
      <c r="P79" s="491"/>
      <c r="Q79" s="423"/>
      <c r="R79" s="423"/>
      <c r="S79" s="423"/>
      <c r="T79" s="423"/>
      <c r="U79" s="517"/>
      <c r="V79" s="423"/>
      <c r="W79" s="423"/>
      <c r="X79" s="491"/>
      <c r="Y79" s="517"/>
      <c r="Z79" s="423"/>
      <c r="AA79" s="423"/>
      <c r="AB79" s="491"/>
      <c r="AC79" s="517"/>
      <c r="AD79" s="423"/>
      <c r="AE79" s="423"/>
      <c r="AF79" s="491"/>
      <c r="AG79" s="517"/>
      <c r="AH79" s="423"/>
      <c r="AI79" s="423"/>
      <c r="AJ79" s="491"/>
      <c r="AK79" s="517"/>
      <c r="AL79" s="423"/>
      <c r="AM79" s="423"/>
      <c r="AN79" s="491"/>
      <c r="AO79" s="517"/>
      <c r="AP79" s="423"/>
      <c r="AQ79" s="423"/>
      <c r="AR79" s="491"/>
      <c r="AS79" s="517"/>
      <c r="AT79" s="423"/>
      <c r="AU79" s="423"/>
      <c r="AV79" s="491"/>
      <c r="AW79" s="517"/>
      <c r="AX79" s="423"/>
      <c r="AY79" s="423"/>
      <c r="AZ79" s="491"/>
      <c r="BA79" s="517"/>
      <c r="BB79" s="423"/>
      <c r="BC79" s="423"/>
      <c r="BD79" s="491"/>
      <c r="BE79"/>
      <c r="BF79" s="424"/>
      <c r="BG79" s="517"/>
      <c r="BH79" s="423"/>
      <c r="BI79" s="423"/>
      <c r="BJ79" s="423"/>
      <c r="BK79" s="423"/>
      <c r="BL79" s="423"/>
      <c r="BM79" s="423"/>
      <c r="BN79" s="423"/>
      <c r="BO79" s="423"/>
      <c r="BP79" s="423"/>
      <c r="BQ79" s="423"/>
      <c r="BR79" s="423"/>
      <c r="BS79" s="423"/>
      <c r="BT79" s="423"/>
      <c r="BU79" s="423"/>
      <c r="BV79" s="423"/>
      <c r="BW79" s="423"/>
      <c r="BX79" s="423"/>
      <c r="BY79" s="423"/>
      <c r="BZ79" s="491"/>
      <c r="CA79" s="83"/>
      <c r="CB79" s="83"/>
      <c r="CC79" s="83"/>
      <c r="CD79" s="83"/>
      <c r="CE79" s="83"/>
      <c r="CF79" s="83"/>
      <c r="CG79" s="1769"/>
      <c r="CH79" s="1769"/>
      <c r="CI79" s="1769"/>
      <c r="CJ79" s="83"/>
      <c r="CK79" s="83"/>
      <c r="CL79" s="75"/>
      <c r="CM79" s="75"/>
      <c r="CN79" s="75"/>
      <c r="CO79" s="75"/>
      <c r="CP79" s="75"/>
      <c r="CQ79" s="75"/>
      <c r="CR79" s="75"/>
    </row>
    <row r="80" spans="1:96" s="225" customFormat="1" ht="11.25" customHeight="1">
      <c r="A80" s="83"/>
      <c r="B80"/>
      <c r="C80"/>
      <c r="D80"/>
      <c r="E80"/>
      <c r="F80"/>
      <c r="G80"/>
      <c r="H80" s="83"/>
      <c r="I80" s="468"/>
      <c r="J80" s="228"/>
      <c r="K80" s="228"/>
      <c r="L80" s="228"/>
      <c r="M80" s="955"/>
      <c r="N80" s="955"/>
      <c r="O80" s="955"/>
      <c r="P80" s="975"/>
      <c r="Q80" s="955"/>
      <c r="R80" s="955"/>
      <c r="S80" s="955"/>
      <c r="T80" s="1021"/>
      <c r="U80" s="1022"/>
      <c r="V80" s="1021"/>
      <c r="W80" s="1021"/>
      <c r="X80" s="1023"/>
      <c r="Y80" s="1022"/>
      <c r="Z80" s="1021"/>
      <c r="AA80" s="1021"/>
      <c r="AB80" s="1023"/>
      <c r="AC80" s="1022"/>
      <c r="AD80" s="1021"/>
      <c r="AE80" s="1021"/>
      <c r="AF80" s="1023"/>
      <c r="AG80" s="1022"/>
      <c r="AH80" s="1021"/>
      <c r="AI80" s="1021"/>
      <c r="AJ80" s="1023"/>
      <c r="AK80" s="1022"/>
      <c r="AL80" s="1021"/>
      <c r="AM80" s="1021"/>
      <c r="AN80" s="1023"/>
      <c r="AO80" s="1022"/>
      <c r="AP80" s="1021"/>
      <c r="AQ80" s="1021"/>
      <c r="AR80" s="1023"/>
      <c r="AS80" s="1022"/>
      <c r="AT80" s="1021"/>
      <c r="AU80" s="1021"/>
      <c r="AV80" s="1023"/>
      <c r="AW80" s="1022"/>
      <c r="AX80" s="1021"/>
      <c r="AY80" s="1021"/>
      <c r="AZ80" s="1023"/>
      <c r="BA80" s="1022"/>
      <c r="BB80" s="1021"/>
      <c r="BC80" s="1021"/>
      <c r="BD80" s="1023"/>
      <c r="BE80"/>
      <c r="BF80" s="83"/>
      <c r="BG80" s="227"/>
      <c r="BH80" s="228"/>
      <c r="BI80" s="228"/>
      <c r="BJ80" s="228"/>
      <c r="BK80" s="228"/>
      <c r="BL80" s="409"/>
      <c r="BM80" s="409"/>
      <c r="BN80" s="409"/>
      <c r="BO80" s="409"/>
      <c r="BP80" s="409"/>
      <c r="BQ80" s="110"/>
      <c r="BR80" s="110"/>
      <c r="BS80" s="110"/>
      <c r="BT80" s="110"/>
      <c r="BU80" s="110"/>
      <c r="BV80" s="110"/>
      <c r="BW80" s="110"/>
      <c r="BX80" s="110"/>
      <c r="BY80" s="110"/>
      <c r="BZ80" s="469"/>
      <c r="CA80" s="83"/>
      <c r="CB80" s="83"/>
      <c r="CC80" s="83"/>
      <c r="CD80" s="83"/>
      <c r="CE80" s="83"/>
      <c r="CF80" s="83"/>
      <c r="CG80" s="1769"/>
      <c r="CH80" s="1769"/>
      <c r="CI80" s="1769"/>
      <c r="CJ80" s="83"/>
      <c r="CK80" s="83"/>
      <c r="CL80" s="83"/>
      <c r="CM80" s="83"/>
      <c r="CN80" s="83"/>
      <c r="CO80" s="83"/>
      <c r="CP80" s="83"/>
      <c r="CQ80" s="83"/>
      <c r="CR80" s="83"/>
    </row>
    <row r="81" spans="1:97" ht="11.25" customHeight="1">
      <c r="A81" s="36"/>
      <c r="H81" s="1"/>
      <c r="I81" s="986" t="s">
        <v>387</v>
      </c>
      <c r="J81" s="453"/>
      <c r="K81" s="453"/>
      <c r="L81" s="453"/>
      <c r="M81" s="453"/>
      <c r="N81" s="453"/>
      <c r="O81" s="453"/>
      <c r="P81" s="454"/>
      <c r="Q81" s="453"/>
      <c r="R81" s="453"/>
      <c r="S81" s="453"/>
      <c r="T81" s="453"/>
      <c r="U81" s="452"/>
      <c r="V81" s="453"/>
      <c r="W81" s="453"/>
      <c r="X81" s="454"/>
      <c r="Y81" s="452"/>
      <c r="Z81" s="453"/>
      <c r="AA81" s="453"/>
      <c r="AB81" s="454"/>
      <c r="AC81" s="452"/>
      <c r="AD81" s="453"/>
      <c r="AE81" s="453"/>
      <c r="AF81" s="454"/>
      <c r="AG81" s="769"/>
      <c r="AH81" s="324"/>
      <c r="AI81" s="324"/>
      <c r="AJ81" s="1190"/>
      <c r="AK81" s="769"/>
      <c r="AL81" s="324"/>
      <c r="AM81" s="324"/>
      <c r="AN81" s="1190"/>
      <c r="AO81" s="769"/>
      <c r="AP81" s="324"/>
      <c r="AQ81" s="324"/>
      <c r="AR81" s="1190"/>
      <c r="AS81" s="769"/>
      <c r="AT81" s="324"/>
      <c r="AU81" s="324"/>
      <c r="AV81" s="1190"/>
      <c r="AW81" s="769"/>
      <c r="AX81" s="324"/>
      <c r="AY81" s="324"/>
      <c r="AZ81" s="1190"/>
      <c r="BA81" s="769"/>
      <c r="BB81" s="324"/>
      <c r="BC81" s="324"/>
      <c r="BD81" s="1190"/>
      <c r="BF81" s="54"/>
      <c r="BG81" s="726"/>
      <c r="BH81" s="392"/>
      <c r="BI81" s="392"/>
      <c r="BJ81" s="392"/>
      <c r="BK81" s="392"/>
      <c r="BL81" s="393"/>
      <c r="BM81" s="392"/>
      <c r="BN81" s="392"/>
      <c r="BO81" s="392"/>
      <c r="BP81" s="392"/>
      <c r="BQ81" s="392"/>
      <c r="BR81" s="392"/>
      <c r="BS81" s="392"/>
      <c r="BT81" s="392"/>
      <c r="BU81" s="392"/>
      <c r="BV81" s="394"/>
      <c r="BW81" s="394"/>
      <c r="BX81" s="394"/>
      <c r="BY81" s="394"/>
      <c r="BZ81" s="1666"/>
      <c r="CA81" s="36"/>
      <c r="CB81" s="36"/>
      <c r="CC81" s="36"/>
      <c r="CD81" s="36"/>
      <c r="CE81" s="36"/>
      <c r="CF81" s="36"/>
      <c r="CG81" s="1765"/>
      <c r="CH81" s="1765"/>
      <c r="CI81" s="1765"/>
      <c r="CJ81" s="36"/>
      <c r="CK81" s="36"/>
      <c r="CL81" s="36"/>
      <c r="CM81" s="36"/>
      <c r="CN81" s="36"/>
      <c r="CO81" s="36"/>
      <c r="CP81" s="36"/>
      <c r="CQ81" s="36"/>
      <c r="CR81" s="36"/>
    </row>
    <row r="82" spans="1:97" s="396" customFormat="1" ht="11.25" customHeight="1">
      <c r="A82" s="42"/>
      <c r="B82"/>
      <c r="C82"/>
      <c r="D82"/>
      <c r="E82"/>
      <c r="F82"/>
      <c r="G82"/>
      <c r="H82" s="213"/>
      <c r="I82" s="455"/>
      <c r="J82" s="334"/>
      <c r="K82" s="334"/>
      <c r="L82" s="334"/>
      <c r="M82" s="334"/>
      <c r="N82" s="334"/>
      <c r="O82" s="334"/>
      <c r="P82" s="456"/>
      <c r="Q82" s="334"/>
      <c r="R82" s="334"/>
      <c r="S82" s="334"/>
      <c r="T82" s="334"/>
      <c r="U82" s="455"/>
      <c r="V82" s="334"/>
      <c r="W82" s="334"/>
      <c r="X82" s="456"/>
      <c r="Y82" s="455"/>
      <c r="Z82" s="334"/>
      <c r="AA82" s="334"/>
      <c r="AB82" s="456"/>
      <c r="AC82" s="1641"/>
      <c r="AD82" s="334"/>
      <c r="AE82" s="334"/>
      <c r="AF82" s="456"/>
      <c r="AG82" s="455"/>
      <c r="AH82" s="334"/>
      <c r="AI82" s="334"/>
      <c r="AJ82" s="456"/>
      <c r="AK82" s="455"/>
      <c r="AL82" s="334"/>
      <c r="AM82" s="334"/>
      <c r="AN82" s="456"/>
      <c r="AO82" s="455"/>
      <c r="AP82" s="334"/>
      <c r="AQ82" s="334"/>
      <c r="AR82" s="456"/>
      <c r="AS82" s="455"/>
      <c r="AT82" s="334"/>
      <c r="AU82" s="334"/>
      <c r="AV82" s="456"/>
      <c r="AW82" s="455"/>
      <c r="AX82" s="334"/>
      <c r="AY82" s="334"/>
      <c r="AZ82" s="456"/>
      <c r="BA82" s="455"/>
      <c r="BB82" s="334"/>
      <c r="BC82" s="334"/>
      <c r="BD82" s="456"/>
      <c r="BE82"/>
      <c r="BF82" s="883"/>
      <c r="BG82" s="728"/>
      <c r="BH82" s="277"/>
      <c r="BI82" s="225"/>
      <c r="BJ82" s="277"/>
      <c r="BK82" s="1093"/>
      <c r="BL82" s="1093"/>
      <c r="BM82" s="1367"/>
      <c r="BN82" s="1093"/>
      <c r="BO82" s="277"/>
      <c r="BP82" s="277"/>
      <c r="BQ82" s="277"/>
      <c r="BR82" s="277"/>
      <c r="BS82" s="277"/>
      <c r="BT82" s="277"/>
      <c r="BU82" s="277"/>
      <c r="BV82" s="277"/>
      <c r="BW82" s="277"/>
      <c r="BX82" s="277"/>
      <c r="BY82" s="277"/>
      <c r="BZ82" s="729"/>
      <c r="CA82" s="42"/>
      <c r="CB82" s="42"/>
      <c r="CC82" s="42"/>
      <c r="CD82" s="42"/>
      <c r="CE82" s="42"/>
      <c r="CF82" s="42"/>
      <c r="CG82" s="1768"/>
      <c r="CH82" s="1768"/>
      <c r="CI82" s="1768"/>
      <c r="CJ82" s="42"/>
      <c r="CK82" s="42"/>
      <c r="CL82" s="42"/>
      <c r="CM82" s="42"/>
      <c r="CN82" s="42"/>
      <c r="CO82" s="42"/>
      <c r="CP82" s="42"/>
      <c r="CQ82" s="42"/>
      <c r="CR82" s="42"/>
    </row>
    <row r="83" spans="1:97" s="225" customFormat="1" ht="11.25" customHeight="1">
      <c r="A83" s="83"/>
      <c r="B83"/>
      <c r="C83"/>
      <c r="D83"/>
      <c r="E83"/>
      <c r="F83"/>
      <c r="G83"/>
      <c r="H83" s="83"/>
      <c r="I83" s="1045" t="s">
        <v>616</v>
      </c>
      <c r="J83" s="228"/>
      <c r="K83" s="228"/>
      <c r="L83" s="228"/>
      <c r="M83" s="961">
        <v>13.074</v>
      </c>
      <c r="N83" s="961">
        <v>13.507999999999999</v>
      </c>
      <c r="O83" s="961">
        <v>14.151</v>
      </c>
      <c r="P83" s="980">
        <v>14.347</v>
      </c>
      <c r="Q83" s="961">
        <v>14.553000000000001</v>
      </c>
      <c r="R83" s="961">
        <v>14.984999999999999</v>
      </c>
      <c r="S83" s="961">
        <v>15.510999999999999</v>
      </c>
      <c r="T83" s="961">
        <v>16.097000000000001</v>
      </c>
      <c r="U83" s="1019">
        <v>31.263000000000002</v>
      </c>
      <c r="V83" s="961">
        <v>60.887</v>
      </c>
      <c r="W83" s="961">
        <v>61.267000000000003</v>
      </c>
      <c r="X83" s="980">
        <v>63.003</v>
      </c>
      <c r="Y83" s="1019">
        <v>63.7333</v>
      </c>
      <c r="Z83" s="961">
        <v>64.575999999999993</v>
      </c>
      <c r="AA83" s="961">
        <v>65.53</v>
      </c>
      <c r="AB83" s="980">
        <v>68.846999999999994</v>
      </c>
      <c r="AC83" s="1019">
        <v>71.171000000000006</v>
      </c>
      <c r="AD83" s="961">
        <v>71.713999999999999</v>
      </c>
      <c r="AE83" s="961">
        <v>72.194999999999993</v>
      </c>
      <c r="AF83" s="961">
        <v>72.644999999999996</v>
      </c>
      <c r="AG83" s="1019">
        <v>73.683999999999997</v>
      </c>
      <c r="AH83" s="961">
        <v>74.631</v>
      </c>
      <c r="AI83" s="1758">
        <v>75.019000000000005</v>
      </c>
      <c r="AJ83" s="2635">
        <v>75.372</v>
      </c>
      <c r="AK83" s="2636">
        <v>75.884</v>
      </c>
      <c r="AL83" s="2635">
        <v>76.466999999999999</v>
      </c>
      <c r="AM83" s="2635">
        <v>77.521000000000001</v>
      </c>
      <c r="AN83" s="2637">
        <v>78.850999999999999</v>
      </c>
      <c r="AO83" s="2636">
        <v>79.843000000000004</v>
      </c>
      <c r="AP83" s="2635">
        <v>80.995999999999995</v>
      </c>
      <c r="AQ83" s="2635">
        <v>82.259</v>
      </c>
      <c r="AR83" s="2637">
        <v>83.263999999999996</v>
      </c>
      <c r="AS83" s="1021">
        <f t="shared" ref="AS83:BD83" si="162">AS84-(AR84-AR83)</f>
        <v>83.86399999999999</v>
      </c>
      <c r="AT83" s="1021">
        <f t="shared" si="162"/>
        <v>85.064000000000007</v>
      </c>
      <c r="AU83" s="1021">
        <f t="shared" si="162"/>
        <v>86.263999999999996</v>
      </c>
      <c r="AV83" s="1023">
        <f t="shared" si="162"/>
        <v>87.464000000000013</v>
      </c>
      <c r="AW83" s="1021">
        <f t="shared" si="162"/>
        <v>88.664000000000001</v>
      </c>
      <c r="AX83" s="1021">
        <f t="shared" si="162"/>
        <v>89.864000000000019</v>
      </c>
      <c r="AY83" s="1021">
        <f t="shared" si="162"/>
        <v>91.064000000000007</v>
      </c>
      <c r="AZ83" s="1023">
        <f t="shared" si="162"/>
        <v>92.264000000000024</v>
      </c>
      <c r="BA83" s="1021">
        <f t="shared" si="162"/>
        <v>93.464000000000013</v>
      </c>
      <c r="BB83" s="1021">
        <f t="shared" si="162"/>
        <v>94.66400000000003</v>
      </c>
      <c r="BC83" s="1021">
        <f t="shared" si="162"/>
        <v>95.864000000000019</v>
      </c>
      <c r="BD83" s="1023">
        <f t="shared" si="162"/>
        <v>97.064000000000036</v>
      </c>
      <c r="BE83"/>
      <c r="BF83" s="83"/>
      <c r="BG83" s="1024">
        <v>14.337</v>
      </c>
      <c r="BH83" s="1025">
        <v>4.9749999999999996</v>
      </c>
      <c r="BI83" s="1025">
        <v>9.2460000000000004</v>
      </c>
      <c r="BJ83" s="1025">
        <v>12.343999999999999</v>
      </c>
      <c r="BK83" s="1025">
        <v>13.773999999999999</v>
      </c>
      <c r="BL83" s="1025">
        <v>15.291</v>
      </c>
      <c r="BM83" s="435">
        <v>54.149000000000001</v>
      </c>
      <c r="BN83" s="435">
        <v>65.665000000000006</v>
      </c>
      <c r="BO83" s="409">
        <f>+BO84</f>
        <v>77.210999999999999</v>
      </c>
      <c r="BP83" s="409">
        <f>AVERAGE(AG83:AJ83)</f>
        <v>74.676500000000004</v>
      </c>
      <c r="BQ83" s="409">
        <f>AVERAGE(AK83:AN83)</f>
        <v>77.180750000000003</v>
      </c>
      <c r="BR83" s="409">
        <f>AVERAGE(AO83:AR83)</f>
        <v>81.590500000000006</v>
      </c>
      <c r="BS83" s="409">
        <f>AVERAGE(AS83:AV83)</f>
        <v>85.664000000000001</v>
      </c>
      <c r="BT83" s="409">
        <f>AVERAGE(AW83:AZ83)</f>
        <v>90.464000000000013</v>
      </c>
      <c r="BU83" s="409">
        <f>AVERAGE(BA83:BD83)</f>
        <v>95.264000000000024</v>
      </c>
      <c r="BV83" s="409">
        <f>+BV84</f>
        <v>108.26399999999998</v>
      </c>
      <c r="BW83" s="409">
        <f>+BW84</f>
        <v>113.06399999999998</v>
      </c>
      <c r="BX83" s="409">
        <f>+BX84</f>
        <v>117.86399999999998</v>
      </c>
      <c r="BY83" s="409">
        <f>+BY84</f>
        <v>122.66399999999997</v>
      </c>
      <c r="BZ83" s="466">
        <f>+BZ84</f>
        <v>127.46399999999997</v>
      </c>
      <c r="CA83" s="83"/>
      <c r="CB83" s="83"/>
      <c r="CC83" s="83"/>
      <c r="CD83" s="83"/>
      <c r="CE83" s="83"/>
      <c r="CF83" s="83"/>
      <c r="CG83" s="1769"/>
      <c r="CH83" s="1769"/>
      <c r="CI83" s="1769"/>
      <c r="CJ83" s="83"/>
      <c r="CK83" s="83"/>
      <c r="CL83" s="83"/>
      <c r="CM83" s="83"/>
      <c r="CN83" s="83"/>
      <c r="CO83" s="83"/>
      <c r="CP83" s="83"/>
      <c r="CQ83" s="83"/>
      <c r="CR83" s="83"/>
    </row>
    <row r="84" spans="1:97" s="225" customFormat="1" ht="11.25" customHeight="1">
      <c r="A84" s="83"/>
      <c r="B84"/>
      <c r="C84"/>
      <c r="D84"/>
      <c r="E84"/>
      <c r="F84"/>
      <c r="G84"/>
      <c r="H84" s="83"/>
      <c r="I84" s="1045" t="s">
        <v>617</v>
      </c>
      <c r="J84" s="228"/>
      <c r="K84" s="228"/>
      <c r="L84" s="228"/>
      <c r="M84" s="961">
        <v>13.074</v>
      </c>
      <c r="N84" s="961">
        <v>13.507999999999999</v>
      </c>
      <c r="O84" s="961">
        <v>14.151</v>
      </c>
      <c r="P84" s="980">
        <v>14.347</v>
      </c>
      <c r="Q84" s="961">
        <v>14.553000000000001</v>
      </c>
      <c r="R84" s="961">
        <v>14.984999999999999</v>
      </c>
      <c r="S84" s="961">
        <v>15.510999999999999</v>
      </c>
      <c r="T84" s="961">
        <v>16.097000000000001</v>
      </c>
      <c r="U84" s="1019">
        <v>31.263000000000002</v>
      </c>
      <c r="V84" s="961">
        <v>60.887</v>
      </c>
      <c r="W84" s="961">
        <v>61.267000000000003</v>
      </c>
      <c r="X84" s="980">
        <v>63.003</v>
      </c>
      <c r="Y84" s="1019">
        <v>63.7333</v>
      </c>
      <c r="Z84" s="961">
        <v>64.575999999999993</v>
      </c>
      <c r="AA84" s="961">
        <v>65.53</v>
      </c>
      <c r="AB84" s="980">
        <v>68.846999999999994</v>
      </c>
      <c r="AC84" s="1019">
        <v>71.171000000000006</v>
      </c>
      <c r="AD84" s="961">
        <v>77.055999999999997</v>
      </c>
      <c r="AE84" s="961">
        <v>77.296000000000006</v>
      </c>
      <c r="AF84" s="961">
        <v>77.210999999999999</v>
      </c>
      <c r="AG84" s="1019">
        <v>77.899000000000001</v>
      </c>
      <c r="AH84" s="961">
        <v>78.748999999999995</v>
      </c>
      <c r="AI84" s="1758">
        <v>77.703999999999994</v>
      </c>
      <c r="AJ84" s="2635">
        <v>78.165999999999997</v>
      </c>
      <c r="AK84" s="2636">
        <v>77.881</v>
      </c>
      <c r="AL84" s="2635">
        <v>79.28</v>
      </c>
      <c r="AM84" s="2635">
        <v>82.917000000000002</v>
      </c>
      <c r="AN84" s="2637">
        <v>84.364000000000004</v>
      </c>
      <c r="AO84" s="2636">
        <v>85.11</v>
      </c>
      <c r="AP84" s="2635">
        <v>84.86</v>
      </c>
      <c r="AQ84" s="2635">
        <v>87.433000000000007</v>
      </c>
      <c r="AR84" s="2637">
        <v>89.063999999999993</v>
      </c>
      <c r="AS84" s="1021">
        <f t="shared" ref="AS84:BD84" si="163">AVERAGE(AR90:AS90)</f>
        <v>89.663999999999987</v>
      </c>
      <c r="AT84" s="1021">
        <f t="shared" si="163"/>
        <v>90.864000000000004</v>
      </c>
      <c r="AU84" s="1021">
        <f t="shared" si="163"/>
        <v>92.063999999999993</v>
      </c>
      <c r="AV84" s="1023">
        <f t="shared" si="163"/>
        <v>93.26400000000001</v>
      </c>
      <c r="AW84" s="1021">
        <f t="shared" si="163"/>
        <v>94.463999999999999</v>
      </c>
      <c r="AX84" s="1021">
        <f t="shared" si="163"/>
        <v>95.664000000000016</v>
      </c>
      <c r="AY84" s="1021">
        <f t="shared" si="163"/>
        <v>96.864000000000004</v>
      </c>
      <c r="AZ84" s="1023">
        <f t="shared" si="163"/>
        <v>98.064000000000021</v>
      </c>
      <c r="BA84" s="1021">
        <f t="shared" si="163"/>
        <v>99.26400000000001</v>
      </c>
      <c r="BB84" s="1021">
        <f t="shared" si="163"/>
        <v>100.46400000000003</v>
      </c>
      <c r="BC84" s="1021">
        <f t="shared" si="163"/>
        <v>101.66400000000002</v>
      </c>
      <c r="BD84" s="1023">
        <f t="shared" si="163"/>
        <v>102.86400000000003</v>
      </c>
      <c r="BE84"/>
      <c r="BF84" s="83"/>
      <c r="BG84" s="1024">
        <v>14.337</v>
      </c>
      <c r="BH84" s="1025">
        <v>4.9749999999999996</v>
      </c>
      <c r="BI84" s="1025">
        <v>9.2460000000000004</v>
      </c>
      <c r="BJ84" s="1025">
        <v>12.343999999999999</v>
      </c>
      <c r="BK84" s="1025">
        <v>13.773999999999999</v>
      </c>
      <c r="BL84" s="1025">
        <v>15.291</v>
      </c>
      <c r="BM84" s="435">
        <v>54.149000000000001</v>
      </c>
      <c r="BN84" s="435">
        <v>65.665000000000006</v>
      </c>
      <c r="BO84" s="1110">
        <f>BO90</f>
        <v>77.210999999999999</v>
      </c>
      <c r="BP84" s="1110">
        <f>BP90</f>
        <v>78.165999999999997</v>
      </c>
      <c r="BQ84" s="1893">
        <f>AVERAGE(AK84:AN84)</f>
        <v>81.110500000000002</v>
      </c>
      <c r="BR84" s="409">
        <f>AVERAGE(AO84:AR84)</f>
        <v>86.616749999999996</v>
      </c>
      <c r="BS84" s="409">
        <f>AVERAGE(AS84:AV84)</f>
        <v>91.463999999999999</v>
      </c>
      <c r="BT84" s="409">
        <f>AVERAGE(AW84:AZ84)</f>
        <v>96.26400000000001</v>
      </c>
      <c r="BU84" s="409">
        <f>AVERAGE(BA84:BD84)</f>
        <v>101.06400000000002</v>
      </c>
      <c r="BV84" s="1110">
        <f>BV90</f>
        <v>108.26399999999998</v>
      </c>
      <c r="BW84" s="1110">
        <f>BW90</f>
        <v>113.06399999999998</v>
      </c>
      <c r="BX84" s="1110">
        <f>BX90</f>
        <v>117.86399999999998</v>
      </c>
      <c r="BY84" s="1110">
        <f>BY90</f>
        <v>122.66399999999997</v>
      </c>
      <c r="BZ84" s="1111">
        <f>BZ90</f>
        <v>127.46399999999997</v>
      </c>
      <c r="CA84" s="83"/>
      <c r="CB84" s="83"/>
      <c r="CC84" s="83"/>
      <c r="CD84" s="83"/>
      <c r="CE84" s="83"/>
      <c r="CF84" s="83"/>
      <c r="CG84" s="1769"/>
      <c r="CH84" s="1769"/>
      <c r="CI84" s="1769"/>
      <c r="CJ84" s="83"/>
      <c r="CK84" s="83"/>
      <c r="CL84" s="83"/>
      <c r="CM84" s="83"/>
      <c r="CN84" s="83"/>
      <c r="CO84" s="83"/>
      <c r="CP84" s="83"/>
      <c r="CQ84" s="83"/>
      <c r="CR84" s="83"/>
    </row>
    <row r="85" spans="1:97" s="225" customFormat="1" ht="11.25" customHeight="1">
      <c r="A85" s="83"/>
      <c r="B85"/>
      <c r="C85"/>
      <c r="D85"/>
      <c r="E85"/>
      <c r="F85"/>
      <c r="G85"/>
      <c r="H85" s="83"/>
      <c r="I85" s="1046"/>
      <c r="J85" s="228"/>
      <c r="K85" s="228"/>
      <c r="L85" s="228"/>
      <c r="M85" s="955"/>
      <c r="N85" s="955"/>
      <c r="O85" s="955"/>
      <c r="P85" s="975"/>
      <c r="Q85" s="955"/>
      <c r="R85" s="955"/>
      <c r="S85" s="955"/>
      <c r="T85" s="1021"/>
      <c r="U85" s="1022"/>
      <c r="V85" s="1021"/>
      <c r="W85" s="1021"/>
      <c r="X85" s="1023"/>
      <c r="Y85" s="1022"/>
      <c r="Z85" s="1021"/>
      <c r="AA85" s="1021"/>
      <c r="AB85" s="1023"/>
      <c r="AC85" s="1022"/>
      <c r="AD85" s="1021"/>
      <c r="AE85" s="1021"/>
      <c r="AF85" s="1023"/>
      <c r="AG85" s="1022"/>
      <c r="AH85" s="1021"/>
      <c r="AI85" s="1021"/>
      <c r="AJ85" s="1021"/>
      <c r="AK85" s="1022"/>
      <c r="AL85" s="1021"/>
      <c r="AM85" s="1021"/>
      <c r="AN85" s="1023"/>
      <c r="AO85" s="1022"/>
      <c r="AP85" s="1021"/>
      <c r="AQ85" s="1021"/>
      <c r="AR85" s="1023"/>
      <c r="AS85" s="1022"/>
      <c r="AT85" s="1021"/>
      <c r="AU85" s="1021"/>
      <c r="AV85" s="1023"/>
      <c r="AW85" s="1022"/>
      <c r="AX85" s="1021"/>
      <c r="AY85" s="1021"/>
      <c r="AZ85" s="1023"/>
      <c r="BA85" s="1022"/>
      <c r="BB85" s="1021"/>
      <c r="BC85" s="1021"/>
      <c r="BD85" s="1023"/>
      <c r="BE85"/>
      <c r="BF85" s="83"/>
      <c r="BG85" s="227"/>
      <c r="BH85" s="228"/>
      <c r="BI85" s="228"/>
      <c r="BJ85" s="228"/>
      <c r="BK85" s="228"/>
      <c r="BL85" s="409"/>
      <c r="BM85" s="409"/>
      <c r="BN85" s="409"/>
      <c r="BO85" s="409"/>
      <c r="BP85" s="409"/>
      <c r="BQ85" s="1095"/>
      <c r="BR85" s="1095"/>
      <c r="BS85" s="1095"/>
      <c r="BT85" s="1095"/>
      <c r="BU85" s="1095"/>
      <c r="BV85" s="1095"/>
      <c r="BW85" s="1095"/>
      <c r="BX85" s="1095"/>
      <c r="BY85" s="1095"/>
      <c r="BZ85" s="1096"/>
      <c r="CA85" s="83"/>
      <c r="CB85" s="83"/>
      <c r="CC85" s="83"/>
      <c r="CD85" s="83"/>
      <c r="CE85" s="83"/>
      <c r="CF85" s="83"/>
      <c r="CG85" s="1769"/>
      <c r="CH85" s="1769"/>
      <c r="CI85" s="1769"/>
      <c r="CJ85" s="83"/>
      <c r="CK85" s="83"/>
      <c r="CL85" s="83"/>
      <c r="CM85" s="83"/>
      <c r="CN85" s="83"/>
      <c r="CO85" s="83"/>
      <c r="CP85" s="83"/>
      <c r="CQ85" s="83"/>
      <c r="CR85" s="83"/>
    </row>
    <row r="86" spans="1:97" s="1026" customFormat="1" ht="11.25" customHeight="1">
      <c r="A86" s="83"/>
      <c r="B86"/>
      <c r="C86"/>
      <c r="D86"/>
      <c r="E86"/>
      <c r="F86"/>
      <c r="G86"/>
      <c r="H86" s="83"/>
      <c r="I86" s="656" t="s">
        <v>381</v>
      </c>
      <c r="J86" s="228"/>
      <c r="K86" s="228"/>
      <c r="L86" s="228"/>
      <c r="M86" s="955">
        <f>BJ90</f>
        <v>12.343999999999999</v>
      </c>
      <c r="N86" s="955">
        <f>M90</f>
        <v>13.074</v>
      </c>
      <c r="O86" s="955">
        <f t="shared" ref="O86:T86" si="164">N90</f>
        <v>13.507999999999999</v>
      </c>
      <c r="P86" s="975">
        <f t="shared" si="164"/>
        <v>14.151</v>
      </c>
      <c r="Q86" s="955">
        <f t="shared" si="164"/>
        <v>14.347</v>
      </c>
      <c r="R86" s="955">
        <f t="shared" si="164"/>
        <v>14.553000000000001</v>
      </c>
      <c r="S86" s="955">
        <f t="shared" si="164"/>
        <v>14.984999999999999</v>
      </c>
      <c r="T86" s="955">
        <f t="shared" si="164"/>
        <v>15.510999999999999</v>
      </c>
      <c r="U86" s="1020">
        <f>T90</f>
        <v>16.097000000000001</v>
      </c>
      <c r="V86" s="955">
        <f>U90</f>
        <v>31.263000000000002</v>
      </c>
      <c r="W86" s="955">
        <f t="shared" ref="W86:AG86" si="165">V90</f>
        <v>60.887</v>
      </c>
      <c r="X86" s="975">
        <f t="shared" si="165"/>
        <v>61.267000000000003</v>
      </c>
      <c r="Y86" s="1020">
        <f t="shared" si="165"/>
        <v>63.003</v>
      </c>
      <c r="Z86" s="955">
        <f t="shared" si="165"/>
        <v>63.7333</v>
      </c>
      <c r="AA86" s="955">
        <f t="shared" si="165"/>
        <v>64.575999999999993</v>
      </c>
      <c r="AB86" s="975">
        <f t="shared" si="165"/>
        <v>65.53</v>
      </c>
      <c r="AC86" s="1020">
        <f t="shared" si="165"/>
        <v>68.846999999999994</v>
      </c>
      <c r="AD86" s="955">
        <f t="shared" si="165"/>
        <v>71.171000000000006</v>
      </c>
      <c r="AE86" s="955">
        <f t="shared" si="165"/>
        <v>77.055999999999997</v>
      </c>
      <c r="AF86" s="955">
        <f t="shared" si="165"/>
        <v>77.296000000000006</v>
      </c>
      <c r="AG86" s="1020">
        <f t="shared" si="165"/>
        <v>77.210999999999999</v>
      </c>
      <c r="AH86" s="1021">
        <f t="shared" ref="AH86:AR86" si="166">AG90</f>
        <v>77.899000000000001</v>
      </c>
      <c r="AI86" s="1021">
        <f t="shared" si="166"/>
        <v>78.748999999999995</v>
      </c>
      <c r="AJ86" s="955">
        <f t="shared" si="166"/>
        <v>77.703999999999994</v>
      </c>
      <c r="AK86" s="1020">
        <f t="shared" si="166"/>
        <v>78.165999999999997</v>
      </c>
      <c r="AL86" s="955">
        <f t="shared" si="166"/>
        <v>77.881</v>
      </c>
      <c r="AM86" s="955">
        <f t="shared" si="166"/>
        <v>79.28</v>
      </c>
      <c r="AN86" s="975">
        <f t="shared" si="166"/>
        <v>82.917000000000002</v>
      </c>
      <c r="AO86" s="1020">
        <f t="shared" si="166"/>
        <v>84.364000000000004</v>
      </c>
      <c r="AP86" s="955">
        <f t="shared" si="166"/>
        <v>85.11</v>
      </c>
      <c r="AQ86" s="955">
        <f t="shared" si="166"/>
        <v>84.86</v>
      </c>
      <c r="AR86" s="975">
        <f t="shared" si="166"/>
        <v>87.433000000000007</v>
      </c>
      <c r="AS86" s="1022">
        <f t="shared" ref="AS86:AV86" si="167">AR90</f>
        <v>89.063999999999993</v>
      </c>
      <c r="AT86" s="1021">
        <f t="shared" si="167"/>
        <v>90.263999999999996</v>
      </c>
      <c r="AU86" s="1021">
        <f t="shared" si="167"/>
        <v>91.463999999999999</v>
      </c>
      <c r="AV86" s="1023">
        <f t="shared" si="167"/>
        <v>92.664000000000001</v>
      </c>
      <c r="AW86" s="1022">
        <f t="shared" ref="AW86:BD86" si="168">AV90</f>
        <v>93.864000000000004</v>
      </c>
      <c r="AX86" s="1021">
        <f t="shared" si="168"/>
        <v>95.064000000000007</v>
      </c>
      <c r="AY86" s="1021">
        <f t="shared" si="168"/>
        <v>96.26400000000001</v>
      </c>
      <c r="AZ86" s="1023">
        <f t="shared" si="168"/>
        <v>97.464000000000013</v>
      </c>
      <c r="BA86" s="1022">
        <f t="shared" si="168"/>
        <v>98.664000000000016</v>
      </c>
      <c r="BB86" s="1021">
        <f t="shared" si="168"/>
        <v>99.864000000000019</v>
      </c>
      <c r="BC86" s="1021">
        <f t="shared" si="168"/>
        <v>101.06400000000002</v>
      </c>
      <c r="BD86" s="1023">
        <f t="shared" si="168"/>
        <v>102.26400000000002</v>
      </c>
      <c r="BE86"/>
      <c r="BF86" s="83"/>
      <c r="BG86" s="505">
        <v>0</v>
      </c>
      <c r="BH86" s="1094">
        <f t="shared" ref="BH86:BN86" si="169">BG90</f>
        <v>14.337</v>
      </c>
      <c r="BI86" s="1094">
        <f t="shared" si="169"/>
        <v>4.9749999999999996</v>
      </c>
      <c r="BJ86" s="1094">
        <f t="shared" si="169"/>
        <v>9.2460000000000004</v>
      </c>
      <c r="BK86" s="1094">
        <f t="shared" si="169"/>
        <v>12.343999999999999</v>
      </c>
      <c r="BL86" s="1094">
        <f t="shared" si="169"/>
        <v>13.773999999999999</v>
      </c>
      <c r="BM86" s="110">
        <f t="shared" si="169"/>
        <v>15.291</v>
      </c>
      <c r="BN86" s="110">
        <f t="shared" si="169"/>
        <v>54.149000000000001</v>
      </c>
      <c r="BO86" s="1021">
        <f>AC86</f>
        <v>68.846999999999994</v>
      </c>
      <c r="BP86" s="1021">
        <f>AG86</f>
        <v>77.210999999999999</v>
      </c>
      <c r="BQ86" s="1095">
        <f>+AK86</f>
        <v>78.165999999999997</v>
      </c>
      <c r="BR86" s="1095">
        <f>AO86</f>
        <v>84.364000000000004</v>
      </c>
      <c r="BS86" s="1095">
        <f t="shared" ref="BS86:BZ86" si="170">BR90</f>
        <v>89.063999999999993</v>
      </c>
      <c r="BT86" s="1095">
        <f t="shared" si="170"/>
        <v>93.86399999999999</v>
      </c>
      <c r="BU86" s="1095">
        <f t="shared" si="170"/>
        <v>98.663999999999987</v>
      </c>
      <c r="BV86" s="1095">
        <f t="shared" si="170"/>
        <v>103.46399999999998</v>
      </c>
      <c r="BW86" s="1095">
        <f t="shared" si="170"/>
        <v>108.26399999999998</v>
      </c>
      <c r="BX86" s="1095">
        <f t="shared" si="170"/>
        <v>113.06399999999998</v>
      </c>
      <c r="BY86" s="1095">
        <f t="shared" si="170"/>
        <v>117.86399999999998</v>
      </c>
      <c r="BZ86" s="1096">
        <f t="shared" si="170"/>
        <v>122.66399999999997</v>
      </c>
      <c r="CA86" s="286"/>
      <c r="CB86" s="286"/>
      <c r="CC86" s="286"/>
      <c r="CD86" s="286"/>
      <c r="CE86" s="286"/>
      <c r="CF86" s="286"/>
      <c r="CG86" s="1769"/>
      <c r="CH86" s="1769"/>
      <c r="CI86" s="1769"/>
      <c r="CJ86" s="286"/>
      <c r="CK86" s="286"/>
      <c r="CL86" s="286"/>
      <c r="CM86" s="286"/>
      <c r="CN86" s="286"/>
      <c r="CO86" s="286"/>
      <c r="CP86" s="286"/>
      <c r="CQ86" s="286"/>
      <c r="CR86" s="286"/>
    </row>
    <row r="87" spans="1:97" s="1026" customFormat="1" ht="11.25" customHeight="1">
      <c r="A87" s="83"/>
      <c r="B87"/>
      <c r="C87"/>
      <c r="D87"/>
      <c r="E87"/>
      <c r="F87"/>
      <c r="G87"/>
      <c r="H87" s="83"/>
      <c r="I87" s="656" t="s">
        <v>382</v>
      </c>
      <c r="J87" s="228"/>
      <c r="K87" s="228"/>
      <c r="L87" s="228"/>
      <c r="M87" s="955">
        <f>M90-M86-M88</f>
        <v>0.73000000000000043</v>
      </c>
      <c r="N87" s="955">
        <f t="shared" ref="N87:T87" si="171">N90-N86-N88</f>
        <v>0.43399999999999928</v>
      </c>
      <c r="O87" s="955">
        <f t="shared" si="171"/>
        <v>0.64300000000000068</v>
      </c>
      <c r="P87" s="975">
        <f t="shared" si="171"/>
        <v>0.19599999999999973</v>
      </c>
      <c r="Q87" s="955">
        <f t="shared" si="171"/>
        <v>0.20600000000000129</v>
      </c>
      <c r="R87" s="955">
        <f t="shared" si="171"/>
        <v>0.43199999999999861</v>
      </c>
      <c r="S87" s="955">
        <f t="shared" si="171"/>
        <v>0.5259999999999998</v>
      </c>
      <c r="T87" s="955">
        <f t="shared" si="171"/>
        <v>0.58600000000000207</v>
      </c>
      <c r="U87" s="1020">
        <f t="shared" ref="U87:AH87" si="172">U90-U86-U88</f>
        <v>15.166</v>
      </c>
      <c r="V87" s="955">
        <f t="shared" si="172"/>
        <v>29.623999999999999</v>
      </c>
      <c r="W87" s="955">
        <f t="shared" si="172"/>
        <v>0.39375500000000258</v>
      </c>
      <c r="X87" s="975">
        <f t="shared" si="172"/>
        <v>1.7399409999999971</v>
      </c>
      <c r="Y87" s="1020">
        <f t="shared" si="172"/>
        <v>22.6203</v>
      </c>
      <c r="Z87" s="955">
        <f t="shared" si="172"/>
        <v>0.84613899999999354</v>
      </c>
      <c r="AA87" s="955">
        <f t="shared" si="172"/>
        <v>0.9575240000000077</v>
      </c>
      <c r="AB87" s="975">
        <f t="shared" si="172"/>
        <v>3.3221989999999932</v>
      </c>
      <c r="AC87" s="1020">
        <f t="shared" si="172"/>
        <v>2.3279520000000122</v>
      </c>
      <c r="AD87" s="955">
        <f t="shared" si="172"/>
        <v>5.8898919999999908</v>
      </c>
      <c r="AE87" s="955">
        <f t="shared" si="172"/>
        <v>0.2448920000000091</v>
      </c>
      <c r="AF87" s="955">
        <f t="shared" si="172"/>
        <v>-8.0108000000007965E-2</v>
      </c>
      <c r="AG87" s="1020">
        <f>AG90-AG86-AG88</f>
        <v>0.69385100000000244</v>
      </c>
      <c r="AH87" s="955">
        <f t="shared" si="172"/>
        <v>0.85489199999999432</v>
      </c>
      <c r="AI87" s="955">
        <f t="shared" ref="AI87:AN87" si="173">AI90-AI86-AI88</f>
        <v>-1.0413940000000017</v>
      </c>
      <c r="AJ87" s="955">
        <f t="shared" si="173"/>
        <v>0.4620000000000033</v>
      </c>
      <c r="AK87" s="1020">
        <f t="shared" si="173"/>
        <v>-0.28499999999999659</v>
      </c>
      <c r="AL87" s="955">
        <f t="shared" si="173"/>
        <v>1.3990000000000009</v>
      </c>
      <c r="AM87" s="955">
        <f t="shared" si="173"/>
        <v>3.6370000000000005</v>
      </c>
      <c r="AN87" s="975">
        <f t="shared" si="173"/>
        <v>1.4470000000000027</v>
      </c>
      <c r="AO87" s="1020">
        <f>AO90-AO86-AO88</f>
        <v>0.74599999999999511</v>
      </c>
      <c r="AP87" s="955">
        <f>AP90-AP86-AP88</f>
        <v>-0.25</v>
      </c>
      <c r="AQ87" s="955">
        <f>AQ90-AQ86-AQ88</f>
        <v>2.7580000000000076</v>
      </c>
      <c r="AR87" s="975">
        <f t="shared" ref="AR87" si="174">AR90-AR86-AR88</f>
        <v>1.7345454545454406</v>
      </c>
      <c r="AS87" s="1039">
        <v>1.2</v>
      </c>
      <c r="AT87" s="1040">
        <v>1.2</v>
      </c>
      <c r="AU87" s="1040">
        <v>1.2</v>
      </c>
      <c r="AV87" s="1038">
        <v>1.2</v>
      </c>
      <c r="AW87" s="1039">
        <v>1.2</v>
      </c>
      <c r="AX87" s="1040">
        <v>1.2</v>
      </c>
      <c r="AY87" s="1040">
        <v>1.2</v>
      </c>
      <c r="AZ87" s="1038">
        <v>1.2</v>
      </c>
      <c r="BA87" s="1039">
        <v>1.2</v>
      </c>
      <c r="BB87" s="1040">
        <v>1.2</v>
      </c>
      <c r="BC87" s="1040">
        <v>1.2</v>
      </c>
      <c r="BD87" s="1038">
        <v>1.2</v>
      </c>
      <c r="BE87"/>
      <c r="BF87" s="83"/>
      <c r="BG87" s="505">
        <f t="shared" ref="BG87:BN87" si="175">BG90-BG86-BG88</f>
        <v>14.337</v>
      </c>
      <c r="BH87" s="1094">
        <f t="shared" si="175"/>
        <v>-9.3620000000000001</v>
      </c>
      <c r="BI87" s="1094">
        <f t="shared" si="175"/>
        <v>4.2710000000000008</v>
      </c>
      <c r="BJ87" s="1094">
        <f t="shared" si="175"/>
        <v>3.097999999999999</v>
      </c>
      <c r="BK87" s="1094">
        <f t="shared" si="175"/>
        <v>1.4299999999999997</v>
      </c>
      <c r="BL87" s="1094">
        <f t="shared" si="175"/>
        <v>1.5170000000000012</v>
      </c>
      <c r="BM87" s="110">
        <f t="shared" si="175"/>
        <v>38.875696000000005</v>
      </c>
      <c r="BN87" s="110">
        <f t="shared" si="175"/>
        <v>11.531850000000006</v>
      </c>
      <c r="BO87" s="1021">
        <f>SUM(AC87:AF87)</f>
        <v>8.382628000000004</v>
      </c>
      <c r="BP87" s="1021">
        <f>SUM(AG87:AJ87)</f>
        <v>0.96934899999999846</v>
      </c>
      <c r="BQ87" s="110">
        <f>SUM(AK87:AN87)</f>
        <v>6.1980000000000075</v>
      </c>
      <c r="BR87" s="1095">
        <f>SUM(AO87:AR87)</f>
        <v>4.9885454545454433</v>
      </c>
      <c r="BS87" s="1095">
        <f>SUM(AS87:AV87)</f>
        <v>4.8</v>
      </c>
      <c r="BT87" s="1095">
        <f>SUM(AW87:AZ87)</f>
        <v>4.8</v>
      </c>
      <c r="BU87" s="1095">
        <f>SUM(BA87:BD87)</f>
        <v>4.8</v>
      </c>
      <c r="BV87" s="1102">
        <f>+BU87</f>
        <v>4.8</v>
      </c>
      <c r="BW87" s="1102">
        <f>+BV87</f>
        <v>4.8</v>
      </c>
      <c r="BX87" s="1102">
        <f>+BW87</f>
        <v>4.8</v>
      </c>
      <c r="BY87" s="1102">
        <f>+BX87</f>
        <v>4.8</v>
      </c>
      <c r="BZ87" s="1103">
        <f>+BY87</f>
        <v>4.8</v>
      </c>
      <c r="CA87" s="286"/>
      <c r="CB87" s="286"/>
      <c r="CC87" s="286"/>
      <c r="CD87" s="286"/>
      <c r="CE87" s="286"/>
      <c r="CF87" s="286"/>
      <c r="CG87" s="1769"/>
      <c r="CH87" s="1769"/>
      <c r="CI87" s="1769"/>
      <c r="CJ87" s="286"/>
      <c r="CK87" s="286"/>
      <c r="CL87" s="286"/>
      <c r="CM87" s="286"/>
      <c r="CN87" s="286"/>
      <c r="CO87" s="286"/>
      <c r="CP87" s="286"/>
      <c r="CQ87" s="286"/>
      <c r="CR87" s="286"/>
    </row>
    <row r="88" spans="1:97" s="1026" customFormat="1" ht="11.25" customHeight="1">
      <c r="A88" s="83"/>
      <c r="B88"/>
      <c r="C88"/>
      <c r="D88"/>
      <c r="E88"/>
      <c r="F88"/>
      <c r="G88"/>
      <c r="H88" s="83"/>
      <c r="I88" s="656" t="s">
        <v>383</v>
      </c>
      <c r="J88" s="228"/>
      <c r="K88" s="228"/>
      <c r="L88" s="228"/>
      <c r="M88" s="955">
        <f>M93*-1</f>
        <v>0</v>
      </c>
      <c r="N88" s="955">
        <f t="shared" ref="N88:T88" si="176">N93*-1</f>
        <v>0</v>
      </c>
      <c r="O88" s="955">
        <f t="shared" si="176"/>
        <v>0</v>
      </c>
      <c r="P88" s="975">
        <f t="shared" si="176"/>
        <v>0</v>
      </c>
      <c r="Q88" s="955">
        <f t="shared" si="176"/>
        <v>0</v>
      </c>
      <c r="R88" s="955">
        <f t="shared" si="176"/>
        <v>0</v>
      </c>
      <c r="S88" s="955">
        <f t="shared" si="176"/>
        <v>0</v>
      </c>
      <c r="T88" s="955">
        <f t="shared" si="176"/>
        <v>0</v>
      </c>
      <c r="U88" s="1020">
        <f>U93*-1</f>
        <v>0</v>
      </c>
      <c r="V88" s="955">
        <f>V93*-1</f>
        <v>0</v>
      </c>
      <c r="W88" s="955">
        <f t="shared" ref="W88:AH88" si="177">W93*-1</f>
        <v>-1.3755E-2</v>
      </c>
      <c r="X88" s="975">
        <f t="shared" si="177"/>
        <v>-3.9410000000000001E-3</v>
      </c>
      <c r="Y88" s="1020">
        <f>Y94*-1</f>
        <v>-21.89</v>
      </c>
      <c r="Z88" s="955">
        <f>Z93*-1</f>
        <v>-3.4390000000000002E-3</v>
      </c>
      <c r="AA88" s="955">
        <f t="shared" si="177"/>
        <v>-3.5239999999999998E-3</v>
      </c>
      <c r="AB88" s="975">
        <f t="shared" si="177"/>
        <v>-5.1989999999999996E-3</v>
      </c>
      <c r="AC88" s="1020">
        <f>AC93*-1</f>
        <v>-3.9519999999999998E-3</v>
      </c>
      <c r="AD88" s="955">
        <f t="shared" si="177"/>
        <v>-4.8919999999999996E-3</v>
      </c>
      <c r="AE88" s="955">
        <f t="shared" si="177"/>
        <v>-4.8919999999999996E-3</v>
      </c>
      <c r="AF88" s="955">
        <f t="shared" si="177"/>
        <v>-4.8919999999999996E-3</v>
      </c>
      <c r="AG88" s="1020">
        <f>AG93*-1</f>
        <v>-5.8510000000000003E-3</v>
      </c>
      <c r="AH88" s="955">
        <f t="shared" si="177"/>
        <v>-4.8919999999999996E-3</v>
      </c>
      <c r="AI88" s="955">
        <f t="shared" ref="AI88:AN88" si="178">AI93*-1</f>
        <v>-3.6059999999999998E-3</v>
      </c>
      <c r="AJ88" s="955">
        <f t="shared" si="178"/>
        <v>0</v>
      </c>
      <c r="AK88" s="1020">
        <f t="shared" si="178"/>
        <v>0</v>
      </c>
      <c r="AL88" s="955">
        <f t="shared" si="178"/>
        <v>0</v>
      </c>
      <c r="AM88" s="955">
        <f t="shared" si="178"/>
        <v>0</v>
      </c>
      <c r="AN88" s="955">
        <f t="shared" si="178"/>
        <v>0</v>
      </c>
      <c r="AO88" s="1020">
        <f>AO93*-1</f>
        <v>0</v>
      </c>
      <c r="AP88" s="955">
        <f>AP93*-1</f>
        <v>0</v>
      </c>
      <c r="AQ88" s="955">
        <f>AQ93*-1</f>
        <v>-0.185</v>
      </c>
      <c r="AR88" s="955">
        <f t="shared" ref="AR88" si="179">AR93*-1</f>
        <v>-0.10354545454545452</v>
      </c>
      <c r="AS88" s="1020">
        <f t="shared" ref="AS88:AV88" si="180">AS93*-1</f>
        <v>0</v>
      </c>
      <c r="AT88" s="955">
        <f t="shared" si="180"/>
        <v>0</v>
      </c>
      <c r="AU88" s="955">
        <f t="shared" si="180"/>
        <v>0</v>
      </c>
      <c r="AV88" s="975">
        <f t="shared" si="180"/>
        <v>0</v>
      </c>
      <c r="AW88" s="1020">
        <f t="shared" ref="AW88:BD88" si="181">AW93*-1</f>
        <v>0</v>
      </c>
      <c r="AX88" s="955">
        <f t="shared" si="181"/>
        <v>0</v>
      </c>
      <c r="AY88" s="955">
        <f t="shared" si="181"/>
        <v>0</v>
      </c>
      <c r="AZ88" s="975">
        <f t="shared" si="181"/>
        <v>0</v>
      </c>
      <c r="BA88" s="1020">
        <f t="shared" si="181"/>
        <v>0</v>
      </c>
      <c r="BB88" s="955">
        <f t="shared" si="181"/>
        <v>0</v>
      </c>
      <c r="BC88" s="955">
        <f t="shared" si="181"/>
        <v>0</v>
      </c>
      <c r="BD88" s="975">
        <f t="shared" si="181"/>
        <v>0</v>
      </c>
      <c r="BE88"/>
      <c r="BF88" s="83"/>
      <c r="BG88" s="1098">
        <f t="shared" ref="BG88:BN88" si="182">BG93*-1</f>
        <v>0</v>
      </c>
      <c r="BH88" s="1094">
        <f t="shared" si="182"/>
        <v>0</v>
      </c>
      <c r="BI88" s="1094">
        <f t="shared" si="182"/>
        <v>0</v>
      </c>
      <c r="BJ88" s="1094">
        <f t="shared" si="182"/>
        <v>0</v>
      </c>
      <c r="BK88" s="1094">
        <f t="shared" si="182"/>
        <v>0</v>
      </c>
      <c r="BL88" s="1094">
        <f t="shared" si="182"/>
        <v>0</v>
      </c>
      <c r="BM88" s="110">
        <f t="shared" si="182"/>
        <v>-1.7696E-2</v>
      </c>
      <c r="BN88" s="110">
        <f t="shared" si="182"/>
        <v>-1.585E-2</v>
      </c>
      <c r="BO88" s="1021">
        <f>SUM(AC88:AF88)</f>
        <v>-1.8627999999999999E-2</v>
      </c>
      <c r="BP88" s="1021">
        <f>SUM(AG88:AJ88)</f>
        <v>-1.4348999999999999E-2</v>
      </c>
      <c r="BQ88" s="110">
        <f>SUM(AK88:AN88)</f>
        <v>0</v>
      </c>
      <c r="BR88" s="1095">
        <f>SUM(AO88:AR88)</f>
        <v>-0.28854545454545455</v>
      </c>
      <c r="BS88" s="1095">
        <f>SUM(AS88:AV88)</f>
        <v>0</v>
      </c>
      <c r="BT88" s="1095">
        <f>SUM(AW88:AZ88)</f>
        <v>0</v>
      </c>
      <c r="BU88" s="1095">
        <f>SUM(BA88:BD88)</f>
        <v>0</v>
      </c>
      <c r="BV88" s="1095">
        <f>BV93*-1</f>
        <v>0</v>
      </c>
      <c r="BW88" s="1095">
        <f>BW93*-1</f>
        <v>0</v>
      </c>
      <c r="BX88" s="1095">
        <f>BX93*-1</f>
        <v>0</v>
      </c>
      <c r="BY88" s="1095">
        <f>BY93*-1</f>
        <v>0</v>
      </c>
      <c r="BZ88" s="1096">
        <f>BZ93*-1</f>
        <v>0</v>
      </c>
      <c r="CA88" s="286"/>
      <c r="CB88" s="286"/>
      <c r="CC88" s="286"/>
      <c r="CD88" s="286"/>
      <c r="CE88" s="286"/>
      <c r="CF88" s="286"/>
      <c r="CG88" s="1769"/>
      <c r="CH88" s="1769"/>
      <c r="CI88" s="1769"/>
      <c r="CJ88" s="286"/>
      <c r="CK88" s="286"/>
      <c r="CL88" s="286"/>
      <c r="CM88" s="286"/>
      <c r="CN88" s="286"/>
      <c r="CO88" s="286"/>
      <c r="CP88" s="286"/>
      <c r="CQ88" s="286"/>
      <c r="CR88" s="286"/>
    </row>
    <row r="89" spans="1:97" s="1026" customFormat="1" ht="11.25" customHeight="1">
      <c r="A89" s="83"/>
      <c r="B89"/>
      <c r="C89"/>
      <c r="D89"/>
      <c r="E89"/>
      <c r="F89"/>
      <c r="G89"/>
      <c r="H89" s="83"/>
      <c r="I89" s="1047"/>
      <c r="J89" s="228"/>
      <c r="K89" s="228"/>
      <c r="L89" s="228"/>
      <c r="M89" s="955"/>
      <c r="N89" s="955"/>
      <c r="O89" s="955"/>
      <c r="P89" s="975"/>
      <c r="Q89" s="955"/>
      <c r="R89" s="955"/>
      <c r="S89" s="955"/>
      <c r="T89" s="955"/>
      <c r="U89" s="1020"/>
      <c r="V89" s="955"/>
      <c r="W89" s="955"/>
      <c r="X89" s="975"/>
      <c r="Y89" s="1020"/>
      <c r="Z89" s="955"/>
      <c r="AA89" s="955"/>
      <c r="AB89" s="975"/>
      <c r="AC89" s="1020"/>
      <c r="AD89" s="955"/>
      <c r="AE89" s="955"/>
      <c r="AF89" s="955"/>
      <c r="AG89" s="1020"/>
      <c r="AH89" s="955"/>
      <c r="AI89" s="955"/>
      <c r="AJ89" s="955"/>
      <c r="AK89" s="1020"/>
      <c r="AL89" s="955"/>
      <c r="AM89" s="955"/>
      <c r="AN89" s="975"/>
      <c r="AO89" s="1020"/>
      <c r="AP89" s="955"/>
      <c r="AQ89" s="955"/>
      <c r="AR89" s="975"/>
      <c r="AS89" s="1020"/>
      <c r="AT89" s="955"/>
      <c r="AU89" s="955"/>
      <c r="AV89" s="975"/>
      <c r="AW89" s="1020"/>
      <c r="AX89" s="955"/>
      <c r="AY89" s="955"/>
      <c r="AZ89" s="975"/>
      <c r="BA89" s="1020"/>
      <c r="BB89" s="955"/>
      <c r="BC89" s="955"/>
      <c r="BD89" s="975"/>
      <c r="BE89"/>
      <c r="BF89" s="83"/>
      <c r="BG89" s="505"/>
      <c r="BH89" s="1094"/>
      <c r="BI89" s="1094"/>
      <c r="BJ89" s="1094"/>
      <c r="BK89" s="1094"/>
      <c r="BL89" s="1094"/>
      <c r="BM89" s="110"/>
      <c r="BN89" s="110"/>
      <c r="BO89" s="1021"/>
      <c r="BP89" s="1021"/>
      <c r="BQ89" s="1095"/>
      <c r="BR89" s="1095"/>
      <c r="BS89" s="1095"/>
      <c r="BT89" s="1095"/>
      <c r="BU89" s="1095"/>
      <c r="BV89" s="1095"/>
      <c r="BW89" s="1095"/>
      <c r="BX89" s="1095"/>
      <c r="BY89" s="1095"/>
      <c r="BZ89" s="1096"/>
      <c r="CA89" s="286"/>
      <c r="CB89" s="286"/>
      <c r="CC89" s="286"/>
      <c r="CD89" s="286"/>
      <c r="CE89" s="286"/>
      <c r="CF89" s="286"/>
      <c r="CG89" s="1769"/>
      <c r="CH89" s="1769"/>
      <c r="CI89" s="1769"/>
      <c r="CJ89" s="286"/>
      <c r="CK89" s="286"/>
      <c r="CL89" s="286"/>
      <c r="CM89" s="286"/>
      <c r="CN89" s="286"/>
      <c r="CO89" s="286"/>
      <c r="CP89" s="286"/>
      <c r="CQ89" s="286"/>
      <c r="CR89" s="286"/>
    </row>
    <row r="90" spans="1:97" s="1026" customFormat="1" ht="11.25" customHeight="1">
      <c r="A90" s="83"/>
      <c r="B90"/>
      <c r="C90"/>
      <c r="D90"/>
      <c r="E90"/>
      <c r="F90"/>
      <c r="G90"/>
      <c r="H90" s="83"/>
      <c r="I90" s="1044" t="s">
        <v>384</v>
      </c>
      <c r="J90" s="228"/>
      <c r="K90" s="228"/>
      <c r="L90" s="228"/>
      <c r="M90" s="955">
        <f>M84</f>
        <v>13.074</v>
      </c>
      <c r="N90" s="955">
        <f t="shared" ref="N90:T90" si="183">N84</f>
        <v>13.507999999999999</v>
      </c>
      <c r="O90" s="955">
        <f t="shared" si="183"/>
        <v>14.151</v>
      </c>
      <c r="P90" s="975">
        <f t="shared" si="183"/>
        <v>14.347</v>
      </c>
      <c r="Q90" s="955">
        <f t="shared" si="183"/>
        <v>14.553000000000001</v>
      </c>
      <c r="R90" s="955">
        <f t="shared" si="183"/>
        <v>14.984999999999999</v>
      </c>
      <c r="S90" s="955">
        <f t="shared" si="183"/>
        <v>15.510999999999999</v>
      </c>
      <c r="T90" s="955">
        <f t="shared" si="183"/>
        <v>16.097000000000001</v>
      </c>
      <c r="U90" s="1020">
        <f t="shared" ref="U90:AF90" si="184">U84</f>
        <v>31.263000000000002</v>
      </c>
      <c r="V90" s="955">
        <f t="shared" si="184"/>
        <v>60.887</v>
      </c>
      <c r="W90" s="955">
        <f t="shared" si="184"/>
        <v>61.267000000000003</v>
      </c>
      <c r="X90" s="975">
        <f t="shared" si="184"/>
        <v>63.003</v>
      </c>
      <c r="Y90" s="1020">
        <f t="shared" si="184"/>
        <v>63.7333</v>
      </c>
      <c r="Z90" s="955">
        <f t="shared" si="184"/>
        <v>64.575999999999993</v>
      </c>
      <c r="AA90" s="955">
        <f t="shared" si="184"/>
        <v>65.53</v>
      </c>
      <c r="AB90" s="975">
        <f t="shared" si="184"/>
        <v>68.846999999999994</v>
      </c>
      <c r="AC90" s="1020">
        <f t="shared" si="184"/>
        <v>71.171000000000006</v>
      </c>
      <c r="AD90" s="955">
        <f t="shared" si="184"/>
        <v>77.055999999999997</v>
      </c>
      <c r="AE90" s="955">
        <f t="shared" si="184"/>
        <v>77.296000000000006</v>
      </c>
      <c r="AF90" s="955">
        <f t="shared" si="184"/>
        <v>77.210999999999999</v>
      </c>
      <c r="AG90" s="1754">
        <f t="shared" ref="AG90:AL90" si="185">AG84</f>
        <v>77.899000000000001</v>
      </c>
      <c r="AH90" s="955">
        <f t="shared" si="185"/>
        <v>78.748999999999995</v>
      </c>
      <c r="AI90" s="955">
        <f t="shared" si="185"/>
        <v>77.703999999999994</v>
      </c>
      <c r="AJ90" s="955">
        <f t="shared" si="185"/>
        <v>78.165999999999997</v>
      </c>
      <c r="AK90" s="1020">
        <f t="shared" si="185"/>
        <v>77.881</v>
      </c>
      <c r="AL90" s="955">
        <f t="shared" si="185"/>
        <v>79.28</v>
      </c>
      <c r="AM90" s="955">
        <f t="shared" ref="AM90:AR90" si="186">AM84</f>
        <v>82.917000000000002</v>
      </c>
      <c r="AN90" s="955">
        <f t="shared" si="186"/>
        <v>84.364000000000004</v>
      </c>
      <c r="AO90" s="1020">
        <f t="shared" si="186"/>
        <v>85.11</v>
      </c>
      <c r="AP90" s="955">
        <f t="shared" si="186"/>
        <v>84.86</v>
      </c>
      <c r="AQ90" s="955">
        <f t="shared" si="186"/>
        <v>87.433000000000007</v>
      </c>
      <c r="AR90" s="955">
        <f t="shared" si="186"/>
        <v>89.063999999999993</v>
      </c>
      <c r="AS90" s="1020">
        <f t="shared" ref="AS90:BD90" si="187">SUM(AS86:AS88)</f>
        <v>90.263999999999996</v>
      </c>
      <c r="AT90" s="955">
        <f t="shared" si="187"/>
        <v>91.463999999999999</v>
      </c>
      <c r="AU90" s="955">
        <f t="shared" si="187"/>
        <v>92.664000000000001</v>
      </c>
      <c r="AV90" s="975">
        <f t="shared" si="187"/>
        <v>93.864000000000004</v>
      </c>
      <c r="AW90" s="1020">
        <f t="shared" si="187"/>
        <v>95.064000000000007</v>
      </c>
      <c r="AX90" s="955">
        <f t="shared" si="187"/>
        <v>96.26400000000001</v>
      </c>
      <c r="AY90" s="955">
        <f t="shared" si="187"/>
        <v>97.464000000000013</v>
      </c>
      <c r="AZ90" s="975">
        <f t="shared" si="187"/>
        <v>98.664000000000016</v>
      </c>
      <c r="BA90" s="1020">
        <f t="shared" si="187"/>
        <v>99.864000000000019</v>
      </c>
      <c r="BB90" s="955">
        <f t="shared" si="187"/>
        <v>101.06400000000002</v>
      </c>
      <c r="BC90" s="955">
        <f t="shared" si="187"/>
        <v>102.26400000000002</v>
      </c>
      <c r="BD90" s="975">
        <f t="shared" si="187"/>
        <v>103.46400000000003</v>
      </c>
      <c r="BE90"/>
      <c r="BF90" s="83"/>
      <c r="BG90" s="505">
        <f t="shared" ref="BG90:BN90" si="188">BG84</f>
        <v>14.337</v>
      </c>
      <c r="BH90" s="1094">
        <f t="shared" si="188"/>
        <v>4.9749999999999996</v>
      </c>
      <c r="BI90" s="1094">
        <f t="shared" si="188"/>
        <v>9.2460000000000004</v>
      </c>
      <c r="BJ90" s="1094">
        <f t="shared" si="188"/>
        <v>12.343999999999999</v>
      </c>
      <c r="BK90" s="1094">
        <f t="shared" si="188"/>
        <v>13.773999999999999</v>
      </c>
      <c r="BL90" s="1094">
        <f t="shared" si="188"/>
        <v>15.291</v>
      </c>
      <c r="BM90" s="110">
        <f t="shared" si="188"/>
        <v>54.149000000000001</v>
      </c>
      <c r="BN90" s="110">
        <f t="shared" si="188"/>
        <v>65.665000000000006</v>
      </c>
      <c r="BO90" s="1021">
        <f>AF90</f>
        <v>77.210999999999999</v>
      </c>
      <c r="BP90" s="1021">
        <f>AJ90</f>
        <v>78.165999999999997</v>
      </c>
      <c r="BQ90" s="1095">
        <f>+AN90</f>
        <v>84.364000000000004</v>
      </c>
      <c r="BR90" s="1095">
        <f t="shared" ref="BR90:BZ90" si="189">SUM(BR86:BR88)</f>
        <v>89.063999999999993</v>
      </c>
      <c r="BS90" s="1095">
        <f>SUM(BS86:BS88)</f>
        <v>93.86399999999999</v>
      </c>
      <c r="BT90" s="1095">
        <f t="shared" si="189"/>
        <v>98.663999999999987</v>
      </c>
      <c r="BU90" s="1095">
        <f t="shared" si="189"/>
        <v>103.46399999999998</v>
      </c>
      <c r="BV90" s="1095">
        <f t="shared" si="189"/>
        <v>108.26399999999998</v>
      </c>
      <c r="BW90" s="1095">
        <f t="shared" si="189"/>
        <v>113.06399999999998</v>
      </c>
      <c r="BX90" s="1095">
        <f t="shared" si="189"/>
        <v>117.86399999999998</v>
      </c>
      <c r="BY90" s="1095">
        <f t="shared" si="189"/>
        <v>122.66399999999997</v>
      </c>
      <c r="BZ90" s="1096">
        <f t="shared" si="189"/>
        <v>127.46399999999997</v>
      </c>
      <c r="CA90" s="286"/>
      <c r="CB90" s="286"/>
      <c r="CC90" s="286"/>
      <c r="CD90" s="286"/>
      <c r="CE90" s="286"/>
      <c r="CF90" s="286"/>
      <c r="CG90" s="1769"/>
      <c r="CH90" s="1769"/>
      <c r="CI90" s="1769"/>
      <c r="CJ90" s="286"/>
      <c r="CK90" s="286"/>
      <c r="CL90" s="286"/>
      <c r="CM90" s="286"/>
      <c r="CN90" s="286"/>
      <c r="CO90" s="286"/>
      <c r="CP90" s="286"/>
      <c r="CQ90" s="286"/>
      <c r="CR90" s="286"/>
    </row>
    <row r="91" spans="1:97" s="1026" customFormat="1" ht="11.25" customHeight="1">
      <c r="A91" s="83"/>
      <c r="B91"/>
      <c r="C91"/>
      <c r="D91"/>
      <c r="E91"/>
      <c r="F91"/>
      <c r="G91"/>
      <c r="H91" s="83"/>
      <c r="I91" s="656"/>
      <c r="J91" s="228"/>
      <c r="K91" s="228"/>
      <c r="L91" s="228"/>
      <c r="M91" s="955"/>
      <c r="N91" s="955"/>
      <c r="O91" s="955"/>
      <c r="P91" s="975"/>
      <c r="Q91" s="955"/>
      <c r="R91" s="955"/>
      <c r="S91" s="955"/>
      <c r="T91" s="955"/>
      <c r="U91" s="1020"/>
      <c r="V91" s="955"/>
      <c r="W91" s="1021"/>
      <c r="X91" s="1023"/>
      <c r="Y91" s="1022"/>
      <c r="Z91" s="1021"/>
      <c r="AA91" s="1021"/>
      <c r="AB91" s="1023"/>
      <c r="AC91" s="1022"/>
      <c r="AD91" s="1021"/>
      <c r="AE91" s="1021"/>
      <c r="AF91" s="1021"/>
      <c r="AG91" s="1022"/>
      <c r="AH91" s="1021"/>
      <c r="AI91" s="1021"/>
      <c r="AJ91" s="1021"/>
      <c r="AK91" s="1022"/>
      <c r="AL91" s="1021"/>
      <c r="AM91" s="1021"/>
      <c r="AN91" s="1023"/>
      <c r="AO91" s="1022"/>
      <c r="AP91" s="1021"/>
      <c r="AQ91" s="1021"/>
      <c r="AR91" s="1023"/>
      <c r="AS91" s="1022"/>
      <c r="AT91" s="1021"/>
      <c r="AU91" s="1021"/>
      <c r="AV91" s="1023"/>
      <c r="AW91" s="1022"/>
      <c r="AX91" s="1021"/>
      <c r="AY91" s="1021"/>
      <c r="AZ91" s="1023"/>
      <c r="BA91" s="1022"/>
      <c r="BB91" s="1021"/>
      <c r="BC91" s="1021"/>
      <c r="BD91" s="1023"/>
      <c r="BE91"/>
      <c r="BF91" s="83"/>
      <c r="BG91" s="1020"/>
      <c r="BH91" s="955"/>
      <c r="BI91" s="955"/>
      <c r="BJ91" s="955"/>
      <c r="BK91" s="955"/>
      <c r="BL91" s="1021"/>
      <c r="BM91" s="1021"/>
      <c r="BN91" s="1021"/>
      <c r="BO91" s="1021"/>
      <c r="BP91" s="1021"/>
      <c r="BQ91" s="955"/>
      <c r="BR91" s="955"/>
      <c r="BS91" s="955"/>
      <c r="BT91" s="955"/>
      <c r="BU91" s="955"/>
      <c r="BV91" s="955"/>
      <c r="BW91" s="955"/>
      <c r="BX91" s="955"/>
      <c r="BY91" s="955"/>
      <c r="BZ91" s="975"/>
      <c r="CA91" s="286"/>
      <c r="CB91" s="286"/>
      <c r="CC91" s="286"/>
      <c r="CD91" s="286"/>
      <c r="CE91" s="286"/>
      <c r="CF91" s="286"/>
      <c r="CG91" s="1769"/>
      <c r="CH91" s="1769"/>
      <c r="CI91" s="1769"/>
      <c r="CJ91" s="286"/>
      <c r="CK91" s="286"/>
      <c r="CL91" s="286"/>
      <c r="CM91" s="286"/>
      <c r="CN91" s="286"/>
      <c r="CO91" s="286"/>
      <c r="CP91" s="286"/>
      <c r="CQ91" s="286"/>
      <c r="CR91" s="286"/>
    </row>
    <row r="92" spans="1:97" s="1026" customFormat="1" ht="11.25" customHeight="1">
      <c r="A92" s="83"/>
      <c r="B92"/>
      <c r="C92"/>
      <c r="D92"/>
      <c r="E92"/>
      <c r="F92"/>
      <c r="G92"/>
      <c r="H92" s="83"/>
      <c r="I92" s="994" t="s">
        <v>385</v>
      </c>
      <c r="J92" s="228"/>
      <c r="K92" s="228"/>
      <c r="L92" s="228"/>
      <c r="M92" s="1027">
        <v>0</v>
      </c>
      <c r="N92" s="1027">
        <v>0</v>
      </c>
      <c r="O92" s="1027">
        <v>0</v>
      </c>
      <c r="P92" s="1030">
        <v>0</v>
      </c>
      <c r="Q92" s="1027">
        <v>0</v>
      </c>
      <c r="R92" s="1027">
        <v>0</v>
      </c>
      <c r="S92" s="1027">
        <v>0</v>
      </c>
      <c r="T92" s="1027">
        <v>0</v>
      </c>
      <c r="U92" s="1028">
        <v>0</v>
      </c>
      <c r="V92" s="1027">
        <v>0</v>
      </c>
      <c r="W92" s="1029">
        <f t="shared" ref="W92:AB92" si="190">W93*W94</f>
        <v>0.26836005000000002</v>
      </c>
      <c r="X92" s="1030">
        <f t="shared" si="190"/>
        <v>7.3578470000000007E-2</v>
      </c>
      <c r="Y92" s="1028">
        <f t="shared" si="190"/>
        <v>8.0730319999999994E-2</v>
      </c>
      <c r="Z92" s="1031">
        <f t="shared" si="190"/>
        <v>0.10650583000000001</v>
      </c>
      <c r="AA92" s="1031">
        <f t="shared" si="190"/>
        <v>0.17493135999999998</v>
      </c>
      <c r="AB92" s="1032">
        <f t="shared" si="190"/>
        <v>0.32550938999999995</v>
      </c>
      <c r="AC92" s="1033">
        <f t="shared" ref="AC92:AH92" si="191">AC93*AC94</f>
        <v>0.36109424000000001</v>
      </c>
      <c r="AD92" s="1031">
        <f t="shared" si="191"/>
        <v>0.28070296</v>
      </c>
      <c r="AE92" s="1031">
        <f t="shared" si="191"/>
        <v>0.39282759999999994</v>
      </c>
      <c r="AF92" s="1031">
        <f t="shared" si="191"/>
        <v>0.39282759999999994</v>
      </c>
      <c r="AG92" s="1033">
        <f>AG93*AG94</f>
        <v>0.27786399000000001</v>
      </c>
      <c r="AH92" s="1031">
        <f t="shared" si="191"/>
        <v>0.22713555999999999</v>
      </c>
      <c r="AI92" s="1031">
        <f t="shared" ref="AI92:AN92" si="192">AI93*AI94</f>
        <v>8.658006E-2</v>
      </c>
      <c r="AJ92" s="1031">
        <f t="shared" si="192"/>
        <v>0</v>
      </c>
      <c r="AK92" s="1033">
        <f>AK93*AK94</f>
        <v>0</v>
      </c>
      <c r="AL92" s="1031">
        <f>AL93*AL94</f>
        <v>0</v>
      </c>
      <c r="AM92" s="1031">
        <f>AM93*AM94</f>
        <v>0</v>
      </c>
      <c r="AN92" s="1031">
        <f t="shared" si="192"/>
        <v>0</v>
      </c>
      <c r="AO92" s="1033">
        <f>AO93*AO94</f>
        <v>0</v>
      </c>
      <c r="AP92" s="1031">
        <f>AP93*AP94</f>
        <v>0</v>
      </c>
      <c r="AQ92" s="1031">
        <v>8</v>
      </c>
      <c r="AR92" s="2896">
        <f>12.556-AQ92</f>
        <v>4.5559999999999992</v>
      </c>
      <c r="AS92" s="1033">
        <f t="shared" ref="AS92:AV92" si="193">AS93*AS94</f>
        <v>0</v>
      </c>
      <c r="AT92" s="1031">
        <f t="shared" si="193"/>
        <v>0</v>
      </c>
      <c r="AU92" s="1031">
        <f t="shared" si="193"/>
        <v>0</v>
      </c>
      <c r="AV92" s="1032">
        <f t="shared" si="193"/>
        <v>0</v>
      </c>
      <c r="AW92" s="1033">
        <f t="shared" ref="AW92:BD92" si="194">AW93*AW94</f>
        <v>0</v>
      </c>
      <c r="AX92" s="1031">
        <f t="shared" si="194"/>
        <v>0</v>
      </c>
      <c r="AY92" s="1031">
        <f t="shared" si="194"/>
        <v>0</v>
      </c>
      <c r="AZ92" s="1032">
        <f t="shared" si="194"/>
        <v>0</v>
      </c>
      <c r="BA92" s="1033">
        <f t="shared" si="194"/>
        <v>0</v>
      </c>
      <c r="BB92" s="1031">
        <f t="shared" si="194"/>
        <v>0</v>
      </c>
      <c r="BC92" s="1031">
        <f t="shared" si="194"/>
        <v>0</v>
      </c>
      <c r="BD92" s="1032">
        <f t="shared" si="194"/>
        <v>0</v>
      </c>
      <c r="BE92"/>
      <c r="BF92" s="1029"/>
      <c r="BG92" s="1106">
        <v>0</v>
      </c>
      <c r="BH92" s="1105">
        <v>0</v>
      </c>
      <c r="BI92" s="1105">
        <v>0</v>
      </c>
      <c r="BJ92" s="1105">
        <v>0</v>
      </c>
      <c r="BK92" s="1104">
        <f>SUM(M92:P92)</f>
        <v>0</v>
      </c>
      <c r="BL92" s="1104">
        <f>SUM(Q92:T92)</f>
        <v>0</v>
      </c>
      <c r="BM92" s="1104">
        <f>SUM(U92:X92)</f>
        <v>0.34193852000000002</v>
      </c>
      <c r="BN92" s="1104">
        <f>SUM(Y92:AB92)</f>
        <v>0.68767689999999992</v>
      </c>
      <c r="BO92" s="1104">
        <f>SUM(AC92:AF92)</f>
        <v>1.4274524</v>
      </c>
      <c r="BP92" s="1104">
        <f>SUM(AG92:AJ92)</f>
        <v>0.59157960999999992</v>
      </c>
      <c r="BQ92" s="1104">
        <f>SUM(AK92:AN92)</f>
        <v>0</v>
      </c>
      <c r="BR92" s="1104">
        <f>SUM(AO92:AR92)</f>
        <v>12.555999999999999</v>
      </c>
      <c r="BS92" s="1104">
        <f>SUM(AS92:AV92)</f>
        <v>0</v>
      </c>
      <c r="BT92" s="1104">
        <f>SUM(AW92:AZ92)</f>
        <v>0</v>
      </c>
      <c r="BU92" s="1104">
        <f>SUM(BA92:BD92)</f>
        <v>0</v>
      </c>
      <c r="BV92" s="1104">
        <f>BV93*BV94</f>
        <v>0</v>
      </c>
      <c r="BW92" s="1104">
        <f>BW93*BW94</f>
        <v>0</v>
      </c>
      <c r="BX92" s="1104">
        <f>BX93*BX94</f>
        <v>0</v>
      </c>
      <c r="BY92" s="1104">
        <f>BY93*BY94</f>
        <v>0</v>
      </c>
      <c r="BZ92" s="1107">
        <f>BZ93*BZ94</f>
        <v>0</v>
      </c>
      <c r="CA92" s="1029"/>
      <c r="CB92" s="1029"/>
      <c r="CC92" s="1029"/>
      <c r="CD92" s="1029"/>
      <c r="CE92" s="1029"/>
      <c r="CF92" s="1029"/>
      <c r="CG92" s="1769"/>
      <c r="CH92" s="1769"/>
      <c r="CI92" s="1769"/>
      <c r="CJ92" s="1029"/>
      <c r="CK92" s="1029"/>
      <c r="CL92" s="1029"/>
      <c r="CM92" s="1029"/>
      <c r="CN92" s="1029"/>
      <c r="CO92" s="1029"/>
      <c r="CP92" s="1029"/>
      <c r="CQ92" s="1029"/>
      <c r="CR92" s="1029"/>
      <c r="CS92" s="1034"/>
    </row>
    <row r="93" spans="1:97" s="1026" customFormat="1" ht="11.25" customHeight="1">
      <c r="A93" s="83"/>
      <c r="B93"/>
      <c r="C93"/>
      <c r="D93"/>
      <c r="E93"/>
      <c r="F93"/>
      <c r="G93"/>
      <c r="H93" s="83"/>
      <c r="I93" s="994" t="s">
        <v>383</v>
      </c>
      <c r="J93" s="228"/>
      <c r="K93" s="228"/>
      <c r="L93" s="228"/>
      <c r="M93" s="961">
        <v>0</v>
      </c>
      <c r="N93" s="961">
        <v>0</v>
      </c>
      <c r="O93" s="961">
        <v>0</v>
      </c>
      <c r="P93" s="980">
        <v>0</v>
      </c>
      <c r="Q93" s="961">
        <v>0</v>
      </c>
      <c r="R93" s="961">
        <v>0</v>
      </c>
      <c r="S93" s="961">
        <v>0</v>
      </c>
      <c r="T93" s="961">
        <v>0</v>
      </c>
      <c r="U93" s="1019">
        <v>0</v>
      </c>
      <c r="V93" s="961">
        <v>0</v>
      </c>
      <c r="W93" s="961">
        <f>13755/1000000</f>
        <v>1.3755E-2</v>
      </c>
      <c r="X93" s="980">
        <f>3941/1000000</f>
        <v>3.9410000000000001E-3</v>
      </c>
      <c r="Y93" s="1019">
        <f>3688/1000000</f>
        <v>3.6879999999999999E-3</v>
      </c>
      <c r="Z93" s="961">
        <f>3439/1000000</f>
        <v>3.4390000000000002E-3</v>
      </c>
      <c r="AA93" s="961">
        <f>3524/1000000</f>
        <v>3.5239999999999998E-3</v>
      </c>
      <c r="AB93" s="980">
        <f>5199/1000000</f>
        <v>5.1989999999999996E-3</v>
      </c>
      <c r="AC93" s="1022">
        <f>3952/1000000</f>
        <v>3.9519999999999998E-3</v>
      </c>
      <c r="AD93" s="1021">
        <f>4892/1000000</f>
        <v>4.8919999999999996E-3</v>
      </c>
      <c r="AE93" s="1021">
        <f>4892/1000000</f>
        <v>4.8919999999999996E-3</v>
      </c>
      <c r="AF93" s="1021">
        <f>4892/1000000</f>
        <v>4.8919999999999996E-3</v>
      </c>
      <c r="AG93" s="1019">
        <f>5851/1000000</f>
        <v>5.8510000000000003E-3</v>
      </c>
      <c r="AH93" s="961">
        <f>4892/1000000</f>
        <v>4.8919999999999996E-3</v>
      </c>
      <c r="AI93" s="961">
        <f>3606/1000000</f>
        <v>3.6059999999999998E-3</v>
      </c>
      <c r="AJ93" s="961">
        <v>0</v>
      </c>
      <c r="AK93" s="1019">
        <v>0</v>
      </c>
      <c r="AL93" s="961">
        <v>0</v>
      </c>
      <c r="AM93" s="961">
        <v>0</v>
      </c>
      <c r="AN93" s="961">
        <v>0</v>
      </c>
      <c r="AO93" s="1019">
        <v>0</v>
      </c>
      <c r="AP93" s="961">
        <v>0</v>
      </c>
      <c r="AQ93" s="961">
        <v>0.185</v>
      </c>
      <c r="AR93" s="955">
        <f>AR92/AR94</f>
        <v>0.10354545454545452</v>
      </c>
      <c r="AS93" s="1039">
        <v>0</v>
      </c>
      <c r="AT93" s="1040">
        <v>0</v>
      </c>
      <c r="AU93" s="1040">
        <v>0</v>
      </c>
      <c r="AV93" s="1038">
        <v>0</v>
      </c>
      <c r="AW93" s="1039">
        <v>0</v>
      </c>
      <c r="AX93" s="1040">
        <v>0</v>
      </c>
      <c r="AY93" s="1040">
        <v>0</v>
      </c>
      <c r="AZ93" s="1038">
        <v>0</v>
      </c>
      <c r="BA93" s="1039">
        <v>0</v>
      </c>
      <c r="BB93" s="1040">
        <v>0</v>
      </c>
      <c r="BC93" s="1040">
        <v>0</v>
      </c>
      <c r="BD93" s="1038">
        <v>0</v>
      </c>
      <c r="BE93"/>
      <c r="BF93" s="83"/>
      <c r="BG93" s="1024">
        <v>0</v>
      </c>
      <c r="BH93" s="1025">
        <v>0</v>
      </c>
      <c r="BI93" s="1025">
        <v>0</v>
      </c>
      <c r="BJ93" s="1025">
        <v>0</v>
      </c>
      <c r="BK93" s="1094">
        <f>SUM(M93:P93)</f>
        <v>0</v>
      </c>
      <c r="BL93" s="1094">
        <f>SUM(Q93:T93)</f>
        <v>0</v>
      </c>
      <c r="BM93" s="110">
        <f>SUM(U93:X93)</f>
        <v>1.7696E-2</v>
      </c>
      <c r="BN93" s="110">
        <f>SUM(Y93:AB93)</f>
        <v>1.585E-2</v>
      </c>
      <c r="BO93" s="1094">
        <f>SUM(AC93:AF93)</f>
        <v>1.8627999999999999E-2</v>
      </c>
      <c r="BP93" s="1094">
        <f>SUM(AG93:AJ93)</f>
        <v>1.4348999999999999E-2</v>
      </c>
      <c r="BQ93" s="1095">
        <f>SUM(AK93:AN93)</f>
        <v>0</v>
      </c>
      <c r="BR93" s="1095">
        <f>SUM(AO93:AR93)</f>
        <v>0.28854545454545455</v>
      </c>
      <c r="BS93" s="1095">
        <f>SUM(AS93:AV93)</f>
        <v>0</v>
      </c>
      <c r="BT93" s="1095">
        <f>SUM(AW93:AZ93)</f>
        <v>0</v>
      </c>
      <c r="BU93" s="1095">
        <f>SUM(BA93:BD93)</f>
        <v>0</v>
      </c>
      <c r="BV93" s="1102">
        <v>0</v>
      </c>
      <c r="BW93" s="1102">
        <v>0</v>
      </c>
      <c r="BX93" s="1102">
        <v>0</v>
      </c>
      <c r="BY93" s="1102">
        <v>0</v>
      </c>
      <c r="BZ93" s="1103">
        <v>0</v>
      </c>
      <c r="CA93" s="286"/>
      <c r="CB93" s="286"/>
      <c r="CC93" s="286"/>
      <c r="CD93" s="286"/>
      <c r="CE93" s="286"/>
      <c r="CF93" s="286"/>
      <c r="CG93" s="1769"/>
      <c r="CH93" s="1769"/>
      <c r="CI93" s="1769"/>
      <c r="CJ93" s="286"/>
      <c r="CK93" s="286"/>
      <c r="CL93" s="286"/>
      <c r="CM93" s="286"/>
      <c r="CN93" s="286"/>
      <c r="CO93" s="286"/>
      <c r="CP93" s="286"/>
      <c r="CQ93" s="286"/>
      <c r="CR93" s="286"/>
    </row>
    <row r="94" spans="1:97" s="1034" customFormat="1" ht="11.25" customHeight="1">
      <c r="A94" s="83"/>
      <c r="B94"/>
      <c r="C94"/>
      <c r="D94"/>
      <c r="E94"/>
      <c r="F94"/>
      <c r="G94"/>
      <c r="H94" s="83"/>
      <c r="I94" s="1048" t="s">
        <v>386</v>
      </c>
      <c r="J94" s="228"/>
      <c r="K94" s="228"/>
      <c r="L94" s="228"/>
      <c r="M94" s="1035">
        <v>0</v>
      </c>
      <c r="N94" s="1035">
        <v>0</v>
      </c>
      <c r="O94" s="1035">
        <v>0</v>
      </c>
      <c r="P94" s="1037">
        <v>0</v>
      </c>
      <c r="Q94" s="1035">
        <v>0</v>
      </c>
      <c r="R94" s="1035">
        <v>0</v>
      </c>
      <c r="S94" s="1035">
        <v>0</v>
      </c>
      <c r="T94" s="1035">
        <v>0</v>
      </c>
      <c r="U94" s="1036">
        <v>0</v>
      </c>
      <c r="V94" s="1035">
        <v>0</v>
      </c>
      <c r="W94" s="1035">
        <v>19.510000000000002</v>
      </c>
      <c r="X94" s="1037">
        <v>18.670000000000002</v>
      </c>
      <c r="Y94" s="1019">
        <v>21.89</v>
      </c>
      <c r="Z94" s="1035">
        <v>30.97</v>
      </c>
      <c r="AA94" s="1035">
        <v>49.64</v>
      </c>
      <c r="AB94" s="1037">
        <v>62.61</v>
      </c>
      <c r="AC94" s="1036">
        <v>91.37</v>
      </c>
      <c r="AD94" s="1035">
        <v>57.38</v>
      </c>
      <c r="AE94" s="1035">
        <v>80.3</v>
      </c>
      <c r="AF94" s="1035">
        <v>80.3</v>
      </c>
      <c r="AG94" s="1036">
        <v>47.49</v>
      </c>
      <c r="AH94" s="1035">
        <v>46.43</v>
      </c>
      <c r="AI94" s="1035">
        <v>24.01</v>
      </c>
      <c r="AJ94" s="1035">
        <v>0</v>
      </c>
      <c r="AK94" s="1036">
        <v>0</v>
      </c>
      <c r="AL94" s="1035">
        <v>0</v>
      </c>
      <c r="AM94" s="1035">
        <v>0</v>
      </c>
      <c r="AN94" s="1035">
        <v>0</v>
      </c>
      <c r="AO94" s="1036">
        <v>0</v>
      </c>
      <c r="AP94" s="1035">
        <v>0</v>
      </c>
      <c r="AQ94" s="1027">
        <f>AQ92/AQ93</f>
        <v>43.243243243243242</v>
      </c>
      <c r="AR94" s="1035">
        <v>44</v>
      </c>
      <c r="AS94" s="1042">
        <v>0</v>
      </c>
      <c r="AT94" s="1043">
        <v>0</v>
      </c>
      <c r="AU94" s="1043">
        <v>0</v>
      </c>
      <c r="AV94" s="1041">
        <v>0</v>
      </c>
      <c r="AW94" s="1042">
        <v>0</v>
      </c>
      <c r="AX94" s="1043">
        <v>0</v>
      </c>
      <c r="AY94" s="1043">
        <v>0</v>
      </c>
      <c r="AZ94" s="1041">
        <v>0</v>
      </c>
      <c r="BA94" s="1042">
        <v>0</v>
      </c>
      <c r="BB94" s="1043">
        <v>0</v>
      </c>
      <c r="BC94" s="1043">
        <v>0</v>
      </c>
      <c r="BD94" s="1041">
        <v>0</v>
      </c>
      <c r="BE94"/>
      <c r="BF94" s="1029"/>
      <c r="BG94" s="1100" t="str">
        <f t="shared" ref="BG94:BO94" si="195">IFERROR(BG92/BG93,"NA")</f>
        <v>NA</v>
      </c>
      <c r="BH94" s="1101" t="str">
        <f t="shared" si="195"/>
        <v>NA</v>
      </c>
      <c r="BI94" s="1101" t="str">
        <f t="shared" si="195"/>
        <v>NA</v>
      </c>
      <c r="BJ94" s="1101" t="str">
        <f t="shared" si="195"/>
        <v>NA</v>
      </c>
      <c r="BK94" s="1101" t="str">
        <f t="shared" si="195"/>
        <v>NA</v>
      </c>
      <c r="BL94" s="1101" t="str">
        <f t="shared" si="195"/>
        <v>NA</v>
      </c>
      <c r="BM94" s="1099">
        <f t="shared" si="195"/>
        <v>19.322927215189875</v>
      </c>
      <c r="BN94" s="1099">
        <f t="shared" si="195"/>
        <v>43.386555205047316</v>
      </c>
      <c r="BO94" s="1099">
        <f t="shared" si="195"/>
        <v>76.629396607257888</v>
      </c>
      <c r="BP94" s="1099">
        <f t="shared" ref="BP94:BU94" si="196">IFERROR(BP92/BP93,"NA")</f>
        <v>41.227932957000483</v>
      </c>
      <c r="BQ94" s="1099" t="str">
        <f t="shared" si="196"/>
        <v>NA</v>
      </c>
      <c r="BR94" s="1099">
        <f t="shared" si="196"/>
        <v>43.514807813484559</v>
      </c>
      <c r="BS94" s="1099" t="str">
        <f t="shared" si="196"/>
        <v>NA</v>
      </c>
      <c r="BT94" s="1099" t="str">
        <f t="shared" si="196"/>
        <v>NA</v>
      </c>
      <c r="BU94" s="1099" t="str">
        <f t="shared" si="196"/>
        <v>NA</v>
      </c>
      <c r="BV94" s="1108">
        <v>0</v>
      </c>
      <c r="BW94" s="1108">
        <v>0</v>
      </c>
      <c r="BX94" s="1108">
        <v>0</v>
      </c>
      <c r="BY94" s="1108">
        <v>0</v>
      </c>
      <c r="BZ94" s="1109">
        <v>0</v>
      </c>
      <c r="CA94" s="1029"/>
      <c r="CB94" s="1029"/>
      <c r="CC94" s="1029"/>
      <c r="CD94" s="1029"/>
      <c r="CE94" s="1029"/>
      <c r="CF94" s="1029"/>
      <c r="CG94" s="1769"/>
      <c r="CH94" s="1769"/>
      <c r="CI94" s="1769"/>
      <c r="CJ94" s="1029"/>
      <c r="CK94" s="1029"/>
      <c r="CL94" s="1029"/>
      <c r="CM94" s="1029"/>
      <c r="CN94" s="1029"/>
      <c r="CO94" s="1029"/>
      <c r="CP94" s="1029"/>
      <c r="CQ94" s="1029"/>
      <c r="CR94" s="1029"/>
    </row>
    <row r="95" spans="1:97" ht="11.25" customHeight="1">
      <c r="A95" s="36"/>
      <c r="H95" s="36"/>
      <c r="I95" s="493"/>
      <c r="J95" s="494"/>
      <c r="K95" s="494"/>
      <c r="L95" s="494"/>
      <c r="M95" s="494"/>
      <c r="N95" s="494"/>
      <c r="O95" s="494"/>
      <c r="P95" s="494"/>
      <c r="Q95" s="494"/>
      <c r="R95" s="494"/>
      <c r="S95" s="494"/>
      <c r="T95" s="250"/>
      <c r="U95" s="494"/>
      <c r="V95" s="495"/>
      <c r="W95" s="494"/>
      <c r="X95" s="494"/>
      <c r="Y95" s="494"/>
      <c r="Z95" s="494"/>
      <c r="AA95" s="1018"/>
      <c r="AB95" s="494"/>
      <c r="AC95" s="494"/>
      <c r="AD95" s="494"/>
      <c r="AE95" s="494"/>
      <c r="AF95" s="494"/>
      <c r="AG95" s="494"/>
      <c r="AH95" s="494"/>
      <c r="AI95" s="494"/>
      <c r="AJ95" s="494"/>
      <c r="AK95" s="493"/>
      <c r="AL95" s="494"/>
      <c r="AM95" s="494"/>
      <c r="AN95" s="494"/>
      <c r="AO95" s="494"/>
      <c r="AP95" s="494"/>
      <c r="AQ95" s="494"/>
      <c r="AR95" s="494"/>
      <c r="AS95" s="494"/>
      <c r="AT95" s="494"/>
      <c r="AU95" s="494"/>
      <c r="AV95" s="494"/>
      <c r="AW95" s="494"/>
      <c r="AX95" s="494"/>
      <c r="AY95" s="494"/>
      <c r="AZ95" s="494"/>
      <c r="BA95" s="494"/>
      <c r="BB95" s="494"/>
      <c r="BC95" s="494"/>
      <c r="BD95" s="494"/>
      <c r="BF95" s="1615"/>
      <c r="BG95" s="494"/>
      <c r="BH95" s="494"/>
      <c r="BI95" s="494"/>
      <c r="BJ95" s="494"/>
      <c r="BK95" s="494"/>
      <c r="BL95" s="494"/>
      <c r="BM95" s="494"/>
      <c r="BN95" s="494"/>
      <c r="BO95" s="494"/>
      <c r="BP95" s="494"/>
      <c r="BQ95" s="494"/>
      <c r="BR95" s="494"/>
      <c r="BS95" s="494"/>
      <c r="BT95" s="494"/>
      <c r="BU95" s="494"/>
      <c r="BV95" s="5"/>
      <c r="BW95" s="5"/>
      <c r="BX95" s="5"/>
      <c r="BY95" s="5"/>
      <c r="BZ95" s="5"/>
      <c r="CA95" s="54"/>
      <c r="CB95" s="36"/>
      <c r="CC95" s="36"/>
      <c r="CD95" s="36"/>
      <c r="CE95" s="36"/>
      <c r="CF95" s="36"/>
      <c r="CG95" s="1765"/>
      <c r="CH95" s="1765"/>
      <c r="CI95" s="1765"/>
      <c r="CJ95" s="36"/>
      <c r="CK95" s="36"/>
      <c r="CL95" s="36"/>
      <c r="CM95" s="36"/>
      <c r="CN95" s="36"/>
      <c r="CO95" s="36"/>
      <c r="CP95" s="36"/>
      <c r="CQ95" s="36"/>
      <c r="CR95" s="36"/>
    </row>
    <row r="96" spans="1:97" ht="11.25" customHeight="1">
      <c r="A96" s="36"/>
      <c r="H96" s="36"/>
      <c r="I96" s="1"/>
      <c r="J96" s="1"/>
      <c r="K96" s="1"/>
      <c r="L96" s="1"/>
      <c r="M96" s="1"/>
      <c r="N96" s="1"/>
      <c r="O96" s="1"/>
      <c r="P96" s="1"/>
      <c r="Q96" s="1"/>
      <c r="R96" s="1"/>
      <c r="S96" s="1"/>
      <c r="T96" s="61"/>
      <c r="U96" s="1"/>
      <c r="V96" s="185"/>
      <c r="W96" s="1"/>
      <c r="X96" s="1"/>
      <c r="Y96" s="1"/>
      <c r="Z96" s="1"/>
      <c r="AA96" s="1"/>
      <c r="AB96" s="1"/>
      <c r="AC96" s="1"/>
      <c r="AD96" s="1"/>
      <c r="AE96" s="1"/>
      <c r="AF96" s="1"/>
      <c r="AG96" s="1"/>
      <c r="AH96" s="1"/>
      <c r="AI96" s="1"/>
      <c r="AJ96" s="1"/>
      <c r="AK96" s="1"/>
      <c r="AL96" s="5"/>
      <c r="AM96" s="1"/>
      <c r="AN96" s="1"/>
      <c r="AO96" s="1"/>
      <c r="AP96" s="1"/>
      <c r="AQ96" s="1"/>
      <c r="AR96" s="1"/>
      <c r="AS96" s="1"/>
      <c r="AT96" s="1"/>
      <c r="AU96" s="1"/>
      <c r="AV96" s="1"/>
      <c r="AW96" s="1"/>
      <c r="AX96" s="1"/>
      <c r="AY96" s="1"/>
      <c r="AZ96" s="1"/>
      <c r="BA96" s="1"/>
      <c r="BB96" s="1"/>
      <c r="BC96" s="1"/>
      <c r="BD96" s="1"/>
      <c r="BF96" s="54"/>
      <c r="BG96" s="1"/>
      <c r="BH96" s="1"/>
      <c r="BI96" s="1"/>
      <c r="BJ96" s="1"/>
      <c r="BK96" s="1"/>
      <c r="BL96" s="1"/>
      <c r="BM96" s="1"/>
      <c r="BN96" s="5"/>
      <c r="BO96" s="5"/>
      <c r="BP96" s="1"/>
      <c r="BQ96" s="1"/>
      <c r="BR96" s="1"/>
      <c r="BS96" s="1"/>
      <c r="BT96" s="1"/>
      <c r="BU96" s="1"/>
      <c r="BV96" s="5"/>
      <c r="BW96" s="1"/>
      <c r="BX96" s="1"/>
      <c r="BY96" s="1"/>
      <c r="BZ96" s="1"/>
      <c r="CA96" s="36"/>
      <c r="CB96" s="36"/>
      <c r="CC96" s="36"/>
      <c r="CD96" s="36"/>
      <c r="CE96" s="36"/>
      <c r="CF96" s="36"/>
      <c r="CG96" s="1765"/>
      <c r="CH96" s="1765"/>
      <c r="CI96" s="1765"/>
      <c r="CJ96" s="36"/>
      <c r="CK96" s="36"/>
      <c r="CL96" s="36"/>
      <c r="CM96" s="36"/>
      <c r="CN96" s="36"/>
      <c r="CO96" s="36"/>
      <c r="CP96" s="36"/>
      <c r="CQ96" s="36"/>
      <c r="CR96" s="36"/>
    </row>
    <row r="97" spans="1:96" ht="11.25" customHeight="1">
      <c r="A97" s="36"/>
      <c r="H97" s="36"/>
      <c r="I97" s="1"/>
      <c r="J97" s="1"/>
      <c r="K97" s="1"/>
      <c r="L97" s="1"/>
      <c r="M97" s="1"/>
      <c r="N97" s="1"/>
      <c r="O97" s="1"/>
      <c r="P97" s="1"/>
      <c r="Q97" s="1"/>
      <c r="R97" s="1"/>
      <c r="S97" s="1"/>
      <c r="T97" s="61"/>
      <c r="U97" s="1"/>
      <c r="V97" s="185"/>
      <c r="W97" s="1"/>
      <c r="X97" s="1"/>
      <c r="Y97" s="1"/>
      <c r="Z97" s="1"/>
      <c r="AA97" s="1"/>
      <c r="AB97" s="1"/>
      <c r="AC97" s="1"/>
      <c r="AD97" s="1"/>
      <c r="AE97" s="1"/>
      <c r="AF97" s="1"/>
      <c r="AG97" s="1"/>
      <c r="AH97" s="1"/>
      <c r="AI97" s="1"/>
      <c r="AJ97" s="1"/>
      <c r="AK97" s="1"/>
      <c r="AL97" s="5"/>
      <c r="AM97" s="1"/>
      <c r="AN97" s="1"/>
      <c r="AO97" s="1"/>
      <c r="AP97" s="1"/>
      <c r="AQ97" s="1"/>
      <c r="AR97" s="1"/>
      <c r="AS97" s="1"/>
      <c r="AT97" s="1"/>
      <c r="AU97" s="1"/>
      <c r="AV97" s="1"/>
      <c r="AW97" s="1"/>
      <c r="AX97" s="1"/>
      <c r="AY97" s="1"/>
      <c r="AZ97" s="1"/>
      <c r="BA97" s="1"/>
      <c r="BB97" s="1"/>
      <c r="BC97" s="1"/>
      <c r="BD97" s="1"/>
      <c r="BF97" s="54"/>
      <c r="BG97" s="1"/>
      <c r="BH97" s="1"/>
      <c r="BI97" s="1"/>
      <c r="BJ97" s="1"/>
      <c r="BK97" s="1"/>
      <c r="BL97" s="185"/>
      <c r="BM97" s="1"/>
      <c r="BN97" s="5"/>
      <c r="BO97" s="5"/>
      <c r="BP97" s="1"/>
      <c r="BQ97" s="1"/>
      <c r="BR97" s="1"/>
      <c r="BS97" s="1"/>
      <c r="BT97" s="1"/>
      <c r="BU97" s="1"/>
      <c r="BV97" s="5"/>
      <c r="BW97" s="1"/>
      <c r="BX97" s="1"/>
      <c r="BY97" s="1"/>
      <c r="BZ97" s="1"/>
      <c r="CA97" s="36"/>
      <c r="CB97" s="36"/>
      <c r="CC97" s="36"/>
      <c r="CD97" s="36"/>
      <c r="CE97" s="36"/>
      <c r="CF97" s="36"/>
      <c r="CG97" s="1765"/>
      <c r="CH97" s="1765"/>
      <c r="CI97" s="1765"/>
      <c r="CJ97" s="36"/>
      <c r="CK97" s="36"/>
      <c r="CL97" s="36"/>
      <c r="CM97" s="36"/>
      <c r="CN97" s="36"/>
      <c r="CO97" s="36"/>
      <c r="CP97" s="36"/>
      <c r="CQ97" s="36"/>
      <c r="CR97" s="36"/>
    </row>
    <row r="98" spans="1:96" ht="11.25" customHeight="1" outlineLevel="1">
      <c r="A98" s="36"/>
      <c r="H98" s="36"/>
      <c r="I98" s="452" t="s">
        <v>393</v>
      </c>
      <c r="J98" s="453"/>
      <c r="K98" s="453"/>
      <c r="L98" s="453"/>
      <c r="M98" s="1080"/>
      <c r="N98" s="1081"/>
      <c r="O98" s="1081"/>
      <c r="P98" s="1082"/>
      <c r="Q98" s="1081"/>
      <c r="R98" s="1081"/>
      <c r="S98" s="1081"/>
      <c r="T98" s="1081"/>
      <c r="U98" s="1080"/>
      <c r="V98" s="1081"/>
      <c r="W98" s="1081"/>
      <c r="X98" s="1082"/>
      <c r="Y98" s="1081"/>
      <c r="Z98" s="1081"/>
      <c r="AA98" s="1081"/>
      <c r="AB98" s="1081"/>
      <c r="AC98" s="1080"/>
      <c r="AD98" s="1081"/>
      <c r="AE98" s="1081"/>
      <c r="AF98" s="1082"/>
      <c r="AG98" s="1081"/>
      <c r="AH98" s="1081"/>
      <c r="AI98" s="1081"/>
      <c r="AJ98" s="1082"/>
      <c r="AK98" s="1081"/>
      <c r="AL98" s="1081"/>
      <c r="AM98" s="1081"/>
      <c r="AN98" s="1082"/>
      <c r="AO98" s="1081"/>
      <c r="AP98" s="1081"/>
      <c r="AQ98" s="1081"/>
      <c r="AR98" s="1082"/>
      <c r="AS98" s="1081"/>
      <c r="AT98" s="1081"/>
      <c r="AU98" s="1081"/>
      <c r="AV98" s="1082"/>
      <c r="AW98" s="1081"/>
      <c r="AX98" s="1081"/>
      <c r="AY98" s="1081"/>
      <c r="AZ98" s="1082"/>
      <c r="BA98" s="1081"/>
      <c r="BB98" s="1081"/>
      <c r="BC98" s="1081"/>
      <c r="BD98" s="1082"/>
      <c r="BF98" s="54"/>
      <c r="BG98" s="1080"/>
      <c r="BH98" s="1081"/>
      <c r="BI98" s="1081"/>
      <c r="BJ98" s="1081"/>
      <c r="BK98" s="1081"/>
      <c r="BL98" s="1081"/>
      <c r="BM98" s="1081"/>
      <c r="BN98" s="1081"/>
      <c r="BO98" s="1081"/>
      <c r="BP98" s="1081"/>
      <c r="BQ98" s="1081"/>
      <c r="BR98" s="1081"/>
      <c r="BS98" s="1081"/>
      <c r="BT98" s="1081"/>
      <c r="BU98" s="1081"/>
      <c r="BV98" s="1081"/>
      <c r="BW98" s="1081"/>
      <c r="BX98" s="1081"/>
      <c r="BY98" s="1081"/>
      <c r="BZ98" s="1082"/>
      <c r="CA98" s="36"/>
      <c r="CB98" s="36"/>
      <c r="CC98" s="36"/>
      <c r="CD98" s="36"/>
      <c r="CE98" s="36"/>
      <c r="CF98" s="36"/>
      <c r="CG98" s="1765"/>
      <c r="CH98" s="1765"/>
      <c r="CI98" s="1765"/>
      <c r="CJ98" s="36"/>
      <c r="CK98" s="36"/>
      <c r="CL98" s="36"/>
      <c r="CM98" s="36"/>
      <c r="CN98" s="36"/>
      <c r="CO98" s="36"/>
      <c r="CP98" s="36"/>
      <c r="CQ98" s="36"/>
      <c r="CR98" s="36"/>
    </row>
    <row r="99" spans="1:96" ht="11.25" customHeight="1" outlineLevel="1">
      <c r="A99" s="36"/>
      <c r="H99" s="36"/>
      <c r="I99" s="497"/>
      <c r="J99" s="5"/>
      <c r="K99" s="5"/>
      <c r="L99" s="5"/>
      <c r="M99" s="450"/>
      <c r="N99" s="5"/>
      <c r="O99" s="5"/>
      <c r="P99" s="492"/>
      <c r="Q99" s="336"/>
      <c r="R99" s="5"/>
      <c r="S99" s="5"/>
      <c r="T99" s="5"/>
      <c r="U99" s="450"/>
      <c r="V99" s="5"/>
      <c r="W99" s="5"/>
      <c r="X99" s="492"/>
      <c r="Y99" s="5"/>
      <c r="Z99" s="5"/>
      <c r="AA99" s="5"/>
      <c r="AB99" s="5"/>
      <c r="AC99" s="450"/>
      <c r="AD99" s="5"/>
      <c r="AE99" s="5"/>
      <c r="AF99" s="492"/>
      <c r="AG99" s="5"/>
      <c r="AH99" s="5"/>
      <c r="AI99" s="5"/>
      <c r="AJ99" s="492"/>
      <c r="AK99" s="5"/>
      <c r="AL99" s="5"/>
      <c r="AM99" s="5"/>
      <c r="AN99" s="492"/>
      <c r="AO99" s="5"/>
      <c r="AP99" s="5"/>
      <c r="AQ99" s="5"/>
      <c r="AR99" s="492"/>
      <c r="AS99" s="5"/>
      <c r="AT99" s="5"/>
      <c r="AU99" s="5"/>
      <c r="AV99" s="492"/>
      <c r="AW99" s="5"/>
      <c r="AX99" s="5"/>
      <c r="AY99" s="5"/>
      <c r="AZ99" s="492"/>
      <c r="BA99" s="5"/>
      <c r="BB99" s="5"/>
      <c r="BC99" s="5"/>
      <c r="BD99" s="492"/>
      <c r="BF99" s="54"/>
      <c r="BG99" s="450"/>
      <c r="BH99" s="5"/>
      <c r="BI99" s="5"/>
      <c r="BJ99" s="5"/>
      <c r="BK99" s="5"/>
      <c r="BL99" s="5"/>
      <c r="BM99" s="5"/>
      <c r="BN99" s="5"/>
      <c r="BO99" s="5"/>
      <c r="BP99" s="5"/>
      <c r="BQ99" s="5"/>
      <c r="BR99" s="5"/>
      <c r="BS99" s="5"/>
      <c r="BT99" s="5"/>
      <c r="BU99" s="5"/>
      <c r="BV99" s="5"/>
      <c r="BW99" s="5"/>
      <c r="BX99" s="5"/>
      <c r="BY99" s="5"/>
      <c r="BZ99" s="492"/>
      <c r="CA99" s="36"/>
      <c r="CB99" s="36"/>
      <c r="CC99" s="36"/>
      <c r="CD99" s="36"/>
      <c r="CE99" s="36"/>
      <c r="CF99" s="36"/>
      <c r="CG99" s="1765"/>
      <c r="CH99" s="1765"/>
      <c r="CI99" s="1765"/>
      <c r="CJ99" s="36"/>
      <c r="CK99" s="36"/>
      <c r="CL99" s="36"/>
      <c r="CM99" s="36"/>
      <c r="CN99" s="36"/>
      <c r="CO99" s="36"/>
      <c r="CP99" s="36"/>
      <c r="CQ99" s="36"/>
      <c r="CR99" s="36"/>
    </row>
    <row r="100" spans="1:96" ht="11.25" customHeight="1" outlineLevel="1">
      <c r="A100" s="36"/>
      <c r="H100" s="36"/>
      <c r="I100" s="1053" t="s">
        <v>133</v>
      </c>
      <c r="J100" s="5"/>
      <c r="K100" s="5"/>
      <c r="L100" s="5"/>
      <c r="M100" s="626">
        <f t="shared" ref="M100:AN100" si="197">M49</f>
        <v>-0.86900000000000244</v>
      </c>
      <c r="N100" s="336">
        <f t="shared" si="197"/>
        <v>-1.9660000000000004</v>
      </c>
      <c r="O100" s="336">
        <f t="shared" si="197"/>
        <v>-1.9939999999999984</v>
      </c>
      <c r="P100" s="613">
        <f t="shared" si="197"/>
        <v>0.38800000000000079</v>
      </c>
      <c r="Q100" s="336">
        <f t="shared" si="197"/>
        <v>-0.87999999999999812</v>
      </c>
      <c r="R100" s="336">
        <f t="shared" si="197"/>
        <v>0.64900000000000146</v>
      </c>
      <c r="S100" s="336">
        <f t="shared" si="197"/>
        <v>-0.88200000000000567</v>
      </c>
      <c r="T100" s="336">
        <f t="shared" si="197"/>
        <v>-1.499999999999746E-2</v>
      </c>
      <c r="U100" s="626">
        <f t="shared" si="197"/>
        <v>-0.95100000000000118</v>
      </c>
      <c r="V100" s="336">
        <f t="shared" si="197"/>
        <v>1.5809999999999982</v>
      </c>
      <c r="W100" s="336">
        <f t="shared" si="197"/>
        <v>2.1620000000000053</v>
      </c>
      <c r="X100" s="613">
        <f t="shared" si="197"/>
        <v>1.8049999999999931</v>
      </c>
      <c r="Y100" s="336">
        <f t="shared" si="197"/>
        <v>3.2040000000000064</v>
      </c>
      <c r="Z100" s="336">
        <f t="shared" si="197"/>
        <v>7.7700000000000031</v>
      </c>
      <c r="AA100" s="336">
        <f t="shared" si="197"/>
        <v>8.0499999999999936</v>
      </c>
      <c r="AB100" s="336">
        <f t="shared" si="197"/>
        <v>10.404999999999994</v>
      </c>
      <c r="AC100" s="626">
        <f t="shared" si="197"/>
        <v>8.5129999999999892</v>
      </c>
      <c r="AD100" s="336">
        <f t="shared" si="197"/>
        <v>17.243999999999993</v>
      </c>
      <c r="AE100" s="336">
        <f t="shared" si="197"/>
        <v>20.066000000000003</v>
      </c>
      <c r="AF100" s="613">
        <f t="shared" si="197"/>
        <v>25.099000000000007</v>
      </c>
      <c r="AG100" s="336">
        <f t="shared" si="197"/>
        <v>9.6089999999999982</v>
      </c>
      <c r="AH100" s="336">
        <f t="shared" si="197"/>
        <v>14.419999999999986</v>
      </c>
      <c r="AI100" s="336">
        <f t="shared" si="197"/>
        <v>3.5740000000000007</v>
      </c>
      <c r="AJ100" s="613">
        <f t="shared" si="197"/>
        <v>10.507999999999992</v>
      </c>
      <c r="AK100" s="336">
        <f t="shared" si="197"/>
        <v>13.026000000000018</v>
      </c>
      <c r="AL100" s="336">
        <f t="shared" si="197"/>
        <v>28.102999999999987</v>
      </c>
      <c r="AM100" s="336">
        <f t="shared" si="197"/>
        <v>33.678999999999981</v>
      </c>
      <c r="AN100" s="613">
        <f t="shared" si="197"/>
        <v>45.273999999999987</v>
      </c>
      <c r="AO100" s="336">
        <f>AO49</f>
        <v>29.270999999999979</v>
      </c>
      <c r="AP100" s="336">
        <f t="shared" ref="AP100:AV100" si="198">AP49</f>
        <v>42.891999999999989</v>
      </c>
      <c r="AQ100" s="336">
        <f t="shared" ref="AQ100:AR100" si="199">AQ49</f>
        <v>42.807999999999986</v>
      </c>
      <c r="AR100" s="613">
        <f t="shared" si="199"/>
        <v>41.635999999999981</v>
      </c>
      <c r="AS100" s="336">
        <f t="shared" si="198"/>
        <v>32.778578998900251</v>
      </c>
      <c r="AT100" s="336">
        <f t="shared" si="198"/>
        <v>47.355181476941937</v>
      </c>
      <c r="AU100" s="336">
        <f t="shared" si="198"/>
        <v>49.635846478999952</v>
      </c>
      <c r="AV100" s="613">
        <f t="shared" si="198"/>
        <v>56.817297403847036</v>
      </c>
      <c r="AW100" s="336">
        <f t="shared" ref="AW100:BD100" si="200">AW49</f>
        <v>44.23587203215029</v>
      </c>
      <c r="AX100" s="336">
        <f t="shared" si="200"/>
        <v>59.837247969970896</v>
      </c>
      <c r="AY100" s="336">
        <f t="shared" si="200"/>
        <v>61.798811170069271</v>
      </c>
      <c r="AZ100" s="613">
        <f t="shared" si="200"/>
        <v>68.916133656516024</v>
      </c>
      <c r="BA100" s="336">
        <f t="shared" si="200"/>
        <v>54.812523929800328</v>
      </c>
      <c r="BB100" s="336">
        <f t="shared" si="200"/>
        <v>72.407898988815731</v>
      </c>
      <c r="BC100" s="336">
        <f t="shared" si="200"/>
        <v>74.227759852504732</v>
      </c>
      <c r="BD100" s="613">
        <f t="shared" si="200"/>
        <v>81.869217186111086</v>
      </c>
      <c r="BF100" s="54"/>
      <c r="BG100" s="625"/>
      <c r="BH100" s="327"/>
      <c r="BI100" s="336">
        <f t="shared" ref="BI100:BZ100" si="201">BI49</f>
        <v>-5.3030000000000008</v>
      </c>
      <c r="BJ100" s="336">
        <f t="shared" si="201"/>
        <v>-0.57499999999999618</v>
      </c>
      <c r="BK100" s="336">
        <f t="shared" si="201"/>
        <v>-4.4409999999999989</v>
      </c>
      <c r="BL100" s="336">
        <f t="shared" si="201"/>
        <v>-1.1280000000000001</v>
      </c>
      <c r="BM100" s="336">
        <f t="shared" si="201"/>
        <v>4.5969999999999676</v>
      </c>
      <c r="BN100" s="336">
        <f t="shared" si="201"/>
        <v>29.428999999999988</v>
      </c>
      <c r="BO100" s="336">
        <f t="shared" si="201"/>
        <v>70.921999999999997</v>
      </c>
      <c r="BP100" s="336">
        <f t="shared" si="201"/>
        <v>38.111000000000004</v>
      </c>
      <c r="BQ100" s="336">
        <f t="shared" si="201"/>
        <v>120.08199999999995</v>
      </c>
      <c r="BR100" s="336">
        <f t="shared" si="201"/>
        <v>156.607</v>
      </c>
      <c r="BS100" s="336">
        <f t="shared" si="201"/>
        <v>186.58690435868911</v>
      </c>
      <c r="BT100" s="336">
        <f t="shared" si="201"/>
        <v>234.7880648287065</v>
      </c>
      <c r="BU100" s="336">
        <f t="shared" si="201"/>
        <v>283.31739995723177</v>
      </c>
      <c r="BV100" s="336">
        <f t="shared" si="201"/>
        <v>340.4198054285194</v>
      </c>
      <c r="BW100" s="336">
        <f t="shared" si="201"/>
        <v>402.08232792542259</v>
      </c>
      <c r="BX100" s="336">
        <f t="shared" si="201"/>
        <v>465.55167312314603</v>
      </c>
      <c r="BY100" s="336">
        <f t="shared" si="201"/>
        <v>531.00424102168972</v>
      </c>
      <c r="BZ100" s="613">
        <f t="shared" si="201"/>
        <v>599.90292594584912</v>
      </c>
      <c r="CA100" s="36"/>
      <c r="CB100" s="36"/>
      <c r="CC100" s="36"/>
      <c r="CD100" s="36"/>
      <c r="CE100" s="36"/>
      <c r="CF100" s="36"/>
      <c r="CG100" s="1765"/>
      <c r="CH100" s="1765"/>
      <c r="CI100" s="1765"/>
      <c r="CJ100" s="36"/>
      <c r="CK100" s="36"/>
      <c r="CL100" s="36"/>
      <c r="CM100" s="36"/>
      <c r="CN100" s="36"/>
      <c r="CO100" s="36"/>
      <c r="CP100" s="36"/>
      <c r="CQ100" s="36"/>
      <c r="CR100" s="36"/>
    </row>
    <row r="101" spans="1:96" ht="11.25" customHeight="1" outlineLevel="1">
      <c r="A101" s="36"/>
      <c r="H101" s="36"/>
      <c r="I101" s="994" t="s">
        <v>394</v>
      </c>
      <c r="J101" s="5"/>
      <c r="K101" s="5"/>
      <c r="L101" s="5"/>
      <c r="M101" s="626">
        <f>+'Expense drivers'!M185</f>
        <v>0.253</v>
      </c>
      <c r="N101" s="336">
        <f>+'Expense drivers'!N185</f>
        <v>0.25700000000000001</v>
      </c>
      <c r="O101" s="336">
        <f>+'Expense drivers'!O185</f>
        <v>0.36699999999999999</v>
      </c>
      <c r="P101" s="613">
        <f>+'Expense drivers'!P185</f>
        <v>0.55400000000000005</v>
      </c>
      <c r="Q101" s="336">
        <f>+'Expense drivers'!Q185</f>
        <v>1.1030000000000002</v>
      </c>
      <c r="R101" s="336">
        <f>+'Expense drivers'!R185</f>
        <v>0.94799999999999995</v>
      </c>
      <c r="S101" s="336">
        <f>+'Expense drivers'!S185</f>
        <v>1.46</v>
      </c>
      <c r="T101" s="336">
        <f>+'Expense drivers'!T185</f>
        <v>1.3660000000000001</v>
      </c>
      <c r="U101" s="626">
        <f>+'Expense drivers'!U185</f>
        <v>7.4290000000000003</v>
      </c>
      <c r="V101" s="336">
        <f>+'Expense drivers'!V185</f>
        <v>1.8580000000000001</v>
      </c>
      <c r="W101" s="336">
        <f>+'Expense drivers'!W185</f>
        <v>2.3339999999999996</v>
      </c>
      <c r="X101" s="613">
        <f>+'Expense drivers'!X185</f>
        <v>3.258</v>
      </c>
      <c r="Y101" s="336">
        <f>+'Expense drivers'!Y185</f>
        <v>5.16</v>
      </c>
      <c r="Z101" s="336">
        <f>+'Expense drivers'!Z185</f>
        <v>5.7130000000000001</v>
      </c>
      <c r="AA101" s="336">
        <f>+'Expense drivers'!AA185</f>
        <v>7.0150000000000006</v>
      </c>
      <c r="AB101" s="336">
        <f>+'Expense drivers'!AB185</f>
        <v>8.7889999999999997</v>
      </c>
      <c r="AC101" s="626">
        <f>+'Expense drivers'!AC185</f>
        <v>9.4559999999999995</v>
      </c>
      <c r="AD101" s="336">
        <f>+'Expense drivers'!AD185</f>
        <v>10.083</v>
      </c>
      <c r="AE101" s="336">
        <f>+'Expense drivers'!AE185</f>
        <v>10.917999999999999</v>
      </c>
      <c r="AF101" s="613">
        <f>+'Expense drivers'!AF185</f>
        <v>11.816000000000001</v>
      </c>
      <c r="AG101" s="336">
        <f>+'Expense drivers'!AG185</f>
        <v>13.670999999999999</v>
      </c>
      <c r="AH101" s="336">
        <f>+'Expense drivers'!AH185</f>
        <v>15.516000000000002</v>
      </c>
      <c r="AI101" s="336">
        <f>+'Expense drivers'!AI185</f>
        <v>15.683</v>
      </c>
      <c r="AJ101" s="613">
        <f>+'Expense drivers'!AJ185</f>
        <v>15.972</v>
      </c>
      <c r="AK101" s="336">
        <f>+'Expense drivers'!AK185</f>
        <v>19.11</v>
      </c>
      <c r="AL101" s="336">
        <f>+'Expense drivers'!AL185</f>
        <v>20.725999999999999</v>
      </c>
      <c r="AM101" s="336">
        <f>+'Expense drivers'!AM185</f>
        <v>22.560000000000002</v>
      </c>
      <c r="AN101" s="613">
        <f>+'Expense drivers'!AN185</f>
        <v>23.864000000000004</v>
      </c>
      <c r="AO101" s="336">
        <f>+'Expense drivers'!AO185</f>
        <v>24.334000000000003</v>
      </c>
      <c r="AP101" s="336">
        <f>+'Expense drivers'!AP185</f>
        <v>25.365000000000002</v>
      </c>
      <c r="AQ101" s="336">
        <f>+'Expense drivers'!AQ185</f>
        <v>25.309000000000001</v>
      </c>
      <c r="AR101" s="613">
        <f>+'Expense drivers'!AR185</f>
        <v>25.407</v>
      </c>
      <c r="AS101" s="336">
        <f>+'Expense drivers'!AS185</f>
        <v>26.767400000000006</v>
      </c>
      <c r="AT101" s="336">
        <f>+'Expense drivers'!AT185</f>
        <v>27.901500000000006</v>
      </c>
      <c r="AU101" s="336">
        <f>+'Expense drivers'!AU185</f>
        <v>29.105349999999998</v>
      </c>
      <c r="AV101" s="613">
        <f>+'Expense drivers'!AV185</f>
        <v>30.488399999999999</v>
      </c>
      <c r="AW101" s="336">
        <f>+'Expense drivers'!AW185</f>
        <v>29.979488000000011</v>
      </c>
      <c r="AX101" s="336">
        <f>+'Expense drivers'!AX185</f>
        <v>31.249680000000009</v>
      </c>
      <c r="AY101" s="336">
        <f>+'Expense drivers'!AY185</f>
        <v>32.597991999999998</v>
      </c>
      <c r="AZ101" s="613">
        <f>+'Expense drivers'!AZ185</f>
        <v>34.147008</v>
      </c>
      <c r="BA101" s="336">
        <f>+'Expense drivers'!BA185</f>
        <v>32.977436800000014</v>
      </c>
      <c r="BB101" s="336">
        <f>+'Expense drivers'!BB185</f>
        <v>34.374648000000015</v>
      </c>
      <c r="BC101" s="336">
        <f>+'Expense drivers'!BC185</f>
        <v>35.857791200000001</v>
      </c>
      <c r="BD101" s="613">
        <f>+'Expense drivers'!BD185</f>
        <v>37.561708800000005</v>
      </c>
      <c r="BF101" s="54"/>
      <c r="BG101" s="625"/>
      <c r="BH101" s="327"/>
      <c r="BI101" s="336">
        <f>+'Expense drivers'!BH185</f>
        <v>0.36499999999999999</v>
      </c>
      <c r="BJ101" s="336">
        <f>+'Expense drivers'!BI185</f>
        <v>0.55700000000000005</v>
      </c>
      <c r="BK101" s="336">
        <f>+'Expense drivers'!BJ185</f>
        <v>1.431</v>
      </c>
      <c r="BL101" s="336">
        <f>+'Expense drivers'!BK185</f>
        <v>4.8770000000000007</v>
      </c>
      <c r="BM101" s="336">
        <f>+'Expense drivers'!BL185</f>
        <v>14.879000000000001</v>
      </c>
      <c r="BN101" s="336">
        <f>+'Expense drivers'!BM185</f>
        <v>26.677</v>
      </c>
      <c r="BO101" s="336">
        <f>+'Expense drivers'!BN185</f>
        <v>42.273000000000003</v>
      </c>
      <c r="BP101" s="336">
        <f>+'Expense drivers'!BO185</f>
        <v>60.842000000000006</v>
      </c>
      <c r="BQ101" s="336">
        <f>+'Expense drivers'!BP185</f>
        <v>86.26</v>
      </c>
      <c r="BR101" s="336">
        <f>+'Expense drivers'!BQ185</f>
        <v>100.41500000000001</v>
      </c>
      <c r="BS101" s="336">
        <f>+'Expense drivers'!BR185</f>
        <v>114.26265000000001</v>
      </c>
      <c r="BT101" s="336">
        <f>+'Expense drivers'!BS185</f>
        <v>127.97416800000002</v>
      </c>
      <c r="BU101" s="336">
        <f>+'Expense drivers'!BT185</f>
        <v>140.77158480000003</v>
      </c>
      <c r="BV101" s="336">
        <f>+'Expense drivers'!BU185</f>
        <v>150.62559573600004</v>
      </c>
      <c r="BW101" s="336">
        <f>+'Expense drivers'!BV185</f>
        <v>158.15687552280005</v>
      </c>
      <c r="BX101" s="336">
        <f>+'Expense drivers'!BW185</f>
        <v>166.06471929894005</v>
      </c>
      <c r="BY101" s="336">
        <f>+'Expense drivers'!BX185</f>
        <v>174.36795526388707</v>
      </c>
      <c r="BZ101" s="613">
        <f>+'Expense drivers'!BY185</f>
        <v>183.08635302708143</v>
      </c>
      <c r="CA101" s="36"/>
      <c r="CB101" s="36"/>
      <c r="CC101" s="36"/>
      <c r="CD101" s="36"/>
      <c r="CE101" s="36"/>
      <c r="CF101" s="36"/>
      <c r="CG101" s="1765"/>
      <c r="CH101" s="1765"/>
      <c r="CI101" s="1765"/>
      <c r="CJ101" s="36"/>
      <c r="CK101" s="36"/>
      <c r="CL101" s="36"/>
      <c r="CM101" s="36"/>
      <c r="CN101" s="36"/>
      <c r="CO101" s="36"/>
      <c r="CP101" s="36"/>
      <c r="CQ101" s="36"/>
      <c r="CR101" s="36"/>
    </row>
    <row r="102" spans="1:96" ht="11.25" customHeight="1" outlineLevel="1">
      <c r="A102" s="36"/>
      <c r="H102" s="36"/>
      <c r="I102" s="994" t="s">
        <v>395</v>
      </c>
      <c r="J102" s="5"/>
      <c r="K102" s="5"/>
      <c r="L102" s="5"/>
      <c r="M102" s="893">
        <v>0</v>
      </c>
      <c r="N102" s="389">
        <v>0</v>
      </c>
      <c r="O102" s="389">
        <v>0</v>
      </c>
      <c r="P102" s="894">
        <v>0</v>
      </c>
      <c r="Q102" s="389">
        <v>0</v>
      </c>
      <c r="R102" s="389">
        <v>0</v>
      </c>
      <c r="S102" s="389">
        <v>0</v>
      </c>
      <c r="T102" s="389">
        <v>0</v>
      </c>
      <c r="U102" s="893">
        <v>0</v>
      </c>
      <c r="V102" s="389">
        <v>0</v>
      </c>
      <c r="W102" s="389">
        <v>0</v>
      </c>
      <c r="X102" s="894">
        <v>0</v>
      </c>
      <c r="Y102" s="389">
        <v>0</v>
      </c>
      <c r="Z102" s="389">
        <v>0</v>
      </c>
      <c r="AA102" s="389">
        <v>0</v>
      </c>
      <c r="AB102" s="389">
        <v>0</v>
      </c>
      <c r="AC102" s="893">
        <v>0</v>
      </c>
      <c r="AD102" s="389">
        <v>0</v>
      </c>
      <c r="AE102" s="389">
        <v>0</v>
      </c>
      <c r="AF102" s="894">
        <v>0</v>
      </c>
      <c r="AG102" s="389">
        <v>0</v>
      </c>
      <c r="AH102" s="389">
        <v>0</v>
      </c>
      <c r="AI102" s="389">
        <v>0</v>
      </c>
      <c r="AJ102" s="894">
        <v>0</v>
      </c>
      <c r="AK102" s="389">
        <v>0</v>
      </c>
      <c r="AL102" s="389">
        <v>0</v>
      </c>
      <c r="AM102" s="389">
        <v>0</v>
      </c>
      <c r="AN102" s="894">
        <v>0</v>
      </c>
      <c r="AO102" s="389">
        <v>0</v>
      </c>
      <c r="AP102" s="389">
        <v>0</v>
      </c>
      <c r="AQ102" s="389">
        <v>0</v>
      </c>
      <c r="AR102" s="894">
        <v>0</v>
      </c>
      <c r="AS102" s="389">
        <v>0</v>
      </c>
      <c r="AT102" s="389">
        <v>0</v>
      </c>
      <c r="AU102" s="389">
        <v>0</v>
      </c>
      <c r="AV102" s="894">
        <v>0</v>
      </c>
      <c r="AW102" s="389">
        <v>0</v>
      </c>
      <c r="AX102" s="389">
        <v>0</v>
      </c>
      <c r="AY102" s="389">
        <v>0</v>
      </c>
      <c r="AZ102" s="894">
        <v>0</v>
      </c>
      <c r="BA102" s="389">
        <v>0</v>
      </c>
      <c r="BB102" s="389">
        <v>0</v>
      </c>
      <c r="BC102" s="389">
        <v>0</v>
      </c>
      <c r="BD102" s="894">
        <v>0</v>
      </c>
      <c r="BF102" s="54"/>
      <c r="BG102" s="625"/>
      <c r="BH102" s="327"/>
      <c r="BI102" s="336">
        <v>0</v>
      </c>
      <c r="BJ102" s="336">
        <v>0</v>
      </c>
      <c r="BK102" s="336">
        <f>SUM(M102:P102)</f>
        <v>0</v>
      </c>
      <c r="BL102" s="336">
        <f>SUM(Q102:T102)</f>
        <v>0</v>
      </c>
      <c r="BM102" s="336">
        <f>SUM(U102:X102)</f>
        <v>0</v>
      </c>
      <c r="BN102" s="336">
        <f>SUM(Y102:AB102)</f>
        <v>0</v>
      </c>
      <c r="BO102" s="336">
        <f>SUM(AC102:AF102)</f>
        <v>0</v>
      </c>
      <c r="BP102" s="336">
        <f>SUM(AG102:AJ102)</f>
        <v>0</v>
      </c>
      <c r="BQ102" s="110">
        <f>SUM(AK102:AN102)</f>
        <v>0</v>
      </c>
      <c r="BR102" s="1095">
        <f>SUM(AO102:AR102)</f>
        <v>0</v>
      </c>
      <c r="BS102" s="1095">
        <f>SUM(AS102:AV102)</f>
        <v>0</v>
      </c>
      <c r="BT102" s="1102">
        <v>0</v>
      </c>
      <c r="BU102" s="1102">
        <v>0</v>
      </c>
      <c r="BV102" s="1102">
        <f>+BU102</f>
        <v>0</v>
      </c>
      <c r="BW102" s="1102">
        <f>+BV102</f>
        <v>0</v>
      </c>
      <c r="BX102" s="1102">
        <f>+BW102</f>
        <v>0</v>
      </c>
      <c r="BY102" s="1102">
        <f>+BX102</f>
        <v>0</v>
      </c>
      <c r="BZ102" s="1103">
        <f>+BY102</f>
        <v>0</v>
      </c>
      <c r="CA102" s="36"/>
      <c r="CB102" s="36"/>
      <c r="CC102" s="36"/>
      <c r="CD102" s="36"/>
      <c r="CE102" s="36"/>
      <c r="CF102" s="36"/>
      <c r="CG102" s="1765"/>
      <c r="CH102" s="1765"/>
      <c r="CI102" s="1765"/>
      <c r="CJ102" s="36"/>
      <c r="CK102" s="36"/>
      <c r="CL102" s="36"/>
      <c r="CM102" s="36"/>
      <c r="CN102" s="36"/>
      <c r="CO102" s="36"/>
      <c r="CP102" s="36"/>
      <c r="CQ102" s="36"/>
      <c r="CR102" s="36"/>
    </row>
    <row r="103" spans="1:96" ht="11.25" customHeight="1" outlineLevel="1">
      <c r="A103" s="36"/>
      <c r="H103" s="36"/>
      <c r="I103" s="994" t="s">
        <v>396</v>
      </c>
      <c r="J103" s="5"/>
      <c r="K103" s="5"/>
      <c r="L103" s="5"/>
      <c r="M103" s="893">
        <v>0</v>
      </c>
      <c r="N103" s="389">
        <v>0</v>
      </c>
      <c r="O103" s="389">
        <v>0</v>
      </c>
      <c r="P103" s="894">
        <v>0</v>
      </c>
      <c r="Q103" s="389">
        <v>1.2999999999999999E-2</v>
      </c>
      <c r="R103" s="389">
        <f>0.035-Q103</f>
        <v>2.2000000000000006E-2</v>
      </c>
      <c r="S103" s="389">
        <f>0.03-R103-Q103</f>
        <v>-5.0000000000000062E-3</v>
      </c>
      <c r="T103" s="389">
        <f>0.092-SUM(Q103:S103)</f>
        <v>6.2E-2</v>
      </c>
      <c r="U103" s="893">
        <v>1.7000000000000001E-2</v>
      </c>
      <c r="V103" s="389">
        <f>0.048-U103</f>
        <v>3.1E-2</v>
      </c>
      <c r="W103" s="389">
        <f>0.08-V103-U103</f>
        <v>3.2000000000000001E-2</v>
      </c>
      <c r="X103" s="894">
        <f>0.11-SUM(U103:W103)</f>
        <v>0.03</v>
      </c>
      <c r="Y103" s="389">
        <v>1.2999999999999999E-2</v>
      </c>
      <c r="Z103" s="389">
        <f>0.083-Y103</f>
        <v>7.0000000000000007E-2</v>
      </c>
      <c r="AA103" s="389">
        <f>0.116-Z103-Y103</f>
        <v>3.3000000000000002E-2</v>
      </c>
      <c r="AB103" s="894">
        <f>0.291-SUM(Y103:AA103)</f>
        <v>0.17499999999999999</v>
      </c>
      <c r="AC103" s="893">
        <v>0.115</v>
      </c>
      <c r="AD103" s="389">
        <f>0.26-AC103</f>
        <v>0.14500000000000002</v>
      </c>
      <c r="AE103" s="389">
        <f>0.486-AD103-AC103</f>
        <v>0.22599999999999998</v>
      </c>
      <c r="AF103" s="894">
        <f>1.972-SUM(AC103:AE103)</f>
        <v>1.486</v>
      </c>
      <c r="AG103" s="389">
        <v>0.42199999999999999</v>
      </c>
      <c r="AH103" s="389">
        <f>-0.004-AG103</f>
        <v>-0.42599999999999999</v>
      </c>
      <c r="AI103" s="389">
        <f>0.137-AH103-AG103</f>
        <v>0.14099999999999996</v>
      </c>
      <c r="AJ103" s="894">
        <f>0.352-AI103-AH103-AG103</f>
        <v>0.21500000000000002</v>
      </c>
      <c r="AK103" s="336">
        <f>DCF!$T$72/4</f>
        <v>0</v>
      </c>
      <c r="AL103" s="336">
        <f>DCF!$T$72/4</f>
        <v>0</v>
      </c>
      <c r="AM103" s="336">
        <f>DCF!$T$72/4</f>
        <v>0</v>
      </c>
      <c r="AN103" s="613">
        <f>DCF!$T$72/4</f>
        <v>0</v>
      </c>
      <c r="AO103" s="336">
        <f>DCF!$T$72/4</f>
        <v>0</v>
      </c>
      <c r="AP103" s="336">
        <f>DCF!$T$72/4</f>
        <v>0</v>
      </c>
      <c r="AQ103" s="336">
        <f>DCF!$T$72/4</f>
        <v>0</v>
      </c>
      <c r="AR103" s="613">
        <f>DCF!$T$72/4</f>
        <v>0</v>
      </c>
      <c r="AS103" s="336">
        <f>DCF!$T$72/4</f>
        <v>0</v>
      </c>
      <c r="AT103" s="336">
        <f>DCF!$T$72/4</f>
        <v>0</v>
      </c>
      <c r="AU103" s="336">
        <f>DCF!$T$72/4</f>
        <v>0</v>
      </c>
      <c r="AV103" s="613">
        <f>DCF!$T$72/4</f>
        <v>0</v>
      </c>
      <c r="AW103" s="336">
        <f>DCF!$T$72/4</f>
        <v>0</v>
      </c>
      <c r="AX103" s="336">
        <f>DCF!$T$72/4</f>
        <v>0</v>
      </c>
      <c r="AY103" s="336">
        <f>DCF!$T$72/4</f>
        <v>0</v>
      </c>
      <c r="AZ103" s="613">
        <f>DCF!$T$72/4</f>
        <v>0</v>
      </c>
      <c r="BA103" s="336">
        <f>DCF!$T$72/4</f>
        <v>0</v>
      </c>
      <c r="BB103" s="336">
        <f>DCF!$T$72/4</f>
        <v>0</v>
      </c>
      <c r="BC103" s="336">
        <f>DCF!$T$72/4</f>
        <v>0</v>
      </c>
      <c r="BD103" s="613">
        <f>DCF!$T$72/4</f>
        <v>0</v>
      </c>
      <c r="BF103" s="54"/>
      <c r="BG103" s="625"/>
      <c r="BH103" s="327"/>
      <c r="BI103" s="336">
        <v>0</v>
      </c>
      <c r="BJ103" s="336">
        <v>0</v>
      </c>
      <c r="BK103" s="389">
        <v>21</v>
      </c>
      <c r="BL103" s="336">
        <f>SUM(Q103:T103)</f>
        <v>9.1999999999999998E-2</v>
      </c>
      <c r="BM103" s="336">
        <f>SUM(U103:X103)</f>
        <v>0.11</v>
      </c>
      <c r="BN103" s="336">
        <f>SUM(Y103:AB103)</f>
        <v>0.29099999999999998</v>
      </c>
      <c r="BO103" s="336">
        <f>SUM(AC103:AF103)</f>
        <v>1.972</v>
      </c>
      <c r="BP103" s="336">
        <f>SUM(AG103:AJ103)</f>
        <v>0.35199999999999998</v>
      </c>
      <c r="BQ103" s="336">
        <f>DCF!T72</f>
        <v>0</v>
      </c>
      <c r="BR103" s="336">
        <f>DCF!U72</f>
        <v>5.3396000000000043</v>
      </c>
      <c r="BS103" s="336">
        <f>DCF!V72</f>
        <v>11.7637962326415</v>
      </c>
      <c r="BT103" s="336">
        <f>DCF!W72</f>
        <v>30.932776528258003</v>
      </c>
      <c r="BU103" s="336">
        <f>DCF!X72</f>
        <v>43.704141808020232</v>
      </c>
      <c r="BV103" s="336">
        <f>DCF!Y72</f>
        <v>60.928762860284976</v>
      </c>
      <c r="BW103" s="336">
        <f>DCF!Z72</f>
        <v>81.059481000701339</v>
      </c>
      <c r="BX103" s="336">
        <f>DCF!AA72</f>
        <v>101.81083715656558</v>
      </c>
      <c r="BY103" s="336">
        <f>DCF!AB72</f>
        <v>123.24080173921146</v>
      </c>
      <c r="BZ103" s="613">
        <f>DCF!AC72</f>
        <v>145.93238563262116</v>
      </c>
      <c r="CA103" s="36"/>
      <c r="CB103" s="36"/>
      <c r="CC103" s="36"/>
      <c r="CD103" s="36"/>
      <c r="CE103" s="36"/>
      <c r="CF103" s="36"/>
      <c r="CG103" s="1765"/>
      <c r="CH103" s="1765"/>
      <c r="CI103" s="1765"/>
      <c r="CJ103" s="36"/>
      <c r="CK103" s="36"/>
      <c r="CL103" s="36"/>
      <c r="CM103" s="36"/>
      <c r="CN103" s="36"/>
      <c r="CO103" s="36"/>
      <c r="CP103" s="36"/>
      <c r="CQ103" s="36"/>
      <c r="CR103" s="36"/>
    </row>
    <row r="104" spans="1:96" ht="11.25" customHeight="1" outlineLevel="1">
      <c r="A104" s="36"/>
      <c r="H104" s="36"/>
      <c r="I104" s="994" t="s">
        <v>397</v>
      </c>
      <c r="J104" s="5"/>
      <c r="K104" s="5"/>
      <c r="L104" s="5"/>
      <c r="M104" s="626">
        <f>M258</f>
        <v>0</v>
      </c>
      <c r="N104" s="336">
        <f t="shared" ref="N104:AJ104" si="202">N258</f>
        <v>0</v>
      </c>
      <c r="O104" s="336">
        <f t="shared" si="202"/>
        <v>3.05</v>
      </c>
      <c r="P104" s="613">
        <f t="shared" si="202"/>
        <v>0.52100000000000035</v>
      </c>
      <c r="Q104" s="336">
        <f t="shared" si="202"/>
        <v>0.81299999999999994</v>
      </c>
      <c r="R104" s="336">
        <f t="shared" si="202"/>
        <v>0.66500000000000004</v>
      </c>
      <c r="S104" s="336">
        <f t="shared" si="202"/>
        <v>1.2819999999999998</v>
      </c>
      <c r="T104" s="336">
        <f t="shared" si="202"/>
        <v>2.0380000000000003</v>
      </c>
      <c r="U104" s="626">
        <f t="shared" si="202"/>
        <v>0.36699999999999999</v>
      </c>
      <c r="V104" s="336">
        <f t="shared" si="202"/>
        <v>1.56</v>
      </c>
      <c r="W104" s="336">
        <f t="shared" si="202"/>
        <v>1.5569999999999999</v>
      </c>
      <c r="X104" s="613">
        <f t="shared" si="202"/>
        <v>4.04</v>
      </c>
      <c r="Y104" s="336">
        <f t="shared" si="202"/>
        <v>0.94699999999999995</v>
      </c>
      <c r="Z104" s="336">
        <f t="shared" si="202"/>
        <v>4.0190000000000001</v>
      </c>
      <c r="AA104" s="336">
        <f t="shared" si="202"/>
        <v>4.5810000000000004</v>
      </c>
      <c r="AB104" s="336">
        <f t="shared" si="202"/>
        <v>6.6959999999999988</v>
      </c>
      <c r="AC104" s="626">
        <f t="shared" si="202"/>
        <v>4.2460000000000004</v>
      </c>
      <c r="AD104" s="336">
        <f t="shared" si="202"/>
        <v>2.9659999999999993</v>
      </c>
      <c r="AE104" s="336">
        <f t="shared" si="202"/>
        <v>5.5310000000000006</v>
      </c>
      <c r="AF104" s="613">
        <f t="shared" si="202"/>
        <v>16.310999999999993</v>
      </c>
      <c r="AG104" s="336">
        <f t="shared" si="202"/>
        <v>10.881</v>
      </c>
      <c r="AH104" s="336">
        <f t="shared" si="202"/>
        <v>80.599999999999994</v>
      </c>
      <c r="AI104" s="336">
        <f t="shared" si="202"/>
        <v>7.2990000000000066</v>
      </c>
      <c r="AJ104" s="613">
        <f t="shared" si="202"/>
        <v>5.7689999999999912</v>
      </c>
      <c r="AK104" s="336">
        <f t="shared" ref="AK104:AP104" si="203">AK258</f>
        <v>7.6449999999999996</v>
      </c>
      <c r="AL104" s="336">
        <f t="shared" si="203"/>
        <v>4.7590000000000003</v>
      </c>
      <c r="AM104" s="336">
        <f t="shared" si="203"/>
        <v>5.3169999999999966</v>
      </c>
      <c r="AN104" s="613">
        <f t="shared" si="203"/>
        <v>5.2730000000000032</v>
      </c>
      <c r="AO104" s="336">
        <f>AO258</f>
        <v>2.452</v>
      </c>
      <c r="AP104" s="336">
        <f t="shared" si="203"/>
        <v>1.6269999999999998</v>
      </c>
      <c r="AQ104" s="336">
        <f t="shared" ref="AQ104:AR104" si="204">AQ258</f>
        <v>3.8130000000000006</v>
      </c>
      <c r="AR104" s="613">
        <f t="shared" si="204"/>
        <v>7.7060000000000013</v>
      </c>
      <c r="AS104" s="336">
        <f t="shared" ref="AS104:BD104" si="205">AS258</f>
        <v>5.53</v>
      </c>
      <c r="AT104" s="336">
        <f t="shared" si="205"/>
        <v>5.7850000000000001</v>
      </c>
      <c r="AU104" s="336">
        <f t="shared" si="205"/>
        <v>6.2</v>
      </c>
      <c r="AV104" s="613">
        <f t="shared" si="205"/>
        <v>6.4849999999999994</v>
      </c>
      <c r="AW104" s="336">
        <f t="shared" si="205"/>
        <v>8.5448686221582744</v>
      </c>
      <c r="AX104" s="336">
        <f t="shared" si="205"/>
        <v>8.9000760291316521</v>
      </c>
      <c r="AY104" s="336">
        <f t="shared" si="205"/>
        <v>9.2784378010008872</v>
      </c>
      <c r="AZ104" s="613">
        <f t="shared" si="205"/>
        <v>9.5795222811216245</v>
      </c>
      <c r="BA104" s="336">
        <f t="shared" si="205"/>
        <v>9.758137819601977</v>
      </c>
      <c r="BB104" s="336">
        <f t="shared" si="205"/>
        <v>10.126179322437531</v>
      </c>
      <c r="BC104" s="336">
        <f t="shared" si="205"/>
        <v>10.48715950429558</v>
      </c>
      <c r="BD104" s="613">
        <f t="shared" si="205"/>
        <v>10.74830663157263</v>
      </c>
      <c r="BF104" s="54"/>
      <c r="BG104" s="625"/>
      <c r="BH104" s="327"/>
      <c r="BI104" s="336">
        <f t="shared" ref="BI104:BU104" si="206">BI258</f>
        <v>1.333</v>
      </c>
      <c r="BJ104" s="336">
        <f t="shared" si="206"/>
        <v>0.622</v>
      </c>
      <c r="BK104" s="336">
        <f t="shared" si="206"/>
        <v>3.5710000000000002</v>
      </c>
      <c r="BL104" s="336">
        <f t="shared" si="206"/>
        <v>4.798</v>
      </c>
      <c r="BM104" s="336">
        <f t="shared" si="206"/>
        <v>7.524</v>
      </c>
      <c r="BN104" s="336">
        <f t="shared" si="206"/>
        <v>16.242999999999999</v>
      </c>
      <c r="BO104" s="336">
        <f t="shared" si="206"/>
        <v>29.053999999999995</v>
      </c>
      <c r="BP104" s="336">
        <f t="shared" si="206"/>
        <v>104.54899999999999</v>
      </c>
      <c r="BQ104" s="336">
        <f t="shared" si="206"/>
        <v>22.994</v>
      </c>
      <c r="BR104" s="336">
        <f t="shared" si="206"/>
        <v>15.598000000000003</v>
      </c>
      <c r="BS104" s="336">
        <f t="shared" si="206"/>
        <v>24</v>
      </c>
      <c r="BT104" s="336">
        <f t="shared" si="206"/>
        <v>36.30290473341244</v>
      </c>
      <c r="BU104" s="336">
        <f t="shared" si="206"/>
        <v>41.119783277907715</v>
      </c>
      <c r="BV104" s="336">
        <f>BV258</f>
        <v>46.119783277907715</v>
      </c>
      <c r="BW104" s="336">
        <f>BW258</f>
        <v>51.119783277907715</v>
      </c>
      <c r="BX104" s="336">
        <f>BX258</f>
        <v>56.119783277907715</v>
      </c>
      <c r="BY104" s="336">
        <f>BY258</f>
        <v>61.119783277907715</v>
      </c>
      <c r="BZ104" s="613">
        <f>BZ258</f>
        <v>66.119783277907715</v>
      </c>
      <c r="CA104" s="36"/>
      <c r="CB104" s="36"/>
      <c r="CC104" s="36"/>
      <c r="CD104" s="36"/>
      <c r="CE104" s="36"/>
      <c r="CF104" s="36"/>
      <c r="CG104" s="1765"/>
      <c r="CH104" s="1765"/>
      <c r="CI104" s="1765"/>
      <c r="CJ104" s="36"/>
      <c r="CK104" s="36"/>
      <c r="CL104" s="36"/>
      <c r="CM104" s="36"/>
      <c r="CN104" s="36"/>
      <c r="CO104" s="36"/>
      <c r="CP104" s="36"/>
      <c r="CQ104" s="36"/>
      <c r="CR104" s="36"/>
    </row>
    <row r="105" spans="1:96" ht="11.25" customHeight="1" outlineLevel="1">
      <c r="A105" s="36"/>
      <c r="H105" s="36"/>
      <c r="I105" s="994" t="s">
        <v>398</v>
      </c>
      <c r="J105" s="5"/>
      <c r="K105" s="5"/>
      <c r="L105" s="5"/>
      <c r="M105" s="626">
        <f>+M100-SUM(M101:M104)-M106</f>
        <v>-1.1220000000000026</v>
      </c>
      <c r="N105" s="336">
        <f>+N100-SUM(N101:N104)-N106</f>
        <v>-2.2230000000000003</v>
      </c>
      <c r="O105" s="336">
        <f>+O100-SUM(O101:O104)-O106</f>
        <v>-1.5069999999999988</v>
      </c>
      <c r="P105" s="613">
        <f>+P100-SUM(P101:P104)-P106</f>
        <v>1.2040000000000017</v>
      </c>
      <c r="Q105" s="336">
        <f>+Q100-SUM(Q101:Q104)-Q106</f>
        <v>-2.9919999999999991</v>
      </c>
      <c r="R105" s="336">
        <f t="shared" ref="R105:AN105" si="207">+R100-SUM(R101:R104)-R106</f>
        <v>-9.5999999999999641E-2</v>
      </c>
      <c r="S105" s="336">
        <f t="shared" si="207"/>
        <v>-1.2699999999999987</v>
      </c>
      <c r="T105" s="336">
        <f t="shared" si="207"/>
        <v>-1.988999999999999</v>
      </c>
      <c r="U105" s="626">
        <f t="shared" si="207"/>
        <v>-5.6240000000000023</v>
      </c>
      <c r="V105" s="336">
        <f t="shared" si="207"/>
        <v>-0.6409999999999989</v>
      </c>
      <c r="W105" s="336">
        <f t="shared" si="207"/>
        <v>-0.91599999999999615</v>
      </c>
      <c r="X105" s="613">
        <f t="shared" si="207"/>
        <v>-2.0879999999999965</v>
      </c>
      <c r="Y105" s="336">
        <f t="shared" si="207"/>
        <v>-2.2190000000000065</v>
      </c>
      <c r="Z105" s="336">
        <f t="shared" si="207"/>
        <v>-2.8769999999999989</v>
      </c>
      <c r="AA105" s="336">
        <f t="shared" si="207"/>
        <v>-5.992</v>
      </c>
      <c r="AB105" s="336">
        <f t="shared" si="207"/>
        <v>-7.8830000000000053</v>
      </c>
      <c r="AC105" s="626">
        <f t="shared" si="207"/>
        <v>-10.380999999999998</v>
      </c>
      <c r="AD105" s="336">
        <f t="shared" si="207"/>
        <v>-3.6500000000000039</v>
      </c>
      <c r="AE105" s="336">
        <f t="shared" si="207"/>
        <v>-10.127999999999988</v>
      </c>
      <c r="AF105" s="613">
        <f t="shared" si="207"/>
        <v>-7.0960000000000072</v>
      </c>
      <c r="AG105" s="336">
        <f t="shared" si="207"/>
        <v>-30.119000000000003</v>
      </c>
      <c r="AH105" s="336">
        <f t="shared" si="207"/>
        <v>-18.700000000000017</v>
      </c>
      <c r="AI105" s="336">
        <f t="shared" si="207"/>
        <v>-22.111999999999995</v>
      </c>
      <c r="AJ105" s="613">
        <f t="shared" si="207"/>
        <v>-9.5140000000000171</v>
      </c>
      <c r="AK105" s="336">
        <f t="shared" si="207"/>
        <v>-29.96299999999998</v>
      </c>
      <c r="AL105" s="336">
        <f t="shared" si="207"/>
        <v>-15.254000000000019</v>
      </c>
      <c r="AM105" s="336">
        <f t="shared" si="207"/>
        <v>-24.158000000000015</v>
      </c>
      <c r="AN105" s="613">
        <f t="shared" si="207"/>
        <v>-23.703000000000017</v>
      </c>
      <c r="AO105" s="336">
        <f>+AO100-SUM(AO101:AO104)-AO106</f>
        <v>-36.298000000000016</v>
      </c>
      <c r="AP105" s="336">
        <f t="shared" ref="AP105:AV105" si="208">+AP100-SUM(AP101:AP104)-AP106</f>
        <v>-17.561000000000018</v>
      </c>
      <c r="AQ105" s="336">
        <f t="shared" ref="AQ105:AR105" si="209">+AQ100-SUM(AQ101:AQ104)-AQ106</f>
        <v>-34.139000000000024</v>
      </c>
      <c r="AR105" s="613">
        <f t="shared" si="209"/>
        <v>-23.457000000000065</v>
      </c>
      <c r="AS105" s="336">
        <f t="shared" si="208"/>
        <v>0.19821470383344586</v>
      </c>
      <c r="AT105" s="336">
        <f t="shared" si="208"/>
        <v>-17.602961854822841</v>
      </c>
      <c r="AU105" s="336">
        <f t="shared" si="208"/>
        <v>-62.524170167679053</v>
      </c>
      <c r="AV105" s="613">
        <f t="shared" si="208"/>
        <v>-20.894040343607166</v>
      </c>
      <c r="AW105" s="336">
        <f t="shared" ref="AW105:BD105" si="210">+AW100-SUM(AW101:AW104)-AW106</f>
        <v>-25.920653100271615</v>
      </c>
      <c r="AX105" s="336">
        <f t="shared" si="210"/>
        <v>-21.248943452784324</v>
      </c>
      <c r="AY105" s="336">
        <f t="shared" si="210"/>
        <v>-33.016896447613604</v>
      </c>
      <c r="AZ105" s="613">
        <f t="shared" si="210"/>
        <v>-19.743531833177478</v>
      </c>
      <c r="BA105" s="336">
        <f t="shared" si="210"/>
        <v>-27.700405005628994</v>
      </c>
      <c r="BB105" s="336">
        <f t="shared" si="210"/>
        <v>-21.021561357495536</v>
      </c>
      <c r="BC105" s="336">
        <f t="shared" si="210"/>
        <v>-34.112902429553884</v>
      </c>
      <c r="BD105" s="613">
        <f t="shared" si="210"/>
        <v>-19.249652002246791</v>
      </c>
      <c r="BF105" s="54"/>
      <c r="BG105" s="625"/>
      <c r="BH105" s="327"/>
      <c r="BI105" s="336">
        <f t="shared" ref="BI105:BZ105" si="211">+BI100-SUM(BI101:BI104)-BI106</f>
        <v>-0.93900000000000183</v>
      </c>
      <c r="BJ105" s="336">
        <f t="shared" si="211"/>
        <v>-0.49900000000000144</v>
      </c>
      <c r="BK105" s="336">
        <f t="shared" si="211"/>
        <v>-19.061000000000007</v>
      </c>
      <c r="BL105" s="336">
        <f t="shared" si="211"/>
        <v>-6.3469999999999942</v>
      </c>
      <c r="BM105" s="336">
        <f t="shared" si="211"/>
        <v>-9.2690000000000232</v>
      </c>
      <c r="BN105" s="336">
        <f t="shared" si="211"/>
        <v>-18.971000000000021</v>
      </c>
      <c r="BO105" s="336">
        <f t="shared" si="211"/>
        <v>-31.255000000000003</v>
      </c>
      <c r="BP105" s="336">
        <f t="shared" si="211"/>
        <v>-80.444999999999993</v>
      </c>
      <c r="BQ105" s="336">
        <f t="shared" si="211"/>
        <v>-93.078000000000031</v>
      </c>
      <c r="BR105" s="336">
        <f t="shared" si="211"/>
        <v>-116.79460000000005</v>
      </c>
      <c r="BS105" s="336">
        <f t="shared" si="211"/>
        <v>-112.58675389491717</v>
      </c>
      <c r="BT105" s="336">
        <f t="shared" si="211"/>
        <v>-130.86280136210502</v>
      </c>
      <c r="BU105" s="336">
        <f t="shared" si="211"/>
        <v>-145.78866260294555</v>
      </c>
      <c r="BV105" s="336">
        <f t="shared" si="211"/>
        <v>-154.69690602939218</v>
      </c>
      <c r="BW105" s="336">
        <f t="shared" si="211"/>
        <v>-163.08113681828655</v>
      </c>
      <c r="BX105" s="336">
        <f t="shared" si="211"/>
        <v>-172.14793177845689</v>
      </c>
      <c r="BY105" s="336">
        <f t="shared" si="211"/>
        <v>-181.79866903945344</v>
      </c>
      <c r="BZ105" s="613">
        <f t="shared" si="211"/>
        <v>-191.7646116882263</v>
      </c>
      <c r="CA105" s="36"/>
      <c r="CB105" s="36"/>
      <c r="CC105" s="36"/>
      <c r="CD105" s="36"/>
      <c r="CE105" s="36"/>
      <c r="CF105" s="36"/>
      <c r="CG105" s="1765"/>
      <c r="CH105" s="1765"/>
      <c r="CI105" s="1765"/>
      <c r="CJ105" s="36"/>
      <c r="CK105" s="36"/>
      <c r="CL105" s="36"/>
      <c r="CM105" s="36"/>
      <c r="CN105" s="36"/>
      <c r="CO105" s="36"/>
      <c r="CP105" s="36"/>
      <c r="CQ105" s="36"/>
      <c r="CR105" s="36"/>
    </row>
    <row r="106" spans="1:96" ht="11.25" customHeight="1" outlineLevel="1">
      <c r="A106" s="36"/>
      <c r="H106" s="36"/>
      <c r="I106" s="1054" t="s">
        <v>399</v>
      </c>
      <c r="J106" s="5"/>
      <c r="K106" s="5"/>
      <c r="L106" s="5"/>
      <c r="M106" s="709">
        <f>M216+M220</f>
        <v>0</v>
      </c>
      <c r="N106" s="108">
        <f t="shared" ref="N106:AJ106" si="212">N216+N220</f>
        <v>0</v>
      </c>
      <c r="O106" s="108">
        <f t="shared" si="212"/>
        <v>-3.903999999999999</v>
      </c>
      <c r="P106" s="1055">
        <f t="shared" si="212"/>
        <v>-1.8910000000000013</v>
      </c>
      <c r="Q106" s="108">
        <f t="shared" si="212"/>
        <v>0.18300000000000061</v>
      </c>
      <c r="R106" s="108">
        <f t="shared" si="212"/>
        <v>-0.8899999999999989</v>
      </c>
      <c r="S106" s="108">
        <f t="shared" si="212"/>
        <v>-2.3490000000000064</v>
      </c>
      <c r="T106" s="108">
        <f t="shared" si="212"/>
        <v>-1.4919999999999987</v>
      </c>
      <c r="U106" s="709">
        <f t="shared" si="212"/>
        <v>-3.1399999999999988</v>
      </c>
      <c r="V106" s="108">
        <f t="shared" si="212"/>
        <v>-1.2270000000000028</v>
      </c>
      <c r="W106" s="108">
        <f t="shared" si="212"/>
        <v>-0.8449999999999982</v>
      </c>
      <c r="X106" s="1055">
        <f t="shared" si="212"/>
        <v>-3.4350000000000103</v>
      </c>
      <c r="Y106" s="108">
        <f t="shared" si="212"/>
        <v>-0.69699999999998707</v>
      </c>
      <c r="Z106" s="108">
        <f t="shared" si="212"/>
        <v>0.84500000000000242</v>
      </c>
      <c r="AA106" s="108">
        <f t="shared" si="212"/>
        <v>2.4129999999999923</v>
      </c>
      <c r="AB106" s="108">
        <f t="shared" si="212"/>
        <v>2.6279999999999992</v>
      </c>
      <c r="AC106" s="709">
        <f>AC216+AC220</f>
        <v>5.0769999999999875</v>
      </c>
      <c r="AD106" s="108">
        <f>AD216+AD220</f>
        <v>7.6999999999999975</v>
      </c>
      <c r="AE106" s="108">
        <f t="shared" si="212"/>
        <v>13.518999999999993</v>
      </c>
      <c r="AF106" s="1055">
        <f t="shared" si="212"/>
        <v>2.5820000000000221</v>
      </c>
      <c r="AG106" s="108">
        <f t="shared" si="212"/>
        <v>14.754000000000001</v>
      </c>
      <c r="AH106" s="108">
        <f t="shared" si="212"/>
        <v>-62.569999999999993</v>
      </c>
      <c r="AI106" s="108">
        <f t="shared" si="212"/>
        <v>2.56299999999999</v>
      </c>
      <c r="AJ106" s="1055">
        <f t="shared" si="212"/>
        <v>-1.9339999999999833</v>
      </c>
      <c r="AK106" s="108">
        <f t="shared" ref="AK106:AP106" si="213">AK216+AK220</f>
        <v>16.233999999999998</v>
      </c>
      <c r="AL106" s="108">
        <f t="shared" si="213"/>
        <v>17.872000000000007</v>
      </c>
      <c r="AM106" s="108">
        <f t="shared" si="213"/>
        <v>29.959999999999997</v>
      </c>
      <c r="AN106" s="1055">
        <f t="shared" si="213"/>
        <v>39.839999999999996</v>
      </c>
      <c r="AO106" s="108">
        <f>AO216+AO220</f>
        <v>38.782999999999994</v>
      </c>
      <c r="AP106" s="108">
        <f t="shared" si="213"/>
        <v>33.461000000000006</v>
      </c>
      <c r="AQ106" s="108">
        <f t="shared" ref="AQ106:AR106" si="214">AQ216+AQ220</f>
        <v>47.82500000000001</v>
      </c>
      <c r="AR106" s="1055">
        <f t="shared" si="214"/>
        <v>31.980000000000047</v>
      </c>
      <c r="AS106" s="108">
        <f t="shared" ref="AS106:BD106" si="215">AS216+AS220</f>
        <v>0.28296429506680187</v>
      </c>
      <c r="AT106" s="108">
        <f t="shared" si="215"/>
        <v>31.271643331764768</v>
      </c>
      <c r="AU106" s="108">
        <f t="shared" si="215"/>
        <v>76.854666646679007</v>
      </c>
      <c r="AV106" s="1055">
        <f t="shared" si="215"/>
        <v>40.737937747454204</v>
      </c>
      <c r="AW106" s="108">
        <f t="shared" si="215"/>
        <v>31.632168510263618</v>
      </c>
      <c r="AX106" s="108">
        <f t="shared" si="215"/>
        <v>40.936435393623562</v>
      </c>
      <c r="AY106" s="108">
        <f t="shared" si="215"/>
        <v>52.939277816681994</v>
      </c>
      <c r="AZ106" s="1055">
        <f t="shared" si="215"/>
        <v>44.933135208571876</v>
      </c>
      <c r="BA106" s="108">
        <f t="shared" si="215"/>
        <v>39.777354315827331</v>
      </c>
      <c r="BB106" s="108">
        <f t="shared" si="215"/>
        <v>48.928633023873722</v>
      </c>
      <c r="BC106" s="108">
        <f t="shared" si="215"/>
        <v>61.995711577763032</v>
      </c>
      <c r="BD106" s="1055">
        <f t="shared" si="215"/>
        <v>52.80885375678524</v>
      </c>
      <c r="BF106" s="54"/>
      <c r="BG106" s="1088"/>
      <c r="BH106" s="1085"/>
      <c r="BI106" s="108">
        <f t="shared" ref="BI106:BU106" si="216">BI216+BI220</f>
        <v>-6.0619999999999994</v>
      </c>
      <c r="BJ106" s="108">
        <f t="shared" si="216"/>
        <v>-1.2549999999999948</v>
      </c>
      <c r="BK106" s="108">
        <f t="shared" si="216"/>
        <v>-11.381999999999993</v>
      </c>
      <c r="BL106" s="108">
        <f t="shared" si="216"/>
        <v>-4.5480000000000054</v>
      </c>
      <c r="BM106" s="108">
        <f t="shared" si="216"/>
        <v>-8.6470000000000091</v>
      </c>
      <c r="BN106" s="108">
        <f t="shared" si="216"/>
        <v>5.1890000000000107</v>
      </c>
      <c r="BO106" s="108">
        <f t="shared" si="216"/>
        <v>28.877999999999993</v>
      </c>
      <c r="BP106" s="108">
        <f t="shared" si="216"/>
        <v>-47.186999999999991</v>
      </c>
      <c r="BQ106" s="108">
        <f>BQ216+BQ220</f>
        <v>103.90599999999998</v>
      </c>
      <c r="BR106" s="108">
        <f t="shared" si="216"/>
        <v>152.04900000000004</v>
      </c>
      <c r="BS106" s="108">
        <f t="shared" si="216"/>
        <v>149.14721202096479</v>
      </c>
      <c r="BT106" s="108">
        <f t="shared" si="216"/>
        <v>170.44101692914106</v>
      </c>
      <c r="BU106" s="108">
        <f t="shared" si="216"/>
        <v>203.51055267424934</v>
      </c>
      <c r="BV106" s="108">
        <f>BV216+BV220</f>
        <v>237.44256958371884</v>
      </c>
      <c r="BW106" s="108">
        <f>BW216+BW220</f>
        <v>274.82732494230004</v>
      </c>
      <c r="BX106" s="108">
        <f>BX216+BX220</f>
        <v>313.70426516818964</v>
      </c>
      <c r="BY106" s="108">
        <f>BY216+BY220</f>
        <v>354.07436978013698</v>
      </c>
      <c r="BZ106" s="1055">
        <f>BZ216+BZ220</f>
        <v>396.52901569646508</v>
      </c>
      <c r="CA106" s="36"/>
      <c r="CB106" s="36"/>
      <c r="CC106" s="36"/>
      <c r="CD106" s="36"/>
      <c r="CE106" s="36"/>
      <c r="CF106" s="36"/>
      <c r="CG106" s="1765"/>
      <c r="CH106" s="1765"/>
      <c r="CI106" s="1765"/>
      <c r="CJ106" s="36"/>
      <c r="CK106" s="36"/>
      <c r="CL106" s="36"/>
      <c r="CM106" s="36"/>
      <c r="CN106" s="36"/>
      <c r="CO106" s="36"/>
      <c r="CP106" s="36"/>
      <c r="CQ106" s="36"/>
      <c r="CR106" s="36"/>
    </row>
    <row r="107" spans="1:96" ht="11.25" customHeight="1" outlineLevel="1">
      <c r="A107" s="36"/>
      <c r="H107" s="36"/>
      <c r="I107" s="1045" t="s">
        <v>400</v>
      </c>
      <c r="J107" s="5"/>
      <c r="K107" s="5"/>
      <c r="L107" s="5"/>
      <c r="M107" s="450"/>
      <c r="N107" s="5"/>
      <c r="O107" s="5"/>
      <c r="P107" s="492"/>
      <c r="Q107" s="5"/>
      <c r="R107" s="1087" t="str">
        <f>IFERROR((R106-N106)/ABS(N106),"NM")</f>
        <v>NM</v>
      </c>
      <c r="S107" s="1087">
        <f t="shared" ref="S107:AJ107" si="217">IFERROR((S106-O106)/ABS(O106),"NM")</f>
        <v>0.39830942622950638</v>
      </c>
      <c r="T107" s="1087">
        <f t="shared" si="217"/>
        <v>0.21099947117927151</v>
      </c>
      <c r="U107" s="1091">
        <f t="shared" si="217"/>
        <v>-18.158469945355129</v>
      </c>
      <c r="V107" s="1087">
        <f t="shared" si="217"/>
        <v>-0.37865168539326322</v>
      </c>
      <c r="W107" s="1087">
        <f t="shared" si="217"/>
        <v>0.6402724563644121</v>
      </c>
      <c r="X107" s="1092">
        <f t="shared" si="217"/>
        <v>-1.3022788203753441</v>
      </c>
      <c r="Y107" s="1087">
        <f t="shared" si="217"/>
        <v>0.77802547770701036</v>
      </c>
      <c r="Z107" s="1087">
        <f t="shared" si="217"/>
        <v>1.6886715566422175</v>
      </c>
      <c r="AA107" s="1087">
        <f t="shared" si="217"/>
        <v>3.8556213017751446</v>
      </c>
      <c r="AB107" s="1087">
        <f t="shared" si="217"/>
        <v>1.7650655021834036</v>
      </c>
      <c r="AC107" s="1091">
        <f t="shared" si="217"/>
        <v>8.2840746054520533</v>
      </c>
      <c r="AD107" s="1087">
        <f t="shared" si="217"/>
        <v>8.1124260355029296</v>
      </c>
      <c r="AE107" s="1087">
        <f t="shared" si="217"/>
        <v>4.6025694156651626</v>
      </c>
      <c r="AF107" s="1092">
        <f t="shared" si="217"/>
        <v>-1.750380517502937E-2</v>
      </c>
      <c r="AG107" s="1087">
        <f t="shared" si="217"/>
        <v>1.9060468780776123</v>
      </c>
      <c r="AH107" s="1087">
        <f t="shared" si="217"/>
        <v>-9.1259740259740276</v>
      </c>
      <c r="AI107" s="1087">
        <f t="shared" si="217"/>
        <v>-0.81041497152156294</v>
      </c>
      <c r="AJ107" s="1092">
        <f t="shared" si="217"/>
        <v>-1.7490317583268655</v>
      </c>
      <c r="AK107" s="1087">
        <f t="shared" ref="AK107:AR107" si="218">IFERROR((AK106-AG106)/ABS(AG106),"NM")</f>
        <v>0.10031177985630993</v>
      </c>
      <c r="AL107" s="1087">
        <f t="shared" si="218"/>
        <v>1.2856320920568964</v>
      </c>
      <c r="AM107" s="1087">
        <f t="shared" si="218"/>
        <v>10.689426453374995</v>
      </c>
      <c r="AN107" s="1092">
        <f t="shared" si="218"/>
        <v>21.599793174767498</v>
      </c>
      <c r="AO107" s="1087">
        <f t="shared" si="218"/>
        <v>1.3889983984230627</v>
      </c>
      <c r="AP107" s="1087">
        <f t="shared" si="218"/>
        <v>0.87225828111011594</v>
      </c>
      <c r="AQ107" s="1087">
        <f t="shared" si="218"/>
        <v>0.59629506008010724</v>
      </c>
      <c r="AR107" s="1092">
        <f t="shared" si="218"/>
        <v>-0.19728915662650479</v>
      </c>
      <c r="AS107" s="1087">
        <f t="shared" ref="AS107:BD107" si="219">IFERROR((AS106-AO106)/ABS(AO106),"NM")</f>
        <v>-0.99270390905636996</v>
      </c>
      <c r="AT107" s="1087">
        <f t="shared" si="219"/>
        <v>-6.5430102753511174E-2</v>
      </c>
      <c r="AU107" s="1087">
        <f t="shared" si="219"/>
        <v>0.60699773437906934</v>
      </c>
      <c r="AV107" s="1092">
        <f t="shared" si="219"/>
        <v>0.27385671505485132</v>
      </c>
      <c r="AW107" s="1087">
        <f t="shared" si="219"/>
        <v>110.78855092935288</v>
      </c>
      <c r="AX107" s="1087">
        <f t="shared" si="219"/>
        <v>0.30905929564761941</v>
      </c>
      <c r="AY107" s="1087">
        <f t="shared" si="219"/>
        <v>-0.3111767947669633</v>
      </c>
      <c r="AZ107" s="1092">
        <f t="shared" si="219"/>
        <v>0.10298011369954137</v>
      </c>
      <c r="BA107" s="1087">
        <f t="shared" si="219"/>
        <v>0.25749691498136978</v>
      </c>
      <c r="BB107" s="1087">
        <f t="shared" si="219"/>
        <v>0.19523433228617312</v>
      </c>
      <c r="BC107" s="1087">
        <f t="shared" si="219"/>
        <v>0.17107210628073991</v>
      </c>
      <c r="BD107" s="1092">
        <f t="shared" si="219"/>
        <v>0.17527640819309925</v>
      </c>
      <c r="BF107" s="54"/>
      <c r="BG107" s="1089"/>
      <c r="BH107" s="1086"/>
      <c r="BI107" s="5"/>
      <c r="BJ107" s="1065">
        <f>(BJ106-BI106)/ABS(BI106)</f>
        <v>0.79297261629825233</v>
      </c>
      <c r="BK107" s="1065">
        <f t="shared" ref="BK107:BZ107" si="220">(BK106-BJ106)/ABS(BJ106)</f>
        <v>-8.0693227091633783</v>
      </c>
      <c r="BL107" s="1065">
        <f t="shared" si="220"/>
        <v>0.6004217185028986</v>
      </c>
      <c r="BM107" s="1065">
        <f t="shared" si="220"/>
        <v>-0.90127528583992944</v>
      </c>
      <c r="BN107" s="1065">
        <f t="shared" si="220"/>
        <v>1.6000925176361751</v>
      </c>
      <c r="BO107" s="1065">
        <f t="shared" si="220"/>
        <v>4.5652341491616752</v>
      </c>
      <c r="BP107" s="1065">
        <f t="shared" si="220"/>
        <v>-2.6340120506960316</v>
      </c>
      <c r="BQ107" s="1065">
        <f t="shared" si="220"/>
        <v>3.2020047894547226</v>
      </c>
      <c r="BR107" s="1065">
        <f t="shared" si="220"/>
        <v>0.46333224260389261</v>
      </c>
      <c r="BS107" s="1065">
        <f t="shared" si="220"/>
        <v>-1.9084558129519084E-2</v>
      </c>
      <c r="BT107" s="1065">
        <f t="shared" si="220"/>
        <v>0.14277038517611124</v>
      </c>
      <c r="BU107" s="1065">
        <f t="shared" si="220"/>
        <v>0.19402334215628725</v>
      </c>
      <c r="BV107" s="1065">
        <f t="shared" si="220"/>
        <v>0.16673345172317933</v>
      </c>
      <c r="BW107" s="1065">
        <f t="shared" si="220"/>
        <v>0.15744756900215348</v>
      </c>
      <c r="BX107" s="1065">
        <f t="shared" si="220"/>
        <v>0.14145951547595134</v>
      </c>
      <c r="BY107" s="1065">
        <f t="shared" si="220"/>
        <v>0.12868841483651261</v>
      </c>
      <c r="BZ107" s="1066">
        <f t="shared" si="220"/>
        <v>0.11990318853830166</v>
      </c>
      <c r="CA107" s="36"/>
      <c r="CB107" s="36"/>
      <c r="CC107" s="36"/>
      <c r="CD107" s="36"/>
      <c r="CE107" s="36"/>
      <c r="CF107" s="36"/>
      <c r="CG107" s="1765"/>
      <c r="CH107" s="1765"/>
      <c r="CI107" s="1765"/>
      <c r="CJ107" s="36"/>
      <c r="CK107" s="36"/>
      <c r="CL107" s="36"/>
      <c r="CM107" s="36"/>
      <c r="CN107" s="36"/>
      <c r="CO107" s="36"/>
      <c r="CP107" s="36"/>
      <c r="CQ107" s="36"/>
      <c r="CR107" s="36"/>
    </row>
    <row r="108" spans="1:96" ht="11.25" customHeight="1" outlineLevel="1">
      <c r="A108" s="36"/>
      <c r="H108" s="36"/>
      <c r="I108" s="1046"/>
      <c r="J108" s="5"/>
      <c r="K108" s="5"/>
      <c r="L108" s="5"/>
      <c r="M108" s="450"/>
      <c r="N108" s="5"/>
      <c r="O108" s="5"/>
      <c r="P108" s="492"/>
      <c r="Q108" s="5"/>
      <c r="R108" s="5"/>
      <c r="S108" s="5"/>
      <c r="T108" s="5"/>
      <c r="U108" s="450"/>
      <c r="V108" s="5"/>
      <c r="W108" s="5"/>
      <c r="X108" s="492"/>
      <c r="Y108" s="5"/>
      <c r="Z108" s="5"/>
      <c r="AA108" s="5"/>
      <c r="AB108" s="5"/>
      <c r="AC108" s="450"/>
      <c r="AD108" s="5"/>
      <c r="AE108" s="5"/>
      <c r="AF108" s="492"/>
      <c r="AG108" s="5"/>
      <c r="AH108" s="5"/>
      <c r="AI108" s="5"/>
      <c r="AJ108" s="492"/>
      <c r="AK108" s="5"/>
      <c r="AL108" s="5"/>
      <c r="AM108" s="5"/>
      <c r="AN108" s="492"/>
      <c r="AO108" s="5"/>
      <c r="AP108" s="5"/>
      <c r="AQ108" s="5"/>
      <c r="AR108" s="492"/>
      <c r="AS108" s="5"/>
      <c r="AT108" s="5"/>
      <c r="AU108" s="5"/>
      <c r="AV108" s="492"/>
      <c r="AW108" s="5"/>
      <c r="AX108" s="5"/>
      <c r="AY108" s="5"/>
      <c r="AZ108" s="492"/>
      <c r="BA108" s="5"/>
      <c r="BB108" s="5"/>
      <c r="BC108" s="5"/>
      <c r="BD108" s="492"/>
      <c r="BF108" s="54"/>
      <c r="BG108" s="1089"/>
      <c r="BH108" s="1086"/>
      <c r="BI108" s="5"/>
      <c r="BJ108" s="5"/>
      <c r="BK108" s="5"/>
      <c r="BL108" s="5"/>
      <c r="BM108" s="5"/>
      <c r="BN108" s="5"/>
      <c r="BO108" s="5"/>
      <c r="BP108" s="5"/>
      <c r="BQ108" s="5"/>
      <c r="BR108" s="5"/>
      <c r="BS108" s="5"/>
      <c r="BT108" s="5"/>
      <c r="BU108" s="5"/>
      <c r="BV108" s="5"/>
      <c r="BW108" s="5"/>
      <c r="BX108" s="5"/>
      <c r="BY108" s="5"/>
      <c r="BZ108" s="492"/>
      <c r="CA108" s="36"/>
      <c r="CB108" s="36"/>
      <c r="CC108" s="36"/>
      <c r="CD108" s="36"/>
      <c r="CE108" s="36"/>
      <c r="CF108" s="36"/>
      <c r="CG108" s="1765"/>
      <c r="CH108" s="1765"/>
      <c r="CI108" s="1765"/>
      <c r="CJ108" s="36"/>
      <c r="CK108" s="36"/>
      <c r="CL108" s="36"/>
      <c r="CM108" s="36"/>
      <c r="CN108" s="36"/>
      <c r="CO108" s="36"/>
      <c r="CP108" s="36"/>
      <c r="CQ108" s="36"/>
      <c r="CR108" s="36"/>
    </row>
    <row r="109" spans="1:96" ht="11.25" customHeight="1" outlineLevel="1">
      <c r="A109" s="36"/>
      <c r="H109" s="36"/>
      <c r="I109" s="1054" t="s">
        <v>401</v>
      </c>
      <c r="J109" s="5"/>
      <c r="K109" s="5"/>
      <c r="L109" s="5"/>
      <c r="M109" s="1058">
        <f>+M106/M100</f>
        <v>0</v>
      </c>
      <c r="N109" s="1056">
        <f t="shared" ref="N109:AJ109" si="221">+N106/N100</f>
        <v>0</v>
      </c>
      <c r="O109" s="1056">
        <f t="shared" si="221"/>
        <v>1.9578736208625889</v>
      </c>
      <c r="P109" s="1057">
        <f t="shared" si="221"/>
        <v>-4.8737113402061789</v>
      </c>
      <c r="Q109" s="1056">
        <f t="shared" si="221"/>
        <v>-0.20795454545454659</v>
      </c>
      <c r="R109" s="1056">
        <f t="shared" si="221"/>
        <v>-1.371340523882892</v>
      </c>
      <c r="S109" s="1056">
        <f t="shared" si="221"/>
        <v>2.6632653061224389</v>
      </c>
      <c r="T109" s="1056">
        <f t="shared" si="221"/>
        <v>99.466666666683423</v>
      </c>
      <c r="U109" s="1058">
        <f t="shared" si="221"/>
        <v>3.3017875920084068</v>
      </c>
      <c r="V109" s="1056">
        <f t="shared" si="221"/>
        <v>-0.77609108159393048</v>
      </c>
      <c r="W109" s="1056">
        <f t="shared" si="221"/>
        <v>-0.39084181313598343</v>
      </c>
      <c r="X109" s="1057">
        <f t="shared" si="221"/>
        <v>-1.9030470914127553</v>
      </c>
      <c r="Y109" s="1056">
        <f t="shared" si="221"/>
        <v>-0.21754057428214285</v>
      </c>
      <c r="Z109" s="1056">
        <f t="shared" si="221"/>
        <v>0.10875160875160902</v>
      </c>
      <c r="AA109" s="1056">
        <f t="shared" si="221"/>
        <v>0.29975155279503035</v>
      </c>
      <c r="AB109" s="1056">
        <f t="shared" si="221"/>
        <v>0.25257087938491118</v>
      </c>
      <c r="AC109" s="1058">
        <f t="shared" si="221"/>
        <v>0.59638200399389096</v>
      </c>
      <c r="AD109" s="1056">
        <f t="shared" si="221"/>
        <v>0.44653212711667833</v>
      </c>
      <c r="AE109" s="1056">
        <f t="shared" si="221"/>
        <v>0.67372670188378303</v>
      </c>
      <c r="AF109" s="1057">
        <f t="shared" si="221"/>
        <v>0.10287262440734775</v>
      </c>
      <c r="AG109" s="1056">
        <f t="shared" si="221"/>
        <v>1.5354355291913835</v>
      </c>
      <c r="AH109" s="1056">
        <f t="shared" si="221"/>
        <v>-4.3391123439667165</v>
      </c>
      <c r="AI109" s="1056">
        <f t="shared" si="221"/>
        <v>0.7171236709569081</v>
      </c>
      <c r="AJ109" s="1057">
        <f t="shared" si="221"/>
        <v>-0.18405024743052767</v>
      </c>
      <c r="AK109" s="1056">
        <f t="shared" ref="AK109:AP109" si="222">+AK106/AK100</f>
        <v>1.2462766774144001</v>
      </c>
      <c r="AL109" s="1056">
        <f t="shared" si="222"/>
        <v>0.6359463402483726</v>
      </c>
      <c r="AM109" s="1056">
        <f t="shared" si="222"/>
        <v>0.88957510614923285</v>
      </c>
      <c r="AN109" s="1057">
        <f t="shared" si="222"/>
        <v>0.87997526173963003</v>
      </c>
      <c r="AO109" s="1056">
        <f>+AO106/AO100</f>
        <v>1.3249632742304678</v>
      </c>
      <c r="AP109" s="1056">
        <f t="shared" si="222"/>
        <v>0.78012216730392647</v>
      </c>
      <c r="AQ109" s="1056">
        <f t="shared" ref="AQ109:AR109" si="223">+AQ106/AQ100</f>
        <v>1.1171977200523273</v>
      </c>
      <c r="AR109" s="1057">
        <f t="shared" si="223"/>
        <v>0.76808531078874198</v>
      </c>
      <c r="AS109" s="1056">
        <f t="shared" ref="AS109:BD109" si="224">+AS106/AS100</f>
        <v>8.6325979865172174E-3</v>
      </c>
      <c r="AT109" s="1056">
        <f t="shared" si="224"/>
        <v>0.66036371008295003</v>
      </c>
      <c r="AU109" s="1056">
        <f t="shared" si="224"/>
        <v>1.5483702222988149</v>
      </c>
      <c r="AV109" s="1057">
        <f t="shared" si="224"/>
        <v>0.71699886493889942</v>
      </c>
      <c r="AW109" s="1056">
        <f t="shared" si="224"/>
        <v>0.71507957359297902</v>
      </c>
      <c r="AX109" s="1056">
        <f t="shared" si="224"/>
        <v>0.68412964804409726</v>
      </c>
      <c r="AY109" s="1056">
        <f t="shared" si="224"/>
        <v>0.85663909732816712</v>
      </c>
      <c r="AZ109" s="1057">
        <f t="shared" si="224"/>
        <v>0.6519973310244378</v>
      </c>
      <c r="BA109" s="1056">
        <f t="shared" si="224"/>
        <v>0.72569827958973598</v>
      </c>
      <c r="BB109" s="1056">
        <f t="shared" si="224"/>
        <v>0.67573612419594353</v>
      </c>
      <c r="BC109" s="1056">
        <f t="shared" si="224"/>
        <v>0.83520924922094431</v>
      </c>
      <c r="BD109" s="1057">
        <f t="shared" si="224"/>
        <v>0.64503919265205989</v>
      </c>
      <c r="BF109" s="54"/>
      <c r="BG109" s="1084"/>
      <c r="BH109" s="1079"/>
      <c r="BI109" s="1056">
        <f t="shared" ref="BI109:BU109" si="225">+BI106/BI100</f>
        <v>1.143126532151612</v>
      </c>
      <c r="BJ109" s="1056">
        <f t="shared" si="225"/>
        <v>2.1826086956521795</v>
      </c>
      <c r="BK109" s="1056">
        <f t="shared" si="225"/>
        <v>2.5629362756135996</v>
      </c>
      <c r="BL109" s="1056">
        <f t="shared" si="225"/>
        <v>4.0319148936170253</v>
      </c>
      <c r="BM109" s="1056">
        <f t="shared" si="225"/>
        <v>-1.8810093539264889</v>
      </c>
      <c r="BN109" s="1056">
        <f t="shared" si="225"/>
        <v>0.1763226749125017</v>
      </c>
      <c r="BO109" s="1056">
        <f t="shared" si="225"/>
        <v>0.40717971856405621</v>
      </c>
      <c r="BP109" s="1056">
        <f t="shared" si="225"/>
        <v>-1.2381464668993201</v>
      </c>
      <c r="BQ109" s="1056">
        <f t="shared" si="225"/>
        <v>0.86529205043220481</v>
      </c>
      <c r="BR109" s="1056">
        <f t="shared" si="225"/>
        <v>0.97089529842216526</v>
      </c>
      <c r="BS109" s="1056">
        <f t="shared" si="225"/>
        <v>0.79934447990116508</v>
      </c>
      <c r="BT109" s="1056">
        <f t="shared" si="225"/>
        <v>0.7259356094335081</v>
      </c>
      <c r="BU109" s="1056">
        <f t="shared" si="225"/>
        <v>0.71831293349780245</v>
      </c>
      <c r="BV109" s="1056">
        <f>+BV106/BV100</f>
        <v>0.697499281173805</v>
      </c>
      <c r="BW109" s="1056">
        <f>+BW106/BW100</f>
        <v>0.68351008202796326</v>
      </c>
      <c r="BX109" s="1056">
        <f>+BX106/BX100</f>
        <v>0.67383339654588614</v>
      </c>
      <c r="BY109" s="1056">
        <f>+BY106/BY100</f>
        <v>0.66680139710159914</v>
      </c>
      <c r="BZ109" s="1057">
        <f>+BZ106/BZ100</f>
        <v>0.6609886342382304</v>
      </c>
      <c r="CA109" s="36"/>
      <c r="CB109" s="36"/>
      <c r="CC109" s="36"/>
      <c r="CD109" s="36"/>
      <c r="CE109" s="36"/>
      <c r="CF109" s="36"/>
      <c r="CG109" s="1765"/>
      <c r="CH109" s="1765"/>
      <c r="CI109" s="1765"/>
      <c r="CJ109" s="36"/>
      <c r="CK109" s="36"/>
      <c r="CL109" s="36"/>
      <c r="CM109" s="36"/>
      <c r="CN109" s="36"/>
      <c r="CO109" s="36"/>
      <c r="CP109" s="36"/>
      <c r="CQ109" s="36"/>
      <c r="CR109" s="36"/>
    </row>
    <row r="110" spans="1:96" ht="11.25" customHeight="1" outlineLevel="1">
      <c r="A110" s="36"/>
      <c r="H110" s="36"/>
      <c r="I110" s="1054" t="s">
        <v>402</v>
      </c>
      <c r="J110" s="5"/>
      <c r="K110" s="5"/>
      <c r="L110" s="5"/>
      <c r="M110" s="1058">
        <f t="shared" ref="M110:BD110" si="226">M216/M100</f>
        <v>0</v>
      </c>
      <c r="N110" s="1056">
        <f t="shared" si="226"/>
        <v>0</v>
      </c>
      <c r="O110" s="1056">
        <f t="shared" si="226"/>
        <v>0.42828485456369103</v>
      </c>
      <c r="P110" s="1057">
        <f t="shared" si="226"/>
        <v>-3.5309278350515418</v>
      </c>
      <c r="Q110" s="1056">
        <f t="shared" si="226"/>
        <v>-1.1318181818181849</v>
      </c>
      <c r="R110" s="1056">
        <f t="shared" si="226"/>
        <v>-0.3466872110939882</v>
      </c>
      <c r="S110" s="1056">
        <f t="shared" si="226"/>
        <v>1.2097505668934241</v>
      </c>
      <c r="T110" s="1056">
        <f t="shared" si="226"/>
        <v>-36.400000000006273</v>
      </c>
      <c r="U110" s="1058">
        <f t="shared" si="226"/>
        <v>2.9158780231335388</v>
      </c>
      <c r="V110" s="1056">
        <f t="shared" si="226"/>
        <v>0.2106261859582528</v>
      </c>
      <c r="W110" s="1056">
        <f t="shared" si="226"/>
        <v>0.32932469935245146</v>
      </c>
      <c r="X110" s="1057">
        <f t="shared" si="226"/>
        <v>0.33518005540165763</v>
      </c>
      <c r="Y110" s="1056">
        <f t="shared" si="226"/>
        <v>7.8027465667918974E-2</v>
      </c>
      <c r="Z110" s="1056">
        <f t="shared" si="226"/>
        <v>0.62599742599742603</v>
      </c>
      <c r="AA110" s="1056">
        <f t="shared" si="226"/>
        <v>0.8688198757763973</v>
      </c>
      <c r="AB110" s="1056">
        <f t="shared" si="226"/>
        <v>0.89610764055742465</v>
      </c>
      <c r="AC110" s="1058">
        <f t="shared" si="226"/>
        <v>1.0951485962645366</v>
      </c>
      <c r="AD110" s="1056">
        <f t="shared" si="226"/>
        <v>0.61853398283460925</v>
      </c>
      <c r="AE110" s="1056">
        <f t="shared" si="226"/>
        <v>0.94936708860759444</v>
      </c>
      <c r="AF110" s="1057">
        <f t="shared" si="226"/>
        <v>0.75273915295430138</v>
      </c>
      <c r="AG110" s="1056">
        <f t="shared" si="226"/>
        <v>2.6678114267873876</v>
      </c>
      <c r="AH110" s="1056">
        <f t="shared" si="226"/>
        <v>1.250346740638004</v>
      </c>
      <c r="AI110" s="1056">
        <f t="shared" si="226"/>
        <v>2.7593732512590918</v>
      </c>
      <c r="AJ110" s="1057">
        <f t="shared" si="226"/>
        <v>0.36496003045298925</v>
      </c>
      <c r="AK110" s="1056">
        <f t="shared" si="226"/>
        <v>1.833179794257636</v>
      </c>
      <c r="AL110" s="1056">
        <f t="shared" si="226"/>
        <v>0.80528769170551251</v>
      </c>
      <c r="AM110" s="1056">
        <f t="shared" si="226"/>
        <v>1.0474479646070256</v>
      </c>
      <c r="AN110" s="1057">
        <f t="shared" si="226"/>
        <v>0.99644387507178545</v>
      </c>
      <c r="AO110" s="1056">
        <f>AO216/AO100</f>
        <v>1.4087321922722156</v>
      </c>
      <c r="AP110" s="1056">
        <f t="shared" si="226"/>
        <v>0.81805464888557344</v>
      </c>
      <c r="AQ110" s="1056">
        <f t="shared" ref="AQ110:AR110" si="227">AQ216/AQ100</f>
        <v>1.206269856101664</v>
      </c>
      <c r="AR110" s="1057">
        <f t="shared" si="227"/>
        <v>0.9531655298299565</v>
      </c>
      <c r="AS110" s="1056">
        <f t="shared" si="226"/>
        <v>0.17734033849551051</v>
      </c>
      <c r="AT110" s="1056">
        <f t="shared" si="226"/>
        <v>0.78252563238107942</v>
      </c>
      <c r="AU110" s="1056">
        <f t="shared" si="226"/>
        <v>1.6732799486318415</v>
      </c>
      <c r="AV110" s="1057">
        <f t="shared" si="226"/>
        <v>0.83113664157240941</v>
      </c>
      <c r="AW110" s="1056">
        <f t="shared" si="226"/>
        <v>0.90824562253958807</v>
      </c>
      <c r="AX110" s="1056">
        <f t="shared" si="226"/>
        <v>0.83286770554296696</v>
      </c>
      <c r="AY110" s="1056">
        <f t="shared" si="226"/>
        <v>1.0067785195165129</v>
      </c>
      <c r="AZ110" s="1057">
        <f t="shared" si="226"/>
        <v>0.79099993858316697</v>
      </c>
      <c r="BA110" s="1056">
        <f t="shared" si="226"/>
        <v>0.90372580176878126</v>
      </c>
      <c r="BB110" s="1056">
        <f t="shared" si="226"/>
        <v>0.81558522165424208</v>
      </c>
      <c r="BC110" s="1056">
        <f t="shared" si="226"/>
        <v>0.97649277340561902</v>
      </c>
      <c r="BD110" s="1057">
        <f t="shared" si="226"/>
        <v>0.77632549293680297</v>
      </c>
      <c r="BF110" s="54"/>
      <c r="BG110" s="1084"/>
      <c r="BH110" s="1079"/>
      <c r="BI110" s="1056">
        <f t="shared" ref="BI110:BZ110" si="228">BI216/BI100</f>
        <v>0.89175938148217959</v>
      </c>
      <c r="BJ110" s="1056">
        <f t="shared" si="228"/>
        <v>1.1008695652173897</v>
      </c>
      <c r="BK110" s="1056">
        <f t="shared" si="228"/>
        <v>1.7588380995271324</v>
      </c>
      <c r="BL110" s="1056">
        <f t="shared" si="228"/>
        <v>-0.22163120567375372</v>
      </c>
      <c r="BM110" s="1056">
        <f t="shared" si="228"/>
        <v>-0.24428975418751711</v>
      </c>
      <c r="BN110" s="1056">
        <f t="shared" si="228"/>
        <v>0.72826123891399697</v>
      </c>
      <c r="BO110" s="1056">
        <f t="shared" si="228"/>
        <v>0.81684103663179253</v>
      </c>
      <c r="BP110" s="1056">
        <f t="shared" si="228"/>
        <v>1.5051297525648761</v>
      </c>
      <c r="BQ110" s="1056">
        <f t="shared" si="228"/>
        <v>1.056777868456555</v>
      </c>
      <c r="BR110" s="1056">
        <f t="shared" si="228"/>
        <v>1.0704949331766782</v>
      </c>
      <c r="BS110" s="1056">
        <f t="shared" si="228"/>
        <v>0.9279708702820415</v>
      </c>
      <c r="BT110" s="1056">
        <f t="shared" si="228"/>
        <v>0.88055549933250199</v>
      </c>
      <c r="BU110" s="1056">
        <f t="shared" si="228"/>
        <v>0.86344974219403847</v>
      </c>
      <c r="BV110" s="1056">
        <f t="shared" si="228"/>
        <v>0.83297842352233042</v>
      </c>
      <c r="BW110" s="1056">
        <f t="shared" si="228"/>
        <v>0.8106476847713231</v>
      </c>
      <c r="BX110" s="1056">
        <f t="shared" si="228"/>
        <v>0.79437808904248719</v>
      </c>
      <c r="BY110" s="1056">
        <f t="shared" si="228"/>
        <v>0.78190364781113952</v>
      </c>
      <c r="BZ110" s="1057">
        <f t="shared" si="228"/>
        <v>0.77120610512930599</v>
      </c>
      <c r="CA110" s="36"/>
      <c r="CB110" s="36"/>
      <c r="CC110" s="36"/>
      <c r="CD110" s="36"/>
      <c r="CE110" s="36"/>
      <c r="CF110" s="36"/>
      <c r="CG110" s="1765"/>
      <c r="CH110" s="1765"/>
      <c r="CI110" s="1765"/>
      <c r="CJ110" s="36"/>
      <c r="CK110" s="36"/>
      <c r="CL110" s="36"/>
      <c r="CM110" s="36"/>
      <c r="CN110" s="36"/>
      <c r="CO110" s="36"/>
      <c r="CP110" s="36"/>
      <c r="CQ110" s="36"/>
      <c r="CR110" s="36"/>
    </row>
    <row r="111" spans="1:96" ht="11.25" customHeight="1" outlineLevel="1">
      <c r="A111" s="36"/>
      <c r="H111" s="36"/>
      <c r="I111" s="1059"/>
      <c r="J111" s="5"/>
      <c r="K111" s="5"/>
      <c r="L111" s="5"/>
      <c r="M111" s="450"/>
      <c r="N111" s="5"/>
      <c r="O111" s="5"/>
      <c r="P111" s="492"/>
      <c r="Q111" s="5"/>
      <c r="R111" s="5"/>
      <c r="S111" s="5"/>
      <c r="T111" s="5"/>
      <c r="U111" s="450"/>
      <c r="V111" s="5"/>
      <c r="W111" s="5"/>
      <c r="X111" s="492"/>
      <c r="Y111" s="5"/>
      <c r="Z111" s="5"/>
      <c r="AA111" s="5"/>
      <c r="AB111" s="5"/>
      <c r="AC111" s="450"/>
      <c r="AD111" s="5"/>
      <c r="AE111" s="5"/>
      <c r="AF111" s="492"/>
      <c r="AG111" s="5"/>
      <c r="AH111" s="5"/>
      <c r="AI111" s="5"/>
      <c r="AJ111" s="492"/>
      <c r="AK111" s="5"/>
      <c r="AL111" s="5"/>
      <c r="AM111" s="5"/>
      <c r="AN111" s="492"/>
      <c r="AO111" s="5"/>
      <c r="AP111" s="5"/>
      <c r="AQ111" s="5"/>
      <c r="AR111" s="492"/>
      <c r="AS111" s="5"/>
      <c r="AT111" s="5"/>
      <c r="AU111" s="5"/>
      <c r="AV111" s="492"/>
      <c r="AW111" s="5"/>
      <c r="AX111" s="5"/>
      <c r="AY111" s="5"/>
      <c r="AZ111" s="492"/>
      <c r="BA111" s="5"/>
      <c r="BB111" s="5"/>
      <c r="BC111" s="5"/>
      <c r="BD111" s="492"/>
      <c r="BF111" s="54"/>
      <c r="BG111" s="1089"/>
      <c r="BH111" s="1086"/>
      <c r="BI111" s="5"/>
      <c r="BJ111" s="5"/>
      <c r="BK111" s="5"/>
      <c r="BL111" s="5"/>
      <c r="BM111" s="5"/>
      <c r="BN111" s="5"/>
      <c r="BO111" s="5"/>
      <c r="BP111" s="5"/>
      <c r="BQ111" s="5"/>
      <c r="BR111" s="5"/>
      <c r="BS111" s="5"/>
      <c r="BT111" s="5"/>
      <c r="BU111" s="5"/>
      <c r="BV111" s="5"/>
      <c r="BW111" s="5"/>
      <c r="BX111" s="5"/>
      <c r="BY111" s="5"/>
      <c r="BZ111" s="492"/>
      <c r="CA111" s="36"/>
      <c r="CB111" s="36"/>
      <c r="CC111" s="36"/>
      <c r="CD111" s="36"/>
      <c r="CE111" s="36"/>
      <c r="CF111" s="36"/>
      <c r="CG111" s="1765"/>
      <c r="CH111" s="1765"/>
      <c r="CI111" s="1765"/>
      <c r="CJ111" s="36"/>
      <c r="CK111" s="36"/>
      <c r="CL111" s="36"/>
      <c r="CM111" s="36"/>
      <c r="CN111" s="36"/>
      <c r="CO111" s="36"/>
      <c r="CP111" s="36"/>
      <c r="CQ111" s="36"/>
      <c r="CR111" s="36"/>
    </row>
    <row r="112" spans="1:96" ht="11.25" customHeight="1" outlineLevel="1">
      <c r="A112" s="36"/>
      <c r="H112" s="36"/>
      <c r="I112" s="1059"/>
      <c r="J112" s="5"/>
      <c r="K112" s="5"/>
      <c r="L112" s="5"/>
      <c r="M112" s="450"/>
      <c r="N112" s="5"/>
      <c r="O112" s="5"/>
      <c r="P112" s="492"/>
      <c r="Q112" s="5"/>
      <c r="R112" s="5"/>
      <c r="S112" s="5"/>
      <c r="T112" s="5"/>
      <c r="U112" s="450"/>
      <c r="V112" s="5"/>
      <c r="W112" s="5"/>
      <c r="X112" s="492"/>
      <c r="Y112" s="5"/>
      <c r="Z112" s="5"/>
      <c r="AA112" s="5"/>
      <c r="AB112" s="5"/>
      <c r="AC112" s="450"/>
      <c r="AD112" s="5"/>
      <c r="AE112" s="5"/>
      <c r="AF112" s="492"/>
      <c r="AG112" s="5"/>
      <c r="AH112" s="5"/>
      <c r="AI112" s="5"/>
      <c r="AJ112" s="492"/>
      <c r="AK112" s="5"/>
      <c r="AL112" s="5"/>
      <c r="AM112" s="5"/>
      <c r="AN112" s="492"/>
      <c r="AO112" s="5"/>
      <c r="AP112" s="5"/>
      <c r="AQ112" s="5"/>
      <c r="AR112" s="492"/>
      <c r="AS112" s="5"/>
      <c r="AT112" s="5"/>
      <c r="AU112" s="5"/>
      <c r="AV112" s="492"/>
      <c r="AW112" s="5"/>
      <c r="AX112" s="5"/>
      <c r="AY112" s="5"/>
      <c r="AZ112" s="492"/>
      <c r="BA112" s="5"/>
      <c r="BB112" s="5"/>
      <c r="BC112" s="5"/>
      <c r="BD112" s="492"/>
      <c r="BF112" s="54"/>
      <c r="BG112" s="1089"/>
      <c r="BH112" s="1086"/>
      <c r="BI112" s="5"/>
      <c r="BJ112" s="5"/>
      <c r="BK112" s="5"/>
      <c r="BL112" s="5"/>
      <c r="BM112" s="5"/>
      <c r="BN112" s="5"/>
      <c r="BO112" s="5"/>
      <c r="BP112" s="5"/>
      <c r="BQ112" s="5"/>
      <c r="BR112" s="5"/>
      <c r="BS112" s="5"/>
      <c r="BT112" s="5"/>
      <c r="BU112" s="5"/>
      <c r="BV112" s="5"/>
      <c r="BW112" s="5"/>
      <c r="BX112" s="5"/>
      <c r="BY112" s="5"/>
      <c r="BZ112" s="492"/>
      <c r="CA112" s="36"/>
      <c r="CB112" s="36"/>
      <c r="CC112" s="36"/>
      <c r="CD112" s="36"/>
      <c r="CE112" s="36"/>
      <c r="CF112" s="36"/>
      <c r="CG112" s="1765"/>
      <c r="CH112" s="1765"/>
      <c r="CI112" s="1765"/>
      <c r="CJ112" s="36"/>
      <c r="CK112" s="36"/>
      <c r="CL112" s="36"/>
      <c r="CM112" s="36"/>
      <c r="CN112" s="36"/>
      <c r="CO112" s="36"/>
      <c r="CP112" s="36"/>
      <c r="CQ112" s="36"/>
      <c r="CR112" s="36"/>
    </row>
    <row r="113" spans="1:96" ht="11.25" customHeight="1" outlineLevel="1">
      <c r="A113" s="36"/>
      <c r="H113" s="36"/>
      <c r="I113" s="1060" t="s">
        <v>403</v>
      </c>
      <c r="J113" s="5"/>
      <c r="K113" s="5"/>
      <c r="L113" s="5"/>
      <c r="M113" s="1061">
        <f t="shared" ref="M113:AN113" si="229">+M106/M84</f>
        <v>0</v>
      </c>
      <c r="N113" s="1062">
        <f t="shared" si="229"/>
        <v>0</v>
      </c>
      <c r="O113" s="1062">
        <f t="shared" si="229"/>
        <v>-0.27588156314041407</v>
      </c>
      <c r="P113" s="1063">
        <f t="shared" si="229"/>
        <v>-0.13180455844427416</v>
      </c>
      <c r="Q113" s="1062">
        <f t="shared" si="229"/>
        <v>1.2574726860441187E-2</v>
      </c>
      <c r="R113" s="1062">
        <f t="shared" si="229"/>
        <v>-5.9392726059392657E-2</v>
      </c>
      <c r="S113" s="1062">
        <f t="shared" si="229"/>
        <v>-0.15144091290052264</v>
      </c>
      <c r="T113" s="1062">
        <f t="shared" si="229"/>
        <v>-9.2688078523948475E-2</v>
      </c>
      <c r="U113" s="1061">
        <f t="shared" si="229"/>
        <v>-0.10043821770143616</v>
      </c>
      <c r="V113" s="1062">
        <f t="shared" si="229"/>
        <v>-2.0152085009936486E-2</v>
      </c>
      <c r="W113" s="1062">
        <f t="shared" si="229"/>
        <v>-1.3792090358594319E-2</v>
      </c>
      <c r="X113" s="1063">
        <f t="shared" si="229"/>
        <v>-5.4521213275558471E-2</v>
      </c>
      <c r="Y113" s="1062">
        <f t="shared" si="229"/>
        <v>-1.0936198188387971E-2</v>
      </c>
      <c r="Z113" s="1062">
        <f t="shared" si="229"/>
        <v>1.308535678889994E-2</v>
      </c>
      <c r="AA113" s="1062">
        <f t="shared" si="229"/>
        <v>3.682282923851659E-2</v>
      </c>
      <c r="AB113" s="1062">
        <f t="shared" si="229"/>
        <v>3.8171597890975635E-2</v>
      </c>
      <c r="AC113" s="1061">
        <f t="shared" si="229"/>
        <v>7.1335234856893776E-2</v>
      </c>
      <c r="AD113" s="1062">
        <f t="shared" si="229"/>
        <v>9.9927325581395318E-2</v>
      </c>
      <c r="AE113" s="1062">
        <f t="shared" si="229"/>
        <v>0.17489908921548322</v>
      </c>
      <c r="AF113" s="1063">
        <f t="shared" si="229"/>
        <v>3.3440830969680771E-2</v>
      </c>
      <c r="AG113" s="1062">
        <f t="shared" si="229"/>
        <v>0.18939909369825031</v>
      </c>
      <c r="AH113" s="1062">
        <f t="shared" si="229"/>
        <v>-0.79454977206059751</v>
      </c>
      <c r="AI113" s="1062">
        <f t="shared" si="229"/>
        <v>3.2984144960362276E-2</v>
      </c>
      <c r="AJ113" s="1063">
        <f t="shared" si="229"/>
        <v>-2.4742215285418E-2</v>
      </c>
      <c r="AK113" s="1062">
        <f t="shared" si="229"/>
        <v>0.20844621923190507</v>
      </c>
      <c r="AL113" s="1062">
        <f t="shared" si="229"/>
        <v>0.22542885973763882</v>
      </c>
      <c r="AM113" s="1062">
        <f t="shared" si="229"/>
        <v>0.36132518060228902</v>
      </c>
      <c r="AN113" s="1063">
        <f t="shared" si="229"/>
        <v>0.47223934379593185</v>
      </c>
      <c r="AO113" s="1062">
        <f>+AO106/AO84</f>
        <v>0.45568088356244851</v>
      </c>
      <c r="AP113" s="1062">
        <f t="shared" ref="AP113:AV113" si="230">+AP106/AP84</f>
        <v>0.39430827244873917</v>
      </c>
      <c r="AQ113" s="1062">
        <f t="shared" ref="AQ113:AR113" si="231">+AQ106/AQ84</f>
        <v>0.5469902668328892</v>
      </c>
      <c r="AR113" s="1063">
        <f t="shared" si="231"/>
        <v>0.35906763675559206</v>
      </c>
      <c r="AS113" s="1062">
        <f t="shared" si="230"/>
        <v>3.1558294863802856E-3</v>
      </c>
      <c r="AT113" s="1062">
        <f t="shared" si="230"/>
        <v>0.34415877940399681</v>
      </c>
      <c r="AU113" s="1062">
        <f t="shared" si="230"/>
        <v>0.8347960836665691</v>
      </c>
      <c r="AV113" s="1063">
        <f t="shared" si="230"/>
        <v>0.43680238620962214</v>
      </c>
      <c r="AW113" s="1062">
        <f t="shared" ref="AW113:BD113" si="232">+AW106/AW84</f>
        <v>0.33485950743419313</v>
      </c>
      <c r="AX113" s="1062">
        <f t="shared" si="232"/>
        <v>0.42791891823071954</v>
      </c>
      <c r="AY113" s="1062">
        <f t="shared" si="232"/>
        <v>0.54653202238893694</v>
      </c>
      <c r="AZ113" s="1063">
        <f t="shared" si="232"/>
        <v>0.45820214562501904</v>
      </c>
      <c r="BA113" s="1062">
        <f t="shared" si="232"/>
        <v>0.40072286343314117</v>
      </c>
      <c r="BB113" s="1062">
        <f t="shared" si="232"/>
        <v>0.48702652715274836</v>
      </c>
      <c r="BC113" s="1062">
        <f t="shared" si="232"/>
        <v>0.60980987938466935</v>
      </c>
      <c r="BD113" s="1063">
        <f t="shared" si="232"/>
        <v>0.5133851858452444</v>
      </c>
      <c r="BF113" s="54"/>
      <c r="BG113" s="1061"/>
      <c r="BH113" s="1062"/>
      <c r="BI113" s="1062">
        <f t="shared" ref="BI113:BU113" si="233">+BI106/BI84</f>
        <v>-0.65563486913259783</v>
      </c>
      <c r="BJ113" s="1062">
        <f t="shared" si="233"/>
        <v>-0.10166882696046621</v>
      </c>
      <c r="BK113" s="1062">
        <f t="shared" si="233"/>
        <v>-0.82633948018004888</v>
      </c>
      <c r="BL113" s="1062">
        <f t="shared" si="233"/>
        <v>-0.29742986070237432</v>
      </c>
      <c r="BM113" s="1062">
        <f t="shared" si="233"/>
        <v>-0.15968900626050359</v>
      </c>
      <c r="BN113" s="1062">
        <f t="shared" si="233"/>
        <v>7.9022310210919211E-2</v>
      </c>
      <c r="BO113" s="1062">
        <f t="shared" si="233"/>
        <v>0.37401406535338222</v>
      </c>
      <c r="BP113" s="1062">
        <f t="shared" si="233"/>
        <v>-0.60367679042038724</v>
      </c>
      <c r="BQ113" s="1062">
        <f t="shared" si="233"/>
        <v>1.281042528402611</v>
      </c>
      <c r="BR113" s="1062">
        <f t="shared" si="233"/>
        <v>1.7554225943596364</v>
      </c>
      <c r="BS113" s="1062">
        <f t="shared" si="233"/>
        <v>1.6306657485017579</v>
      </c>
      <c r="BT113" s="1062">
        <f t="shared" si="233"/>
        <v>1.7705582245610096</v>
      </c>
      <c r="BU113" s="1062">
        <f t="shared" si="233"/>
        <v>2.0136799718420932</v>
      </c>
      <c r="BV113" s="1062">
        <f>+BV106/BV84</f>
        <v>2.1931812013570426</v>
      </c>
      <c r="BW113" s="1062">
        <f>+BW106/BW84</f>
        <v>2.4307235277568466</v>
      </c>
      <c r="BX113" s="1062">
        <f>+BX106/BX84</f>
        <v>2.6615783035378886</v>
      </c>
      <c r="BY113" s="1062">
        <f>+BY106/BY84</f>
        <v>2.8865385914378878</v>
      </c>
      <c r="BZ113" s="1063">
        <f>+BZ106/BZ84</f>
        <v>3.110909870210139</v>
      </c>
      <c r="CA113" s="36"/>
      <c r="CB113" s="36"/>
      <c r="CC113" s="36"/>
      <c r="CD113" s="36"/>
      <c r="CE113" s="36"/>
      <c r="CF113" s="36"/>
      <c r="CG113" s="1765"/>
      <c r="CH113" s="1765"/>
      <c r="CI113" s="1765"/>
      <c r="CJ113" s="36"/>
      <c r="CK113" s="36"/>
      <c r="CL113" s="36"/>
      <c r="CM113" s="36"/>
      <c r="CN113" s="36"/>
      <c r="CO113" s="36"/>
      <c r="CP113" s="36"/>
      <c r="CQ113" s="36"/>
      <c r="CR113" s="36"/>
    </row>
    <row r="114" spans="1:96" ht="11.25" customHeight="1" outlineLevel="1">
      <c r="A114" s="36"/>
      <c r="H114" s="36"/>
      <c r="I114" s="1064"/>
      <c r="J114" s="5"/>
      <c r="K114" s="5"/>
      <c r="L114" s="5"/>
      <c r="M114" s="450"/>
      <c r="N114" s="5"/>
      <c r="O114" s="5"/>
      <c r="P114" s="492"/>
      <c r="Q114" s="5"/>
      <c r="R114" s="5"/>
      <c r="S114" s="5"/>
      <c r="T114" s="5"/>
      <c r="U114" s="450"/>
      <c r="V114" s="5"/>
      <c r="W114" s="5"/>
      <c r="X114" s="492"/>
      <c r="Y114" s="5"/>
      <c r="Z114" s="5"/>
      <c r="AA114" s="5"/>
      <c r="AB114" s="5"/>
      <c r="AC114" s="450"/>
      <c r="AD114" s="5"/>
      <c r="AE114" s="5"/>
      <c r="AF114" s="492"/>
      <c r="AG114" s="5"/>
      <c r="AH114" s="5"/>
      <c r="AI114" s="5"/>
      <c r="AJ114" s="492"/>
      <c r="AK114" s="5"/>
      <c r="AL114" s="5"/>
      <c r="AM114" s="5"/>
      <c r="AN114" s="492"/>
      <c r="AO114" s="5"/>
      <c r="AP114" s="5"/>
      <c r="AQ114" s="5"/>
      <c r="AR114" s="492"/>
      <c r="AS114" s="5"/>
      <c r="AT114" s="5"/>
      <c r="AU114" s="5"/>
      <c r="AV114" s="492"/>
      <c r="AW114" s="5"/>
      <c r="AX114" s="5"/>
      <c r="AY114" s="5"/>
      <c r="AZ114" s="492"/>
      <c r="BA114" s="5"/>
      <c r="BB114" s="5"/>
      <c r="BC114" s="5"/>
      <c r="BD114" s="492"/>
      <c r="BF114" s="54"/>
      <c r="BG114" s="1089"/>
      <c r="BH114" s="1086"/>
      <c r="BI114" s="5"/>
      <c r="BJ114" s="5"/>
      <c r="BK114" s="5"/>
      <c r="BL114" s="5"/>
      <c r="BM114" s="5"/>
      <c r="BN114" s="5"/>
      <c r="BO114" s="5"/>
      <c r="BP114" s="5"/>
      <c r="BQ114" s="5"/>
      <c r="BR114" s="5"/>
      <c r="BS114" s="5"/>
      <c r="BT114" s="5"/>
      <c r="BU114" s="5"/>
      <c r="BV114" s="5"/>
      <c r="BW114" s="5"/>
      <c r="BX114" s="5"/>
      <c r="BY114" s="5"/>
      <c r="BZ114" s="492"/>
      <c r="CA114" s="36"/>
      <c r="CB114" s="36"/>
      <c r="CC114" s="36"/>
      <c r="CD114" s="36"/>
      <c r="CE114" s="36"/>
      <c r="CF114" s="36"/>
      <c r="CG114" s="1765"/>
      <c r="CH114" s="1765"/>
      <c r="CI114" s="1765"/>
      <c r="CJ114" s="36"/>
      <c r="CK114" s="36"/>
      <c r="CL114" s="36"/>
      <c r="CM114" s="36"/>
      <c r="CN114" s="36"/>
      <c r="CO114" s="36"/>
      <c r="CP114" s="36"/>
      <c r="CQ114" s="36"/>
      <c r="CR114" s="36"/>
    </row>
    <row r="115" spans="1:96" ht="11.25" customHeight="1" outlineLevel="1">
      <c r="A115" s="36"/>
      <c r="H115" s="36"/>
      <c r="I115" s="1064" t="s">
        <v>399</v>
      </c>
      <c r="J115" s="5"/>
      <c r="K115" s="5"/>
      <c r="L115" s="5"/>
      <c r="M115" s="626">
        <f>M106</f>
        <v>0</v>
      </c>
      <c r="N115" s="336">
        <f t="shared" ref="N115:AJ115" si="234">N106</f>
        <v>0</v>
      </c>
      <c r="O115" s="336">
        <f t="shared" si="234"/>
        <v>-3.903999999999999</v>
      </c>
      <c r="P115" s="613">
        <f t="shared" si="234"/>
        <v>-1.8910000000000013</v>
      </c>
      <c r="Q115" s="336">
        <f t="shared" si="234"/>
        <v>0.18300000000000061</v>
      </c>
      <c r="R115" s="336">
        <f t="shared" si="234"/>
        <v>-0.8899999999999989</v>
      </c>
      <c r="S115" s="336">
        <f t="shared" si="234"/>
        <v>-2.3490000000000064</v>
      </c>
      <c r="T115" s="336">
        <f t="shared" si="234"/>
        <v>-1.4919999999999987</v>
      </c>
      <c r="U115" s="626">
        <f t="shared" si="234"/>
        <v>-3.1399999999999988</v>
      </c>
      <c r="V115" s="336">
        <f t="shared" si="234"/>
        <v>-1.2270000000000028</v>
      </c>
      <c r="W115" s="336">
        <f t="shared" si="234"/>
        <v>-0.8449999999999982</v>
      </c>
      <c r="X115" s="613">
        <f t="shared" si="234"/>
        <v>-3.4350000000000103</v>
      </c>
      <c r="Y115" s="336">
        <f t="shared" si="234"/>
        <v>-0.69699999999998707</v>
      </c>
      <c r="Z115" s="336">
        <f t="shared" si="234"/>
        <v>0.84500000000000242</v>
      </c>
      <c r="AA115" s="336">
        <f t="shared" si="234"/>
        <v>2.4129999999999923</v>
      </c>
      <c r="AB115" s="336">
        <f t="shared" si="234"/>
        <v>2.6279999999999992</v>
      </c>
      <c r="AC115" s="626">
        <f t="shared" si="234"/>
        <v>5.0769999999999875</v>
      </c>
      <c r="AD115" s="336">
        <f t="shared" si="234"/>
        <v>7.6999999999999975</v>
      </c>
      <c r="AE115" s="336">
        <f t="shared" si="234"/>
        <v>13.518999999999993</v>
      </c>
      <c r="AF115" s="613">
        <f t="shared" si="234"/>
        <v>2.5820000000000221</v>
      </c>
      <c r="AG115" s="336">
        <f t="shared" si="234"/>
        <v>14.754000000000001</v>
      </c>
      <c r="AH115" s="336">
        <f t="shared" si="234"/>
        <v>-62.569999999999993</v>
      </c>
      <c r="AI115" s="336">
        <f t="shared" si="234"/>
        <v>2.56299999999999</v>
      </c>
      <c r="AJ115" s="613">
        <f t="shared" si="234"/>
        <v>-1.9339999999999833</v>
      </c>
      <c r="AK115" s="336">
        <f t="shared" ref="AK115:AP115" si="235">AK106</f>
        <v>16.233999999999998</v>
      </c>
      <c r="AL115" s="336">
        <f t="shared" si="235"/>
        <v>17.872000000000007</v>
      </c>
      <c r="AM115" s="336">
        <f t="shared" si="235"/>
        <v>29.959999999999997</v>
      </c>
      <c r="AN115" s="613">
        <f t="shared" si="235"/>
        <v>39.839999999999996</v>
      </c>
      <c r="AO115" s="336">
        <f>AO106</f>
        <v>38.782999999999994</v>
      </c>
      <c r="AP115" s="336">
        <f t="shared" si="235"/>
        <v>33.461000000000006</v>
      </c>
      <c r="AQ115" s="336">
        <f t="shared" ref="AQ115:AR115" si="236">AQ106</f>
        <v>47.82500000000001</v>
      </c>
      <c r="AR115" s="613">
        <f t="shared" si="236"/>
        <v>31.980000000000047</v>
      </c>
      <c r="AS115" s="336">
        <f t="shared" ref="AS115:BD115" si="237">AS106</f>
        <v>0.28296429506680187</v>
      </c>
      <c r="AT115" s="336">
        <f t="shared" si="237"/>
        <v>31.271643331764768</v>
      </c>
      <c r="AU115" s="336">
        <f t="shared" si="237"/>
        <v>76.854666646679007</v>
      </c>
      <c r="AV115" s="613">
        <f t="shared" si="237"/>
        <v>40.737937747454204</v>
      </c>
      <c r="AW115" s="336">
        <f t="shared" si="237"/>
        <v>31.632168510263618</v>
      </c>
      <c r="AX115" s="336">
        <f t="shared" si="237"/>
        <v>40.936435393623562</v>
      </c>
      <c r="AY115" s="336">
        <f t="shared" si="237"/>
        <v>52.939277816681994</v>
      </c>
      <c r="AZ115" s="613">
        <f t="shared" si="237"/>
        <v>44.933135208571876</v>
      </c>
      <c r="BA115" s="336">
        <f t="shared" si="237"/>
        <v>39.777354315827331</v>
      </c>
      <c r="BB115" s="336">
        <f t="shared" si="237"/>
        <v>48.928633023873722</v>
      </c>
      <c r="BC115" s="336">
        <f t="shared" si="237"/>
        <v>61.995711577763032</v>
      </c>
      <c r="BD115" s="613">
        <f t="shared" si="237"/>
        <v>52.80885375678524</v>
      </c>
      <c r="BF115" s="54"/>
      <c r="BG115" s="625"/>
      <c r="BH115" s="327"/>
      <c r="BI115" s="336">
        <f t="shared" ref="BI115:BU115" si="238">BI106</f>
        <v>-6.0619999999999994</v>
      </c>
      <c r="BJ115" s="336">
        <f t="shared" si="238"/>
        <v>-1.2549999999999948</v>
      </c>
      <c r="BK115" s="336">
        <f t="shared" si="238"/>
        <v>-11.381999999999993</v>
      </c>
      <c r="BL115" s="336">
        <f t="shared" si="238"/>
        <v>-4.5480000000000054</v>
      </c>
      <c r="BM115" s="336">
        <f t="shared" si="238"/>
        <v>-8.6470000000000091</v>
      </c>
      <c r="BN115" s="336">
        <f t="shared" si="238"/>
        <v>5.1890000000000107</v>
      </c>
      <c r="BO115" s="336">
        <f t="shared" si="238"/>
        <v>28.877999999999993</v>
      </c>
      <c r="BP115" s="336">
        <f t="shared" si="238"/>
        <v>-47.186999999999991</v>
      </c>
      <c r="BQ115" s="336">
        <f t="shared" si="238"/>
        <v>103.90599999999998</v>
      </c>
      <c r="BR115" s="336">
        <f t="shared" si="238"/>
        <v>152.04900000000004</v>
      </c>
      <c r="BS115" s="336">
        <f t="shared" si="238"/>
        <v>149.14721202096479</v>
      </c>
      <c r="BT115" s="336">
        <f t="shared" si="238"/>
        <v>170.44101692914106</v>
      </c>
      <c r="BU115" s="336">
        <f t="shared" si="238"/>
        <v>203.51055267424934</v>
      </c>
      <c r="BV115" s="336">
        <f>BV106</f>
        <v>237.44256958371884</v>
      </c>
      <c r="BW115" s="336">
        <f>BW106</f>
        <v>274.82732494230004</v>
      </c>
      <c r="BX115" s="336">
        <f>BX106</f>
        <v>313.70426516818964</v>
      </c>
      <c r="BY115" s="336">
        <f>BY106</f>
        <v>354.07436978013698</v>
      </c>
      <c r="BZ115" s="613">
        <f>BZ106</f>
        <v>396.52901569646508</v>
      </c>
      <c r="CA115" s="36"/>
      <c r="CB115" s="36"/>
      <c r="CC115" s="36"/>
      <c r="CD115" s="36"/>
      <c r="CE115" s="36"/>
      <c r="CF115" s="36"/>
      <c r="CG115" s="1765"/>
      <c r="CH115" s="1765"/>
      <c r="CI115" s="1765"/>
      <c r="CJ115" s="36"/>
      <c r="CK115" s="36"/>
      <c r="CL115" s="36"/>
      <c r="CM115" s="36"/>
      <c r="CN115" s="36"/>
      <c r="CO115" s="36"/>
      <c r="CP115" s="36"/>
      <c r="CQ115" s="36"/>
      <c r="CR115" s="36"/>
    </row>
    <row r="116" spans="1:96" ht="11.25" customHeight="1" outlineLevel="1">
      <c r="A116" s="36"/>
      <c r="H116" s="36"/>
      <c r="I116" s="1060" t="s">
        <v>404</v>
      </c>
      <c r="J116" s="5"/>
      <c r="K116" s="5"/>
      <c r="L116" s="5"/>
      <c r="M116" s="450"/>
      <c r="N116" s="5"/>
      <c r="O116" s="5"/>
      <c r="P116" s="492"/>
      <c r="Q116" s="5"/>
      <c r="R116" s="5"/>
      <c r="S116" s="5"/>
      <c r="T116" s="5"/>
      <c r="U116" s="450"/>
      <c r="V116" s="5"/>
      <c r="W116" s="5"/>
      <c r="X116" s="492"/>
      <c r="Y116" s="5"/>
      <c r="Z116" s="5"/>
      <c r="AA116" s="5"/>
      <c r="AB116" s="5"/>
      <c r="AC116" s="450"/>
      <c r="AD116" s="5"/>
      <c r="AE116" s="5"/>
      <c r="AF116" s="492"/>
      <c r="AG116" s="5"/>
      <c r="AH116" s="5"/>
      <c r="AI116" s="5"/>
      <c r="AJ116" s="492"/>
      <c r="AK116" s="5"/>
      <c r="AL116" s="5"/>
      <c r="AM116" s="5"/>
      <c r="AN116" s="492"/>
      <c r="AO116" s="5"/>
      <c r="AP116" s="5"/>
      <c r="AQ116" s="5"/>
      <c r="AR116" s="492"/>
      <c r="AS116" s="5"/>
      <c r="AT116" s="5"/>
      <c r="AU116" s="5"/>
      <c r="AV116" s="492"/>
      <c r="AW116" s="5"/>
      <c r="AX116" s="5"/>
      <c r="AY116" s="5"/>
      <c r="AZ116" s="492"/>
      <c r="BA116" s="5"/>
      <c r="BB116" s="5"/>
      <c r="BC116" s="5"/>
      <c r="BD116" s="492"/>
      <c r="BF116" s="54"/>
      <c r="BG116" s="1089"/>
      <c r="BH116" s="1086"/>
      <c r="BI116" s="5"/>
      <c r="BJ116" s="5"/>
      <c r="BK116" s="5"/>
      <c r="BL116" s="5"/>
      <c r="BM116" s="5"/>
      <c r="BN116" s="5"/>
      <c r="BO116" s="5"/>
      <c r="BP116" s="5"/>
      <c r="BQ116" s="5"/>
      <c r="BR116" s="5"/>
      <c r="BS116" s="5"/>
      <c r="BT116" s="5"/>
      <c r="BU116" s="5"/>
      <c r="BV116" s="5"/>
      <c r="BW116" s="5"/>
      <c r="BX116" s="5"/>
      <c r="BY116" s="5"/>
      <c r="BZ116" s="492"/>
      <c r="CA116" s="36"/>
      <c r="CB116" s="36"/>
      <c r="CC116" s="36"/>
      <c r="CD116" s="36"/>
      <c r="CE116" s="36"/>
      <c r="CF116" s="36"/>
      <c r="CG116" s="1765"/>
      <c r="CH116" s="1765"/>
      <c r="CI116" s="1765"/>
      <c r="CJ116" s="36"/>
      <c r="CK116" s="36"/>
      <c r="CL116" s="36"/>
      <c r="CM116" s="36"/>
      <c r="CN116" s="36"/>
      <c r="CO116" s="36"/>
      <c r="CP116" s="36"/>
      <c r="CQ116" s="36"/>
      <c r="CR116" s="36"/>
    </row>
    <row r="117" spans="1:96" ht="11.25" customHeight="1" outlineLevel="1">
      <c r="A117" s="36"/>
      <c r="H117" s="36"/>
      <c r="I117" s="994" t="s">
        <v>405</v>
      </c>
      <c r="J117" s="5"/>
      <c r="K117" s="5"/>
      <c r="L117" s="5"/>
      <c r="M117" s="893">
        <v>0</v>
      </c>
      <c r="N117" s="389">
        <v>0</v>
      </c>
      <c r="O117" s="389">
        <v>0</v>
      </c>
      <c r="P117" s="894">
        <v>0</v>
      </c>
      <c r="Q117" s="389">
        <v>0</v>
      </c>
      <c r="R117" s="389">
        <v>0</v>
      </c>
      <c r="S117" s="389">
        <v>0</v>
      </c>
      <c r="T117" s="389">
        <v>0</v>
      </c>
      <c r="U117" s="893">
        <v>0</v>
      </c>
      <c r="V117" s="389">
        <v>0</v>
      </c>
      <c r="W117" s="389">
        <v>0</v>
      </c>
      <c r="X117" s="894">
        <v>0</v>
      </c>
      <c r="Y117" s="389">
        <v>0</v>
      </c>
      <c r="Z117" s="389">
        <v>0</v>
      </c>
      <c r="AA117" s="389">
        <v>0</v>
      </c>
      <c r="AB117" s="389">
        <v>0</v>
      </c>
      <c r="AC117" s="893">
        <v>0</v>
      </c>
      <c r="AD117" s="389">
        <v>0</v>
      </c>
      <c r="AE117" s="389">
        <v>0</v>
      </c>
      <c r="AF117" s="389">
        <v>0</v>
      </c>
      <c r="AG117" s="500">
        <v>0</v>
      </c>
      <c r="AH117" s="438">
        <v>0</v>
      </c>
      <c r="AI117" s="438">
        <v>0</v>
      </c>
      <c r="AJ117" s="460">
        <v>0</v>
      </c>
      <c r="AK117" s="438">
        <v>0</v>
      </c>
      <c r="AL117" s="438">
        <v>0</v>
      </c>
      <c r="AM117" s="438">
        <v>0</v>
      </c>
      <c r="AN117" s="460">
        <v>0</v>
      </c>
      <c r="AO117" s="438">
        <v>0</v>
      </c>
      <c r="AP117" s="438">
        <v>0</v>
      </c>
      <c r="AQ117" s="438">
        <v>0</v>
      </c>
      <c r="AR117" s="460">
        <v>0</v>
      </c>
      <c r="AS117" s="438">
        <v>0</v>
      </c>
      <c r="AT117" s="438">
        <v>0</v>
      </c>
      <c r="AU117" s="438">
        <v>0</v>
      </c>
      <c r="AV117" s="460">
        <v>0</v>
      </c>
      <c r="AW117" s="438">
        <v>0</v>
      </c>
      <c r="AX117" s="438">
        <v>0</v>
      </c>
      <c r="AY117" s="438">
        <v>0</v>
      </c>
      <c r="AZ117" s="460">
        <v>0</v>
      </c>
      <c r="BA117" s="438">
        <v>0</v>
      </c>
      <c r="BB117" s="438">
        <v>0</v>
      </c>
      <c r="BC117" s="438">
        <v>0</v>
      </c>
      <c r="BD117" s="460">
        <v>0</v>
      </c>
      <c r="BF117" s="54"/>
      <c r="BG117" s="1090"/>
      <c r="BH117" s="589"/>
      <c r="BI117" s="389">
        <v>0</v>
      </c>
      <c r="BJ117" s="389">
        <v>0</v>
      </c>
      <c r="BK117" s="389">
        <v>0</v>
      </c>
      <c r="BL117" s="389">
        <v>0</v>
      </c>
      <c r="BM117" s="389">
        <v>0</v>
      </c>
      <c r="BN117" s="389">
        <v>0</v>
      </c>
      <c r="BO117" s="389">
        <v>0</v>
      </c>
      <c r="BP117" s="389">
        <v>0</v>
      </c>
      <c r="BQ117" s="389">
        <v>0</v>
      </c>
      <c r="BR117" s="389">
        <v>0</v>
      </c>
      <c r="BS117" s="389">
        <v>0</v>
      </c>
      <c r="BT117" s="389">
        <v>0</v>
      </c>
      <c r="BU117" s="389">
        <v>0</v>
      </c>
      <c r="BV117" s="389">
        <v>0</v>
      </c>
      <c r="BW117" s="389">
        <v>0</v>
      </c>
      <c r="BX117" s="389">
        <v>0</v>
      </c>
      <c r="BY117" s="389">
        <v>0</v>
      </c>
      <c r="BZ117" s="894">
        <v>0</v>
      </c>
      <c r="CA117" s="36"/>
      <c r="CB117" s="36"/>
      <c r="CC117" s="36"/>
      <c r="CD117" s="36"/>
      <c r="CE117" s="36"/>
      <c r="CF117" s="36"/>
      <c r="CG117" s="1765"/>
      <c r="CH117" s="1765"/>
      <c r="CI117" s="1765"/>
      <c r="CJ117" s="36"/>
      <c r="CK117" s="36"/>
      <c r="CL117" s="36"/>
      <c r="CM117" s="36"/>
      <c r="CN117" s="36"/>
      <c r="CO117" s="36"/>
      <c r="CP117" s="36"/>
      <c r="CQ117" s="36"/>
      <c r="CR117" s="36"/>
    </row>
    <row r="118" spans="1:96" ht="11.25" customHeight="1" outlineLevel="1">
      <c r="A118" s="36"/>
      <c r="H118" s="36"/>
      <c r="I118" s="994" t="s">
        <v>406</v>
      </c>
      <c r="J118" s="5"/>
      <c r="K118" s="5"/>
      <c r="L118" s="5"/>
      <c r="M118" s="893">
        <v>0</v>
      </c>
      <c r="N118" s="389">
        <v>0</v>
      </c>
      <c r="O118" s="389">
        <v>0</v>
      </c>
      <c r="P118" s="894">
        <v>0</v>
      </c>
      <c r="Q118" s="389">
        <v>0</v>
      </c>
      <c r="R118" s="389">
        <v>0</v>
      </c>
      <c r="S118" s="389">
        <v>0</v>
      </c>
      <c r="T118" s="389">
        <v>0</v>
      </c>
      <c r="U118" s="893">
        <v>0</v>
      </c>
      <c r="V118" s="389">
        <v>0</v>
      </c>
      <c r="W118" s="389">
        <v>0</v>
      </c>
      <c r="X118" s="894">
        <v>0</v>
      </c>
      <c r="Y118" s="389">
        <v>0</v>
      </c>
      <c r="Z118" s="389">
        <v>0</v>
      </c>
      <c r="AA118" s="389">
        <v>0</v>
      </c>
      <c r="AB118" s="389">
        <v>0</v>
      </c>
      <c r="AC118" s="893">
        <v>0</v>
      </c>
      <c r="AD118" s="389">
        <v>0</v>
      </c>
      <c r="AE118" s="389">
        <v>0</v>
      </c>
      <c r="AF118" s="389">
        <v>0</v>
      </c>
      <c r="AG118" s="500">
        <v>0</v>
      </c>
      <c r="AH118" s="438">
        <v>0</v>
      </c>
      <c r="AI118" s="438">
        <v>0</v>
      </c>
      <c r="AJ118" s="460">
        <v>0</v>
      </c>
      <c r="AK118" s="438">
        <v>0</v>
      </c>
      <c r="AL118" s="438">
        <v>0</v>
      </c>
      <c r="AM118" s="438">
        <v>0</v>
      </c>
      <c r="AN118" s="460">
        <v>0</v>
      </c>
      <c r="AO118" s="438">
        <v>0</v>
      </c>
      <c r="AP118" s="438">
        <v>0</v>
      </c>
      <c r="AQ118" s="438">
        <v>0</v>
      </c>
      <c r="AR118" s="460">
        <v>0</v>
      </c>
      <c r="AS118" s="438">
        <v>0</v>
      </c>
      <c r="AT118" s="438">
        <v>0</v>
      </c>
      <c r="AU118" s="438">
        <v>0</v>
      </c>
      <c r="AV118" s="460">
        <v>0</v>
      </c>
      <c r="AW118" s="438">
        <v>0</v>
      </c>
      <c r="AX118" s="438">
        <v>0</v>
      </c>
      <c r="AY118" s="438">
        <v>0</v>
      </c>
      <c r="AZ118" s="460">
        <v>0</v>
      </c>
      <c r="BA118" s="438">
        <v>0</v>
      </c>
      <c r="BB118" s="438">
        <v>0</v>
      </c>
      <c r="BC118" s="438">
        <v>0</v>
      </c>
      <c r="BD118" s="460">
        <v>0</v>
      </c>
      <c r="BF118" s="54"/>
      <c r="BG118" s="1090"/>
      <c r="BH118" s="589"/>
      <c r="BI118" s="389">
        <v>0</v>
      </c>
      <c r="BJ118" s="389">
        <v>0</v>
      </c>
      <c r="BK118" s="389">
        <v>0</v>
      </c>
      <c r="BL118" s="389">
        <v>0</v>
      </c>
      <c r="BM118" s="389">
        <v>0</v>
      </c>
      <c r="BN118" s="389">
        <v>0</v>
      </c>
      <c r="BO118" s="389">
        <v>0</v>
      </c>
      <c r="BP118" s="389">
        <v>0</v>
      </c>
      <c r="BQ118" s="389">
        <v>0</v>
      </c>
      <c r="BR118" s="389">
        <v>0</v>
      </c>
      <c r="BS118" s="389">
        <v>0</v>
      </c>
      <c r="BT118" s="389">
        <v>0</v>
      </c>
      <c r="BU118" s="389">
        <v>0</v>
      </c>
      <c r="BV118" s="389">
        <v>0</v>
      </c>
      <c r="BW118" s="389">
        <v>0</v>
      </c>
      <c r="BX118" s="389">
        <v>0</v>
      </c>
      <c r="BY118" s="389">
        <v>0</v>
      </c>
      <c r="BZ118" s="894">
        <v>0</v>
      </c>
      <c r="CA118" s="36"/>
      <c r="CB118" s="36"/>
      <c r="CC118" s="36"/>
      <c r="CD118" s="36"/>
      <c r="CE118" s="36"/>
      <c r="CF118" s="36"/>
      <c r="CG118" s="1765"/>
      <c r="CH118" s="1765"/>
      <c r="CI118" s="1765"/>
      <c r="CJ118" s="36"/>
      <c r="CK118" s="36"/>
      <c r="CL118" s="36"/>
      <c r="CM118" s="36"/>
      <c r="CN118" s="36"/>
      <c r="CO118" s="36"/>
      <c r="CP118" s="36"/>
      <c r="CQ118" s="36"/>
      <c r="CR118" s="36"/>
    </row>
    <row r="119" spans="1:96" ht="11.25" customHeight="1" outlineLevel="1">
      <c r="A119" s="36"/>
      <c r="H119" s="36"/>
      <c r="I119" s="994" t="s">
        <v>407</v>
      </c>
      <c r="J119" s="5"/>
      <c r="K119" s="5"/>
      <c r="L119" s="5"/>
      <c r="M119" s="626">
        <f>+M221+M222+M223+M224</f>
        <v>0</v>
      </c>
      <c r="N119" s="336">
        <f t="shared" ref="N119:AJ119" si="239">+N221+N222+N223+N224</f>
        <v>0</v>
      </c>
      <c r="O119" s="336">
        <f t="shared" si="239"/>
        <v>-0.65600000000000003</v>
      </c>
      <c r="P119" s="613">
        <f t="shared" si="239"/>
        <v>-0.57300000000000006</v>
      </c>
      <c r="Q119" s="336">
        <f t="shared" si="239"/>
        <v>-0.53700000000000003</v>
      </c>
      <c r="R119" s="336">
        <f t="shared" si="239"/>
        <v>-0.5179999999999999</v>
      </c>
      <c r="S119" s="336">
        <f t="shared" si="239"/>
        <v>-0.55300000000000027</v>
      </c>
      <c r="T119" s="336">
        <f t="shared" si="239"/>
        <v>-0.89799999999999969</v>
      </c>
      <c r="U119" s="626">
        <f t="shared" si="239"/>
        <v>-0.61199999999999999</v>
      </c>
      <c r="V119" s="336">
        <f t="shared" si="239"/>
        <v>-0.97800000000000009</v>
      </c>
      <c r="W119" s="336">
        <f t="shared" si="239"/>
        <v>-0.74399999999999988</v>
      </c>
      <c r="X119" s="613">
        <f t="shared" si="239"/>
        <v>-24.721</v>
      </c>
      <c r="Y119" s="336">
        <f t="shared" si="239"/>
        <v>-0.96899999999999997</v>
      </c>
      <c r="Z119" s="336">
        <f t="shared" si="239"/>
        <v>-1.6999999999999904E-2</v>
      </c>
      <c r="AA119" s="336">
        <f t="shared" si="239"/>
        <v>-3.1830000000000003</v>
      </c>
      <c r="AB119" s="336">
        <f t="shared" si="239"/>
        <v>-1.5909999999999997</v>
      </c>
      <c r="AC119" s="626">
        <f t="shared" si="239"/>
        <v>-1.5920000000000001</v>
      </c>
      <c r="AD119" s="336">
        <f t="shared" si="239"/>
        <v>-124.947</v>
      </c>
      <c r="AE119" s="336">
        <f t="shared" si="239"/>
        <v>-10.109000000000009</v>
      </c>
      <c r="AF119" s="613">
        <f t="shared" si="239"/>
        <v>-48.207999999999977</v>
      </c>
      <c r="AG119" s="336">
        <f t="shared" si="239"/>
        <v>-92.829000000000008</v>
      </c>
      <c r="AH119" s="336">
        <f t="shared" si="239"/>
        <v>56.567999999999998</v>
      </c>
      <c r="AI119" s="336">
        <f t="shared" si="239"/>
        <v>-13.781999999999982</v>
      </c>
      <c r="AJ119" s="613">
        <f t="shared" si="239"/>
        <v>-5.627999999999993</v>
      </c>
      <c r="AK119" s="336">
        <f t="shared" ref="AK119:AP119" si="240">+AK221+AK222+AK223+AK224</f>
        <v>-4.7259999999999991</v>
      </c>
      <c r="AL119" s="336">
        <f t="shared" si="240"/>
        <v>-11.783000000000015</v>
      </c>
      <c r="AM119" s="336">
        <f t="shared" si="240"/>
        <v>-11.536999999999974</v>
      </c>
      <c r="AN119" s="613">
        <f t="shared" si="240"/>
        <v>-3.7009999999999659</v>
      </c>
      <c r="AO119" s="336">
        <f>+AO221+AO222+AO223+AO224</f>
        <v>-41.012</v>
      </c>
      <c r="AP119" s="336">
        <f t="shared" si="240"/>
        <v>-2.416999999999998</v>
      </c>
      <c r="AQ119" s="336">
        <f t="shared" ref="AQ119:AR119" si="241">+AQ221+AQ222+AQ223+AQ224</f>
        <v>-7.9079999999999711</v>
      </c>
      <c r="AR119" s="613">
        <f t="shared" si="241"/>
        <v>147.91400000000002</v>
      </c>
      <c r="AS119" s="336">
        <f t="shared" ref="AS119:BD119" si="242">+AS221+AS222+AS223+AS224</f>
        <v>0</v>
      </c>
      <c r="AT119" s="336">
        <f t="shared" si="242"/>
        <v>0</v>
      </c>
      <c r="AU119" s="336">
        <f t="shared" si="242"/>
        <v>0</v>
      </c>
      <c r="AV119" s="613">
        <f t="shared" si="242"/>
        <v>0</v>
      </c>
      <c r="AW119" s="336">
        <f t="shared" si="242"/>
        <v>0</v>
      </c>
      <c r="AX119" s="336">
        <f t="shared" si="242"/>
        <v>0</v>
      </c>
      <c r="AY119" s="336">
        <f t="shared" si="242"/>
        <v>0</v>
      </c>
      <c r="AZ119" s="613">
        <f t="shared" si="242"/>
        <v>0</v>
      </c>
      <c r="BA119" s="336">
        <f t="shared" si="242"/>
        <v>0</v>
      </c>
      <c r="BB119" s="336">
        <f t="shared" si="242"/>
        <v>0</v>
      </c>
      <c r="BC119" s="336">
        <f t="shared" si="242"/>
        <v>0</v>
      </c>
      <c r="BD119" s="613">
        <f t="shared" si="242"/>
        <v>0</v>
      </c>
      <c r="BF119" s="54"/>
      <c r="BG119" s="625"/>
      <c r="BH119" s="327"/>
      <c r="BI119" s="336">
        <f>+BI221+BI222+BI223+BI224</f>
        <v>0.53500000000000081</v>
      </c>
      <c r="BJ119" s="336">
        <f t="shared" ref="BJ119:BU119" si="243">+BJ221+BJ222+BJ223+BJ224</f>
        <v>1.2929999999999997</v>
      </c>
      <c r="BK119" s="336">
        <f t="shared" si="243"/>
        <v>-1.2290000000000001</v>
      </c>
      <c r="BL119" s="336">
        <f t="shared" si="243"/>
        <v>-2.5059999999999998</v>
      </c>
      <c r="BM119" s="336">
        <f t="shared" si="243"/>
        <v>-27.055</v>
      </c>
      <c r="BN119" s="336">
        <f t="shared" si="243"/>
        <v>-5.76</v>
      </c>
      <c r="BO119" s="336">
        <f t="shared" si="243"/>
        <v>-184.85599999999997</v>
      </c>
      <c r="BP119" s="336">
        <f t="shared" si="243"/>
        <v>-55.670999999999985</v>
      </c>
      <c r="BQ119" s="336">
        <f t="shared" si="243"/>
        <v>-31.746999999999954</v>
      </c>
      <c r="BR119" s="336">
        <f t="shared" si="243"/>
        <v>96.577000000000041</v>
      </c>
      <c r="BS119" s="336">
        <f t="shared" si="243"/>
        <v>0</v>
      </c>
      <c r="BT119" s="336">
        <f t="shared" si="243"/>
        <v>0</v>
      </c>
      <c r="BU119" s="336">
        <f t="shared" si="243"/>
        <v>0</v>
      </c>
      <c r="BV119" s="336">
        <f>+BV221+BV222+BV223+BV224</f>
        <v>0</v>
      </c>
      <c r="BW119" s="336">
        <f>+BW221+BW222+BW223+BW224</f>
        <v>0</v>
      </c>
      <c r="BX119" s="336">
        <f>+BX221+BX222+BX223+BX224</f>
        <v>0</v>
      </c>
      <c r="BY119" s="336">
        <f>+BY221+BY222+BY223+BY224</f>
        <v>0</v>
      </c>
      <c r="BZ119" s="613">
        <f>+BZ221+BZ222+BZ223+BZ224</f>
        <v>0</v>
      </c>
      <c r="CA119" s="36"/>
      <c r="CB119" s="36"/>
      <c r="CC119" s="36"/>
      <c r="CD119" s="36"/>
      <c r="CE119" s="36"/>
      <c r="CF119" s="36"/>
      <c r="CG119" s="1765"/>
      <c r="CH119" s="1765"/>
      <c r="CI119" s="1765"/>
      <c r="CJ119" s="36"/>
      <c r="CK119" s="36"/>
      <c r="CL119" s="36"/>
      <c r="CM119" s="36"/>
      <c r="CN119" s="36"/>
      <c r="CO119" s="36"/>
      <c r="CP119" s="36"/>
      <c r="CQ119" s="36"/>
      <c r="CR119" s="36"/>
    </row>
    <row r="120" spans="1:96" ht="11.25" customHeight="1" outlineLevel="1">
      <c r="A120" s="36"/>
      <c r="H120" s="36"/>
      <c r="I120" s="994" t="s">
        <v>408</v>
      </c>
      <c r="J120" s="5"/>
      <c r="K120" s="5"/>
      <c r="L120" s="5"/>
      <c r="M120" s="626">
        <f t="shared" ref="M120:AN120" si="244">M92</f>
        <v>0</v>
      </c>
      <c r="N120" s="336">
        <f t="shared" si="244"/>
        <v>0</v>
      </c>
      <c r="O120" s="336">
        <f t="shared" si="244"/>
        <v>0</v>
      </c>
      <c r="P120" s="613">
        <f t="shared" si="244"/>
        <v>0</v>
      </c>
      <c r="Q120" s="336">
        <f t="shared" si="244"/>
        <v>0</v>
      </c>
      <c r="R120" s="336">
        <f t="shared" si="244"/>
        <v>0</v>
      </c>
      <c r="S120" s="336">
        <f t="shared" si="244"/>
        <v>0</v>
      </c>
      <c r="T120" s="336">
        <f t="shared" si="244"/>
        <v>0</v>
      </c>
      <c r="U120" s="626">
        <f t="shared" si="244"/>
        <v>0</v>
      </c>
      <c r="V120" s="336">
        <f t="shared" si="244"/>
        <v>0</v>
      </c>
      <c r="W120" s="336">
        <f t="shared" si="244"/>
        <v>0.26836005000000002</v>
      </c>
      <c r="X120" s="613">
        <f t="shared" si="244"/>
        <v>7.3578470000000007E-2</v>
      </c>
      <c r="Y120" s="336">
        <f t="shared" si="244"/>
        <v>8.0730319999999994E-2</v>
      </c>
      <c r="Z120" s="336">
        <f t="shared" si="244"/>
        <v>0.10650583000000001</v>
      </c>
      <c r="AA120" s="336">
        <f t="shared" si="244"/>
        <v>0.17493135999999998</v>
      </c>
      <c r="AB120" s="336">
        <f t="shared" si="244"/>
        <v>0.32550938999999995</v>
      </c>
      <c r="AC120" s="626">
        <f t="shared" si="244"/>
        <v>0.36109424000000001</v>
      </c>
      <c r="AD120" s="336">
        <f t="shared" si="244"/>
        <v>0.28070296</v>
      </c>
      <c r="AE120" s="336">
        <f t="shared" si="244"/>
        <v>0.39282759999999994</v>
      </c>
      <c r="AF120" s="613">
        <f t="shared" si="244"/>
        <v>0.39282759999999994</v>
      </c>
      <c r="AG120" s="336">
        <f t="shared" si="244"/>
        <v>0.27786399000000001</v>
      </c>
      <c r="AH120" s="336">
        <f t="shared" si="244"/>
        <v>0.22713555999999999</v>
      </c>
      <c r="AI120" s="336">
        <f t="shared" si="244"/>
        <v>8.658006E-2</v>
      </c>
      <c r="AJ120" s="613">
        <f t="shared" si="244"/>
        <v>0</v>
      </c>
      <c r="AK120" s="336">
        <f t="shared" si="244"/>
        <v>0</v>
      </c>
      <c r="AL120" s="336">
        <f t="shared" si="244"/>
        <v>0</v>
      </c>
      <c r="AM120" s="336">
        <f t="shared" si="244"/>
        <v>0</v>
      </c>
      <c r="AN120" s="613">
        <f t="shared" si="244"/>
        <v>0</v>
      </c>
      <c r="AO120" s="336">
        <f>AO92</f>
        <v>0</v>
      </c>
      <c r="AP120" s="336">
        <f t="shared" ref="AP120:AV120" si="245">AP92</f>
        <v>0</v>
      </c>
      <c r="AQ120" s="336">
        <f t="shared" ref="AQ120:AR120" si="246">AQ92</f>
        <v>8</v>
      </c>
      <c r="AR120" s="613">
        <f t="shared" si="246"/>
        <v>4.5559999999999992</v>
      </c>
      <c r="AS120" s="336">
        <f t="shared" si="245"/>
        <v>0</v>
      </c>
      <c r="AT120" s="336">
        <f t="shared" si="245"/>
        <v>0</v>
      </c>
      <c r="AU120" s="336">
        <f t="shared" si="245"/>
        <v>0</v>
      </c>
      <c r="AV120" s="613">
        <f t="shared" si="245"/>
        <v>0</v>
      </c>
      <c r="AW120" s="336">
        <f t="shared" ref="AW120:BD120" si="247">AW92</f>
        <v>0</v>
      </c>
      <c r="AX120" s="336">
        <f t="shared" si="247"/>
        <v>0</v>
      </c>
      <c r="AY120" s="336">
        <f t="shared" si="247"/>
        <v>0</v>
      </c>
      <c r="AZ120" s="613">
        <f t="shared" si="247"/>
        <v>0</v>
      </c>
      <c r="BA120" s="336">
        <f t="shared" si="247"/>
        <v>0</v>
      </c>
      <c r="BB120" s="336">
        <f t="shared" si="247"/>
        <v>0</v>
      </c>
      <c r="BC120" s="336">
        <f t="shared" si="247"/>
        <v>0</v>
      </c>
      <c r="BD120" s="613">
        <f t="shared" si="247"/>
        <v>0</v>
      </c>
      <c r="BF120" s="54"/>
      <c r="BG120" s="625"/>
      <c r="BH120" s="327"/>
      <c r="BI120" s="336">
        <f t="shared" ref="BI120:BU120" si="248">BI92</f>
        <v>0</v>
      </c>
      <c r="BJ120" s="336">
        <f t="shared" si="248"/>
        <v>0</v>
      </c>
      <c r="BK120" s="336">
        <f t="shared" si="248"/>
        <v>0</v>
      </c>
      <c r="BL120" s="336">
        <f t="shared" si="248"/>
        <v>0</v>
      </c>
      <c r="BM120" s="336">
        <f t="shared" si="248"/>
        <v>0.34193852000000002</v>
      </c>
      <c r="BN120" s="336">
        <f t="shared" si="248"/>
        <v>0.68767689999999992</v>
      </c>
      <c r="BO120" s="336">
        <f t="shared" si="248"/>
        <v>1.4274524</v>
      </c>
      <c r="BP120" s="336">
        <f t="shared" si="248"/>
        <v>0.59157960999999992</v>
      </c>
      <c r="BQ120" s="336">
        <f t="shared" si="248"/>
        <v>0</v>
      </c>
      <c r="BR120" s="336">
        <f t="shared" si="248"/>
        <v>12.555999999999999</v>
      </c>
      <c r="BS120" s="336">
        <f t="shared" si="248"/>
        <v>0</v>
      </c>
      <c r="BT120" s="336">
        <f t="shared" si="248"/>
        <v>0</v>
      </c>
      <c r="BU120" s="336">
        <f t="shared" si="248"/>
        <v>0</v>
      </c>
      <c r="BV120" s="336">
        <f>BV92</f>
        <v>0</v>
      </c>
      <c r="BW120" s="336">
        <f>BW92</f>
        <v>0</v>
      </c>
      <c r="BX120" s="336">
        <f>BX92</f>
        <v>0</v>
      </c>
      <c r="BY120" s="336">
        <f>BY92</f>
        <v>0</v>
      </c>
      <c r="BZ120" s="613">
        <f>BZ92</f>
        <v>0</v>
      </c>
      <c r="CA120" s="36"/>
      <c r="CB120" s="36"/>
      <c r="CC120" s="36"/>
      <c r="CD120" s="36"/>
      <c r="CE120" s="36"/>
      <c r="CF120" s="36"/>
      <c r="CG120" s="1765"/>
      <c r="CH120" s="1765"/>
      <c r="CI120" s="1765"/>
      <c r="CJ120" s="36"/>
      <c r="CK120" s="36"/>
      <c r="CL120" s="36"/>
      <c r="CM120" s="36"/>
      <c r="CN120" s="36"/>
      <c r="CO120" s="36"/>
      <c r="CP120" s="36"/>
      <c r="CQ120" s="36"/>
      <c r="CR120" s="36"/>
    </row>
    <row r="121" spans="1:96" ht="11.25" customHeight="1" outlineLevel="1">
      <c r="A121" s="36"/>
      <c r="H121" s="36"/>
      <c r="I121" s="1060" t="s">
        <v>409</v>
      </c>
      <c r="J121" s="5"/>
      <c r="K121" s="5"/>
      <c r="L121" s="5"/>
      <c r="M121" s="709">
        <f t="shared" ref="M121:AJ121" si="249">SUM(M115:M120)</f>
        <v>0</v>
      </c>
      <c r="N121" s="108">
        <f t="shared" si="249"/>
        <v>0</v>
      </c>
      <c r="O121" s="108">
        <f t="shared" si="249"/>
        <v>-4.5599999999999987</v>
      </c>
      <c r="P121" s="1055">
        <f t="shared" si="249"/>
        <v>-2.4640000000000013</v>
      </c>
      <c r="Q121" s="108">
        <f t="shared" si="249"/>
        <v>-0.35399999999999943</v>
      </c>
      <c r="R121" s="108">
        <f t="shared" si="249"/>
        <v>-1.4079999999999988</v>
      </c>
      <c r="S121" s="108">
        <f t="shared" si="249"/>
        <v>-2.9020000000000068</v>
      </c>
      <c r="T121" s="108">
        <f t="shared" si="249"/>
        <v>-2.3899999999999983</v>
      </c>
      <c r="U121" s="709">
        <f t="shared" si="249"/>
        <v>-3.7519999999999989</v>
      </c>
      <c r="V121" s="108">
        <f t="shared" si="249"/>
        <v>-2.2050000000000027</v>
      </c>
      <c r="W121" s="108">
        <f t="shared" si="249"/>
        <v>-1.3206399499999981</v>
      </c>
      <c r="X121" s="1055">
        <f t="shared" si="249"/>
        <v>-28.082421530000008</v>
      </c>
      <c r="Y121" s="108">
        <f t="shared" si="249"/>
        <v>-1.585269679999987</v>
      </c>
      <c r="Z121" s="108">
        <f t="shared" si="249"/>
        <v>0.93450583000000254</v>
      </c>
      <c r="AA121" s="108">
        <f t="shared" si="249"/>
        <v>-0.59506864000000803</v>
      </c>
      <c r="AB121" s="108">
        <f t="shared" si="249"/>
        <v>1.3625093899999994</v>
      </c>
      <c r="AC121" s="709">
        <f t="shared" si="249"/>
        <v>3.8460942399999873</v>
      </c>
      <c r="AD121" s="108">
        <f t="shared" si="249"/>
        <v>-116.96629704</v>
      </c>
      <c r="AE121" s="108">
        <f t="shared" si="249"/>
        <v>3.8028275999999841</v>
      </c>
      <c r="AF121" s="1055">
        <f t="shared" si="249"/>
        <v>-45.233172399999958</v>
      </c>
      <c r="AG121" s="108">
        <f t="shared" si="249"/>
        <v>-77.797136010000003</v>
      </c>
      <c r="AH121" s="108">
        <f t="shared" si="249"/>
        <v>-5.7748644399999955</v>
      </c>
      <c r="AI121" s="108">
        <f t="shared" si="249"/>
        <v>-11.132419939999993</v>
      </c>
      <c r="AJ121" s="1055">
        <f t="shared" si="249"/>
        <v>-7.5619999999999763</v>
      </c>
      <c r="AK121" s="108">
        <f t="shared" ref="AK121:AP121" si="250">SUM(AK115:AK120)</f>
        <v>11.507999999999999</v>
      </c>
      <c r="AL121" s="108">
        <f t="shared" si="250"/>
        <v>6.0889999999999915</v>
      </c>
      <c r="AM121" s="108">
        <f t="shared" si="250"/>
        <v>18.423000000000023</v>
      </c>
      <c r="AN121" s="1055">
        <f t="shared" si="250"/>
        <v>36.139000000000031</v>
      </c>
      <c r="AO121" s="108">
        <f>SUM(AO115:AO120)</f>
        <v>-2.2290000000000063</v>
      </c>
      <c r="AP121" s="108">
        <f t="shared" si="250"/>
        <v>31.044000000000008</v>
      </c>
      <c r="AQ121" s="108">
        <f t="shared" ref="AQ121:AR121" si="251">SUM(AQ115:AQ120)</f>
        <v>47.917000000000037</v>
      </c>
      <c r="AR121" s="1055">
        <f t="shared" si="251"/>
        <v>184.45000000000007</v>
      </c>
      <c r="AS121" s="108">
        <f t="shared" ref="AS121:BD121" si="252">SUM(AS115:AS120)</f>
        <v>0.28296429506680187</v>
      </c>
      <c r="AT121" s="108">
        <f t="shared" si="252"/>
        <v>31.271643331764768</v>
      </c>
      <c r="AU121" s="108">
        <f t="shared" si="252"/>
        <v>76.854666646679007</v>
      </c>
      <c r="AV121" s="1055">
        <f t="shared" si="252"/>
        <v>40.737937747454204</v>
      </c>
      <c r="AW121" s="108">
        <f t="shared" si="252"/>
        <v>31.632168510263618</v>
      </c>
      <c r="AX121" s="108">
        <f t="shared" si="252"/>
        <v>40.936435393623562</v>
      </c>
      <c r="AY121" s="108">
        <f t="shared" si="252"/>
        <v>52.939277816681994</v>
      </c>
      <c r="AZ121" s="1055">
        <f t="shared" si="252"/>
        <v>44.933135208571876</v>
      </c>
      <c r="BA121" s="108">
        <f t="shared" si="252"/>
        <v>39.777354315827331</v>
      </c>
      <c r="BB121" s="108">
        <f t="shared" si="252"/>
        <v>48.928633023873722</v>
      </c>
      <c r="BC121" s="108">
        <f t="shared" si="252"/>
        <v>61.995711577763032</v>
      </c>
      <c r="BD121" s="1055">
        <f t="shared" si="252"/>
        <v>52.80885375678524</v>
      </c>
      <c r="BF121" s="54"/>
      <c r="BG121" s="1088"/>
      <c r="BH121" s="1085"/>
      <c r="BI121" s="108">
        <f t="shared" ref="BI121:BU121" si="253">SUM(BI115:BI120)</f>
        <v>-5.5269999999999984</v>
      </c>
      <c r="BJ121" s="108">
        <f t="shared" si="253"/>
        <v>3.8000000000004919E-2</v>
      </c>
      <c r="BK121" s="108">
        <f t="shared" si="253"/>
        <v>-12.610999999999994</v>
      </c>
      <c r="BL121" s="108">
        <f t="shared" si="253"/>
        <v>-7.0540000000000056</v>
      </c>
      <c r="BM121" s="108">
        <f t="shared" si="253"/>
        <v>-35.360061480000013</v>
      </c>
      <c r="BN121" s="108">
        <f t="shared" si="253"/>
        <v>0.11667690000001085</v>
      </c>
      <c r="BO121" s="108">
        <f t="shared" si="253"/>
        <v>-154.55054759999999</v>
      </c>
      <c r="BP121" s="108">
        <f t="shared" si="253"/>
        <v>-102.26642038999998</v>
      </c>
      <c r="BQ121" s="108">
        <f t="shared" si="253"/>
        <v>72.15900000000002</v>
      </c>
      <c r="BR121" s="108">
        <f t="shared" si="253"/>
        <v>261.18200000000007</v>
      </c>
      <c r="BS121" s="108">
        <f t="shared" si="253"/>
        <v>149.14721202096479</v>
      </c>
      <c r="BT121" s="108">
        <f t="shared" si="253"/>
        <v>170.44101692914106</v>
      </c>
      <c r="BU121" s="108">
        <f t="shared" si="253"/>
        <v>203.51055267424934</v>
      </c>
      <c r="BV121" s="108">
        <f>SUM(BV115:BV120)</f>
        <v>237.44256958371884</v>
      </c>
      <c r="BW121" s="108">
        <f>SUM(BW115:BW120)</f>
        <v>274.82732494230004</v>
      </c>
      <c r="BX121" s="108">
        <f>SUM(BX115:BX120)</f>
        <v>313.70426516818964</v>
      </c>
      <c r="BY121" s="108">
        <f>SUM(BY115:BY120)</f>
        <v>354.07436978013698</v>
      </c>
      <c r="BZ121" s="1055">
        <f>SUM(BZ115:BZ120)</f>
        <v>396.52901569646508</v>
      </c>
      <c r="CA121" s="36"/>
      <c r="CB121" s="36"/>
      <c r="CC121" s="36"/>
      <c r="CD121" s="36"/>
      <c r="CE121" s="36"/>
      <c r="CF121" s="36"/>
      <c r="CG121" s="1765"/>
      <c r="CH121" s="1765"/>
      <c r="CI121" s="1765"/>
      <c r="CJ121" s="36"/>
      <c r="CK121" s="36"/>
      <c r="CL121" s="36"/>
      <c r="CM121" s="36"/>
      <c r="CN121" s="36"/>
      <c r="CO121" s="36"/>
      <c r="CP121" s="36"/>
      <c r="CQ121" s="36"/>
      <c r="CR121" s="36"/>
    </row>
    <row r="122" spans="1:96" ht="11.25" customHeight="1" outlineLevel="1">
      <c r="A122" s="36"/>
      <c r="H122" s="36"/>
      <c r="I122" s="1060"/>
      <c r="J122" s="5"/>
      <c r="K122" s="5"/>
      <c r="L122" s="5"/>
      <c r="M122" s="450"/>
      <c r="N122" s="5"/>
      <c r="O122" s="5"/>
      <c r="P122" s="492"/>
      <c r="Q122" s="5"/>
      <c r="R122" s="5"/>
      <c r="S122" s="5"/>
      <c r="T122" s="5"/>
      <c r="U122" s="450"/>
      <c r="V122" s="5"/>
      <c r="W122" s="5"/>
      <c r="X122" s="492"/>
      <c r="Y122" s="5"/>
      <c r="Z122" s="5"/>
      <c r="AA122" s="5"/>
      <c r="AB122" s="5"/>
      <c r="AC122" s="450"/>
      <c r="AD122" s="5"/>
      <c r="AE122" s="5"/>
      <c r="AF122" s="492"/>
      <c r="AG122" s="5"/>
      <c r="AH122" s="5"/>
      <c r="AI122" s="5"/>
      <c r="AJ122" s="492"/>
      <c r="AK122" s="5"/>
      <c r="AL122" s="5"/>
      <c r="AM122" s="5"/>
      <c r="AN122" s="492"/>
      <c r="AO122" s="5"/>
      <c r="AP122" s="5"/>
      <c r="AQ122" s="5"/>
      <c r="AR122" s="492"/>
      <c r="AS122" s="5"/>
      <c r="AT122" s="5"/>
      <c r="AU122" s="5"/>
      <c r="AV122" s="492"/>
      <c r="AW122" s="5"/>
      <c r="AX122" s="5"/>
      <c r="AY122" s="5"/>
      <c r="AZ122" s="492"/>
      <c r="BA122" s="5"/>
      <c r="BB122" s="5"/>
      <c r="BC122" s="5"/>
      <c r="BD122" s="492"/>
      <c r="BF122" s="54"/>
      <c r="BG122" s="1089"/>
      <c r="BH122" s="1086"/>
      <c r="BI122" s="5"/>
      <c r="BJ122" s="5"/>
      <c r="BK122" s="5"/>
      <c r="BL122" s="5"/>
      <c r="BM122" s="5"/>
      <c r="BN122" s="5"/>
      <c r="BO122" s="5"/>
      <c r="BP122" s="5"/>
      <c r="BQ122" s="5"/>
      <c r="BR122" s="5"/>
      <c r="BS122" s="5"/>
      <c r="BT122" s="5"/>
      <c r="BU122" s="5"/>
      <c r="BV122" s="5"/>
      <c r="BW122" s="5"/>
      <c r="BX122" s="5"/>
      <c r="BY122" s="5"/>
      <c r="BZ122" s="492"/>
      <c r="CA122" s="36"/>
      <c r="CB122" s="36"/>
      <c r="CC122" s="36"/>
      <c r="CD122" s="36"/>
      <c r="CE122" s="36"/>
      <c r="CF122" s="36"/>
      <c r="CG122" s="1765"/>
      <c r="CH122" s="1765"/>
      <c r="CI122" s="1765"/>
      <c r="CJ122" s="36"/>
      <c r="CK122" s="36"/>
      <c r="CL122" s="36"/>
      <c r="CM122" s="36"/>
      <c r="CN122" s="36"/>
      <c r="CO122" s="36"/>
      <c r="CP122" s="36"/>
      <c r="CQ122" s="36"/>
      <c r="CR122" s="36"/>
    </row>
    <row r="123" spans="1:96" ht="11.25" customHeight="1" outlineLevel="1">
      <c r="A123" s="36"/>
      <c r="H123" s="36"/>
      <c r="I123" s="1064" t="s">
        <v>410</v>
      </c>
      <c r="J123" s="5"/>
      <c r="K123" s="5"/>
      <c r="L123" s="5"/>
      <c r="M123" s="1067">
        <f t="shared" ref="M123:AF123" si="254">M105/M18</f>
        <v>-0.122810858143608</v>
      </c>
      <c r="N123" s="1065">
        <f t="shared" si="254"/>
        <v>-0.20723408222242945</v>
      </c>
      <c r="O123" s="1065">
        <f t="shared" si="254"/>
        <v>-0.11966015562966481</v>
      </c>
      <c r="P123" s="1066">
        <f t="shared" si="254"/>
        <v>7.8826764436297089E-2</v>
      </c>
      <c r="Q123" s="1065">
        <f t="shared" si="254"/>
        <v>-0.18133333333333329</v>
      </c>
      <c r="R123" s="1065">
        <f t="shared" si="254"/>
        <v>-4.9034630707937297E-3</v>
      </c>
      <c r="S123" s="1065">
        <f t="shared" si="254"/>
        <v>-5.6945565420141633E-2</v>
      </c>
      <c r="T123" s="1065">
        <f t="shared" si="254"/>
        <v>-7.9863481228668903E-2</v>
      </c>
      <c r="U123" s="1067">
        <f t="shared" si="254"/>
        <v>-0.20536790213620607</v>
      </c>
      <c r="V123" s="1065">
        <f t="shared" si="254"/>
        <v>-1.9630661807490856E-2</v>
      </c>
      <c r="W123" s="1065">
        <f t="shared" si="254"/>
        <v>-2.5184900057738199E-2</v>
      </c>
      <c r="X123" s="1066">
        <f t="shared" si="254"/>
        <v>-5.0732560682265393E-2</v>
      </c>
      <c r="Y123" s="1065">
        <f t="shared" si="254"/>
        <v>-4.8100058526434578E-2</v>
      </c>
      <c r="Z123" s="1065">
        <f t="shared" si="254"/>
        <v>-5.228722534212963E-2</v>
      </c>
      <c r="AA123" s="1065">
        <f t="shared" si="254"/>
        <v>-9.7938902600480549E-2</v>
      </c>
      <c r="AB123" s="1065">
        <f t="shared" si="254"/>
        <v>-0.11157662311927652</v>
      </c>
      <c r="AC123" s="1067">
        <f t="shared" si="254"/>
        <v>-0.13586451503134528</v>
      </c>
      <c r="AD123" s="1065">
        <f t="shared" si="254"/>
        <v>-4.1109621904107621E-2</v>
      </c>
      <c r="AE123" s="1065">
        <f t="shared" si="254"/>
        <v>-9.8853155043677587E-2</v>
      </c>
      <c r="AF123" s="1066">
        <f t="shared" si="254"/>
        <v>-6.457542748459788E-2</v>
      </c>
      <c r="AG123" s="1065">
        <f t="shared" ref="AG123:AQ123" si="255">AG105/AG23</f>
        <v>-0.26940071556350631</v>
      </c>
      <c r="AH123" s="1065">
        <f t="shared" si="255"/>
        <v>-0.14888535031847147</v>
      </c>
      <c r="AI123" s="1065">
        <f t="shared" si="255"/>
        <v>-0.16427934621099552</v>
      </c>
      <c r="AJ123" s="1066">
        <f t="shared" si="255"/>
        <v>-6.4853442399454786E-2</v>
      </c>
      <c r="AK123" s="1065">
        <f t="shared" si="255"/>
        <v>-0.18890633176347449</v>
      </c>
      <c r="AL123" s="1065">
        <f t="shared" si="255"/>
        <v>-8.7955808750605546E-2</v>
      </c>
      <c r="AM123" s="1065">
        <f t="shared" si="255"/>
        <v>-0.12971991924051729</v>
      </c>
      <c r="AN123" s="1066">
        <f t="shared" si="255"/>
        <v>-0.12168114334996621</v>
      </c>
      <c r="AO123" s="1065">
        <f t="shared" si="255"/>
        <v>-0.18395220019967271</v>
      </c>
      <c r="AP123" s="1065">
        <f t="shared" si="255"/>
        <v>-8.4078634901179797E-2</v>
      </c>
      <c r="AQ123" s="1065">
        <f t="shared" si="255"/>
        <v>-0.15351650328266941</v>
      </c>
      <c r="AR123" s="1066">
        <f t="shared" ref="AR123" si="256">AR105/AR23</f>
        <v>-0.10747963307460418</v>
      </c>
      <c r="AS123" s="1065">
        <f>AS105/AS23</f>
        <v>8.960881728455962E-4</v>
      </c>
      <c r="AT123" s="1065">
        <f>AT105/AT23</f>
        <v>-7.6071572406321689E-2</v>
      </c>
      <c r="AU123" s="1065">
        <f>AU105/AU23</f>
        <v>-0.25211358938580264</v>
      </c>
      <c r="AV123" s="1066">
        <f>AV105/AV23</f>
        <v>-8.0547572643049986E-2</v>
      </c>
      <c r="AW123" s="1065" t="e">
        <f t="shared" ref="AW123:BD123" si="257">AW105/AW18</f>
        <v>#REF!</v>
      </c>
      <c r="AX123" s="1065" t="e">
        <f t="shared" si="257"/>
        <v>#REF!</v>
      </c>
      <c r="AY123" s="1065" t="e">
        <f t="shared" si="257"/>
        <v>#REF!</v>
      </c>
      <c r="AZ123" s="1066" t="e">
        <f t="shared" si="257"/>
        <v>#REF!</v>
      </c>
      <c r="BA123" s="1065" t="e">
        <f t="shared" si="257"/>
        <v>#REF!</v>
      </c>
      <c r="BB123" s="1065" t="e">
        <f t="shared" si="257"/>
        <v>#REF!</v>
      </c>
      <c r="BC123" s="1065" t="e">
        <f t="shared" si="257"/>
        <v>#REF!</v>
      </c>
      <c r="BD123" s="1066" t="e">
        <f t="shared" si="257"/>
        <v>#REF!</v>
      </c>
      <c r="BF123" s="54"/>
      <c r="BG123" s="1091"/>
      <c r="BH123" s="1087"/>
      <c r="BI123" s="1065">
        <f t="shared" ref="BI123:BZ123" si="258">BI105/BI23</f>
        <v>-7.7353983029903761E-2</v>
      </c>
      <c r="BJ123" s="1065">
        <f t="shared" si="258"/>
        <v>-1.9335089894606378E-2</v>
      </c>
      <c r="BK123" s="1065">
        <f t="shared" si="258"/>
        <v>-0.39934214661331224</v>
      </c>
      <c r="BL123" s="1065">
        <f t="shared" si="258"/>
        <v>-7.6208200756438665E-2</v>
      </c>
      <c r="BM123" s="1065">
        <f t="shared" si="258"/>
        <v>-6.7378567378567567E-2</v>
      </c>
      <c r="BN123" s="1065">
        <f t="shared" si="258"/>
        <v>-8.142479441001263E-2</v>
      </c>
      <c r="BO123" s="1065">
        <f t="shared" si="258"/>
        <v>-8.2786807085946781E-2</v>
      </c>
      <c r="BP123" s="1065">
        <f t="shared" si="258"/>
        <v>-0.15508964719491034</v>
      </c>
      <c r="BQ123" s="1065">
        <f t="shared" si="258"/>
        <v>-0.13053154743790579</v>
      </c>
      <c r="BR123" s="1065">
        <f t="shared" si="258"/>
        <v>-0.1379225401593977</v>
      </c>
      <c r="BS123" s="1065">
        <f t="shared" si="258"/>
        <v>-0.11727786864053871</v>
      </c>
      <c r="BT123" s="1065">
        <f t="shared" si="258"/>
        <v>-0.11721856087612416</v>
      </c>
      <c r="BU123" s="1065">
        <f t="shared" si="258"/>
        <v>-0.11565021624856858</v>
      </c>
      <c r="BV123" s="1065">
        <f t="shared" si="258"/>
        <v>-0.11045045411208924</v>
      </c>
      <c r="BW123" s="1065">
        <f t="shared" si="258"/>
        <v>-0.10606213372677326</v>
      </c>
      <c r="BX123" s="1065">
        <f t="shared" si="258"/>
        <v>-0.10304557151829097</v>
      </c>
      <c r="BY123" s="1065">
        <f t="shared" si="258"/>
        <v>-0.10102170984632888</v>
      </c>
      <c r="BZ123" s="1066">
        <f t="shared" si="258"/>
        <v>-9.9586940012581171E-2</v>
      </c>
      <c r="CA123" s="36"/>
      <c r="CB123" s="36"/>
      <c r="CC123" s="36"/>
      <c r="CD123" s="36"/>
      <c r="CE123" s="36"/>
      <c r="CF123" s="36"/>
      <c r="CG123" s="1765"/>
      <c r="CH123" s="1765"/>
      <c r="CI123" s="1765"/>
      <c r="CJ123" s="36"/>
      <c r="CK123" s="36"/>
      <c r="CL123" s="36"/>
      <c r="CM123" s="36"/>
      <c r="CN123" s="36"/>
      <c r="CO123" s="36"/>
      <c r="CP123" s="36"/>
      <c r="CQ123" s="36"/>
      <c r="CR123" s="36"/>
    </row>
    <row r="124" spans="1:96" ht="11.25" customHeight="1" outlineLevel="1">
      <c r="A124" s="36"/>
      <c r="H124" s="36"/>
      <c r="I124" s="1060" t="s">
        <v>411</v>
      </c>
      <c r="J124" s="5"/>
      <c r="K124" s="5"/>
      <c r="L124" s="5"/>
      <c r="M124" s="709">
        <f t="shared" ref="M124:BD124" si="259">M157-M169</f>
        <v>0</v>
      </c>
      <c r="N124" s="108">
        <f t="shared" si="259"/>
        <v>0</v>
      </c>
      <c r="O124" s="108">
        <f t="shared" si="259"/>
        <v>29.465999999999998</v>
      </c>
      <c r="P124" s="1055">
        <f t="shared" si="259"/>
        <v>28.741000000000003</v>
      </c>
      <c r="Q124" s="108">
        <f t="shared" si="259"/>
        <v>26.765000000000001</v>
      </c>
      <c r="R124" s="108">
        <f t="shared" si="259"/>
        <v>25.143000000000001</v>
      </c>
      <c r="S124" s="108">
        <f t="shared" si="259"/>
        <v>21.743000000000006</v>
      </c>
      <c r="T124" s="108">
        <f t="shared" si="259"/>
        <v>18.996000000000002</v>
      </c>
      <c r="U124" s="709">
        <f t="shared" si="259"/>
        <v>127.95400000000001</v>
      </c>
      <c r="V124" s="108">
        <f t="shared" si="259"/>
        <v>122.19499999999999</v>
      </c>
      <c r="W124" s="108">
        <f t="shared" si="259"/>
        <v>123.127</v>
      </c>
      <c r="X124" s="1055">
        <f t="shared" si="259"/>
        <v>90.002999999999986</v>
      </c>
      <c r="Y124" s="108">
        <f t="shared" si="259"/>
        <v>92.445999999999998</v>
      </c>
      <c r="Z124" s="108">
        <f t="shared" si="259"/>
        <v>95.647999999999996</v>
      </c>
      <c r="AA124" s="108">
        <f t="shared" si="259"/>
        <v>98.114999999999981</v>
      </c>
      <c r="AB124" s="108">
        <f t="shared" si="259"/>
        <v>388.12099999999992</v>
      </c>
      <c r="AC124" s="709">
        <f t="shared" si="259"/>
        <v>402.02899999999988</v>
      </c>
      <c r="AD124" s="108">
        <f t="shared" si="259"/>
        <v>358.73799999999994</v>
      </c>
      <c r="AE124" s="108">
        <f t="shared" si="259"/>
        <v>372.96799999999996</v>
      </c>
      <c r="AF124" s="1055">
        <f t="shared" si="259"/>
        <v>386.78500000000003</v>
      </c>
      <c r="AG124" s="108">
        <f t="shared" si="259"/>
        <v>345.52600000000007</v>
      </c>
      <c r="AH124" s="108">
        <f t="shared" si="259"/>
        <v>390.21700000000004</v>
      </c>
      <c r="AI124" s="108">
        <f t="shared" si="259"/>
        <v>392.73900000000009</v>
      </c>
      <c r="AJ124" s="1055">
        <f t="shared" si="259"/>
        <v>393.50500000000011</v>
      </c>
      <c r="AK124" s="108">
        <f t="shared" si="259"/>
        <v>388.39900000000011</v>
      </c>
      <c r="AL124" s="108">
        <f t="shared" si="259"/>
        <v>417.51600000000008</v>
      </c>
      <c r="AM124" s="108">
        <f t="shared" si="259"/>
        <v>450.93000000000006</v>
      </c>
      <c r="AN124" s="1055">
        <f t="shared" si="259"/>
        <v>500.7800000000002</v>
      </c>
      <c r="AO124" s="108">
        <f>AO157-AO169</f>
        <v>495.7000000000001</v>
      </c>
      <c r="AP124" s="108">
        <f t="shared" si="259"/>
        <v>529.74200000000008</v>
      </c>
      <c r="AQ124" s="108">
        <f t="shared" ref="AQ124:AR124" si="260">AQ157-AQ169</f>
        <v>705.9150000000003</v>
      </c>
      <c r="AR124" s="1055">
        <f t="shared" si="260"/>
        <v>826.92200000000014</v>
      </c>
      <c r="AS124" s="108">
        <f t="shared" si="259"/>
        <v>854.73978140443069</v>
      </c>
      <c r="AT124" s="108">
        <f t="shared" si="259"/>
        <v>893.31293911488547</v>
      </c>
      <c r="AU124" s="108">
        <f t="shared" si="259"/>
        <v>933.6508731738428</v>
      </c>
      <c r="AV124" s="1055">
        <f t="shared" si="259"/>
        <v>978.8135013978457</v>
      </c>
      <c r="AW124" s="108">
        <f t="shared" si="259"/>
        <v>1012.3323458455344</v>
      </c>
      <c r="AX124" s="108">
        <f t="shared" si="259"/>
        <v>1055.5060841717593</v>
      </c>
      <c r="AY124" s="108">
        <f t="shared" si="259"/>
        <v>1100.1733156639432</v>
      </c>
      <c r="AZ124" s="1055">
        <f t="shared" si="259"/>
        <v>1149.5565437168916</v>
      </c>
      <c r="BA124" s="108">
        <f t="shared" si="259"/>
        <v>1189.91876080763</v>
      </c>
      <c r="BB124" s="108">
        <f t="shared" si="259"/>
        <v>1241.1781835482284</v>
      </c>
      <c r="BC124" s="108">
        <f t="shared" si="259"/>
        <v>1293.9147973707895</v>
      </c>
      <c r="BD124" s="1055">
        <f t="shared" si="259"/>
        <v>1351.7723629011311</v>
      </c>
      <c r="BF124" s="54"/>
      <c r="BG124" s="1088"/>
      <c r="BH124" s="1085"/>
      <c r="BI124" s="108">
        <f t="shared" ref="BI124:BZ124" si="261">BI157-BI169</f>
        <v>0</v>
      </c>
      <c r="BJ124" s="108">
        <f t="shared" si="261"/>
        <v>15.092000000000001</v>
      </c>
      <c r="BK124" s="108">
        <f t="shared" si="261"/>
        <v>28.741000000000003</v>
      </c>
      <c r="BL124" s="108">
        <f t="shared" si="261"/>
        <v>18.996000000000002</v>
      </c>
      <c r="BM124" s="108">
        <f t="shared" si="261"/>
        <v>90.002999999999986</v>
      </c>
      <c r="BN124" s="108">
        <f t="shared" si="261"/>
        <v>388.12099999999992</v>
      </c>
      <c r="BO124" s="108">
        <f t="shared" si="261"/>
        <v>386.78500000000003</v>
      </c>
      <c r="BP124" s="108">
        <f t="shared" si="261"/>
        <v>393.50500000000011</v>
      </c>
      <c r="BQ124" s="108">
        <f t="shared" si="261"/>
        <v>500.7800000000002</v>
      </c>
      <c r="BR124" s="108">
        <f t="shared" si="261"/>
        <v>826.92200000000014</v>
      </c>
      <c r="BS124" s="108">
        <f t="shared" si="261"/>
        <v>978.8135013978457</v>
      </c>
      <c r="BT124" s="108">
        <f t="shared" si="261"/>
        <v>1149.5565437168916</v>
      </c>
      <c r="BU124" s="108">
        <f t="shared" si="261"/>
        <v>1351.7723629011311</v>
      </c>
      <c r="BV124" s="108">
        <f t="shared" si="261"/>
        <v>1589.1791245997679</v>
      </c>
      <c r="BW124" s="108">
        <f t="shared" si="261"/>
        <v>1863.8132432958291</v>
      </c>
      <c r="BX124" s="108">
        <f t="shared" si="261"/>
        <v>2176.9822400018265</v>
      </c>
      <c r="BY124" s="108">
        <f t="shared" si="261"/>
        <v>2530.0994195467401</v>
      </c>
      <c r="BZ124" s="1055">
        <f t="shared" si="261"/>
        <v>2925.4723726949624</v>
      </c>
      <c r="CA124" s="36"/>
      <c r="CB124" s="36"/>
      <c r="CC124" s="36"/>
      <c r="CD124" s="36"/>
      <c r="CE124" s="36"/>
      <c r="CF124" s="36"/>
      <c r="CG124" s="1765"/>
      <c r="CH124" s="1765"/>
      <c r="CI124" s="1765"/>
      <c r="CJ124" s="36"/>
      <c r="CK124" s="36"/>
      <c r="CL124" s="36"/>
      <c r="CM124" s="36"/>
      <c r="CN124" s="36"/>
      <c r="CO124" s="36"/>
      <c r="CP124" s="36"/>
      <c r="CQ124" s="36"/>
      <c r="CR124" s="36"/>
    </row>
    <row r="125" spans="1:96" ht="11.25" customHeight="1" outlineLevel="1">
      <c r="A125" s="36"/>
      <c r="H125" s="36"/>
      <c r="I125" s="1064" t="s">
        <v>412</v>
      </c>
      <c r="J125" s="5"/>
      <c r="K125" s="5"/>
      <c r="L125" s="5"/>
      <c r="M125" s="1067">
        <f t="shared" ref="M125:AF125" si="262">M124/M18</f>
        <v>0</v>
      </c>
      <c r="N125" s="1065">
        <f t="shared" si="262"/>
        <v>0</v>
      </c>
      <c r="O125" s="1065">
        <f t="shared" si="262"/>
        <v>2.3396855645545496</v>
      </c>
      <c r="P125" s="1066">
        <f t="shared" si="262"/>
        <v>1.8816943826109731</v>
      </c>
      <c r="Q125" s="1065">
        <f t="shared" si="262"/>
        <v>1.6221212121212121</v>
      </c>
      <c r="R125" s="1065">
        <f t="shared" si="262"/>
        <v>1.2842476248850752</v>
      </c>
      <c r="S125" s="1065">
        <f t="shared" si="262"/>
        <v>0.97493498340955997</v>
      </c>
      <c r="T125" s="1065">
        <f t="shared" si="262"/>
        <v>0.76273840594258191</v>
      </c>
      <c r="U125" s="1067">
        <f t="shared" si="262"/>
        <v>4.6724119043271868</v>
      </c>
      <c r="V125" s="1065">
        <f t="shared" si="262"/>
        <v>3.7422288916791717</v>
      </c>
      <c r="W125" s="1065">
        <f t="shared" si="262"/>
        <v>3.3853069753374938</v>
      </c>
      <c r="X125" s="1066">
        <f t="shared" si="262"/>
        <v>2.1868211968802389</v>
      </c>
      <c r="Y125" s="1065">
        <f t="shared" si="262"/>
        <v>2.0039017622959703</v>
      </c>
      <c r="Z125" s="1065">
        <f t="shared" si="262"/>
        <v>1.738327608454646</v>
      </c>
      <c r="AA125" s="1065">
        <f t="shared" si="262"/>
        <v>1.6036841503081019</v>
      </c>
      <c r="AB125" s="1065">
        <f t="shared" si="262"/>
        <v>5.4934961996291625</v>
      </c>
      <c r="AC125" s="1067">
        <f t="shared" si="262"/>
        <v>5.2616775949847518</v>
      </c>
      <c r="AD125" s="1065">
        <f t="shared" si="262"/>
        <v>4.0404338472974635</v>
      </c>
      <c r="AE125" s="1065">
        <f t="shared" si="262"/>
        <v>3.6403103801669023</v>
      </c>
      <c r="AF125" s="1066">
        <f t="shared" si="262"/>
        <v>3.5198431115600575</v>
      </c>
      <c r="AG125" s="1065">
        <f t="shared" ref="AG125:AQ125" si="263">AG124/AG23</f>
        <v>3.0905724508050096</v>
      </c>
      <c r="AH125" s="1065">
        <f t="shared" si="263"/>
        <v>3.1068232484076437</v>
      </c>
      <c r="AI125" s="1065">
        <f t="shared" si="263"/>
        <v>2.9178231797919771</v>
      </c>
      <c r="AJ125" s="1066">
        <f t="shared" si="263"/>
        <v>2.6823790047716436</v>
      </c>
      <c r="AK125" s="1065">
        <f t="shared" si="263"/>
        <v>2.4487211010446819</v>
      </c>
      <c r="AL125" s="1065">
        <f t="shared" si="263"/>
        <v>2.4074313259681257</v>
      </c>
      <c r="AM125" s="1065">
        <f t="shared" si="263"/>
        <v>2.4213346793247137</v>
      </c>
      <c r="AN125" s="1066">
        <f t="shared" si="263"/>
        <v>2.5707920080494477</v>
      </c>
      <c r="AO125" s="1065">
        <f t="shared" si="263"/>
        <v>2.5121247903184125</v>
      </c>
      <c r="AP125" s="1065">
        <f t="shared" si="263"/>
        <v>2.5363011337521071</v>
      </c>
      <c r="AQ125" s="1065">
        <f t="shared" si="263"/>
        <v>3.1743637017717434</v>
      </c>
      <c r="AR125" s="1066">
        <f t="shared" ref="AR125" si="264">AR124/AR23</f>
        <v>3.7889445854677755</v>
      </c>
      <c r="AS125" s="1065">
        <f>AS124/AS23</f>
        <v>3.8641038942334118</v>
      </c>
      <c r="AT125" s="1065">
        <f>AT124/AT23</f>
        <v>3.8604707826918125</v>
      </c>
      <c r="AU125" s="1065">
        <f>AU124/AU23</f>
        <v>3.7647212627977531</v>
      </c>
      <c r="AV125" s="1066">
        <f>AV124/AV23</f>
        <v>3.7733751017650183</v>
      </c>
      <c r="AW125" s="1065" t="e">
        <f t="shared" ref="AW125:BD125" si="265">AW124/AW18</f>
        <v>#REF!</v>
      </c>
      <c r="AX125" s="1065" t="e">
        <f t="shared" si="265"/>
        <v>#REF!</v>
      </c>
      <c r="AY125" s="1065" t="e">
        <f t="shared" si="265"/>
        <v>#REF!</v>
      </c>
      <c r="AZ125" s="1066" t="e">
        <f t="shared" si="265"/>
        <v>#REF!</v>
      </c>
      <c r="BA125" s="1065" t="e">
        <f t="shared" si="265"/>
        <v>#REF!</v>
      </c>
      <c r="BB125" s="1065" t="e">
        <f t="shared" si="265"/>
        <v>#REF!</v>
      </c>
      <c r="BC125" s="1065" t="e">
        <f t="shared" si="265"/>
        <v>#REF!</v>
      </c>
      <c r="BD125" s="1066" t="e">
        <f t="shared" si="265"/>
        <v>#REF!</v>
      </c>
      <c r="BF125" s="54"/>
      <c r="BG125" s="1091"/>
      <c r="BH125" s="1087"/>
      <c r="BI125" s="1065">
        <f t="shared" ref="BI125:BZ125" si="266">BI124/BI23</f>
        <v>0</v>
      </c>
      <c r="BJ125" s="1065">
        <f t="shared" si="266"/>
        <v>0.58477991320520761</v>
      </c>
      <c r="BK125" s="1065">
        <f t="shared" si="266"/>
        <v>0.60214535626741539</v>
      </c>
      <c r="BL125" s="1065">
        <f t="shared" si="266"/>
        <v>0.22808428888755483</v>
      </c>
      <c r="BM125" s="1065">
        <f t="shared" si="266"/>
        <v>0.65425323117630807</v>
      </c>
      <c r="BN125" s="1065">
        <f t="shared" si="266"/>
        <v>1.665841159201332</v>
      </c>
      <c r="BO125" s="1065">
        <f t="shared" si="266"/>
        <v>1.0244983259874556</v>
      </c>
      <c r="BP125" s="1065">
        <f t="shared" si="266"/>
        <v>0.75863697705802979</v>
      </c>
      <c r="BQ125" s="1065">
        <f t="shared" si="266"/>
        <v>0.70228827785249426</v>
      </c>
      <c r="BR125" s="1065">
        <f t="shared" si="266"/>
        <v>0.97651075266912546</v>
      </c>
      <c r="BS125" s="1065">
        <f t="shared" si="266"/>
        <v>1.0195973972894226</v>
      </c>
      <c r="BT125" s="1065">
        <f t="shared" si="266"/>
        <v>1.0296995196317551</v>
      </c>
      <c r="BU125" s="1065">
        <f t="shared" si="266"/>
        <v>1.0723245779003103</v>
      </c>
      <c r="BV125" s="1065">
        <f t="shared" si="266"/>
        <v>1.1346416711407739</v>
      </c>
      <c r="BW125" s="1065">
        <f t="shared" si="266"/>
        <v>1.2121574162954145</v>
      </c>
      <c r="BX125" s="1065">
        <f t="shared" si="266"/>
        <v>1.3031139949729598</v>
      </c>
      <c r="BY125" s="1065">
        <f t="shared" si="266"/>
        <v>1.4059232160184154</v>
      </c>
      <c r="BZ125" s="1066">
        <f t="shared" si="266"/>
        <v>1.5192523746857927</v>
      </c>
      <c r="CA125" s="36"/>
      <c r="CB125" s="36"/>
      <c r="CC125" s="36"/>
      <c r="CD125" s="36"/>
      <c r="CE125" s="36"/>
      <c r="CF125" s="36"/>
      <c r="CG125" s="1765"/>
      <c r="CH125" s="1765"/>
      <c r="CI125" s="1765"/>
      <c r="CJ125" s="36"/>
      <c r="CK125" s="36"/>
      <c r="CL125" s="36"/>
      <c r="CM125" s="36"/>
      <c r="CN125" s="36"/>
      <c r="CO125" s="36"/>
      <c r="CP125" s="36"/>
      <c r="CQ125" s="36"/>
      <c r="CR125" s="36"/>
    </row>
    <row r="126" spans="1:96" ht="11.25" customHeight="1" outlineLevel="1">
      <c r="A126" s="36"/>
      <c r="H126" s="36"/>
      <c r="I126" s="1046"/>
      <c r="J126" s="5"/>
      <c r="K126" s="5"/>
      <c r="L126" s="5"/>
      <c r="M126" s="450"/>
      <c r="N126" s="5"/>
      <c r="O126" s="5"/>
      <c r="P126" s="492"/>
      <c r="Q126" s="5"/>
      <c r="R126" s="5"/>
      <c r="S126" s="5"/>
      <c r="T126" s="5"/>
      <c r="U126" s="450"/>
      <c r="V126" s="5"/>
      <c r="W126" s="5"/>
      <c r="X126" s="492"/>
      <c r="Y126" s="5"/>
      <c r="Z126" s="5"/>
      <c r="AA126" s="5"/>
      <c r="AB126" s="5"/>
      <c r="AC126" s="450"/>
      <c r="AD126" s="5"/>
      <c r="AE126" s="5"/>
      <c r="AF126" s="492"/>
      <c r="AG126" s="5"/>
      <c r="AH126" s="5"/>
      <c r="AI126" s="5"/>
      <c r="AJ126" s="492"/>
      <c r="AK126" s="5"/>
      <c r="AL126" s="5"/>
      <c r="AM126" s="5"/>
      <c r="AN126" s="492"/>
      <c r="AO126" s="5"/>
      <c r="AP126" s="5"/>
      <c r="AQ126" s="5"/>
      <c r="AR126" s="492"/>
      <c r="AS126" s="5"/>
      <c r="AT126" s="5"/>
      <c r="AU126" s="5"/>
      <c r="AV126" s="492"/>
      <c r="AW126" s="5"/>
      <c r="AX126" s="5"/>
      <c r="AY126" s="5"/>
      <c r="AZ126" s="492"/>
      <c r="BA126" s="5"/>
      <c r="BB126" s="5"/>
      <c r="BC126" s="5"/>
      <c r="BD126" s="492"/>
      <c r="BF126" s="54"/>
      <c r="BG126" s="450"/>
      <c r="BH126" s="5"/>
      <c r="BI126" s="5"/>
      <c r="BJ126" s="5"/>
      <c r="BK126" s="5"/>
      <c r="BL126" s="5"/>
      <c r="BM126" s="5"/>
      <c r="BN126" s="5"/>
      <c r="BO126" s="5"/>
      <c r="BP126" s="5"/>
      <c r="BQ126" s="5"/>
      <c r="BR126" s="5"/>
      <c r="BS126" s="5"/>
      <c r="BT126" s="5"/>
      <c r="BU126" s="5"/>
      <c r="BV126" s="5"/>
      <c r="BW126" s="5"/>
      <c r="BX126" s="5"/>
      <c r="BY126" s="5"/>
      <c r="BZ126" s="492"/>
      <c r="CA126" s="36"/>
      <c r="CB126" s="36"/>
      <c r="CC126" s="36"/>
      <c r="CD126" s="36"/>
      <c r="CE126" s="36"/>
      <c r="CF126" s="36"/>
      <c r="CG126" s="1765"/>
      <c r="CH126" s="1765"/>
      <c r="CI126" s="1765"/>
      <c r="CJ126" s="36"/>
      <c r="CK126" s="36"/>
      <c r="CL126" s="36"/>
      <c r="CM126" s="36"/>
      <c r="CN126" s="36"/>
      <c r="CO126" s="36"/>
      <c r="CP126" s="36"/>
      <c r="CQ126" s="36"/>
      <c r="CR126" s="36"/>
    </row>
    <row r="127" spans="1:96" ht="11.25" customHeight="1" outlineLevel="1">
      <c r="A127" s="36"/>
      <c r="H127" s="36"/>
      <c r="I127" s="984" t="s">
        <v>413</v>
      </c>
      <c r="J127" s="1068"/>
      <c r="K127" s="1068"/>
      <c r="L127" s="1068"/>
      <c r="M127" s="1069"/>
      <c r="N127" s="1068"/>
      <c r="O127" s="1068"/>
      <c r="P127" s="1070"/>
      <c r="Q127" s="1068"/>
      <c r="R127" s="1068"/>
      <c r="S127" s="1068"/>
      <c r="T127" s="1068"/>
      <c r="U127" s="1069"/>
      <c r="V127" s="1068"/>
      <c r="W127" s="1068"/>
      <c r="X127" s="1070"/>
      <c r="Y127" s="1068"/>
      <c r="Z127" s="1068"/>
      <c r="AA127" s="1068"/>
      <c r="AB127" s="1068"/>
      <c r="AC127" s="1069"/>
      <c r="AD127" s="1068"/>
      <c r="AE127" s="1068"/>
      <c r="AF127" s="1070"/>
      <c r="AG127" s="1068"/>
      <c r="AH127" s="1068"/>
      <c r="AI127" s="1068"/>
      <c r="AJ127" s="1070"/>
      <c r="AK127" s="1068"/>
      <c r="AL127" s="1068"/>
      <c r="AM127" s="1068"/>
      <c r="AN127" s="1070"/>
      <c r="AO127" s="1068"/>
      <c r="AP127" s="1068"/>
      <c r="AQ127" s="1068"/>
      <c r="AR127" s="1070"/>
      <c r="AS127" s="1068"/>
      <c r="AT127" s="1068"/>
      <c r="AU127" s="1068"/>
      <c r="AV127" s="1070"/>
      <c r="AW127" s="1068"/>
      <c r="AX127" s="1068"/>
      <c r="AY127" s="1068"/>
      <c r="AZ127" s="1070"/>
      <c r="BA127" s="1068"/>
      <c r="BB127" s="1068"/>
      <c r="BC127" s="1068"/>
      <c r="BD127" s="1070"/>
      <c r="BF127" s="54"/>
      <c r="BG127" s="1069"/>
      <c r="BH127" s="1068"/>
      <c r="BI127" s="1068"/>
      <c r="BJ127" s="1068"/>
      <c r="BK127" s="1068"/>
      <c r="BL127" s="1068"/>
      <c r="BM127" s="1068"/>
      <c r="BN127" s="1068"/>
      <c r="BO127" s="1068"/>
      <c r="BP127" s="1068"/>
      <c r="BQ127" s="1068"/>
      <c r="BR127" s="1068"/>
      <c r="BS127" s="1068"/>
      <c r="BT127" s="1068"/>
      <c r="BU127" s="1068"/>
      <c r="BV127" s="1068"/>
      <c r="BW127" s="1068"/>
      <c r="BX127" s="1068"/>
      <c r="BY127" s="1068"/>
      <c r="BZ127" s="1070"/>
      <c r="CA127" s="36"/>
      <c r="CB127" s="36"/>
      <c r="CC127" s="36"/>
      <c r="CD127" s="36"/>
      <c r="CE127" s="36"/>
      <c r="CF127" s="36"/>
      <c r="CG127" s="1765"/>
      <c r="CH127" s="1765"/>
      <c r="CI127" s="1765"/>
      <c r="CJ127" s="36"/>
      <c r="CK127" s="36"/>
      <c r="CL127" s="36"/>
      <c r="CM127" s="36"/>
      <c r="CN127" s="36"/>
      <c r="CO127" s="36"/>
      <c r="CP127" s="36"/>
      <c r="CQ127" s="36"/>
      <c r="CR127" s="36"/>
    </row>
    <row r="128" spans="1:96" ht="11.25" customHeight="1" outlineLevel="1">
      <c r="A128" s="36"/>
      <c r="H128" s="36"/>
      <c r="I128" s="1071"/>
      <c r="J128" s="1072"/>
      <c r="K128" s="1072"/>
      <c r="L128" s="1072"/>
      <c r="M128" s="1073"/>
      <c r="N128" s="1072"/>
      <c r="O128" s="1072"/>
      <c r="P128" s="1074"/>
      <c r="Q128" s="1072"/>
      <c r="R128" s="1072"/>
      <c r="S128" s="1072"/>
      <c r="T128" s="1072"/>
      <c r="U128" s="1073"/>
      <c r="V128" s="1072"/>
      <c r="W128" s="1072"/>
      <c r="X128" s="1074"/>
      <c r="Y128" s="1072"/>
      <c r="Z128" s="1072"/>
      <c r="AA128" s="1072"/>
      <c r="AB128" s="1072"/>
      <c r="AC128" s="1073"/>
      <c r="AD128" s="1072"/>
      <c r="AE128" s="1072"/>
      <c r="AF128" s="1074"/>
      <c r="AG128" s="1072"/>
      <c r="AH128" s="1072"/>
      <c r="AI128" s="1072"/>
      <c r="AJ128" s="1074"/>
      <c r="AK128" s="1072"/>
      <c r="AL128" s="1072"/>
      <c r="AM128" s="1072"/>
      <c r="AN128" s="1074"/>
      <c r="AO128" s="1072"/>
      <c r="AP128" s="1072"/>
      <c r="AQ128" s="1072"/>
      <c r="AR128" s="1074"/>
      <c r="AS128" s="1072"/>
      <c r="AT128" s="1072"/>
      <c r="AU128" s="1072"/>
      <c r="AV128" s="1074"/>
      <c r="AW128" s="1072"/>
      <c r="AX128" s="1072"/>
      <c r="AY128" s="1072"/>
      <c r="AZ128" s="1074"/>
      <c r="BA128" s="1072"/>
      <c r="BB128" s="1072"/>
      <c r="BC128" s="1072"/>
      <c r="BD128" s="1074"/>
      <c r="BF128" s="54"/>
      <c r="BG128" s="1073"/>
      <c r="BH128" s="1072"/>
      <c r="BI128" s="1072"/>
      <c r="BJ128" s="1072"/>
      <c r="BK128" s="1072"/>
      <c r="BL128" s="1072"/>
      <c r="BM128" s="1072"/>
      <c r="BN128" s="1072"/>
      <c r="BO128" s="1072"/>
      <c r="BP128" s="1072"/>
      <c r="BQ128" s="1072"/>
      <c r="BR128" s="1072"/>
      <c r="BS128" s="1072"/>
      <c r="BT128" s="1072"/>
      <c r="BU128" s="1072"/>
      <c r="BV128" s="1072"/>
      <c r="BW128" s="1072"/>
      <c r="BX128" s="1072"/>
      <c r="BY128" s="1072"/>
      <c r="BZ128" s="1074"/>
      <c r="CA128" s="36"/>
      <c r="CB128" s="36"/>
      <c r="CC128" s="36"/>
      <c r="CD128" s="36"/>
      <c r="CE128" s="36"/>
      <c r="CF128" s="36"/>
      <c r="CG128" s="1765"/>
      <c r="CH128" s="1765"/>
      <c r="CI128" s="1765"/>
      <c r="CJ128" s="36"/>
      <c r="CK128" s="36"/>
      <c r="CL128" s="36"/>
      <c r="CM128" s="36"/>
      <c r="CN128" s="36"/>
      <c r="CO128" s="36"/>
      <c r="CP128" s="36"/>
      <c r="CQ128" s="36"/>
      <c r="CR128" s="36"/>
    </row>
    <row r="129" spans="1:96" ht="11.25" customHeight="1" outlineLevel="1">
      <c r="A129" s="36"/>
      <c r="H129" s="36"/>
      <c r="I129" s="1064" t="s">
        <v>85</v>
      </c>
      <c r="J129" s="5"/>
      <c r="K129" s="5"/>
      <c r="L129" s="5"/>
      <c r="M129" s="626">
        <f>M162</f>
        <v>0</v>
      </c>
      <c r="N129" s="336">
        <f t="shared" ref="N129:AJ129" si="267">N162</f>
        <v>0</v>
      </c>
      <c r="O129" s="336">
        <f t="shared" si="267"/>
        <v>29.465999999999998</v>
      </c>
      <c r="P129" s="613">
        <f t="shared" si="267"/>
        <v>41.015000000000001</v>
      </c>
      <c r="Q129" s="336">
        <f t="shared" si="267"/>
        <v>26.765000000000001</v>
      </c>
      <c r="R129" s="336">
        <f t="shared" si="267"/>
        <v>25.143000000000001</v>
      </c>
      <c r="S129" s="336">
        <f t="shared" si="267"/>
        <v>42.155000000000008</v>
      </c>
      <c r="T129" s="336">
        <f t="shared" si="267"/>
        <v>43.820999999999998</v>
      </c>
      <c r="U129" s="626">
        <f t="shared" si="267"/>
        <v>153.08700000000002</v>
      </c>
      <c r="V129" s="336">
        <f t="shared" si="267"/>
        <v>153.84800000000001</v>
      </c>
      <c r="W129" s="336">
        <f t="shared" si="267"/>
        <v>156.53199999999998</v>
      </c>
      <c r="X129" s="613">
        <f t="shared" si="267"/>
        <v>187.696</v>
      </c>
      <c r="Y129" s="336">
        <f t="shared" si="267"/>
        <v>187.29399999999998</v>
      </c>
      <c r="Z129" s="336">
        <f t="shared" si="267"/>
        <v>197.542</v>
      </c>
      <c r="AA129" s="336">
        <f t="shared" si="267"/>
        <v>224.32999999999998</v>
      </c>
      <c r="AB129" s="336">
        <f t="shared" si="267"/>
        <v>515.97799999999995</v>
      </c>
      <c r="AC129" s="626">
        <f t="shared" si="267"/>
        <v>533.47399999999993</v>
      </c>
      <c r="AD129" s="336">
        <f t="shared" si="267"/>
        <v>553.15599999999995</v>
      </c>
      <c r="AE129" s="336">
        <f t="shared" si="267"/>
        <v>577.399</v>
      </c>
      <c r="AF129" s="613">
        <f t="shared" si="267"/>
        <v>629.65000000000009</v>
      </c>
      <c r="AG129" s="336">
        <f t="shared" si="267"/>
        <v>715.88599999999997</v>
      </c>
      <c r="AH129" s="336">
        <f t="shared" si="267"/>
        <v>741.38700000000006</v>
      </c>
      <c r="AI129" s="336">
        <f t="shared" si="267"/>
        <v>764.4050000000002</v>
      </c>
      <c r="AJ129" s="613">
        <f t="shared" si="267"/>
        <v>755.42700000000013</v>
      </c>
      <c r="AK129" s="336">
        <f t="shared" ref="AK129:AP129" si="268">AK162</f>
        <v>772.9670000000001</v>
      </c>
      <c r="AL129" s="336">
        <f t="shared" si="268"/>
        <v>799.798</v>
      </c>
      <c r="AM129" s="336">
        <f t="shared" si="268"/>
        <v>845.58800000000008</v>
      </c>
      <c r="AN129" s="613">
        <f t="shared" si="268"/>
        <v>885.20600000000013</v>
      </c>
      <c r="AO129" s="336">
        <f>AO162</f>
        <v>922.17100000000016</v>
      </c>
      <c r="AP129" s="336">
        <f t="shared" si="268"/>
        <v>970.11500000000001</v>
      </c>
      <c r="AQ129" s="336">
        <f t="shared" ref="AQ129:AR129" si="269">AQ162</f>
        <v>1027.1150000000002</v>
      </c>
      <c r="AR129" s="613">
        <f t="shared" si="269"/>
        <v>1216.5120000000002</v>
      </c>
      <c r="AS129" s="336">
        <f t="shared" ref="AS129:BD129" si="270">AS162</f>
        <v>1212.3685763893022</v>
      </c>
      <c r="AT129" s="336">
        <f t="shared" si="270"/>
        <v>1237.8108225726235</v>
      </c>
      <c r="AU129" s="336">
        <f t="shared" si="270"/>
        <v>1310.4920445440086</v>
      </c>
      <c r="AV129" s="613">
        <f t="shared" si="270"/>
        <v>1360.1418350927654</v>
      </c>
      <c r="AW129" s="336">
        <f t="shared" si="270"/>
        <v>1392.5036669227495</v>
      </c>
      <c r="AX129" s="336">
        <f t="shared" si="270"/>
        <v>1432.2518702805266</v>
      </c>
      <c r="AY129" s="336">
        <f t="shared" si="270"/>
        <v>1486.1872970723728</v>
      </c>
      <c r="AZ129" s="613">
        <f t="shared" si="270"/>
        <v>1547.2551837644608</v>
      </c>
      <c r="BA129" s="336">
        <f t="shared" si="270"/>
        <v>1587.9830212493196</v>
      </c>
      <c r="BB129" s="336">
        <f t="shared" si="270"/>
        <v>1635.0629522744509</v>
      </c>
      <c r="BC129" s="336">
        <f t="shared" si="270"/>
        <v>1697.2180931428497</v>
      </c>
      <c r="BD129" s="613">
        <f t="shared" si="270"/>
        <v>1767.470592782465</v>
      </c>
      <c r="BF129" s="54"/>
      <c r="BG129" s="626"/>
      <c r="BH129" s="336"/>
      <c r="BI129" s="336"/>
      <c r="BJ129" s="336">
        <f t="shared" ref="BJ129:BU129" si="271">BJ162</f>
        <v>20.817000000000004</v>
      </c>
      <c r="BK129" s="336">
        <f t="shared" si="271"/>
        <v>41.015000000000001</v>
      </c>
      <c r="BL129" s="336">
        <f t="shared" si="271"/>
        <v>43.820999999999998</v>
      </c>
      <c r="BM129" s="336">
        <f t="shared" si="271"/>
        <v>187.696</v>
      </c>
      <c r="BN129" s="336">
        <f t="shared" si="271"/>
        <v>515.97799999999995</v>
      </c>
      <c r="BO129" s="336">
        <f t="shared" si="271"/>
        <v>629.65000000000009</v>
      </c>
      <c r="BP129" s="336">
        <f t="shared" si="271"/>
        <v>755.42700000000013</v>
      </c>
      <c r="BQ129" s="336">
        <f t="shared" si="271"/>
        <v>885.20600000000013</v>
      </c>
      <c r="BR129" s="336">
        <f t="shared" si="271"/>
        <v>1216.5120000000002</v>
      </c>
      <c r="BS129" s="336">
        <f t="shared" si="271"/>
        <v>1360.1418350927654</v>
      </c>
      <c r="BT129" s="336">
        <f t="shared" si="271"/>
        <v>1547.2551837644608</v>
      </c>
      <c r="BU129" s="336">
        <f t="shared" si="271"/>
        <v>1767.470592782465</v>
      </c>
      <c r="BV129" s="336">
        <f>BV162</f>
        <v>2020.9895330612594</v>
      </c>
      <c r="BW129" s="336">
        <f>BW162</f>
        <v>2311.4110786916413</v>
      </c>
      <c r="BX129" s="336">
        <f>BX162</f>
        <v>2640.2020686486512</v>
      </c>
      <c r="BY129" s="336">
        <f>BY162</f>
        <v>3008.836117479992</v>
      </c>
      <c r="BZ129" s="613">
        <f>BZ162</f>
        <v>3419.523993449644</v>
      </c>
      <c r="CA129" s="36"/>
      <c r="CB129" s="36"/>
      <c r="CC129" s="36"/>
      <c r="CD129" s="36"/>
      <c r="CE129" s="36"/>
      <c r="CF129" s="36"/>
      <c r="CG129" s="1765"/>
      <c r="CH129" s="1765"/>
      <c r="CI129" s="1765"/>
      <c r="CJ129" s="36"/>
      <c r="CK129" s="36"/>
      <c r="CL129" s="36"/>
      <c r="CM129" s="36"/>
      <c r="CN129" s="36"/>
      <c r="CO129" s="36"/>
      <c r="CP129" s="36"/>
      <c r="CQ129" s="36"/>
      <c r="CR129" s="36"/>
    </row>
    <row r="130" spans="1:96" ht="11.25" customHeight="1" outlineLevel="1">
      <c r="A130" s="36"/>
      <c r="H130" s="36"/>
      <c r="I130" s="1064" t="s">
        <v>414</v>
      </c>
      <c r="J130" s="5"/>
      <c r="K130" s="5"/>
      <c r="L130" s="5"/>
      <c r="M130" s="626">
        <f>+M153+M154</f>
        <v>0</v>
      </c>
      <c r="N130" s="336">
        <f t="shared" ref="N130:AJ130" si="272">+N153+N154</f>
        <v>0</v>
      </c>
      <c r="O130" s="336">
        <f t="shared" si="272"/>
        <v>29.465999999999998</v>
      </c>
      <c r="P130" s="613">
        <f t="shared" si="272"/>
        <v>27.290000000000003</v>
      </c>
      <c r="Q130" s="336">
        <f t="shared" si="272"/>
        <v>26.765000000000001</v>
      </c>
      <c r="R130" s="336">
        <f t="shared" si="272"/>
        <v>25.143000000000001</v>
      </c>
      <c r="S130" s="336">
        <f t="shared" si="272"/>
        <v>23.344000000000001</v>
      </c>
      <c r="T130" s="336">
        <f t="shared" si="272"/>
        <v>21.736000000000001</v>
      </c>
      <c r="U130" s="626">
        <f t="shared" si="272"/>
        <v>130.73699999999999</v>
      </c>
      <c r="V130" s="336">
        <f t="shared" si="272"/>
        <v>122.613</v>
      </c>
      <c r="W130" s="336">
        <f t="shared" si="272"/>
        <v>123.11199999999999</v>
      </c>
      <c r="X130" s="613">
        <f t="shared" si="272"/>
        <v>95.123999999999981</v>
      </c>
      <c r="Y130" s="336">
        <f t="shared" si="272"/>
        <v>94.498000000000005</v>
      </c>
      <c r="Z130" s="336">
        <f t="shared" si="272"/>
        <v>96.794999999999987</v>
      </c>
      <c r="AA130" s="336">
        <f t="shared" si="272"/>
        <v>101.21399999999998</v>
      </c>
      <c r="AB130" s="336">
        <f t="shared" si="272"/>
        <v>389.76399999999995</v>
      </c>
      <c r="AC130" s="626">
        <f t="shared" si="272"/>
        <v>399.31999999999994</v>
      </c>
      <c r="AD130" s="336">
        <f t="shared" si="272"/>
        <v>290.38599999999997</v>
      </c>
      <c r="AE130" s="336">
        <f t="shared" si="272"/>
        <v>290.56699999999995</v>
      </c>
      <c r="AF130" s="613">
        <f t="shared" si="272"/>
        <v>365.81</v>
      </c>
      <c r="AG130" s="336">
        <f t="shared" si="272"/>
        <v>331.23200000000003</v>
      </c>
      <c r="AH130" s="336">
        <f t="shared" si="272"/>
        <v>368.13300000000004</v>
      </c>
      <c r="AI130" s="336">
        <f t="shared" si="272"/>
        <v>368.93900000000008</v>
      </c>
      <c r="AJ130" s="613">
        <f t="shared" si="272"/>
        <v>370.82700000000011</v>
      </c>
      <c r="AK130" s="336">
        <f t="shared" ref="AK130:AP130" si="273">+AK153+AK154</f>
        <v>375.45700000000011</v>
      </c>
      <c r="AL130" s="336">
        <f t="shared" si="273"/>
        <v>398.10100000000011</v>
      </c>
      <c r="AM130" s="336">
        <f t="shared" si="273"/>
        <v>432.29500000000007</v>
      </c>
      <c r="AN130" s="613">
        <f t="shared" si="273"/>
        <v>479.53300000000013</v>
      </c>
      <c r="AO130" s="336">
        <f>+AO153+AO154</f>
        <v>485.47600000000011</v>
      </c>
      <c r="AP130" s="336">
        <f t="shared" si="273"/>
        <v>511.79500000000013</v>
      </c>
      <c r="AQ130" s="336">
        <f t="shared" ref="AQ130:AR130" si="274">+AQ153+AQ154</f>
        <v>558.16900000000021</v>
      </c>
      <c r="AR130" s="613">
        <f t="shared" si="274"/>
        <v>821.21600000000012</v>
      </c>
      <c r="AS130" s="336">
        <f t="shared" ref="AS130:BD130" si="275">+AS153+AS154</f>
        <v>821.49896429506691</v>
      </c>
      <c r="AT130" s="336">
        <f t="shared" si="275"/>
        <v>852.77060762683163</v>
      </c>
      <c r="AU130" s="336">
        <f t="shared" si="275"/>
        <v>929.62527427351063</v>
      </c>
      <c r="AV130" s="613">
        <f t="shared" si="275"/>
        <v>970.36321202096485</v>
      </c>
      <c r="AW130" s="336">
        <f t="shared" si="275"/>
        <v>1001.9953805312284</v>
      </c>
      <c r="AX130" s="336">
        <f t="shared" si="275"/>
        <v>1042.9318159248519</v>
      </c>
      <c r="AY130" s="336">
        <f t="shared" si="275"/>
        <v>1095.871093741534</v>
      </c>
      <c r="AZ130" s="613">
        <f t="shared" si="275"/>
        <v>1140.8042289501059</v>
      </c>
      <c r="BA130" s="336">
        <f t="shared" si="275"/>
        <v>1180.5815832659332</v>
      </c>
      <c r="BB130" s="336">
        <f t="shared" si="275"/>
        <v>1229.510216289807</v>
      </c>
      <c r="BC130" s="336">
        <f t="shared" si="275"/>
        <v>1291.5059278675699</v>
      </c>
      <c r="BD130" s="613">
        <f t="shared" si="275"/>
        <v>1344.3147816243552</v>
      </c>
      <c r="BF130" s="54"/>
      <c r="BG130" s="626"/>
      <c r="BH130" s="336"/>
      <c r="BI130" s="336"/>
      <c r="BJ130" s="336">
        <f>+BJ153+BJ154</f>
        <v>15.074</v>
      </c>
      <c r="BK130" s="336">
        <f t="shared" ref="BK130:BU130" si="276">+BK153+BK154</f>
        <v>27.290000000000003</v>
      </c>
      <c r="BL130" s="336">
        <f t="shared" si="276"/>
        <v>21.736000000000001</v>
      </c>
      <c r="BM130" s="336">
        <f t="shared" si="276"/>
        <v>95.123999999999981</v>
      </c>
      <c r="BN130" s="336">
        <f t="shared" si="276"/>
        <v>389.76399999999995</v>
      </c>
      <c r="BO130" s="336">
        <f t="shared" si="276"/>
        <v>365.81</v>
      </c>
      <c r="BP130" s="336">
        <f t="shared" si="276"/>
        <v>370.82700000000011</v>
      </c>
      <c r="BQ130" s="336">
        <f t="shared" si="276"/>
        <v>479.53300000000013</v>
      </c>
      <c r="BR130" s="336">
        <f t="shared" si="276"/>
        <v>821.21600000000012</v>
      </c>
      <c r="BS130" s="336">
        <f t="shared" si="276"/>
        <v>970.36321202096485</v>
      </c>
      <c r="BT130" s="336">
        <f t="shared" si="276"/>
        <v>1140.8042289501059</v>
      </c>
      <c r="BU130" s="336">
        <f t="shared" si="276"/>
        <v>1344.3147816243552</v>
      </c>
      <c r="BV130" s="336">
        <f>+BV153+BV154</f>
        <v>1581.7573512080742</v>
      </c>
      <c r="BW130" s="336">
        <f>+BW153+BW154</f>
        <v>1856.5846761503742</v>
      </c>
      <c r="BX130" s="336">
        <f>+BX153+BX154</f>
        <v>2170.288941318564</v>
      </c>
      <c r="BY130" s="336">
        <f>+BY153+BY154</f>
        <v>2524.3633110987012</v>
      </c>
      <c r="BZ130" s="613">
        <f>+BZ153+BZ154</f>
        <v>2920.8923267951664</v>
      </c>
      <c r="CA130" s="36"/>
      <c r="CB130" s="36"/>
      <c r="CC130" s="36"/>
      <c r="CD130" s="36"/>
      <c r="CE130" s="36"/>
      <c r="CF130" s="36"/>
      <c r="CG130" s="1765"/>
      <c r="CH130" s="1765"/>
      <c r="CI130" s="1765"/>
      <c r="CJ130" s="36"/>
      <c r="CK130" s="36"/>
      <c r="CL130" s="36"/>
      <c r="CM130" s="36"/>
      <c r="CN130" s="36"/>
      <c r="CO130" s="36"/>
      <c r="CP130" s="36"/>
      <c r="CQ130" s="36"/>
      <c r="CR130" s="36"/>
    </row>
    <row r="131" spans="1:96" ht="11.25" customHeight="1" outlineLevel="1">
      <c r="A131" s="36"/>
      <c r="H131" s="36"/>
      <c r="I131" s="1064" t="s">
        <v>415</v>
      </c>
      <c r="J131" s="5"/>
      <c r="K131" s="5"/>
      <c r="L131" s="5"/>
      <c r="M131" s="626">
        <f>+M166</f>
        <v>0</v>
      </c>
      <c r="N131" s="336">
        <f t="shared" ref="N131:AJ131" si="277">+N166</f>
        <v>0</v>
      </c>
      <c r="O131" s="336">
        <f t="shared" si="277"/>
        <v>0</v>
      </c>
      <c r="P131" s="613">
        <f t="shared" si="277"/>
        <v>0.82199999999999995</v>
      </c>
      <c r="Q131" s="336">
        <f t="shared" si="277"/>
        <v>0</v>
      </c>
      <c r="R131" s="336">
        <f t="shared" si="277"/>
        <v>0</v>
      </c>
      <c r="S131" s="336">
        <f t="shared" si="277"/>
        <v>1.5609999999999999</v>
      </c>
      <c r="T131" s="336">
        <f t="shared" si="277"/>
        <v>2.9729999999999999</v>
      </c>
      <c r="U131" s="626">
        <f t="shared" si="277"/>
        <v>3.4409999999999998</v>
      </c>
      <c r="V131" s="336">
        <f t="shared" si="277"/>
        <v>2.698</v>
      </c>
      <c r="W131" s="336">
        <f t="shared" si="277"/>
        <v>2.2210000000000001</v>
      </c>
      <c r="X131" s="613">
        <f t="shared" si="277"/>
        <v>2.2839999999999998</v>
      </c>
      <c r="Y131" s="336">
        <f t="shared" si="277"/>
        <v>3.02</v>
      </c>
      <c r="Z131" s="336">
        <f t="shared" si="277"/>
        <v>1.929</v>
      </c>
      <c r="AA131" s="336">
        <f t="shared" si="277"/>
        <v>2.839</v>
      </c>
      <c r="AB131" s="336">
        <f t="shared" si="277"/>
        <v>3.3639999999999999</v>
      </c>
      <c r="AC131" s="626">
        <f t="shared" si="277"/>
        <v>1.5780000000000001</v>
      </c>
      <c r="AD131" s="336">
        <f t="shared" si="277"/>
        <v>1.68</v>
      </c>
      <c r="AE131" s="336">
        <f t="shared" si="277"/>
        <v>2.226</v>
      </c>
      <c r="AF131" s="613">
        <f t="shared" si="277"/>
        <v>1.3979999999999999</v>
      </c>
      <c r="AG131" s="336">
        <f t="shared" si="277"/>
        <v>1.8360000000000001</v>
      </c>
      <c r="AH131" s="336">
        <f t="shared" si="277"/>
        <v>1.706</v>
      </c>
      <c r="AI131" s="336">
        <f t="shared" si="277"/>
        <v>3.3050000000000002</v>
      </c>
      <c r="AJ131" s="613">
        <f t="shared" si="277"/>
        <v>3.3879999999999999</v>
      </c>
      <c r="AK131" s="336">
        <f t="shared" ref="AK131:AP131" si="278">+AK166</f>
        <v>3.2</v>
      </c>
      <c r="AL131" s="336">
        <f t="shared" si="278"/>
        <v>1.325</v>
      </c>
      <c r="AM131" s="336">
        <f t="shared" si="278"/>
        <v>1.0049999999999999</v>
      </c>
      <c r="AN131" s="613">
        <f t="shared" si="278"/>
        <v>2.0030000000000001</v>
      </c>
      <c r="AO131" s="336">
        <f>+AO166</f>
        <v>22.795000000000002</v>
      </c>
      <c r="AP131" s="336">
        <f t="shared" si="278"/>
        <v>20.393000000000001</v>
      </c>
      <c r="AQ131" s="336">
        <f t="shared" ref="AQ131:AR131" si="279">+AQ166</f>
        <v>3.1470000000000002</v>
      </c>
      <c r="AR131" s="613">
        <f t="shared" si="279"/>
        <v>9.0329999999999995</v>
      </c>
      <c r="AS131" s="336">
        <f t="shared" ref="AS131:BD131" si="280">+AS166</f>
        <v>3.7495111085660251</v>
      </c>
      <c r="AT131" s="336">
        <f t="shared" si="280"/>
        <v>1.6263154030141616</v>
      </c>
      <c r="AU131" s="336">
        <f t="shared" si="280"/>
        <v>3.3490800194954065</v>
      </c>
      <c r="AV131" s="613">
        <f t="shared" si="280"/>
        <v>10.319740237651766</v>
      </c>
      <c r="AW131" s="336">
        <f t="shared" si="280"/>
        <v>4.3845340383735767</v>
      </c>
      <c r="AX131" s="336">
        <f t="shared" si="280"/>
        <v>1.9119999478207466</v>
      </c>
      <c r="AY131" s="336">
        <f t="shared" si="280"/>
        <v>3.8321276793252759</v>
      </c>
      <c r="AZ131" s="613">
        <f t="shared" si="280"/>
        <v>11.489106517532404</v>
      </c>
      <c r="BA131" s="336">
        <f t="shared" si="280"/>
        <v>4.9183692310621581</v>
      </c>
      <c r="BB131" s="336">
        <f t="shared" si="280"/>
        <v>2.1738076472185037</v>
      </c>
      <c r="BC131" s="336">
        <f t="shared" si="280"/>
        <v>4.2635548999911856</v>
      </c>
      <c r="BD131" s="613">
        <f t="shared" si="280"/>
        <v>12.52644906767374</v>
      </c>
      <c r="BF131" s="54"/>
      <c r="BG131" s="626"/>
      <c r="BH131" s="336"/>
      <c r="BI131" s="336"/>
      <c r="BJ131" s="336">
        <f t="shared" ref="BJ131:BU131" si="281">+BJ166</f>
        <v>0.27800000000000002</v>
      </c>
      <c r="BK131" s="336">
        <f t="shared" si="281"/>
        <v>0.82199999999999995</v>
      </c>
      <c r="BL131" s="336">
        <f t="shared" si="281"/>
        <v>2.9729999999999999</v>
      </c>
      <c r="BM131" s="336">
        <f t="shared" si="281"/>
        <v>2.2839999999999998</v>
      </c>
      <c r="BN131" s="336">
        <f t="shared" si="281"/>
        <v>3.3639999999999999</v>
      </c>
      <c r="BO131" s="336">
        <f t="shared" si="281"/>
        <v>1.3979999999999999</v>
      </c>
      <c r="BP131" s="336">
        <f t="shared" si="281"/>
        <v>3.3879999999999999</v>
      </c>
      <c r="BQ131" s="336">
        <f t="shared" si="281"/>
        <v>2.0030000000000001</v>
      </c>
      <c r="BR131" s="336">
        <f t="shared" si="281"/>
        <v>9.0329999999999995</v>
      </c>
      <c r="BS131" s="336">
        <f t="shared" si="281"/>
        <v>10.319740237651766</v>
      </c>
      <c r="BT131" s="336">
        <f t="shared" si="281"/>
        <v>11.489106517532404</v>
      </c>
      <c r="BU131" s="336">
        <f t="shared" si="281"/>
        <v>12.52644906767374</v>
      </c>
      <c r="BV131" s="336">
        <f>+BV166</f>
        <v>13.721532680275132</v>
      </c>
      <c r="BW131" s="336">
        <f>+BW166</f>
        <v>14.835816920726387</v>
      </c>
      <c r="BX131" s="336">
        <f>+BX166</f>
        <v>15.857767666699768</v>
      </c>
      <c r="BY131" s="336">
        <f>+BY166</f>
        <v>17.053679641550215</v>
      </c>
      <c r="BZ131" s="613">
        <f>+BZ166</f>
        <v>18.209203423236865</v>
      </c>
      <c r="CA131" s="36"/>
      <c r="CB131" s="36"/>
      <c r="CC131" s="36"/>
      <c r="CD131" s="36"/>
      <c r="CE131" s="36"/>
      <c r="CF131" s="36"/>
      <c r="CG131" s="1765"/>
      <c r="CH131" s="1765"/>
      <c r="CI131" s="1765"/>
      <c r="CJ131" s="36"/>
      <c r="CK131" s="36"/>
      <c r="CL131" s="36"/>
      <c r="CM131" s="36"/>
      <c r="CN131" s="36"/>
      <c r="CO131" s="36"/>
      <c r="CP131" s="36"/>
      <c r="CQ131" s="36"/>
      <c r="CR131" s="36"/>
    </row>
    <row r="132" spans="1:96" ht="11.25" customHeight="1" outlineLevel="1">
      <c r="A132" s="36"/>
      <c r="H132" s="36"/>
      <c r="I132" s="1064" t="s">
        <v>416</v>
      </c>
      <c r="J132" s="5"/>
      <c r="K132" s="5"/>
      <c r="L132" s="5"/>
      <c r="M132" s="626">
        <f>+M167+M168</f>
        <v>0</v>
      </c>
      <c r="N132" s="336">
        <f t="shared" ref="N132:AJ132" si="282">+N167+N168</f>
        <v>0</v>
      </c>
      <c r="O132" s="336">
        <f t="shared" si="282"/>
        <v>0</v>
      </c>
      <c r="P132" s="613">
        <f t="shared" si="282"/>
        <v>5.8319999999999999</v>
      </c>
      <c r="Q132" s="336">
        <f t="shared" si="282"/>
        <v>0</v>
      </c>
      <c r="R132" s="336">
        <f t="shared" si="282"/>
        <v>0</v>
      </c>
      <c r="S132" s="336">
        <f t="shared" si="282"/>
        <v>9.0660000000000007</v>
      </c>
      <c r="T132" s="336">
        <f t="shared" si="282"/>
        <v>9.7569999999999997</v>
      </c>
      <c r="U132" s="626">
        <f t="shared" si="282"/>
        <v>9.0289999999999999</v>
      </c>
      <c r="V132" s="336">
        <f t="shared" si="282"/>
        <v>10.47</v>
      </c>
      <c r="W132" s="336">
        <f t="shared" si="282"/>
        <v>11.353</v>
      </c>
      <c r="X132" s="613">
        <f t="shared" si="282"/>
        <v>19.222999999999999</v>
      </c>
      <c r="Y132" s="336">
        <f t="shared" si="282"/>
        <v>18.239000000000001</v>
      </c>
      <c r="Z132" s="336">
        <f t="shared" si="282"/>
        <v>20.428000000000001</v>
      </c>
      <c r="AA132" s="336">
        <f t="shared" si="282"/>
        <v>24.260999999999999</v>
      </c>
      <c r="AB132" s="336">
        <f t="shared" si="282"/>
        <v>25.349</v>
      </c>
      <c r="AC132" s="626">
        <f t="shared" si="282"/>
        <v>26.176000000000002</v>
      </c>
      <c r="AD132" s="336">
        <f t="shared" si="282"/>
        <v>23.806999999999999</v>
      </c>
      <c r="AE132" s="336">
        <f t="shared" si="282"/>
        <v>29.56</v>
      </c>
      <c r="AF132" s="613">
        <f t="shared" si="282"/>
        <v>32.575000000000003</v>
      </c>
      <c r="AG132" s="336">
        <f t="shared" si="282"/>
        <v>45.545000000000002</v>
      </c>
      <c r="AH132" s="336">
        <f t="shared" si="282"/>
        <v>40.262</v>
      </c>
      <c r="AI132" s="336">
        <f t="shared" si="282"/>
        <v>51.789000000000001</v>
      </c>
      <c r="AJ132" s="613">
        <f t="shared" si="282"/>
        <v>46.388999999999996</v>
      </c>
      <c r="AK132" s="336">
        <f t="shared" ref="AK132:AP132" si="283">+AK167+AK168</f>
        <v>55.741</v>
      </c>
      <c r="AL132" s="336">
        <f t="shared" si="283"/>
        <v>54.900000000000006</v>
      </c>
      <c r="AM132" s="336">
        <f t="shared" si="283"/>
        <v>62.556999999999995</v>
      </c>
      <c r="AN132" s="613">
        <f t="shared" si="283"/>
        <v>58.396000000000001</v>
      </c>
      <c r="AO132" s="336">
        <f>+AO167+AO168</f>
        <v>49.558999999999997</v>
      </c>
      <c r="AP132" s="336">
        <f t="shared" si="283"/>
        <v>44.735999999999997</v>
      </c>
      <c r="AQ132" s="336">
        <f t="shared" ref="AQ132:AR132" si="284">+AQ167+AQ168</f>
        <v>77.157000000000011</v>
      </c>
      <c r="AR132" s="613">
        <f t="shared" si="284"/>
        <v>77.134</v>
      </c>
      <c r="AS132" s="336">
        <f t="shared" ref="AS132:BD132" si="285">+AS167+AS168</f>
        <v>55.433283876305438</v>
      </c>
      <c r="AT132" s="336">
        <f t="shared" si="285"/>
        <v>49.632068054723668</v>
      </c>
      <c r="AU132" s="336">
        <f t="shared" si="285"/>
        <v>85.832591350670313</v>
      </c>
      <c r="AV132" s="613">
        <f t="shared" si="285"/>
        <v>89.185593457267842</v>
      </c>
      <c r="AW132" s="336">
        <f t="shared" si="285"/>
        <v>93.109300176625524</v>
      </c>
      <c r="AX132" s="336">
        <f t="shared" si="285"/>
        <v>91.266291695817486</v>
      </c>
      <c r="AY132" s="336">
        <f t="shared" si="285"/>
        <v>97.686515483875041</v>
      </c>
      <c r="AZ132" s="613">
        <f t="shared" si="285"/>
        <v>100.75624305669541</v>
      </c>
      <c r="BA132" s="336">
        <f t="shared" si="285"/>
        <v>106.71678695532597</v>
      </c>
      <c r="BB132" s="336">
        <f t="shared" si="285"/>
        <v>104.26923889145877</v>
      </c>
      <c r="BC132" s="336">
        <f t="shared" si="285"/>
        <v>110.54930273409406</v>
      </c>
      <c r="BD132" s="613">
        <f t="shared" si="285"/>
        <v>113.60651201252806</v>
      </c>
      <c r="BF132" s="54"/>
      <c r="BG132" s="626"/>
      <c r="BH132" s="336"/>
      <c r="BI132" s="336"/>
      <c r="BJ132" s="336">
        <f t="shared" ref="BJ132:BU132" si="286">+BJ167+BJ168</f>
        <v>2.831</v>
      </c>
      <c r="BK132" s="336">
        <f t="shared" si="286"/>
        <v>5.8319999999999999</v>
      </c>
      <c r="BL132" s="336">
        <f t="shared" si="286"/>
        <v>9.7569999999999997</v>
      </c>
      <c r="BM132" s="336">
        <f t="shared" si="286"/>
        <v>19.222999999999999</v>
      </c>
      <c r="BN132" s="336">
        <f t="shared" si="286"/>
        <v>25.349</v>
      </c>
      <c r="BO132" s="336">
        <f t="shared" si="286"/>
        <v>32.575000000000003</v>
      </c>
      <c r="BP132" s="336">
        <f t="shared" si="286"/>
        <v>46.388999999999996</v>
      </c>
      <c r="BQ132" s="336">
        <f t="shared" si="286"/>
        <v>58.396000000000001</v>
      </c>
      <c r="BR132" s="336">
        <f t="shared" si="286"/>
        <v>77.134</v>
      </c>
      <c r="BS132" s="336">
        <f t="shared" si="286"/>
        <v>89.185593457267842</v>
      </c>
      <c r="BT132" s="336">
        <f t="shared" si="286"/>
        <v>100.75624305669541</v>
      </c>
      <c r="BU132" s="336">
        <f t="shared" si="286"/>
        <v>113.60651201252806</v>
      </c>
      <c r="BV132" s="336">
        <f>+BV167+BV168</f>
        <v>123.91162865229337</v>
      </c>
      <c r="BW132" s="336">
        <f>+BW167+BW168</f>
        <v>133.47279301837239</v>
      </c>
      <c r="BX132" s="336">
        <f>+BX167+BX168</f>
        <v>142.46085719562069</v>
      </c>
      <c r="BY132" s="336">
        <f>+BY167+BY168</f>
        <v>150.66983617940662</v>
      </c>
      <c r="BZ132" s="613">
        <f>+BZ167+BZ168</f>
        <v>158.21725689135889</v>
      </c>
      <c r="CA132" s="36"/>
      <c r="CB132" s="36"/>
      <c r="CC132" s="36"/>
      <c r="CD132" s="36"/>
      <c r="CE132" s="36"/>
      <c r="CF132" s="36"/>
      <c r="CG132" s="1765"/>
      <c r="CH132" s="1765"/>
      <c r="CI132" s="1765"/>
      <c r="CJ132" s="36"/>
      <c r="CK132" s="36"/>
      <c r="CL132" s="36"/>
      <c r="CM132" s="36"/>
      <c r="CN132" s="36"/>
      <c r="CO132" s="36"/>
      <c r="CP132" s="36"/>
      <c r="CQ132" s="36"/>
      <c r="CR132" s="36"/>
    </row>
    <row r="133" spans="1:96" ht="11.25" customHeight="1" outlineLevel="1">
      <c r="A133" s="36"/>
      <c r="H133" s="36"/>
      <c r="I133" s="1060" t="s">
        <v>417</v>
      </c>
      <c r="J133" s="5"/>
      <c r="K133" s="5"/>
      <c r="L133" s="5"/>
      <c r="M133" s="709">
        <f t="shared" ref="M133:AJ133" si="287">+M129-M130-M131-M132</f>
        <v>0</v>
      </c>
      <c r="N133" s="108">
        <f t="shared" si="287"/>
        <v>0</v>
      </c>
      <c r="O133" s="108">
        <f t="shared" si="287"/>
        <v>0</v>
      </c>
      <c r="P133" s="1055">
        <f t="shared" si="287"/>
        <v>7.0709999999999988</v>
      </c>
      <c r="Q133" s="108">
        <f t="shared" si="287"/>
        <v>0</v>
      </c>
      <c r="R133" s="108">
        <f t="shared" si="287"/>
        <v>0</v>
      </c>
      <c r="S133" s="108">
        <f t="shared" si="287"/>
        <v>8.1840000000000064</v>
      </c>
      <c r="T133" s="108">
        <f t="shared" si="287"/>
        <v>9.3549999999999986</v>
      </c>
      <c r="U133" s="709">
        <f t="shared" si="287"/>
        <v>9.8800000000000239</v>
      </c>
      <c r="V133" s="108">
        <f t="shared" si="287"/>
        <v>18.067000000000014</v>
      </c>
      <c r="W133" s="108">
        <f t="shared" si="287"/>
        <v>19.845999999999989</v>
      </c>
      <c r="X133" s="1055">
        <f t="shared" si="287"/>
        <v>71.065000000000012</v>
      </c>
      <c r="Y133" s="108">
        <f t="shared" si="287"/>
        <v>71.536999999999978</v>
      </c>
      <c r="Z133" s="108">
        <f t="shared" si="287"/>
        <v>78.390000000000015</v>
      </c>
      <c r="AA133" s="108">
        <f t="shared" si="287"/>
        <v>96.016000000000005</v>
      </c>
      <c r="AB133" s="108">
        <f t="shared" si="287"/>
        <v>97.500999999999991</v>
      </c>
      <c r="AC133" s="709">
        <f t="shared" si="287"/>
        <v>106.39999999999999</v>
      </c>
      <c r="AD133" s="108">
        <f t="shared" si="287"/>
        <v>237.28299999999999</v>
      </c>
      <c r="AE133" s="108">
        <f t="shared" si="287"/>
        <v>255.04600000000005</v>
      </c>
      <c r="AF133" s="1055">
        <f t="shared" si="287"/>
        <v>229.86700000000008</v>
      </c>
      <c r="AG133" s="108">
        <f t="shared" si="287"/>
        <v>337.27299999999991</v>
      </c>
      <c r="AH133" s="108">
        <f t="shared" si="287"/>
        <v>331.286</v>
      </c>
      <c r="AI133" s="108">
        <f t="shared" si="287"/>
        <v>340.37200000000013</v>
      </c>
      <c r="AJ133" s="1055">
        <f t="shared" si="287"/>
        <v>334.82300000000004</v>
      </c>
      <c r="AK133" s="108">
        <f t="shared" ref="AK133:AP133" si="288">+AK129-AK130-AK131-AK132</f>
        <v>338.56900000000002</v>
      </c>
      <c r="AL133" s="108">
        <f t="shared" si="288"/>
        <v>345.47199999999987</v>
      </c>
      <c r="AM133" s="108">
        <f t="shared" si="288"/>
        <v>349.73099999999999</v>
      </c>
      <c r="AN133" s="1055">
        <f t="shared" si="288"/>
        <v>345.274</v>
      </c>
      <c r="AO133" s="108">
        <f>+AO129-AO130-AO131-AO132</f>
        <v>364.34100000000001</v>
      </c>
      <c r="AP133" s="108">
        <f t="shared" si="288"/>
        <v>393.19099999999992</v>
      </c>
      <c r="AQ133" s="108">
        <f t="shared" ref="AQ133:AR133" si="289">+AQ129-AQ130-AQ131-AQ132</f>
        <v>388.64200000000005</v>
      </c>
      <c r="AR133" s="1055">
        <f t="shared" si="289"/>
        <v>309.12900000000002</v>
      </c>
      <c r="AS133" s="108">
        <f t="shared" ref="AS133:BD133" si="290">+AS129-AS130-AS131-AS132</f>
        <v>331.68681710936386</v>
      </c>
      <c r="AT133" s="108">
        <f t="shared" si="290"/>
        <v>333.78183148805397</v>
      </c>
      <c r="AU133" s="108">
        <f t="shared" si="290"/>
        <v>291.68509890033226</v>
      </c>
      <c r="AV133" s="1055">
        <f t="shared" si="290"/>
        <v>290.27328937688094</v>
      </c>
      <c r="AW133" s="108">
        <f t="shared" si="290"/>
        <v>293.01445217652196</v>
      </c>
      <c r="AX133" s="108">
        <f t="shared" si="290"/>
        <v>296.14176271203655</v>
      </c>
      <c r="AY133" s="108">
        <f t="shared" si="290"/>
        <v>288.79756016763849</v>
      </c>
      <c r="AZ133" s="1055">
        <f t="shared" si="290"/>
        <v>294.20560524012706</v>
      </c>
      <c r="BA133" s="108">
        <f t="shared" si="290"/>
        <v>295.76628179699821</v>
      </c>
      <c r="BB133" s="108">
        <f t="shared" si="290"/>
        <v>299.10968944596669</v>
      </c>
      <c r="BC133" s="108">
        <f t="shared" si="290"/>
        <v>290.89930764119464</v>
      </c>
      <c r="BD133" s="1055">
        <f t="shared" si="290"/>
        <v>297.022850077908</v>
      </c>
      <c r="BF133" s="54"/>
      <c r="BG133" s="709"/>
      <c r="BH133" s="108"/>
      <c r="BI133" s="108"/>
      <c r="BJ133" s="108">
        <f t="shared" ref="BJ133:BU133" si="291">+BJ129-BJ130-BJ131-BJ132</f>
        <v>2.6340000000000034</v>
      </c>
      <c r="BK133" s="108">
        <f t="shared" si="291"/>
        <v>7.0709999999999988</v>
      </c>
      <c r="BL133" s="108">
        <f t="shared" si="291"/>
        <v>9.3549999999999986</v>
      </c>
      <c r="BM133" s="108">
        <f t="shared" si="291"/>
        <v>71.065000000000012</v>
      </c>
      <c r="BN133" s="108">
        <f t="shared" si="291"/>
        <v>97.500999999999991</v>
      </c>
      <c r="BO133" s="108">
        <f t="shared" si="291"/>
        <v>229.86700000000008</v>
      </c>
      <c r="BP133" s="108">
        <f t="shared" si="291"/>
        <v>334.82300000000004</v>
      </c>
      <c r="BQ133" s="108">
        <f t="shared" si="291"/>
        <v>345.274</v>
      </c>
      <c r="BR133" s="108">
        <f t="shared" si="291"/>
        <v>309.12900000000002</v>
      </c>
      <c r="BS133" s="108">
        <f t="shared" si="291"/>
        <v>290.27328937688094</v>
      </c>
      <c r="BT133" s="108">
        <f t="shared" si="291"/>
        <v>294.20560524012706</v>
      </c>
      <c r="BU133" s="108">
        <f t="shared" si="291"/>
        <v>297.022850077908</v>
      </c>
      <c r="BV133" s="108">
        <f>+BV129-BV130-BV131-BV132</f>
        <v>301.59902052061676</v>
      </c>
      <c r="BW133" s="108">
        <f>+BW129-BW130-BW131-BW132</f>
        <v>306.51779260216824</v>
      </c>
      <c r="BX133" s="108">
        <f>+BX129-BX130-BX131-BX132</f>
        <v>311.5945024677668</v>
      </c>
      <c r="BY133" s="108">
        <f>+BY129-BY130-BY131-BY132</f>
        <v>316.74929056033403</v>
      </c>
      <c r="BZ133" s="1055">
        <f>+BZ129-BZ130-BZ131-BZ132</f>
        <v>322.20520633988184</v>
      </c>
      <c r="CA133" s="36"/>
      <c r="CB133" s="36"/>
      <c r="CC133" s="36"/>
      <c r="CD133" s="36"/>
      <c r="CE133" s="36"/>
      <c r="CF133" s="36"/>
      <c r="CG133" s="1765"/>
      <c r="CH133" s="1765"/>
      <c r="CI133" s="1765"/>
      <c r="CJ133" s="36"/>
      <c r="CK133" s="36"/>
      <c r="CL133" s="36"/>
      <c r="CM133" s="36"/>
      <c r="CN133" s="36"/>
      <c r="CO133" s="36"/>
      <c r="CP133" s="36"/>
      <c r="CQ133" s="36"/>
      <c r="CR133" s="36"/>
    </row>
    <row r="134" spans="1:96" ht="11.25" customHeight="1" outlineLevel="1">
      <c r="A134" s="36"/>
      <c r="H134" s="36"/>
      <c r="I134" s="1060"/>
      <c r="J134" s="5"/>
      <c r="K134" s="5"/>
      <c r="L134" s="5"/>
      <c r="M134" s="450"/>
      <c r="N134" s="5"/>
      <c r="O134" s="5"/>
      <c r="P134" s="492"/>
      <c r="Q134" s="5"/>
      <c r="R134" s="5"/>
      <c r="S134" s="5"/>
      <c r="T134" s="5"/>
      <c r="U134" s="450"/>
      <c r="V134" s="5"/>
      <c r="W134" s="5"/>
      <c r="X134" s="492"/>
      <c r="Y134" s="5"/>
      <c r="Z134" s="5"/>
      <c r="AA134" s="5"/>
      <c r="AB134" s="5"/>
      <c r="AC134" s="450"/>
      <c r="AD134" s="5"/>
      <c r="AE134" s="5"/>
      <c r="AF134" s="492"/>
      <c r="AG134" s="5"/>
      <c r="AH134" s="5"/>
      <c r="AI134" s="5"/>
      <c r="AJ134" s="492"/>
      <c r="AK134" s="5"/>
      <c r="AL134" s="5"/>
      <c r="AM134" s="5"/>
      <c r="AN134" s="492"/>
      <c r="AO134" s="5"/>
      <c r="AP134" s="5"/>
      <c r="AQ134" s="5"/>
      <c r="AR134" s="492"/>
      <c r="AS134" s="5"/>
      <c r="AT134" s="5"/>
      <c r="AU134" s="5"/>
      <c r="AV134" s="492"/>
      <c r="AW134" s="5"/>
      <c r="AX134" s="5"/>
      <c r="AY134" s="5"/>
      <c r="AZ134" s="492"/>
      <c r="BA134" s="5"/>
      <c r="BB134" s="5"/>
      <c r="BC134" s="5"/>
      <c r="BD134" s="492"/>
      <c r="BF134" s="54"/>
      <c r="BG134" s="450"/>
      <c r="BH134" s="5"/>
      <c r="BI134" s="5"/>
      <c r="BJ134" s="5"/>
      <c r="BK134" s="5"/>
      <c r="BL134" s="5"/>
      <c r="BM134" s="5"/>
      <c r="BN134" s="5"/>
      <c r="BO134" s="5"/>
      <c r="BP134" s="5"/>
      <c r="BQ134" s="5"/>
      <c r="BR134" s="5"/>
      <c r="BS134" s="5"/>
      <c r="BT134" s="5"/>
      <c r="BU134" s="5"/>
      <c r="BV134" s="5"/>
      <c r="BW134" s="5"/>
      <c r="BX134" s="5"/>
      <c r="BY134" s="5"/>
      <c r="BZ134" s="492"/>
      <c r="CA134" s="36"/>
      <c r="CB134" s="36"/>
      <c r="CC134" s="36"/>
      <c r="CD134" s="36"/>
      <c r="CE134" s="36"/>
      <c r="CF134" s="36"/>
      <c r="CG134" s="1765"/>
      <c r="CH134" s="1765"/>
      <c r="CI134" s="1765"/>
      <c r="CJ134" s="36"/>
      <c r="CK134" s="36"/>
      <c r="CL134" s="36"/>
      <c r="CM134" s="36"/>
      <c r="CN134" s="36"/>
      <c r="CO134" s="36"/>
      <c r="CP134" s="36"/>
      <c r="CQ134" s="36"/>
      <c r="CR134" s="36"/>
    </row>
    <row r="135" spans="1:96" ht="11.25" customHeight="1" outlineLevel="1">
      <c r="A135" s="36"/>
      <c r="H135" s="36"/>
      <c r="I135" s="1060" t="s">
        <v>418</v>
      </c>
      <c r="J135" s="5"/>
      <c r="K135" s="5"/>
      <c r="L135" s="5"/>
      <c r="M135" s="450"/>
      <c r="N135" s="5"/>
      <c r="O135" s="5"/>
      <c r="P135" s="492"/>
      <c r="Q135" s="5"/>
      <c r="R135" s="5"/>
      <c r="S135" s="5"/>
      <c r="T135" s="5"/>
      <c r="U135" s="450"/>
      <c r="V135" s="5"/>
      <c r="W135" s="5"/>
      <c r="X135" s="492"/>
      <c r="Y135" s="5"/>
      <c r="Z135" s="5"/>
      <c r="AA135" s="5"/>
      <c r="AB135" s="5"/>
      <c r="AC135" s="450"/>
      <c r="AD135" s="5"/>
      <c r="AE135" s="5"/>
      <c r="AF135" s="492"/>
      <c r="AG135" s="5"/>
      <c r="AH135" s="5"/>
      <c r="AI135" s="5"/>
      <c r="AJ135" s="492"/>
      <c r="AK135" s="5"/>
      <c r="AL135" s="5"/>
      <c r="AM135" s="5"/>
      <c r="AN135" s="492"/>
      <c r="AO135" s="5"/>
      <c r="AP135" s="5"/>
      <c r="AQ135" s="5"/>
      <c r="AR135" s="492"/>
      <c r="AS135" s="5"/>
      <c r="AT135" s="5"/>
      <c r="AU135" s="5"/>
      <c r="AV135" s="492"/>
      <c r="AW135" s="5"/>
      <c r="AX135" s="5"/>
      <c r="AY135" s="5"/>
      <c r="AZ135" s="492"/>
      <c r="BA135" s="5"/>
      <c r="BB135" s="5"/>
      <c r="BC135" s="5"/>
      <c r="BD135" s="492"/>
      <c r="BF135" s="54"/>
      <c r="BG135" s="450"/>
      <c r="BH135" s="5"/>
      <c r="BI135" s="5"/>
      <c r="BJ135" s="5"/>
      <c r="BK135" s="5"/>
      <c r="BL135" s="5"/>
      <c r="BM135" s="5"/>
      <c r="BN135" s="5"/>
      <c r="BO135" s="5"/>
      <c r="BP135" s="5"/>
      <c r="BQ135" s="5"/>
      <c r="BR135" s="5"/>
      <c r="BS135" s="5"/>
      <c r="BT135" s="5"/>
      <c r="BU135" s="5"/>
      <c r="BV135" s="5"/>
      <c r="BW135" s="5"/>
      <c r="BX135" s="5"/>
      <c r="BY135" s="5"/>
      <c r="BZ135" s="492"/>
      <c r="CA135" s="36"/>
      <c r="CB135" s="36"/>
      <c r="CC135" s="36"/>
      <c r="CD135" s="36"/>
      <c r="CE135" s="36"/>
      <c r="CF135" s="36"/>
      <c r="CG135" s="1765"/>
      <c r="CH135" s="1765"/>
      <c r="CI135" s="1765"/>
      <c r="CJ135" s="36"/>
      <c r="CK135" s="36"/>
      <c r="CL135" s="36"/>
      <c r="CM135" s="36"/>
      <c r="CN135" s="36"/>
      <c r="CO135" s="36"/>
      <c r="CP135" s="36"/>
      <c r="CQ135" s="36"/>
      <c r="CR135" s="36"/>
    </row>
    <row r="136" spans="1:96" ht="11.25" customHeight="1" outlineLevel="1">
      <c r="A136" s="36"/>
      <c r="H136" s="36"/>
      <c r="I136" s="1064" t="s">
        <v>419</v>
      </c>
      <c r="J136" s="5"/>
      <c r="K136" s="5"/>
      <c r="L136" s="5"/>
      <c r="M136" s="626">
        <f t="shared" ref="M136:AN136" si="292">+M43</f>
        <v>-1.3130000000000024</v>
      </c>
      <c r="N136" s="336">
        <f t="shared" si="292"/>
        <v>-2.4190000000000005</v>
      </c>
      <c r="O136" s="336">
        <f t="shared" si="292"/>
        <v>-2.5799999999999983</v>
      </c>
      <c r="P136" s="613">
        <f t="shared" si="292"/>
        <v>-0.46299999999999919</v>
      </c>
      <c r="Q136" s="336">
        <f t="shared" si="292"/>
        <v>-1.6989999999999981</v>
      </c>
      <c r="R136" s="336">
        <f t="shared" si="292"/>
        <v>-0.27499999999999858</v>
      </c>
      <c r="S136" s="336">
        <f t="shared" si="292"/>
        <v>-1.9290000000000056</v>
      </c>
      <c r="T136" s="336">
        <f t="shared" si="292"/>
        <v>-1.4629999999999974</v>
      </c>
      <c r="U136" s="626">
        <f t="shared" si="292"/>
        <v>-2.3120000000000012</v>
      </c>
      <c r="V136" s="336">
        <f t="shared" si="292"/>
        <v>-8.0000000000001847E-2</v>
      </c>
      <c r="W136" s="336">
        <f t="shared" si="292"/>
        <v>0.382000000000005</v>
      </c>
      <c r="X136" s="613">
        <f t="shared" si="292"/>
        <v>-0.61600000000000676</v>
      </c>
      <c r="Y136" s="336">
        <f t="shared" si="292"/>
        <v>0.7260000000000062</v>
      </c>
      <c r="Z136" s="336">
        <f t="shared" si="292"/>
        <v>5.1330000000000027</v>
      </c>
      <c r="AA136" s="336">
        <f t="shared" si="292"/>
        <v>5.2339999999999947</v>
      </c>
      <c r="AB136" s="336">
        <f t="shared" si="292"/>
        <v>6.8809999999999931</v>
      </c>
      <c r="AC136" s="626">
        <f t="shared" si="292"/>
        <v>4.8519999999999897</v>
      </c>
      <c r="AD136" s="336">
        <f t="shared" si="292"/>
        <v>13.209999999999994</v>
      </c>
      <c r="AE136" s="336">
        <f t="shared" si="292"/>
        <v>15.462000000000003</v>
      </c>
      <c r="AF136" s="613">
        <f t="shared" si="292"/>
        <v>19.808000000000007</v>
      </c>
      <c r="AG136" s="336">
        <f t="shared" si="292"/>
        <v>2.7139999999999986</v>
      </c>
      <c r="AH136" s="336">
        <f t="shared" si="292"/>
        <v>7.2529999999999859</v>
      </c>
      <c r="AI136" s="336">
        <f t="shared" si="292"/>
        <v>-3.9879999999999995</v>
      </c>
      <c r="AJ136" s="613">
        <f t="shared" si="292"/>
        <v>2.5279999999999916</v>
      </c>
      <c r="AK136" s="336">
        <f t="shared" si="292"/>
        <v>4.8370000000000175</v>
      </c>
      <c r="AL136" s="336">
        <f t="shared" si="292"/>
        <v>19.538999999999987</v>
      </c>
      <c r="AM136" s="336">
        <f t="shared" si="292"/>
        <v>24.519999999999982</v>
      </c>
      <c r="AN136" s="613">
        <f t="shared" si="292"/>
        <v>32.384999999999991</v>
      </c>
      <c r="AO136" s="336">
        <f>+AO43</f>
        <v>18.888999999999982</v>
      </c>
      <c r="AP136" s="336">
        <f t="shared" ref="AP136:AV136" si="293">+AP43</f>
        <v>32.22999999999999</v>
      </c>
      <c r="AQ136" s="336">
        <f t="shared" ref="AQ136:AR136" si="294">+AQ43</f>
        <v>32.151999999999987</v>
      </c>
      <c r="AR136" s="613">
        <f t="shared" si="294"/>
        <v>31.906999999999982</v>
      </c>
      <c r="AS136" s="336">
        <f t="shared" si="293"/>
        <v>22.271578998900253</v>
      </c>
      <c r="AT136" s="336">
        <f t="shared" si="293"/>
        <v>36.363681476941935</v>
      </c>
      <c r="AU136" s="336">
        <f t="shared" si="293"/>
        <v>37.85584647899995</v>
      </c>
      <c r="AV136" s="613">
        <f t="shared" si="293"/>
        <v>44.495797403847035</v>
      </c>
      <c r="AW136" s="336">
        <f t="shared" ref="AW136:BD136" si="295">+AW43</f>
        <v>36.545490272207843</v>
      </c>
      <c r="AX136" s="336">
        <f t="shared" si="295"/>
        <v>51.827179543752408</v>
      </c>
      <c r="AY136" s="336">
        <f t="shared" si="295"/>
        <v>53.448217149168471</v>
      </c>
      <c r="AZ136" s="613">
        <f t="shared" si="295"/>
        <v>60.29456360350656</v>
      </c>
      <c r="BA136" s="336">
        <f t="shared" si="295"/>
        <v>46.030199892158549</v>
      </c>
      <c r="BB136" s="336">
        <f t="shared" si="295"/>
        <v>63.294337598621951</v>
      </c>
      <c r="BC136" s="336">
        <f t="shared" si="295"/>
        <v>64.78931629863871</v>
      </c>
      <c r="BD136" s="613">
        <f t="shared" si="295"/>
        <v>72.195741217695712</v>
      </c>
      <c r="BF136" s="54"/>
      <c r="BG136" s="626"/>
      <c r="BH136" s="336"/>
      <c r="BI136" s="336"/>
      <c r="BJ136" s="336">
        <f t="shared" ref="BJ136:BZ136" si="296">+BJ43</f>
        <v>-1.7759999999999962</v>
      </c>
      <c r="BK136" s="336">
        <f t="shared" si="296"/>
        <v>-6.7749999999999986</v>
      </c>
      <c r="BL136" s="336">
        <f t="shared" si="296"/>
        <v>-5.3659999999999997</v>
      </c>
      <c r="BM136" s="336">
        <f t="shared" si="296"/>
        <v>-2.6260000000000332</v>
      </c>
      <c r="BN136" s="336">
        <f t="shared" si="296"/>
        <v>17.97399999999999</v>
      </c>
      <c r="BO136" s="336">
        <f t="shared" si="296"/>
        <v>53.331999999999994</v>
      </c>
      <c r="BP136" s="336">
        <f t="shared" si="296"/>
        <v>8.507000000000005</v>
      </c>
      <c r="BQ136" s="336">
        <f t="shared" si="296"/>
        <v>81.280999999999949</v>
      </c>
      <c r="BR136" s="336">
        <f t="shared" si="296"/>
        <v>115.178</v>
      </c>
      <c r="BS136" s="336">
        <f t="shared" si="296"/>
        <v>140.98690435868912</v>
      </c>
      <c r="BT136" s="336">
        <f t="shared" si="296"/>
        <v>202.11545056863531</v>
      </c>
      <c r="BU136" s="336">
        <f t="shared" si="296"/>
        <v>246.30959500711481</v>
      </c>
      <c r="BV136" s="336">
        <f t="shared" si="296"/>
        <v>298.91200047840243</v>
      </c>
      <c r="BW136" s="336">
        <f t="shared" si="296"/>
        <v>356.07452297530563</v>
      </c>
      <c r="BX136" s="336">
        <f t="shared" si="296"/>
        <v>415.04386817302907</v>
      </c>
      <c r="BY136" s="336">
        <f t="shared" si="296"/>
        <v>475.99643607157282</v>
      </c>
      <c r="BZ136" s="613">
        <f t="shared" si="296"/>
        <v>540.39512099573221</v>
      </c>
      <c r="CA136" s="36"/>
      <c r="CB136" s="36"/>
      <c r="CC136" s="36"/>
      <c r="CD136" s="36"/>
      <c r="CE136" s="36"/>
      <c r="CF136" s="36"/>
      <c r="CG136" s="1765"/>
      <c r="CH136" s="1765"/>
      <c r="CI136" s="1765"/>
      <c r="CJ136" s="36"/>
      <c r="CK136" s="36"/>
      <c r="CL136" s="36"/>
      <c r="CM136" s="36"/>
      <c r="CN136" s="36"/>
      <c r="CO136" s="36"/>
      <c r="CP136" s="36"/>
      <c r="CQ136" s="36"/>
      <c r="CR136" s="36"/>
    </row>
    <row r="137" spans="1:96" ht="11.25" customHeight="1" outlineLevel="1">
      <c r="A137" s="36"/>
      <c r="H137" s="36"/>
      <c r="I137" s="1064" t="s">
        <v>420</v>
      </c>
      <c r="J137" s="5"/>
      <c r="K137" s="5"/>
      <c r="L137" s="5"/>
      <c r="M137" s="626">
        <f t="shared" ref="M137:AN137" si="297">+M46</f>
        <v>-2.8660000000000032</v>
      </c>
      <c r="N137" s="336">
        <f t="shared" si="297"/>
        <v>-2.6760000000000002</v>
      </c>
      <c r="O137" s="336">
        <f t="shared" si="297"/>
        <v>-2.9469999999999992</v>
      </c>
      <c r="P137" s="613">
        <f t="shared" si="297"/>
        <v>-1.0170000000000012</v>
      </c>
      <c r="Q137" s="336">
        <f t="shared" si="297"/>
        <v>-2.8019999999999996</v>
      </c>
      <c r="R137" s="336">
        <f t="shared" si="297"/>
        <v>-1.222999999999999</v>
      </c>
      <c r="S137" s="336">
        <f t="shared" si="297"/>
        <v>-3.3890000000000065</v>
      </c>
      <c r="T137" s="336">
        <f t="shared" si="297"/>
        <v>-8.7569999999999979</v>
      </c>
      <c r="U137" s="626">
        <f t="shared" si="297"/>
        <v>-9.7409999999999997</v>
      </c>
      <c r="V137" s="336">
        <f t="shared" si="297"/>
        <v>-1.9380000000000024</v>
      </c>
      <c r="W137" s="336">
        <f t="shared" si="297"/>
        <v>-1.9519999999999982</v>
      </c>
      <c r="X137" s="613">
        <f t="shared" si="297"/>
        <v>-5.1360000000000099</v>
      </c>
      <c r="Y137" s="336">
        <f t="shared" si="297"/>
        <v>-4.5539999999999878</v>
      </c>
      <c r="Z137" s="336">
        <f t="shared" si="297"/>
        <v>-0.57999999999999829</v>
      </c>
      <c r="AA137" s="336">
        <f t="shared" si="297"/>
        <v>-1.7810000000000059</v>
      </c>
      <c r="AB137" s="336">
        <f t="shared" si="297"/>
        <v>-1.9080000000000013</v>
      </c>
      <c r="AC137" s="626">
        <f t="shared" si="297"/>
        <v>-4.6040000000000134</v>
      </c>
      <c r="AD137" s="336">
        <f t="shared" si="297"/>
        <v>3.1269999999999953</v>
      </c>
      <c r="AE137" s="336">
        <f t="shared" si="297"/>
        <v>4.5439999999999969</v>
      </c>
      <c r="AF137" s="613">
        <f t="shared" si="297"/>
        <v>7.9920000000000044</v>
      </c>
      <c r="AG137" s="336">
        <f t="shared" si="297"/>
        <v>-10.957000000000008</v>
      </c>
      <c r="AH137" s="336">
        <f t="shared" si="297"/>
        <v>-8.2630000000000194</v>
      </c>
      <c r="AI137" s="336">
        <f t="shared" si="297"/>
        <v>-19.671000000000006</v>
      </c>
      <c r="AJ137" s="613">
        <f t="shared" si="297"/>
        <v>-13.443999999999988</v>
      </c>
      <c r="AK137" s="336">
        <f t="shared" si="297"/>
        <v>-14.272999999999968</v>
      </c>
      <c r="AL137" s="336">
        <f t="shared" si="297"/>
        <v>-1.1870000000000118</v>
      </c>
      <c r="AM137" s="336">
        <f t="shared" si="297"/>
        <v>1.9599999999999795</v>
      </c>
      <c r="AN137" s="613">
        <f t="shared" si="297"/>
        <v>8.5209999999999866</v>
      </c>
      <c r="AO137" s="336">
        <f>+AO46</f>
        <v>-5.4450000000000216</v>
      </c>
      <c r="AP137" s="336">
        <f t="shared" ref="AP137:AV137" si="298">+AP46</f>
        <v>6.8439999999999941</v>
      </c>
      <c r="AQ137" s="336">
        <f t="shared" ref="AQ137:AR137" si="299">+AQ46</f>
        <v>6.8079999999999927</v>
      </c>
      <c r="AR137" s="613">
        <f t="shared" si="299"/>
        <v>171.27799999999999</v>
      </c>
      <c r="AS137" s="336">
        <f t="shared" si="298"/>
        <v>-4.4958210010997561</v>
      </c>
      <c r="AT137" s="336">
        <f t="shared" si="298"/>
        <v>8.4621814769419359</v>
      </c>
      <c r="AU137" s="336">
        <f t="shared" si="298"/>
        <v>8.7504964789999633</v>
      </c>
      <c r="AV137" s="613">
        <f t="shared" si="298"/>
        <v>14.007397403847051</v>
      </c>
      <c r="AW137" s="336">
        <f t="shared" ref="AW137:BD137" si="300">+AW46</f>
        <v>6.5660022722078395</v>
      </c>
      <c r="AX137" s="336">
        <f t="shared" si="300"/>
        <v>20.577499543752396</v>
      </c>
      <c r="AY137" s="336">
        <f t="shared" si="300"/>
        <v>20.850225149168466</v>
      </c>
      <c r="AZ137" s="613">
        <f t="shared" si="300"/>
        <v>26.147555603506561</v>
      </c>
      <c r="BA137" s="336">
        <f t="shared" si="300"/>
        <v>13.052763092158557</v>
      </c>
      <c r="BB137" s="336">
        <f t="shared" si="300"/>
        <v>28.919689598621943</v>
      </c>
      <c r="BC137" s="336">
        <f t="shared" si="300"/>
        <v>28.931525098638701</v>
      </c>
      <c r="BD137" s="613">
        <f t="shared" si="300"/>
        <v>34.634032417695721</v>
      </c>
      <c r="BF137" s="54"/>
      <c r="BG137" s="626"/>
      <c r="BH137" s="336"/>
      <c r="BI137" s="336"/>
      <c r="BJ137" s="336">
        <f t="shared" ref="BJ137:BZ137" si="301">+BJ46</f>
        <v>-2.3329999999999949</v>
      </c>
      <c r="BK137" s="336">
        <f t="shared" si="301"/>
        <v>-9.5059999999999931</v>
      </c>
      <c r="BL137" s="336">
        <f t="shared" si="301"/>
        <v>-16.170999999999992</v>
      </c>
      <c r="BM137" s="336">
        <f t="shared" si="301"/>
        <v>-18.767000000000024</v>
      </c>
      <c r="BN137" s="336">
        <f t="shared" si="301"/>
        <v>-8.8230000000000075</v>
      </c>
      <c r="BO137" s="336">
        <f t="shared" si="301"/>
        <v>11.058999999999969</v>
      </c>
      <c r="BP137" s="336">
        <f t="shared" si="301"/>
        <v>-52.335000000000036</v>
      </c>
      <c r="BQ137" s="336">
        <f t="shared" si="301"/>
        <v>-4.9790000000000418</v>
      </c>
      <c r="BR137" s="336">
        <f t="shared" si="301"/>
        <v>179.48500000000001</v>
      </c>
      <c r="BS137" s="336">
        <f t="shared" si="301"/>
        <v>26.724254358689109</v>
      </c>
      <c r="BT137" s="336">
        <f t="shared" si="301"/>
        <v>74.141282568635233</v>
      </c>
      <c r="BU137" s="336">
        <f t="shared" si="301"/>
        <v>105.53801020711467</v>
      </c>
      <c r="BV137" s="336">
        <f t="shared" si="301"/>
        <v>148.28640474240251</v>
      </c>
      <c r="BW137" s="336">
        <f t="shared" si="301"/>
        <v>197.91764745250566</v>
      </c>
      <c r="BX137" s="336">
        <f t="shared" si="301"/>
        <v>248.97914887408911</v>
      </c>
      <c r="BY137" s="336">
        <f t="shared" si="301"/>
        <v>301.62848080768572</v>
      </c>
      <c r="BZ137" s="613">
        <f t="shared" si="301"/>
        <v>357.30876796865073</v>
      </c>
      <c r="CA137" s="36"/>
      <c r="CB137" s="36"/>
      <c r="CC137" s="36"/>
      <c r="CD137" s="36"/>
      <c r="CE137" s="36"/>
      <c r="CF137" s="36"/>
      <c r="CG137" s="1765"/>
      <c r="CH137" s="1765"/>
      <c r="CI137" s="1765"/>
      <c r="CJ137" s="36"/>
      <c r="CK137" s="36"/>
      <c r="CL137" s="36"/>
      <c r="CM137" s="36"/>
      <c r="CN137" s="36"/>
      <c r="CO137" s="36"/>
      <c r="CP137" s="36"/>
      <c r="CQ137" s="36"/>
      <c r="CR137" s="36"/>
    </row>
    <row r="138" spans="1:96" ht="11.25" customHeight="1" outlineLevel="1">
      <c r="A138" s="36"/>
      <c r="H138" s="36"/>
      <c r="I138" s="1064"/>
      <c r="J138" s="5"/>
      <c r="K138" s="5"/>
      <c r="L138" s="5"/>
      <c r="M138" s="450"/>
      <c r="N138" s="5"/>
      <c r="O138" s="5"/>
      <c r="P138" s="492"/>
      <c r="Q138" s="5"/>
      <c r="R138" s="5"/>
      <c r="S138" s="5"/>
      <c r="T138" s="5"/>
      <c r="U138" s="450"/>
      <c r="V138" s="5"/>
      <c r="W138" s="5"/>
      <c r="X138" s="492"/>
      <c r="Y138" s="5"/>
      <c r="Z138" s="5"/>
      <c r="AA138" s="5"/>
      <c r="AB138" s="5"/>
      <c r="AC138" s="450"/>
      <c r="AD138" s="5"/>
      <c r="AE138" s="5"/>
      <c r="AF138" s="492"/>
      <c r="AG138" s="5"/>
      <c r="AH138" s="5"/>
      <c r="AI138" s="5"/>
      <c r="AJ138" s="492"/>
      <c r="AK138" s="5"/>
      <c r="AL138" s="5"/>
      <c r="AM138" s="5"/>
      <c r="AN138" s="492"/>
      <c r="AO138" s="5"/>
      <c r="AP138" s="5"/>
      <c r="AQ138" s="5"/>
      <c r="AR138" s="492"/>
      <c r="AS138" s="5"/>
      <c r="AT138" s="5"/>
      <c r="AU138" s="5"/>
      <c r="AV138" s="492"/>
      <c r="AW138" s="5"/>
      <c r="AX138" s="5"/>
      <c r="AY138" s="5"/>
      <c r="AZ138" s="492"/>
      <c r="BA138" s="5"/>
      <c r="BB138" s="5"/>
      <c r="BC138" s="5"/>
      <c r="BD138" s="492"/>
      <c r="BF138" s="54"/>
      <c r="BG138" s="450"/>
      <c r="BH138" s="5"/>
      <c r="BI138" s="5"/>
      <c r="BJ138" s="5"/>
      <c r="BK138" s="5"/>
      <c r="BL138" s="5"/>
      <c r="BM138" s="5"/>
      <c r="BN138" s="5"/>
      <c r="BO138" s="5"/>
      <c r="BP138" s="5"/>
      <c r="BQ138" s="5"/>
      <c r="BR138" s="5"/>
      <c r="BS138" s="5"/>
      <c r="BT138" s="5"/>
      <c r="BU138" s="5"/>
      <c r="BV138" s="5"/>
      <c r="BW138" s="5"/>
      <c r="BX138" s="5"/>
      <c r="BY138" s="5"/>
      <c r="BZ138" s="492"/>
      <c r="CA138" s="36"/>
      <c r="CB138" s="36"/>
      <c r="CC138" s="36"/>
      <c r="CD138" s="36"/>
      <c r="CE138" s="36"/>
      <c r="CF138" s="36"/>
      <c r="CG138" s="1765"/>
      <c r="CH138" s="1765"/>
      <c r="CI138" s="1765"/>
      <c r="CJ138" s="36"/>
      <c r="CK138" s="36"/>
      <c r="CL138" s="36"/>
      <c r="CM138" s="36"/>
      <c r="CN138" s="36"/>
      <c r="CO138" s="36"/>
      <c r="CP138" s="36"/>
      <c r="CQ138" s="36"/>
      <c r="CR138" s="36"/>
    </row>
    <row r="139" spans="1:96" ht="11.25" customHeight="1" outlineLevel="1">
      <c r="A139" s="36"/>
      <c r="H139" s="36"/>
      <c r="I139" s="1060" t="s">
        <v>421</v>
      </c>
      <c r="J139" s="5"/>
      <c r="K139" s="5"/>
      <c r="L139" s="5"/>
      <c r="M139" s="450"/>
      <c r="N139" s="5"/>
      <c r="O139" s="5"/>
      <c r="P139" s="492"/>
      <c r="Q139" s="5"/>
      <c r="R139" s="5"/>
      <c r="S139" s="5"/>
      <c r="T139" s="5"/>
      <c r="U139" s="450"/>
      <c r="V139" s="5"/>
      <c r="W139" s="5"/>
      <c r="X139" s="492"/>
      <c r="Y139" s="5"/>
      <c r="Z139" s="5"/>
      <c r="AA139" s="5"/>
      <c r="AB139" s="5"/>
      <c r="AC139" s="450"/>
      <c r="AD139" s="5"/>
      <c r="AE139" s="5"/>
      <c r="AF139" s="492"/>
      <c r="AG139" s="5"/>
      <c r="AH139" s="5"/>
      <c r="AI139" s="5"/>
      <c r="AJ139" s="492"/>
      <c r="AK139" s="5"/>
      <c r="AL139" s="5"/>
      <c r="AM139" s="5"/>
      <c r="AN139" s="492"/>
      <c r="AO139" s="5"/>
      <c r="AP139" s="5"/>
      <c r="AQ139" s="5"/>
      <c r="AR139" s="492"/>
      <c r="AS139" s="5"/>
      <c r="AT139" s="5"/>
      <c r="AU139" s="5"/>
      <c r="AV139" s="492"/>
      <c r="AW139" s="5"/>
      <c r="AX139" s="5"/>
      <c r="AY139" s="5"/>
      <c r="AZ139" s="492"/>
      <c r="BA139" s="5"/>
      <c r="BB139" s="5"/>
      <c r="BC139" s="5"/>
      <c r="BD139" s="492"/>
      <c r="BF139" s="54"/>
      <c r="BG139" s="450"/>
      <c r="BH139" s="5"/>
      <c r="BI139" s="5"/>
      <c r="BJ139" s="5"/>
      <c r="BK139" s="5"/>
      <c r="BL139" s="5"/>
      <c r="BM139" s="5"/>
      <c r="BN139" s="5"/>
      <c r="BO139" s="5"/>
      <c r="BP139" s="5"/>
      <c r="BQ139" s="5"/>
      <c r="BR139" s="5"/>
      <c r="BS139" s="5"/>
      <c r="BT139" s="5"/>
      <c r="BU139" s="5"/>
      <c r="BV139" s="5"/>
      <c r="BW139" s="5"/>
      <c r="BX139" s="5"/>
      <c r="BY139" s="5"/>
      <c r="BZ139" s="492"/>
      <c r="CA139" s="36"/>
      <c r="CB139" s="36"/>
      <c r="CC139" s="36"/>
      <c r="CD139" s="36"/>
      <c r="CE139" s="36"/>
      <c r="CF139" s="36"/>
      <c r="CG139" s="1765"/>
      <c r="CH139" s="1765"/>
      <c r="CI139" s="1765"/>
      <c r="CJ139" s="36"/>
      <c r="CK139" s="36"/>
      <c r="CL139" s="36"/>
      <c r="CM139" s="36"/>
      <c r="CN139" s="36"/>
      <c r="CO139" s="36"/>
      <c r="CP139" s="36"/>
      <c r="CQ139" s="36"/>
      <c r="CR139" s="36"/>
    </row>
    <row r="140" spans="1:96" ht="11.25" customHeight="1" outlineLevel="1">
      <c r="A140" s="36"/>
      <c r="H140" s="36"/>
      <c r="I140" s="1064" t="s">
        <v>422</v>
      </c>
      <c r="J140" s="2"/>
      <c r="K140" s="5"/>
      <c r="L140" s="5"/>
      <c r="M140" s="626">
        <f>M137*0.4</f>
        <v>-1.1464000000000014</v>
      </c>
      <c r="N140" s="336">
        <f t="shared" ref="N140:AJ140" si="302">N137*0.4</f>
        <v>-1.0704</v>
      </c>
      <c r="O140" s="336">
        <f t="shared" si="302"/>
        <v>-1.1787999999999996</v>
      </c>
      <c r="P140" s="613">
        <f t="shared" si="302"/>
        <v>-0.40680000000000049</v>
      </c>
      <c r="Q140" s="336">
        <f t="shared" si="302"/>
        <v>-1.1207999999999998</v>
      </c>
      <c r="R140" s="336">
        <f t="shared" si="302"/>
        <v>-0.48919999999999964</v>
      </c>
      <c r="S140" s="336">
        <f t="shared" si="302"/>
        <v>-1.3556000000000026</v>
      </c>
      <c r="T140" s="336">
        <f t="shared" si="302"/>
        <v>-3.5027999999999992</v>
      </c>
      <c r="U140" s="626">
        <f t="shared" si="302"/>
        <v>-3.8963999999999999</v>
      </c>
      <c r="V140" s="336">
        <f t="shared" si="302"/>
        <v>-0.775200000000001</v>
      </c>
      <c r="W140" s="336">
        <f t="shared" si="302"/>
        <v>-0.78079999999999927</v>
      </c>
      <c r="X140" s="613">
        <f t="shared" si="302"/>
        <v>-2.0544000000000042</v>
      </c>
      <c r="Y140" s="336">
        <f t="shared" si="302"/>
        <v>-1.8215999999999952</v>
      </c>
      <c r="Z140" s="336">
        <f t="shared" si="302"/>
        <v>-0.23199999999999932</v>
      </c>
      <c r="AA140" s="336">
        <f t="shared" si="302"/>
        <v>-0.71240000000000236</v>
      </c>
      <c r="AB140" s="336">
        <f t="shared" si="302"/>
        <v>-0.76320000000000054</v>
      </c>
      <c r="AC140" s="626">
        <f t="shared" si="302"/>
        <v>-1.8416000000000055</v>
      </c>
      <c r="AD140" s="336">
        <f t="shared" si="302"/>
        <v>1.2507999999999981</v>
      </c>
      <c r="AE140" s="336">
        <f t="shared" si="302"/>
        <v>1.8175999999999988</v>
      </c>
      <c r="AF140" s="613">
        <f t="shared" si="302"/>
        <v>3.1968000000000019</v>
      </c>
      <c r="AG140" s="336">
        <f t="shared" si="302"/>
        <v>-4.3828000000000031</v>
      </c>
      <c r="AH140" s="336">
        <f t="shared" si="302"/>
        <v>-3.3052000000000081</v>
      </c>
      <c r="AI140" s="336">
        <f t="shared" si="302"/>
        <v>-7.8684000000000029</v>
      </c>
      <c r="AJ140" s="613">
        <f t="shared" si="302"/>
        <v>-5.3775999999999957</v>
      </c>
      <c r="AK140" s="336">
        <f t="shared" ref="AK140:AP140" si="303">AK137*0.4</f>
        <v>-5.7091999999999876</v>
      </c>
      <c r="AL140" s="336">
        <f t="shared" si="303"/>
        <v>-0.47480000000000477</v>
      </c>
      <c r="AM140" s="336">
        <f t="shared" si="303"/>
        <v>0.78399999999999181</v>
      </c>
      <c r="AN140" s="613">
        <f t="shared" si="303"/>
        <v>3.408399999999995</v>
      </c>
      <c r="AO140" s="336">
        <f>AO137*0.4</f>
        <v>-2.1780000000000088</v>
      </c>
      <c r="AP140" s="336">
        <f t="shared" si="303"/>
        <v>2.7375999999999978</v>
      </c>
      <c r="AQ140" s="336">
        <f t="shared" ref="AQ140:AR140" si="304">AQ137*0.4</f>
        <v>2.7231999999999972</v>
      </c>
      <c r="AR140" s="613">
        <f t="shared" si="304"/>
        <v>68.511200000000002</v>
      </c>
      <c r="AS140" s="336">
        <f t="shared" ref="AS140:BD140" si="305">AS137*0.4</f>
        <v>-1.7983284004399025</v>
      </c>
      <c r="AT140" s="336">
        <f t="shared" si="305"/>
        <v>3.3848725907767747</v>
      </c>
      <c r="AU140" s="336">
        <f t="shared" si="305"/>
        <v>3.5001985915999856</v>
      </c>
      <c r="AV140" s="613">
        <f t="shared" si="305"/>
        <v>5.6029589615388211</v>
      </c>
      <c r="AW140" s="336">
        <f t="shared" si="305"/>
        <v>2.6264009088831362</v>
      </c>
      <c r="AX140" s="336">
        <f t="shared" si="305"/>
        <v>8.2309998175009582</v>
      </c>
      <c r="AY140" s="336">
        <f t="shared" si="305"/>
        <v>8.3400900596673875</v>
      </c>
      <c r="AZ140" s="613">
        <f t="shared" si="305"/>
        <v>10.459022241402625</v>
      </c>
      <c r="BA140" s="336">
        <f t="shared" si="305"/>
        <v>5.2211052368634228</v>
      </c>
      <c r="BB140" s="336">
        <f t="shared" si="305"/>
        <v>11.567875839448778</v>
      </c>
      <c r="BC140" s="336">
        <f t="shared" si="305"/>
        <v>11.572610039455482</v>
      </c>
      <c r="BD140" s="613">
        <f t="shared" si="305"/>
        <v>13.853612967078289</v>
      </c>
      <c r="BF140" s="54"/>
      <c r="BG140" s="626"/>
      <c r="BH140" s="336"/>
      <c r="BI140" s="336"/>
      <c r="BJ140" s="336">
        <f t="shared" ref="BJ140:BU140" si="306">BJ137*0.4</f>
        <v>-0.93319999999999803</v>
      </c>
      <c r="BK140" s="336">
        <f t="shared" si="306"/>
        <v>-3.8023999999999973</v>
      </c>
      <c r="BL140" s="336">
        <f t="shared" si="306"/>
        <v>-6.4683999999999973</v>
      </c>
      <c r="BM140" s="336">
        <f t="shared" si="306"/>
        <v>-7.5068000000000099</v>
      </c>
      <c r="BN140" s="336">
        <f t="shared" si="306"/>
        <v>-3.529200000000003</v>
      </c>
      <c r="BO140" s="336">
        <f t="shared" si="306"/>
        <v>4.423599999999988</v>
      </c>
      <c r="BP140" s="336">
        <f t="shared" si="306"/>
        <v>-20.934000000000015</v>
      </c>
      <c r="BQ140" s="336">
        <f t="shared" si="306"/>
        <v>-1.9916000000000169</v>
      </c>
      <c r="BR140" s="336">
        <f t="shared" si="306"/>
        <v>71.794000000000011</v>
      </c>
      <c r="BS140" s="336">
        <f t="shared" si="306"/>
        <v>10.689701743475645</v>
      </c>
      <c r="BT140" s="336">
        <f t="shared" si="306"/>
        <v>29.656513027454096</v>
      </c>
      <c r="BU140" s="336">
        <f t="shared" si="306"/>
        <v>42.215204082845872</v>
      </c>
      <c r="BV140" s="336">
        <f>BV137*0.4</f>
        <v>59.31456189696101</v>
      </c>
      <c r="BW140" s="336">
        <f>BW137*0.4</f>
        <v>79.16705898100227</v>
      </c>
      <c r="BX140" s="336">
        <f>BX137*0.4</f>
        <v>99.591659549635651</v>
      </c>
      <c r="BY140" s="336">
        <f>BY137*0.4</f>
        <v>120.65139232307429</v>
      </c>
      <c r="BZ140" s="613">
        <f>BZ137*0.4</f>
        <v>142.9235071874603</v>
      </c>
      <c r="CA140" s="36"/>
      <c r="CB140" s="36"/>
      <c r="CC140" s="36"/>
      <c r="CD140" s="36"/>
      <c r="CE140" s="36"/>
      <c r="CF140" s="36"/>
      <c r="CG140" s="1765"/>
      <c r="CH140" s="1765"/>
      <c r="CI140" s="1765"/>
      <c r="CJ140" s="36"/>
      <c r="CK140" s="36"/>
      <c r="CL140" s="36"/>
      <c r="CM140" s="36"/>
      <c r="CN140" s="36"/>
      <c r="CO140" s="36"/>
      <c r="CP140" s="36"/>
      <c r="CQ140" s="36"/>
      <c r="CR140" s="36"/>
    </row>
    <row r="141" spans="1:96" ht="11.25" customHeight="1" outlineLevel="1">
      <c r="A141" s="36"/>
      <c r="H141" s="36"/>
      <c r="I141" s="1064"/>
      <c r="J141" s="5"/>
      <c r="K141" s="5"/>
      <c r="L141" s="5"/>
      <c r="M141" s="450"/>
      <c r="N141" s="5"/>
      <c r="O141" s="5"/>
      <c r="P141" s="492"/>
      <c r="Q141" s="5"/>
      <c r="R141" s="5"/>
      <c r="S141" s="5"/>
      <c r="T141" s="5"/>
      <c r="U141" s="450"/>
      <c r="V141" s="5"/>
      <c r="W141" s="5"/>
      <c r="X141" s="492"/>
      <c r="Y141" s="5"/>
      <c r="Z141" s="5"/>
      <c r="AA141" s="5"/>
      <c r="AB141" s="5"/>
      <c r="AC141" s="450"/>
      <c r="AD141" s="5"/>
      <c r="AE141" s="5"/>
      <c r="AF141" s="492"/>
      <c r="AG141" s="5"/>
      <c r="AH141" s="5"/>
      <c r="AI141" s="5"/>
      <c r="AJ141" s="492"/>
      <c r="AK141" s="5"/>
      <c r="AL141" s="5"/>
      <c r="AM141" s="5"/>
      <c r="AN141" s="492"/>
      <c r="AO141" s="5"/>
      <c r="AP141" s="5"/>
      <c r="AQ141" s="5"/>
      <c r="AR141" s="492"/>
      <c r="AS141" s="5"/>
      <c r="AT141" s="5"/>
      <c r="AU141" s="5"/>
      <c r="AV141" s="492"/>
      <c r="AW141" s="5"/>
      <c r="AX141" s="5"/>
      <c r="AY141" s="5"/>
      <c r="AZ141" s="492"/>
      <c r="BA141" s="5"/>
      <c r="BB141" s="5"/>
      <c r="BC141" s="5"/>
      <c r="BD141" s="492"/>
      <c r="BF141" s="54"/>
      <c r="BG141" s="450"/>
      <c r="BH141" s="5"/>
      <c r="BI141" s="5"/>
      <c r="BJ141" s="5"/>
      <c r="BK141" s="5"/>
      <c r="BL141" s="5"/>
      <c r="BM141" s="5"/>
      <c r="BN141" s="5"/>
      <c r="BO141" s="5"/>
      <c r="BP141" s="5"/>
      <c r="BQ141" s="5"/>
      <c r="BR141" s="5"/>
      <c r="BS141" s="5"/>
      <c r="BT141" s="5"/>
      <c r="BU141" s="5"/>
      <c r="BV141" s="5"/>
      <c r="BW141" s="5"/>
      <c r="BX141" s="5"/>
      <c r="BY141" s="5"/>
      <c r="BZ141" s="492"/>
      <c r="CA141" s="36"/>
      <c r="CB141" s="36"/>
      <c r="CC141" s="36"/>
      <c r="CD141" s="36"/>
      <c r="CE141" s="36"/>
      <c r="CF141" s="36"/>
      <c r="CG141" s="1765"/>
      <c r="CH141" s="1765"/>
      <c r="CI141" s="1765"/>
      <c r="CJ141" s="36"/>
      <c r="CK141" s="36"/>
      <c r="CL141" s="36"/>
      <c r="CM141" s="36"/>
      <c r="CN141" s="36"/>
      <c r="CO141" s="36"/>
      <c r="CP141" s="36"/>
      <c r="CQ141" s="36"/>
      <c r="CR141" s="36"/>
    </row>
    <row r="142" spans="1:96" ht="11.25" customHeight="1" outlineLevel="1">
      <c r="A142" s="36"/>
      <c r="H142" s="36"/>
      <c r="I142" s="1060" t="s">
        <v>418</v>
      </c>
      <c r="J142" s="5"/>
      <c r="K142" s="5"/>
      <c r="L142" s="5"/>
      <c r="M142" s="709">
        <f>+M137-M140</f>
        <v>-1.7196000000000018</v>
      </c>
      <c r="N142" s="108">
        <f t="shared" ref="N142:AJ142" si="307">+N137-N140</f>
        <v>-1.6056000000000001</v>
      </c>
      <c r="O142" s="108">
        <f t="shared" si="307"/>
        <v>-1.7681999999999995</v>
      </c>
      <c r="P142" s="1055">
        <f t="shared" si="307"/>
        <v>-0.61020000000000074</v>
      </c>
      <c r="Q142" s="108">
        <f t="shared" si="307"/>
        <v>-1.6811999999999998</v>
      </c>
      <c r="R142" s="108">
        <f t="shared" si="307"/>
        <v>-0.73379999999999934</v>
      </c>
      <c r="S142" s="108">
        <f t="shared" si="307"/>
        <v>-2.0334000000000039</v>
      </c>
      <c r="T142" s="108">
        <f t="shared" si="307"/>
        <v>-5.2541999999999991</v>
      </c>
      <c r="U142" s="709">
        <f t="shared" si="307"/>
        <v>-5.8445999999999998</v>
      </c>
      <c r="V142" s="108">
        <f t="shared" si="307"/>
        <v>-1.1628000000000014</v>
      </c>
      <c r="W142" s="108">
        <f t="shared" si="307"/>
        <v>-1.1711999999999989</v>
      </c>
      <c r="X142" s="1055">
        <f t="shared" si="307"/>
        <v>-3.0816000000000057</v>
      </c>
      <c r="Y142" s="108">
        <f t="shared" si="307"/>
        <v>-2.7323999999999926</v>
      </c>
      <c r="Z142" s="108">
        <f t="shared" si="307"/>
        <v>-0.34799999999999898</v>
      </c>
      <c r="AA142" s="108">
        <f t="shared" si="307"/>
        <v>-1.0686000000000035</v>
      </c>
      <c r="AB142" s="108">
        <f t="shared" si="307"/>
        <v>-1.1448000000000007</v>
      </c>
      <c r="AC142" s="709">
        <f t="shared" si="307"/>
        <v>-2.762400000000008</v>
      </c>
      <c r="AD142" s="108">
        <f t="shared" si="307"/>
        <v>1.8761999999999972</v>
      </c>
      <c r="AE142" s="108">
        <f t="shared" si="307"/>
        <v>2.7263999999999982</v>
      </c>
      <c r="AF142" s="1055">
        <f t="shared" si="307"/>
        <v>4.795200000000003</v>
      </c>
      <c r="AG142" s="108">
        <f t="shared" si="307"/>
        <v>-6.5742000000000047</v>
      </c>
      <c r="AH142" s="108">
        <f t="shared" si="307"/>
        <v>-4.9578000000000113</v>
      </c>
      <c r="AI142" s="108">
        <f t="shared" si="307"/>
        <v>-11.802600000000004</v>
      </c>
      <c r="AJ142" s="1055">
        <f t="shared" si="307"/>
        <v>-8.0663999999999927</v>
      </c>
      <c r="AK142" s="108">
        <f t="shared" ref="AK142:AP142" si="308">+AK137-AK140</f>
        <v>-8.5637999999999792</v>
      </c>
      <c r="AL142" s="108">
        <f t="shared" si="308"/>
        <v>-0.71220000000000705</v>
      </c>
      <c r="AM142" s="108">
        <f t="shared" si="308"/>
        <v>1.1759999999999877</v>
      </c>
      <c r="AN142" s="1055">
        <f t="shared" si="308"/>
        <v>5.1125999999999916</v>
      </c>
      <c r="AO142" s="108">
        <f>+AO137-AO140</f>
        <v>-3.2670000000000128</v>
      </c>
      <c r="AP142" s="108">
        <f t="shared" si="308"/>
        <v>4.1063999999999963</v>
      </c>
      <c r="AQ142" s="108">
        <f t="shared" ref="AQ142:AR142" si="309">+AQ137-AQ140</f>
        <v>4.084799999999996</v>
      </c>
      <c r="AR142" s="1055">
        <f t="shared" si="309"/>
        <v>102.76679999999999</v>
      </c>
      <c r="AS142" s="108">
        <f t="shared" ref="AS142:BD142" si="310">+AS137-AS140</f>
        <v>-2.6974926006598539</v>
      </c>
      <c r="AT142" s="108">
        <f t="shared" si="310"/>
        <v>5.0773088861651612</v>
      </c>
      <c r="AU142" s="108">
        <f t="shared" si="310"/>
        <v>5.2502978873999773</v>
      </c>
      <c r="AV142" s="1055">
        <f t="shared" si="310"/>
        <v>8.4044384423082299</v>
      </c>
      <c r="AW142" s="108">
        <f t="shared" si="310"/>
        <v>3.9396013633247033</v>
      </c>
      <c r="AX142" s="108">
        <f t="shared" si="310"/>
        <v>12.346499726251437</v>
      </c>
      <c r="AY142" s="108">
        <f t="shared" si="310"/>
        <v>12.510135089501079</v>
      </c>
      <c r="AZ142" s="1055">
        <f t="shared" si="310"/>
        <v>15.688533362103936</v>
      </c>
      <c r="BA142" s="108">
        <f t="shared" si="310"/>
        <v>7.8316578552951341</v>
      </c>
      <c r="BB142" s="108">
        <f t="shared" si="310"/>
        <v>17.351813759173165</v>
      </c>
      <c r="BC142" s="108">
        <f t="shared" si="310"/>
        <v>17.358915059183218</v>
      </c>
      <c r="BD142" s="1055">
        <f t="shared" si="310"/>
        <v>20.78041945061743</v>
      </c>
      <c r="BF142" s="54"/>
      <c r="BG142" s="709"/>
      <c r="BH142" s="108"/>
      <c r="BI142" s="108"/>
      <c r="BJ142" s="108">
        <f t="shared" ref="BJ142:BU142" si="311">+BJ137-BJ140</f>
        <v>-1.3997999999999968</v>
      </c>
      <c r="BK142" s="108">
        <f t="shared" si="311"/>
        <v>-5.7035999999999962</v>
      </c>
      <c r="BL142" s="108">
        <f t="shared" si="311"/>
        <v>-9.702599999999995</v>
      </c>
      <c r="BM142" s="108">
        <f t="shared" si="311"/>
        <v>-11.260200000000015</v>
      </c>
      <c r="BN142" s="108">
        <f t="shared" si="311"/>
        <v>-5.2938000000000045</v>
      </c>
      <c r="BO142" s="108">
        <f t="shared" si="311"/>
        <v>6.6353999999999811</v>
      </c>
      <c r="BP142" s="108">
        <f t="shared" si="311"/>
        <v>-31.401000000000021</v>
      </c>
      <c r="BQ142" s="108">
        <f t="shared" si="311"/>
        <v>-2.9874000000000249</v>
      </c>
      <c r="BR142" s="108">
        <f t="shared" si="311"/>
        <v>107.691</v>
      </c>
      <c r="BS142" s="108">
        <f t="shared" si="311"/>
        <v>16.034552615213464</v>
      </c>
      <c r="BT142" s="108">
        <f t="shared" si="311"/>
        <v>44.484769541181137</v>
      </c>
      <c r="BU142" s="108">
        <f t="shared" si="311"/>
        <v>63.322806124268794</v>
      </c>
      <c r="BV142" s="108">
        <f>+BV137-BV140</f>
        <v>88.9718428454415</v>
      </c>
      <c r="BW142" s="108">
        <f>+BW137-BW140</f>
        <v>118.75058847150339</v>
      </c>
      <c r="BX142" s="108">
        <f>+BX137-BX140</f>
        <v>149.38748932445344</v>
      </c>
      <c r="BY142" s="108">
        <f>+BY137-BY140</f>
        <v>180.97708848461144</v>
      </c>
      <c r="BZ142" s="1055">
        <f>+BZ137-BZ140</f>
        <v>214.38526078119042</v>
      </c>
      <c r="CA142" s="36"/>
      <c r="CB142" s="36"/>
      <c r="CC142" s="36"/>
      <c r="CD142" s="36"/>
      <c r="CE142" s="36"/>
      <c r="CF142" s="36"/>
      <c r="CG142" s="1765"/>
      <c r="CH142" s="1765"/>
      <c r="CI142" s="1765"/>
      <c r="CJ142" s="36"/>
      <c r="CK142" s="36"/>
      <c r="CL142" s="36"/>
      <c r="CM142" s="36"/>
      <c r="CN142" s="36"/>
      <c r="CO142" s="36"/>
      <c r="CP142" s="36"/>
      <c r="CQ142" s="36"/>
      <c r="CR142" s="36"/>
    </row>
    <row r="143" spans="1:96" ht="11.25" customHeight="1" outlineLevel="1">
      <c r="A143" s="36"/>
      <c r="H143" s="36"/>
      <c r="I143" s="1060"/>
      <c r="J143" s="5"/>
      <c r="K143" s="5"/>
      <c r="L143" s="5"/>
      <c r="M143" s="450"/>
      <c r="N143" s="5"/>
      <c r="O143" s="5"/>
      <c r="P143" s="492"/>
      <c r="Q143" s="5"/>
      <c r="R143" s="5"/>
      <c r="S143" s="5"/>
      <c r="T143" s="5"/>
      <c r="U143" s="450"/>
      <c r="V143" s="5"/>
      <c r="W143" s="5"/>
      <c r="X143" s="492"/>
      <c r="Y143" s="5"/>
      <c r="Z143" s="5"/>
      <c r="AA143" s="5"/>
      <c r="AB143" s="5"/>
      <c r="AC143" s="450"/>
      <c r="AD143" s="5"/>
      <c r="AE143" s="5"/>
      <c r="AF143" s="492"/>
      <c r="AG143" s="5"/>
      <c r="AH143" s="5"/>
      <c r="AI143" s="5"/>
      <c r="AJ143" s="492"/>
      <c r="AK143" s="5"/>
      <c r="AL143" s="5"/>
      <c r="AM143" s="5"/>
      <c r="AN143" s="492"/>
      <c r="AO143" s="5"/>
      <c r="AP143" s="5"/>
      <c r="AQ143" s="5"/>
      <c r="AR143" s="492"/>
      <c r="AS143" s="5"/>
      <c r="AT143" s="5"/>
      <c r="AU143" s="5"/>
      <c r="AV143" s="492"/>
      <c r="AW143" s="5"/>
      <c r="AX143" s="5"/>
      <c r="AY143" s="5"/>
      <c r="AZ143" s="492"/>
      <c r="BA143" s="5"/>
      <c r="BB143" s="5"/>
      <c r="BC143" s="5"/>
      <c r="BD143" s="492"/>
      <c r="BF143" s="54"/>
      <c r="BG143" s="450"/>
      <c r="BH143" s="5"/>
      <c r="BI143" s="5"/>
      <c r="BJ143" s="5"/>
      <c r="BK143" s="5"/>
      <c r="BL143" s="5"/>
      <c r="BM143" s="5"/>
      <c r="BN143" s="5"/>
      <c r="BO143" s="5"/>
      <c r="BP143" s="5"/>
      <c r="BQ143" s="5"/>
      <c r="BR143" s="5"/>
      <c r="BS143" s="5"/>
      <c r="BT143" s="5"/>
      <c r="BU143" s="5"/>
      <c r="BV143" s="5"/>
      <c r="BW143" s="5"/>
      <c r="BX143" s="5"/>
      <c r="BY143" s="5"/>
      <c r="BZ143" s="492"/>
      <c r="CA143" s="36"/>
      <c r="CB143" s="36"/>
      <c r="CC143" s="36"/>
      <c r="CD143" s="36"/>
      <c r="CE143" s="36"/>
      <c r="CF143" s="36"/>
      <c r="CG143" s="1765"/>
      <c r="CH143" s="1765"/>
      <c r="CI143" s="1765"/>
      <c r="CJ143" s="36"/>
      <c r="CK143" s="36"/>
      <c r="CL143" s="36"/>
      <c r="CM143" s="36"/>
      <c r="CN143" s="36"/>
      <c r="CO143" s="36"/>
      <c r="CP143" s="36"/>
      <c r="CQ143" s="36"/>
      <c r="CR143" s="36"/>
    </row>
    <row r="144" spans="1:96" ht="11.25" customHeight="1" outlineLevel="1">
      <c r="A144" s="36"/>
      <c r="H144" s="36"/>
      <c r="I144" s="1060" t="s">
        <v>423</v>
      </c>
      <c r="J144" s="5"/>
      <c r="K144" s="5"/>
      <c r="L144" s="5"/>
      <c r="M144" s="1084" t="str">
        <f>IFERROR(+M142/M133,"NM")</f>
        <v>NM</v>
      </c>
      <c r="N144" s="1079" t="str">
        <f t="shared" ref="N144:AJ144" si="312">IFERROR(+N142/N133,"NM")</f>
        <v>NM</v>
      </c>
      <c r="O144" s="1079" t="str">
        <f t="shared" si="312"/>
        <v>NM</v>
      </c>
      <c r="P144" s="1083">
        <f t="shared" si="312"/>
        <v>-8.6296139159949201E-2</v>
      </c>
      <c r="Q144" s="1079" t="str">
        <f t="shared" si="312"/>
        <v>NM</v>
      </c>
      <c r="R144" s="1079" t="str">
        <f t="shared" si="312"/>
        <v>NM</v>
      </c>
      <c r="S144" s="1079">
        <f t="shared" si="312"/>
        <v>-0.24846041055718504</v>
      </c>
      <c r="T144" s="1079">
        <f t="shared" si="312"/>
        <v>-0.56164617851416354</v>
      </c>
      <c r="U144" s="1084">
        <f t="shared" si="312"/>
        <v>-0.59155870445343983</v>
      </c>
      <c r="V144" s="1079">
        <f t="shared" si="312"/>
        <v>-6.4360436154314526E-2</v>
      </c>
      <c r="W144" s="1079">
        <f t="shared" si="312"/>
        <v>-5.9014410964426056E-2</v>
      </c>
      <c r="X144" s="1083">
        <f t="shared" si="312"/>
        <v>-4.3363118272004578E-2</v>
      </c>
      <c r="Y144" s="1079">
        <f t="shared" si="312"/>
        <v>-3.8195619050281578E-2</v>
      </c>
      <c r="Z144" s="1079">
        <f t="shared" si="312"/>
        <v>-4.4393417527745747E-3</v>
      </c>
      <c r="AA144" s="1079">
        <f t="shared" si="312"/>
        <v>-1.1129395100816567E-2</v>
      </c>
      <c r="AB144" s="1079">
        <f t="shared" si="312"/>
        <v>-1.1741418036738093E-2</v>
      </c>
      <c r="AC144" s="1084">
        <f t="shared" si="312"/>
        <v>-2.5962406015037669E-2</v>
      </c>
      <c r="AD144" s="1079">
        <f t="shared" si="312"/>
        <v>7.9070139875170049E-3</v>
      </c>
      <c r="AE144" s="1079">
        <f t="shared" si="312"/>
        <v>1.0689836343247876E-2</v>
      </c>
      <c r="AF144" s="1083">
        <f t="shared" si="312"/>
        <v>2.0860758612589025E-2</v>
      </c>
      <c r="AG144" s="1079">
        <f t="shared" si="312"/>
        <v>-1.9492221434861394E-2</v>
      </c>
      <c r="AH144" s="1079">
        <f t="shared" si="312"/>
        <v>-1.4965316976871982E-2</v>
      </c>
      <c r="AI144" s="1079">
        <f t="shared" si="312"/>
        <v>-3.4675590236564698E-2</v>
      </c>
      <c r="AJ144" s="1083">
        <f t="shared" si="312"/>
        <v>-2.4091534930396036E-2</v>
      </c>
      <c r="AK144" s="1079">
        <f t="shared" ref="AK144:AP144" si="313">IFERROR(+AK142/AK133,"NM")</f>
        <v>-2.5294105485144769E-2</v>
      </c>
      <c r="AL144" s="1079">
        <f t="shared" si="313"/>
        <v>-2.0615274175620813E-3</v>
      </c>
      <c r="AM144" s="1079">
        <f t="shared" si="313"/>
        <v>3.3625843862854243E-3</v>
      </c>
      <c r="AN144" s="1083">
        <f t="shared" si="313"/>
        <v>1.4807370378308218E-2</v>
      </c>
      <c r="AO144" s="1079">
        <f>IFERROR(+AO142/AO133,"NM")</f>
        <v>-8.966874439055755E-3</v>
      </c>
      <c r="AP144" s="1079">
        <f t="shared" si="313"/>
        <v>1.044377923197631E-2</v>
      </c>
      <c r="AQ144" s="1079">
        <f t="shared" ref="AQ144:AR144" si="314">IFERROR(+AQ142/AQ133,"NM")</f>
        <v>1.0510444059056909E-2</v>
      </c>
      <c r="AR144" s="1083">
        <f t="shared" si="314"/>
        <v>0.33243985520607894</v>
      </c>
      <c r="AS144" s="1079">
        <f t="shared" ref="AS144:BD144" si="315">IFERROR(+AS142/AS133,"NM")</f>
        <v>-8.1326494196193398E-3</v>
      </c>
      <c r="AT144" s="1079">
        <f t="shared" si="315"/>
        <v>1.5211459723645496E-2</v>
      </c>
      <c r="AU144" s="1079">
        <f t="shared" si="315"/>
        <v>1.7999883803436888E-2</v>
      </c>
      <c r="AV144" s="1083">
        <f t="shared" si="315"/>
        <v>2.8953537062778773E-2</v>
      </c>
      <c r="AW144" s="1079">
        <f t="shared" si="315"/>
        <v>1.3445075265268324E-2</v>
      </c>
      <c r="AX144" s="1079">
        <f t="shared" si="315"/>
        <v>4.1691180646672162E-2</v>
      </c>
      <c r="AY144" s="1079">
        <f t="shared" si="315"/>
        <v>4.3318008234693235E-2</v>
      </c>
      <c r="AZ144" s="1083">
        <f t="shared" si="315"/>
        <v>5.3325066153308481E-2</v>
      </c>
      <c r="BA144" s="1079">
        <f t="shared" si="315"/>
        <v>2.6479211246501929E-2</v>
      </c>
      <c r="BB144" s="1079">
        <f t="shared" si="315"/>
        <v>5.8011540152087655E-2</v>
      </c>
      <c r="BC144" s="1079">
        <f t="shared" si="315"/>
        <v>5.9673277327267862E-2</v>
      </c>
      <c r="BD144" s="1083">
        <f t="shared" si="315"/>
        <v>6.9962359613635117E-2</v>
      </c>
      <c r="BF144" s="54"/>
      <c r="BG144" s="1084"/>
      <c r="BH144" s="1079"/>
      <c r="BI144" s="1079"/>
      <c r="BJ144" s="1079">
        <f t="shared" ref="BJ144:BU144" si="316">IFERROR(+BJ142/BJ133,"NM")</f>
        <v>-0.53143507972664961</v>
      </c>
      <c r="BK144" s="1079">
        <f t="shared" si="316"/>
        <v>-0.80661858294442046</v>
      </c>
      <c r="BL144" s="1079">
        <f t="shared" si="316"/>
        <v>-1.0371566007482627</v>
      </c>
      <c r="BM144" s="1079">
        <f t="shared" si="316"/>
        <v>-0.15844930697249016</v>
      </c>
      <c r="BN144" s="1079">
        <f t="shared" si="316"/>
        <v>-5.429482774535651E-2</v>
      </c>
      <c r="BO144" s="1079">
        <f t="shared" si="316"/>
        <v>2.8866257444522175E-2</v>
      </c>
      <c r="BP144" s="1079">
        <f t="shared" si="316"/>
        <v>-9.3783879840990667E-2</v>
      </c>
      <c r="BQ144" s="1079">
        <f t="shared" si="316"/>
        <v>-8.6522587857760062E-3</v>
      </c>
      <c r="BR144" s="1079">
        <f t="shared" si="316"/>
        <v>0.34836912745164639</v>
      </c>
      <c r="BS144" s="1079">
        <f t="shared" si="316"/>
        <v>5.52395042948466E-2</v>
      </c>
      <c r="BT144" s="1079">
        <f t="shared" si="316"/>
        <v>0.15120299800159553</v>
      </c>
      <c r="BU144" s="1079">
        <f t="shared" si="316"/>
        <v>0.2131916992502747</v>
      </c>
      <c r="BV144" s="1079">
        <f>IFERROR(+BV142/BV133,"NM")</f>
        <v>0.29500043697708078</v>
      </c>
      <c r="BW144" s="1079">
        <f>IFERROR(+BW142/BW133,"NM")</f>
        <v>0.38741825544082092</v>
      </c>
      <c r="BX144" s="1079">
        <f>IFERROR(+BX142/BX133,"NM")</f>
        <v>0.47942915597462116</v>
      </c>
      <c r="BY144" s="1079">
        <f>IFERROR(+BY142/BY133,"NM")</f>
        <v>0.57135751800567691</v>
      </c>
      <c r="BZ144" s="1083">
        <f>IFERROR(+BZ142/BZ133,"NM")</f>
        <v>0.66536870467277209</v>
      </c>
      <c r="CA144" s="36"/>
      <c r="CB144" s="36"/>
      <c r="CC144" s="36"/>
      <c r="CD144" s="36"/>
      <c r="CE144" s="36"/>
      <c r="CF144" s="36"/>
      <c r="CG144" s="1765"/>
      <c r="CH144" s="1765"/>
      <c r="CI144" s="1765"/>
      <c r="CJ144" s="36"/>
      <c r="CK144" s="36"/>
      <c r="CL144" s="36"/>
      <c r="CM144" s="36"/>
      <c r="CN144" s="36"/>
      <c r="CO144" s="36"/>
      <c r="CP144" s="36"/>
      <c r="CQ144" s="36"/>
      <c r="CR144" s="36"/>
    </row>
    <row r="145" spans="1:97" s="1078" customFormat="1" ht="12.75" outlineLevel="1">
      <c r="A145" s="1075" t="s">
        <v>379</v>
      </c>
      <c r="B145"/>
      <c r="C145"/>
      <c r="D145"/>
      <c r="E145"/>
      <c r="F145"/>
      <c r="G145"/>
      <c r="H145" s="1076"/>
      <c r="I145" s="493"/>
      <c r="J145" s="494"/>
      <c r="K145" s="494"/>
      <c r="L145" s="494"/>
      <c r="M145" s="493"/>
      <c r="N145" s="494"/>
      <c r="O145" s="494"/>
      <c r="P145" s="496"/>
      <c r="Q145" s="494"/>
      <c r="R145" s="494"/>
      <c r="S145" s="494"/>
      <c r="T145" s="494"/>
      <c r="U145" s="493"/>
      <c r="V145" s="494"/>
      <c r="W145" s="494"/>
      <c r="X145" s="496"/>
      <c r="Y145" s="494"/>
      <c r="Z145" s="494"/>
      <c r="AA145" s="494"/>
      <c r="AB145" s="494"/>
      <c r="AC145" s="493"/>
      <c r="AD145" s="494"/>
      <c r="AE145" s="494"/>
      <c r="AF145" s="496"/>
      <c r="AG145" s="494"/>
      <c r="AH145" s="494"/>
      <c r="AI145" s="494"/>
      <c r="AJ145" s="496"/>
      <c r="AK145" s="494"/>
      <c r="AL145" s="494"/>
      <c r="AM145" s="494"/>
      <c r="AN145" s="496"/>
      <c r="AO145" s="494"/>
      <c r="AP145" s="494"/>
      <c r="AQ145" s="494"/>
      <c r="AR145" s="496"/>
      <c r="AS145" s="494"/>
      <c r="AT145" s="494"/>
      <c r="AU145" s="494"/>
      <c r="AV145" s="496"/>
      <c r="AW145" s="494"/>
      <c r="AX145" s="494"/>
      <c r="AY145" s="494"/>
      <c r="AZ145" s="496"/>
      <c r="BA145" s="494"/>
      <c r="BB145" s="494"/>
      <c r="BC145" s="494"/>
      <c r="BD145" s="496"/>
      <c r="BE145"/>
      <c r="BF145" s="320"/>
      <c r="BG145" s="493"/>
      <c r="BH145" s="494"/>
      <c r="BI145" s="494"/>
      <c r="BJ145" s="494"/>
      <c r="BK145" s="494"/>
      <c r="BL145" s="494"/>
      <c r="BM145" s="494"/>
      <c r="BN145" s="494"/>
      <c r="BO145" s="494"/>
      <c r="BP145" s="494"/>
      <c r="BQ145" s="494"/>
      <c r="BR145" s="494"/>
      <c r="BS145" s="494"/>
      <c r="BT145" s="494"/>
      <c r="BU145" s="494"/>
      <c r="BV145" s="494"/>
      <c r="BW145" s="494"/>
      <c r="BX145" s="494"/>
      <c r="BY145" s="494"/>
      <c r="BZ145" s="496"/>
      <c r="CA145" s="1076"/>
      <c r="CB145" s="1076"/>
      <c r="CC145" s="1076"/>
      <c r="CD145" s="1076"/>
      <c r="CE145" s="1076"/>
      <c r="CF145" s="1076"/>
      <c r="CG145" s="1771"/>
      <c r="CH145" s="1771"/>
      <c r="CI145" s="1771"/>
      <c r="CJ145" s="1076"/>
      <c r="CK145" s="1076"/>
      <c r="CL145" s="1077"/>
      <c r="CM145" s="1076"/>
      <c r="CR145" s="1077"/>
      <c r="CS145" s="1076"/>
    </row>
    <row r="146" spans="1:97" s="1078" customFormat="1" ht="12.75">
      <c r="A146" s="1075"/>
      <c r="B146"/>
      <c r="C146"/>
      <c r="D146"/>
      <c r="E146"/>
      <c r="F146"/>
      <c r="G146"/>
      <c r="H146" s="1076"/>
      <c r="I146" s="1076"/>
      <c r="J146" s="1076"/>
      <c r="K146" s="1076"/>
      <c r="L146" s="1076"/>
      <c r="M146" s="1076"/>
      <c r="N146" s="1076"/>
      <c r="O146" s="1076"/>
      <c r="P146" s="1076"/>
      <c r="Q146" s="1076"/>
      <c r="R146" s="1076"/>
      <c r="S146" s="1076"/>
      <c r="T146" s="1076"/>
      <c r="U146" s="1076"/>
      <c r="V146" s="1076"/>
      <c r="W146" s="1076"/>
      <c r="X146" s="1076"/>
      <c r="Y146" s="1076"/>
      <c r="Z146" s="1076"/>
      <c r="AA146" s="1076"/>
      <c r="AB146" s="1076"/>
      <c r="AC146" s="1076"/>
      <c r="AD146" s="1076"/>
      <c r="AE146" s="1077"/>
      <c r="AF146" s="1076"/>
      <c r="AG146" s="1076"/>
      <c r="AH146" s="1076"/>
      <c r="AI146" s="1076"/>
      <c r="AJ146" s="1076"/>
      <c r="AK146" s="1076"/>
      <c r="AL146" s="223"/>
      <c r="AM146" s="1076"/>
      <c r="AN146" s="1076"/>
      <c r="AO146" s="1076"/>
      <c r="AP146" s="1076"/>
      <c r="AQ146" s="1076"/>
      <c r="AR146" s="1076"/>
      <c r="AS146" s="1076"/>
      <c r="AT146" s="1076"/>
      <c r="AU146" s="1076"/>
      <c r="AV146" s="1076"/>
      <c r="AW146" s="1076"/>
      <c r="AX146" s="1076"/>
      <c r="AY146" s="1076"/>
      <c r="AZ146" s="1076"/>
      <c r="BA146" s="1076"/>
      <c r="BB146" s="1076"/>
      <c r="BC146" s="1076"/>
      <c r="BD146" s="1076"/>
      <c r="BE146"/>
      <c r="BF146" s="320"/>
      <c r="BG146" s="1076"/>
      <c r="BH146" s="1076"/>
      <c r="BI146" s="1076"/>
      <c r="BJ146" s="1076"/>
      <c r="BK146" s="1076"/>
      <c r="BL146" s="1077"/>
      <c r="BM146" s="1076"/>
      <c r="BN146" s="223"/>
      <c r="BO146" s="223"/>
      <c r="BP146" s="1076"/>
      <c r="BQ146" s="1076"/>
      <c r="BR146" s="1077"/>
      <c r="BS146" s="1076"/>
      <c r="BT146" s="1076"/>
      <c r="BU146" s="1076"/>
      <c r="BV146" s="223"/>
      <c r="BW146" s="1076"/>
      <c r="BX146" s="1076"/>
      <c r="BY146" s="1076"/>
      <c r="BZ146" s="1076"/>
      <c r="CA146" s="1076"/>
      <c r="CB146" s="1076"/>
      <c r="CC146" s="1076"/>
      <c r="CD146" s="1076"/>
      <c r="CE146" s="1076"/>
      <c r="CF146" s="1076"/>
      <c r="CG146" s="1771"/>
      <c r="CH146" s="1771"/>
      <c r="CI146" s="1771"/>
      <c r="CJ146" s="1076"/>
      <c r="CK146" s="1076"/>
      <c r="CL146" s="1077"/>
      <c r="CM146" s="1076"/>
      <c r="CR146" s="1077"/>
      <c r="CS146" s="1076"/>
    </row>
    <row r="147" spans="1:97" ht="11.25" customHeight="1">
      <c r="A147" s="36"/>
      <c r="H147" s="1"/>
      <c r="I147" s="741" t="s">
        <v>38</v>
      </c>
      <c r="J147" s="742"/>
      <c r="K147" s="742"/>
      <c r="L147" s="742"/>
      <c r="M147" s="298">
        <v>2010</v>
      </c>
      <c r="N147" s="299"/>
      <c r="O147" s="299"/>
      <c r="P147" s="300"/>
      <c r="Q147" s="1097">
        <v>2011</v>
      </c>
      <c r="R147" s="299"/>
      <c r="S147" s="299"/>
      <c r="T147" s="300"/>
      <c r="U147" s="299">
        <v>2012</v>
      </c>
      <c r="V147" s="301"/>
      <c r="W147" s="301"/>
      <c r="X147" s="301"/>
      <c r="Y147" s="302">
        <v>2013</v>
      </c>
      <c r="Z147" s="301"/>
      <c r="AA147" s="301"/>
      <c r="AB147" s="301"/>
      <c r="AC147" s="302" t="s">
        <v>448</v>
      </c>
      <c r="AD147" s="301"/>
      <c r="AE147" s="301"/>
      <c r="AF147" s="303"/>
      <c r="AG147" s="302" t="s">
        <v>520</v>
      </c>
      <c r="AH147" s="301"/>
      <c r="AI147" s="301"/>
      <c r="AJ147" s="303"/>
      <c r="AK147" s="302" t="s">
        <v>501</v>
      </c>
      <c r="AL147" s="301"/>
      <c r="AM147" s="301"/>
      <c r="AN147" s="303"/>
      <c r="AO147" s="302" t="s">
        <v>517</v>
      </c>
      <c r="AP147" s="301"/>
      <c r="AQ147" s="301"/>
      <c r="AR147" s="303"/>
      <c r="AS147" s="2911" t="s">
        <v>202</v>
      </c>
      <c r="AT147" s="2912"/>
      <c r="AU147" s="2912"/>
      <c r="AV147" s="2913"/>
      <c r="AW147" s="2911" t="s">
        <v>202</v>
      </c>
      <c r="AX147" s="2912"/>
      <c r="AY147" s="2912"/>
      <c r="AZ147" s="2913"/>
      <c r="BA147" s="2911" t="s">
        <v>202</v>
      </c>
      <c r="BB147" s="2912"/>
      <c r="BC147" s="2912"/>
      <c r="BD147" s="2913"/>
      <c r="BF147" s="36"/>
      <c r="BG147" s="723"/>
      <c r="BH147" s="724"/>
      <c r="BI147" s="724"/>
      <c r="BJ147" s="724"/>
      <c r="BK147" s="724"/>
      <c r="BL147" s="724"/>
      <c r="BM147" s="724"/>
      <c r="BN147" s="724"/>
      <c r="BO147" s="724"/>
      <c r="BP147" s="724"/>
      <c r="BQ147" s="724"/>
      <c r="BR147" s="724"/>
      <c r="BS147" s="724"/>
      <c r="BT147" s="724"/>
      <c r="BU147" s="724"/>
      <c r="BV147" s="724"/>
      <c r="BW147" s="724"/>
      <c r="BX147" s="724"/>
      <c r="BY147" s="724"/>
      <c r="BZ147" s="725"/>
      <c r="CA147" s="36"/>
      <c r="CB147" s="36"/>
      <c r="CC147" s="36"/>
      <c r="CD147" s="36"/>
      <c r="CE147" s="36"/>
      <c r="CF147" s="36"/>
      <c r="CG147" s="1765"/>
      <c r="CH147" s="1765"/>
      <c r="CI147" s="1765"/>
      <c r="CJ147" s="36"/>
      <c r="CK147" s="36"/>
      <c r="CL147" s="71" t="s">
        <v>135</v>
      </c>
      <c r="CM147" s="71"/>
      <c r="CN147" s="71"/>
      <c r="CO147" s="71"/>
      <c r="CP147" s="71"/>
      <c r="CQ147" s="71"/>
      <c r="CR147" s="71"/>
    </row>
    <row r="148" spans="1:97" ht="11.25" customHeight="1">
      <c r="A148" s="36"/>
      <c r="H148" s="1"/>
      <c r="I148" s="711" t="s">
        <v>83</v>
      </c>
      <c r="J148" s="53"/>
      <c r="K148" s="53"/>
      <c r="L148" s="53"/>
      <c r="M148" s="304">
        <v>1</v>
      </c>
      <c r="N148" s="305">
        <v>2</v>
      </c>
      <c r="O148" s="305">
        <v>3</v>
      </c>
      <c r="P148" s="306">
        <v>4</v>
      </c>
      <c r="Q148" s="305">
        <v>1</v>
      </c>
      <c r="R148" s="305">
        <v>2</v>
      </c>
      <c r="S148" s="305">
        <v>3</v>
      </c>
      <c r="T148" s="306">
        <v>4</v>
      </c>
      <c r="U148" s="305">
        <v>1</v>
      </c>
      <c r="V148" s="305">
        <v>2</v>
      </c>
      <c r="W148" s="305">
        <v>3</v>
      </c>
      <c r="X148" s="305">
        <v>4</v>
      </c>
      <c r="Y148" s="304">
        <v>1</v>
      </c>
      <c r="Z148" s="305">
        <v>2</v>
      </c>
      <c r="AA148" s="305">
        <v>3</v>
      </c>
      <c r="AB148" s="305">
        <v>4</v>
      </c>
      <c r="AC148" s="304">
        <v>1</v>
      </c>
      <c r="AD148" s="305">
        <v>2</v>
      </c>
      <c r="AE148" s="305">
        <v>3</v>
      </c>
      <c r="AF148" s="305">
        <v>4</v>
      </c>
      <c r="AG148" s="304">
        <v>1</v>
      </c>
      <c r="AH148" s="305">
        <v>2</v>
      </c>
      <c r="AI148" s="305">
        <v>3</v>
      </c>
      <c r="AJ148" s="305">
        <v>4</v>
      </c>
      <c r="AK148" s="304">
        <v>1</v>
      </c>
      <c r="AL148" s="305">
        <v>2</v>
      </c>
      <c r="AM148" s="305">
        <v>3</v>
      </c>
      <c r="AN148" s="305">
        <v>4</v>
      </c>
      <c r="AO148" s="304">
        <v>1</v>
      </c>
      <c r="AP148" s="305">
        <v>2</v>
      </c>
      <c r="AQ148" s="305">
        <v>3</v>
      </c>
      <c r="AR148" s="305">
        <v>4</v>
      </c>
      <c r="AS148" s="308">
        <v>1</v>
      </c>
      <c r="AT148" s="309">
        <v>2</v>
      </c>
      <c r="AU148" s="309">
        <v>3</v>
      </c>
      <c r="AV148" s="307">
        <v>4</v>
      </c>
      <c r="AW148" s="308">
        <v>1</v>
      </c>
      <c r="AX148" s="309">
        <v>2</v>
      </c>
      <c r="AY148" s="309">
        <v>3</v>
      </c>
      <c r="AZ148" s="307">
        <v>4</v>
      </c>
      <c r="BA148" s="308">
        <v>1</v>
      </c>
      <c r="BB148" s="309">
        <v>2</v>
      </c>
      <c r="BC148" s="309">
        <v>3</v>
      </c>
      <c r="BD148" s="307">
        <v>4</v>
      </c>
      <c r="BF148" s="36"/>
      <c r="BG148" s="313">
        <v>39082</v>
      </c>
      <c r="BH148" s="312">
        <v>39447</v>
      </c>
      <c r="BI148" s="312">
        <v>39813</v>
      </c>
      <c r="BJ148" s="312">
        <v>40178</v>
      </c>
      <c r="BK148" s="312">
        <v>40543</v>
      </c>
      <c r="BL148" s="312">
        <v>40908</v>
      </c>
      <c r="BM148" s="312">
        <v>41274</v>
      </c>
      <c r="BN148" s="312">
        <v>41639</v>
      </c>
      <c r="BO148" s="1170">
        <v>42004</v>
      </c>
      <c r="BP148" s="1879">
        <v>42369</v>
      </c>
      <c r="BQ148" s="1879">
        <v>42735</v>
      </c>
      <c r="BR148" s="1879">
        <v>43100</v>
      </c>
      <c r="BS148" s="1357">
        <v>43465</v>
      </c>
      <c r="BT148" s="1357">
        <v>43830</v>
      </c>
      <c r="BU148" s="1357">
        <v>44196</v>
      </c>
      <c r="BV148" s="1357">
        <v>44561</v>
      </c>
      <c r="BW148" s="1357">
        <v>44926</v>
      </c>
      <c r="BX148" s="1357">
        <v>45291</v>
      </c>
      <c r="BY148" s="1357">
        <v>45657</v>
      </c>
      <c r="BZ148" s="1358">
        <v>46022</v>
      </c>
      <c r="CA148" s="36"/>
      <c r="CB148" s="36"/>
      <c r="CC148" s="36"/>
      <c r="CD148" s="36"/>
      <c r="CE148" s="36"/>
      <c r="CF148" s="36"/>
      <c r="CG148" s="1765"/>
      <c r="CH148" s="1765"/>
      <c r="CI148" s="1765"/>
      <c r="CJ148" s="36"/>
      <c r="CK148" s="36"/>
      <c r="CL148" s="72" t="s">
        <v>198</v>
      </c>
      <c r="CM148" s="72" t="s">
        <v>136</v>
      </c>
      <c r="CN148" s="72" t="s">
        <v>137</v>
      </c>
      <c r="CO148" s="72" t="s">
        <v>138</v>
      </c>
      <c r="CP148" s="72" t="s">
        <v>139</v>
      </c>
      <c r="CQ148" s="72" t="s">
        <v>325</v>
      </c>
      <c r="CR148" s="72" t="s">
        <v>331</v>
      </c>
    </row>
    <row r="149" spans="1:97" ht="11.25" customHeight="1">
      <c r="A149" s="1"/>
      <c r="H149" s="1"/>
      <c r="I149" s="529" t="s">
        <v>361</v>
      </c>
      <c r="J149" s="530"/>
      <c r="K149" s="530"/>
      <c r="L149" s="530"/>
      <c r="M149" s="530"/>
      <c r="N149" s="530"/>
      <c r="O149" s="531"/>
      <c r="P149" s="531"/>
      <c r="Q149" s="530"/>
      <c r="R149" s="530"/>
      <c r="S149" s="530"/>
      <c r="T149" s="530"/>
      <c r="U149" s="530"/>
      <c r="V149" s="530"/>
      <c r="W149" s="531"/>
      <c r="X149" s="530"/>
      <c r="Y149" s="529"/>
      <c r="Z149" s="530"/>
      <c r="AA149" s="530"/>
      <c r="AB149" s="530"/>
      <c r="AC149" s="655"/>
      <c r="AD149" s="530"/>
      <c r="AE149" s="530"/>
      <c r="AF149" s="530"/>
      <c r="AG149" s="655"/>
      <c r="AH149" s="530"/>
      <c r="AI149" s="530"/>
      <c r="AJ149" s="532"/>
      <c r="AK149" s="655"/>
      <c r="AL149" s="530"/>
      <c r="AM149" s="530"/>
      <c r="AN149" s="532"/>
      <c r="AO149" s="655"/>
      <c r="AP149" s="530"/>
      <c r="AQ149" s="530"/>
      <c r="AR149" s="532"/>
      <c r="AS149" s="655"/>
      <c r="AT149" s="530"/>
      <c r="AU149" s="530"/>
      <c r="AV149" s="532"/>
      <c r="AW149" s="655"/>
      <c r="AX149" s="530"/>
      <c r="AY149" s="530"/>
      <c r="AZ149" s="532"/>
      <c r="BA149" s="655"/>
      <c r="BB149" s="530"/>
      <c r="BC149" s="530"/>
      <c r="BD149" s="532"/>
      <c r="BF149" s="36"/>
      <c r="BG149" s="590"/>
      <c r="BH149" s="591"/>
      <c r="BI149" s="592"/>
      <c r="BJ149" s="592"/>
      <c r="BK149" s="592"/>
      <c r="BL149" s="592"/>
      <c r="BM149" s="592"/>
      <c r="BN149" s="592"/>
      <c r="BO149" s="592"/>
      <c r="BP149" s="592"/>
      <c r="BQ149" s="591"/>
      <c r="BR149" s="591"/>
      <c r="BS149" s="591"/>
      <c r="BT149" s="591"/>
      <c r="BU149" s="591"/>
      <c r="BV149" s="1215"/>
      <c r="BW149" s="1215"/>
      <c r="BX149" s="1215"/>
      <c r="BY149" s="1215"/>
      <c r="BZ149" s="1216"/>
      <c r="CA149" s="54"/>
      <c r="CB149" s="54"/>
      <c r="CC149" s="54"/>
      <c r="CD149" s="54"/>
      <c r="CE149" s="54"/>
      <c r="CF149" s="54"/>
      <c r="CG149" s="1772"/>
      <c r="CH149" s="1772"/>
      <c r="CI149" s="1772"/>
      <c r="CJ149" s="54"/>
      <c r="CK149" s="54"/>
      <c r="CL149" s="54"/>
      <c r="CM149" s="36"/>
      <c r="CN149" s="36"/>
      <c r="CO149" s="36"/>
      <c r="CP149" s="36"/>
      <c r="CQ149" s="36"/>
      <c r="CR149" s="36"/>
    </row>
    <row r="150" spans="1:97" ht="11.25" customHeight="1">
      <c r="A150" s="1"/>
      <c r="H150" s="1"/>
      <c r="I150" s="533"/>
      <c r="J150" s="50"/>
      <c r="K150" s="50"/>
      <c r="L150" s="50"/>
      <c r="M150" s="50"/>
      <c r="N150" s="50"/>
      <c r="O150" s="222"/>
      <c r="P150" s="222"/>
      <c r="Q150" s="50"/>
      <c r="R150" s="50"/>
      <c r="S150" s="50"/>
      <c r="T150" s="50"/>
      <c r="U150" s="50"/>
      <c r="V150" s="50"/>
      <c r="W150" s="222"/>
      <c r="X150" s="50"/>
      <c r="Y150" s="444"/>
      <c r="Z150" s="50"/>
      <c r="AA150" s="50"/>
      <c r="AB150" s="50"/>
      <c r="AC150" s="622"/>
      <c r="AD150" s="50"/>
      <c r="AE150" s="50"/>
      <c r="AF150" s="50"/>
      <c r="AG150" s="622"/>
      <c r="AH150" s="50"/>
      <c r="AI150" s="50"/>
      <c r="AJ150" s="534"/>
      <c r="AK150" s="622"/>
      <c r="AL150" s="50"/>
      <c r="AM150" s="50"/>
      <c r="AN150" s="534"/>
      <c r="AO150" s="622"/>
      <c r="AP150" s="50"/>
      <c r="AQ150" s="50"/>
      <c r="AR150" s="534"/>
      <c r="AS150" s="622"/>
      <c r="AT150" s="50"/>
      <c r="AU150" s="50"/>
      <c r="AV150" s="534"/>
      <c r="AW150" s="622"/>
      <c r="AX150" s="50"/>
      <c r="AY150" s="50"/>
      <c r="AZ150" s="534"/>
      <c r="BA150" s="622"/>
      <c r="BB150" s="50"/>
      <c r="BC150" s="50"/>
      <c r="BD150" s="534"/>
      <c r="BF150" s="36"/>
      <c r="BG150" s="444"/>
      <c r="BH150" s="50"/>
      <c r="BI150" s="222"/>
      <c r="BJ150" s="222"/>
      <c r="BK150" s="222"/>
      <c r="BL150" s="222"/>
      <c r="BM150" s="222"/>
      <c r="BN150" s="222"/>
      <c r="BO150" s="222"/>
      <c r="BP150" s="222"/>
      <c r="BQ150" s="50"/>
      <c r="BR150" s="50"/>
      <c r="BS150" s="50"/>
      <c r="BT150" s="50"/>
      <c r="BU150" s="50"/>
      <c r="BV150" s="50"/>
      <c r="BW150" s="50"/>
      <c r="BX150" s="50"/>
      <c r="BY150" s="50"/>
      <c r="BZ150" s="609"/>
      <c r="CA150" s="54"/>
      <c r="CB150" s="54"/>
      <c r="CC150" s="54"/>
      <c r="CD150" s="54"/>
      <c r="CE150" s="54"/>
      <c r="CF150" s="54"/>
      <c r="CG150" s="1772"/>
      <c r="CH150" s="1772"/>
      <c r="CI150" s="1772"/>
      <c r="CJ150" s="54"/>
      <c r="CK150" s="54"/>
      <c r="CL150" s="54"/>
      <c r="CM150" s="36"/>
      <c r="CN150" s="36"/>
      <c r="CO150" s="36"/>
      <c r="CP150" s="36"/>
      <c r="CQ150" s="36"/>
      <c r="CR150" s="36"/>
    </row>
    <row r="151" spans="1:97" ht="11.25" customHeight="1">
      <c r="A151" s="36"/>
      <c r="H151" s="36"/>
      <c r="I151" s="535" t="s">
        <v>363</v>
      </c>
      <c r="J151" s="536"/>
      <c r="K151" s="536"/>
      <c r="L151" s="536"/>
      <c r="M151" s="536"/>
      <c r="N151" s="537"/>
      <c r="O151" s="538"/>
      <c r="P151" s="538"/>
      <c r="Q151" s="536"/>
      <c r="R151" s="537"/>
      <c r="S151" s="537"/>
      <c r="T151" s="537"/>
      <c r="U151" s="539"/>
      <c r="V151" s="537"/>
      <c r="W151" s="537"/>
      <c r="X151" s="537"/>
      <c r="Y151" s="535"/>
      <c r="Z151" s="537"/>
      <c r="AA151" s="537"/>
      <c r="AB151" s="537"/>
      <c r="AC151" s="650"/>
      <c r="AD151" s="537"/>
      <c r="AE151" s="537"/>
      <c r="AF151" s="537"/>
      <c r="AG151" s="623"/>
      <c r="AH151" s="537"/>
      <c r="AI151" s="537"/>
      <c r="AJ151" s="540"/>
      <c r="AK151" s="623"/>
      <c r="AL151" s="537"/>
      <c r="AM151" s="537"/>
      <c r="AN151" s="540"/>
      <c r="AO151" s="623"/>
      <c r="AP151" s="537"/>
      <c r="AQ151" s="537"/>
      <c r="AR151" s="540"/>
      <c r="AS151" s="623"/>
      <c r="AT151" s="537"/>
      <c r="AU151" s="537"/>
      <c r="AV151" s="540"/>
      <c r="AW151" s="623"/>
      <c r="AX151" s="537"/>
      <c r="AY151" s="537"/>
      <c r="AZ151" s="540"/>
      <c r="BA151" s="623"/>
      <c r="BB151" s="537"/>
      <c r="BC151" s="537"/>
      <c r="BD151" s="540"/>
      <c r="BF151" s="528"/>
      <c r="BG151" s="593"/>
      <c r="BH151" s="537"/>
      <c r="BI151" s="538"/>
      <c r="BJ151" s="538"/>
      <c r="BK151" s="538"/>
      <c r="BL151" s="538"/>
      <c r="BM151" s="538"/>
      <c r="BN151" s="538"/>
      <c r="BO151" s="538"/>
      <c r="BP151" s="538"/>
      <c r="BQ151" s="537"/>
      <c r="BR151" s="537"/>
      <c r="BS151" s="537"/>
      <c r="BT151" s="537"/>
      <c r="BU151" s="537"/>
      <c r="BV151" s="537"/>
      <c r="BW151" s="537"/>
      <c r="BX151" s="537"/>
      <c r="BY151" s="537"/>
      <c r="BZ151" s="610"/>
      <c r="CA151" s="54"/>
      <c r="CB151" s="54"/>
      <c r="CC151" s="54"/>
      <c r="CD151" s="54"/>
      <c r="CE151" s="54"/>
      <c r="CF151" s="54"/>
      <c r="CG151" s="1772"/>
      <c r="CH151" s="1772"/>
      <c r="CI151" s="1772"/>
      <c r="CJ151" s="54"/>
      <c r="CK151" s="54"/>
      <c r="CL151" s="54"/>
      <c r="CM151" s="36"/>
      <c r="CN151" s="36"/>
      <c r="CO151" s="36"/>
      <c r="CP151" s="36"/>
      <c r="CQ151" s="36"/>
      <c r="CR151" s="36"/>
    </row>
    <row r="152" spans="1:97" s="396" customFormat="1" ht="11.25" customHeight="1">
      <c r="A152" s="42"/>
      <c r="B152"/>
      <c r="C152"/>
      <c r="D152"/>
      <c r="E152"/>
      <c r="F152"/>
      <c r="G152"/>
      <c r="H152" s="42"/>
      <c r="I152" s="566"/>
      <c r="J152" s="413"/>
      <c r="K152" s="413"/>
      <c r="L152" s="413"/>
      <c r="M152" s="413"/>
      <c r="N152" s="83"/>
      <c r="O152" s="320"/>
      <c r="P152" s="320"/>
      <c r="Q152" s="413"/>
      <c r="R152" s="83"/>
      <c r="S152" s="83"/>
      <c r="T152" s="83"/>
      <c r="U152" s="567"/>
      <c r="V152" s="83"/>
      <c r="W152" s="83"/>
      <c r="X152" s="83"/>
      <c r="Y152" s="566"/>
      <c r="Z152" s="83"/>
      <c r="AA152" s="83"/>
      <c r="AB152" s="83"/>
      <c r="AC152" s="482"/>
      <c r="AD152" s="83"/>
      <c r="AE152" s="83"/>
      <c r="AF152" s="83"/>
      <c r="AG152" s="656"/>
      <c r="AH152" s="83"/>
      <c r="AI152" s="83"/>
      <c r="AJ152" s="568"/>
      <c r="AK152" s="656"/>
      <c r="AL152" s="83"/>
      <c r="AM152" s="83"/>
      <c r="AN152" s="568"/>
      <c r="AO152" s="656"/>
      <c r="AP152" s="83"/>
      <c r="AQ152" s="83"/>
      <c r="AR152" s="568"/>
      <c r="AS152" s="656"/>
      <c r="AT152" s="83"/>
      <c r="AU152" s="83"/>
      <c r="AV152" s="568"/>
      <c r="AW152" s="656"/>
      <c r="AX152" s="83"/>
      <c r="AY152" s="83"/>
      <c r="AZ152" s="568"/>
      <c r="BA152" s="656"/>
      <c r="BB152" s="83"/>
      <c r="BC152" s="83"/>
      <c r="BD152" s="568"/>
      <c r="BE152"/>
      <c r="BF152" s="42"/>
      <c r="BG152" s="594"/>
      <c r="BH152" s="83"/>
      <c r="BI152" s="320"/>
      <c r="BJ152" s="320"/>
      <c r="BK152" s="320"/>
      <c r="BL152" s="320"/>
      <c r="BM152" s="320"/>
      <c r="BN152" s="320"/>
      <c r="BO152" s="320"/>
      <c r="BP152" s="320"/>
      <c r="BQ152" s="83"/>
      <c r="BR152" s="83"/>
      <c r="BS152" s="83"/>
      <c r="BT152" s="83"/>
      <c r="BU152" s="83"/>
      <c r="BV152" s="83"/>
      <c r="BW152" s="83"/>
      <c r="BX152" s="83"/>
      <c r="BY152" s="83"/>
      <c r="BZ152" s="883"/>
      <c r="CA152" s="83"/>
      <c r="CB152" s="83"/>
      <c r="CC152" s="83"/>
      <c r="CD152" s="83"/>
      <c r="CE152" s="83"/>
      <c r="CF152" s="83"/>
      <c r="CG152" s="1769"/>
      <c r="CH152" s="1769"/>
      <c r="CI152" s="1769"/>
      <c r="CJ152" s="83"/>
      <c r="CK152" s="83"/>
      <c r="CL152" s="83"/>
      <c r="CM152" s="42"/>
      <c r="CN152" s="42"/>
      <c r="CO152" s="42"/>
      <c r="CP152" s="42"/>
      <c r="CQ152" s="42"/>
      <c r="CR152" s="42"/>
    </row>
    <row r="153" spans="1:97" ht="11.25" customHeight="1">
      <c r="A153" s="36"/>
      <c r="H153" s="36"/>
      <c r="I153" s="448" t="s">
        <v>66</v>
      </c>
      <c r="J153" s="5"/>
      <c r="K153" s="5"/>
      <c r="L153" s="5"/>
      <c r="M153" s="67"/>
      <c r="N153" s="67"/>
      <c r="O153" s="67">
        <v>29.465999999999998</v>
      </c>
      <c r="P153" s="67">
        <v>27.074000000000002</v>
      </c>
      <c r="Q153" s="67">
        <v>26.765000000000001</v>
      </c>
      <c r="R153" s="67">
        <v>25.143000000000001</v>
      </c>
      <c r="S153" s="67">
        <v>23.128</v>
      </c>
      <c r="T153" s="67">
        <v>21.736000000000001</v>
      </c>
      <c r="U153" s="67">
        <v>130.73699999999999</v>
      </c>
      <c r="V153" s="67">
        <v>122.613</v>
      </c>
      <c r="W153" s="67">
        <v>123.083</v>
      </c>
      <c r="X153" s="67">
        <f>X241</f>
        <v>95.123999999999981</v>
      </c>
      <c r="Y153" s="641">
        <v>94.498000000000005</v>
      </c>
      <c r="Z153" s="110">
        <f t="shared" ref="Z153:AF153" si="317">Z241</f>
        <v>96.794999999999987</v>
      </c>
      <c r="AA153" s="110">
        <f t="shared" si="317"/>
        <v>101.21399999999998</v>
      </c>
      <c r="AB153" s="110">
        <f t="shared" si="317"/>
        <v>389.76399999999995</v>
      </c>
      <c r="AC153" s="505">
        <f t="shared" si="317"/>
        <v>399.31999999999994</v>
      </c>
      <c r="AD153" s="110">
        <f t="shared" si="317"/>
        <v>290.38599999999997</v>
      </c>
      <c r="AE153" s="110">
        <f t="shared" si="317"/>
        <v>290.56699999999995</v>
      </c>
      <c r="AF153" s="110">
        <f t="shared" si="317"/>
        <v>247.31200000000001</v>
      </c>
      <c r="AG153" s="505">
        <f t="shared" ref="AG153:AN153" si="318">AG241</f>
        <v>172.62900000000002</v>
      </c>
      <c r="AH153" s="110">
        <f t="shared" si="318"/>
        <v>181.46000000000004</v>
      </c>
      <c r="AI153" s="110">
        <f t="shared" si="318"/>
        <v>171.80700000000004</v>
      </c>
      <c r="AJ153" s="110">
        <f t="shared" si="318"/>
        <v>171.61300000000008</v>
      </c>
      <c r="AK153" s="505">
        <f t="shared" si="318"/>
        <v>183.50500000000008</v>
      </c>
      <c r="AL153" s="110">
        <f t="shared" si="318"/>
        <v>196.29500000000007</v>
      </c>
      <c r="AM153" s="110">
        <f t="shared" si="318"/>
        <v>224.8910000000001</v>
      </c>
      <c r="AN153" s="110">
        <f t="shared" si="318"/>
        <v>272.20100000000014</v>
      </c>
      <c r="AO153" s="505">
        <f>AO241</f>
        <v>272.27900000000011</v>
      </c>
      <c r="AP153" s="110">
        <f>AP241</f>
        <v>319.75400000000013</v>
      </c>
      <c r="AQ153" s="110">
        <f>AQ241</f>
        <v>362.40100000000018</v>
      </c>
      <c r="AR153" s="110">
        <f t="shared" ref="AR153" si="319">AR241</f>
        <v>547.85000000000014</v>
      </c>
      <c r="AS153" s="505">
        <f t="shared" ref="AS153:AV153" si="320">AS241</f>
        <v>548.13296429506693</v>
      </c>
      <c r="AT153" s="110">
        <f t="shared" si="320"/>
        <v>579.40460762683165</v>
      </c>
      <c r="AU153" s="110">
        <f t="shared" si="320"/>
        <v>656.25927427351064</v>
      </c>
      <c r="AV153" s="541">
        <f t="shared" si="320"/>
        <v>696.99721202096487</v>
      </c>
      <c r="AW153" s="505">
        <f t="shared" ref="AW153:BD153" si="321">AW241</f>
        <v>728.62938053122843</v>
      </c>
      <c r="AX153" s="110">
        <f t="shared" si="321"/>
        <v>769.56581592485202</v>
      </c>
      <c r="AY153" s="110">
        <f t="shared" si="321"/>
        <v>822.50509374153398</v>
      </c>
      <c r="AZ153" s="541">
        <f t="shared" si="321"/>
        <v>867.43822895010589</v>
      </c>
      <c r="BA153" s="505">
        <f t="shared" si="321"/>
        <v>907.21558326593322</v>
      </c>
      <c r="BB153" s="110">
        <f t="shared" si="321"/>
        <v>956.14421628980699</v>
      </c>
      <c r="BC153" s="110">
        <f t="shared" si="321"/>
        <v>1018.13992786757</v>
      </c>
      <c r="BD153" s="541">
        <f t="shared" si="321"/>
        <v>1070.9487816243552</v>
      </c>
      <c r="BF153" s="36"/>
      <c r="BG153" s="595"/>
      <c r="BH153" s="67"/>
      <c r="BI153" s="67"/>
      <c r="BJ153" s="67">
        <v>15.074</v>
      </c>
      <c r="BK153" s="67">
        <f>P153</f>
        <v>27.074000000000002</v>
      </c>
      <c r="BL153" s="67">
        <f>T153</f>
        <v>21.736000000000001</v>
      </c>
      <c r="BM153" s="67">
        <f>X153</f>
        <v>95.123999999999981</v>
      </c>
      <c r="BN153" s="409">
        <f>AB153</f>
        <v>389.76399999999995</v>
      </c>
      <c r="BO153" s="409">
        <f>AF153</f>
        <v>247.31200000000001</v>
      </c>
      <c r="BP153" s="409">
        <f>AJ153</f>
        <v>171.61300000000008</v>
      </c>
      <c r="BQ153" s="110">
        <f>+AN153</f>
        <v>272.20100000000014</v>
      </c>
      <c r="BR153" s="110">
        <f>AR153</f>
        <v>547.85000000000014</v>
      </c>
      <c r="BS153" s="110">
        <f>AV153</f>
        <v>696.99721202096487</v>
      </c>
      <c r="BT153" s="110">
        <f>AZ153</f>
        <v>867.43822895010589</v>
      </c>
      <c r="BU153" s="110">
        <f>BD153</f>
        <v>1070.9487816243552</v>
      </c>
      <c r="BV153" s="110">
        <f>BV241</f>
        <v>1308.3913512080742</v>
      </c>
      <c r="BW153" s="110">
        <f>BW241</f>
        <v>1583.2186761503742</v>
      </c>
      <c r="BX153" s="110">
        <f>BX241</f>
        <v>1896.922941318564</v>
      </c>
      <c r="BY153" s="110">
        <f>BY241</f>
        <v>2250.9973110987012</v>
      </c>
      <c r="BZ153" s="469">
        <f>BZ241</f>
        <v>2647.5263267951664</v>
      </c>
      <c r="CA153" s="54"/>
      <c r="CB153" s="54"/>
      <c r="CC153" s="54"/>
      <c r="CD153" s="54"/>
      <c r="CE153" s="54"/>
      <c r="CF153" s="54"/>
      <c r="CG153" s="1772"/>
      <c r="CH153" s="1772"/>
      <c r="CI153" s="1772"/>
      <c r="CJ153" s="54"/>
      <c r="CK153" s="54"/>
      <c r="CL153" s="54"/>
      <c r="CM153" s="36"/>
      <c r="CN153" s="36"/>
      <c r="CO153" s="36"/>
      <c r="CP153" s="36"/>
      <c r="CQ153" s="36"/>
      <c r="CR153" s="36"/>
    </row>
    <row r="154" spans="1:97" ht="11.25" customHeight="1">
      <c r="I154" s="448" t="s">
        <v>39</v>
      </c>
      <c r="J154" s="448"/>
      <c r="K154" s="401"/>
      <c r="L154" s="401"/>
      <c r="M154" s="67"/>
      <c r="N154" s="67"/>
      <c r="O154" s="67"/>
      <c r="P154" s="67">
        <v>0.216</v>
      </c>
      <c r="Q154" s="67"/>
      <c r="R154" s="67"/>
      <c r="S154" s="389">
        <v>0.216</v>
      </c>
      <c r="T154" s="389">
        <v>0</v>
      </c>
      <c r="U154" s="389">
        <v>0</v>
      </c>
      <c r="V154" s="389">
        <v>0</v>
      </c>
      <c r="W154" s="389">
        <v>2.9000000000000001E-2</v>
      </c>
      <c r="X154" s="389">
        <v>0</v>
      </c>
      <c r="Y154" s="638">
        <v>0</v>
      </c>
      <c r="Z154" s="389">
        <v>0</v>
      </c>
      <c r="AA154" s="389">
        <v>0</v>
      </c>
      <c r="AB154" s="389">
        <v>0</v>
      </c>
      <c r="AC154" s="1667">
        <v>0</v>
      </c>
      <c r="AD154" s="389">
        <v>0</v>
      </c>
      <c r="AE154" s="389">
        <v>0</v>
      </c>
      <c r="AF154" s="389">
        <f>118.498</f>
        <v>118.498</v>
      </c>
      <c r="AG154" s="1423">
        <v>158.60300000000001</v>
      </c>
      <c r="AH154" s="1731">
        <v>186.673</v>
      </c>
      <c r="AI154" s="435">
        <v>197.13200000000001</v>
      </c>
      <c r="AJ154" s="2602">
        <v>199.214</v>
      </c>
      <c r="AK154" s="2600">
        <v>191.952</v>
      </c>
      <c r="AL154" s="2602">
        <v>201.80600000000001</v>
      </c>
      <c r="AM154" s="2602">
        <v>207.404</v>
      </c>
      <c r="AN154" s="2602">
        <v>207.33199999999999</v>
      </c>
      <c r="AO154" s="2600">
        <v>213.197</v>
      </c>
      <c r="AP154" s="2602">
        <v>192.041</v>
      </c>
      <c r="AQ154" s="2602">
        <v>195.768</v>
      </c>
      <c r="AR154" s="2602">
        <v>273.36599999999999</v>
      </c>
      <c r="AS154" s="501">
        <f t="shared" ref="AS154:BD154" si="322">AR154</f>
        <v>273.36599999999999</v>
      </c>
      <c r="AT154" s="439">
        <f t="shared" si="322"/>
        <v>273.36599999999999</v>
      </c>
      <c r="AU154" s="439">
        <f t="shared" si="322"/>
        <v>273.36599999999999</v>
      </c>
      <c r="AV154" s="580">
        <f t="shared" si="322"/>
        <v>273.36599999999999</v>
      </c>
      <c r="AW154" s="501">
        <f t="shared" si="322"/>
        <v>273.36599999999999</v>
      </c>
      <c r="AX154" s="439">
        <f t="shared" si="322"/>
        <v>273.36599999999999</v>
      </c>
      <c r="AY154" s="439">
        <f t="shared" si="322"/>
        <v>273.36599999999999</v>
      </c>
      <c r="AZ154" s="580">
        <f t="shared" si="322"/>
        <v>273.36599999999999</v>
      </c>
      <c r="BA154" s="501">
        <f t="shared" si="322"/>
        <v>273.36599999999999</v>
      </c>
      <c r="BB154" s="439">
        <f t="shared" si="322"/>
        <v>273.36599999999999</v>
      </c>
      <c r="BC154" s="439">
        <f t="shared" si="322"/>
        <v>273.36599999999999</v>
      </c>
      <c r="BD154" s="580">
        <f t="shared" si="322"/>
        <v>273.36599999999999</v>
      </c>
      <c r="BG154" s="445"/>
      <c r="BH154" s="401"/>
      <c r="BI154" s="67"/>
      <c r="BJ154" s="336">
        <v>0</v>
      </c>
      <c r="BK154" s="336">
        <f>P154</f>
        <v>0.216</v>
      </c>
      <c r="BL154" s="336">
        <f>T154</f>
        <v>0</v>
      </c>
      <c r="BM154" s="336">
        <f>X154</f>
        <v>0</v>
      </c>
      <c r="BN154" s="110">
        <f>AB154</f>
        <v>0</v>
      </c>
      <c r="BO154" s="110">
        <f>AF154</f>
        <v>118.498</v>
      </c>
      <c r="BP154" s="110">
        <f>AJ154</f>
        <v>199.214</v>
      </c>
      <c r="BQ154" s="110">
        <f>+AN154</f>
        <v>207.33199999999999</v>
      </c>
      <c r="BR154" s="110">
        <f>AR154</f>
        <v>273.36599999999999</v>
      </c>
      <c r="BS154" s="110">
        <f>AV154</f>
        <v>273.36599999999999</v>
      </c>
      <c r="BT154" s="110">
        <f>AZ154</f>
        <v>273.36599999999999</v>
      </c>
      <c r="BU154" s="110">
        <f>BD154</f>
        <v>273.36599999999999</v>
      </c>
      <c r="BV154" s="336">
        <f>BU154</f>
        <v>273.36599999999999</v>
      </c>
      <c r="BW154" s="336">
        <f>BV154</f>
        <v>273.36599999999999</v>
      </c>
      <c r="BX154" s="336">
        <f>BW154</f>
        <v>273.36599999999999</v>
      </c>
      <c r="BY154" s="336">
        <f>BX154</f>
        <v>273.36599999999999</v>
      </c>
      <c r="BZ154" s="613">
        <f>BY154</f>
        <v>273.36599999999999</v>
      </c>
      <c r="CA154" s="401"/>
      <c r="CB154" s="401"/>
      <c r="CC154" s="401"/>
      <c r="CD154" s="401"/>
      <c r="CE154" s="401"/>
      <c r="CF154" s="401"/>
      <c r="CG154" s="1773"/>
      <c r="CH154" s="1773"/>
      <c r="CI154" s="1773"/>
      <c r="CJ154" s="401"/>
      <c r="CK154" s="401"/>
      <c r="CL154" s="401"/>
    </row>
    <row r="155" spans="1:97" ht="11.25" customHeight="1">
      <c r="A155" s="36"/>
      <c r="H155" s="36"/>
      <c r="I155" s="448" t="s">
        <v>64</v>
      </c>
      <c r="J155" s="5"/>
      <c r="K155" s="5"/>
      <c r="L155" s="5"/>
      <c r="M155" s="67"/>
      <c r="N155" s="67"/>
      <c r="O155" s="67"/>
      <c r="P155" s="67">
        <v>6.6130000000000004</v>
      </c>
      <c r="Q155" s="67"/>
      <c r="R155" s="67"/>
      <c r="S155" s="389">
        <v>7.78</v>
      </c>
      <c r="T155" s="389">
        <v>8.2569999999999997</v>
      </c>
      <c r="U155" s="389">
        <v>7.1790000000000003</v>
      </c>
      <c r="V155" s="389">
        <v>10.119999999999999</v>
      </c>
      <c r="W155" s="389">
        <v>10.722</v>
      </c>
      <c r="X155" s="389">
        <v>11.474</v>
      </c>
      <c r="Y155" s="638">
        <v>12.327</v>
      </c>
      <c r="Z155" s="389">
        <v>14.769</v>
      </c>
      <c r="AA155" s="389">
        <v>17.192</v>
      </c>
      <c r="AB155" s="389">
        <v>21.318000000000001</v>
      </c>
      <c r="AC155" s="1667">
        <v>21.376000000000001</v>
      </c>
      <c r="AD155" s="389">
        <v>25.45</v>
      </c>
      <c r="AE155" s="389">
        <v>31.175000000000001</v>
      </c>
      <c r="AF155" s="389">
        <v>35.593000000000004</v>
      </c>
      <c r="AG155" s="1423">
        <v>38.969000000000001</v>
      </c>
      <c r="AH155" s="1731">
        <v>41.338999999999999</v>
      </c>
      <c r="AI155" s="435">
        <v>46.942</v>
      </c>
      <c r="AJ155" s="2602">
        <v>52.755000000000003</v>
      </c>
      <c r="AK155" s="2600">
        <v>54.774000000000001</v>
      </c>
      <c r="AL155" s="2602">
        <v>59.887</v>
      </c>
      <c r="AM155" s="2602">
        <v>66.587999999999994</v>
      </c>
      <c r="AN155" s="2602">
        <v>68.724999999999994</v>
      </c>
      <c r="AO155" s="2600">
        <v>68.119</v>
      </c>
      <c r="AP155" s="2602">
        <v>68.778000000000006</v>
      </c>
      <c r="AQ155" s="2602">
        <v>68.483000000000004</v>
      </c>
      <c r="AR155" s="2602">
        <v>76.173000000000002</v>
      </c>
      <c r="AS155" s="501">
        <f t="shared" ref="AS155:BD155" si="323">(AS$23/(365.25/4))*AS187</f>
        <v>75.756102968694563</v>
      </c>
      <c r="AT155" s="439">
        <f t="shared" si="323"/>
        <v>75.565467379642541</v>
      </c>
      <c r="AU155" s="439">
        <f t="shared" si="323"/>
        <v>75.693816314441406</v>
      </c>
      <c r="AV155" s="580">
        <f t="shared" si="323"/>
        <v>89.826517871753623</v>
      </c>
      <c r="AW155" s="501">
        <f t="shared" si="323"/>
        <v>89.079830814715734</v>
      </c>
      <c r="AX155" s="439">
        <f t="shared" si="323"/>
        <v>87.755197405931497</v>
      </c>
      <c r="AY155" s="439">
        <f t="shared" si="323"/>
        <v>86.751020357886773</v>
      </c>
      <c r="AZ155" s="580">
        <f t="shared" si="323"/>
        <v>101.82759083852046</v>
      </c>
      <c r="BA155" s="501">
        <f t="shared" si="323"/>
        <v>100.56144452844235</v>
      </c>
      <c r="BB155" s="439">
        <f t="shared" si="323"/>
        <v>98.700627039191843</v>
      </c>
      <c r="BC155" s="439">
        <f t="shared" si="323"/>
        <v>96.756491541108502</v>
      </c>
      <c r="BD155" s="580">
        <f t="shared" si="323"/>
        <v>113.14892880988941</v>
      </c>
      <c r="BF155" s="36"/>
      <c r="BG155" s="596" t="s">
        <v>100</v>
      </c>
      <c r="BH155" s="249" t="s">
        <v>100</v>
      </c>
      <c r="BI155" s="249" t="s">
        <v>100</v>
      </c>
      <c r="BJ155" s="389">
        <v>2.2370000000000001</v>
      </c>
      <c r="BK155" s="67">
        <f>P155</f>
        <v>6.6130000000000004</v>
      </c>
      <c r="BL155" s="67">
        <f>T155</f>
        <v>8.2569999999999997</v>
      </c>
      <c r="BM155" s="67">
        <f>X155</f>
        <v>11.474</v>
      </c>
      <c r="BN155" s="409">
        <f>AB155</f>
        <v>21.318000000000001</v>
      </c>
      <c r="BO155" s="409">
        <f>AF155</f>
        <v>35.593000000000004</v>
      </c>
      <c r="BP155" s="409">
        <f>AJ155</f>
        <v>52.755000000000003</v>
      </c>
      <c r="BQ155" s="110">
        <f>+AN155</f>
        <v>68.724999999999994</v>
      </c>
      <c r="BR155" s="110">
        <f>AR155</f>
        <v>76.173000000000002</v>
      </c>
      <c r="BS155" s="110">
        <f>AV155</f>
        <v>89.826517871753623</v>
      </c>
      <c r="BT155" s="110">
        <f>AZ155</f>
        <v>101.82759083852046</v>
      </c>
      <c r="BU155" s="110">
        <f>BD155</f>
        <v>113.14892880988941</v>
      </c>
      <c r="BV155" s="439">
        <f>(BV$23/365.25)*BV187</f>
        <v>122.83907278529543</v>
      </c>
      <c r="BW155" s="439">
        <f>(BW$23/365.25)*BW187</f>
        <v>131.69731443820118</v>
      </c>
      <c r="BX155" s="439">
        <f>(BX$23/365.25)*BX187</f>
        <v>139.65853643044267</v>
      </c>
      <c r="BY155" s="439">
        <f>(BY$23/365.25)*BY187</f>
        <v>146.74737941910405</v>
      </c>
      <c r="BZ155" s="461">
        <f>(BZ$23/365.25)*BZ187</f>
        <v>153.06797511606598</v>
      </c>
      <c r="CA155" s="54"/>
      <c r="CB155" s="54"/>
      <c r="CC155" s="54"/>
      <c r="CD155" s="54"/>
      <c r="CE155" s="54"/>
      <c r="CF155" s="54"/>
      <c r="CG155" s="1772"/>
      <c r="CH155" s="1772"/>
      <c r="CI155" s="1772"/>
      <c r="CJ155" s="54"/>
      <c r="CK155" s="54"/>
      <c r="CL155" s="54"/>
      <c r="CM155" s="36"/>
      <c r="CN155" s="36"/>
      <c r="CO155" s="36"/>
      <c r="CP155" s="36"/>
      <c r="CQ155" s="36"/>
      <c r="CR155" s="36"/>
    </row>
    <row r="156" spans="1:97" ht="11.25" customHeight="1">
      <c r="A156" s="36"/>
      <c r="H156" s="36"/>
      <c r="I156" s="448" t="s">
        <v>73</v>
      </c>
      <c r="J156" s="5"/>
      <c r="K156" s="5"/>
      <c r="L156" s="5"/>
      <c r="M156" s="67"/>
      <c r="N156" s="67"/>
      <c r="O156" s="67"/>
      <c r="P156" s="67">
        <v>1.492</v>
      </c>
      <c r="Q156" s="67"/>
      <c r="R156" s="67"/>
      <c r="S156" s="389">
        <v>1.246</v>
      </c>
      <c r="T156" s="389">
        <v>1.7330000000000001</v>
      </c>
      <c r="U156" s="389">
        <v>2.508</v>
      </c>
      <c r="V156" s="389">
        <v>2.63</v>
      </c>
      <c r="W156" s="389">
        <v>2.867</v>
      </c>
      <c r="X156" s="389">
        <v>4.9119999999999999</v>
      </c>
      <c r="Y156" s="638">
        <v>6.88</v>
      </c>
      <c r="Z156" s="389">
        <v>6.4409999999999998</v>
      </c>
      <c r="AA156" s="389">
        <v>6.8090000000000002</v>
      </c>
      <c r="AB156" s="389">
        <v>5.7519999999999998</v>
      </c>
      <c r="AC156" s="1667">
        <v>9.0869999999999997</v>
      </c>
      <c r="AD156" s="389">
        <f>7.96+60.429</f>
        <v>68.388999999999996</v>
      </c>
      <c r="AE156" s="389">
        <f>73.527+9.485</f>
        <v>83.012</v>
      </c>
      <c r="AF156" s="389">
        <v>19.355</v>
      </c>
      <c r="AG156" s="1423">
        <v>22.706</v>
      </c>
      <c r="AH156" s="1731">
        <v>22.713000000000001</v>
      </c>
      <c r="AI156" s="435">
        <v>31.952000000000002</v>
      </c>
      <c r="AJ156" s="2602">
        <v>19.7</v>
      </c>
      <c r="AK156" s="2600">
        <v>17.109000000000002</v>
      </c>
      <c r="AL156" s="2602">
        <v>15.753</v>
      </c>
      <c r="AM156" s="2602">
        <v>15.609</v>
      </c>
      <c r="AN156" s="2602">
        <v>12.920999999999999</v>
      </c>
      <c r="AO156" s="2600">
        <v>14.459</v>
      </c>
      <c r="AP156" s="2602">
        <v>14.298</v>
      </c>
      <c r="AQ156" s="2602">
        <v>159.56699999999998</v>
      </c>
      <c r="AR156" s="2602">
        <v>15.7</v>
      </c>
      <c r="AS156" s="501">
        <f t="shared" ref="AS156:BD156" si="324">(AS39*4)*AS189</f>
        <v>16.667509125540725</v>
      </c>
      <c r="AT156" s="439">
        <f t="shared" si="324"/>
        <v>16.235247566149162</v>
      </c>
      <c r="AU156" s="439">
        <f t="shared" si="324"/>
        <v>17.513453956056559</v>
      </c>
      <c r="AV156" s="580">
        <f t="shared" si="324"/>
        <v>18.129105200046666</v>
      </c>
      <c r="AW156" s="501">
        <f t="shared" si="324"/>
        <v>18.750968714589266</v>
      </c>
      <c r="AX156" s="439">
        <f t="shared" si="324"/>
        <v>17.997362484614015</v>
      </c>
      <c r="AY156" s="439">
        <f t="shared" si="324"/>
        <v>19.069844727722678</v>
      </c>
      <c r="AZ156" s="580">
        <f t="shared" si="324"/>
        <v>19.170073502492787</v>
      </c>
      <c r="BA156" s="501">
        <f t="shared" si="324"/>
        <v>20.410889199642419</v>
      </c>
      <c r="BB156" s="439">
        <f t="shared" si="324"/>
        <v>19.410386757906743</v>
      </c>
      <c r="BC156" s="439">
        <f t="shared" si="324"/>
        <v>20.465235596196386</v>
      </c>
      <c r="BD156" s="580">
        <f t="shared" si="324"/>
        <v>20.441613547088203</v>
      </c>
      <c r="BF156" s="36"/>
      <c r="BG156" s="597">
        <v>0</v>
      </c>
      <c r="BH156" s="570">
        <v>0</v>
      </c>
      <c r="BI156" s="570">
        <v>0</v>
      </c>
      <c r="BJ156" s="67">
        <v>0.89</v>
      </c>
      <c r="BK156" s="67">
        <f>P156</f>
        <v>1.492</v>
      </c>
      <c r="BL156" s="67">
        <f>T156</f>
        <v>1.7330000000000001</v>
      </c>
      <c r="BM156" s="67">
        <f>X156</f>
        <v>4.9119999999999999</v>
      </c>
      <c r="BN156" s="409">
        <f>AB156</f>
        <v>5.7519999999999998</v>
      </c>
      <c r="BO156" s="409">
        <f>AF156</f>
        <v>19.355</v>
      </c>
      <c r="BP156" s="409">
        <f>AJ156</f>
        <v>19.7</v>
      </c>
      <c r="BQ156" s="110">
        <f>+AN156</f>
        <v>12.920999999999999</v>
      </c>
      <c r="BR156" s="110">
        <f>AR156</f>
        <v>15.7</v>
      </c>
      <c r="BS156" s="110">
        <f>AV156</f>
        <v>18.129105200046666</v>
      </c>
      <c r="BT156" s="110">
        <f>AZ156</f>
        <v>19.170073502492787</v>
      </c>
      <c r="BU156" s="110">
        <f>BD156</f>
        <v>20.441613547088203</v>
      </c>
      <c r="BV156" s="439">
        <f>BV39*BV189</f>
        <v>22.215861938966718</v>
      </c>
      <c r="BW156" s="439">
        <f>BW39*BW189</f>
        <v>23.839862646352401</v>
      </c>
      <c r="BX156" s="439">
        <f>BX39*BX189</f>
        <v>25.353387115140421</v>
      </c>
      <c r="BY156" s="439">
        <f>BY39*BY189</f>
        <v>26.712244849891711</v>
      </c>
      <c r="BZ156" s="461">
        <f>BZ39*BZ189</f>
        <v>27.938531098325797</v>
      </c>
      <c r="CA156" s="54"/>
      <c r="CB156" s="54"/>
      <c r="CC156" s="54"/>
      <c r="CD156" s="54"/>
      <c r="CE156" s="54"/>
      <c r="CF156" s="54"/>
      <c r="CG156" s="1772"/>
      <c r="CH156" s="1772"/>
      <c r="CI156" s="1772"/>
      <c r="CJ156" s="54"/>
      <c r="CK156" s="54"/>
      <c r="CL156" s="54"/>
      <c r="CM156" s="36"/>
      <c r="CN156" s="36"/>
      <c r="CO156" s="36"/>
      <c r="CP156" s="36"/>
      <c r="CQ156" s="36"/>
      <c r="CR156" s="36"/>
    </row>
    <row r="157" spans="1:97" ht="11.25" customHeight="1">
      <c r="A157" s="55"/>
      <c r="H157" s="55"/>
      <c r="I157" s="444" t="s">
        <v>84</v>
      </c>
      <c r="J157" s="50"/>
      <c r="K157" s="50"/>
      <c r="L157" s="50"/>
      <c r="M157" s="402"/>
      <c r="N157" s="402"/>
      <c r="O157" s="402">
        <f>+SUM(O153:O156)</f>
        <v>29.465999999999998</v>
      </c>
      <c r="P157" s="402">
        <f>+SUM(P153:P156)</f>
        <v>35.395000000000003</v>
      </c>
      <c r="Q157" s="402">
        <f>+SUM(Q153:Q156)</f>
        <v>26.765000000000001</v>
      </c>
      <c r="R157" s="402">
        <f>+SUM(R153:R156)</f>
        <v>25.143000000000001</v>
      </c>
      <c r="S157" s="402">
        <f t="shared" ref="S157:AB157" si="325">+SUM(S153:S156)</f>
        <v>32.370000000000005</v>
      </c>
      <c r="T157" s="402">
        <f>+SUM(T153:T156)</f>
        <v>31.726000000000003</v>
      </c>
      <c r="U157" s="402">
        <f t="shared" si="325"/>
        <v>140.42400000000001</v>
      </c>
      <c r="V157" s="402">
        <f t="shared" si="325"/>
        <v>135.363</v>
      </c>
      <c r="W157" s="402">
        <f t="shared" si="325"/>
        <v>136.70099999999999</v>
      </c>
      <c r="X157" s="402">
        <f t="shared" si="325"/>
        <v>111.50999999999999</v>
      </c>
      <c r="Y157" s="644">
        <f t="shared" si="325"/>
        <v>113.705</v>
      </c>
      <c r="Z157" s="74">
        <f t="shared" si="325"/>
        <v>118.005</v>
      </c>
      <c r="AA157" s="74">
        <f t="shared" si="325"/>
        <v>125.21499999999997</v>
      </c>
      <c r="AB157" s="74">
        <f t="shared" si="325"/>
        <v>416.83399999999995</v>
      </c>
      <c r="AC157" s="511">
        <f t="shared" ref="AC157:AJ157" si="326">+SUM(AC153:AC156)</f>
        <v>429.7829999999999</v>
      </c>
      <c r="AD157" s="74">
        <f t="shared" si="326"/>
        <v>384.22499999999997</v>
      </c>
      <c r="AE157" s="74">
        <f t="shared" si="326"/>
        <v>404.75399999999996</v>
      </c>
      <c r="AF157" s="74">
        <f t="shared" si="326"/>
        <v>420.75800000000004</v>
      </c>
      <c r="AG157" s="511">
        <f t="shared" si="326"/>
        <v>392.90700000000004</v>
      </c>
      <c r="AH157" s="74">
        <f t="shared" si="326"/>
        <v>432.18500000000006</v>
      </c>
      <c r="AI157" s="74">
        <f t="shared" si="326"/>
        <v>447.83300000000008</v>
      </c>
      <c r="AJ157" s="74">
        <f t="shared" si="326"/>
        <v>443.2820000000001</v>
      </c>
      <c r="AK157" s="511">
        <f t="shared" ref="AK157:AM157" si="327">+SUM(AK153:AK156)</f>
        <v>447.34000000000009</v>
      </c>
      <c r="AL157" s="74">
        <f t="shared" si="327"/>
        <v>473.7410000000001</v>
      </c>
      <c r="AM157" s="74">
        <f t="shared" si="327"/>
        <v>514.49200000000008</v>
      </c>
      <c r="AN157" s="74">
        <f>+SUM(AN153:AN156)</f>
        <v>561.1790000000002</v>
      </c>
      <c r="AO157" s="511">
        <f>+SUM(AO153:AO156)</f>
        <v>568.05400000000009</v>
      </c>
      <c r="AP157" s="74">
        <f>+SUM(AP153:AP156)</f>
        <v>594.87100000000009</v>
      </c>
      <c r="AQ157" s="74">
        <f>+SUM(AQ153:AQ156)</f>
        <v>786.21900000000028</v>
      </c>
      <c r="AR157" s="74">
        <f>+SUM(AR153:AR156)</f>
        <v>913.08900000000017</v>
      </c>
      <c r="AS157" s="511">
        <f t="shared" ref="AS157:BD157" si="328">+SUM(AS153:AS156)</f>
        <v>913.92257638930221</v>
      </c>
      <c r="AT157" s="74">
        <f t="shared" si="328"/>
        <v>944.57132257262333</v>
      </c>
      <c r="AU157" s="74">
        <f t="shared" si="328"/>
        <v>1022.8325445440086</v>
      </c>
      <c r="AV157" s="563">
        <f t="shared" si="328"/>
        <v>1078.3188350927653</v>
      </c>
      <c r="AW157" s="511">
        <f t="shared" si="328"/>
        <v>1109.8261800605335</v>
      </c>
      <c r="AX157" s="74">
        <f t="shared" si="328"/>
        <v>1148.6843758153975</v>
      </c>
      <c r="AY157" s="74">
        <f t="shared" si="328"/>
        <v>1201.6919588271435</v>
      </c>
      <c r="AZ157" s="563">
        <f t="shared" si="328"/>
        <v>1261.8018932911193</v>
      </c>
      <c r="BA157" s="511">
        <f t="shared" si="328"/>
        <v>1301.553916994018</v>
      </c>
      <c r="BB157" s="74">
        <f t="shared" si="328"/>
        <v>1347.6212300869056</v>
      </c>
      <c r="BC157" s="74">
        <f t="shared" si="328"/>
        <v>1408.7276550048748</v>
      </c>
      <c r="BD157" s="563">
        <f t="shared" si="328"/>
        <v>1477.9053239813329</v>
      </c>
      <c r="BF157" s="36"/>
      <c r="BG157" s="598"/>
      <c r="BH157" s="331"/>
      <c r="BI157" s="331"/>
      <c r="BJ157" s="331">
        <f t="shared" ref="BJ157:BS157" si="329">+SUM(BJ153:BJ156)</f>
        <v>18.201000000000001</v>
      </c>
      <c r="BK157" s="331">
        <f t="shared" si="329"/>
        <v>35.395000000000003</v>
      </c>
      <c r="BL157" s="331">
        <f t="shared" si="329"/>
        <v>31.726000000000003</v>
      </c>
      <c r="BM157" s="331">
        <f t="shared" si="329"/>
        <v>111.50999999999999</v>
      </c>
      <c r="BN157" s="431">
        <f t="shared" si="329"/>
        <v>416.83399999999995</v>
      </c>
      <c r="BO157" s="431">
        <f t="shared" si="329"/>
        <v>420.75800000000004</v>
      </c>
      <c r="BP157" s="431">
        <f t="shared" si="329"/>
        <v>443.2820000000001</v>
      </c>
      <c r="BQ157" s="74">
        <f t="shared" si="329"/>
        <v>561.1790000000002</v>
      </c>
      <c r="BR157" s="74">
        <f t="shared" si="329"/>
        <v>913.08900000000017</v>
      </c>
      <c r="BS157" s="74">
        <f t="shared" si="329"/>
        <v>1078.3188350927653</v>
      </c>
      <c r="BT157" s="74">
        <f t="shared" ref="BT157:BZ157" si="330">+SUM(BT153:BT156)</f>
        <v>1261.8018932911193</v>
      </c>
      <c r="BU157" s="74">
        <f t="shared" si="330"/>
        <v>1477.9053239813329</v>
      </c>
      <c r="BV157" s="74">
        <f t="shared" si="330"/>
        <v>1726.8122859323364</v>
      </c>
      <c r="BW157" s="74">
        <f t="shared" si="330"/>
        <v>2012.1218532349278</v>
      </c>
      <c r="BX157" s="74">
        <f t="shared" si="330"/>
        <v>2335.3008648641471</v>
      </c>
      <c r="BY157" s="74">
        <f t="shared" si="330"/>
        <v>2697.822935367697</v>
      </c>
      <c r="BZ157" s="481">
        <f t="shared" si="330"/>
        <v>3101.8988330095581</v>
      </c>
      <c r="CA157" s="571"/>
      <c r="CB157" s="571"/>
      <c r="CC157" s="571"/>
      <c r="CD157" s="571"/>
      <c r="CE157" s="571"/>
      <c r="CF157" s="571"/>
      <c r="CG157" s="1774"/>
      <c r="CH157" s="1774"/>
      <c r="CI157" s="1774"/>
      <c r="CJ157" s="571"/>
      <c r="CK157" s="571"/>
      <c r="CL157" s="571"/>
      <c r="CM157" s="55"/>
      <c r="CN157" s="55"/>
      <c r="CO157" s="55"/>
      <c r="CP157" s="55"/>
      <c r="CQ157" s="55"/>
      <c r="CR157" s="55"/>
    </row>
    <row r="158" spans="1:97" ht="11.25" customHeight="1">
      <c r="A158" s="55"/>
      <c r="H158" s="55"/>
      <c r="I158" s="444"/>
      <c r="J158" s="50"/>
      <c r="K158" s="50"/>
      <c r="L158" s="50"/>
      <c r="M158" s="402"/>
      <c r="N158" s="402"/>
      <c r="O158" s="402"/>
      <c r="P158" s="402"/>
      <c r="Q158" s="402"/>
      <c r="R158" s="402"/>
      <c r="S158" s="402"/>
      <c r="T158" s="402"/>
      <c r="U158" s="402"/>
      <c r="V158" s="402"/>
      <c r="W158" s="402"/>
      <c r="X158" s="402"/>
      <c r="Y158" s="644"/>
      <c r="Z158" s="74"/>
      <c r="AA158" s="74"/>
      <c r="AB158" s="74"/>
      <c r="AC158" s="511"/>
      <c r="AD158" s="74"/>
      <c r="AE158" s="74"/>
      <c r="AF158" s="74"/>
      <c r="AG158" s="511"/>
      <c r="AH158" s="74"/>
      <c r="AI158" s="74"/>
      <c r="AJ158" s="74"/>
      <c r="AK158" s="511"/>
      <c r="AL158" s="74"/>
      <c r="AM158" s="74"/>
      <c r="AN158" s="74"/>
      <c r="AO158" s="511"/>
      <c r="AP158" s="74"/>
      <c r="AQ158" s="74"/>
      <c r="AR158" s="74"/>
      <c r="AS158" s="511"/>
      <c r="AT158" s="74"/>
      <c r="AU158" s="74"/>
      <c r="AV158" s="563"/>
      <c r="AW158" s="511"/>
      <c r="AX158" s="74"/>
      <c r="AY158" s="74"/>
      <c r="AZ158" s="563"/>
      <c r="BA158" s="511"/>
      <c r="BB158" s="74"/>
      <c r="BC158" s="74"/>
      <c r="BD158" s="563"/>
      <c r="BF158" s="36"/>
      <c r="BG158" s="598"/>
      <c r="BH158" s="331"/>
      <c r="BI158" s="331"/>
      <c r="BJ158" s="331"/>
      <c r="BK158" s="331"/>
      <c r="BL158" s="331"/>
      <c r="BM158" s="331"/>
      <c r="BN158" s="431"/>
      <c r="BO158" s="431"/>
      <c r="BP158" s="431"/>
      <c r="BQ158" s="74"/>
      <c r="BR158" s="74"/>
      <c r="BS158" s="74"/>
      <c r="BT158" s="74"/>
      <c r="BU158" s="74"/>
      <c r="BV158" s="74"/>
      <c r="BW158" s="74"/>
      <c r="BX158" s="74"/>
      <c r="BY158" s="74"/>
      <c r="BZ158" s="481"/>
      <c r="CA158" s="571"/>
      <c r="CB158" s="571"/>
      <c r="CC158" s="571"/>
      <c r="CD158" s="571"/>
      <c r="CE158" s="571"/>
      <c r="CF158" s="571"/>
      <c r="CG158" s="1774"/>
      <c r="CH158" s="1774"/>
      <c r="CI158" s="1774"/>
      <c r="CJ158" s="571"/>
      <c r="CK158" s="571"/>
      <c r="CL158" s="571"/>
      <c r="CM158" s="55"/>
      <c r="CN158" s="55"/>
      <c r="CO158" s="55"/>
      <c r="CP158" s="55"/>
      <c r="CQ158" s="55"/>
      <c r="CR158" s="55"/>
    </row>
    <row r="159" spans="1:97" ht="11.25" customHeight="1">
      <c r="A159" s="36"/>
      <c r="H159" s="36"/>
      <c r="I159" s="448" t="s">
        <v>239</v>
      </c>
      <c r="J159" s="5"/>
      <c r="K159" s="5"/>
      <c r="L159" s="5"/>
      <c r="M159" s="67"/>
      <c r="N159" s="67"/>
      <c r="O159" s="67"/>
      <c r="P159" s="67">
        <v>5.2560000000000002</v>
      </c>
      <c r="Q159" s="67"/>
      <c r="R159" s="67"/>
      <c r="S159" s="389">
        <v>8.9540000000000006</v>
      </c>
      <c r="T159" s="389">
        <v>9.8810000000000002</v>
      </c>
      <c r="U159" s="389">
        <v>10.648999999999999</v>
      </c>
      <c r="V159" s="389">
        <v>11.632</v>
      </c>
      <c r="W159" s="389">
        <v>12.622999999999999</v>
      </c>
      <c r="X159" s="389">
        <v>14.798999999999999</v>
      </c>
      <c r="Y159" s="638">
        <v>15.772</v>
      </c>
      <c r="Z159" s="389">
        <v>19.779</v>
      </c>
      <c r="AA159" s="389">
        <v>25.920999999999999</v>
      </c>
      <c r="AB159" s="389">
        <v>30.666</v>
      </c>
      <c r="AC159" s="1667">
        <v>33.298000000000002</v>
      </c>
      <c r="AD159" s="389">
        <v>37.462000000000003</v>
      </c>
      <c r="AE159" s="389">
        <v>43.332999999999998</v>
      </c>
      <c r="AF159" s="389">
        <v>62.761000000000003</v>
      </c>
      <c r="AG159" s="1423">
        <v>68.593999999999994</v>
      </c>
      <c r="AH159" s="1731">
        <v>72.602999999999994</v>
      </c>
      <c r="AI159" s="435">
        <v>78.341999999999999</v>
      </c>
      <c r="AJ159" s="2602">
        <v>80.466999999999999</v>
      </c>
      <c r="AK159" s="2600">
        <v>84.775999999999996</v>
      </c>
      <c r="AL159" s="2602">
        <v>89.501999999999995</v>
      </c>
      <c r="AM159" s="2602">
        <v>93.837999999999994</v>
      </c>
      <c r="AN159" s="2602">
        <v>92.44</v>
      </c>
      <c r="AO159" s="2600">
        <v>91.727000000000004</v>
      </c>
      <c r="AP159" s="2602">
        <v>91.713999999999999</v>
      </c>
      <c r="AQ159" s="2602">
        <v>94.347999999999999</v>
      </c>
      <c r="AR159" s="2602">
        <v>103.651</v>
      </c>
      <c r="AS159" s="501">
        <f t="shared" ref="AS159:BD159" si="331">AR159-AS220-AS202</f>
        <v>98.673999999999992</v>
      </c>
      <c r="AT159" s="439">
        <f t="shared" si="331"/>
        <v>93.467499999999987</v>
      </c>
      <c r="AU159" s="439">
        <f t="shared" si="331"/>
        <v>87.887499999999989</v>
      </c>
      <c r="AV159" s="580">
        <f t="shared" si="331"/>
        <v>82.050999999999988</v>
      </c>
      <c r="AW159" s="501">
        <f t="shared" si="331"/>
        <v>82.90548686221581</v>
      </c>
      <c r="AX159" s="439">
        <f t="shared" si="331"/>
        <v>83.795494465128982</v>
      </c>
      <c r="AY159" s="439">
        <f t="shared" si="331"/>
        <v>84.723338245229073</v>
      </c>
      <c r="AZ159" s="580">
        <f t="shared" si="331"/>
        <v>85.681290473341235</v>
      </c>
      <c r="BA159" s="501">
        <f t="shared" si="331"/>
        <v>86.657104255301419</v>
      </c>
      <c r="BB159" s="439">
        <f t="shared" si="331"/>
        <v>87.669722187545176</v>
      </c>
      <c r="BC159" s="439">
        <f t="shared" si="331"/>
        <v>88.718438137974729</v>
      </c>
      <c r="BD159" s="580">
        <f t="shared" si="331"/>
        <v>89.793268801132001</v>
      </c>
      <c r="BF159" s="36"/>
      <c r="BG159" s="595"/>
      <c r="BH159" s="67"/>
      <c r="BI159" s="67"/>
      <c r="BJ159" s="67">
        <v>2.1840000000000002</v>
      </c>
      <c r="BK159" s="67">
        <f>P159</f>
        <v>5.2560000000000002</v>
      </c>
      <c r="BL159" s="67">
        <f>T159</f>
        <v>9.8810000000000002</v>
      </c>
      <c r="BM159" s="67">
        <f>X159</f>
        <v>14.798999999999999</v>
      </c>
      <c r="BN159" s="409">
        <f>AB159</f>
        <v>30.666</v>
      </c>
      <c r="BO159" s="409">
        <f>AF159</f>
        <v>62.761000000000003</v>
      </c>
      <c r="BP159" s="409">
        <f>AJ159</f>
        <v>80.466999999999999</v>
      </c>
      <c r="BQ159" s="110">
        <f>+AN159</f>
        <v>92.44</v>
      </c>
      <c r="BR159" s="110">
        <f>AR159</f>
        <v>103.651</v>
      </c>
      <c r="BS159" s="110">
        <f>AV159</f>
        <v>82.050999999999988</v>
      </c>
      <c r="BT159" s="110">
        <f>AZ159</f>
        <v>85.681290473341235</v>
      </c>
      <c r="BU159" s="110">
        <f>BD159</f>
        <v>89.793268801132001</v>
      </c>
      <c r="BV159" s="439">
        <f>BU159-BV220-BV202</f>
        <v>94.405247128922781</v>
      </c>
      <c r="BW159" s="439">
        <f>BV159-BW220-BW202</f>
        <v>99.517225456713561</v>
      </c>
      <c r="BX159" s="439">
        <f>BW159-BX220-BX202</f>
        <v>105.12920378450434</v>
      </c>
      <c r="BY159" s="439">
        <f>BX159-BY220-BY202</f>
        <v>111.24118211229512</v>
      </c>
      <c r="BZ159" s="461">
        <f>BY159-BZ220-BZ202</f>
        <v>117.8531604400859</v>
      </c>
      <c r="CA159" s="54"/>
      <c r="CB159" s="54"/>
      <c r="CC159" s="54"/>
      <c r="CD159" s="54"/>
      <c r="CE159" s="54"/>
      <c r="CF159" s="54"/>
      <c r="CG159" s="1772"/>
      <c r="CH159" s="1772"/>
      <c r="CI159" s="1772"/>
      <c r="CJ159" s="54"/>
      <c r="CK159" s="54"/>
      <c r="CL159" s="54"/>
      <c r="CM159" s="36"/>
      <c r="CN159" s="36"/>
      <c r="CO159" s="36"/>
      <c r="CP159" s="36"/>
      <c r="CQ159" s="36"/>
      <c r="CR159" s="36"/>
    </row>
    <row r="160" spans="1:97" ht="11.25" customHeight="1">
      <c r="A160" s="36"/>
      <c r="H160" s="36"/>
      <c r="I160" s="448" t="s">
        <v>39</v>
      </c>
      <c r="J160" s="5"/>
      <c r="K160" s="5"/>
      <c r="L160" s="5"/>
      <c r="M160" s="67"/>
      <c r="N160" s="67"/>
      <c r="O160" s="67"/>
      <c r="P160" s="67">
        <v>0</v>
      </c>
      <c r="Q160" s="67"/>
      <c r="R160" s="67"/>
      <c r="S160" s="389">
        <v>0.36499999999999999</v>
      </c>
      <c r="T160" s="389">
        <v>0.36499999999999999</v>
      </c>
      <c r="U160" s="389">
        <v>1.4970000000000001</v>
      </c>
      <c r="V160" s="389">
        <v>6.3620000000000001</v>
      </c>
      <c r="W160" s="389">
        <v>6.4009999999999998</v>
      </c>
      <c r="X160" s="389">
        <v>6.4</v>
      </c>
      <c r="Y160" s="638">
        <v>6.3319999999999999</v>
      </c>
      <c r="Z160" s="389">
        <v>8.1020000000000003</v>
      </c>
      <c r="AA160" s="389">
        <v>8.1679999999999993</v>
      </c>
      <c r="AB160" s="389">
        <v>3.2469999999999999</v>
      </c>
      <c r="AC160" s="1667">
        <v>3.6549999999999998</v>
      </c>
      <c r="AD160" s="389">
        <v>3.6840000000000002</v>
      </c>
      <c r="AE160" s="389">
        <v>12.986000000000001</v>
      </c>
      <c r="AF160" s="389">
        <v>17.943000000000001</v>
      </c>
      <c r="AG160" s="1423">
        <v>17.899000000000001</v>
      </c>
      <c r="AH160" s="1731">
        <v>16.285</v>
      </c>
      <c r="AI160" s="435">
        <v>16.253</v>
      </c>
      <c r="AJ160" s="2602">
        <v>16.486000000000001</v>
      </c>
      <c r="AK160" s="2600">
        <v>17.306000000000001</v>
      </c>
      <c r="AL160" s="2602">
        <v>17.306000000000001</v>
      </c>
      <c r="AM160" s="2602">
        <v>17.311</v>
      </c>
      <c r="AN160" s="2602">
        <v>17.317</v>
      </c>
      <c r="AO160" s="2600">
        <v>18.463999999999999</v>
      </c>
      <c r="AP160" s="2602">
        <v>18.539000000000001</v>
      </c>
      <c r="AQ160" s="2602">
        <v>17.815000000000001</v>
      </c>
      <c r="AR160" s="2602">
        <v>18.553999999999998</v>
      </c>
      <c r="AS160" s="501">
        <f t="shared" ref="AS160:BD160" si="332">AR160</f>
        <v>18.553999999999998</v>
      </c>
      <c r="AT160" s="439">
        <f t="shared" si="332"/>
        <v>18.553999999999998</v>
      </c>
      <c r="AU160" s="439">
        <f t="shared" si="332"/>
        <v>18.553999999999998</v>
      </c>
      <c r="AV160" s="580">
        <f t="shared" si="332"/>
        <v>18.553999999999998</v>
      </c>
      <c r="AW160" s="501">
        <f t="shared" si="332"/>
        <v>18.553999999999998</v>
      </c>
      <c r="AX160" s="439">
        <f t="shared" si="332"/>
        <v>18.553999999999998</v>
      </c>
      <c r="AY160" s="439">
        <f t="shared" si="332"/>
        <v>18.553999999999998</v>
      </c>
      <c r="AZ160" s="580">
        <f t="shared" si="332"/>
        <v>18.553999999999998</v>
      </c>
      <c r="BA160" s="501">
        <f t="shared" si="332"/>
        <v>18.553999999999998</v>
      </c>
      <c r="BB160" s="439">
        <f t="shared" si="332"/>
        <v>18.553999999999998</v>
      </c>
      <c r="BC160" s="439">
        <f t="shared" si="332"/>
        <v>18.553999999999998</v>
      </c>
      <c r="BD160" s="580">
        <f t="shared" si="332"/>
        <v>18.553999999999998</v>
      </c>
      <c r="BF160" s="36"/>
      <c r="BG160" s="595"/>
      <c r="BH160" s="67"/>
      <c r="BI160" s="67"/>
      <c r="BJ160" s="67">
        <v>0.216</v>
      </c>
      <c r="BK160" s="67">
        <f>P160</f>
        <v>0</v>
      </c>
      <c r="BL160" s="67">
        <f>T160</f>
        <v>0.36499999999999999</v>
      </c>
      <c r="BM160" s="572">
        <f>X160</f>
        <v>6.4</v>
      </c>
      <c r="BN160" s="409">
        <f>AB160</f>
        <v>3.2469999999999999</v>
      </c>
      <c r="BO160" s="409">
        <f>AF160</f>
        <v>17.943000000000001</v>
      </c>
      <c r="BP160" s="409">
        <f>AJ160</f>
        <v>16.486000000000001</v>
      </c>
      <c r="BQ160" s="110">
        <f>+AN160</f>
        <v>17.317</v>
      </c>
      <c r="BR160" s="110">
        <f>AR160</f>
        <v>18.553999999999998</v>
      </c>
      <c r="BS160" s="110">
        <f>AV160</f>
        <v>18.553999999999998</v>
      </c>
      <c r="BT160" s="110">
        <f>AZ160</f>
        <v>18.553999999999998</v>
      </c>
      <c r="BU160" s="110">
        <f>BD160</f>
        <v>18.553999999999998</v>
      </c>
      <c r="BV160" s="439">
        <f>BU160</f>
        <v>18.553999999999998</v>
      </c>
      <c r="BW160" s="439">
        <f>BV160</f>
        <v>18.553999999999998</v>
      </c>
      <c r="BX160" s="439">
        <f>BW160</f>
        <v>18.553999999999998</v>
      </c>
      <c r="BY160" s="439">
        <f>BX160</f>
        <v>18.553999999999998</v>
      </c>
      <c r="BZ160" s="461">
        <f>BY160</f>
        <v>18.553999999999998</v>
      </c>
      <c r="CA160" s="54"/>
      <c r="CB160" s="54"/>
      <c r="CC160" s="54"/>
      <c r="CD160" s="54"/>
      <c r="CE160" s="54"/>
      <c r="CF160" s="54"/>
      <c r="CG160" s="1772"/>
      <c r="CH160" s="1772"/>
      <c r="CI160" s="1772"/>
      <c r="CJ160" s="54"/>
      <c r="CK160" s="54"/>
      <c r="CL160" s="401"/>
      <c r="CP160" s="36"/>
      <c r="CQ160" s="36"/>
      <c r="CR160" s="36"/>
    </row>
    <row r="161" spans="1:96" ht="11.25" customHeight="1">
      <c r="A161" s="36"/>
      <c r="H161" s="36"/>
      <c r="I161" s="448" t="s">
        <v>65</v>
      </c>
      <c r="J161" s="5"/>
      <c r="K161" s="5"/>
      <c r="L161" s="5"/>
      <c r="M161" s="67"/>
      <c r="N161" s="67"/>
      <c r="O161" s="67"/>
      <c r="P161" s="67">
        <v>0.36399999999999999</v>
      </c>
      <c r="Q161" s="67"/>
      <c r="R161" s="67"/>
      <c r="S161" s="389">
        <v>0.46600000000000003</v>
      </c>
      <c r="T161" s="389">
        <v>1.849</v>
      </c>
      <c r="U161" s="389">
        <v>0.51700000000000002</v>
      </c>
      <c r="V161" s="389">
        <v>0.49099999999999999</v>
      </c>
      <c r="W161" s="389">
        <v>0.80700000000000005</v>
      </c>
      <c r="X161" s="389">
        <f>48.735+5.942+0.31</f>
        <v>54.987000000000002</v>
      </c>
      <c r="Y161" s="638">
        <f>45.993+5.183+0.309</f>
        <v>51.484999999999999</v>
      </c>
      <c r="Z161" s="389">
        <f>46.678+4.716+0.262</f>
        <v>51.655999999999999</v>
      </c>
      <c r="AA161" s="389">
        <f>58.814+5.772+0.44</f>
        <v>65.025999999999996</v>
      </c>
      <c r="AB161" s="389">
        <f>59.69+5.235+0.306</f>
        <v>65.230999999999995</v>
      </c>
      <c r="AC161" s="1667">
        <f>59.635+4.615+2.488</f>
        <v>66.738</v>
      </c>
      <c r="AD161" s="389">
        <f>61.704+59.271+3.996+2.814</f>
        <v>127.785</v>
      </c>
      <c r="AE161" s="389">
        <f>2.356+4.541+53.621+55.808</f>
        <v>116.32599999999999</v>
      </c>
      <c r="AF161" s="389">
        <f>38.612+67.307+16.483+5.786</f>
        <v>128.18800000000002</v>
      </c>
      <c r="AG161" s="1423">
        <f>3.644+16.495+172.16+44.187</f>
        <v>236.48599999999999</v>
      </c>
      <c r="AH161" s="1731">
        <f>173.296+4.56+42.458</f>
        <v>220.31399999999999</v>
      </c>
      <c r="AI161" s="435">
        <f>173.996+41.068+6.913</f>
        <v>221.97700000000003</v>
      </c>
      <c r="AJ161" s="2602">
        <v>215.19199999999998</v>
      </c>
      <c r="AK161" s="2600">
        <v>223.54499999999999</v>
      </c>
      <c r="AL161" s="2602">
        <v>219.24899999999997</v>
      </c>
      <c r="AM161" s="2602">
        <v>219.947</v>
      </c>
      <c r="AN161" s="2602">
        <v>214.26999999999998</v>
      </c>
      <c r="AO161" s="2600">
        <v>243.92600000000002</v>
      </c>
      <c r="AP161" s="2602">
        <v>264.99099999999999</v>
      </c>
      <c r="AQ161" s="2602">
        <v>128.733</v>
      </c>
      <c r="AR161" s="2602">
        <v>181.21799999999999</v>
      </c>
      <c r="AS161" s="501">
        <f t="shared" ref="AS161:BD161" si="333">AR161-AS221-AS222-AS223-AS224-AS225</f>
        <v>181.21799999999999</v>
      </c>
      <c r="AT161" s="439">
        <f t="shared" si="333"/>
        <v>181.21799999999999</v>
      </c>
      <c r="AU161" s="439">
        <f t="shared" si="333"/>
        <v>181.21799999999999</v>
      </c>
      <c r="AV161" s="580">
        <f t="shared" si="333"/>
        <v>181.21799999999999</v>
      </c>
      <c r="AW161" s="501">
        <f t="shared" si="333"/>
        <v>181.21799999999999</v>
      </c>
      <c r="AX161" s="439">
        <f t="shared" si="333"/>
        <v>181.21799999999999</v>
      </c>
      <c r="AY161" s="439">
        <f t="shared" si="333"/>
        <v>181.21799999999999</v>
      </c>
      <c r="AZ161" s="580">
        <f t="shared" si="333"/>
        <v>181.21799999999999</v>
      </c>
      <c r="BA161" s="501">
        <f t="shared" si="333"/>
        <v>181.21799999999999</v>
      </c>
      <c r="BB161" s="439">
        <f t="shared" si="333"/>
        <v>181.21799999999999</v>
      </c>
      <c r="BC161" s="439">
        <f t="shared" si="333"/>
        <v>181.21799999999999</v>
      </c>
      <c r="BD161" s="580">
        <f t="shared" si="333"/>
        <v>181.21799999999999</v>
      </c>
      <c r="BF161" s="36"/>
      <c r="BG161" s="595"/>
      <c r="BH161" s="67"/>
      <c r="BI161" s="67"/>
      <c r="BJ161" s="67">
        <v>0.216</v>
      </c>
      <c r="BK161" s="67">
        <f>P161</f>
        <v>0.36399999999999999</v>
      </c>
      <c r="BL161" s="67">
        <f>T161</f>
        <v>1.849</v>
      </c>
      <c r="BM161" s="67">
        <f>X161</f>
        <v>54.987000000000002</v>
      </c>
      <c r="BN161" s="409">
        <f>AB161</f>
        <v>65.230999999999995</v>
      </c>
      <c r="BO161" s="409">
        <f>AF161</f>
        <v>128.18800000000002</v>
      </c>
      <c r="BP161" s="409">
        <f>AJ161</f>
        <v>215.19199999999998</v>
      </c>
      <c r="BQ161" s="110">
        <f>+AN161</f>
        <v>214.26999999999998</v>
      </c>
      <c r="BR161" s="110">
        <f>AR161</f>
        <v>181.21799999999999</v>
      </c>
      <c r="BS161" s="110">
        <f>AV161</f>
        <v>181.21799999999999</v>
      </c>
      <c r="BT161" s="110">
        <f>AZ161</f>
        <v>181.21799999999999</v>
      </c>
      <c r="BU161" s="110">
        <f>BD161</f>
        <v>181.21799999999999</v>
      </c>
      <c r="BV161" s="439">
        <f>BU161-BV221-BV222-BV223-BV224-BV225</f>
        <v>181.21799999999999</v>
      </c>
      <c r="BW161" s="439">
        <f>BV161-BW221-BW222-BW223-BW224-BW225</f>
        <v>181.21799999999999</v>
      </c>
      <c r="BX161" s="439">
        <f>BW161-BX221-BX222-BX223-BX224-BX225</f>
        <v>181.21799999999999</v>
      </c>
      <c r="BY161" s="439">
        <f>BX161-BY221-BY222-BY223-BY224-BY225</f>
        <v>181.21799999999999</v>
      </c>
      <c r="BZ161" s="461">
        <f>BY161-BZ221-BZ222-BZ223-BZ224-BZ225</f>
        <v>181.21799999999999</v>
      </c>
      <c r="CA161" s="54"/>
      <c r="CB161" s="54"/>
      <c r="CC161" s="54"/>
      <c r="CD161" s="54"/>
      <c r="CE161" s="54"/>
      <c r="CF161" s="54"/>
      <c r="CG161" s="1772"/>
      <c r="CH161" s="1772"/>
      <c r="CI161" s="1772"/>
      <c r="CJ161" s="54"/>
      <c r="CK161" s="54"/>
      <c r="CL161" s="54"/>
      <c r="CM161" s="36"/>
      <c r="CN161" s="36"/>
      <c r="CO161" s="36"/>
      <c r="CP161" s="36"/>
      <c r="CQ161" s="36"/>
      <c r="CR161" s="36"/>
    </row>
    <row r="162" spans="1:96" ht="11.25" customHeight="1">
      <c r="A162" s="36"/>
      <c r="H162" s="36"/>
      <c r="I162" s="444" t="s">
        <v>85</v>
      </c>
      <c r="J162" s="50"/>
      <c r="K162" s="50"/>
      <c r="L162" s="50"/>
      <c r="M162" s="402"/>
      <c r="N162" s="402"/>
      <c r="O162" s="402">
        <f t="shared" ref="O162:BD162" si="334">+SUM(O157:O161)</f>
        <v>29.465999999999998</v>
      </c>
      <c r="P162" s="402">
        <f t="shared" si="334"/>
        <v>41.015000000000001</v>
      </c>
      <c r="Q162" s="402">
        <f t="shared" si="334"/>
        <v>26.765000000000001</v>
      </c>
      <c r="R162" s="402">
        <f t="shared" si="334"/>
        <v>25.143000000000001</v>
      </c>
      <c r="S162" s="402">
        <f t="shared" si="334"/>
        <v>42.155000000000008</v>
      </c>
      <c r="T162" s="402">
        <f t="shared" si="334"/>
        <v>43.820999999999998</v>
      </c>
      <c r="U162" s="402">
        <f t="shared" si="334"/>
        <v>153.08700000000002</v>
      </c>
      <c r="V162" s="402">
        <f t="shared" si="334"/>
        <v>153.84800000000001</v>
      </c>
      <c r="W162" s="402">
        <f t="shared" si="334"/>
        <v>156.53199999999998</v>
      </c>
      <c r="X162" s="402">
        <f t="shared" si="334"/>
        <v>187.696</v>
      </c>
      <c r="Y162" s="662">
        <f t="shared" si="334"/>
        <v>187.29399999999998</v>
      </c>
      <c r="Z162" s="402">
        <f t="shared" si="334"/>
        <v>197.542</v>
      </c>
      <c r="AA162" s="402">
        <f t="shared" si="334"/>
        <v>224.32999999999998</v>
      </c>
      <c r="AB162" s="402">
        <f t="shared" si="334"/>
        <v>515.97799999999995</v>
      </c>
      <c r="AC162" s="896">
        <f t="shared" si="334"/>
        <v>533.47399999999993</v>
      </c>
      <c r="AD162" s="402">
        <f t="shared" si="334"/>
        <v>553.15599999999995</v>
      </c>
      <c r="AE162" s="402">
        <f t="shared" si="334"/>
        <v>577.399</v>
      </c>
      <c r="AF162" s="74">
        <f t="shared" si="334"/>
        <v>629.65000000000009</v>
      </c>
      <c r="AG162" s="511">
        <f t="shared" si="334"/>
        <v>715.88599999999997</v>
      </c>
      <c r="AH162" s="74">
        <f t="shared" si="334"/>
        <v>741.38700000000006</v>
      </c>
      <c r="AI162" s="74">
        <f t="shared" si="334"/>
        <v>764.4050000000002</v>
      </c>
      <c r="AJ162" s="74">
        <f t="shared" si="334"/>
        <v>755.42700000000013</v>
      </c>
      <c r="AK162" s="511">
        <f t="shared" si="334"/>
        <v>772.9670000000001</v>
      </c>
      <c r="AL162" s="74">
        <f t="shared" si="334"/>
        <v>799.798</v>
      </c>
      <c r="AM162" s="74">
        <f t="shared" si="334"/>
        <v>845.58800000000008</v>
      </c>
      <c r="AN162" s="74">
        <f t="shared" si="334"/>
        <v>885.20600000000013</v>
      </c>
      <c r="AO162" s="511">
        <f>+SUM(AO157:AO161)</f>
        <v>922.17100000000016</v>
      </c>
      <c r="AP162" s="74">
        <f>+SUM(AP157:AP161)</f>
        <v>970.11500000000001</v>
      </c>
      <c r="AQ162" s="74">
        <f>+SUM(AQ157:AQ161)</f>
        <v>1027.1150000000002</v>
      </c>
      <c r="AR162" s="74">
        <f t="shared" ref="AR162" si="335">+SUM(AR157:AR161)</f>
        <v>1216.5120000000002</v>
      </c>
      <c r="AS162" s="511">
        <f t="shared" si="334"/>
        <v>1212.3685763893022</v>
      </c>
      <c r="AT162" s="74">
        <f t="shared" si="334"/>
        <v>1237.8108225726235</v>
      </c>
      <c r="AU162" s="74">
        <f t="shared" si="334"/>
        <v>1310.4920445440086</v>
      </c>
      <c r="AV162" s="563">
        <f t="shared" si="334"/>
        <v>1360.1418350927654</v>
      </c>
      <c r="AW162" s="511">
        <f t="shared" si="334"/>
        <v>1392.5036669227495</v>
      </c>
      <c r="AX162" s="74">
        <f t="shared" si="334"/>
        <v>1432.2518702805266</v>
      </c>
      <c r="AY162" s="74">
        <f t="shared" si="334"/>
        <v>1486.1872970723728</v>
      </c>
      <c r="AZ162" s="563">
        <f t="shared" si="334"/>
        <v>1547.2551837644608</v>
      </c>
      <c r="BA162" s="511">
        <f t="shared" si="334"/>
        <v>1587.9830212493196</v>
      </c>
      <c r="BB162" s="74">
        <f t="shared" si="334"/>
        <v>1635.0629522744509</v>
      </c>
      <c r="BC162" s="74">
        <f t="shared" si="334"/>
        <v>1697.2180931428497</v>
      </c>
      <c r="BD162" s="563">
        <f t="shared" si="334"/>
        <v>1767.470592782465</v>
      </c>
      <c r="BF162" s="36"/>
      <c r="BG162" s="598"/>
      <c r="BH162" s="331"/>
      <c r="BI162" s="331"/>
      <c r="BJ162" s="331">
        <f t="shared" ref="BJ162:BZ162" si="336">+SUM(BJ157:BJ161)</f>
        <v>20.817000000000004</v>
      </c>
      <c r="BK162" s="331">
        <f t="shared" si="336"/>
        <v>41.015000000000001</v>
      </c>
      <c r="BL162" s="76">
        <f t="shared" si="336"/>
        <v>43.820999999999998</v>
      </c>
      <c r="BM162" s="74">
        <f t="shared" si="336"/>
        <v>187.696</v>
      </c>
      <c r="BN162" s="74">
        <f t="shared" si="336"/>
        <v>515.97799999999995</v>
      </c>
      <c r="BO162" s="74">
        <f t="shared" si="336"/>
        <v>629.65000000000009</v>
      </c>
      <c r="BP162" s="74">
        <f t="shared" si="336"/>
        <v>755.42700000000013</v>
      </c>
      <c r="BQ162" s="74">
        <f t="shared" si="336"/>
        <v>885.20600000000013</v>
      </c>
      <c r="BR162" s="74">
        <f t="shared" si="336"/>
        <v>1216.5120000000002</v>
      </c>
      <c r="BS162" s="74">
        <f t="shared" si="336"/>
        <v>1360.1418350927654</v>
      </c>
      <c r="BT162" s="74">
        <f t="shared" si="336"/>
        <v>1547.2551837644608</v>
      </c>
      <c r="BU162" s="74">
        <f t="shared" si="336"/>
        <v>1767.470592782465</v>
      </c>
      <c r="BV162" s="74">
        <f t="shared" si="336"/>
        <v>2020.9895330612594</v>
      </c>
      <c r="BW162" s="74">
        <f t="shared" si="336"/>
        <v>2311.4110786916413</v>
      </c>
      <c r="BX162" s="74">
        <f t="shared" si="336"/>
        <v>2640.2020686486512</v>
      </c>
      <c r="BY162" s="74">
        <f t="shared" si="336"/>
        <v>3008.836117479992</v>
      </c>
      <c r="BZ162" s="481">
        <f t="shared" si="336"/>
        <v>3419.523993449644</v>
      </c>
      <c r="CA162" s="54"/>
      <c r="CB162" s="54"/>
      <c r="CC162" s="54"/>
      <c r="CD162" s="54"/>
      <c r="CE162" s="54"/>
      <c r="CF162" s="54"/>
      <c r="CG162" s="1772"/>
      <c r="CH162" s="1772"/>
      <c r="CI162" s="1772"/>
      <c r="CJ162" s="54"/>
      <c r="CK162" s="54"/>
      <c r="CL162" s="54"/>
      <c r="CM162" s="36"/>
      <c r="CN162" s="36"/>
      <c r="CO162" s="36"/>
      <c r="CP162" s="36"/>
      <c r="CQ162" s="36"/>
      <c r="CR162" s="36"/>
    </row>
    <row r="163" spans="1:96" ht="11.25" customHeight="1">
      <c r="A163" s="36"/>
      <c r="H163" s="36"/>
      <c r="I163" s="448"/>
      <c r="J163" s="5"/>
      <c r="K163" s="5"/>
      <c r="L163" s="5"/>
      <c r="M163" s="67"/>
      <c r="N163" s="67"/>
      <c r="O163" s="67"/>
      <c r="P163" s="67"/>
      <c r="Q163" s="67"/>
      <c r="R163" s="67"/>
      <c r="S163" s="67"/>
      <c r="T163" s="67"/>
      <c r="U163" s="67"/>
      <c r="V163" s="67"/>
      <c r="W163" s="67"/>
      <c r="X163" s="67"/>
      <c r="Y163" s="641"/>
      <c r="Z163" s="110"/>
      <c r="AA163" s="110"/>
      <c r="AB163" s="110"/>
      <c r="AC163" s="505"/>
      <c r="AD163" s="110"/>
      <c r="AE163" s="110"/>
      <c r="AF163" s="110"/>
      <c r="AG163" s="505"/>
      <c r="AH163" s="110"/>
      <c r="AI163" s="110"/>
      <c r="AJ163" s="110"/>
      <c r="AK163" s="505"/>
      <c r="AL163" s="110"/>
      <c r="AM163" s="110"/>
      <c r="AN163" s="541"/>
      <c r="AO163" s="505"/>
      <c r="AP163" s="110"/>
      <c r="AQ163" s="110"/>
      <c r="AR163" s="541"/>
      <c r="AS163" s="505"/>
      <c r="AT163" s="110"/>
      <c r="AU163" s="110"/>
      <c r="AV163" s="541"/>
      <c r="AW163" s="505"/>
      <c r="AX163" s="110"/>
      <c r="AY163" s="110"/>
      <c r="AZ163" s="541"/>
      <c r="BA163" s="505"/>
      <c r="BB163" s="110"/>
      <c r="BC163" s="110"/>
      <c r="BD163" s="541"/>
      <c r="BF163" s="36"/>
      <c r="BG163" s="595"/>
      <c r="BH163" s="67"/>
      <c r="BI163" s="67"/>
      <c r="BJ163" s="67"/>
      <c r="BK163" s="67"/>
      <c r="BL163" s="67"/>
      <c r="BM163" s="67"/>
      <c r="BN163" s="409"/>
      <c r="BO163" s="409"/>
      <c r="BP163" s="409"/>
      <c r="BQ163" s="110"/>
      <c r="BR163" s="110"/>
      <c r="BS163" s="110"/>
      <c r="BT163" s="110"/>
      <c r="BU163" s="110"/>
      <c r="BV163" s="110"/>
      <c r="BW163" s="110"/>
      <c r="BX163" s="110"/>
      <c r="BY163" s="110"/>
      <c r="BZ163" s="469"/>
      <c r="CA163" s="54"/>
      <c r="CB163" s="54"/>
      <c r="CC163" s="54"/>
      <c r="CD163" s="54"/>
      <c r="CE163" s="54"/>
      <c r="CF163" s="54"/>
      <c r="CG163" s="1772"/>
      <c r="CH163" s="1772"/>
      <c r="CI163" s="1772"/>
      <c r="CJ163" s="54"/>
      <c r="CK163" s="54"/>
      <c r="CL163" s="54"/>
      <c r="CM163" s="36"/>
      <c r="CN163" s="36"/>
      <c r="CO163" s="36"/>
      <c r="CP163" s="36"/>
      <c r="CQ163" s="36"/>
      <c r="CR163" s="36"/>
    </row>
    <row r="164" spans="1:96" ht="11.25" customHeight="1">
      <c r="A164" s="36"/>
      <c r="H164" s="36"/>
      <c r="I164" s="535" t="s">
        <v>364</v>
      </c>
      <c r="J164" s="536"/>
      <c r="K164" s="536"/>
      <c r="L164" s="536"/>
      <c r="M164" s="536"/>
      <c r="N164" s="537"/>
      <c r="O164" s="538"/>
      <c r="P164" s="538"/>
      <c r="Q164" s="536"/>
      <c r="R164" s="537"/>
      <c r="S164" s="537"/>
      <c r="T164" s="537"/>
      <c r="U164" s="539"/>
      <c r="V164" s="537"/>
      <c r="W164" s="537"/>
      <c r="X164" s="537"/>
      <c r="Y164" s="535"/>
      <c r="Z164" s="537"/>
      <c r="AA164" s="537"/>
      <c r="AB164" s="537"/>
      <c r="AC164" s="650"/>
      <c r="AD164" s="537"/>
      <c r="AE164" s="537"/>
      <c r="AF164" s="537"/>
      <c r="AG164" s="623"/>
      <c r="AH164" s="537"/>
      <c r="AI164" s="537"/>
      <c r="AJ164" s="537"/>
      <c r="AK164" s="623"/>
      <c r="AL164" s="537"/>
      <c r="AM164" s="537"/>
      <c r="AN164" s="540"/>
      <c r="AO164" s="623"/>
      <c r="AP164" s="537"/>
      <c r="AQ164" s="537"/>
      <c r="AR164" s="540"/>
      <c r="AS164" s="623"/>
      <c r="AT164" s="537"/>
      <c r="AU164" s="537"/>
      <c r="AV164" s="540"/>
      <c r="AW164" s="623"/>
      <c r="AX164" s="537"/>
      <c r="AY164" s="537"/>
      <c r="AZ164" s="540"/>
      <c r="BA164" s="623"/>
      <c r="BB164" s="537"/>
      <c r="BC164" s="537"/>
      <c r="BD164" s="540"/>
      <c r="BF164" s="528"/>
      <c r="BG164" s="593"/>
      <c r="BH164" s="537"/>
      <c r="BI164" s="538"/>
      <c r="BJ164" s="538"/>
      <c r="BK164" s="538"/>
      <c r="BL164" s="538"/>
      <c r="BM164" s="538"/>
      <c r="BN164" s="538"/>
      <c r="BO164" s="538"/>
      <c r="BP164" s="538"/>
      <c r="BQ164" s="537"/>
      <c r="BR164" s="537"/>
      <c r="BS164" s="537"/>
      <c r="BT164" s="537"/>
      <c r="BU164" s="537"/>
      <c r="BV164" s="537"/>
      <c r="BW164" s="537"/>
      <c r="BX164" s="537"/>
      <c r="BY164" s="537"/>
      <c r="BZ164" s="610"/>
      <c r="CA164" s="54"/>
      <c r="CB164" s="54"/>
      <c r="CC164" s="54"/>
      <c r="CD164" s="54"/>
      <c r="CE164" s="54"/>
      <c r="CF164" s="54"/>
      <c r="CG164" s="1772"/>
      <c r="CH164" s="1772"/>
      <c r="CI164" s="1772"/>
      <c r="CJ164" s="54"/>
      <c r="CK164" s="54"/>
      <c r="CL164" s="54"/>
      <c r="CM164" s="36"/>
      <c r="CN164" s="36"/>
      <c r="CO164" s="36"/>
      <c r="CP164" s="36"/>
      <c r="CQ164" s="36"/>
      <c r="CR164" s="36"/>
    </row>
    <row r="165" spans="1:96" s="396" customFormat="1" ht="11.25" customHeight="1">
      <c r="A165" s="42"/>
      <c r="B165"/>
      <c r="C165"/>
      <c r="D165"/>
      <c r="E165"/>
      <c r="F165"/>
      <c r="G165"/>
      <c r="H165" s="42"/>
      <c r="I165" s="566"/>
      <c r="J165" s="413"/>
      <c r="K165" s="413"/>
      <c r="L165" s="413"/>
      <c r="M165" s="413"/>
      <c r="N165" s="83"/>
      <c r="O165" s="320"/>
      <c r="P165" s="320"/>
      <c r="Q165" s="413"/>
      <c r="R165" s="83"/>
      <c r="S165" s="83"/>
      <c r="T165" s="83"/>
      <c r="U165" s="567"/>
      <c r="V165" s="83"/>
      <c r="W165" s="83"/>
      <c r="X165" s="83"/>
      <c r="Y165" s="566"/>
      <c r="Z165" s="83"/>
      <c r="AA165" s="83"/>
      <c r="AB165" s="83"/>
      <c r="AC165" s="482"/>
      <c r="AD165" s="83"/>
      <c r="AE165" s="83"/>
      <c r="AF165" s="83"/>
      <c r="AG165" s="656"/>
      <c r="AH165" s="83"/>
      <c r="AI165" s="83"/>
      <c r="AJ165" s="83"/>
      <c r="AK165" s="656"/>
      <c r="AL165" s="83"/>
      <c r="AM165" s="83"/>
      <c r="AN165" s="568"/>
      <c r="AO165" s="656"/>
      <c r="AP165" s="83"/>
      <c r="AQ165" s="83"/>
      <c r="AR165" s="568"/>
      <c r="AS165" s="656"/>
      <c r="AT165" s="83"/>
      <c r="AU165" s="83"/>
      <c r="AV165" s="568"/>
      <c r="AW165" s="656"/>
      <c r="AX165" s="83"/>
      <c r="AY165" s="83"/>
      <c r="AZ165" s="568"/>
      <c r="BA165" s="656"/>
      <c r="BB165" s="83"/>
      <c r="BC165" s="83"/>
      <c r="BD165" s="568"/>
      <c r="BE165"/>
      <c r="BF165" s="42"/>
      <c r="BG165" s="594"/>
      <c r="BH165" s="83"/>
      <c r="BI165" s="320"/>
      <c r="BJ165" s="320"/>
      <c r="BK165" s="320"/>
      <c r="BL165" s="320"/>
      <c r="BM165" s="320"/>
      <c r="BN165" s="320"/>
      <c r="BO165" s="320"/>
      <c r="BP165" s="320"/>
      <c r="BQ165" s="83"/>
      <c r="BR165" s="83"/>
      <c r="BS165" s="83"/>
      <c r="BT165" s="83"/>
      <c r="BU165" s="83"/>
      <c r="BV165" s="83"/>
      <c r="BW165" s="83"/>
      <c r="BX165" s="83"/>
      <c r="BY165" s="83"/>
      <c r="BZ165" s="883"/>
      <c r="CA165" s="83"/>
      <c r="CB165" s="83"/>
      <c r="CC165" s="83"/>
      <c r="CD165" s="83"/>
      <c r="CE165" s="83"/>
      <c r="CF165" s="83"/>
      <c r="CG165" s="1769"/>
      <c r="CH165" s="1769"/>
      <c r="CI165" s="1769"/>
      <c r="CJ165" s="83"/>
      <c r="CK165" s="83"/>
      <c r="CL165" s="83"/>
      <c r="CM165" s="42"/>
      <c r="CN165" s="42"/>
      <c r="CO165" s="42"/>
      <c r="CP165" s="42"/>
      <c r="CQ165" s="42"/>
      <c r="CR165" s="42"/>
    </row>
    <row r="166" spans="1:96" ht="11.25" customHeight="1">
      <c r="A166" s="36"/>
      <c r="H166" s="36"/>
      <c r="I166" s="448" t="s">
        <v>101</v>
      </c>
      <c r="J166" s="5"/>
      <c r="K166" s="5"/>
      <c r="L166" s="5"/>
      <c r="M166" s="67"/>
      <c r="N166" s="67"/>
      <c r="O166" s="67"/>
      <c r="P166" s="67">
        <v>0.82199999999999995</v>
      </c>
      <c r="Q166" s="67"/>
      <c r="R166" s="67"/>
      <c r="S166" s="389">
        <v>1.5609999999999999</v>
      </c>
      <c r="T166" s="389">
        <v>2.9729999999999999</v>
      </c>
      <c r="U166" s="389">
        <v>3.4409999999999998</v>
      </c>
      <c r="V166" s="389">
        <v>2.698</v>
      </c>
      <c r="W166" s="389">
        <v>2.2210000000000001</v>
      </c>
      <c r="X166" s="389">
        <v>2.2839999999999998</v>
      </c>
      <c r="Y166" s="638">
        <v>3.02</v>
      </c>
      <c r="Z166" s="389">
        <v>1.929</v>
      </c>
      <c r="AA166" s="389">
        <v>2.839</v>
      </c>
      <c r="AB166" s="389">
        <v>3.3639999999999999</v>
      </c>
      <c r="AC166" s="1667">
        <v>1.5780000000000001</v>
      </c>
      <c r="AD166" s="389">
        <v>1.68</v>
      </c>
      <c r="AE166" s="389">
        <v>2.226</v>
      </c>
      <c r="AF166" s="389">
        <v>1.3979999999999999</v>
      </c>
      <c r="AG166" s="1423">
        <v>1.8360000000000001</v>
      </c>
      <c r="AH166" s="1731">
        <v>1.706</v>
      </c>
      <c r="AI166" s="435">
        <v>3.3050000000000002</v>
      </c>
      <c r="AJ166" s="2602">
        <v>3.3879999999999999</v>
      </c>
      <c r="AK166" s="2600">
        <v>3.2</v>
      </c>
      <c r="AL166" s="2602">
        <v>1.325</v>
      </c>
      <c r="AM166" s="2602">
        <v>1.0049999999999999</v>
      </c>
      <c r="AN166" s="2602">
        <v>2.0030000000000001</v>
      </c>
      <c r="AO166" s="2600">
        <v>22.795000000000002</v>
      </c>
      <c r="AP166" s="2602">
        <v>20.393000000000001</v>
      </c>
      <c r="AQ166" s="2602">
        <v>3.1470000000000002</v>
      </c>
      <c r="AR166" s="2602">
        <v>9.0329999999999995</v>
      </c>
      <c r="AS166" s="501">
        <f t="shared" ref="AS166:BD166" si="337">(AS28*4)/365.25*AS188</f>
        <v>3.7495111085660251</v>
      </c>
      <c r="AT166" s="439">
        <f t="shared" si="337"/>
        <v>1.6263154030141616</v>
      </c>
      <c r="AU166" s="439">
        <f t="shared" si="337"/>
        <v>3.3490800194954065</v>
      </c>
      <c r="AV166" s="580">
        <f t="shared" si="337"/>
        <v>10.319740237651766</v>
      </c>
      <c r="AW166" s="501">
        <f t="shared" si="337"/>
        <v>4.3845340383735767</v>
      </c>
      <c r="AX166" s="439">
        <f t="shared" si="337"/>
        <v>1.9119999478207466</v>
      </c>
      <c r="AY166" s="439">
        <f t="shared" si="337"/>
        <v>3.8321276793252759</v>
      </c>
      <c r="AZ166" s="580">
        <f t="shared" si="337"/>
        <v>11.489106517532404</v>
      </c>
      <c r="BA166" s="501">
        <f t="shared" si="337"/>
        <v>4.9183692310621581</v>
      </c>
      <c r="BB166" s="439">
        <f t="shared" si="337"/>
        <v>2.1738076472185037</v>
      </c>
      <c r="BC166" s="439">
        <f t="shared" si="337"/>
        <v>4.2635548999911856</v>
      </c>
      <c r="BD166" s="580">
        <f t="shared" si="337"/>
        <v>12.52644906767374</v>
      </c>
      <c r="BF166" s="36"/>
      <c r="BG166" s="599">
        <v>0</v>
      </c>
      <c r="BH166" s="573">
        <v>0</v>
      </c>
      <c r="BI166" s="573">
        <v>0</v>
      </c>
      <c r="BJ166" s="67">
        <v>0.27800000000000002</v>
      </c>
      <c r="BK166" s="67">
        <f>P166</f>
        <v>0.82199999999999995</v>
      </c>
      <c r="BL166" s="67">
        <f>T166</f>
        <v>2.9729999999999999</v>
      </c>
      <c r="BM166" s="67">
        <f>X166</f>
        <v>2.2839999999999998</v>
      </c>
      <c r="BN166" s="409">
        <f>AB166</f>
        <v>3.3639999999999999</v>
      </c>
      <c r="BO166" s="409">
        <f>AF166</f>
        <v>1.3979999999999999</v>
      </c>
      <c r="BP166" s="409">
        <f>AJ166</f>
        <v>3.3879999999999999</v>
      </c>
      <c r="BQ166" s="110">
        <f>+AN166</f>
        <v>2.0030000000000001</v>
      </c>
      <c r="BR166" s="110">
        <f>AR166</f>
        <v>9.0329999999999995</v>
      </c>
      <c r="BS166" s="110">
        <f>AV166</f>
        <v>10.319740237651766</v>
      </c>
      <c r="BT166" s="110">
        <f>AZ166</f>
        <v>11.489106517532404</v>
      </c>
      <c r="BU166" s="110">
        <f>BD166</f>
        <v>12.52644906767374</v>
      </c>
      <c r="BV166" s="439">
        <f>(BV28/365.25)*BV188</f>
        <v>13.721532680275132</v>
      </c>
      <c r="BW166" s="439">
        <f>(BW28/365.25)*BW188</f>
        <v>14.835816920726387</v>
      </c>
      <c r="BX166" s="439">
        <f>(BX28/365.25)*BX188</f>
        <v>15.857767666699768</v>
      </c>
      <c r="BY166" s="439">
        <f>(BY28/365.25)*BY188</f>
        <v>17.053679641550215</v>
      </c>
      <c r="BZ166" s="461">
        <f>(BZ28/365.25)*BZ188</f>
        <v>18.209203423236865</v>
      </c>
      <c r="CA166" s="54"/>
      <c r="CB166" s="54"/>
      <c r="CC166" s="54"/>
      <c r="CD166" s="54"/>
      <c r="CE166" s="54"/>
      <c r="CF166" s="54"/>
      <c r="CG166" s="1772"/>
      <c r="CH166" s="1772"/>
      <c r="CI166" s="1772"/>
      <c r="CJ166" s="54"/>
      <c r="CK166" s="54"/>
      <c r="CL166" s="54"/>
      <c r="CM166" s="36"/>
      <c r="CN166" s="36"/>
      <c r="CO166" s="36"/>
      <c r="CP166" s="36"/>
      <c r="CQ166" s="36"/>
      <c r="CR166" s="36"/>
    </row>
    <row r="167" spans="1:96" ht="11.25" customHeight="1">
      <c r="A167" s="36"/>
      <c r="H167" s="36"/>
      <c r="I167" s="448" t="s">
        <v>40</v>
      </c>
      <c r="J167" s="5"/>
      <c r="K167" s="5"/>
      <c r="L167" s="5"/>
      <c r="M167" s="67"/>
      <c r="N167" s="67"/>
      <c r="O167" s="67"/>
      <c r="P167" s="67">
        <v>4.3929999999999998</v>
      </c>
      <c r="Q167" s="67"/>
      <c r="R167" s="67"/>
      <c r="S167" s="389">
        <v>7.2380000000000004</v>
      </c>
      <c r="T167" s="389">
        <v>7.6849999999999996</v>
      </c>
      <c r="U167" s="389">
        <v>8.0299999999999994</v>
      </c>
      <c r="V167" s="389">
        <v>9.1940000000000008</v>
      </c>
      <c r="W167" s="389">
        <v>10.11</v>
      </c>
      <c r="X167" s="389">
        <v>16.367000000000001</v>
      </c>
      <c r="Y167" s="638">
        <v>15.153</v>
      </c>
      <c r="Z167" s="389">
        <v>17.689</v>
      </c>
      <c r="AA167" s="389">
        <v>22.04</v>
      </c>
      <c r="AB167" s="389">
        <v>22.728000000000002</v>
      </c>
      <c r="AC167" s="1667">
        <v>23.992000000000001</v>
      </c>
      <c r="AD167" s="389">
        <v>21.620999999999999</v>
      </c>
      <c r="AE167" s="389">
        <v>27.414999999999999</v>
      </c>
      <c r="AF167" s="389">
        <v>29.581</v>
      </c>
      <c r="AG167" s="1423">
        <v>41.887999999999998</v>
      </c>
      <c r="AH167" s="1731">
        <v>37.716000000000001</v>
      </c>
      <c r="AI167" s="435">
        <v>49.246000000000002</v>
      </c>
      <c r="AJ167" s="2602">
        <v>43.457999999999998</v>
      </c>
      <c r="AK167" s="2600">
        <v>52.764000000000003</v>
      </c>
      <c r="AL167" s="2602">
        <v>51.563000000000002</v>
      </c>
      <c r="AM167" s="2602">
        <v>59.33</v>
      </c>
      <c r="AN167" s="2602">
        <v>55.082000000000001</v>
      </c>
      <c r="AO167" s="2600">
        <v>45.970999999999997</v>
      </c>
      <c r="AP167" s="2602">
        <v>40.936</v>
      </c>
      <c r="AQ167" s="2602">
        <v>48.32</v>
      </c>
      <c r="AR167" s="2602">
        <v>73.665000000000006</v>
      </c>
      <c r="AS167" s="501">
        <f t="shared" ref="AS167:BD167" si="338">(AS$39*4)*AS190</f>
        <v>51.411119202141755</v>
      </c>
      <c r="AT167" s="439">
        <f t="shared" si="338"/>
        <v>45.422055797944139</v>
      </c>
      <c r="AU167" s="439">
        <f t="shared" si="338"/>
        <v>53.673332424507883</v>
      </c>
      <c r="AV167" s="580">
        <f t="shared" si="338"/>
        <v>85.062454430664829</v>
      </c>
      <c r="AW167" s="501">
        <f t="shared" si="338"/>
        <v>74.025159868436361</v>
      </c>
      <c r="AX167" s="439">
        <f t="shared" si="338"/>
        <v>79.250209019232031</v>
      </c>
      <c r="AY167" s="439">
        <f t="shared" si="338"/>
        <v>80.833508229317616</v>
      </c>
      <c r="AZ167" s="580">
        <f t="shared" si="338"/>
        <v>85.251260078676964</v>
      </c>
      <c r="BA167" s="501">
        <f t="shared" si="338"/>
        <v>90.144659902598178</v>
      </c>
      <c r="BB167" s="439">
        <f t="shared" si="338"/>
        <v>87.693058543605574</v>
      </c>
      <c r="BC167" s="439">
        <f t="shared" si="338"/>
        <v>92.81782891842613</v>
      </c>
      <c r="BD167" s="580">
        <f t="shared" si="338"/>
        <v>95.284423026703465</v>
      </c>
      <c r="BF167" s="36"/>
      <c r="BG167" s="596"/>
      <c r="BH167" s="249"/>
      <c r="BI167" s="249"/>
      <c r="BJ167" s="67">
        <v>1.9339999999999999</v>
      </c>
      <c r="BK167" s="67">
        <f>P167</f>
        <v>4.3929999999999998</v>
      </c>
      <c r="BL167" s="67">
        <f>T167</f>
        <v>7.6849999999999996</v>
      </c>
      <c r="BM167" s="67">
        <f>X167</f>
        <v>16.367000000000001</v>
      </c>
      <c r="BN167" s="409">
        <f>AB167</f>
        <v>22.728000000000002</v>
      </c>
      <c r="BO167" s="409">
        <f>AF167</f>
        <v>29.581</v>
      </c>
      <c r="BP167" s="409">
        <f>AJ167</f>
        <v>43.457999999999998</v>
      </c>
      <c r="BQ167" s="110">
        <f>+AN167</f>
        <v>55.082000000000001</v>
      </c>
      <c r="BR167" s="110">
        <f>AR167</f>
        <v>73.665000000000006</v>
      </c>
      <c r="BS167" s="110">
        <f>AV167</f>
        <v>85.062454430664829</v>
      </c>
      <c r="BT167" s="110">
        <f>AZ167</f>
        <v>85.251260078676964</v>
      </c>
      <c r="BU167" s="110">
        <f>BD167</f>
        <v>95.284423026703465</v>
      </c>
      <c r="BV167" s="439">
        <f>BV$39*BV190</f>
        <v>103.55472096266469</v>
      </c>
      <c r="BW167" s="439">
        <f>BW$39*BW190</f>
        <v>111.12466988287825</v>
      </c>
      <c r="BX167" s="439">
        <f>BX$39*BX190</f>
        <v>118.17965629151267</v>
      </c>
      <c r="BY167" s="439">
        <f>BY$39*BY190</f>
        <v>124.51369518393626</v>
      </c>
      <c r="BZ167" s="461">
        <f>BZ$39*BZ190</f>
        <v>130.22977906246484</v>
      </c>
      <c r="CA167" s="54"/>
      <c r="CB167" s="54"/>
      <c r="CC167" s="54"/>
      <c r="CD167" s="54"/>
      <c r="CE167" s="54"/>
      <c r="CF167" s="54"/>
      <c r="CG167" s="1772"/>
      <c r="CH167" s="1772"/>
      <c r="CI167" s="1772"/>
      <c r="CJ167" s="54"/>
      <c r="CK167" s="54"/>
      <c r="CL167" s="54"/>
      <c r="CM167" s="36"/>
      <c r="CN167" s="36"/>
      <c r="CO167" s="36"/>
      <c r="CP167" s="36"/>
      <c r="CQ167" s="36"/>
      <c r="CR167" s="36"/>
    </row>
    <row r="168" spans="1:96" ht="11.25" customHeight="1">
      <c r="A168" s="36"/>
      <c r="H168" s="36"/>
      <c r="I168" s="448" t="s">
        <v>41</v>
      </c>
      <c r="J168" s="5"/>
      <c r="K168" s="5"/>
      <c r="L168" s="5"/>
      <c r="M168" s="67"/>
      <c r="N168" s="67"/>
      <c r="O168" s="67"/>
      <c r="P168" s="67">
        <v>1.4390000000000001</v>
      </c>
      <c r="Q168" s="67"/>
      <c r="R168" s="67"/>
      <c r="S168" s="389">
        <v>1.8280000000000001</v>
      </c>
      <c r="T168" s="389">
        <v>2.0720000000000001</v>
      </c>
      <c r="U168" s="389">
        <v>0.999</v>
      </c>
      <c r="V168" s="389">
        <v>1.276</v>
      </c>
      <c r="W168" s="389">
        <v>1.2430000000000001</v>
      </c>
      <c r="X168" s="389">
        <v>2.8559999999999999</v>
      </c>
      <c r="Y168" s="638">
        <v>3.0859999999999999</v>
      </c>
      <c r="Z168" s="389">
        <v>2.7389999999999999</v>
      </c>
      <c r="AA168" s="389">
        <v>2.2210000000000001</v>
      </c>
      <c r="AB168" s="389">
        <v>2.621</v>
      </c>
      <c r="AC168" s="1667">
        <v>2.1840000000000002</v>
      </c>
      <c r="AD168" s="389">
        <v>2.1859999999999999</v>
      </c>
      <c r="AE168" s="389">
        <v>2.145</v>
      </c>
      <c r="AF168" s="389">
        <v>2.9940000000000002</v>
      </c>
      <c r="AG168" s="1423">
        <v>3.657</v>
      </c>
      <c r="AH168" s="1731">
        <v>2.5459999999999998</v>
      </c>
      <c r="AI168" s="435">
        <v>2.5430000000000001</v>
      </c>
      <c r="AJ168" s="2602">
        <v>2.931</v>
      </c>
      <c r="AK168" s="2600">
        <v>2.9769999999999999</v>
      </c>
      <c r="AL168" s="2602">
        <v>3.3370000000000002</v>
      </c>
      <c r="AM168" s="2602">
        <v>3.2269999999999999</v>
      </c>
      <c r="AN168" s="2602">
        <v>3.3140000000000001</v>
      </c>
      <c r="AO168" s="2600">
        <v>3.5880000000000001</v>
      </c>
      <c r="AP168" s="2602">
        <v>3.8</v>
      </c>
      <c r="AQ168" s="2602">
        <v>28.837000000000003</v>
      </c>
      <c r="AR168" s="2602">
        <v>3.4689999999999999</v>
      </c>
      <c r="AS168" s="501">
        <f t="shared" ref="AS168:BD168" si="339">(AS$23*4)*AS191</f>
        <v>4.0221646741636805</v>
      </c>
      <c r="AT168" s="439">
        <f t="shared" si="339"/>
        <v>4.2100122567795308</v>
      </c>
      <c r="AU168" s="439">
        <f t="shared" si="339"/>
        <v>32.15925892616243</v>
      </c>
      <c r="AV168" s="580">
        <f t="shared" si="339"/>
        <v>4.123139026603007</v>
      </c>
      <c r="AW168" s="501">
        <f t="shared" si="339"/>
        <v>19.084140308189166</v>
      </c>
      <c r="AX168" s="439">
        <f t="shared" si="339"/>
        <v>12.01608267658545</v>
      </c>
      <c r="AY168" s="439">
        <f t="shared" si="339"/>
        <v>16.853007254557429</v>
      </c>
      <c r="AZ168" s="580">
        <f t="shared" si="339"/>
        <v>15.504982978018443</v>
      </c>
      <c r="BA168" s="501">
        <f t="shared" si="339"/>
        <v>16.572127052727801</v>
      </c>
      <c r="BB168" s="439">
        <f t="shared" si="339"/>
        <v>16.576180347853192</v>
      </c>
      <c r="BC168" s="439">
        <f t="shared" si="339"/>
        <v>17.731473815667925</v>
      </c>
      <c r="BD168" s="580">
        <f t="shared" si="339"/>
        <v>18.322088985824593</v>
      </c>
      <c r="BF168" s="36"/>
      <c r="BG168" s="595"/>
      <c r="BH168" s="67"/>
      <c r="BI168" s="67"/>
      <c r="BJ168" s="67">
        <v>0.89700000000000002</v>
      </c>
      <c r="BK168" s="67">
        <f>P168</f>
        <v>1.4390000000000001</v>
      </c>
      <c r="BL168" s="67">
        <f>T168</f>
        <v>2.0720000000000001</v>
      </c>
      <c r="BM168" s="67">
        <f>X168</f>
        <v>2.8559999999999999</v>
      </c>
      <c r="BN168" s="409">
        <f>AB168</f>
        <v>2.621</v>
      </c>
      <c r="BO168" s="409">
        <f>AF168</f>
        <v>2.9940000000000002</v>
      </c>
      <c r="BP168" s="409">
        <f>AJ168</f>
        <v>2.931</v>
      </c>
      <c r="BQ168" s="110">
        <f>+AN168</f>
        <v>3.3140000000000001</v>
      </c>
      <c r="BR168" s="110">
        <f>AR168</f>
        <v>3.4689999999999999</v>
      </c>
      <c r="BS168" s="110">
        <f>AV168</f>
        <v>4.123139026603007</v>
      </c>
      <c r="BT168" s="110">
        <f>AZ168</f>
        <v>15.504982978018443</v>
      </c>
      <c r="BU168" s="110">
        <f>BD168</f>
        <v>18.322088985824593</v>
      </c>
      <c r="BV168" s="439">
        <f>BV$23*BV191</f>
        <v>20.356907689628688</v>
      </c>
      <c r="BW168" s="439">
        <f>BW$23*BW191</f>
        <v>22.348123135494127</v>
      </c>
      <c r="BX168" s="439">
        <f>BX$23*BX191</f>
        <v>24.281200904108015</v>
      </c>
      <c r="BY168" s="439">
        <f>BY$23*BY191</f>
        <v>26.156140995470363</v>
      </c>
      <c r="BZ168" s="461">
        <f>BZ$23*BZ191</f>
        <v>27.987477828894047</v>
      </c>
      <c r="CA168" s="54"/>
      <c r="CB168" s="54"/>
      <c r="CC168" s="54"/>
      <c r="CD168" s="54"/>
      <c r="CE168" s="54"/>
      <c r="CF168" s="54"/>
      <c r="CG168" s="1772"/>
      <c r="CH168" s="1772"/>
      <c r="CI168" s="1772"/>
      <c r="CJ168" s="54"/>
      <c r="CK168" s="54"/>
      <c r="CL168" s="54"/>
      <c r="CM168" s="36"/>
      <c r="CN168" s="36"/>
      <c r="CO168" s="36"/>
      <c r="CP168" s="36"/>
      <c r="CQ168" s="36"/>
      <c r="CR168" s="36"/>
    </row>
    <row r="169" spans="1:96" ht="11.25" customHeight="1">
      <c r="A169" s="55"/>
      <c r="H169" s="55"/>
      <c r="I169" s="444" t="s">
        <v>86</v>
      </c>
      <c r="J169" s="50"/>
      <c r="K169" s="50"/>
      <c r="L169" s="50"/>
      <c r="M169" s="402"/>
      <c r="N169" s="402"/>
      <c r="O169" s="402">
        <f t="shared" ref="O169:AB169" si="340">SUM(O166:O168)</f>
        <v>0</v>
      </c>
      <c r="P169" s="402">
        <f t="shared" si="340"/>
        <v>6.6539999999999999</v>
      </c>
      <c r="Q169" s="402">
        <f t="shared" si="340"/>
        <v>0</v>
      </c>
      <c r="R169" s="402">
        <f t="shared" si="340"/>
        <v>0</v>
      </c>
      <c r="S169" s="402">
        <f t="shared" si="340"/>
        <v>10.626999999999999</v>
      </c>
      <c r="T169" s="402">
        <f t="shared" si="340"/>
        <v>12.73</v>
      </c>
      <c r="U169" s="402">
        <f t="shared" si="340"/>
        <v>12.47</v>
      </c>
      <c r="V169" s="402">
        <f t="shared" si="340"/>
        <v>13.168000000000001</v>
      </c>
      <c r="W169" s="402">
        <f t="shared" si="340"/>
        <v>13.574</v>
      </c>
      <c r="X169" s="402">
        <f t="shared" si="340"/>
        <v>21.506999999999998</v>
      </c>
      <c r="Y169" s="644">
        <f t="shared" si="340"/>
        <v>21.259</v>
      </c>
      <c r="Z169" s="74">
        <f t="shared" si="340"/>
        <v>22.356999999999999</v>
      </c>
      <c r="AA169" s="74">
        <f t="shared" si="340"/>
        <v>27.099999999999998</v>
      </c>
      <c r="AB169" s="74">
        <f t="shared" si="340"/>
        <v>28.713000000000001</v>
      </c>
      <c r="AC169" s="511">
        <f t="shared" ref="AC169:AJ169" si="341">SUM(AC166:AC168)</f>
        <v>27.754000000000001</v>
      </c>
      <c r="AD169" s="74">
        <f t="shared" si="341"/>
        <v>25.486999999999998</v>
      </c>
      <c r="AE169" s="74">
        <f t="shared" si="341"/>
        <v>31.785999999999998</v>
      </c>
      <c r="AF169" s="74">
        <f t="shared" si="341"/>
        <v>33.972999999999999</v>
      </c>
      <c r="AG169" s="511">
        <f t="shared" si="341"/>
        <v>47.381</v>
      </c>
      <c r="AH169" s="74">
        <f t="shared" si="341"/>
        <v>41.968000000000004</v>
      </c>
      <c r="AI169" s="74">
        <f t="shared" si="341"/>
        <v>55.094000000000001</v>
      </c>
      <c r="AJ169" s="74">
        <f t="shared" si="341"/>
        <v>49.776999999999994</v>
      </c>
      <c r="AK169" s="511">
        <f t="shared" ref="AK169:AM169" si="342">SUM(AK166:AK168)</f>
        <v>58.941000000000003</v>
      </c>
      <c r="AL169" s="74">
        <f t="shared" si="342"/>
        <v>56.225000000000009</v>
      </c>
      <c r="AM169" s="74">
        <f t="shared" si="342"/>
        <v>63.561999999999998</v>
      </c>
      <c r="AN169" s="74">
        <f>SUM(AN166:AN168)</f>
        <v>60.399000000000001</v>
      </c>
      <c r="AO169" s="511">
        <f>SUM(AO166:AO168)</f>
        <v>72.353999999999985</v>
      </c>
      <c r="AP169" s="74">
        <f>SUM(AP166:AP168)</f>
        <v>65.129000000000005</v>
      </c>
      <c r="AQ169" s="74">
        <f>SUM(AQ166:AQ168)</f>
        <v>80.304000000000002</v>
      </c>
      <c r="AR169" s="74">
        <f>SUM(AR166:AR168)</f>
        <v>86.167000000000002</v>
      </c>
      <c r="AS169" s="511">
        <f t="shared" ref="AS169:BD169" si="343">SUM(AS166:AS168)</f>
        <v>59.182794984871464</v>
      </c>
      <c r="AT169" s="74">
        <f t="shared" si="343"/>
        <v>51.258383457737828</v>
      </c>
      <c r="AU169" s="74">
        <f t="shared" si="343"/>
        <v>89.181671370165716</v>
      </c>
      <c r="AV169" s="563">
        <f t="shared" si="343"/>
        <v>99.505333694919614</v>
      </c>
      <c r="AW169" s="511">
        <f t="shared" si="343"/>
        <v>97.493834214999097</v>
      </c>
      <c r="AX169" s="74">
        <f t="shared" si="343"/>
        <v>93.178291643638232</v>
      </c>
      <c r="AY169" s="74">
        <f t="shared" si="343"/>
        <v>101.51864316320032</v>
      </c>
      <c r="AZ169" s="563">
        <f t="shared" si="343"/>
        <v>112.24534957422782</v>
      </c>
      <c r="BA169" s="511">
        <f t="shared" si="343"/>
        <v>111.63515618638814</v>
      </c>
      <c r="BB169" s="74">
        <f t="shared" si="343"/>
        <v>106.44304653867728</v>
      </c>
      <c r="BC169" s="74">
        <f t="shared" si="343"/>
        <v>114.81285763408525</v>
      </c>
      <c r="BD169" s="563">
        <f t="shared" si="343"/>
        <v>126.1329610802018</v>
      </c>
      <c r="BF169" s="36"/>
      <c r="BG169" s="598"/>
      <c r="BH169" s="331"/>
      <c r="BI169" s="331"/>
      <c r="BJ169" s="331">
        <f t="shared" ref="BJ169:BU169" si="344">SUM(BJ166:BJ168)</f>
        <v>3.109</v>
      </c>
      <c r="BK169" s="331">
        <f t="shared" si="344"/>
        <v>6.6539999999999999</v>
      </c>
      <c r="BL169" s="331">
        <f t="shared" si="344"/>
        <v>12.73</v>
      </c>
      <c r="BM169" s="331">
        <f t="shared" si="344"/>
        <v>21.506999999999998</v>
      </c>
      <c r="BN169" s="431">
        <f t="shared" si="344"/>
        <v>28.713000000000001</v>
      </c>
      <c r="BO169" s="431">
        <f t="shared" si="344"/>
        <v>33.972999999999999</v>
      </c>
      <c r="BP169" s="431">
        <f t="shared" si="344"/>
        <v>49.776999999999994</v>
      </c>
      <c r="BQ169" s="74">
        <f t="shared" si="344"/>
        <v>60.399000000000001</v>
      </c>
      <c r="BR169" s="74">
        <f t="shared" si="344"/>
        <v>86.167000000000002</v>
      </c>
      <c r="BS169" s="74">
        <f t="shared" si="344"/>
        <v>99.505333694919614</v>
      </c>
      <c r="BT169" s="74">
        <f t="shared" si="344"/>
        <v>112.24534957422782</v>
      </c>
      <c r="BU169" s="74">
        <f t="shared" si="344"/>
        <v>126.1329610802018</v>
      </c>
      <c r="BV169" s="74">
        <f>SUM(BV166:BV168)</f>
        <v>137.63316133256851</v>
      </c>
      <c r="BW169" s="74">
        <f>SUM(BW166:BW168)</f>
        <v>148.30860993909877</v>
      </c>
      <c r="BX169" s="74">
        <f>SUM(BX166:BX168)</f>
        <v>158.31862486232043</v>
      </c>
      <c r="BY169" s="74">
        <f>SUM(BY166:BY168)</f>
        <v>167.72351582095683</v>
      </c>
      <c r="BZ169" s="481">
        <f>SUM(BZ166:BZ168)</f>
        <v>176.42646031459574</v>
      </c>
      <c r="CA169" s="571"/>
      <c r="CB169" s="571"/>
      <c r="CC169" s="571"/>
      <c r="CD169" s="571"/>
      <c r="CE169" s="571"/>
      <c r="CF169" s="571"/>
      <c r="CG169" s="1774"/>
      <c r="CH169" s="1774"/>
      <c r="CI169" s="1774"/>
      <c r="CJ169" s="571"/>
      <c r="CK169" s="571"/>
      <c r="CL169" s="571"/>
      <c r="CM169" s="55"/>
      <c r="CN169" s="55"/>
      <c r="CO169" s="55"/>
      <c r="CP169" s="55"/>
      <c r="CQ169" s="55"/>
      <c r="CR169" s="55"/>
    </row>
    <row r="170" spans="1:96" ht="11.25" customHeight="1">
      <c r="A170" s="55"/>
      <c r="H170" s="55"/>
      <c r="I170" s="444"/>
      <c r="J170" s="50"/>
      <c r="K170" s="50"/>
      <c r="L170" s="50"/>
      <c r="M170" s="402"/>
      <c r="N170" s="402"/>
      <c r="O170" s="402"/>
      <c r="P170" s="402"/>
      <c r="Q170" s="402"/>
      <c r="R170" s="402"/>
      <c r="S170" s="402"/>
      <c r="T170" s="402"/>
      <c r="U170" s="402"/>
      <c r="V170" s="402"/>
      <c r="W170" s="402"/>
      <c r="X170" s="402"/>
      <c r="Y170" s="644"/>
      <c r="Z170" s="74"/>
      <c r="AA170" s="74"/>
      <c r="AB170" s="74"/>
      <c r="AC170" s="511"/>
      <c r="AD170" s="74"/>
      <c r="AE170" s="74"/>
      <c r="AF170" s="74"/>
      <c r="AG170" s="511"/>
      <c r="AH170" s="74"/>
      <c r="AI170" s="74"/>
      <c r="AJ170" s="74"/>
      <c r="AK170" s="511"/>
      <c r="AL170" s="74"/>
      <c r="AM170" s="74"/>
      <c r="AN170" s="74"/>
      <c r="AO170" s="511"/>
      <c r="AP170" s="74"/>
      <c r="AQ170" s="74"/>
      <c r="AR170" s="74"/>
      <c r="AS170" s="511"/>
      <c r="AT170" s="74"/>
      <c r="AU170" s="74"/>
      <c r="AV170" s="563"/>
      <c r="AW170" s="511"/>
      <c r="AX170" s="74"/>
      <c r="AY170" s="74"/>
      <c r="AZ170" s="563"/>
      <c r="BA170" s="511"/>
      <c r="BB170" s="74"/>
      <c r="BC170" s="74"/>
      <c r="BD170" s="563"/>
      <c r="BF170" s="36"/>
      <c r="BG170" s="598"/>
      <c r="BH170" s="331"/>
      <c r="BI170" s="331"/>
      <c r="BJ170" s="331"/>
      <c r="BK170" s="331"/>
      <c r="BL170" s="331"/>
      <c r="BM170" s="331"/>
      <c r="BN170" s="431"/>
      <c r="BO170" s="431"/>
      <c r="BP170" s="431"/>
      <c r="BQ170" s="74"/>
      <c r="BR170" s="74"/>
      <c r="BS170" s="74"/>
      <c r="BT170" s="74"/>
      <c r="BU170" s="74"/>
      <c r="BV170" s="74"/>
      <c r="BW170" s="74"/>
      <c r="BX170" s="74"/>
      <c r="BY170" s="74"/>
      <c r="BZ170" s="481"/>
      <c r="CA170" s="571"/>
      <c r="CB170" s="571"/>
      <c r="CC170" s="571"/>
      <c r="CD170" s="571"/>
      <c r="CE170" s="571"/>
      <c r="CF170" s="571"/>
      <c r="CG170" s="1774"/>
      <c r="CH170" s="1774"/>
      <c r="CI170" s="1774"/>
      <c r="CJ170" s="571"/>
      <c r="CK170" s="571"/>
      <c r="CL170" s="571"/>
      <c r="CM170" s="55"/>
      <c r="CN170" s="55"/>
      <c r="CO170" s="55"/>
      <c r="CP170" s="55"/>
      <c r="CQ170" s="55"/>
      <c r="CR170" s="55"/>
    </row>
    <row r="171" spans="1:96" ht="11.25" customHeight="1">
      <c r="A171" s="36"/>
      <c r="H171" s="36"/>
      <c r="I171" s="448" t="s">
        <v>42</v>
      </c>
      <c r="J171" s="5"/>
      <c r="K171" s="5"/>
      <c r="L171" s="5"/>
      <c r="M171" s="67"/>
      <c r="N171" s="67"/>
      <c r="O171" s="67"/>
      <c r="P171" s="67">
        <v>4.0000000000000001E-3</v>
      </c>
      <c r="Q171" s="67"/>
      <c r="R171" s="67"/>
      <c r="S171" s="389">
        <v>4.0000000000000001E-3</v>
      </c>
      <c r="T171" s="389">
        <v>3.0000000000000001E-3</v>
      </c>
      <c r="U171" s="389">
        <v>3.0000000000000001E-3</v>
      </c>
      <c r="V171" s="389">
        <v>2E-3</v>
      </c>
      <c r="W171" s="389">
        <v>2E-3</v>
      </c>
      <c r="X171" s="389">
        <v>0.52700000000000002</v>
      </c>
      <c r="Y171" s="638">
        <v>0.60099999999999998</v>
      </c>
      <c r="Z171" s="389">
        <v>0.68799999999999994</v>
      </c>
      <c r="AA171" s="389">
        <v>0.79900000000000004</v>
      </c>
      <c r="AB171" s="389">
        <v>0.78200000000000003</v>
      </c>
      <c r="AC171" s="1667">
        <v>5.7839999999999998</v>
      </c>
      <c r="AD171" s="389">
        <v>6.4240000000000004</v>
      </c>
      <c r="AE171" s="389">
        <v>6.99</v>
      </c>
      <c r="AF171" s="389">
        <v>7.5270000000000001</v>
      </c>
      <c r="AG171" s="1423">
        <v>11.849</v>
      </c>
      <c r="AH171" s="1731">
        <v>13.254</v>
      </c>
      <c r="AI171" s="435">
        <v>12.849</v>
      </c>
      <c r="AJ171" s="2602">
        <v>12.03</v>
      </c>
      <c r="AK171" s="2600">
        <v>13.332000000000001</v>
      </c>
      <c r="AL171" s="2602">
        <v>14.465999999999999</v>
      </c>
      <c r="AM171" s="2602">
        <v>16.445</v>
      </c>
      <c r="AN171" s="2602">
        <v>17.620999999999999</v>
      </c>
      <c r="AO171" s="2600">
        <v>17.882000000000001</v>
      </c>
      <c r="AP171" s="2602">
        <v>18.32</v>
      </c>
      <c r="AQ171" s="2602">
        <v>21.515000000000001</v>
      </c>
      <c r="AR171" s="2602">
        <v>30.736999999999998</v>
      </c>
      <c r="AS171" s="657">
        <f t="shared" ref="AS171:BD171" si="345">AR171</f>
        <v>30.736999999999998</v>
      </c>
      <c r="AT171" s="582">
        <f t="shared" si="345"/>
        <v>30.736999999999998</v>
      </c>
      <c r="AU171" s="582">
        <f t="shared" si="345"/>
        <v>30.736999999999998</v>
      </c>
      <c r="AV171" s="583">
        <f t="shared" si="345"/>
        <v>30.736999999999998</v>
      </c>
      <c r="AW171" s="657">
        <f t="shared" si="345"/>
        <v>30.736999999999998</v>
      </c>
      <c r="AX171" s="582">
        <f t="shared" si="345"/>
        <v>30.736999999999998</v>
      </c>
      <c r="AY171" s="582">
        <f t="shared" si="345"/>
        <v>30.736999999999998</v>
      </c>
      <c r="AZ171" s="583">
        <f t="shared" si="345"/>
        <v>30.736999999999998</v>
      </c>
      <c r="BA171" s="657">
        <f t="shared" si="345"/>
        <v>30.736999999999998</v>
      </c>
      <c r="BB171" s="582">
        <f t="shared" si="345"/>
        <v>30.736999999999998</v>
      </c>
      <c r="BC171" s="582">
        <f t="shared" si="345"/>
        <v>30.736999999999998</v>
      </c>
      <c r="BD171" s="583">
        <f t="shared" si="345"/>
        <v>30.736999999999998</v>
      </c>
      <c r="BF171" s="36"/>
      <c r="BG171" s="595"/>
      <c r="BH171" s="67"/>
      <c r="BI171" s="67"/>
      <c r="BJ171" s="67">
        <v>0</v>
      </c>
      <c r="BK171" s="67">
        <f>P171</f>
        <v>4.0000000000000001E-3</v>
      </c>
      <c r="BL171" s="67">
        <f>T171</f>
        <v>3.0000000000000001E-3</v>
      </c>
      <c r="BM171" s="67">
        <f>X171</f>
        <v>0.52700000000000002</v>
      </c>
      <c r="BN171" s="409">
        <f>AB171</f>
        <v>0.78200000000000003</v>
      </c>
      <c r="BO171" s="409">
        <f>AF171</f>
        <v>7.5270000000000001</v>
      </c>
      <c r="BP171" s="409">
        <f>AJ171</f>
        <v>12.03</v>
      </c>
      <c r="BQ171" s="110">
        <f>+AN171</f>
        <v>17.620999999999999</v>
      </c>
      <c r="BR171" s="110">
        <f>AR171</f>
        <v>30.736999999999998</v>
      </c>
      <c r="BS171" s="110">
        <f>AV171</f>
        <v>30.736999999999998</v>
      </c>
      <c r="BT171" s="110">
        <f>AZ171</f>
        <v>30.736999999999998</v>
      </c>
      <c r="BU171" s="110">
        <f>BD171</f>
        <v>30.736999999999998</v>
      </c>
      <c r="BV171" s="439">
        <f>BU171</f>
        <v>30.736999999999998</v>
      </c>
      <c r="BW171" s="439">
        <f>BV171</f>
        <v>30.736999999999998</v>
      </c>
      <c r="BX171" s="439">
        <f>BW171</f>
        <v>30.736999999999998</v>
      </c>
      <c r="BY171" s="439">
        <f>BX171</f>
        <v>30.736999999999998</v>
      </c>
      <c r="BZ171" s="461">
        <f>BY171</f>
        <v>30.736999999999998</v>
      </c>
      <c r="CA171" s="54"/>
      <c r="CB171" s="54"/>
      <c r="CC171" s="54"/>
      <c r="CD171" s="54"/>
      <c r="CE171" s="54"/>
      <c r="CF171" s="54"/>
      <c r="CG171" s="1772"/>
      <c r="CH171" s="1772"/>
      <c r="CI171" s="1772"/>
      <c r="CJ171" s="54"/>
      <c r="CK171" s="54"/>
      <c r="CL171" s="54"/>
      <c r="CM171" s="36"/>
      <c r="CN171" s="36"/>
      <c r="CO171" s="36"/>
      <c r="CP171" s="36"/>
      <c r="CQ171" s="36"/>
      <c r="CR171" s="36"/>
    </row>
    <row r="172" spans="1:96" ht="11.25" customHeight="1">
      <c r="A172" s="55"/>
      <c r="H172" s="55"/>
      <c r="I172" s="444" t="s">
        <v>87</v>
      </c>
      <c r="J172" s="50"/>
      <c r="K172" s="50"/>
      <c r="L172" s="50"/>
      <c r="M172" s="402"/>
      <c r="N172" s="402"/>
      <c r="O172" s="402">
        <f t="shared" ref="O172:AJ172" si="346">+SUM(O169:O171)</f>
        <v>0</v>
      </c>
      <c r="P172" s="402">
        <f t="shared" si="346"/>
        <v>6.6579999999999995</v>
      </c>
      <c r="Q172" s="402">
        <f t="shared" si="346"/>
        <v>0</v>
      </c>
      <c r="R172" s="402">
        <f t="shared" si="346"/>
        <v>0</v>
      </c>
      <c r="S172" s="402">
        <f t="shared" si="346"/>
        <v>10.630999999999998</v>
      </c>
      <c r="T172" s="402">
        <f t="shared" si="346"/>
        <v>12.733000000000001</v>
      </c>
      <c r="U172" s="402">
        <f t="shared" si="346"/>
        <v>12.473000000000001</v>
      </c>
      <c r="V172" s="402">
        <f t="shared" si="346"/>
        <v>13.170000000000002</v>
      </c>
      <c r="W172" s="402">
        <f t="shared" si="346"/>
        <v>13.576000000000001</v>
      </c>
      <c r="X172" s="402">
        <f t="shared" si="346"/>
        <v>22.033999999999999</v>
      </c>
      <c r="Y172" s="644">
        <f t="shared" si="346"/>
        <v>21.86</v>
      </c>
      <c r="Z172" s="74">
        <f t="shared" si="346"/>
        <v>23.044999999999998</v>
      </c>
      <c r="AA172" s="74">
        <f t="shared" si="346"/>
        <v>27.898999999999997</v>
      </c>
      <c r="AB172" s="74">
        <f t="shared" si="346"/>
        <v>29.495000000000001</v>
      </c>
      <c r="AC172" s="511">
        <f t="shared" si="346"/>
        <v>33.538000000000004</v>
      </c>
      <c r="AD172" s="74">
        <f t="shared" si="346"/>
        <v>31.910999999999998</v>
      </c>
      <c r="AE172" s="74">
        <f t="shared" si="346"/>
        <v>38.775999999999996</v>
      </c>
      <c r="AF172" s="74">
        <f t="shared" si="346"/>
        <v>41.5</v>
      </c>
      <c r="AG172" s="511">
        <f t="shared" si="346"/>
        <v>59.230000000000004</v>
      </c>
      <c r="AH172" s="74">
        <f t="shared" si="346"/>
        <v>55.222000000000001</v>
      </c>
      <c r="AI172" s="74">
        <f t="shared" si="346"/>
        <v>67.942999999999998</v>
      </c>
      <c r="AJ172" s="74">
        <f t="shared" si="346"/>
        <v>61.806999999999995</v>
      </c>
      <c r="AK172" s="511">
        <f t="shared" ref="AK172:AM172" si="347">+SUM(AK169:AK171)</f>
        <v>72.272999999999996</v>
      </c>
      <c r="AL172" s="74">
        <f t="shared" si="347"/>
        <v>70.691000000000003</v>
      </c>
      <c r="AM172" s="74">
        <f t="shared" si="347"/>
        <v>80.007000000000005</v>
      </c>
      <c r="AN172" s="74">
        <f>+SUM(AN169:AN171)</f>
        <v>78.02</v>
      </c>
      <c r="AO172" s="511">
        <f>+SUM(AO169:AO171)</f>
        <v>90.23599999999999</v>
      </c>
      <c r="AP172" s="74">
        <f>+SUM(AP169:AP171)</f>
        <v>83.449000000000012</v>
      </c>
      <c r="AQ172" s="74">
        <f>+SUM(AQ169:AQ171)</f>
        <v>101.819</v>
      </c>
      <c r="AR172" s="74">
        <f>+SUM(AR169:AR171)</f>
        <v>116.904</v>
      </c>
      <c r="AS172" s="511">
        <f t="shared" ref="AS172:BD172" si="348">+SUM(AS169:AS171)</f>
        <v>89.919794984871459</v>
      </c>
      <c r="AT172" s="74">
        <f t="shared" si="348"/>
        <v>81.99538345773783</v>
      </c>
      <c r="AU172" s="74">
        <f t="shared" si="348"/>
        <v>119.91867137016571</v>
      </c>
      <c r="AV172" s="563">
        <f t="shared" si="348"/>
        <v>130.24233369491961</v>
      </c>
      <c r="AW172" s="511">
        <f t="shared" si="348"/>
        <v>128.23083421499911</v>
      </c>
      <c r="AX172" s="74">
        <f t="shared" si="348"/>
        <v>123.91529164363823</v>
      </c>
      <c r="AY172" s="74">
        <f t="shared" si="348"/>
        <v>132.25564316320032</v>
      </c>
      <c r="AZ172" s="563">
        <f t="shared" si="348"/>
        <v>142.98234957422781</v>
      </c>
      <c r="BA172" s="511">
        <f t="shared" si="348"/>
        <v>142.37215618638814</v>
      </c>
      <c r="BB172" s="74">
        <f t="shared" si="348"/>
        <v>137.18004653867729</v>
      </c>
      <c r="BC172" s="74">
        <f t="shared" si="348"/>
        <v>145.54985763408524</v>
      </c>
      <c r="BD172" s="563">
        <f t="shared" si="348"/>
        <v>156.86996108020179</v>
      </c>
      <c r="BF172" s="36"/>
      <c r="BG172" s="598"/>
      <c r="BH172" s="331"/>
      <c r="BI172" s="331"/>
      <c r="BJ172" s="331">
        <f t="shared" ref="BJ172:BU172" si="349">+SUM(BJ169:BJ171)</f>
        <v>3.109</v>
      </c>
      <c r="BK172" s="331">
        <f t="shared" si="349"/>
        <v>6.6579999999999995</v>
      </c>
      <c r="BL172" s="331">
        <f t="shared" si="349"/>
        <v>12.733000000000001</v>
      </c>
      <c r="BM172" s="331">
        <f t="shared" si="349"/>
        <v>22.033999999999999</v>
      </c>
      <c r="BN172" s="431">
        <f t="shared" si="349"/>
        <v>29.495000000000001</v>
      </c>
      <c r="BO172" s="431">
        <f t="shared" si="349"/>
        <v>41.5</v>
      </c>
      <c r="BP172" s="431">
        <f t="shared" si="349"/>
        <v>61.806999999999995</v>
      </c>
      <c r="BQ172" s="74">
        <f t="shared" si="349"/>
        <v>78.02</v>
      </c>
      <c r="BR172" s="74">
        <f t="shared" si="349"/>
        <v>116.904</v>
      </c>
      <c r="BS172" s="74">
        <f t="shared" si="349"/>
        <v>130.24233369491961</v>
      </c>
      <c r="BT172" s="74">
        <f t="shared" si="349"/>
        <v>142.98234957422781</v>
      </c>
      <c r="BU172" s="74">
        <f t="shared" si="349"/>
        <v>156.86996108020179</v>
      </c>
      <c r="BV172" s="74">
        <f>+SUM(BV169:BV171)</f>
        <v>168.3701613325685</v>
      </c>
      <c r="BW172" s="74">
        <f>+SUM(BW169:BW171)</f>
        <v>179.04560993909877</v>
      </c>
      <c r="BX172" s="74">
        <f>+SUM(BX169:BX171)</f>
        <v>189.05562486232043</v>
      </c>
      <c r="BY172" s="74">
        <f>+SUM(BY169:BY171)</f>
        <v>198.46051582095683</v>
      </c>
      <c r="BZ172" s="481">
        <f>+SUM(BZ169:BZ171)</f>
        <v>207.16346031459574</v>
      </c>
      <c r="CA172" s="571"/>
      <c r="CB172" s="571"/>
      <c r="CC172" s="571"/>
      <c r="CD172" s="571"/>
      <c r="CE172" s="571"/>
      <c r="CF172" s="571"/>
      <c r="CG172" s="1774"/>
      <c r="CH172" s="1774"/>
      <c r="CI172" s="1774"/>
      <c r="CJ172" s="571"/>
      <c r="CK172" s="571"/>
      <c r="CL172" s="571"/>
      <c r="CM172" s="55"/>
      <c r="CN172" s="55"/>
      <c r="CO172" s="55"/>
      <c r="CP172" s="55"/>
      <c r="CQ172" s="55"/>
      <c r="CR172" s="55"/>
    </row>
    <row r="173" spans="1:96" ht="11.25" customHeight="1">
      <c r="A173" s="36"/>
      <c r="H173" s="36"/>
      <c r="I173" s="448"/>
      <c r="J173" s="5"/>
      <c r="K173" s="5"/>
      <c r="L173" s="5"/>
      <c r="M173" s="67"/>
      <c r="N173" s="67"/>
      <c r="O173" s="67"/>
      <c r="P173" s="67"/>
      <c r="Q173" s="67"/>
      <c r="R173" s="67"/>
      <c r="S173" s="67"/>
      <c r="T173" s="67"/>
      <c r="U173" s="67"/>
      <c r="V173" s="67"/>
      <c r="W173" s="67"/>
      <c r="X173" s="67"/>
      <c r="Y173" s="641"/>
      <c r="Z173" s="110"/>
      <c r="AA173" s="110"/>
      <c r="AB173" s="110"/>
      <c r="AC173" s="505"/>
      <c r="AD173" s="110"/>
      <c r="AE173" s="110"/>
      <c r="AF173" s="110"/>
      <c r="AG173" s="505"/>
      <c r="AH173" s="110"/>
      <c r="AI173" s="110"/>
      <c r="AJ173" s="110"/>
      <c r="AK173" s="505"/>
      <c r="AL173" s="110"/>
      <c r="AM173" s="110"/>
      <c r="AN173" s="541"/>
      <c r="AO173" s="505"/>
      <c r="AP173" s="110"/>
      <c r="AQ173" s="110"/>
      <c r="AR173" s="541"/>
      <c r="AS173" s="505"/>
      <c r="AT173" s="110"/>
      <c r="AU173" s="110"/>
      <c r="AV173" s="541"/>
      <c r="AW173" s="505"/>
      <c r="AX173" s="110"/>
      <c r="AY173" s="110"/>
      <c r="AZ173" s="541"/>
      <c r="BA173" s="505"/>
      <c r="BB173" s="110"/>
      <c r="BC173" s="110"/>
      <c r="BD173" s="541"/>
      <c r="BF173" s="36"/>
      <c r="BG173" s="595"/>
      <c r="BH173" s="67"/>
      <c r="BI173" s="67"/>
      <c r="BJ173" s="67"/>
      <c r="BK173" s="67"/>
      <c r="BL173" s="67"/>
      <c r="BM173" s="67"/>
      <c r="BN173" s="409"/>
      <c r="BO173" s="409"/>
      <c r="BP173" s="409"/>
      <c r="BQ173" s="110"/>
      <c r="BR173" s="110"/>
      <c r="BS173" s="110"/>
      <c r="BT173" s="110"/>
      <c r="BU173" s="110"/>
      <c r="BV173" s="110"/>
      <c r="BW173" s="110"/>
      <c r="BX173" s="110"/>
      <c r="BY173" s="110"/>
      <c r="BZ173" s="469"/>
      <c r="CA173" s="54"/>
      <c r="CB173" s="54"/>
      <c r="CC173" s="54"/>
      <c r="CD173" s="54"/>
      <c r="CE173" s="54"/>
      <c r="CF173" s="54"/>
      <c r="CG173" s="1772"/>
      <c r="CH173" s="1772"/>
      <c r="CI173" s="1772"/>
      <c r="CJ173" s="54"/>
      <c r="CK173" s="54"/>
      <c r="CL173" s="54"/>
      <c r="CM173" s="36"/>
      <c r="CN173" s="36"/>
      <c r="CO173" s="36"/>
      <c r="CP173" s="36"/>
      <c r="CQ173" s="36"/>
      <c r="CR173" s="36"/>
    </row>
    <row r="174" spans="1:96" ht="11.25" customHeight="1">
      <c r="A174" s="36"/>
      <c r="H174" s="36"/>
      <c r="I174" s="535" t="s">
        <v>365</v>
      </c>
      <c r="J174" s="536"/>
      <c r="K174" s="536"/>
      <c r="L174" s="536"/>
      <c r="M174" s="536"/>
      <c r="N174" s="537"/>
      <c r="O174" s="538"/>
      <c r="P174" s="538"/>
      <c r="Q174" s="536"/>
      <c r="R174" s="537"/>
      <c r="S174" s="537"/>
      <c r="T174" s="537"/>
      <c r="U174" s="539"/>
      <c r="V174" s="537"/>
      <c r="W174" s="537"/>
      <c r="X174" s="537"/>
      <c r="Y174" s="535"/>
      <c r="Z174" s="537"/>
      <c r="AA174" s="537"/>
      <c r="AB174" s="537"/>
      <c r="AC174" s="650"/>
      <c r="AD174" s="537"/>
      <c r="AE174" s="537"/>
      <c r="AF174" s="537"/>
      <c r="AG174" s="623"/>
      <c r="AH174" s="537"/>
      <c r="AI174" s="537"/>
      <c r="AJ174" s="537"/>
      <c r="AK174" s="623"/>
      <c r="AL174" s="537"/>
      <c r="AM174" s="537"/>
      <c r="AN174" s="540"/>
      <c r="AO174" s="623"/>
      <c r="AP174" s="537"/>
      <c r="AQ174" s="537"/>
      <c r="AR174" s="540"/>
      <c r="AS174" s="623"/>
      <c r="AT174" s="537"/>
      <c r="AU174" s="537"/>
      <c r="AV174" s="540"/>
      <c r="AW174" s="623"/>
      <c r="AX174" s="537"/>
      <c r="AY174" s="537"/>
      <c r="AZ174" s="540"/>
      <c r="BA174" s="623"/>
      <c r="BB174" s="537"/>
      <c r="BC174" s="537"/>
      <c r="BD174" s="540"/>
      <c r="BF174" s="528"/>
      <c r="BG174" s="593"/>
      <c r="BH174" s="537"/>
      <c r="BI174" s="538"/>
      <c r="BJ174" s="538"/>
      <c r="BK174" s="538"/>
      <c r="BL174" s="538"/>
      <c r="BM174" s="538"/>
      <c r="BN174" s="538"/>
      <c r="BO174" s="538"/>
      <c r="BP174" s="538"/>
      <c r="BQ174" s="537"/>
      <c r="BR174" s="537"/>
      <c r="BS174" s="537"/>
      <c r="BT174" s="537"/>
      <c r="BU174" s="537"/>
      <c r="BV174" s="537"/>
      <c r="BW174" s="537"/>
      <c r="BX174" s="537"/>
      <c r="BY174" s="537"/>
      <c r="BZ174" s="610"/>
      <c r="CA174" s="54"/>
      <c r="CB174" s="54"/>
      <c r="CC174" s="54"/>
      <c r="CD174" s="54"/>
      <c r="CE174" s="54"/>
      <c r="CF174" s="54"/>
      <c r="CG174" s="1772"/>
      <c r="CH174" s="1772"/>
      <c r="CI174" s="1772"/>
      <c r="CJ174" s="54"/>
      <c r="CK174" s="54"/>
      <c r="CL174" s="54"/>
      <c r="CM174" s="36"/>
      <c r="CN174" s="36"/>
      <c r="CO174" s="36"/>
      <c r="CP174" s="36"/>
      <c r="CQ174" s="36"/>
      <c r="CR174" s="36"/>
    </row>
    <row r="175" spans="1:96" s="396" customFormat="1" ht="11.25" customHeight="1">
      <c r="A175" s="42"/>
      <c r="B175"/>
      <c r="C175"/>
      <c r="D175"/>
      <c r="E175"/>
      <c r="F175"/>
      <c r="G175"/>
      <c r="H175" s="42"/>
      <c r="I175" s="566"/>
      <c r="J175" s="413"/>
      <c r="K175" s="413"/>
      <c r="L175" s="413"/>
      <c r="M175" s="413"/>
      <c r="N175" s="83"/>
      <c r="O175" s="320"/>
      <c r="P175" s="320"/>
      <c r="Q175" s="413"/>
      <c r="R175" s="83"/>
      <c r="S175" s="83"/>
      <c r="T175" s="83"/>
      <c r="U175" s="567"/>
      <c r="V175" s="83"/>
      <c r="W175" s="83"/>
      <c r="X175" s="83"/>
      <c r="Y175" s="566"/>
      <c r="Z175" s="83"/>
      <c r="AA175" s="83"/>
      <c r="AB175" s="83"/>
      <c r="AC175" s="482"/>
      <c r="AD175" s="83"/>
      <c r="AE175" s="83"/>
      <c r="AF175" s="83"/>
      <c r="AG175" s="656"/>
      <c r="AH175" s="83"/>
      <c r="AI175" s="83"/>
      <c r="AJ175" s="83"/>
      <c r="AK175" s="656"/>
      <c r="AL175" s="83"/>
      <c r="AM175" s="83"/>
      <c r="AN175" s="568"/>
      <c r="AO175" s="656"/>
      <c r="AP175" s="83"/>
      <c r="AQ175" s="83"/>
      <c r="AR175" s="568"/>
      <c r="AS175" s="656"/>
      <c r="AT175" s="83"/>
      <c r="AU175" s="83"/>
      <c r="AV175" s="568"/>
      <c r="AW175" s="656"/>
      <c r="AX175" s="83"/>
      <c r="AY175" s="83"/>
      <c r="AZ175" s="568"/>
      <c r="BA175" s="656"/>
      <c r="BB175" s="83"/>
      <c r="BC175" s="83"/>
      <c r="BD175" s="568"/>
      <c r="BE175"/>
      <c r="BF175" s="42"/>
      <c r="BG175" s="594"/>
      <c r="BH175" s="83"/>
      <c r="BI175" s="320"/>
      <c r="BJ175" s="320"/>
      <c r="BK175" s="320"/>
      <c r="BL175" s="320"/>
      <c r="BM175" s="320"/>
      <c r="BN175" s="320"/>
      <c r="BO175" s="320"/>
      <c r="BP175" s="320"/>
      <c r="BQ175" s="83"/>
      <c r="BR175" s="83"/>
      <c r="BS175" s="83"/>
      <c r="BT175" s="83"/>
      <c r="BU175" s="83"/>
      <c r="BV175" s="83"/>
      <c r="BW175" s="83"/>
      <c r="BX175" s="83"/>
      <c r="BY175" s="83"/>
      <c r="BZ175" s="883"/>
      <c r="CA175" s="83"/>
      <c r="CB175" s="83"/>
      <c r="CC175" s="83"/>
      <c r="CD175" s="83"/>
      <c r="CE175" s="83"/>
      <c r="CF175" s="83"/>
      <c r="CG175" s="1769"/>
      <c r="CH175" s="1769"/>
      <c r="CI175" s="1769"/>
      <c r="CJ175" s="83"/>
      <c r="CK175" s="83"/>
      <c r="CL175" s="83"/>
      <c r="CM175" s="42"/>
      <c r="CN175" s="42"/>
      <c r="CO175" s="42"/>
      <c r="CP175" s="42"/>
      <c r="CQ175" s="42"/>
      <c r="CR175" s="42"/>
    </row>
    <row r="176" spans="1:96" ht="11.25" customHeight="1" outlineLevel="1">
      <c r="A176" s="36"/>
      <c r="H176" s="36"/>
      <c r="I176" s="448" t="s">
        <v>43</v>
      </c>
      <c r="J176" s="5"/>
      <c r="K176" s="5"/>
      <c r="L176" s="5"/>
      <c r="M176" s="67"/>
      <c r="N176" s="67"/>
      <c r="O176" s="389">
        <f>P176</f>
        <v>55.246000000000002</v>
      </c>
      <c r="P176" s="389">
        <f>0.998+4.972+9.977+14.955+24.344</f>
        <v>55.246000000000002</v>
      </c>
      <c r="Q176" s="389">
        <f>P176</f>
        <v>55.246000000000002</v>
      </c>
      <c r="R176" s="389">
        <f>Q176</f>
        <v>55.246000000000002</v>
      </c>
      <c r="S176" s="389">
        <v>55.387</v>
      </c>
      <c r="T176" s="389">
        <v>55.435000000000002</v>
      </c>
      <c r="U176" s="389">
        <v>0</v>
      </c>
      <c r="V176" s="389">
        <v>0</v>
      </c>
      <c r="W176" s="389">
        <v>0</v>
      </c>
      <c r="X176" s="389">
        <v>0</v>
      </c>
      <c r="Y176" s="638">
        <v>0</v>
      </c>
      <c r="Z176" s="389">
        <v>0</v>
      </c>
      <c r="AA176" s="389">
        <v>0</v>
      </c>
      <c r="AB176" s="389">
        <v>0</v>
      </c>
      <c r="AC176" s="1667">
        <v>0</v>
      </c>
      <c r="AD176" s="389">
        <v>0</v>
      </c>
      <c r="AE176" s="389">
        <v>0</v>
      </c>
      <c r="AF176" s="389">
        <f>AE176</f>
        <v>0</v>
      </c>
      <c r="AG176" s="1423">
        <v>0</v>
      </c>
      <c r="AH176" s="1731">
        <v>0</v>
      </c>
      <c r="AI176" s="435">
        <v>0</v>
      </c>
      <c r="AJ176" s="2602">
        <v>0</v>
      </c>
      <c r="AK176" s="2600">
        <v>0</v>
      </c>
      <c r="AL176" s="2602">
        <v>0</v>
      </c>
      <c r="AM176" s="2602">
        <v>0</v>
      </c>
      <c r="AN176" s="2602">
        <v>0</v>
      </c>
      <c r="AO176" s="2600">
        <v>0</v>
      </c>
      <c r="AP176" s="2602">
        <v>0</v>
      </c>
      <c r="AQ176" s="2602">
        <v>0</v>
      </c>
      <c r="AR176" s="2602">
        <v>0</v>
      </c>
      <c r="AS176" s="501">
        <f t="shared" ref="AS176:AV176" si="350">AR176</f>
        <v>0</v>
      </c>
      <c r="AT176" s="439">
        <f t="shared" si="350"/>
        <v>0</v>
      </c>
      <c r="AU176" s="439">
        <f t="shared" si="350"/>
        <v>0</v>
      </c>
      <c r="AV176" s="580">
        <f t="shared" si="350"/>
        <v>0</v>
      </c>
      <c r="AW176" s="501">
        <f t="shared" ref="AW176:BD176" si="351">AV176</f>
        <v>0</v>
      </c>
      <c r="AX176" s="439">
        <f t="shared" si="351"/>
        <v>0</v>
      </c>
      <c r="AY176" s="439">
        <f t="shared" si="351"/>
        <v>0</v>
      </c>
      <c r="AZ176" s="580">
        <f t="shared" si="351"/>
        <v>0</v>
      </c>
      <c r="BA176" s="501">
        <f t="shared" si="351"/>
        <v>0</v>
      </c>
      <c r="BB176" s="439">
        <f t="shared" si="351"/>
        <v>0</v>
      </c>
      <c r="BC176" s="439">
        <f t="shared" si="351"/>
        <v>0</v>
      </c>
      <c r="BD176" s="580">
        <f t="shared" si="351"/>
        <v>0</v>
      </c>
      <c r="BF176" s="36"/>
      <c r="BG176" s="595"/>
      <c r="BH176" s="67"/>
      <c r="BI176" s="67"/>
      <c r="BJ176" s="67">
        <v>30.877000000000002</v>
      </c>
      <c r="BK176" s="67">
        <f>P176</f>
        <v>55.246000000000002</v>
      </c>
      <c r="BL176" s="67">
        <f>T176</f>
        <v>55.435000000000002</v>
      </c>
      <c r="BM176" s="67">
        <f>X176</f>
        <v>0</v>
      </c>
      <c r="BN176" s="67">
        <f>AB176</f>
        <v>0</v>
      </c>
      <c r="BO176" s="67">
        <f>AF176</f>
        <v>0</v>
      </c>
      <c r="BP176" s="67">
        <f>AJ176</f>
        <v>0</v>
      </c>
      <c r="BQ176" s="110">
        <f>+AN176</f>
        <v>0</v>
      </c>
      <c r="BR176" s="110">
        <f>AR176</f>
        <v>0</v>
      </c>
      <c r="BS176" s="110">
        <f>AV176</f>
        <v>0</v>
      </c>
      <c r="BT176" s="110">
        <f>AZ176</f>
        <v>0</v>
      </c>
      <c r="BU176" s="110">
        <f>BD176</f>
        <v>0</v>
      </c>
      <c r="BV176" s="439">
        <v>0</v>
      </c>
      <c r="BW176" s="439">
        <v>0</v>
      </c>
      <c r="BX176" s="439">
        <v>0</v>
      </c>
      <c r="BY176" s="439">
        <v>0</v>
      </c>
      <c r="BZ176" s="461">
        <v>0</v>
      </c>
      <c r="CA176" s="54"/>
      <c r="CB176" s="54"/>
      <c r="CC176" s="54"/>
      <c r="CD176" s="54"/>
      <c r="CE176" s="54"/>
      <c r="CF176" s="54"/>
      <c r="CG176" s="1772"/>
      <c r="CH176" s="1772"/>
      <c r="CI176" s="1772"/>
      <c r="CJ176" s="54"/>
      <c r="CK176" s="54"/>
      <c r="CL176" s="54"/>
      <c r="CM176" s="36"/>
      <c r="CN176" s="36"/>
      <c r="CO176" s="36"/>
      <c r="CP176" s="36"/>
      <c r="CQ176" s="36"/>
      <c r="CR176" s="36"/>
    </row>
    <row r="177" spans="1:96" ht="11.25" customHeight="1" outlineLevel="1">
      <c r="A177" s="36"/>
      <c r="H177" s="36"/>
      <c r="I177" s="448" t="s">
        <v>67</v>
      </c>
      <c r="J177" s="5"/>
      <c r="K177" s="5"/>
      <c r="L177" s="5"/>
      <c r="M177" s="67"/>
      <c r="N177" s="67"/>
      <c r="O177" s="389"/>
      <c r="P177" s="389">
        <v>0</v>
      </c>
      <c r="Q177" s="389"/>
      <c r="R177" s="389"/>
      <c r="S177" s="389">
        <v>0</v>
      </c>
      <c r="T177" s="389">
        <v>0</v>
      </c>
      <c r="U177" s="389">
        <v>0</v>
      </c>
      <c r="V177" s="389">
        <v>0</v>
      </c>
      <c r="W177" s="389">
        <v>0</v>
      </c>
      <c r="X177" s="389">
        <v>0</v>
      </c>
      <c r="Y177" s="638">
        <v>0</v>
      </c>
      <c r="Z177" s="389">
        <v>0</v>
      </c>
      <c r="AA177" s="389">
        <v>0</v>
      </c>
      <c r="AB177" s="389">
        <v>0</v>
      </c>
      <c r="AC177" s="1667">
        <v>0</v>
      </c>
      <c r="AD177" s="389">
        <v>0</v>
      </c>
      <c r="AE177" s="389">
        <v>0</v>
      </c>
      <c r="AF177" s="389">
        <v>0</v>
      </c>
      <c r="AG177" s="1423">
        <v>0</v>
      </c>
      <c r="AH177" s="1731">
        <v>0</v>
      </c>
      <c r="AI177" s="435">
        <v>0</v>
      </c>
      <c r="AJ177" s="2602">
        <v>0</v>
      </c>
      <c r="AK177" s="2600">
        <v>0</v>
      </c>
      <c r="AL177" s="2602">
        <v>0</v>
      </c>
      <c r="AM177" s="2602">
        <v>0</v>
      </c>
      <c r="AN177" s="2602">
        <v>0</v>
      </c>
      <c r="AO177" s="2600">
        <v>0</v>
      </c>
      <c r="AP177" s="2602">
        <v>0</v>
      </c>
      <c r="AQ177" s="2602">
        <v>0</v>
      </c>
      <c r="AR177" s="2602">
        <v>0</v>
      </c>
      <c r="AS177" s="501">
        <f t="shared" ref="AS177:BD177" si="352">AR177+AS204+AS230+AS231+AS232+AS203+AS205+AS206+AS233+AS236+AS240</f>
        <v>26.767400000000006</v>
      </c>
      <c r="AT177" s="439">
        <f t="shared" si="352"/>
        <v>54.668900000000008</v>
      </c>
      <c r="AU177" s="439">
        <f t="shared" si="352"/>
        <v>83.774250000000009</v>
      </c>
      <c r="AV177" s="580">
        <f t="shared" si="352"/>
        <v>114.26265000000001</v>
      </c>
      <c r="AW177" s="501">
        <f t="shared" si="352"/>
        <v>144.24213800000001</v>
      </c>
      <c r="AX177" s="439">
        <f t="shared" si="352"/>
        <v>175.49181800000002</v>
      </c>
      <c r="AY177" s="439">
        <f t="shared" si="352"/>
        <v>208.08981000000003</v>
      </c>
      <c r="AZ177" s="580">
        <f t="shared" si="352"/>
        <v>242.23681800000003</v>
      </c>
      <c r="BA177" s="501">
        <f t="shared" si="352"/>
        <v>275.21425480000005</v>
      </c>
      <c r="BB177" s="439">
        <f t="shared" si="352"/>
        <v>309.58890280000008</v>
      </c>
      <c r="BC177" s="439">
        <f t="shared" si="352"/>
        <v>345.44669400000009</v>
      </c>
      <c r="BD177" s="580">
        <f t="shared" si="352"/>
        <v>383.00840280000011</v>
      </c>
      <c r="BF177" s="36"/>
      <c r="BG177" s="596" t="s">
        <v>100</v>
      </c>
      <c r="BH177" s="249" t="s">
        <v>100</v>
      </c>
      <c r="BI177" s="249" t="s">
        <v>100</v>
      </c>
      <c r="BJ177" s="67">
        <v>0</v>
      </c>
      <c r="BK177" s="67">
        <f>P177</f>
        <v>0</v>
      </c>
      <c r="BL177" s="67">
        <f>T177</f>
        <v>0</v>
      </c>
      <c r="BM177" s="67">
        <f>X177</f>
        <v>0</v>
      </c>
      <c r="BN177" s="67">
        <f>AB177</f>
        <v>0</v>
      </c>
      <c r="BO177" s="67">
        <f>AF177</f>
        <v>0</v>
      </c>
      <c r="BP177" s="67">
        <f>AJ177</f>
        <v>0</v>
      </c>
      <c r="BQ177" s="110">
        <f>+AN177</f>
        <v>0</v>
      </c>
      <c r="BR177" s="110">
        <f>AR177</f>
        <v>0</v>
      </c>
      <c r="BS177" s="110">
        <f>AV177</f>
        <v>114.26265000000001</v>
      </c>
      <c r="BT177" s="110">
        <f>AZ177</f>
        <v>242.23681800000003</v>
      </c>
      <c r="BU177" s="110">
        <f>BD177</f>
        <v>383.00840280000011</v>
      </c>
      <c r="BV177" s="439">
        <f>BU177+BV204+BV230+BV231+BV232+BV203+BV205+BV206+BV233+BV236+BV240</f>
        <v>533.63399853600015</v>
      </c>
      <c r="BW177" s="439">
        <f>BV177+BW204+BW230+BW231+BW232+BW203+BW205+BW206+BW233+BW236+BW240</f>
        <v>691.79087405880023</v>
      </c>
      <c r="BX177" s="439">
        <f>BW177+BX204+BX230+BX231+BX232+BX203+BX205+BX206+BX233+BX236+BX240</f>
        <v>857.8555933577403</v>
      </c>
      <c r="BY177" s="439">
        <f>BX177+BY204+BY230+BY231+BY232+BY203+BY205+BY206+BY233+BY236+BY240</f>
        <v>1032.2235486216273</v>
      </c>
      <c r="BZ177" s="461">
        <f>BY177+BZ204+BZ230+BZ231+BZ232+BZ203+BZ205+BZ206+BZ233+BZ236+BZ240</f>
        <v>1215.3099016487088</v>
      </c>
      <c r="CA177" s="54"/>
      <c r="CB177" s="54"/>
      <c r="CC177" s="54"/>
      <c r="CD177" s="54"/>
      <c r="CE177" s="54"/>
      <c r="CF177" s="54"/>
      <c r="CG177" s="1772"/>
      <c r="CH177" s="1772"/>
      <c r="CI177" s="1772"/>
      <c r="CJ177" s="54"/>
      <c r="CK177" s="54"/>
      <c r="CL177" s="54"/>
      <c r="CM177" s="36"/>
      <c r="CN177" s="36"/>
      <c r="CO177" s="36"/>
      <c r="CP177" s="36"/>
      <c r="CQ177" s="36"/>
      <c r="CR177" s="36"/>
    </row>
    <row r="178" spans="1:96" ht="11.25" customHeight="1" outlineLevel="1">
      <c r="A178" s="36"/>
      <c r="H178" s="36"/>
      <c r="I178" s="448" t="s">
        <v>68</v>
      </c>
      <c r="J178" s="5"/>
      <c r="K178" s="5"/>
      <c r="L178" s="5"/>
      <c r="M178" s="67"/>
      <c r="N178" s="67"/>
      <c r="O178" s="389"/>
      <c r="P178" s="389">
        <v>3.524</v>
      </c>
      <c r="Q178" s="389"/>
      <c r="R178" s="389"/>
      <c r="S178" s="389">
        <v>8.2089999999999996</v>
      </c>
      <c r="T178" s="389">
        <v>16.625</v>
      </c>
      <c r="U178" s="389">
        <v>191.44800000000001</v>
      </c>
      <c r="V178" s="389">
        <v>193.65700000000001</v>
      </c>
      <c r="W178" s="389">
        <v>197.87200000000001</v>
      </c>
      <c r="X178" s="389">
        <v>225.245</v>
      </c>
      <c r="Y178" s="638">
        <v>231.52500000000001</v>
      </c>
      <c r="Z178" s="389">
        <v>240.75200000000001</v>
      </c>
      <c r="AA178" s="389">
        <v>262.67500000000001</v>
      </c>
      <c r="AB178" s="389">
        <v>553.75300000000004</v>
      </c>
      <c r="AC178" s="1667">
        <v>569.92499999999995</v>
      </c>
      <c r="AD178" s="389">
        <v>588.82899999999995</v>
      </c>
      <c r="AE178" s="389">
        <v>607.01199999999994</v>
      </c>
      <c r="AF178" s="389">
        <v>627.74199999999996</v>
      </c>
      <c r="AG178" s="1423">
        <v>705.39700000000005</v>
      </c>
      <c r="AH178" s="1731">
        <v>734.86699999999996</v>
      </c>
      <c r="AI178" s="435">
        <v>752.79499999999996</v>
      </c>
      <c r="AJ178" s="2602">
        <v>774.02200000000005</v>
      </c>
      <c r="AK178" s="2600">
        <v>793.46799999999996</v>
      </c>
      <c r="AL178" s="2602">
        <v>822.38499999999999</v>
      </c>
      <c r="AM178" s="2602">
        <v>856.11500000000001</v>
      </c>
      <c r="AN178" s="2602">
        <v>892.98299999999995</v>
      </c>
      <c r="AO178" s="2600">
        <v>921.44100000000003</v>
      </c>
      <c r="AP178" s="2602">
        <v>965.04899999999998</v>
      </c>
      <c r="AQ178" s="2602">
        <v>1001.633</v>
      </c>
      <c r="AR178" s="2602">
        <v>1038.0170000000001</v>
      </c>
      <c r="AS178" s="501">
        <f t="shared" ref="AS178:AV179" si="353">AR178</f>
        <v>1038.0170000000001</v>
      </c>
      <c r="AT178" s="439">
        <f t="shared" si="353"/>
        <v>1038.0170000000001</v>
      </c>
      <c r="AU178" s="439">
        <f t="shared" si="353"/>
        <v>1038.0170000000001</v>
      </c>
      <c r="AV178" s="580">
        <f t="shared" si="353"/>
        <v>1038.0170000000001</v>
      </c>
      <c r="AW178" s="501">
        <f t="shared" ref="AW178:BD179" si="354">AV178</f>
        <v>1038.0170000000001</v>
      </c>
      <c r="AX178" s="439">
        <f t="shared" si="354"/>
        <v>1038.0170000000001</v>
      </c>
      <c r="AY178" s="439">
        <f t="shared" si="354"/>
        <v>1038.0170000000001</v>
      </c>
      <c r="AZ178" s="580">
        <f t="shared" si="354"/>
        <v>1038.0170000000001</v>
      </c>
      <c r="BA178" s="501">
        <f t="shared" si="354"/>
        <v>1038.0170000000001</v>
      </c>
      <c r="BB178" s="439">
        <f t="shared" si="354"/>
        <v>1038.0170000000001</v>
      </c>
      <c r="BC178" s="439">
        <f t="shared" si="354"/>
        <v>1038.0170000000001</v>
      </c>
      <c r="BD178" s="580">
        <f t="shared" si="354"/>
        <v>1038.0170000000001</v>
      </c>
      <c r="BF178" s="36"/>
      <c r="BG178" s="596" t="s">
        <v>100</v>
      </c>
      <c r="BH178" s="249" t="s">
        <v>100</v>
      </c>
      <c r="BI178" s="249" t="s">
        <v>100</v>
      </c>
      <c r="BJ178" s="67">
        <v>1.4830000000000001</v>
      </c>
      <c r="BK178" s="67">
        <f>P178</f>
        <v>3.524</v>
      </c>
      <c r="BL178" s="67">
        <f>T178</f>
        <v>16.625</v>
      </c>
      <c r="BM178" s="67">
        <f>X178</f>
        <v>225.245</v>
      </c>
      <c r="BN178" s="67">
        <f>AB178</f>
        <v>553.75300000000004</v>
      </c>
      <c r="BO178" s="67">
        <f>AF178</f>
        <v>627.74199999999996</v>
      </c>
      <c r="BP178" s="67">
        <f>AJ178</f>
        <v>774.02200000000005</v>
      </c>
      <c r="BQ178" s="110">
        <f>+AN178</f>
        <v>892.98299999999995</v>
      </c>
      <c r="BR178" s="110">
        <f>AR178</f>
        <v>1038.0170000000001</v>
      </c>
      <c r="BS178" s="110">
        <f>AV178</f>
        <v>1038.0170000000001</v>
      </c>
      <c r="BT178" s="110">
        <f>AZ178</f>
        <v>1038.0170000000001</v>
      </c>
      <c r="BU178" s="110">
        <f>BD178</f>
        <v>1038.0170000000001</v>
      </c>
      <c r="BV178" s="439">
        <f t="shared" ref="BV178:BZ179" si="355">BU178</f>
        <v>1038.0170000000001</v>
      </c>
      <c r="BW178" s="439">
        <f t="shared" si="355"/>
        <v>1038.0170000000001</v>
      </c>
      <c r="BX178" s="439">
        <f t="shared" si="355"/>
        <v>1038.0170000000001</v>
      </c>
      <c r="BY178" s="439">
        <f t="shared" si="355"/>
        <v>1038.0170000000001</v>
      </c>
      <c r="BZ178" s="461">
        <f t="shared" si="355"/>
        <v>1038.0170000000001</v>
      </c>
      <c r="CA178" s="54"/>
      <c r="CB178" s="54"/>
      <c r="CC178" s="54"/>
      <c r="CD178" s="54"/>
      <c r="CE178" s="54"/>
      <c r="CF178" s="54"/>
      <c r="CG178" s="1772"/>
      <c r="CH178" s="1772"/>
      <c r="CI178" s="1772"/>
      <c r="CJ178" s="54"/>
      <c r="CK178" s="54"/>
      <c r="CL178" s="54"/>
      <c r="CM178" s="36"/>
      <c r="CN178" s="36"/>
      <c r="CO178" s="36"/>
      <c r="CP178" s="36"/>
      <c r="CQ178" s="36"/>
      <c r="CR178" s="36"/>
    </row>
    <row r="179" spans="1:96" ht="11.25" customHeight="1" outlineLevel="1">
      <c r="A179" s="36"/>
      <c r="H179" s="36"/>
      <c r="I179" s="448" t="s">
        <v>69</v>
      </c>
      <c r="J179" s="5"/>
      <c r="K179" s="5"/>
      <c r="L179" s="5"/>
      <c r="M179" s="67"/>
      <c r="N179" s="67"/>
      <c r="O179" s="389"/>
      <c r="P179" s="389">
        <v>-2.7E-2</v>
      </c>
      <c r="Q179" s="389"/>
      <c r="R179" s="389"/>
      <c r="S179" s="389">
        <v>7.6999999999999999E-2</v>
      </c>
      <c r="T179" s="389">
        <v>0.27100000000000002</v>
      </c>
      <c r="U179" s="389">
        <v>0.24199999999999999</v>
      </c>
      <c r="V179" s="389">
        <v>7.9000000000000001E-2</v>
      </c>
      <c r="W179" s="389">
        <v>0.152</v>
      </c>
      <c r="X179" s="389">
        <v>0.80500000000000005</v>
      </c>
      <c r="Y179" s="638">
        <v>-0.90400000000000003</v>
      </c>
      <c r="Z179" s="389">
        <v>-0.19</v>
      </c>
      <c r="AA179" s="389">
        <v>2.1429999999999998</v>
      </c>
      <c r="AB179" s="389">
        <v>3.1880000000000002</v>
      </c>
      <c r="AC179" s="1667">
        <v>3.1019999999999999</v>
      </c>
      <c r="AD179" s="389">
        <v>2.7639999999999998</v>
      </c>
      <c r="AE179" s="389">
        <v>-1.6779999999999999</v>
      </c>
      <c r="AF179" s="389">
        <v>-5.609</v>
      </c>
      <c r="AG179" s="1423">
        <v>-13.474</v>
      </c>
      <c r="AH179" s="1731">
        <v>-12.13</v>
      </c>
      <c r="AI179" s="435">
        <v>-11.679</v>
      </c>
      <c r="AJ179" s="2602">
        <v>-13.519</v>
      </c>
      <c r="AK179" s="2600">
        <v>-11.776999999999999</v>
      </c>
      <c r="AL179" s="2602">
        <v>-12.724</v>
      </c>
      <c r="AM179" s="2602">
        <v>-12.05</v>
      </c>
      <c r="AN179" s="2602">
        <v>-15.576000000000001</v>
      </c>
      <c r="AO179" s="2600">
        <v>-14.505000000000001</v>
      </c>
      <c r="AP179" s="2602">
        <v>-10.972</v>
      </c>
      <c r="AQ179" s="2602">
        <v>-9.1069999999999993</v>
      </c>
      <c r="AR179" s="2602">
        <v>-8.4440000000000008</v>
      </c>
      <c r="AS179" s="501">
        <f t="shared" si="353"/>
        <v>-8.4440000000000008</v>
      </c>
      <c r="AT179" s="439">
        <f t="shared" si="353"/>
        <v>-8.4440000000000008</v>
      </c>
      <c r="AU179" s="439">
        <f t="shared" si="353"/>
        <v>-8.4440000000000008</v>
      </c>
      <c r="AV179" s="580">
        <f t="shared" si="353"/>
        <v>-8.4440000000000008</v>
      </c>
      <c r="AW179" s="501">
        <f t="shared" si="354"/>
        <v>-8.4440000000000008</v>
      </c>
      <c r="AX179" s="439">
        <f t="shared" si="354"/>
        <v>-8.4440000000000008</v>
      </c>
      <c r="AY179" s="439">
        <f t="shared" si="354"/>
        <v>-8.4440000000000008</v>
      </c>
      <c r="AZ179" s="580">
        <f t="shared" si="354"/>
        <v>-8.4440000000000008</v>
      </c>
      <c r="BA179" s="501">
        <f t="shared" si="354"/>
        <v>-8.4440000000000008</v>
      </c>
      <c r="BB179" s="439">
        <f t="shared" si="354"/>
        <v>-8.4440000000000008</v>
      </c>
      <c r="BC179" s="439">
        <f t="shared" si="354"/>
        <v>-8.4440000000000008</v>
      </c>
      <c r="BD179" s="580">
        <f t="shared" si="354"/>
        <v>-8.4440000000000008</v>
      </c>
      <c r="BF179" s="36"/>
      <c r="BG179" s="595"/>
      <c r="BH179" s="67"/>
      <c r="BI179" s="67"/>
      <c r="BJ179" s="67">
        <v>-7.0000000000000001E-3</v>
      </c>
      <c r="BK179" s="67">
        <f>P179</f>
        <v>-2.7E-2</v>
      </c>
      <c r="BL179" s="67">
        <f>T179</f>
        <v>0.27100000000000002</v>
      </c>
      <c r="BM179" s="67">
        <f>X179</f>
        <v>0.80500000000000005</v>
      </c>
      <c r="BN179" s="67">
        <f>AB179</f>
        <v>3.1880000000000002</v>
      </c>
      <c r="BO179" s="67">
        <f>AF179</f>
        <v>-5.609</v>
      </c>
      <c r="BP179" s="67">
        <f>AJ179</f>
        <v>-13.519</v>
      </c>
      <c r="BQ179" s="110">
        <f>+AN179</f>
        <v>-15.576000000000001</v>
      </c>
      <c r="BR179" s="110">
        <f>AR179</f>
        <v>-8.4440000000000008</v>
      </c>
      <c r="BS179" s="110">
        <f>AV179</f>
        <v>-8.4440000000000008</v>
      </c>
      <c r="BT179" s="110">
        <f>AZ179</f>
        <v>-8.4440000000000008</v>
      </c>
      <c r="BU179" s="110">
        <f>BD179</f>
        <v>-8.4440000000000008</v>
      </c>
      <c r="BV179" s="439">
        <f t="shared" si="355"/>
        <v>-8.4440000000000008</v>
      </c>
      <c r="BW179" s="439">
        <f t="shared" si="355"/>
        <v>-8.4440000000000008</v>
      </c>
      <c r="BX179" s="439">
        <f t="shared" si="355"/>
        <v>-8.4440000000000008</v>
      </c>
      <c r="BY179" s="439">
        <f t="shared" si="355"/>
        <v>-8.4440000000000008</v>
      </c>
      <c r="BZ179" s="461">
        <f t="shared" si="355"/>
        <v>-8.4440000000000008</v>
      </c>
      <c r="CA179" s="54"/>
      <c r="CB179" s="54"/>
      <c r="CC179" s="54"/>
      <c r="CD179" s="54"/>
      <c r="CE179" s="54"/>
      <c r="CF179" s="54"/>
      <c r="CG179" s="1772"/>
      <c r="CH179" s="1772"/>
      <c r="CI179" s="1772"/>
      <c r="CJ179" s="54"/>
      <c r="CK179" s="54"/>
      <c r="CL179" s="54"/>
      <c r="CM179" s="36"/>
      <c r="CN179" s="36"/>
      <c r="CO179" s="36"/>
      <c r="CP179" s="36"/>
      <c r="CQ179" s="36"/>
      <c r="CR179" s="36"/>
    </row>
    <row r="180" spans="1:96" ht="11.25" customHeight="1" outlineLevel="1">
      <c r="A180" s="36"/>
      <c r="H180" s="36"/>
      <c r="I180" s="448" t="s">
        <v>240</v>
      </c>
      <c r="J180" s="5"/>
      <c r="K180" s="5"/>
      <c r="L180" s="5"/>
      <c r="M180" s="67"/>
      <c r="N180" s="67"/>
      <c r="O180" s="389">
        <f>O162-O172-O176</f>
        <v>-25.780000000000005</v>
      </c>
      <c r="P180" s="389">
        <v>-24.385999999999999</v>
      </c>
      <c r="Q180" s="389">
        <f>Q162-Q172-Q176</f>
        <v>-28.481000000000002</v>
      </c>
      <c r="R180" s="389">
        <f>R162-R172-R176</f>
        <v>-30.103000000000002</v>
      </c>
      <c r="S180" s="389">
        <v>-32.149000000000001</v>
      </c>
      <c r="T180" s="389">
        <v>-41.243000000000002</v>
      </c>
      <c r="U180" s="389">
        <v>-51.076000000000001</v>
      </c>
      <c r="V180" s="389">
        <v>-53.058</v>
      </c>
      <c r="W180" s="389">
        <v>-55.067999999999998</v>
      </c>
      <c r="X180" s="389">
        <v>-60.387999999999998</v>
      </c>
      <c r="Y180" s="638">
        <v>-65.186999999999998</v>
      </c>
      <c r="Z180" s="389">
        <v>-66.064999999999998</v>
      </c>
      <c r="AA180" s="389">
        <v>-68.387</v>
      </c>
      <c r="AB180" s="389">
        <v>-70.457999999999998</v>
      </c>
      <c r="AC180" s="1667">
        <v>-73.090999999999994</v>
      </c>
      <c r="AD180" s="389">
        <v>-70.347999999999999</v>
      </c>
      <c r="AE180" s="389">
        <v>-66.710999999999999</v>
      </c>
      <c r="AF180" s="389">
        <v>-33.982999999999997</v>
      </c>
      <c r="AG180" s="1423">
        <v>-35.267000000000003</v>
      </c>
      <c r="AH180" s="1731">
        <v>-36.572000000000003</v>
      </c>
      <c r="AI180" s="435">
        <v>-44.654000000000003</v>
      </c>
      <c r="AJ180" s="2602">
        <v>-66.882999999999996</v>
      </c>
      <c r="AK180" s="2600">
        <v>-80.997</v>
      </c>
      <c r="AL180" s="2602">
        <v>-80.554000000000002</v>
      </c>
      <c r="AM180" s="2602">
        <v>-78.483999999999995</v>
      </c>
      <c r="AN180" s="2602">
        <v>-70.221000000000004</v>
      </c>
      <c r="AO180" s="2600">
        <v>-75.001000000000005</v>
      </c>
      <c r="AP180" s="2602">
        <v>-67.411000000000001</v>
      </c>
      <c r="AQ180" s="2602">
        <v>-67.23</v>
      </c>
      <c r="AR180" s="2602">
        <v>70.034999999999997</v>
      </c>
      <c r="AS180" s="501">
        <f t="shared" ref="AS180:BD180" si="356">AR180+AS201</f>
        <v>66.108381404430631</v>
      </c>
      <c r="AT180" s="439">
        <f t="shared" si="356"/>
        <v>71.573539114885435</v>
      </c>
      <c r="AU180" s="439">
        <f t="shared" si="356"/>
        <v>77.226123173842836</v>
      </c>
      <c r="AV180" s="580">
        <f t="shared" si="356"/>
        <v>86.063851397845497</v>
      </c>
      <c r="AW180" s="501">
        <f t="shared" si="356"/>
        <v>90.457694707750136</v>
      </c>
      <c r="AX180" s="439">
        <f t="shared" si="356"/>
        <v>103.27176063688825</v>
      </c>
      <c r="AY180" s="439">
        <f t="shared" si="356"/>
        <v>116.26884390917218</v>
      </c>
      <c r="AZ180" s="580">
        <f t="shared" si="356"/>
        <v>132.46301619023254</v>
      </c>
      <c r="BA180" s="501">
        <f t="shared" si="356"/>
        <v>140.82361026293125</v>
      </c>
      <c r="BB180" s="439">
        <f t="shared" si="356"/>
        <v>158.72100293577338</v>
      </c>
      <c r="BC180" s="439">
        <f t="shared" si="356"/>
        <v>176.64854150876431</v>
      </c>
      <c r="BD180" s="580">
        <f t="shared" si="356"/>
        <v>198.019228902263</v>
      </c>
      <c r="BF180" s="36"/>
      <c r="BG180" s="596" t="s">
        <v>100</v>
      </c>
      <c r="BH180" s="249" t="s">
        <v>100</v>
      </c>
      <c r="BI180" s="249" t="s">
        <v>100</v>
      </c>
      <c r="BJ180" s="67">
        <v>-14.645</v>
      </c>
      <c r="BK180" s="67">
        <f>P180</f>
        <v>-24.385999999999999</v>
      </c>
      <c r="BL180" s="67">
        <f>T180</f>
        <v>-41.243000000000002</v>
      </c>
      <c r="BM180" s="67">
        <f>X180</f>
        <v>-60.387999999999998</v>
      </c>
      <c r="BN180" s="67">
        <f>AB180</f>
        <v>-70.457999999999998</v>
      </c>
      <c r="BO180" s="67">
        <f>AF180</f>
        <v>-33.982999999999997</v>
      </c>
      <c r="BP180" s="67">
        <f>AJ180</f>
        <v>-66.882999999999996</v>
      </c>
      <c r="BQ180" s="110">
        <f>+AN180</f>
        <v>-70.221000000000004</v>
      </c>
      <c r="BR180" s="110">
        <f>AR180</f>
        <v>70.034999999999997</v>
      </c>
      <c r="BS180" s="110">
        <f>AV180</f>
        <v>86.063851397845497</v>
      </c>
      <c r="BT180" s="110">
        <f>AZ180</f>
        <v>132.46301619023254</v>
      </c>
      <c r="BU180" s="110">
        <f>BD180</f>
        <v>198.019228902263</v>
      </c>
      <c r="BV180" s="439">
        <f>BU180+BV201</f>
        <v>289.41237319269038</v>
      </c>
      <c r="BW180" s="439">
        <f>BV180+BW201</f>
        <v>411.00159469374228</v>
      </c>
      <c r="BX180" s="439">
        <f>BW180+BX201</f>
        <v>563.71785042859051</v>
      </c>
      <c r="BY180" s="439">
        <f>BX180+BY201</f>
        <v>748.57905303740745</v>
      </c>
      <c r="BZ180" s="461">
        <f>BY180+BZ201</f>
        <v>967.47763148633896</v>
      </c>
      <c r="CA180" s="54"/>
      <c r="CB180" s="54"/>
      <c r="CC180" s="54"/>
      <c r="CD180" s="54"/>
      <c r="CE180" s="54"/>
      <c r="CF180" s="54"/>
      <c r="CG180" s="1772"/>
      <c r="CH180" s="1772"/>
      <c r="CI180" s="1772"/>
      <c r="CJ180" s="54"/>
      <c r="CK180" s="54"/>
      <c r="CL180" s="54"/>
      <c r="CM180" s="36"/>
      <c r="CN180" s="36"/>
      <c r="CO180" s="36"/>
      <c r="CP180" s="36"/>
      <c r="CQ180" s="36"/>
      <c r="CR180" s="36"/>
    </row>
    <row r="181" spans="1:96" ht="11.25" customHeight="1">
      <c r="A181" s="55"/>
      <c r="H181" s="55"/>
      <c r="I181" s="444" t="s">
        <v>88</v>
      </c>
      <c r="J181" s="50"/>
      <c r="K181" s="50"/>
      <c r="L181" s="50"/>
      <c r="M181" s="402"/>
      <c r="N181" s="402"/>
      <c r="O181" s="402">
        <f t="shared" ref="O181:T181" si="357">+SUM(O176:O180)</f>
        <v>29.465999999999998</v>
      </c>
      <c r="P181" s="402">
        <f t="shared" si="357"/>
        <v>34.356999999999999</v>
      </c>
      <c r="Q181" s="402">
        <f t="shared" si="357"/>
        <v>26.765000000000001</v>
      </c>
      <c r="R181" s="402">
        <f t="shared" si="357"/>
        <v>25.143000000000001</v>
      </c>
      <c r="S181" s="402">
        <f t="shared" si="357"/>
        <v>31.524000000000001</v>
      </c>
      <c r="T181" s="402">
        <f t="shared" si="357"/>
        <v>31.088000000000001</v>
      </c>
      <c r="U181" s="402">
        <f t="shared" ref="U181:AB181" si="358">+SUM(U176:U180)</f>
        <v>140.614</v>
      </c>
      <c r="V181" s="402">
        <f t="shared" si="358"/>
        <v>140.67800000000003</v>
      </c>
      <c r="W181" s="402">
        <f t="shared" si="358"/>
        <v>142.95600000000002</v>
      </c>
      <c r="X181" s="402">
        <f t="shared" si="358"/>
        <v>165.66200000000001</v>
      </c>
      <c r="Y181" s="640">
        <f t="shared" si="358"/>
        <v>165.43400000000003</v>
      </c>
      <c r="Z181" s="76">
        <f t="shared" si="358"/>
        <v>174.49700000000001</v>
      </c>
      <c r="AA181" s="76">
        <f t="shared" si="358"/>
        <v>196.43099999999998</v>
      </c>
      <c r="AB181" s="76">
        <f t="shared" si="358"/>
        <v>486.48300000000006</v>
      </c>
      <c r="AC181" s="627">
        <f t="shared" ref="AC181:AJ181" si="359">+SUM(AC176:AC180)</f>
        <v>499.93599999999992</v>
      </c>
      <c r="AD181" s="76">
        <f t="shared" si="359"/>
        <v>521.245</v>
      </c>
      <c r="AE181" s="76">
        <f t="shared" si="359"/>
        <v>538.62299999999993</v>
      </c>
      <c r="AF181" s="76">
        <f t="shared" si="359"/>
        <v>588.15</v>
      </c>
      <c r="AG181" s="627">
        <f t="shared" si="359"/>
        <v>656.65599999999995</v>
      </c>
      <c r="AH181" s="76">
        <f t="shared" si="359"/>
        <v>686.16499999999996</v>
      </c>
      <c r="AI181" s="74">
        <f t="shared" si="359"/>
        <v>696.46199999999999</v>
      </c>
      <c r="AJ181" s="76">
        <f t="shared" si="359"/>
        <v>693.62</v>
      </c>
      <c r="AK181" s="627">
        <f t="shared" ref="AK181:AM181" si="360">+SUM(AK176:AK180)</f>
        <v>700.69399999999996</v>
      </c>
      <c r="AL181" s="76">
        <f t="shared" si="360"/>
        <v>729.10699999999997</v>
      </c>
      <c r="AM181" s="76">
        <f t="shared" si="360"/>
        <v>765.58100000000002</v>
      </c>
      <c r="AN181" s="76">
        <f>+SUM(AN176:AN180)</f>
        <v>807.18599999999992</v>
      </c>
      <c r="AO181" s="627">
        <f>+SUM(AO176:AO180)</f>
        <v>831.93500000000006</v>
      </c>
      <c r="AP181" s="76">
        <f>+SUM(AP176:AP180)</f>
        <v>886.66599999999994</v>
      </c>
      <c r="AQ181" s="76">
        <f>+SUM(AQ176:AQ180)</f>
        <v>925.29600000000005</v>
      </c>
      <c r="AR181" s="76">
        <f>+SUM(AR176:AR180)</f>
        <v>1099.6080000000002</v>
      </c>
      <c r="AS181" s="627">
        <f t="shared" ref="AS181:BD181" si="361">+SUM(AS176:AS180)</f>
        <v>1122.4487814044307</v>
      </c>
      <c r="AT181" s="76">
        <f t="shared" si="361"/>
        <v>1155.8154391148855</v>
      </c>
      <c r="AU181" s="76">
        <f t="shared" si="361"/>
        <v>1190.5733731738428</v>
      </c>
      <c r="AV181" s="564">
        <f t="shared" si="361"/>
        <v>1229.8995013978456</v>
      </c>
      <c r="AW181" s="627">
        <f t="shared" si="361"/>
        <v>1264.2728327077502</v>
      </c>
      <c r="AX181" s="76">
        <f t="shared" si="361"/>
        <v>1308.3365786368884</v>
      </c>
      <c r="AY181" s="76">
        <f t="shared" si="361"/>
        <v>1353.9316539091722</v>
      </c>
      <c r="AZ181" s="564">
        <f t="shared" si="361"/>
        <v>1404.2728341902327</v>
      </c>
      <c r="BA181" s="627">
        <f t="shared" si="361"/>
        <v>1445.6108650629312</v>
      </c>
      <c r="BB181" s="76">
        <f t="shared" si="361"/>
        <v>1497.8829057357736</v>
      </c>
      <c r="BC181" s="76">
        <f t="shared" si="361"/>
        <v>1551.6682355087644</v>
      </c>
      <c r="BD181" s="564">
        <f t="shared" si="361"/>
        <v>1610.6006317022632</v>
      </c>
      <c r="BF181" s="36"/>
      <c r="BG181" s="598"/>
      <c r="BH181" s="331"/>
      <c r="BI181" s="331"/>
      <c r="BJ181" s="331">
        <f t="shared" ref="BJ181:BU181" si="362">+SUM(BJ176:BJ180)</f>
        <v>17.708000000000002</v>
      </c>
      <c r="BK181" s="331">
        <f t="shared" si="362"/>
        <v>34.356999999999999</v>
      </c>
      <c r="BL181" s="331">
        <f t="shared" si="362"/>
        <v>31.088000000000001</v>
      </c>
      <c r="BM181" s="331">
        <f t="shared" si="362"/>
        <v>165.66200000000001</v>
      </c>
      <c r="BN181" s="431">
        <f t="shared" si="362"/>
        <v>486.48300000000006</v>
      </c>
      <c r="BO181" s="431">
        <f t="shared" ref="BO181:BT181" si="363">+SUM(BO176:BO180)</f>
        <v>588.15</v>
      </c>
      <c r="BP181" s="431">
        <f t="shared" si="363"/>
        <v>693.62</v>
      </c>
      <c r="BQ181" s="74">
        <f t="shared" si="363"/>
        <v>807.18599999999992</v>
      </c>
      <c r="BR181" s="76">
        <f t="shared" si="363"/>
        <v>1099.6080000000002</v>
      </c>
      <c r="BS181" s="76">
        <f t="shared" si="363"/>
        <v>1229.8995013978456</v>
      </c>
      <c r="BT181" s="76">
        <f t="shared" si="363"/>
        <v>1404.2728341902327</v>
      </c>
      <c r="BU181" s="76">
        <f t="shared" si="362"/>
        <v>1610.6006317022632</v>
      </c>
      <c r="BV181" s="76">
        <f>+SUM(BV176:BV180)</f>
        <v>1852.6193717286908</v>
      </c>
      <c r="BW181" s="76">
        <f>+SUM(BW176:BW180)</f>
        <v>2132.3654687525427</v>
      </c>
      <c r="BX181" s="76">
        <f>+SUM(BX176:BX180)</f>
        <v>2451.1464437863306</v>
      </c>
      <c r="BY181" s="76">
        <f>+SUM(BY176:BY180)</f>
        <v>2810.3756016590351</v>
      </c>
      <c r="BZ181" s="614">
        <f>+SUM(BZ176:BZ180)</f>
        <v>3212.3605331350477</v>
      </c>
      <c r="CA181" s="571"/>
      <c r="CB181" s="571"/>
      <c r="CC181" s="571"/>
      <c r="CD181" s="571"/>
      <c r="CE181" s="571"/>
      <c r="CF181" s="571"/>
      <c r="CG181" s="1774"/>
      <c r="CH181" s="1774"/>
      <c r="CI181" s="1774"/>
      <c r="CJ181" s="571"/>
      <c r="CK181" s="571"/>
      <c r="CL181" s="571"/>
      <c r="CM181" s="55"/>
      <c r="CN181" s="55"/>
      <c r="CO181" s="55"/>
      <c r="CP181" s="55"/>
      <c r="CQ181" s="55"/>
      <c r="CR181" s="55"/>
    </row>
    <row r="182" spans="1:96" ht="11.25" customHeight="1">
      <c r="A182" s="36"/>
      <c r="H182" s="36"/>
      <c r="I182" s="444" t="s">
        <v>89</v>
      </c>
      <c r="J182" s="50"/>
      <c r="K182" s="50"/>
      <c r="L182" s="50"/>
      <c r="M182" s="402"/>
      <c r="N182" s="402"/>
      <c r="O182" s="402">
        <f t="shared" ref="O182:T182" si="364">+O172+O181</f>
        <v>29.465999999999998</v>
      </c>
      <c r="P182" s="402">
        <f t="shared" si="364"/>
        <v>41.015000000000001</v>
      </c>
      <c r="Q182" s="402">
        <f t="shared" si="364"/>
        <v>26.765000000000001</v>
      </c>
      <c r="R182" s="402">
        <f t="shared" si="364"/>
        <v>25.143000000000001</v>
      </c>
      <c r="S182" s="402">
        <f t="shared" si="364"/>
        <v>42.155000000000001</v>
      </c>
      <c r="T182" s="402">
        <f t="shared" si="364"/>
        <v>43.820999999999998</v>
      </c>
      <c r="U182" s="402">
        <f t="shared" ref="U182:AB182" si="365">+U172+U181</f>
        <v>153.08700000000002</v>
      </c>
      <c r="V182" s="402">
        <f t="shared" si="365"/>
        <v>153.84800000000001</v>
      </c>
      <c r="W182" s="402">
        <f t="shared" si="365"/>
        <v>156.53200000000001</v>
      </c>
      <c r="X182" s="402">
        <f t="shared" si="365"/>
        <v>187.696</v>
      </c>
      <c r="Y182" s="640">
        <f t="shared" si="365"/>
        <v>187.29400000000004</v>
      </c>
      <c r="Z182" s="76">
        <f t="shared" si="365"/>
        <v>197.542</v>
      </c>
      <c r="AA182" s="76">
        <f t="shared" si="365"/>
        <v>224.32999999999998</v>
      </c>
      <c r="AB182" s="76">
        <f t="shared" si="365"/>
        <v>515.97800000000007</v>
      </c>
      <c r="AC182" s="627">
        <f t="shared" ref="AC182:AJ182" si="366">+AC172+AC181</f>
        <v>533.47399999999993</v>
      </c>
      <c r="AD182" s="76">
        <f t="shared" si="366"/>
        <v>553.15599999999995</v>
      </c>
      <c r="AE182" s="76">
        <f t="shared" si="366"/>
        <v>577.39899999999989</v>
      </c>
      <c r="AF182" s="331">
        <f t="shared" si="366"/>
        <v>629.65</v>
      </c>
      <c r="AG182" s="658">
        <f t="shared" si="366"/>
        <v>715.88599999999997</v>
      </c>
      <c r="AH182" s="331">
        <f t="shared" si="366"/>
        <v>741.38699999999994</v>
      </c>
      <c r="AI182" s="431">
        <f t="shared" si="366"/>
        <v>764.40499999999997</v>
      </c>
      <c r="AJ182" s="331">
        <f t="shared" si="366"/>
        <v>755.42700000000002</v>
      </c>
      <c r="AK182" s="658">
        <f t="shared" ref="AK182:AM182" si="367">+AK172+AK181</f>
        <v>772.96699999999998</v>
      </c>
      <c r="AL182" s="331">
        <f t="shared" si="367"/>
        <v>799.798</v>
      </c>
      <c r="AM182" s="331">
        <f t="shared" si="367"/>
        <v>845.58799999999997</v>
      </c>
      <c r="AN182" s="331">
        <f>+AN172+AN181</f>
        <v>885.2059999999999</v>
      </c>
      <c r="AO182" s="658">
        <f>+AO172+AO181</f>
        <v>922.17100000000005</v>
      </c>
      <c r="AP182" s="331">
        <f>+AP172+AP181</f>
        <v>970.11500000000001</v>
      </c>
      <c r="AQ182" s="331">
        <f>+AQ172+AQ181</f>
        <v>1027.115</v>
      </c>
      <c r="AR182" s="331">
        <f>+AR172+AR181</f>
        <v>1216.5120000000002</v>
      </c>
      <c r="AS182" s="658">
        <f t="shared" ref="AS182:BD182" si="368">+AS172+AS181</f>
        <v>1212.3685763893022</v>
      </c>
      <c r="AT182" s="331">
        <f t="shared" si="368"/>
        <v>1237.8108225726232</v>
      </c>
      <c r="AU182" s="331">
        <f t="shared" si="368"/>
        <v>1310.4920445440084</v>
      </c>
      <c r="AV182" s="565">
        <f t="shared" si="368"/>
        <v>1360.1418350927652</v>
      </c>
      <c r="AW182" s="658">
        <f t="shared" si="368"/>
        <v>1392.5036669227493</v>
      </c>
      <c r="AX182" s="331">
        <f t="shared" si="368"/>
        <v>1432.2518702805266</v>
      </c>
      <c r="AY182" s="331">
        <f t="shared" si="368"/>
        <v>1486.1872970723725</v>
      </c>
      <c r="AZ182" s="565">
        <f t="shared" si="368"/>
        <v>1547.2551837644605</v>
      </c>
      <c r="BA182" s="658">
        <f t="shared" si="368"/>
        <v>1587.9830212493193</v>
      </c>
      <c r="BB182" s="331">
        <f t="shared" si="368"/>
        <v>1635.0629522744509</v>
      </c>
      <c r="BC182" s="331">
        <f t="shared" si="368"/>
        <v>1697.2180931428497</v>
      </c>
      <c r="BD182" s="565">
        <f t="shared" si="368"/>
        <v>1767.470592782465</v>
      </c>
      <c r="BF182" s="36"/>
      <c r="BG182" s="598"/>
      <c r="BH182" s="331"/>
      <c r="BI182" s="331"/>
      <c r="BJ182" s="331">
        <f t="shared" ref="BJ182:BU182" si="369">+BJ172+BJ181</f>
        <v>20.817</v>
      </c>
      <c r="BK182" s="331">
        <f t="shared" si="369"/>
        <v>41.015000000000001</v>
      </c>
      <c r="BL182" s="331">
        <f t="shared" si="369"/>
        <v>43.820999999999998</v>
      </c>
      <c r="BM182" s="331">
        <f t="shared" si="369"/>
        <v>187.696</v>
      </c>
      <c r="BN182" s="431">
        <f t="shared" si="369"/>
        <v>515.97800000000007</v>
      </c>
      <c r="BO182" s="431">
        <f t="shared" si="369"/>
        <v>629.65</v>
      </c>
      <c r="BP182" s="431">
        <f t="shared" si="369"/>
        <v>755.42700000000002</v>
      </c>
      <c r="BQ182" s="431">
        <f t="shared" si="369"/>
        <v>885.2059999999999</v>
      </c>
      <c r="BR182" s="331">
        <f t="shared" si="369"/>
        <v>1216.5120000000002</v>
      </c>
      <c r="BS182" s="331">
        <f t="shared" si="369"/>
        <v>1360.1418350927652</v>
      </c>
      <c r="BT182" s="331">
        <f t="shared" si="369"/>
        <v>1547.2551837644605</v>
      </c>
      <c r="BU182" s="331">
        <f t="shared" si="369"/>
        <v>1767.470592782465</v>
      </c>
      <c r="BV182" s="331">
        <f>+BV172+BV181</f>
        <v>2020.9895330612594</v>
      </c>
      <c r="BW182" s="331">
        <f>+BW172+BW181</f>
        <v>2311.4110786916417</v>
      </c>
      <c r="BX182" s="331">
        <f>+BX172+BX181</f>
        <v>2640.2020686486512</v>
      </c>
      <c r="BY182" s="331">
        <f>+BY172+BY181</f>
        <v>3008.836117479992</v>
      </c>
      <c r="BZ182" s="694">
        <f>+BZ172+BZ181</f>
        <v>3419.5239934496435</v>
      </c>
      <c r="CA182" s="54"/>
      <c r="CB182" s="54"/>
      <c r="CC182" s="54"/>
      <c r="CD182" s="54"/>
      <c r="CE182" s="54"/>
      <c r="CF182" s="54"/>
      <c r="CG182" s="1772"/>
      <c r="CH182" s="1772"/>
      <c r="CI182" s="1772"/>
      <c r="CJ182" s="54"/>
      <c r="CK182" s="54"/>
      <c r="CL182" s="54"/>
      <c r="CM182" s="36"/>
      <c r="CN182" s="36"/>
      <c r="CO182" s="36"/>
      <c r="CP182" s="36"/>
      <c r="CQ182" s="36"/>
      <c r="CR182" s="36"/>
    </row>
    <row r="183" spans="1:96" ht="11.25" customHeight="1" outlineLevel="1">
      <c r="A183" s="36"/>
      <c r="H183" s="36"/>
      <c r="I183" s="546" t="s">
        <v>109</v>
      </c>
      <c r="J183" s="547"/>
      <c r="K183" s="547"/>
      <c r="L183" s="547"/>
      <c r="M183" s="548"/>
      <c r="N183" s="548"/>
      <c r="O183" s="549" t="str">
        <f t="shared" ref="O183:AJ183" si="370">IF(ROUND(O162-O182,8)=0,"OK",+O162-O182)</f>
        <v>OK</v>
      </c>
      <c r="P183" s="549" t="str">
        <f t="shared" si="370"/>
        <v>OK</v>
      </c>
      <c r="Q183" s="548" t="str">
        <f t="shared" si="370"/>
        <v>OK</v>
      </c>
      <c r="R183" s="548" t="str">
        <f t="shared" si="370"/>
        <v>OK</v>
      </c>
      <c r="S183" s="548" t="str">
        <f t="shared" si="370"/>
        <v>OK</v>
      </c>
      <c r="T183" s="548" t="str">
        <f t="shared" si="370"/>
        <v>OK</v>
      </c>
      <c r="U183" s="548" t="str">
        <f t="shared" si="370"/>
        <v>OK</v>
      </c>
      <c r="V183" s="548" t="str">
        <f t="shared" si="370"/>
        <v>OK</v>
      </c>
      <c r="W183" s="548" t="str">
        <f t="shared" si="370"/>
        <v>OK</v>
      </c>
      <c r="X183" s="549" t="str">
        <f t="shared" si="370"/>
        <v>OK</v>
      </c>
      <c r="Y183" s="663" t="str">
        <f t="shared" si="370"/>
        <v>OK</v>
      </c>
      <c r="Z183" s="549" t="str">
        <f t="shared" si="370"/>
        <v>OK</v>
      </c>
      <c r="AA183" s="549" t="str">
        <f t="shared" si="370"/>
        <v>OK</v>
      </c>
      <c r="AB183" s="549" t="str">
        <f t="shared" si="370"/>
        <v>OK</v>
      </c>
      <c r="AC183" s="659" t="str">
        <f t="shared" si="370"/>
        <v>OK</v>
      </c>
      <c r="AD183" s="549" t="str">
        <f t="shared" si="370"/>
        <v>OK</v>
      </c>
      <c r="AE183" s="549" t="str">
        <f t="shared" si="370"/>
        <v>OK</v>
      </c>
      <c r="AF183" s="549" t="str">
        <f t="shared" si="370"/>
        <v>OK</v>
      </c>
      <c r="AG183" s="659" t="str">
        <f t="shared" si="370"/>
        <v>OK</v>
      </c>
      <c r="AH183" s="549" t="str">
        <f t="shared" si="370"/>
        <v>OK</v>
      </c>
      <c r="AI183" s="549" t="str">
        <f t="shared" si="370"/>
        <v>OK</v>
      </c>
      <c r="AJ183" s="549" t="str">
        <f t="shared" si="370"/>
        <v>OK</v>
      </c>
      <c r="AK183" s="659" t="str">
        <f t="shared" ref="AK183:AP183" si="371">IF(ROUND(AK162-AK182,8)=0,"OK",+AK162-AK182)</f>
        <v>OK</v>
      </c>
      <c r="AL183" s="549" t="str">
        <f>IF(ROUND(AL162-AL182,8)=0,"OK",+AL162-AL182)</f>
        <v>OK</v>
      </c>
      <c r="AM183" s="549" t="str">
        <f>IF(ROUND(AM162-AM182,8)=0,"OK",+AM162-AM182)</f>
        <v>OK</v>
      </c>
      <c r="AN183" s="549" t="str">
        <f>IF(ROUND(AN162-AN182,8)=0,"OK",+AN162-AN182)</f>
        <v>OK</v>
      </c>
      <c r="AO183" s="659" t="str">
        <f>IF(ROUND(AO162-AO182,8)=0,"OK",+AO162-AO182)</f>
        <v>OK</v>
      </c>
      <c r="AP183" s="549" t="str">
        <f t="shared" si="371"/>
        <v>OK</v>
      </c>
      <c r="AQ183" s="549" t="str">
        <f t="shared" ref="AQ183" si="372">IF(ROUND(AQ162-AQ182,8)=0,"OK",+AQ162-AQ182)</f>
        <v>OK</v>
      </c>
      <c r="AR183" s="549" t="str">
        <f>IF(ROUND(AR162-AR182,8)=0,"OK",+AR162-AR182)</f>
        <v>OK</v>
      </c>
      <c r="AS183" s="659" t="str">
        <f t="shared" ref="AS183:BD183" si="373">IF(ROUND(AS162-AS182,8)=0,"OK",+AS162-AS182)</f>
        <v>OK</v>
      </c>
      <c r="AT183" s="549" t="str">
        <f t="shared" si="373"/>
        <v>OK</v>
      </c>
      <c r="AU183" s="549" t="str">
        <f t="shared" si="373"/>
        <v>OK</v>
      </c>
      <c r="AV183" s="550" t="str">
        <f t="shared" si="373"/>
        <v>OK</v>
      </c>
      <c r="AW183" s="659" t="str">
        <f t="shared" si="373"/>
        <v>OK</v>
      </c>
      <c r="AX183" s="549" t="str">
        <f t="shared" si="373"/>
        <v>OK</v>
      </c>
      <c r="AY183" s="549" t="str">
        <f t="shared" si="373"/>
        <v>OK</v>
      </c>
      <c r="AZ183" s="550" t="str">
        <f t="shared" si="373"/>
        <v>OK</v>
      </c>
      <c r="BA183" s="659" t="str">
        <f t="shared" si="373"/>
        <v>OK</v>
      </c>
      <c r="BB183" s="549" t="str">
        <f t="shared" si="373"/>
        <v>OK</v>
      </c>
      <c r="BC183" s="549" t="str">
        <f t="shared" si="373"/>
        <v>OK</v>
      </c>
      <c r="BD183" s="550" t="str">
        <f t="shared" si="373"/>
        <v>OK</v>
      </c>
      <c r="BF183" s="36"/>
      <c r="BG183" s="600"/>
      <c r="BH183" s="574"/>
      <c r="BI183" s="574"/>
      <c r="BJ183" s="548" t="str">
        <f t="shared" ref="BJ183:BU183" si="374">IF(ROUND(BJ162-BJ182,8)=0,"OK",+BJ162-BJ182)</f>
        <v>OK</v>
      </c>
      <c r="BK183" s="548" t="str">
        <f t="shared" si="374"/>
        <v>OK</v>
      </c>
      <c r="BL183" s="548" t="str">
        <f t="shared" si="374"/>
        <v>OK</v>
      </c>
      <c r="BM183" s="549" t="str">
        <f t="shared" si="374"/>
        <v>OK</v>
      </c>
      <c r="BN183" s="1386" t="str">
        <f t="shared" si="374"/>
        <v>OK</v>
      </c>
      <c r="BO183" s="1386" t="str">
        <f t="shared" si="374"/>
        <v>OK</v>
      </c>
      <c r="BP183" s="1386" t="str">
        <f t="shared" si="374"/>
        <v>OK</v>
      </c>
      <c r="BQ183" s="1387" t="str">
        <f t="shared" si="374"/>
        <v>OK</v>
      </c>
      <c r="BR183" s="548" t="str">
        <f t="shared" si="374"/>
        <v>OK</v>
      </c>
      <c r="BS183" s="548" t="str">
        <f t="shared" si="374"/>
        <v>OK</v>
      </c>
      <c r="BT183" s="548" t="str">
        <f t="shared" si="374"/>
        <v>OK</v>
      </c>
      <c r="BU183" s="548" t="str">
        <f t="shared" si="374"/>
        <v>OK</v>
      </c>
      <c r="BV183" s="548" t="str">
        <f>IF(ROUND(BV162-BV182,8)=0,"OK",+BV162-BV182)</f>
        <v>OK</v>
      </c>
      <c r="BW183" s="548" t="str">
        <f>IF(ROUND(BW162-BW182,8)=0,"OK",+BW162-BW182)</f>
        <v>OK</v>
      </c>
      <c r="BX183" s="548" t="str">
        <f>IF(ROUND(BX162-BX182,8)=0,"OK",+BX162-BX182)</f>
        <v>OK</v>
      </c>
      <c r="BY183" s="548" t="str">
        <f>IF(ROUND(BY162-BY182,8)=0,"OK",+BY162-BY182)</f>
        <v>OK</v>
      </c>
      <c r="BZ183" s="618" t="str">
        <f>IF(ROUND(BZ162-BZ182,8)=0,"OK",+BZ162-BZ182)</f>
        <v>OK</v>
      </c>
      <c r="CA183" s="54"/>
      <c r="CB183" s="54"/>
      <c r="CC183" s="54"/>
      <c r="CD183" s="54"/>
      <c r="CE183" s="54"/>
      <c r="CF183" s="54"/>
      <c r="CG183" s="1772"/>
      <c r="CH183" s="1772"/>
      <c r="CI183" s="1772"/>
      <c r="CJ183" s="54"/>
      <c r="CK183" s="54"/>
      <c r="CL183" s="54"/>
      <c r="CM183" s="36"/>
      <c r="CN183" s="36"/>
      <c r="CO183" s="36"/>
      <c r="CP183" s="36"/>
      <c r="CQ183" s="36"/>
      <c r="CR183" s="36"/>
    </row>
    <row r="184" spans="1:96" ht="11.25" customHeight="1">
      <c r="A184" s="36"/>
      <c r="H184" s="36"/>
      <c r="I184" s="448"/>
      <c r="J184" s="5"/>
      <c r="K184" s="5"/>
      <c r="L184" s="5"/>
      <c r="M184" s="54"/>
      <c r="N184" s="54"/>
      <c r="O184" s="54"/>
      <c r="P184" s="54"/>
      <c r="Q184" s="54"/>
      <c r="R184" s="54"/>
      <c r="S184" s="54"/>
      <c r="T184" s="54"/>
      <c r="U184" s="54"/>
      <c r="V184" s="54"/>
      <c r="W184" s="54"/>
      <c r="X184" s="54"/>
      <c r="Y184" s="601"/>
      <c r="Z184" s="54"/>
      <c r="AA184" s="54"/>
      <c r="AB184" s="54"/>
      <c r="AC184" s="633"/>
      <c r="AD184" s="54"/>
      <c r="AE184" s="54"/>
      <c r="AF184" s="54"/>
      <c r="AG184" s="633"/>
      <c r="AH184" s="54"/>
      <c r="AI184" s="54"/>
      <c r="AJ184" s="54"/>
      <c r="AK184" s="633"/>
      <c r="AL184" s="54"/>
      <c r="AM184" s="54"/>
      <c r="AN184" s="551"/>
      <c r="AO184" s="633"/>
      <c r="AP184" s="54"/>
      <c r="AQ184" s="54"/>
      <c r="AR184" s="551"/>
      <c r="AS184" s="633"/>
      <c r="AT184" s="54"/>
      <c r="AU184" s="54"/>
      <c r="AV184" s="551"/>
      <c r="AW184" s="633"/>
      <c r="AX184" s="54"/>
      <c r="AY184" s="54"/>
      <c r="AZ184" s="551"/>
      <c r="BA184" s="633"/>
      <c r="BB184" s="54"/>
      <c r="BC184" s="54"/>
      <c r="BD184" s="551"/>
      <c r="BF184" s="36"/>
      <c r="BG184" s="601"/>
      <c r="BH184" s="54"/>
      <c r="BI184" s="54"/>
      <c r="BJ184" s="54"/>
      <c r="BK184" s="54"/>
      <c r="BL184" s="54"/>
      <c r="BM184" s="54"/>
      <c r="BN184" s="83"/>
      <c r="BO184" s="83"/>
      <c r="BP184" s="83"/>
      <c r="BQ184" s="83"/>
      <c r="BR184" s="54"/>
      <c r="BS184" s="54"/>
      <c r="BT184" s="54"/>
      <c r="BU184" s="54"/>
      <c r="BV184" s="54"/>
      <c r="BW184" s="54"/>
      <c r="BX184" s="54"/>
      <c r="BY184" s="54"/>
      <c r="BZ184" s="619"/>
      <c r="CA184" s="54"/>
      <c r="CB184" s="54"/>
      <c r="CC184" s="54"/>
      <c r="CD184" s="54"/>
      <c r="CE184" s="54"/>
      <c r="CF184" s="54"/>
      <c r="CG184" s="1772"/>
      <c r="CH184" s="1772"/>
      <c r="CI184" s="1772"/>
      <c r="CJ184" s="54"/>
      <c r="CK184" s="54"/>
      <c r="CL184" s="54"/>
      <c r="CM184" s="36"/>
      <c r="CN184" s="36"/>
      <c r="CO184" s="36"/>
      <c r="CP184" s="36"/>
      <c r="CQ184" s="36"/>
      <c r="CR184" s="36"/>
    </row>
    <row r="185" spans="1:96" ht="11.25" customHeight="1">
      <c r="A185" s="36"/>
      <c r="H185" s="36"/>
      <c r="I185" s="535" t="s">
        <v>110</v>
      </c>
      <c r="J185" s="536"/>
      <c r="K185" s="536"/>
      <c r="L185" s="536"/>
      <c r="M185" s="536"/>
      <c r="N185" s="537"/>
      <c r="O185" s="538"/>
      <c r="P185" s="538"/>
      <c r="Q185" s="536"/>
      <c r="R185" s="537"/>
      <c r="S185" s="537"/>
      <c r="T185" s="537"/>
      <c r="U185" s="539"/>
      <c r="V185" s="537"/>
      <c r="W185" s="537"/>
      <c r="X185" s="537"/>
      <c r="Y185" s="535"/>
      <c r="Z185" s="537"/>
      <c r="AA185" s="537"/>
      <c r="AB185" s="537"/>
      <c r="AC185" s="650"/>
      <c r="AD185" s="537"/>
      <c r="AE185" s="537"/>
      <c r="AF185" s="537"/>
      <c r="AG185" s="623"/>
      <c r="AH185" s="537"/>
      <c r="AI185" s="537"/>
      <c r="AJ185" s="537"/>
      <c r="AK185" s="623"/>
      <c r="AL185" s="537"/>
      <c r="AM185" s="537"/>
      <c r="AN185" s="540"/>
      <c r="AO185" s="623"/>
      <c r="AP185" s="537"/>
      <c r="AQ185" s="537"/>
      <c r="AR185" s="540"/>
      <c r="AS185" s="623"/>
      <c r="AT185" s="537"/>
      <c r="AU185" s="537"/>
      <c r="AV185" s="540"/>
      <c r="AW185" s="623"/>
      <c r="AX185" s="537"/>
      <c r="AY185" s="537"/>
      <c r="AZ185" s="540"/>
      <c r="BA185" s="623"/>
      <c r="BB185" s="537"/>
      <c r="BC185" s="537"/>
      <c r="BD185" s="540"/>
      <c r="BF185" s="528"/>
      <c r="BG185" s="593"/>
      <c r="BH185" s="537"/>
      <c r="BI185" s="538"/>
      <c r="BJ185" s="538"/>
      <c r="BK185" s="538"/>
      <c r="BL185" s="538"/>
      <c r="BM185" s="538"/>
      <c r="BN185" s="538"/>
      <c r="BO185" s="538"/>
      <c r="BP185" s="538"/>
      <c r="BQ185" s="537"/>
      <c r="BR185" s="537"/>
      <c r="BS185" s="537"/>
      <c r="BT185" s="537"/>
      <c r="BU185" s="537"/>
      <c r="BV185" s="537"/>
      <c r="BW185" s="537"/>
      <c r="BX185" s="537"/>
      <c r="BY185" s="537"/>
      <c r="BZ185" s="610"/>
      <c r="CA185" s="54"/>
      <c r="CB185" s="54"/>
      <c r="CC185" s="54"/>
      <c r="CD185" s="54"/>
      <c r="CE185" s="54"/>
      <c r="CF185" s="54"/>
      <c r="CG185" s="1772"/>
      <c r="CH185" s="1772"/>
      <c r="CI185" s="1772"/>
      <c r="CJ185" s="54"/>
      <c r="CK185" s="54"/>
      <c r="CL185" s="54"/>
      <c r="CM185" s="36"/>
      <c r="CN185" s="36"/>
      <c r="CO185" s="36"/>
      <c r="CP185" s="36"/>
      <c r="CQ185" s="36"/>
      <c r="CR185" s="36"/>
    </row>
    <row r="186" spans="1:96" s="396" customFormat="1" ht="11.25" customHeight="1">
      <c r="A186" s="42"/>
      <c r="B186"/>
      <c r="C186"/>
      <c r="D186"/>
      <c r="E186"/>
      <c r="F186"/>
      <c r="G186"/>
      <c r="H186" s="42"/>
      <c r="I186" s="566"/>
      <c r="J186" s="413"/>
      <c r="K186" s="413"/>
      <c r="L186" s="413"/>
      <c r="M186" s="413"/>
      <c r="N186" s="83"/>
      <c r="O186" s="320"/>
      <c r="P186" s="320"/>
      <c r="Q186" s="413"/>
      <c r="R186" s="83"/>
      <c r="S186" s="83"/>
      <c r="T186" s="83"/>
      <c r="U186" s="567"/>
      <c r="V186" s="83"/>
      <c r="W186" s="83"/>
      <c r="X186" s="83"/>
      <c r="Y186" s="566"/>
      <c r="Z186" s="83"/>
      <c r="AA186" s="83"/>
      <c r="AB186" s="83"/>
      <c r="AC186" s="482"/>
      <c r="AD186" s="83"/>
      <c r="AE186" s="83"/>
      <c r="AF186" s="83"/>
      <c r="AG186" s="594"/>
      <c r="AH186" s="83"/>
      <c r="AI186" s="83"/>
      <c r="AJ186" s="83"/>
      <c r="AK186" s="656"/>
      <c r="AL186" s="83"/>
      <c r="AM186" s="83"/>
      <c r="AN186" s="568"/>
      <c r="AO186" s="656"/>
      <c r="AP186" s="83"/>
      <c r="AQ186" s="83"/>
      <c r="AR186" s="568"/>
      <c r="AS186" s="656"/>
      <c r="AT186" s="83"/>
      <c r="AU186" s="83"/>
      <c r="AV186" s="568"/>
      <c r="AW186" s="656"/>
      <c r="AX186" s="83"/>
      <c r="AY186" s="83"/>
      <c r="AZ186" s="568"/>
      <c r="BA186" s="656"/>
      <c r="BB186" s="83"/>
      <c r="BC186" s="83"/>
      <c r="BD186" s="568"/>
      <c r="BE186"/>
      <c r="BF186" s="42"/>
      <c r="BG186" s="594"/>
      <c r="BH186" s="83"/>
      <c r="BI186" s="320"/>
      <c r="BJ186" s="320"/>
      <c r="BK186" s="320"/>
      <c r="BL186" s="320"/>
      <c r="BM186" s="320"/>
      <c r="BN186" s="320"/>
      <c r="BO186" s="320"/>
      <c r="BP186" s="2154"/>
      <c r="BQ186" s="2154"/>
      <c r="BR186" s="2154"/>
      <c r="BS186" s="2154"/>
      <c r="BT186" s="2154"/>
      <c r="BU186" s="2154"/>
      <c r="BV186" s="2154"/>
      <c r="BW186" s="2154"/>
      <c r="BX186" s="2154"/>
      <c r="BY186" s="2154"/>
      <c r="BZ186" s="2155"/>
      <c r="CA186" s="83"/>
      <c r="CB186" s="83"/>
      <c r="CC186" s="83"/>
      <c r="CD186" s="83"/>
      <c r="CE186" s="83"/>
      <c r="CF186" s="83"/>
      <c r="CG186" s="1769"/>
      <c r="CH186" s="1769"/>
      <c r="CI186" s="1769"/>
      <c r="CJ186" s="83"/>
      <c r="CK186" s="83"/>
      <c r="CL186" s="83"/>
      <c r="CM186" s="42"/>
      <c r="CN186" s="42"/>
      <c r="CO186" s="42"/>
      <c r="CP186" s="42"/>
      <c r="CQ186" s="42"/>
      <c r="CR186" s="42"/>
    </row>
    <row r="187" spans="1:96" ht="11.25" customHeight="1">
      <c r="A187" s="36"/>
      <c r="H187" s="36"/>
      <c r="I187" s="448" t="s">
        <v>74</v>
      </c>
      <c r="J187" s="5"/>
      <c r="K187" s="5"/>
      <c r="L187" s="5"/>
      <c r="M187" s="409"/>
      <c r="N187" s="409"/>
      <c r="O187" s="409"/>
      <c r="P187" s="434">
        <f t="shared" ref="P187:AF187" si="375">IF(ISERROR(P155/(P$18*4)*365.25),"NA",P155/(P$18*4)*365.25)</f>
        <v>39.534474433678142</v>
      </c>
      <c r="Q187" s="434">
        <f t="shared" si="375"/>
        <v>0</v>
      </c>
      <c r="R187" s="434">
        <f t="shared" si="375"/>
        <v>0</v>
      </c>
      <c r="S187" s="434">
        <f t="shared" si="375"/>
        <v>31.85414985203121</v>
      </c>
      <c r="T187" s="434">
        <f t="shared" si="375"/>
        <v>30.27373268419996</v>
      </c>
      <c r="U187" s="434">
        <f t="shared" si="375"/>
        <v>23.937646065364255</v>
      </c>
      <c r="V187" s="434">
        <f t="shared" si="375"/>
        <v>28.300079625149298</v>
      </c>
      <c r="W187" s="434">
        <f t="shared" si="375"/>
        <v>26.918496192021109</v>
      </c>
      <c r="X187" s="434">
        <f t="shared" si="375"/>
        <v>25.456656826299294</v>
      </c>
      <c r="Y187" s="664">
        <f t="shared" si="375"/>
        <v>24.399219376585087</v>
      </c>
      <c r="Z187" s="434">
        <f t="shared" si="375"/>
        <v>24.50964710212093</v>
      </c>
      <c r="AA187" s="434">
        <f t="shared" si="375"/>
        <v>25.659019957176248</v>
      </c>
      <c r="AB187" s="434">
        <f t="shared" si="375"/>
        <v>27.552332946455113</v>
      </c>
      <c r="AC187" s="465">
        <f t="shared" si="375"/>
        <v>25.546036357925324</v>
      </c>
      <c r="AD187" s="434">
        <f t="shared" si="375"/>
        <v>26.173912002883302</v>
      </c>
      <c r="AE187" s="434">
        <f t="shared" si="375"/>
        <v>27.784560904787465</v>
      </c>
      <c r="AF187" s="434">
        <f t="shared" si="375"/>
        <v>29.576617912036916</v>
      </c>
      <c r="AG187" s="664">
        <f t="shared" ref="AG187:AQ187" si="376">IF(ISERROR(AG155/(AG$23*4)*365.25),"NA",AG155/(AG$23*4)*365.25)</f>
        <v>31.827878466010738</v>
      </c>
      <c r="AH187" s="434">
        <f t="shared" si="376"/>
        <v>30.053880871815288</v>
      </c>
      <c r="AI187" s="434">
        <f t="shared" si="376"/>
        <v>31.845403974739973</v>
      </c>
      <c r="AJ187" s="434">
        <f t="shared" si="376"/>
        <v>32.837020705521482</v>
      </c>
      <c r="AK187" s="465">
        <f t="shared" si="376"/>
        <v>31.533045053053659</v>
      </c>
      <c r="AL187" s="434">
        <f t="shared" si="376"/>
        <v>31.531423342828148</v>
      </c>
      <c r="AM187" s="434">
        <f t="shared" si="376"/>
        <v>32.6491513273766</v>
      </c>
      <c r="AN187" s="434">
        <f t="shared" si="376"/>
        <v>32.215505259348241</v>
      </c>
      <c r="AO187" s="465">
        <f t="shared" si="376"/>
        <v>31.52250973023925</v>
      </c>
      <c r="AP187" s="434">
        <f t="shared" si="376"/>
        <v>30.068806137007819</v>
      </c>
      <c r="AQ187" s="434">
        <f t="shared" si="376"/>
        <v>28.120127428275929</v>
      </c>
      <c r="AR187" s="434">
        <f t="shared" ref="AR187" si="377">IF(ISERROR(AR155/(AR$23*4)*365.25),"NA",AR155/(AR$23*4)*365.25)</f>
        <v>31.870215548051284</v>
      </c>
      <c r="AS187" s="630">
        <f t="shared" ref="AS187:BD187" si="378">AO187-0.25</f>
        <v>31.27250973023925</v>
      </c>
      <c r="AT187" s="587">
        <f t="shared" si="378"/>
        <v>29.818806137007819</v>
      </c>
      <c r="AU187" s="587">
        <f t="shared" si="378"/>
        <v>27.870127428275929</v>
      </c>
      <c r="AV187" s="2152">
        <f t="shared" si="378"/>
        <v>31.620215548051284</v>
      </c>
      <c r="AW187" s="630">
        <f t="shared" si="378"/>
        <v>31.02250973023925</v>
      </c>
      <c r="AX187" s="587">
        <f t="shared" si="378"/>
        <v>29.568806137007819</v>
      </c>
      <c r="AY187" s="587">
        <f t="shared" si="378"/>
        <v>27.620127428275929</v>
      </c>
      <c r="AZ187" s="2152">
        <f t="shared" si="378"/>
        <v>31.370215548051284</v>
      </c>
      <c r="BA187" s="630">
        <f t="shared" si="378"/>
        <v>30.77250973023925</v>
      </c>
      <c r="BB187" s="587">
        <f t="shared" si="378"/>
        <v>29.318806137007819</v>
      </c>
      <c r="BC187" s="587">
        <f t="shared" si="378"/>
        <v>27.370127428275929</v>
      </c>
      <c r="BD187" s="2152">
        <f t="shared" si="378"/>
        <v>31.120215548051284</v>
      </c>
      <c r="BF187" s="36"/>
      <c r="BG187" s="602"/>
      <c r="BH187" s="556"/>
      <c r="BI187" s="556"/>
      <c r="BJ187" s="409">
        <f t="shared" ref="BJ187:BU187" si="379">IF(ISERROR(BJ155/(BJ$23)*365.25),"NA",BJ155/(BJ$23)*365.25)</f>
        <v>31.659340127092374</v>
      </c>
      <c r="BK187" s="409">
        <f t="shared" si="379"/>
        <v>50.604392323647112</v>
      </c>
      <c r="BL187" s="249">
        <f t="shared" si="379"/>
        <v>36.211433631506274</v>
      </c>
      <c r="BM187" s="434">
        <f t="shared" si="379"/>
        <v>30.464493406801108</v>
      </c>
      <c r="BN187" s="434">
        <f t="shared" si="379"/>
        <v>33.419744793723282</v>
      </c>
      <c r="BO187" s="434">
        <f t="shared" si="379"/>
        <v>34.434711524199024</v>
      </c>
      <c r="BP187" s="434">
        <f t="shared" si="379"/>
        <v>37.148185367264311</v>
      </c>
      <c r="BQ187" s="434">
        <f t="shared" si="379"/>
        <v>35.202492676024342</v>
      </c>
      <c r="BR187" s="434">
        <f t="shared" si="379"/>
        <v>32.855173751465792</v>
      </c>
      <c r="BS187" s="434">
        <f t="shared" si="379"/>
        <v>34.176182971518763</v>
      </c>
      <c r="BT187" s="434">
        <f t="shared" si="379"/>
        <v>33.314696841427441</v>
      </c>
      <c r="BU187" s="434">
        <f t="shared" si="379"/>
        <v>32.784107764407509</v>
      </c>
      <c r="BV187" s="584">
        <f>BU187-0.75</f>
        <v>32.034107764407509</v>
      </c>
      <c r="BW187" s="584">
        <f>BV187-0.75</f>
        <v>31.284107764407509</v>
      </c>
      <c r="BX187" s="584">
        <f>BW187-0.75</f>
        <v>30.534107764407509</v>
      </c>
      <c r="BY187" s="584">
        <f>BX187-0.75</f>
        <v>29.784107764407509</v>
      </c>
      <c r="BZ187" s="584">
        <f>BY187-0.75</f>
        <v>29.034107764407509</v>
      </c>
      <c r="CA187" s="54"/>
      <c r="CB187" s="54"/>
      <c r="CC187" s="54"/>
      <c r="CD187" s="54"/>
      <c r="CE187" s="54"/>
      <c r="CF187" s="54"/>
      <c r="CG187" s="1772"/>
      <c r="CH187" s="1772"/>
      <c r="CI187" s="1772"/>
      <c r="CJ187" s="54"/>
      <c r="CK187" s="54"/>
      <c r="CL187" s="54"/>
      <c r="CM187" s="36"/>
      <c r="CN187" s="36"/>
      <c r="CO187" s="36"/>
      <c r="CP187" s="36"/>
      <c r="CQ187" s="36"/>
      <c r="CR187" s="36"/>
    </row>
    <row r="188" spans="1:96" ht="11.25" customHeight="1">
      <c r="A188" s="36"/>
      <c r="H188" s="36"/>
      <c r="I188" s="448" t="s">
        <v>251</v>
      </c>
      <c r="J188" s="5"/>
      <c r="K188" s="5"/>
      <c r="L188" s="5"/>
      <c r="M188" s="409"/>
      <c r="N188" s="409"/>
      <c r="O188" s="409"/>
      <c r="P188" s="434">
        <f t="shared" ref="P188:AN188" si="380">IF(ISERROR(P166/(P28*4)*365.25),"NA",(P166/(P28*4)*365.25))</f>
        <v>78.104968782518213</v>
      </c>
      <c r="Q188" s="434">
        <f t="shared" si="380"/>
        <v>0</v>
      </c>
      <c r="R188" s="434">
        <f t="shared" si="380"/>
        <v>0</v>
      </c>
      <c r="S188" s="434">
        <f t="shared" si="380"/>
        <v>93.529404527559052</v>
      </c>
      <c r="T188" s="434">
        <f t="shared" si="380"/>
        <v>149.48902120044053</v>
      </c>
      <c r="U188" s="434">
        <f t="shared" si="380"/>
        <v>149.40861269614837</v>
      </c>
      <c r="V188" s="434">
        <f t="shared" si="380"/>
        <v>108.86483650022096</v>
      </c>
      <c r="W188" s="434">
        <f t="shared" si="380"/>
        <v>81.974560428455959</v>
      </c>
      <c r="X188" s="434">
        <f t="shared" si="380"/>
        <v>70.339881956155139</v>
      </c>
      <c r="Y188" s="664">
        <f t="shared" si="380"/>
        <v>84.383032435740517</v>
      </c>
      <c r="Z188" s="434">
        <f t="shared" si="380"/>
        <v>45.01451891132124</v>
      </c>
      <c r="AA188" s="434">
        <f t="shared" si="380"/>
        <v>62.122259166067572</v>
      </c>
      <c r="AB188" s="434">
        <f t="shared" si="380"/>
        <v>64.182041370664422</v>
      </c>
      <c r="AC188" s="465">
        <f t="shared" si="380"/>
        <v>29.245204992896291</v>
      </c>
      <c r="AD188" s="434">
        <f t="shared" si="380"/>
        <v>26.79095354523227</v>
      </c>
      <c r="AE188" s="434">
        <f t="shared" si="380"/>
        <v>34.328935146090188</v>
      </c>
      <c r="AF188" s="434">
        <f t="shared" si="380"/>
        <v>18.032896595564345</v>
      </c>
      <c r="AG188" s="664">
        <f t="shared" si="380"/>
        <v>19.550991253644316</v>
      </c>
      <c r="AH188" s="434">
        <f t="shared" si="380"/>
        <v>12.137056875730424</v>
      </c>
      <c r="AI188" s="434">
        <f t="shared" si="380"/>
        <v>21.830715603298614</v>
      </c>
      <c r="AJ188" s="434">
        <f t="shared" si="380"/>
        <v>21.09702332242226</v>
      </c>
      <c r="AK188" s="465">
        <f t="shared" si="380"/>
        <v>19.908700688151534</v>
      </c>
      <c r="AL188" s="434">
        <f t="shared" si="380"/>
        <v>8.2417617506811993</v>
      </c>
      <c r="AM188" s="434">
        <f t="shared" si="380"/>
        <v>6.6355070498915385</v>
      </c>
      <c r="AN188" s="434">
        <f t="shared" si="380"/>
        <v>12.416764256619146</v>
      </c>
      <c r="AO188" s="465">
        <f>IF(ISERROR(AO166/(AO28*4)*365.25),"NA",(AO166/(AO28*4)*365.25))</f>
        <v>130.63882743362831</v>
      </c>
      <c r="AP188" s="434">
        <f>IF(ISERROR(AP166/(AP28*4)*365.25),"NA",(AP166/(AP28*4)*365.25))</f>
        <v>108.90319974852331</v>
      </c>
      <c r="AQ188" s="434">
        <f>IF(ISERROR(AQ166/(AQ28*4)*365.25),"NA",(AQ166/(AQ28*4)*365.25))</f>
        <v>15.686469648998308</v>
      </c>
      <c r="AR188" s="434">
        <f t="shared" ref="AR188" si="381">IF(ISERROR(AR166/(AR28*4)*365.25),"NA",(AR166/(AR28*4)*365.25))</f>
        <v>54.418804017945504</v>
      </c>
      <c r="AS188" s="1665">
        <f>AK188</f>
        <v>19.908700688151534</v>
      </c>
      <c r="AT188" s="438">
        <f>AL188</f>
        <v>8.2417617506811993</v>
      </c>
      <c r="AU188" s="438">
        <f t="shared" ref="AU188:BD188" si="382">AQ188+0.25</f>
        <v>15.936469648998308</v>
      </c>
      <c r="AV188" s="460">
        <f t="shared" si="382"/>
        <v>54.668804017945504</v>
      </c>
      <c r="AW188" s="1665">
        <f t="shared" si="382"/>
        <v>20.158700688151534</v>
      </c>
      <c r="AX188" s="438">
        <f t="shared" si="382"/>
        <v>8.4917617506811993</v>
      </c>
      <c r="AY188" s="438">
        <f t="shared" si="382"/>
        <v>16.186469648998308</v>
      </c>
      <c r="AZ188" s="460">
        <f t="shared" si="382"/>
        <v>54.918804017945504</v>
      </c>
      <c r="BA188" s="1665">
        <f t="shared" si="382"/>
        <v>20.408700688151534</v>
      </c>
      <c r="BB188" s="438">
        <f t="shared" si="382"/>
        <v>8.7417617506811993</v>
      </c>
      <c r="BC188" s="438">
        <f t="shared" si="382"/>
        <v>16.436469648998308</v>
      </c>
      <c r="BD188" s="460">
        <f t="shared" si="382"/>
        <v>55.168804017945504</v>
      </c>
      <c r="BF188" s="36"/>
      <c r="BG188" s="602"/>
      <c r="BH188" s="556"/>
      <c r="BI188" s="556"/>
      <c r="BJ188" s="409">
        <f t="shared" ref="BJ188:BU188" si="383">IF(ISERROR(BJ166/(BJ28)*365.25),"NA",(BJ166/(BJ28)*365.25))</f>
        <v>90.579393398751122</v>
      </c>
      <c r="BK188" s="409">
        <f t="shared" si="383"/>
        <v>96.507714561234323</v>
      </c>
      <c r="BL188" s="249">
        <f t="shared" si="383"/>
        <v>184.64347049821458</v>
      </c>
      <c r="BM188" s="434">
        <f t="shared" si="383"/>
        <v>85.082202957674653</v>
      </c>
      <c r="BN188" s="434">
        <f t="shared" si="383"/>
        <v>76.127695167286234</v>
      </c>
      <c r="BO188" s="434">
        <f t="shared" si="383"/>
        <v>21.587938105102946</v>
      </c>
      <c r="BP188" s="434">
        <f t="shared" si="383"/>
        <v>24.799931860996431</v>
      </c>
      <c r="BQ188" s="434">
        <f t="shared" si="383"/>
        <v>12.631796363761937</v>
      </c>
      <c r="BR188" s="434">
        <f t="shared" si="383"/>
        <v>49.607614873398681</v>
      </c>
      <c r="BS188" s="434">
        <f t="shared" si="383"/>
        <v>52.612693766746553</v>
      </c>
      <c r="BT188" s="434">
        <f t="shared" si="383"/>
        <v>51.717162806255885</v>
      </c>
      <c r="BU188" s="434">
        <f t="shared" si="383"/>
        <v>51.331815519979614</v>
      </c>
      <c r="BV188" s="584">
        <f>BU188+0.75</f>
        <v>52.081815519979614</v>
      </c>
      <c r="BW188" s="584">
        <f>BV188+0.75</f>
        <v>52.831815519979614</v>
      </c>
      <c r="BX188" s="584">
        <f>BW188+0.75</f>
        <v>53.581815519979614</v>
      </c>
      <c r="BY188" s="584">
        <f>BX188+0.75</f>
        <v>54.331815519979614</v>
      </c>
      <c r="BZ188" s="616">
        <f>BY188+0.75</f>
        <v>55.081815519979614</v>
      </c>
      <c r="CA188" s="54"/>
      <c r="CB188" s="54"/>
      <c r="CC188" s="54"/>
      <c r="CD188" s="54"/>
      <c r="CE188" s="54"/>
      <c r="CF188" s="54"/>
      <c r="CG188" s="1772"/>
      <c r="CH188" s="1772"/>
      <c r="CI188" s="1772"/>
      <c r="CJ188" s="54"/>
      <c r="CK188" s="54"/>
      <c r="CL188" s="54"/>
      <c r="CM188" s="36"/>
      <c r="CN188" s="36"/>
      <c r="CO188" s="36"/>
      <c r="CP188" s="36"/>
      <c r="CQ188" s="36"/>
      <c r="CR188" s="36"/>
    </row>
    <row r="189" spans="1:96" ht="11.25" customHeight="1">
      <c r="A189" s="36"/>
      <c r="H189" s="36"/>
      <c r="I189" s="448" t="s">
        <v>317</v>
      </c>
      <c r="J189" s="5"/>
      <c r="K189" s="5"/>
      <c r="L189" s="5"/>
      <c r="M189" s="265"/>
      <c r="N189" s="265"/>
      <c r="O189" s="265"/>
      <c r="P189" s="552">
        <f t="shared" ref="P189:AN189" si="384">IF(ISERROR(P156/(P39*4)),"NA",P156/(P39*4))</f>
        <v>2.524363833243097E-2</v>
      </c>
      <c r="Q189" s="552">
        <f t="shared" si="384"/>
        <v>0</v>
      </c>
      <c r="R189" s="552">
        <f t="shared" si="384"/>
        <v>0</v>
      </c>
      <c r="S189" s="553">
        <f t="shared" si="384"/>
        <v>1.3718236667107057E-2</v>
      </c>
      <c r="T189" s="553">
        <f t="shared" si="384"/>
        <v>1.7646220267188012E-2</v>
      </c>
      <c r="U189" s="554">
        <f t="shared" si="384"/>
        <v>2.2722330941509026E-2</v>
      </c>
      <c r="V189" s="554">
        <f t="shared" si="384"/>
        <v>2.1578601903511647E-2</v>
      </c>
      <c r="W189" s="554">
        <f t="shared" si="384"/>
        <v>2.138594659107862E-2</v>
      </c>
      <c r="X189" s="554">
        <f t="shared" si="384"/>
        <v>3.1642960214388782E-2</v>
      </c>
      <c r="Y189" s="665">
        <f t="shared" si="384"/>
        <v>4.0817295142267264E-2</v>
      </c>
      <c r="Z189" s="554">
        <f t="shared" si="384"/>
        <v>3.5022946255736563E-2</v>
      </c>
      <c r="AA189" s="554">
        <f t="shared" si="384"/>
        <v>3.2878471819832347E-2</v>
      </c>
      <c r="AB189" s="554">
        <f t="shared" si="384"/>
        <v>2.4379492743794924E-2</v>
      </c>
      <c r="AC189" s="1779">
        <f t="shared" si="384"/>
        <v>3.409602569490304E-2</v>
      </c>
      <c r="AD189" s="554">
        <f t="shared" si="384"/>
        <v>0.24476743353710034</v>
      </c>
      <c r="AE189" s="554">
        <f t="shared" si="384"/>
        <v>0.25598233668837578</v>
      </c>
      <c r="AF189" s="554">
        <f t="shared" si="384"/>
        <v>5.8298192771084341E-2</v>
      </c>
      <c r="AG189" s="665">
        <f t="shared" si="384"/>
        <v>5.647640556754982E-2</v>
      </c>
      <c r="AH189" s="554">
        <f t="shared" si="384"/>
        <v>5.3816153612859206E-2</v>
      </c>
      <c r="AI189" s="554">
        <f t="shared" si="384"/>
        <v>6.4024878971498195E-2</v>
      </c>
      <c r="AJ189" s="554">
        <f t="shared" si="384"/>
        <v>3.8028538777527252E-2</v>
      </c>
      <c r="AK189" s="1779">
        <f t="shared" si="384"/>
        <v>3.074968188125005E-2</v>
      </c>
      <c r="AL189" s="554">
        <f t="shared" si="384"/>
        <v>2.8290196754520183E-2</v>
      </c>
      <c r="AM189" s="554">
        <f t="shared" si="384"/>
        <v>2.6387592810484032E-2</v>
      </c>
      <c r="AN189" s="554">
        <f t="shared" si="384"/>
        <v>2.1873159038738901E-2</v>
      </c>
      <c r="AO189" s="1779">
        <f>IF(ISERROR(AO156/(AO39*4)),"NA",AO156/(AO39*4))</f>
        <v>2.2244478495516945E-2</v>
      </c>
      <c r="AP189" s="554">
        <f>IF(ISERROR(AP156/(AP39*4)),"NA",AP156/(AP39*4))</f>
        <v>2.2405741686777194E-2</v>
      </c>
      <c r="AQ189" s="554">
        <f>IF(ISERROR(AQ156/(AQ39*4)),"NA",AQ156/(AQ39*4))</f>
        <v>0.23205155052964066</v>
      </c>
      <c r="AR189" s="554">
        <f t="shared" ref="AR189" si="385">IF(ISERROR(AR156/(AR39*4)),"NA",AR156/(AR39*4))</f>
        <v>2.2928812608802324E-2</v>
      </c>
      <c r="AS189" s="660">
        <f>AR189</f>
        <v>2.2928812608802324E-2</v>
      </c>
      <c r="AT189" s="585">
        <f t="shared" ref="AT189:AV189" si="386">AS189</f>
        <v>2.2928812608802324E-2</v>
      </c>
      <c r="AU189" s="585">
        <f t="shared" si="386"/>
        <v>2.2928812608802324E-2</v>
      </c>
      <c r="AV189" s="1246">
        <f t="shared" si="386"/>
        <v>2.2928812608802324E-2</v>
      </c>
      <c r="AW189" s="660">
        <f>AVERAGE(AU189:AV189)-0.015%</f>
        <v>2.2778812608802324E-2</v>
      </c>
      <c r="AX189" s="585">
        <f>AVERAGE(AV189:AW189)-0.02%</f>
        <v>2.2653812608802323E-2</v>
      </c>
      <c r="AY189" s="585">
        <f>AVERAGE(AW189:AX189)-0.02%</f>
        <v>2.2516312608802325E-2</v>
      </c>
      <c r="AZ189" s="586">
        <f>AVERAGE(AX189:AY189)-0.05%</f>
        <v>2.2085062608802324E-2</v>
      </c>
      <c r="BA189" s="660">
        <f>AVERAGE(AY189:AZ189)-0.015%</f>
        <v>2.2150687608802323E-2</v>
      </c>
      <c r="BB189" s="585">
        <f>AVERAGE(AZ189:BA189)-0.02%</f>
        <v>2.1917875108802325E-2</v>
      </c>
      <c r="BC189" s="585">
        <f>AVERAGE(BA189:BB189)-0.02%</f>
        <v>2.1834281358802325E-2</v>
      </c>
      <c r="BD189" s="586">
        <f>AVERAGE(BB189:BC189)-0.05%</f>
        <v>2.1376078233802324E-2</v>
      </c>
      <c r="BF189" s="36"/>
      <c r="BG189" s="451"/>
      <c r="BH189" s="199"/>
      <c r="BI189" s="199"/>
      <c r="BJ189" s="265">
        <f t="shared" ref="BJ189:BU189" si="387">IF(ISERROR(BJ156/(BJ39)),"NA",BJ156/(BJ39))</f>
        <v>3.3631863356384385E-2</v>
      </c>
      <c r="BK189" s="265">
        <f t="shared" si="387"/>
        <v>2.9030061290008752E-2</v>
      </c>
      <c r="BL189" s="199">
        <f t="shared" si="387"/>
        <v>2.0937537755225326E-2</v>
      </c>
      <c r="BM189" s="264">
        <f t="shared" si="387"/>
        <v>3.7672467347204856E-2</v>
      </c>
      <c r="BN189" s="264">
        <f t="shared" si="387"/>
        <v>2.892283556422659E-2</v>
      </c>
      <c r="BO189" s="264">
        <f t="shared" si="387"/>
        <v>6.4398388293500947E-2</v>
      </c>
      <c r="BP189" s="264">
        <f t="shared" si="387"/>
        <v>4.2798640002607018E-2</v>
      </c>
      <c r="BQ189" s="264">
        <f t="shared" si="387"/>
        <v>2.2515513068267955E-2</v>
      </c>
      <c r="BR189" s="264">
        <f t="shared" si="387"/>
        <v>2.360451462652997E-2</v>
      </c>
      <c r="BS189" s="264">
        <f t="shared" si="387"/>
        <v>2.4257170647234941E-2</v>
      </c>
      <c r="BT189" s="264">
        <f t="shared" si="387"/>
        <v>2.3009335758248942E-2</v>
      </c>
      <c r="BU189" s="264">
        <f t="shared" si="387"/>
        <v>2.2095247719533147E-2</v>
      </c>
      <c r="BV189" s="585">
        <f t="shared" ref="BV189:BZ191" si="388">BU189</f>
        <v>2.2095247719533147E-2</v>
      </c>
      <c r="BW189" s="585">
        <f t="shared" si="388"/>
        <v>2.2095247719533147E-2</v>
      </c>
      <c r="BX189" s="585">
        <f t="shared" si="388"/>
        <v>2.2095247719533147E-2</v>
      </c>
      <c r="BY189" s="585">
        <f t="shared" si="388"/>
        <v>2.2095247719533147E-2</v>
      </c>
      <c r="BZ189" s="1246">
        <f t="shared" si="388"/>
        <v>2.2095247719533147E-2</v>
      </c>
      <c r="CA189" s="54"/>
      <c r="CB189" s="54"/>
      <c r="CC189" s="54"/>
      <c r="CD189" s="54"/>
      <c r="CE189" s="54"/>
      <c r="CF189" s="54"/>
      <c r="CG189" s="1772"/>
      <c r="CH189" s="1772"/>
      <c r="CI189" s="1772"/>
      <c r="CJ189" s="54"/>
      <c r="CK189" s="54"/>
      <c r="CL189" s="54"/>
      <c r="CM189" s="36"/>
      <c r="CN189" s="36"/>
      <c r="CO189" s="36"/>
      <c r="CP189" s="36"/>
      <c r="CQ189" s="36"/>
      <c r="CR189" s="36"/>
    </row>
    <row r="190" spans="1:96" ht="11.25" customHeight="1">
      <c r="A190" s="36"/>
      <c r="H190" s="36"/>
      <c r="I190" s="448" t="s">
        <v>318</v>
      </c>
      <c r="J190" s="5"/>
      <c r="K190" s="5"/>
      <c r="L190" s="5"/>
      <c r="M190" s="265"/>
      <c r="N190" s="265"/>
      <c r="O190" s="265"/>
      <c r="P190" s="552">
        <f t="shared" ref="P190:AF190" si="389">IF(ISERROR(P167/(P39*4)),"NA",P167/(P39*4))</f>
        <v>7.4326610720086631E-2</v>
      </c>
      <c r="Q190" s="552">
        <f t="shared" si="389"/>
        <v>0</v>
      </c>
      <c r="R190" s="552">
        <f t="shared" si="389"/>
        <v>0</v>
      </c>
      <c r="S190" s="553">
        <f t="shared" si="389"/>
        <v>7.9689082661734259E-2</v>
      </c>
      <c r="T190" s="553">
        <f t="shared" si="389"/>
        <v>7.8252280873248606E-2</v>
      </c>
      <c r="U190" s="554">
        <f t="shared" si="389"/>
        <v>7.2751322751322747E-2</v>
      </c>
      <c r="V190" s="554">
        <f t="shared" si="389"/>
        <v>7.5434853954709558E-2</v>
      </c>
      <c r="W190" s="554">
        <f t="shared" si="389"/>
        <v>7.5413993734148879E-2</v>
      </c>
      <c r="X190" s="554">
        <f t="shared" si="389"/>
        <v>0.10543573490002062</v>
      </c>
      <c r="Y190" s="665">
        <f t="shared" si="389"/>
        <v>8.9898906001566262E-2</v>
      </c>
      <c r="Z190" s="554">
        <f t="shared" si="389"/>
        <v>9.6183961545990376E-2</v>
      </c>
      <c r="AA190" s="554">
        <f t="shared" si="389"/>
        <v>0.10642407385946613</v>
      </c>
      <c r="AB190" s="554">
        <f t="shared" si="389"/>
        <v>9.6331208463312085E-2</v>
      </c>
      <c r="AC190" s="1779">
        <f t="shared" si="389"/>
        <v>9.0022212883472411E-2</v>
      </c>
      <c r="AD190" s="554">
        <f t="shared" si="389"/>
        <v>7.7382571473565143E-2</v>
      </c>
      <c r="AE190" s="554">
        <f t="shared" si="389"/>
        <v>8.4539051707124543E-2</v>
      </c>
      <c r="AF190" s="554">
        <f t="shared" si="389"/>
        <v>8.9099397590361451E-2</v>
      </c>
      <c r="AG190" s="665">
        <f>AVERAGE(AE190:AF190)</f>
        <v>8.6819224648743004E-2</v>
      </c>
      <c r="AH190" s="554">
        <f t="shared" ref="AH190:AN190" si="390">IF(ISERROR(AH167/(AH39*4)),"NA",AH167/(AH39*4))</f>
        <v>8.9364242929714163E-2</v>
      </c>
      <c r="AI190" s="554">
        <f t="shared" si="390"/>
        <v>9.8678304639158734E-2</v>
      </c>
      <c r="AJ190" s="554">
        <f t="shared" si="390"/>
        <v>8.389057046668931E-2</v>
      </c>
      <c r="AK190" s="1779">
        <f t="shared" si="390"/>
        <v>9.4831738545927732E-2</v>
      </c>
      <c r="AL190" s="554">
        <f t="shared" si="390"/>
        <v>9.2599975576291765E-2</v>
      </c>
      <c r="AM190" s="554">
        <f t="shared" si="390"/>
        <v>0.10029956316522633</v>
      </c>
      <c r="AN190" s="554">
        <f t="shared" si="390"/>
        <v>9.324489947928305E-2</v>
      </c>
      <c r="AO190" s="1779">
        <f>IF(ISERROR(AO167/(AO39*4)),"NA",AO167/(AO39*4))</f>
        <v>7.0724180158891314E-2</v>
      </c>
      <c r="AP190" s="554">
        <f>IF(ISERROR(AP167/(AP39*4)),"NA",AP167/(AP39*4))</f>
        <v>6.4148932836054773E-2</v>
      </c>
      <c r="AQ190" s="554">
        <f>IF(ISERROR(AQ167/(AQ39*4)),"NA",AQ167/(AQ39*4))</f>
        <v>7.0269735732276961E-2</v>
      </c>
      <c r="AR190" s="554">
        <f t="shared" ref="AR190" si="391">IF(ISERROR(AR167/(AR39*4)),"NA",AR167/(AR39*4))</f>
        <v>0.107582865020855</v>
      </c>
      <c r="AS190" s="660">
        <f>AO190</f>
        <v>7.0724180158891314E-2</v>
      </c>
      <c r="AT190" s="585">
        <f t="shared" ref="AT190" si="392">AP190</f>
        <v>6.4148932836054773E-2</v>
      </c>
      <c r="AU190" s="585">
        <f t="shared" ref="AU190" si="393">AQ190</f>
        <v>7.0269735732276961E-2</v>
      </c>
      <c r="AV190" s="1246">
        <f t="shared" ref="AV190" si="394">AR190</f>
        <v>0.107582865020855</v>
      </c>
      <c r="AW190" s="660">
        <f>AVERAGE(AU190:AV190)+0.1%</f>
        <v>8.9926300376565987E-2</v>
      </c>
      <c r="AX190" s="585">
        <f>AVERAGE(AV190:AW190)+0.1%</f>
        <v>9.9754582698710487E-2</v>
      </c>
      <c r="AY190" s="585">
        <f>AVERAGE(AW190:AX190)+0.0602%</f>
        <v>9.5442441537638242E-2</v>
      </c>
      <c r="AZ190" s="586">
        <f>AVERAGE(AX190:AY190)+0.0616%</f>
        <v>9.8214512118174363E-2</v>
      </c>
      <c r="BA190" s="660">
        <f>AVERAGE(AY190:AZ190)+0.1%</f>
        <v>9.7828476827906297E-2</v>
      </c>
      <c r="BB190" s="585">
        <f>AVERAGE(AZ190:BA190)+0.1%</f>
        <v>9.9021494473040331E-2</v>
      </c>
      <c r="BC190" s="585">
        <f>AVERAGE(BA190:BB190)+0.0602%</f>
        <v>9.9026985650473312E-2</v>
      </c>
      <c r="BD190" s="586">
        <f>AVERAGE(BB190:BC190)+0.0616%</f>
        <v>9.9640240061756827E-2</v>
      </c>
      <c r="BF190" s="36"/>
      <c r="BG190" s="451"/>
      <c r="BH190" s="199"/>
      <c r="BI190" s="199"/>
      <c r="BJ190" s="265">
        <f t="shared" ref="BJ190:BU190" si="395">IF(ISERROR(BJ167/(BJ39)),"NA",BJ167/(BJ39))</f>
        <v>7.3083172731738644E-2</v>
      </c>
      <c r="BK190" s="265">
        <f t="shared" si="395"/>
        <v>8.5475240782177248E-2</v>
      </c>
      <c r="BL190" s="199">
        <f t="shared" si="395"/>
        <v>9.2847650114775887E-2</v>
      </c>
      <c r="BM190" s="264">
        <f t="shared" si="395"/>
        <v>0.12552631780775692</v>
      </c>
      <c r="BN190" s="264">
        <f t="shared" si="395"/>
        <v>0.11428341562999687</v>
      </c>
      <c r="BO190" s="264">
        <f t="shared" si="395"/>
        <v>9.8422563890986886E-2</v>
      </c>
      <c r="BP190" s="264">
        <f t="shared" si="395"/>
        <v>9.4413365341791664E-2</v>
      </c>
      <c r="BQ190" s="264">
        <f t="shared" si="395"/>
        <v>9.5983243620953146E-2</v>
      </c>
      <c r="BR190" s="264">
        <f t="shared" si="395"/>
        <v>0.11075328471104016</v>
      </c>
      <c r="BS190" s="264">
        <f t="shared" si="395"/>
        <v>0.11381557170245618</v>
      </c>
      <c r="BT190" s="264">
        <f t="shared" si="395"/>
        <v>0.10232484850457189</v>
      </c>
      <c r="BU190" s="264">
        <f t="shared" si="395"/>
        <v>0.10299250231583086</v>
      </c>
      <c r="BV190" s="585">
        <f t="shared" si="388"/>
        <v>0.10299250231583086</v>
      </c>
      <c r="BW190" s="585">
        <f t="shared" si="388"/>
        <v>0.10299250231583086</v>
      </c>
      <c r="BX190" s="585">
        <f t="shared" si="388"/>
        <v>0.10299250231583086</v>
      </c>
      <c r="BY190" s="585">
        <f t="shared" si="388"/>
        <v>0.10299250231583086</v>
      </c>
      <c r="BZ190" s="1246">
        <f t="shared" si="388"/>
        <v>0.10299250231583086</v>
      </c>
      <c r="CA190" s="54"/>
      <c r="CB190" s="54"/>
      <c r="CC190" s="54"/>
      <c r="CD190" s="54"/>
      <c r="CE190" s="54"/>
      <c r="CF190" s="54"/>
      <c r="CG190" s="1772"/>
      <c r="CH190" s="1772"/>
      <c r="CI190" s="1772"/>
      <c r="CJ190" s="54"/>
      <c r="CK190" s="54"/>
      <c r="CL190" s="54"/>
      <c r="CM190" s="36"/>
      <c r="CN190" s="36"/>
      <c r="CO190" s="36"/>
      <c r="CP190" s="36"/>
      <c r="CQ190" s="36"/>
      <c r="CR190" s="36"/>
    </row>
    <row r="191" spans="1:96" ht="11.25" customHeight="1">
      <c r="A191" s="36"/>
      <c r="H191" s="36"/>
      <c r="I191" s="448" t="s">
        <v>75</v>
      </c>
      <c r="J191" s="5"/>
      <c r="K191" s="5"/>
      <c r="L191" s="5"/>
      <c r="M191" s="265"/>
      <c r="N191" s="265"/>
      <c r="O191" s="265"/>
      <c r="P191" s="552">
        <f t="shared" ref="P191:AF191" si="396">IF(ISERROR(P168/(P18*4)),"NA",P168/(P18*4))</f>
        <v>2.3553096765745712E-2</v>
      </c>
      <c r="Q191" s="552">
        <f t="shared" si="396"/>
        <v>0</v>
      </c>
      <c r="R191" s="552">
        <f t="shared" si="396"/>
        <v>0</v>
      </c>
      <c r="S191" s="354">
        <f t="shared" si="396"/>
        <v>2.0491435745673036E-2</v>
      </c>
      <c r="T191" s="354">
        <f t="shared" si="396"/>
        <v>2.0799036338084723E-2</v>
      </c>
      <c r="U191" s="555">
        <f t="shared" si="396"/>
        <v>9.1199561803907252E-3</v>
      </c>
      <c r="V191" s="555">
        <f t="shared" si="396"/>
        <v>9.7693933176124705E-3</v>
      </c>
      <c r="W191" s="555">
        <f t="shared" si="396"/>
        <v>8.543894861290589E-3</v>
      </c>
      <c r="X191" s="555">
        <f t="shared" si="396"/>
        <v>1.7348203221809171E-2</v>
      </c>
      <c r="Y191" s="666">
        <f t="shared" si="396"/>
        <v>1.6723386729672902E-2</v>
      </c>
      <c r="Z191" s="555">
        <f t="shared" si="396"/>
        <v>1.2444795812660159E-2</v>
      </c>
      <c r="AA191" s="555">
        <f t="shared" si="396"/>
        <v>9.0755299847992028E-3</v>
      </c>
      <c r="AB191" s="555">
        <f t="shared" si="396"/>
        <v>9.2744617910574517E-3</v>
      </c>
      <c r="AC191" s="1780">
        <f t="shared" si="396"/>
        <v>7.145942125721466E-3</v>
      </c>
      <c r="AD191" s="555">
        <f t="shared" si="396"/>
        <v>6.1551803755054224E-3</v>
      </c>
      <c r="AE191" s="555">
        <f t="shared" si="396"/>
        <v>5.2340051730027821E-3</v>
      </c>
      <c r="AF191" s="555">
        <f t="shared" si="396"/>
        <v>6.8115427666602972E-3</v>
      </c>
      <c r="AG191" s="666">
        <f>AVERAGE(AE191:AF191)</f>
        <v>6.0227739698315401E-3</v>
      </c>
      <c r="AH191" s="555">
        <f t="shared" ref="AH191:AQ191" si="397">IF(ISERROR(AH168/(AH23*4)),"NA",AH168/(AH23*4))</f>
        <v>5.0676751592356687E-3</v>
      </c>
      <c r="AI191" s="555">
        <f t="shared" si="397"/>
        <v>4.7232540861812779E-3</v>
      </c>
      <c r="AJ191" s="555">
        <f t="shared" si="397"/>
        <v>4.9948875255623731E-3</v>
      </c>
      <c r="AK191" s="1780">
        <f t="shared" si="397"/>
        <v>4.6922383411195801E-3</v>
      </c>
      <c r="AL191" s="555">
        <f t="shared" si="397"/>
        <v>4.81035357612381E-3</v>
      </c>
      <c r="AM191" s="555">
        <f t="shared" si="397"/>
        <v>4.3319622836032476E-3</v>
      </c>
      <c r="AN191" s="555">
        <f t="shared" si="397"/>
        <v>4.2531674161687101E-3</v>
      </c>
      <c r="AO191" s="1780">
        <f t="shared" si="397"/>
        <v>4.545846150727487E-3</v>
      </c>
      <c r="AP191" s="555">
        <f t="shared" si="397"/>
        <v>4.5484142791481531E-3</v>
      </c>
      <c r="AQ191" s="555">
        <f t="shared" si="397"/>
        <v>3.2418607788470194E-2</v>
      </c>
      <c r="AR191" s="555">
        <f t="shared" ref="AR191" si="398">IF(ISERROR(AR168/(AR23*4)),"NA",AR168/(AR23*4))</f>
        <v>3.9737268953382874E-3</v>
      </c>
      <c r="AS191" s="660">
        <f>AO191</f>
        <v>4.545846150727487E-3</v>
      </c>
      <c r="AT191" s="585">
        <f t="shared" ref="AT191:AV191" si="399">AP191</f>
        <v>4.5484142791481531E-3</v>
      </c>
      <c r="AU191" s="585">
        <f t="shared" si="399"/>
        <v>3.2418607788470194E-2</v>
      </c>
      <c r="AV191" s="1246">
        <f t="shared" si="399"/>
        <v>3.9737268953382874E-3</v>
      </c>
      <c r="AW191" s="660">
        <f>AVERAGE(AU191:AV191)</f>
        <v>1.819616734190424E-2</v>
      </c>
      <c r="AX191" s="585">
        <f>AVERAGE(AV191:AW191)</f>
        <v>1.1084947118621263E-2</v>
      </c>
      <c r="AY191" s="585">
        <f>AVERAGE(AW191:AX191)+0.005%</f>
        <v>1.4690557230262751E-2</v>
      </c>
      <c r="AZ191" s="586">
        <f>AVERAGE(AX191:AY191)+0.019%</f>
        <v>1.3077752174442007E-2</v>
      </c>
      <c r="BA191" s="660">
        <f>AVERAGE(AY191:AZ191)</f>
        <v>1.388415470235238E-2</v>
      </c>
      <c r="BB191" s="585">
        <f>AVERAGE(AZ191:BA191)</f>
        <v>1.3480953438397194E-2</v>
      </c>
      <c r="BC191" s="585">
        <f>AVERAGE(BA191:BB191)+0.005%</f>
        <v>1.3732554070374787E-2</v>
      </c>
      <c r="BD191" s="586">
        <f>AVERAGE(BB191:BC191)+0.019%</f>
        <v>1.379675375438599E-2</v>
      </c>
      <c r="BF191" s="36"/>
      <c r="BG191" s="451"/>
      <c r="BH191" s="199"/>
      <c r="BI191" s="199"/>
      <c r="BJ191" s="265">
        <f t="shared" ref="BJ191:BU191" si="400">IF(ISERROR(BJ168/(BJ23)),"NA",BJ168/(BJ23))</f>
        <v>3.4756664600123992E-2</v>
      </c>
      <c r="BK191" s="265">
        <f t="shared" si="400"/>
        <v>3.0148121765728772E-2</v>
      </c>
      <c r="BL191" s="199">
        <f t="shared" si="400"/>
        <v>2.4878429489103682E-2</v>
      </c>
      <c r="BM191" s="264">
        <f t="shared" si="400"/>
        <v>2.0760943837866919E-2</v>
      </c>
      <c r="BN191" s="264">
        <f t="shared" si="400"/>
        <v>1.1249506412347418E-2</v>
      </c>
      <c r="BO191" s="264">
        <f t="shared" si="400"/>
        <v>7.9303695541617231E-3</v>
      </c>
      <c r="BP191" s="264">
        <f t="shared" si="400"/>
        <v>5.6506651243493347E-3</v>
      </c>
      <c r="BQ191" s="264">
        <f t="shared" si="400"/>
        <v>4.6475165797419324E-3</v>
      </c>
      <c r="BR191" s="264">
        <f t="shared" si="400"/>
        <v>4.0965360711278636E-3</v>
      </c>
      <c r="BS191" s="264">
        <f t="shared" si="400"/>
        <v>4.2949364860447991E-3</v>
      </c>
      <c r="BT191" s="264">
        <f t="shared" si="400"/>
        <v>1.388837601040706E-2</v>
      </c>
      <c r="BU191" s="264">
        <f t="shared" si="400"/>
        <v>1.4534419312886399E-2</v>
      </c>
      <c r="BV191" s="585">
        <f t="shared" si="388"/>
        <v>1.4534419312886399E-2</v>
      </c>
      <c r="BW191" s="585">
        <f t="shared" si="388"/>
        <v>1.4534419312886399E-2</v>
      </c>
      <c r="BX191" s="585">
        <f t="shared" si="388"/>
        <v>1.4534419312886399E-2</v>
      </c>
      <c r="BY191" s="585">
        <f t="shared" si="388"/>
        <v>1.4534419312886399E-2</v>
      </c>
      <c r="BZ191" s="1246">
        <f t="shared" si="388"/>
        <v>1.4534419312886399E-2</v>
      </c>
      <c r="CA191" s="54"/>
      <c r="CB191" s="54"/>
      <c r="CC191" s="54"/>
      <c r="CD191" s="54"/>
      <c r="CE191" s="54"/>
      <c r="CF191" s="54"/>
      <c r="CG191" s="1772"/>
      <c r="CH191" s="1772"/>
      <c r="CI191" s="1772"/>
      <c r="CJ191" s="54"/>
      <c r="CK191" s="54"/>
      <c r="CL191" s="54"/>
      <c r="CM191" s="36"/>
      <c r="CN191" s="36"/>
      <c r="CO191" s="36"/>
      <c r="CP191" s="36"/>
      <c r="CQ191" s="36"/>
      <c r="CR191" s="36"/>
    </row>
    <row r="192" spans="1:96" ht="11.25" customHeight="1">
      <c r="A192" s="36"/>
      <c r="H192" s="36"/>
      <c r="I192" s="557"/>
      <c r="J192" s="558"/>
      <c r="K192" s="558"/>
      <c r="L192" s="558"/>
      <c r="M192" s="559"/>
      <c r="N192" s="559"/>
      <c r="O192" s="559"/>
      <c r="P192" s="559"/>
      <c r="Q192" s="559"/>
      <c r="R192" s="559"/>
      <c r="S192" s="560"/>
      <c r="T192" s="561"/>
      <c r="U192" s="559"/>
      <c r="V192" s="559"/>
      <c r="W192" s="559"/>
      <c r="X192" s="559"/>
      <c r="Y192" s="603"/>
      <c r="Z192" s="559"/>
      <c r="AA192" s="559"/>
      <c r="AB192" s="559"/>
      <c r="AC192" s="661"/>
      <c r="AD192" s="559"/>
      <c r="AE192" s="559"/>
      <c r="AF192" s="559"/>
      <c r="AG192" s="603"/>
      <c r="AH192" s="559"/>
      <c r="AI192" s="559"/>
      <c r="AJ192" s="559"/>
      <c r="AK192" s="661"/>
      <c r="AL192" s="559"/>
      <c r="AM192" s="559"/>
      <c r="AN192" s="562"/>
      <c r="AO192" s="661"/>
      <c r="AP192" s="559"/>
      <c r="AQ192" s="559"/>
      <c r="AR192" s="562"/>
      <c r="AS192" s="661"/>
      <c r="AT192" s="559"/>
      <c r="AU192" s="559"/>
      <c r="AV192" s="562"/>
      <c r="AW192" s="661"/>
      <c r="AX192" s="559"/>
      <c r="AY192" s="559"/>
      <c r="AZ192" s="562"/>
      <c r="BA192" s="661"/>
      <c r="BB192" s="559"/>
      <c r="BC192" s="559"/>
      <c r="BD192" s="562"/>
      <c r="BF192" s="36"/>
      <c r="BG192" s="603"/>
      <c r="BH192" s="559"/>
      <c r="BI192" s="559"/>
      <c r="BJ192" s="559"/>
      <c r="BK192" s="559"/>
      <c r="BL192" s="559"/>
      <c r="BM192" s="559"/>
      <c r="BN192" s="559"/>
      <c r="BO192" s="559"/>
      <c r="BP192" s="559"/>
      <c r="BQ192" s="559"/>
      <c r="BR192" s="559"/>
      <c r="BS192" s="559"/>
      <c r="BT192" s="559"/>
      <c r="BU192" s="559"/>
      <c r="BV192" s="1668"/>
      <c r="BW192" s="1668"/>
      <c r="BX192" s="1668"/>
      <c r="BY192" s="1668"/>
      <c r="BZ192" s="1669"/>
      <c r="CA192" s="54"/>
      <c r="CB192" s="54"/>
      <c r="CC192" s="54"/>
      <c r="CD192" s="54"/>
      <c r="CE192" s="54"/>
      <c r="CF192" s="54"/>
      <c r="CG192" s="1772"/>
      <c r="CH192" s="1772"/>
      <c r="CI192" s="1772"/>
      <c r="CJ192" s="54"/>
      <c r="CK192" s="54"/>
      <c r="CL192" s="54"/>
      <c r="CM192" s="36"/>
      <c r="CN192" s="36"/>
      <c r="CO192" s="36"/>
      <c r="CP192" s="36"/>
      <c r="CQ192" s="36"/>
      <c r="CR192" s="36"/>
    </row>
    <row r="193" spans="1:96" ht="11.25" customHeight="1">
      <c r="A193" s="36"/>
      <c r="H193" s="36"/>
      <c r="I193" s="5"/>
      <c r="J193" s="5"/>
      <c r="K193" s="5"/>
      <c r="L193" s="5"/>
      <c r="M193" s="556"/>
      <c r="N193" s="556"/>
      <c r="O193" s="556"/>
      <c r="P193" s="556"/>
      <c r="Q193" s="556"/>
      <c r="R193" s="556"/>
      <c r="S193" s="199"/>
      <c r="T193" s="1359"/>
      <c r="U193" s="556"/>
      <c r="V193" s="556"/>
      <c r="W193" s="556"/>
      <c r="X193" s="556"/>
      <c r="Y193" s="556"/>
      <c r="Z193" s="556"/>
      <c r="AA193" s="556"/>
      <c r="AB193" s="556"/>
      <c r="AC193" s="556"/>
      <c r="AD193" s="556"/>
      <c r="AE193" s="556"/>
      <c r="AF193" s="556"/>
      <c r="AG193" s="556"/>
      <c r="AH193" s="556"/>
      <c r="AI193" s="556"/>
      <c r="AJ193" s="556"/>
      <c r="AK193" s="556"/>
      <c r="AL193" s="556"/>
      <c r="AM193" s="556"/>
      <c r="AN193" s="556"/>
      <c r="AO193" s="556"/>
      <c r="AP193" s="556"/>
      <c r="AQ193" s="556"/>
      <c r="AR193" s="556"/>
      <c r="AS193" s="556"/>
      <c r="AT193" s="556"/>
      <c r="AU193" s="556"/>
      <c r="AV193" s="556"/>
      <c r="AW193" s="556"/>
      <c r="AX193" s="556"/>
      <c r="AY193" s="556"/>
      <c r="AZ193" s="556"/>
      <c r="BA193" s="556"/>
      <c r="BB193" s="556"/>
      <c r="BC193" s="556"/>
      <c r="BD193" s="556"/>
      <c r="BF193" s="36"/>
      <c r="BG193" s="556"/>
      <c r="BH193" s="556"/>
      <c r="BI193" s="556"/>
      <c r="BJ193" s="556"/>
      <c r="BK193" s="556"/>
      <c r="BL193" s="556"/>
      <c r="BM193" s="556"/>
      <c r="BN193" s="556"/>
      <c r="BO193" s="556"/>
      <c r="BP193" s="556"/>
      <c r="BQ193" s="556"/>
      <c r="BR193" s="556"/>
      <c r="BS193" s="556"/>
      <c r="BT193" s="556"/>
      <c r="BU193" s="556"/>
      <c r="BV193" s="556"/>
      <c r="BW193" s="556"/>
      <c r="BX193" s="556"/>
      <c r="BY193" s="556"/>
      <c r="BZ193" s="556"/>
      <c r="CA193" s="54"/>
      <c r="CB193" s="54"/>
      <c r="CC193" s="54"/>
      <c r="CD193" s="54"/>
      <c r="CE193" s="54"/>
      <c r="CF193" s="54"/>
      <c r="CG193" s="1772"/>
      <c r="CH193" s="1772"/>
      <c r="CI193" s="1772"/>
      <c r="CJ193" s="54"/>
      <c r="CK193" s="54"/>
      <c r="CL193" s="54"/>
      <c r="CM193" s="36"/>
      <c r="CN193" s="36"/>
      <c r="CO193" s="36"/>
      <c r="CP193" s="36"/>
      <c r="CQ193" s="36"/>
      <c r="CR193" s="36"/>
    </row>
    <row r="194" spans="1:96" ht="11.25" customHeight="1">
      <c r="A194" s="36"/>
      <c r="H194" s="36"/>
      <c r="I194" s="5"/>
      <c r="J194" s="5"/>
      <c r="K194" s="5"/>
      <c r="L194" s="5"/>
      <c r="M194" s="556"/>
      <c r="N194" s="556"/>
      <c r="O194" s="556"/>
      <c r="P194" s="556"/>
      <c r="Q194" s="556"/>
      <c r="R194" s="556"/>
      <c r="S194" s="199"/>
      <c r="T194" s="1359"/>
      <c r="U194" s="556"/>
      <c r="V194" s="556"/>
      <c r="W194" s="556"/>
      <c r="X194" s="556"/>
      <c r="Y194" s="556"/>
      <c r="Z194" s="556"/>
      <c r="AA194" s="556"/>
      <c r="AB194" s="556"/>
      <c r="AC194" s="556"/>
      <c r="AD194" s="556"/>
      <c r="AE194" s="556"/>
      <c r="AF194" s="556"/>
      <c r="AG194" s="556"/>
      <c r="AH194" s="556"/>
      <c r="AI194" s="556"/>
      <c r="AJ194" s="556"/>
      <c r="AK194" s="556"/>
      <c r="AL194" s="556"/>
      <c r="AM194" s="556"/>
      <c r="AN194" s="556"/>
      <c r="AO194" s="556"/>
      <c r="AP194" s="556"/>
      <c r="AQ194" s="556"/>
      <c r="AR194" s="556"/>
      <c r="AS194" s="556"/>
      <c r="AT194" s="556"/>
      <c r="AU194" s="556"/>
      <c r="AV194" s="556"/>
      <c r="AW194" s="556"/>
      <c r="AX194" s="556"/>
      <c r="AY194" s="556"/>
      <c r="AZ194" s="556"/>
      <c r="BA194" s="556"/>
      <c r="BB194" s="556"/>
      <c r="BC194" s="556"/>
      <c r="BD194" s="556"/>
      <c r="BF194" s="36"/>
      <c r="BG194" s="556"/>
      <c r="BH194" s="556"/>
      <c r="BI194" s="556"/>
      <c r="BJ194" s="556"/>
      <c r="BK194" s="556"/>
      <c r="BL194" s="556"/>
      <c r="BM194" s="556"/>
      <c r="BN194" s="556"/>
      <c r="BO194" s="556"/>
      <c r="BP194" s="556"/>
      <c r="BQ194" s="556"/>
      <c r="BR194" s="556"/>
      <c r="BS194" s="556"/>
      <c r="BT194" s="556"/>
      <c r="BU194" s="556"/>
      <c r="BV194" s="556"/>
      <c r="BW194" s="556"/>
      <c r="BX194" s="556"/>
      <c r="BY194" s="556"/>
      <c r="BZ194" s="556"/>
      <c r="CA194" s="54"/>
      <c r="CB194" s="54"/>
      <c r="CC194" s="54"/>
      <c r="CD194" s="54"/>
      <c r="CE194" s="54"/>
      <c r="CF194" s="54"/>
      <c r="CG194" s="1772"/>
      <c r="CH194" s="1772"/>
      <c r="CI194" s="1772"/>
      <c r="CJ194" s="54"/>
      <c r="CK194" s="54"/>
      <c r="CL194" s="54"/>
      <c r="CM194" s="36"/>
      <c r="CN194" s="36"/>
      <c r="CO194" s="36"/>
      <c r="CP194" s="36"/>
      <c r="CQ194" s="36"/>
      <c r="CR194" s="36"/>
    </row>
    <row r="195" spans="1:96" ht="11.25" customHeight="1">
      <c r="A195" s="36"/>
      <c r="H195" s="1"/>
      <c r="I195" s="741" t="s">
        <v>38</v>
      </c>
      <c r="J195" s="742"/>
      <c r="K195" s="742"/>
      <c r="L195" s="742"/>
      <c r="M195" s="298">
        <v>2010</v>
      </c>
      <c r="N195" s="299"/>
      <c r="O195" s="299"/>
      <c r="P195" s="300"/>
      <c r="Q195" s="1097">
        <v>2011</v>
      </c>
      <c r="R195" s="299"/>
      <c r="S195" s="299"/>
      <c r="T195" s="300"/>
      <c r="U195" s="299">
        <v>2012</v>
      </c>
      <c r="V195" s="301"/>
      <c r="W195" s="301"/>
      <c r="X195" s="301"/>
      <c r="Y195" s="302">
        <v>2013</v>
      </c>
      <c r="Z195" s="301"/>
      <c r="AA195" s="301"/>
      <c r="AB195" s="301"/>
      <c r="AC195" s="302" t="s">
        <v>448</v>
      </c>
      <c r="AD195" s="301"/>
      <c r="AE195" s="301"/>
      <c r="AF195" s="303"/>
      <c r="AG195" s="302" t="s">
        <v>520</v>
      </c>
      <c r="AH195" s="301"/>
      <c r="AI195" s="301"/>
      <c r="AJ195" s="303"/>
      <c r="AK195" s="302" t="s">
        <v>501</v>
      </c>
      <c r="AL195" s="302"/>
      <c r="AM195" s="302"/>
      <c r="AN195" s="302"/>
      <c r="AO195" s="302" t="s">
        <v>517</v>
      </c>
      <c r="AP195" s="302"/>
      <c r="AQ195" s="302"/>
      <c r="AR195" s="302"/>
      <c r="AS195" s="2911" t="s">
        <v>203</v>
      </c>
      <c r="AT195" s="2912"/>
      <c r="AU195" s="2912"/>
      <c r="AV195" s="2913"/>
      <c r="AW195" s="2911" t="s">
        <v>202</v>
      </c>
      <c r="AX195" s="2912"/>
      <c r="AY195" s="2912"/>
      <c r="AZ195" s="2913"/>
      <c r="BA195" s="2911" t="s">
        <v>202</v>
      </c>
      <c r="BB195" s="2912"/>
      <c r="BC195" s="2912"/>
      <c r="BD195" s="2913"/>
      <c r="BF195" s="36"/>
      <c r="BG195" s="723"/>
      <c r="BH195" s="724"/>
      <c r="BI195" s="724"/>
      <c r="BJ195" s="724"/>
      <c r="BK195" s="724"/>
      <c r="BL195" s="724"/>
      <c r="BM195" s="724"/>
      <c r="BN195" s="724"/>
      <c r="BO195" s="724"/>
      <c r="BP195" s="724"/>
      <c r="BQ195" s="724"/>
      <c r="BR195" s="724"/>
      <c r="BS195" s="724"/>
      <c r="BT195" s="724"/>
      <c r="BU195" s="724"/>
      <c r="BV195" s="724"/>
      <c r="BW195" s="724"/>
      <c r="BX195" s="724"/>
      <c r="BY195" s="724"/>
      <c r="BZ195" s="725"/>
      <c r="CA195" s="36"/>
      <c r="CB195" s="36"/>
      <c r="CC195" s="36"/>
      <c r="CD195" s="36"/>
      <c r="CE195" s="36"/>
      <c r="CF195" s="36"/>
      <c r="CG195" s="1765"/>
      <c r="CH195" s="1765"/>
      <c r="CI195" s="1765"/>
      <c r="CJ195" s="36"/>
      <c r="CK195" s="36"/>
      <c r="CL195" s="71" t="s">
        <v>135</v>
      </c>
      <c r="CM195" s="71"/>
      <c r="CN195" s="71"/>
      <c r="CO195" s="71"/>
      <c r="CP195" s="71"/>
      <c r="CQ195" s="71"/>
      <c r="CR195" s="71"/>
    </row>
    <row r="196" spans="1:96" ht="11.25" customHeight="1">
      <c r="A196" s="36"/>
      <c r="H196" s="1"/>
      <c r="I196" s="711" t="s">
        <v>83</v>
      </c>
      <c r="J196" s="53"/>
      <c r="K196" s="53"/>
      <c r="L196" s="53"/>
      <c r="M196" s="304">
        <v>1</v>
      </c>
      <c r="N196" s="305">
        <v>2</v>
      </c>
      <c r="O196" s="305">
        <v>3</v>
      </c>
      <c r="P196" s="306">
        <v>4</v>
      </c>
      <c r="Q196" s="305">
        <v>1</v>
      </c>
      <c r="R196" s="305">
        <v>2</v>
      </c>
      <c r="S196" s="305">
        <v>3</v>
      </c>
      <c r="T196" s="306">
        <v>4</v>
      </c>
      <c r="U196" s="305">
        <v>1</v>
      </c>
      <c r="V196" s="305">
        <v>2</v>
      </c>
      <c r="W196" s="305">
        <v>3</v>
      </c>
      <c r="X196" s="305">
        <v>4</v>
      </c>
      <c r="Y196" s="304">
        <v>1</v>
      </c>
      <c r="Z196" s="305">
        <v>2</v>
      </c>
      <c r="AA196" s="305">
        <v>3</v>
      </c>
      <c r="AB196" s="305">
        <v>4</v>
      </c>
      <c r="AC196" s="304">
        <v>1</v>
      </c>
      <c r="AD196" s="305">
        <v>2</v>
      </c>
      <c r="AE196" s="305">
        <v>3</v>
      </c>
      <c r="AF196" s="305">
        <v>4</v>
      </c>
      <c r="AG196" s="304">
        <v>1</v>
      </c>
      <c r="AH196" s="305">
        <v>2</v>
      </c>
      <c r="AI196" s="305">
        <v>3</v>
      </c>
      <c r="AJ196" s="305">
        <v>4</v>
      </c>
      <c r="AK196" s="304">
        <v>1</v>
      </c>
      <c r="AL196" s="305">
        <v>2</v>
      </c>
      <c r="AM196" s="305">
        <v>3</v>
      </c>
      <c r="AN196" s="305">
        <v>4</v>
      </c>
      <c r="AO196" s="304">
        <v>1</v>
      </c>
      <c r="AP196" s="305">
        <v>2</v>
      </c>
      <c r="AQ196" s="305">
        <v>3</v>
      </c>
      <c r="AR196" s="305">
        <v>4</v>
      </c>
      <c r="AS196" s="308">
        <v>1</v>
      </c>
      <c r="AT196" s="309">
        <v>2</v>
      </c>
      <c r="AU196" s="309">
        <v>3</v>
      </c>
      <c r="AV196" s="307">
        <v>4</v>
      </c>
      <c r="AW196" s="308">
        <v>1</v>
      </c>
      <c r="AX196" s="309">
        <v>2</v>
      </c>
      <c r="AY196" s="309">
        <v>3</v>
      </c>
      <c r="AZ196" s="307">
        <v>4</v>
      </c>
      <c r="BA196" s="308">
        <v>1</v>
      </c>
      <c r="BB196" s="309">
        <v>2</v>
      </c>
      <c r="BC196" s="309">
        <v>3</v>
      </c>
      <c r="BD196" s="307">
        <v>4</v>
      </c>
      <c r="BF196" s="36"/>
      <c r="BG196" s="313">
        <v>39082</v>
      </c>
      <c r="BH196" s="312">
        <v>39447</v>
      </c>
      <c r="BI196" s="312">
        <v>39813</v>
      </c>
      <c r="BJ196" s="312">
        <v>40178</v>
      </c>
      <c r="BK196" s="312">
        <v>40543</v>
      </c>
      <c r="BL196" s="312">
        <v>40908</v>
      </c>
      <c r="BM196" s="312">
        <v>41274</v>
      </c>
      <c r="BN196" s="312">
        <v>41639</v>
      </c>
      <c r="BO196" s="1170">
        <v>42004</v>
      </c>
      <c r="BP196" s="1879">
        <v>42369</v>
      </c>
      <c r="BQ196" s="1879">
        <v>42735</v>
      </c>
      <c r="BR196" s="1879">
        <v>43100</v>
      </c>
      <c r="BS196" s="1357">
        <v>43465</v>
      </c>
      <c r="BT196" s="1357">
        <v>43830</v>
      </c>
      <c r="BU196" s="1357">
        <v>44196</v>
      </c>
      <c r="BV196" s="1357">
        <v>44561</v>
      </c>
      <c r="BW196" s="1357">
        <v>44926</v>
      </c>
      <c r="BX196" s="1357">
        <v>45291</v>
      </c>
      <c r="BY196" s="1357">
        <v>45657</v>
      </c>
      <c r="BZ196" s="1358">
        <v>46022</v>
      </c>
      <c r="CA196" s="36"/>
      <c r="CB196" s="36"/>
      <c r="CC196" s="36"/>
      <c r="CD196" s="36"/>
      <c r="CE196" s="36"/>
      <c r="CF196" s="36"/>
      <c r="CG196" s="1765"/>
      <c r="CH196" s="1765"/>
      <c r="CI196" s="1765"/>
      <c r="CJ196" s="36"/>
      <c r="CK196" s="36"/>
      <c r="CL196" s="72" t="s">
        <v>198</v>
      </c>
      <c r="CM196" s="72" t="s">
        <v>136</v>
      </c>
      <c r="CN196" s="72" t="s">
        <v>137</v>
      </c>
      <c r="CO196" s="72" t="s">
        <v>138</v>
      </c>
      <c r="CP196" s="72" t="s">
        <v>139</v>
      </c>
      <c r="CQ196" s="72" t="s">
        <v>325</v>
      </c>
      <c r="CR196" s="72" t="s">
        <v>331</v>
      </c>
    </row>
    <row r="197" spans="1:96" ht="11.25" customHeight="1">
      <c r="A197" s="1"/>
      <c r="H197" s="1"/>
      <c r="I197" s="452" t="s">
        <v>362</v>
      </c>
      <c r="J197" s="453"/>
      <c r="K197" s="453"/>
      <c r="L197" s="453"/>
      <c r="M197" s="453"/>
      <c r="N197" s="453"/>
      <c r="O197" s="648"/>
      <c r="P197" s="648"/>
      <c r="Q197" s="453"/>
      <c r="R197" s="453"/>
      <c r="S197" s="453"/>
      <c r="T197" s="453"/>
      <c r="U197" s="453"/>
      <c r="V197" s="453"/>
      <c r="W197" s="648"/>
      <c r="X197" s="453"/>
      <c r="Y197" s="649"/>
      <c r="Z197" s="453"/>
      <c r="AA197" s="453"/>
      <c r="AB197" s="453"/>
      <c r="AC197" s="452"/>
      <c r="AD197" s="453"/>
      <c r="AE197" s="453"/>
      <c r="AF197" s="453"/>
      <c r="AG197" s="452"/>
      <c r="AH197" s="453"/>
      <c r="AI197" s="453"/>
      <c r="AJ197" s="454"/>
      <c r="AK197" s="452"/>
      <c r="AL197" s="453"/>
      <c r="AM197" s="453"/>
      <c r="AN197" s="454"/>
      <c r="AO197" s="452"/>
      <c r="AP197" s="453"/>
      <c r="AQ197" s="453"/>
      <c r="AR197" s="454"/>
      <c r="AS197" s="452"/>
      <c r="AT197" s="453"/>
      <c r="AU197" s="453"/>
      <c r="AV197" s="454"/>
      <c r="AW197" s="452"/>
      <c r="AX197" s="453"/>
      <c r="AY197" s="453"/>
      <c r="AZ197" s="454"/>
      <c r="BA197" s="452"/>
      <c r="BB197" s="453"/>
      <c r="BC197" s="453"/>
      <c r="BD197" s="454"/>
      <c r="BF197" s="36"/>
      <c r="BG197" s="590"/>
      <c r="BH197" s="591"/>
      <c r="BI197" s="592"/>
      <c r="BJ197" s="592"/>
      <c r="BK197" s="592"/>
      <c r="BL197" s="592"/>
      <c r="BM197" s="592"/>
      <c r="BN197" s="592"/>
      <c r="BO197" s="592"/>
      <c r="BP197" s="592"/>
      <c r="BQ197" s="591"/>
      <c r="BR197" s="591"/>
      <c r="BS197" s="591"/>
      <c r="BT197" s="591"/>
      <c r="BU197" s="591"/>
      <c r="BV197" s="1215"/>
      <c r="BW197" s="1215"/>
      <c r="BX197" s="1215"/>
      <c r="BY197" s="1215"/>
      <c r="BZ197" s="1216"/>
      <c r="CA197" s="54"/>
      <c r="CB197" s="54"/>
      <c r="CC197" s="54"/>
      <c r="CD197" s="54"/>
      <c r="CE197" s="54"/>
      <c r="CF197" s="54"/>
      <c r="CG197" s="1772"/>
      <c r="CH197" s="1772"/>
      <c r="CI197" s="1772"/>
      <c r="CJ197" s="54"/>
      <c r="CK197" s="54"/>
      <c r="CL197" s="54"/>
      <c r="CM197" s="36"/>
      <c r="CN197" s="36"/>
      <c r="CO197" s="36"/>
      <c r="CP197" s="36"/>
      <c r="CQ197" s="36"/>
      <c r="CR197" s="36"/>
    </row>
    <row r="198" spans="1:96" ht="11.25" customHeight="1">
      <c r="A198" s="1"/>
      <c r="H198" s="1"/>
      <c r="I198" s="138"/>
      <c r="J198" s="50"/>
      <c r="K198" s="50"/>
      <c r="L198" s="50"/>
      <c r="M198" s="50"/>
      <c r="N198" s="50"/>
      <c r="O198" s="222"/>
      <c r="P198" s="222"/>
      <c r="Q198" s="50"/>
      <c r="R198" s="50"/>
      <c r="S198" s="50"/>
      <c r="T198" s="50"/>
      <c r="U198" s="50"/>
      <c r="V198" s="50"/>
      <c r="W198" s="222"/>
      <c r="X198" s="50"/>
      <c r="Y198" s="444"/>
      <c r="Z198" s="50"/>
      <c r="AA198" s="50"/>
      <c r="AB198" s="50"/>
      <c r="AC198" s="622"/>
      <c r="AD198" s="50"/>
      <c r="AE198" s="50"/>
      <c r="AF198" s="50"/>
      <c r="AG198" s="622"/>
      <c r="AH198" s="50"/>
      <c r="AI198" s="742"/>
      <c r="AJ198" s="1672"/>
      <c r="AK198" s="50"/>
      <c r="AL198" s="50"/>
      <c r="AM198" s="50"/>
      <c r="AN198" s="609"/>
      <c r="AO198" s="622"/>
      <c r="AP198" s="50"/>
      <c r="AQ198" s="50"/>
      <c r="AR198" s="609"/>
      <c r="AS198" s="622"/>
      <c r="AT198" s="50"/>
      <c r="AU198" s="50"/>
      <c r="AV198" s="609"/>
      <c r="AW198" s="622"/>
      <c r="AX198" s="50"/>
      <c r="AY198" s="50"/>
      <c r="AZ198" s="609"/>
      <c r="BA198" s="622"/>
      <c r="BB198" s="50"/>
      <c r="BC198" s="50"/>
      <c r="BD198" s="609"/>
      <c r="BF198" s="36"/>
      <c r="BG198" s="444"/>
      <c r="BH198" s="50"/>
      <c r="BI198" s="222"/>
      <c r="BJ198" s="222"/>
      <c r="BK198" s="222"/>
      <c r="BL198" s="222"/>
      <c r="BM198" s="222"/>
      <c r="BN198" s="222"/>
      <c r="BO198" s="222"/>
      <c r="BP198" s="222"/>
      <c r="BQ198" s="50"/>
      <c r="BR198" s="50"/>
      <c r="BS198" s="50"/>
      <c r="BT198" s="50"/>
      <c r="BU198" s="50"/>
      <c r="BV198" s="50"/>
      <c r="BW198" s="50"/>
      <c r="BX198" s="50"/>
      <c r="BY198" s="50"/>
      <c r="BZ198" s="609"/>
      <c r="CA198" s="54"/>
      <c r="CB198" s="54"/>
      <c r="CC198" s="54"/>
      <c r="CD198" s="54"/>
      <c r="CE198" s="54"/>
      <c r="CF198" s="54"/>
      <c r="CG198" s="1772"/>
      <c r="CH198" s="1772"/>
      <c r="CI198" s="1772"/>
      <c r="CJ198" s="54"/>
      <c r="CK198" s="54"/>
      <c r="CL198" s="54"/>
      <c r="CM198" s="36"/>
      <c r="CN198" s="36"/>
      <c r="CO198" s="36"/>
      <c r="CP198" s="36"/>
      <c r="CQ198" s="36"/>
      <c r="CR198" s="36"/>
    </row>
    <row r="199" spans="1:96" ht="11.25" customHeight="1">
      <c r="A199" s="36"/>
      <c r="H199" s="36"/>
      <c r="I199" s="650" t="s">
        <v>93</v>
      </c>
      <c r="J199" s="536"/>
      <c r="K199" s="536"/>
      <c r="L199" s="536"/>
      <c r="M199" s="536"/>
      <c r="N199" s="537"/>
      <c r="O199" s="538"/>
      <c r="P199" s="538"/>
      <c r="Q199" s="536"/>
      <c r="R199" s="537"/>
      <c r="S199" s="537"/>
      <c r="T199" s="537"/>
      <c r="U199" s="539"/>
      <c r="V199" s="537"/>
      <c r="W199" s="537"/>
      <c r="X199" s="537"/>
      <c r="Y199" s="535"/>
      <c r="Z199" s="537"/>
      <c r="AA199" s="537"/>
      <c r="AB199" s="537"/>
      <c r="AC199" s="650"/>
      <c r="AD199" s="537"/>
      <c r="AE199" s="537"/>
      <c r="AF199" s="537"/>
      <c r="AG199" s="623"/>
      <c r="AH199" s="537"/>
      <c r="AI199" s="537"/>
      <c r="AJ199" s="610"/>
      <c r="AK199" s="537"/>
      <c r="AL199" s="537"/>
      <c r="AM199" s="537"/>
      <c r="AN199" s="610"/>
      <c r="AO199" s="537"/>
      <c r="AP199" s="537"/>
      <c r="AQ199" s="537"/>
      <c r="AR199" s="610"/>
      <c r="AS199" s="623"/>
      <c r="AT199" s="537"/>
      <c r="AU199" s="537"/>
      <c r="AV199" s="610"/>
      <c r="AW199" s="623"/>
      <c r="AX199" s="537"/>
      <c r="AY199" s="537"/>
      <c r="AZ199" s="610"/>
      <c r="BA199" s="623"/>
      <c r="BB199" s="537"/>
      <c r="BC199" s="537"/>
      <c r="BD199" s="610"/>
      <c r="BF199" s="528"/>
      <c r="BG199" s="593"/>
      <c r="BH199" s="537"/>
      <c r="BI199" s="538"/>
      <c r="BJ199" s="538"/>
      <c r="BK199" s="538"/>
      <c r="BL199" s="538"/>
      <c r="BM199" s="538"/>
      <c r="BN199" s="538"/>
      <c r="BO199" s="538"/>
      <c r="BP199" s="538"/>
      <c r="BQ199" s="537"/>
      <c r="BR199" s="537"/>
      <c r="BS199" s="537"/>
      <c r="BT199" s="537"/>
      <c r="BU199" s="537"/>
      <c r="BV199" s="537"/>
      <c r="BW199" s="537"/>
      <c r="BX199" s="537"/>
      <c r="BY199" s="537"/>
      <c r="BZ199" s="610"/>
      <c r="CA199" s="54"/>
      <c r="CB199" s="54"/>
      <c r="CC199" s="54"/>
      <c r="CD199" s="54"/>
      <c r="CE199" s="54"/>
      <c r="CF199" s="54"/>
      <c r="CG199" s="1772"/>
      <c r="CH199" s="1772"/>
      <c r="CI199" s="1772"/>
      <c r="CJ199" s="54"/>
      <c r="CK199" s="54"/>
      <c r="CL199" s="54"/>
      <c r="CM199" s="36"/>
      <c r="CN199" s="36"/>
      <c r="CO199" s="36"/>
      <c r="CP199" s="36"/>
      <c r="CQ199" s="36"/>
      <c r="CR199" s="36"/>
    </row>
    <row r="200" spans="1:96" s="401" customFormat="1" ht="11.25" customHeight="1">
      <c r="A200" s="36"/>
      <c r="B200"/>
      <c r="C200"/>
      <c r="D200"/>
      <c r="E200"/>
      <c r="F200"/>
      <c r="G200"/>
      <c r="H200" s="5"/>
      <c r="I200" s="138"/>
      <c r="J200" s="543"/>
      <c r="K200" s="543"/>
      <c r="L200" s="543"/>
      <c r="M200" s="543"/>
      <c r="N200" s="543"/>
      <c r="O200" s="543"/>
      <c r="P200" s="543"/>
      <c r="Q200" s="543"/>
      <c r="R200" s="543"/>
      <c r="S200" s="543"/>
      <c r="T200" s="543"/>
      <c r="U200" s="543"/>
      <c r="V200" s="543"/>
      <c r="W200" s="543"/>
      <c r="X200" s="543"/>
      <c r="Y200" s="542"/>
      <c r="Z200" s="543"/>
      <c r="AA200" s="543"/>
      <c r="AB200" s="543"/>
      <c r="AC200" s="624"/>
      <c r="AD200" s="543"/>
      <c r="AE200" s="543"/>
      <c r="AF200" s="543"/>
      <c r="AG200" s="624"/>
      <c r="AH200" s="543"/>
      <c r="AI200" s="543"/>
      <c r="AJ200" s="611"/>
      <c r="AK200" s="543"/>
      <c r="AL200" s="543"/>
      <c r="AM200" s="543"/>
      <c r="AN200" s="611"/>
      <c r="AO200" s="543"/>
      <c r="AP200" s="543"/>
      <c r="AQ200" s="543"/>
      <c r="AR200" s="611"/>
      <c r="AS200" s="624"/>
      <c r="AT200" s="543"/>
      <c r="AU200" s="543"/>
      <c r="AV200" s="611"/>
      <c r="AW200" s="624"/>
      <c r="AX200" s="543"/>
      <c r="AY200" s="543"/>
      <c r="AZ200" s="611"/>
      <c r="BA200" s="624"/>
      <c r="BB200" s="543"/>
      <c r="BC200" s="543"/>
      <c r="BD200" s="611"/>
      <c r="BE200"/>
      <c r="BF200" s="54"/>
      <c r="BG200" s="542"/>
      <c r="BH200" s="543"/>
      <c r="BI200" s="543"/>
      <c r="BJ200" s="543"/>
      <c r="BK200" s="543"/>
      <c r="BL200" s="543"/>
      <c r="BM200" s="543"/>
      <c r="BN200" s="543"/>
      <c r="BO200" s="543"/>
      <c r="BP200" s="543"/>
      <c r="BQ200" s="543"/>
      <c r="BR200" s="543"/>
      <c r="BS200" s="543"/>
      <c r="BT200" s="543"/>
      <c r="BU200" s="543"/>
      <c r="BV200" s="543"/>
      <c r="BW200" s="543"/>
      <c r="BX200" s="543"/>
      <c r="BY200" s="543"/>
      <c r="BZ200" s="611"/>
      <c r="CA200" s="54"/>
      <c r="CB200" s="54"/>
      <c r="CC200" s="54"/>
      <c r="CD200" s="54"/>
      <c r="CE200" s="54"/>
      <c r="CF200" s="54"/>
      <c r="CG200" s="1772"/>
      <c r="CH200" s="1772"/>
      <c r="CI200" s="1772"/>
      <c r="CJ200" s="54"/>
      <c r="CK200" s="54"/>
      <c r="CL200" s="54"/>
      <c r="CM200" s="54"/>
      <c r="CN200" s="54"/>
      <c r="CO200" s="54"/>
      <c r="CP200" s="54"/>
      <c r="CQ200" s="54"/>
      <c r="CR200" s="54"/>
    </row>
    <row r="201" spans="1:96" s="401" customFormat="1" ht="11.25" customHeight="1">
      <c r="A201" s="36"/>
      <c r="B201"/>
      <c r="C201"/>
      <c r="D201"/>
      <c r="E201"/>
      <c r="F201"/>
      <c r="G201"/>
      <c r="H201" s="5"/>
      <c r="I201" s="450" t="s">
        <v>70</v>
      </c>
      <c r="J201" s="13"/>
      <c r="K201" s="5"/>
      <c r="L201" s="5"/>
      <c r="M201" s="327"/>
      <c r="N201" s="327"/>
      <c r="O201" s="327">
        <f t="shared" ref="O201:AF201" si="401">O73+O68</f>
        <v>-2.8699999999999992</v>
      </c>
      <c r="P201" s="327">
        <f t="shared" si="401"/>
        <v>-1.1090000000000011</v>
      </c>
      <c r="Q201" s="327">
        <f t="shared" si="401"/>
        <v>-2.7059999999999995</v>
      </c>
      <c r="R201" s="327">
        <f t="shared" si="401"/>
        <v>-1.1649999999999989</v>
      </c>
      <c r="S201" s="327">
        <f t="shared" si="401"/>
        <v>-3.7510000000000066</v>
      </c>
      <c r="T201" s="327">
        <f t="shared" si="401"/>
        <v>-9.0459999999999994</v>
      </c>
      <c r="U201" s="327">
        <f t="shared" si="401"/>
        <v>-9.8019999999999996</v>
      </c>
      <c r="V201" s="327">
        <f t="shared" si="401"/>
        <v>-1.9820000000000024</v>
      </c>
      <c r="W201" s="327">
        <f t="shared" si="401"/>
        <v>-2.0109999999999983</v>
      </c>
      <c r="X201" s="327">
        <f t="shared" si="401"/>
        <v>-5.3190000000000106</v>
      </c>
      <c r="Y201" s="635">
        <f t="shared" si="401"/>
        <v>-4.7989999999999871</v>
      </c>
      <c r="Z201" s="329">
        <f t="shared" si="401"/>
        <v>-0.87799999999999834</v>
      </c>
      <c r="AA201" s="329">
        <f t="shared" si="401"/>
        <v>-2.3220000000000058</v>
      </c>
      <c r="AB201" s="329">
        <f t="shared" si="401"/>
        <v>-2.0690000000000013</v>
      </c>
      <c r="AC201" s="1266">
        <f t="shared" si="401"/>
        <v>-2.6350000000000131</v>
      </c>
      <c r="AD201" s="329">
        <f t="shared" si="401"/>
        <v>2.742999999999995</v>
      </c>
      <c r="AE201" s="329">
        <f t="shared" si="401"/>
        <v>3.6369999999999969</v>
      </c>
      <c r="AF201" s="327">
        <f t="shared" si="401"/>
        <v>32.728000000000009</v>
      </c>
      <c r="AG201" s="1611">
        <v>-1.284</v>
      </c>
      <c r="AH201" s="589">
        <f>-2.589-AG201</f>
        <v>-1.3049999999999999</v>
      </c>
      <c r="AI201" s="588">
        <f>-10.671-AH201-AG201</f>
        <v>-8.081999999999999</v>
      </c>
      <c r="AJ201" s="2632">
        <v>-22.228999999999999</v>
      </c>
      <c r="AK201" s="2633">
        <v>-15.452</v>
      </c>
      <c r="AL201" s="2633">
        <v>0.44899999999999984</v>
      </c>
      <c r="AM201" s="2633">
        <v>2.0700000000000003</v>
      </c>
      <c r="AN201" s="2632">
        <v>8.2629999999999999</v>
      </c>
      <c r="AO201" s="2633">
        <v>-4.78</v>
      </c>
      <c r="AP201" s="2633">
        <v>7.59</v>
      </c>
      <c r="AQ201" s="2633">
        <v>7.9140000000000006</v>
      </c>
      <c r="AR201" s="2632">
        <v>142.13400000000001</v>
      </c>
      <c r="AS201" s="625">
        <f t="shared" ref="AS201:BD201" si="402">AS73+AS68</f>
        <v>-3.9266185955693689</v>
      </c>
      <c r="AT201" s="327">
        <f t="shared" si="402"/>
        <v>5.4651577104548057</v>
      </c>
      <c r="AU201" s="327">
        <f t="shared" si="402"/>
        <v>5.6525840589573981</v>
      </c>
      <c r="AV201" s="612">
        <f t="shared" si="402"/>
        <v>8.8377282240026567</v>
      </c>
      <c r="AW201" s="625">
        <f t="shared" si="402"/>
        <v>4.3938433099046375</v>
      </c>
      <c r="AX201" s="327">
        <f t="shared" si="402"/>
        <v>12.814065929138108</v>
      </c>
      <c r="AY201" s="327">
        <f t="shared" si="402"/>
        <v>12.997083272283923</v>
      </c>
      <c r="AZ201" s="612">
        <f t="shared" si="402"/>
        <v>16.194172281060354</v>
      </c>
      <c r="BA201" s="625">
        <f t="shared" si="402"/>
        <v>8.3605940726987065</v>
      </c>
      <c r="BB201" s="327">
        <f t="shared" si="402"/>
        <v>17.897392672842141</v>
      </c>
      <c r="BC201" s="327">
        <f t="shared" si="402"/>
        <v>17.927538572990922</v>
      </c>
      <c r="BD201" s="612">
        <f t="shared" si="402"/>
        <v>21.370687393498685</v>
      </c>
      <c r="BE201"/>
      <c r="BF201" s="84"/>
      <c r="BG201" s="596"/>
      <c r="BH201" s="249"/>
      <c r="BI201" s="67">
        <f>BI73+BI68</f>
        <v>-5.8089999999999984</v>
      </c>
      <c r="BJ201" s="67">
        <f>BJ73+BJ68</f>
        <v>-2.3079999999999949</v>
      </c>
      <c r="BK201" s="67">
        <f>BK73+BK68</f>
        <v>-9.5659999999999918</v>
      </c>
      <c r="BL201" s="67">
        <f>SUM(Q201:T201)</f>
        <v>-16.668000000000006</v>
      </c>
      <c r="BM201" s="67">
        <f t="shared" ref="BM201:BM206" si="403">SUM(U201:X201)</f>
        <v>-19.114000000000011</v>
      </c>
      <c r="BN201" s="67">
        <f t="shared" ref="BN201:BN206" si="404">SUM(Y201:AB201)</f>
        <v>-10.067999999999993</v>
      </c>
      <c r="BO201" s="67">
        <f t="shared" ref="BO201:BO206" si="405">SUM(AC201:AF201)</f>
        <v>36.472999999999985</v>
      </c>
      <c r="BP201" s="67">
        <f t="shared" ref="BP201:BP206" si="406">SUM(AG201:AJ201)</f>
        <v>-32.9</v>
      </c>
      <c r="BQ201" s="110">
        <f t="shared" ref="BQ201:BQ206" si="407">SUM(AK201:AN201)</f>
        <v>-4.67</v>
      </c>
      <c r="BR201" s="329">
        <f t="shared" ref="BR201:BR206" si="408">SUM(AO201:AR201)</f>
        <v>152.858</v>
      </c>
      <c r="BS201" s="329">
        <f t="shared" ref="BS201:BS206" si="409">SUM(AS201:AV201)</f>
        <v>16.028851397845493</v>
      </c>
      <c r="BT201" s="1095">
        <f t="shared" ref="BT201:BT206" si="410">SUM(AW201:AZ201)</f>
        <v>46.399164792387026</v>
      </c>
      <c r="BU201" s="1095">
        <f t="shared" ref="BU201:BU206" si="411">SUM(BA201:BD201)</f>
        <v>65.556212712030458</v>
      </c>
      <c r="BV201" s="584">
        <f>BV73+BV68</f>
        <v>91.393144290427372</v>
      </c>
      <c r="BW201" s="584">
        <f>BW73+BW68</f>
        <v>121.5892215010519</v>
      </c>
      <c r="BX201" s="584">
        <f>BX73+BX68</f>
        <v>152.71625573484823</v>
      </c>
      <c r="BY201" s="584">
        <f>BY73+BY68</f>
        <v>184.861202608817</v>
      </c>
      <c r="BZ201" s="616">
        <f>BZ73+BZ68</f>
        <v>218.89857844893152</v>
      </c>
      <c r="CA201" s="54"/>
      <c r="CB201" s="54"/>
      <c r="CC201" s="54"/>
      <c r="CD201" s="54"/>
      <c r="CE201" s="54"/>
      <c r="CF201" s="54"/>
      <c r="CG201" s="1772"/>
      <c r="CH201" s="1772"/>
      <c r="CI201" s="1772"/>
      <c r="CJ201" s="54"/>
      <c r="CK201" s="54"/>
      <c r="CL201" s="54"/>
      <c r="CM201" s="54"/>
      <c r="CN201" s="54"/>
      <c r="CO201" s="54"/>
      <c r="CP201" s="54"/>
      <c r="CQ201" s="54"/>
      <c r="CR201" s="54"/>
    </row>
    <row r="202" spans="1:96" s="401" customFormat="1" ht="11.25" customHeight="1">
      <c r="A202" s="36"/>
      <c r="B202"/>
      <c r="C202"/>
      <c r="D202"/>
      <c r="E202"/>
      <c r="F202"/>
      <c r="G202"/>
      <c r="H202" s="5"/>
      <c r="I202" s="450" t="s">
        <v>71</v>
      </c>
      <c r="J202" s="5"/>
      <c r="K202" s="5"/>
      <c r="L202" s="5"/>
      <c r="M202" s="327"/>
      <c r="N202" s="327"/>
      <c r="O202" s="327">
        <f>1.483-N202-M202</f>
        <v>1.4830000000000001</v>
      </c>
      <c r="P202" s="327">
        <f t="shared" ref="P202:AF202" si="412">P37</f>
        <v>0.85099999999999998</v>
      </c>
      <c r="Q202" s="327">
        <f t="shared" si="412"/>
        <v>0.81899999999999995</v>
      </c>
      <c r="R202" s="327">
        <f t="shared" si="412"/>
        <v>0.92400000000000004</v>
      </c>
      <c r="S202" s="327">
        <f t="shared" si="412"/>
        <v>1.0469999999999999</v>
      </c>
      <c r="T202" s="327">
        <f t="shared" si="412"/>
        <v>1.448</v>
      </c>
      <c r="U202" s="327">
        <f t="shared" si="412"/>
        <v>1.361</v>
      </c>
      <c r="V202" s="327">
        <f t="shared" si="412"/>
        <v>1.661</v>
      </c>
      <c r="W202" s="327">
        <f t="shared" si="412"/>
        <v>1.78</v>
      </c>
      <c r="X202" s="327">
        <f t="shared" si="412"/>
        <v>2.4209999999999998</v>
      </c>
      <c r="Y202" s="636">
        <f t="shared" si="412"/>
        <v>2.4780000000000002</v>
      </c>
      <c r="Z202" s="327">
        <f t="shared" si="412"/>
        <v>2.637</v>
      </c>
      <c r="AA202" s="327">
        <f t="shared" si="412"/>
        <v>2.8159999999999998</v>
      </c>
      <c r="AB202" s="327">
        <f t="shared" si="412"/>
        <v>3.524</v>
      </c>
      <c r="AC202" s="625">
        <f t="shared" si="412"/>
        <v>3.661</v>
      </c>
      <c r="AD202" s="327">
        <f t="shared" si="412"/>
        <v>4.0339999999999998</v>
      </c>
      <c r="AE202" s="327">
        <f t="shared" si="412"/>
        <v>4.6040000000000001</v>
      </c>
      <c r="AF202" s="327">
        <f t="shared" si="412"/>
        <v>5.2910000000000004</v>
      </c>
      <c r="AG202" s="1611">
        <v>6.8949999999999996</v>
      </c>
      <c r="AH202" s="589">
        <f>14.062-AG202</f>
        <v>7.1669999999999998</v>
      </c>
      <c r="AI202" s="588">
        <f>21.624-AH202-AG202</f>
        <v>7.5619999999999994</v>
      </c>
      <c r="AJ202" s="2632">
        <v>7.98</v>
      </c>
      <c r="AK202" s="2633">
        <v>8.1890000000000001</v>
      </c>
      <c r="AL202" s="2633">
        <v>8.5640000000000001</v>
      </c>
      <c r="AM202" s="2633">
        <v>9.1589999999999989</v>
      </c>
      <c r="AN202" s="2632">
        <v>9.4339999999999975</v>
      </c>
      <c r="AO202" s="2633">
        <v>10.151</v>
      </c>
      <c r="AP202" s="2633">
        <v>10.661999999999999</v>
      </c>
      <c r="AQ202" s="2633">
        <v>10.657</v>
      </c>
      <c r="AR202" s="2632">
        <v>9.7280000000000015</v>
      </c>
      <c r="AS202" s="625">
        <f t="shared" ref="AS202:BD202" si="413">AS37</f>
        <v>10.507</v>
      </c>
      <c r="AT202" s="327">
        <f t="shared" si="413"/>
        <v>10.9915</v>
      </c>
      <c r="AU202" s="327">
        <f t="shared" si="413"/>
        <v>11.78</v>
      </c>
      <c r="AV202" s="612">
        <f t="shared" si="413"/>
        <v>12.321499999999999</v>
      </c>
      <c r="AW202" s="625">
        <f t="shared" si="413"/>
        <v>7.6903817599424471</v>
      </c>
      <c r="AX202" s="327">
        <f t="shared" si="413"/>
        <v>8.0100684262184867</v>
      </c>
      <c r="AY202" s="327">
        <f t="shared" si="413"/>
        <v>8.3505940209007985</v>
      </c>
      <c r="AZ202" s="612">
        <f t="shared" si="413"/>
        <v>8.6215700530094619</v>
      </c>
      <c r="BA202" s="625">
        <f t="shared" si="413"/>
        <v>8.7823240376417804</v>
      </c>
      <c r="BB202" s="327">
        <f t="shared" si="413"/>
        <v>9.1135613901937784</v>
      </c>
      <c r="BC202" s="327">
        <f t="shared" si="413"/>
        <v>9.4384435538660227</v>
      </c>
      <c r="BD202" s="612">
        <f t="shared" si="413"/>
        <v>9.6734759684153673</v>
      </c>
      <c r="BE202"/>
      <c r="BF202" s="84"/>
      <c r="BG202" s="596" t="s">
        <v>100</v>
      </c>
      <c r="BH202" s="249" t="s">
        <v>100</v>
      </c>
      <c r="BI202" s="67">
        <f>BI37</f>
        <v>0.57099999999999995</v>
      </c>
      <c r="BJ202" s="67">
        <f>BJ37</f>
        <v>1.2010000000000001</v>
      </c>
      <c r="BK202" s="67">
        <f>BK37</f>
        <v>2.3340000000000001</v>
      </c>
      <c r="BL202" s="67">
        <f>BL37</f>
        <v>4.2379999999999995</v>
      </c>
      <c r="BM202" s="67">
        <f t="shared" si="403"/>
        <v>7.2230000000000008</v>
      </c>
      <c r="BN202" s="67">
        <f t="shared" si="404"/>
        <v>11.455</v>
      </c>
      <c r="BO202" s="67">
        <f t="shared" si="405"/>
        <v>17.59</v>
      </c>
      <c r="BP202" s="67">
        <f t="shared" si="406"/>
        <v>29.603999999999999</v>
      </c>
      <c r="BQ202" s="110">
        <f t="shared" si="407"/>
        <v>35.345999999999997</v>
      </c>
      <c r="BR202" s="329">
        <f t="shared" si="408"/>
        <v>41.198</v>
      </c>
      <c r="BS202" s="329">
        <f t="shared" si="409"/>
        <v>45.6</v>
      </c>
      <c r="BT202" s="1095">
        <f t="shared" si="410"/>
        <v>32.672614260071192</v>
      </c>
      <c r="BU202" s="1095">
        <f t="shared" si="411"/>
        <v>37.007804950116949</v>
      </c>
      <c r="BV202" s="439">
        <f>BV37</f>
        <v>41.507804950116942</v>
      </c>
      <c r="BW202" s="439">
        <f>BW37</f>
        <v>46.007804950116942</v>
      </c>
      <c r="BX202" s="439">
        <f>BX37</f>
        <v>50.507804950116942</v>
      </c>
      <c r="BY202" s="439">
        <f>BY37</f>
        <v>55.007804950116942</v>
      </c>
      <c r="BZ202" s="461">
        <f>BZ37</f>
        <v>59.507804950116942</v>
      </c>
      <c r="CA202" s="54"/>
      <c r="CB202" s="54"/>
      <c r="CC202" s="54"/>
      <c r="CD202" s="54"/>
      <c r="CE202" s="54"/>
      <c r="CF202" s="54"/>
      <c r="CG202" s="1772"/>
      <c r="CH202" s="1772"/>
      <c r="CI202" s="1772"/>
      <c r="CJ202" s="54"/>
      <c r="CK202" s="54"/>
      <c r="CL202" s="54"/>
      <c r="CM202" s="54"/>
      <c r="CN202" s="54"/>
      <c r="CO202" s="54"/>
      <c r="CP202" s="54"/>
      <c r="CQ202" s="54"/>
      <c r="CR202" s="54"/>
    </row>
    <row r="203" spans="1:96" s="401" customFormat="1" ht="11.25" customHeight="1">
      <c r="A203" s="36"/>
      <c r="B203"/>
      <c r="C203"/>
      <c r="D203"/>
      <c r="E203"/>
      <c r="F203"/>
      <c r="G203"/>
      <c r="H203" s="5"/>
      <c r="I203" s="450" t="s">
        <v>44</v>
      </c>
      <c r="J203" s="5"/>
      <c r="K203" s="5"/>
      <c r="L203" s="5"/>
      <c r="M203" s="336"/>
      <c r="N203" s="336"/>
      <c r="O203" s="389">
        <f>0.029-N203-M203</f>
        <v>2.9000000000000001E-2</v>
      </c>
      <c r="P203" s="389">
        <f>0.05-O203-N203-M203</f>
        <v>2.1000000000000001E-2</v>
      </c>
      <c r="Q203" s="389">
        <v>-6.5000000000000002E-2</v>
      </c>
      <c r="R203" s="389">
        <f>-0.004-Q203</f>
        <v>6.0999999999999999E-2</v>
      </c>
      <c r="S203" s="389">
        <f>0.002-R203-Q203</f>
        <v>6.0000000000000053E-3</v>
      </c>
      <c r="T203" s="389">
        <f>BL203-SUM(Q203:S203)</f>
        <v>3.3000000000000002E-2</v>
      </c>
      <c r="U203" s="389">
        <v>-0.01</v>
      </c>
      <c r="V203" s="389">
        <f>0.108-U203</f>
        <v>0.11799999999999999</v>
      </c>
      <c r="W203" s="389">
        <f>0.193-V203-U203</f>
        <v>8.5000000000000006E-2</v>
      </c>
      <c r="X203" s="389">
        <f>0.599-W203-V203-U203</f>
        <v>0.40600000000000003</v>
      </c>
      <c r="Y203" s="638">
        <v>0.55100000000000005</v>
      </c>
      <c r="Z203" s="389">
        <f>1.301-Y203</f>
        <v>0.74999999999999989</v>
      </c>
      <c r="AA203" s="389">
        <f>2.178-Z203-Y203</f>
        <v>0.87699999999999989</v>
      </c>
      <c r="AB203" s="389">
        <f>3.304-AA203-Z203-Y203</f>
        <v>1.1259999999999999</v>
      </c>
      <c r="AC203" s="1667">
        <v>1.1859999999999999</v>
      </c>
      <c r="AD203" s="389">
        <f>2.581-AC203</f>
        <v>1.395</v>
      </c>
      <c r="AE203" s="389">
        <f>3.894-AD203-AC203</f>
        <v>1.3130000000000002</v>
      </c>
      <c r="AF203" s="389">
        <f>7.238-AE203-AD203-AC203</f>
        <v>3.3440000000000012</v>
      </c>
      <c r="AG203" s="519">
        <v>3.4340000000000002</v>
      </c>
      <c r="AH203" s="1731">
        <f>6.076-AG203</f>
        <v>2.6419999999999995</v>
      </c>
      <c r="AI203" s="435">
        <f>10.401-AH203-AG203</f>
        <v>4.3250000000000002</v>
      </c>
      <c r="AJ203" s="2632">
        <v>6.3870000000000005</v>
      </c>
      <c r="AK203" s="2633">
        <v>5.0910000000000002</v>
      </c>
      <c r="AL203" s="2633">
        <v>2.3339999999999996</v>
      </c>
      <c r="AM203" s="2633">
        <v>4.7139999999999995</v>
      </c>
      <c r="AN203" s="2632">
        <v>5.1220000000000008</v>
      </c>
      <c r="AO203" s="2633">
        <v>5.05</v>
      </c>
      <c r="AP203" s="2633">
        <v>3.8090000000000002</v>
      </c>
      <c r="AQ203" s="2633">
        <v>4.5889999999999995</v>
      </c>
      <c r="AR203" s="2632">
        <v>4.966000000000002</v>
      </c>
      <c r="AS203" s="1665">
        <v>0</v>
      </c>
      <c r="AT203" s="438">
        <v>0</v>
      </c>
      <c r="AU203" s="438">
        <v>0</v>
      </c>
      <c r="AV203" s="460">
        <v>0</v>
      </c>
      <c r="AW203" s="1665">
        <v>0</v>
      </c>
      <c r="AX203" s="438">
        <v>0</v>
      </c>
      <c r="AY203" s="438">
        <v>0</v>
      </c>
      <c r="AZ203" s="460">
        <v>0</v>
      </c>
      <c r="BA203" s="1665">
        <v>0</v>
      </c>
      <c r="BB203" s="438">
        <v>0</v>
      </c>
      <c r="BC203" s="438">
        <v>0</v>
      </c>
      <c r="BD203" s="460">
        <v>0</v>
      </c>
      <c r="BE203"/>
      <c r="BF203" s="84"/>
      <c r="BG203" s="595"/>
      <c r="BH203" s="67"/>
      <c r="BI203" s="67">
        <v>3.9E-2</v>
      </c>
      <c r="BJ203" s="67">
        <v>6.9000000000000006E-2</v>
      </c>
      <c r="BK203" s="67">
        <f>SUM(M203:P203)</f>
        <v>0.05</v>
      </c>
      <c r="BL203" s="67">
        <v>3.5000000000000003E-2</v>
      </c>
      <c r="BM203" s="67">
        <f t="shared" si="403"/>
        <v>0.59899999999999998</v>
      </c>
      <c r="BN203" s="67">
        <f t="shared" si="404"/>
        <v>3.3039999999999998</v>
      </c>
      <c r="BO203" s="67">
        <f t="shared" si="405"/>
        <v>7.2380000000000013</v>
      </c>
      <c r="BP203" s="67">
        <f t="shared" si="406"/>
        <v>16.788</v>
      </c>
      <c r="BQ203" s="110">
        <f t="shared" si="407"/>
        <v>17.260999999999999</v>
      </c>
      <c r="BR203" s="329">
        <f t="shared" si="408"/>
        <v>18.414000000000001</v>
      </c>
      <c r="BS203" s="329">
        <f t="shared" si="409"/>
        <v>0</v>
      </c>
      <c r="BT203" s="1095">
        <f t="shared" si="410"/>
        <v>0</v>
      </c>
      <c r="BU203" s="1095">
        <f t="shared" si="411"/>
        <v>0</v>
      </c>
      <c r="BV203" s="438">
        <v>0</v>
      </c>
      <c r="BW203" s="438">
        <v>0</v>
      </c>
      <c r="BX203" s="438">
        <v>0</v>
      </c>
      <c r="BY203" s="438">
        <v>0</v>
      </c>
      <c r="BZ203" s="460">
        <v>0</v>
      </c>
      <c r="CA203" s="54"/>
      <c r="CB203" s="54"/>
      <c r="CC203" s="54"/>
      <c r="CD203" s="54"/>
      <c r="CE203" s="54"/>
      <c r="CF203" s="54"/>
      <c r="CG203" s="1772"/>
      <c r="CH203" s="1772"/>
      <c r="CI203" s="1772"/>
      <c r="CJ203" s="54"/>
      <c r="CK203" s="54"/>
      <c r="CL203" s="54"/>
      <c r="CM203" s="54"/>
      <c r="CN203" s="54"/>
      <c r="CO203" s="54"/>
      <c r="CP203" s="54"/>
      <c r="CQ203" s="54"/>
      <c r="CR203" s="54"/>
    </row>
    <row r="204" spans="1:96" s="401" customFormat="1" ht="11.25" customHeight="1">
      <c r="A204" s="36"/>
      <c r="B204"/>
      <c r="C204"/>
      <c r="D204"/>
      <c r="E204"/>
      <c r="F204"/>
      <c r="G204"/>
      <c r="H204" s="5"/>
      <c r="I204" s="450" t="s">
        <v>51</v>
      </c>
      <c r="J204" s="5"/>
      <c r="K204" s="5"/>
      <c r="L204" s="5"/>
      <c r="M204" s="336"/>
      <c r="N204" s="336"/>
      <c r="O204" s="336">
        <f>0.877-N204-M204</f>
        <v>0.877</v>
      </c>
      <c r="P204" s="336">
        <f t="shared" ref="P204:AF204" si="414">P36</f>
        <v>0.55400000000000005</v>
      </c>
      <c r="Q204" s="336">
        <f t="shared" si="414"/>
        <v>1.1030000000000002</v>
      </c>
      <c r="R204" s="336">
        <f t="shared" si="414"/>
        <v>0.94799999999999995</v>
      </c>
      <c r="S204" s="336">
        <f t="shared" si="414"/>
        <v>1.46</v>
      </c>
      <c r="T204" s="336">
        <f t="shared" si="414"/>
        <v>1.3660000000000001</v>
      </c>
      <c r="U204" s="336">
        <f t="shared" si="414"/>
        <v>7.4290000000000003</v>
      </c>
      <c r="V204" s="336">
        <f t="shared" si="414"/>
        <v>1.8580000000000001</v>
      </c>
      <c r="W204" s="336">
        <f t="shared" si="414"/>
        <v>2.3339999999999996</v>
      </c>
      <c r="X204" s="336">
        <f t="shared" si="414"/>
        <v>3.258</v>
      </c>
      <c r="Y204" s="639">
        <f t="shared" si="414"/>
        <v>5.16</v>
      </c>
      <c r="Z204" s="336">
        <f t="shared" si="414"/>
        <v>5.7130000000000001</v>
      </c>
      <c r="AA204" s="336">
        <f t="shared" si="414"/>
        <v>7.0150000000000006</v>
      </c>
      <c r="AB204" s="336">
        <f t="shared" si="414"/>
        <v>8.7889999999999997</v>
      </c>
      <c r="AC204" s="626">
        <f t="shared" si="414"/>
        <v>9.4559999999999995</v>
      </c>
      <c r="AD204" s="336">
        <f t="shared" si="414"/>
        <v>10.083</v>
      </c>
      <c r="AE204" s="336">
        <f t="shared" si="414"/>
        <v>10.917999999999999</v>
      </c>
      <c r="AF204" s="336">
        <f t="shared" si="414"/>
        <v>11.816000000000001</v>
      </c>
      <c r="AG204" s="519">
        <v>13.670999999999999</v>
      </c>
      <c r="AH204" s="1731">
        <f>29.187-AG204</f>
        <v>15.516000000000002</v>
      </c>
      <c r="AI204" s="435">
        <f>44.87-AH204-AG204</f>
        <v>15.682999999999996</v>
      </c>
      <c r="AJ204" s="2632">
        <v>15.972000000000001</v>
      </c>
      <c r="AK204" s="2633">
        <v>19.11</v>
      </c>
      <c r="AL204" s="2633">
        <v>20.725999999999999</v>
      </c>
      <c r="AM204" s="2633">
        <v>22.560000000000002</v>
      </c>
      <c r="AN204" s="2632">
        <v>23.864999999999995</v>
      </c>
      <c r="AO204" s="2633">
        <v>24.334</v>
      </c>
      <c r="AP204" s="2633">
        <v>25.364999999999998</v>
      </c>
      <c r="AQ204" s="2633">
        <v>25.30800000000001</v>
      </c>
      <c r="AR204" s="2632">
        <v>25.408000000000005</v>
      </c>
      <c r="AS204" s="626">
        <f t="shared" ref="AS204:BD204" si="415">AS36</f>
        <v>26.767400000000006</v>
      </c>
      <c r="AT204" s="336">
        <f t="shared" si="415"/>
        <v>27.901500000000006</v>
      </c>
      <c r="AU204" s="336">
        <f t="shared" si="415"/>
        <v>29.105349999999998</v>
      </c>
      <c r="AV204" s="613">
        <f t="shared" si="415"/>
        <v>30.488399999999999</v>
      </c>
      <c r="AW204" s="626">
        <f t="shared" si="415"/>
        <v>29.979488000000011</v>
      </c>
      <c r="AX204" s="336">
        <f t="shared" si="415"/>
        <v>31.249680000000009</v>
      </c>
      <c r="AY204" s="336">
        <f t="shared" si="415"/>
        <v>32.597991999999998</v>
      </c>
      <c r="AZ204" s="613">
        <f t="shared" si="415"/>
        <v>34.147008</v>
      </c>
      <c r="BA204" s="626">
        <f t="shared" si="415"/>
        <v>32.977436800000014</v>
      </c>
      <c r="BB204" s="336">
        <f t="shared" si="415"/>
        <v>34.374648000000015</v>
      </c>
      <c r="BC204" s="336">
        <f t="shared" si="415"/>
        <v>35.857791200000001</v>
      </c>
      <c r="BD204" s="613">
        <f t="shared" si="415"/>
        <v>37.561708800000005</v>
      </c>
      <c r="BE204"/>
      <c r="BF204" s="84"/>
      <c r="BG204" s="595"/>
      <c r="BH204" s="67"/>
      <c r="BI204" s="67">
        <f>BI36</f>
        <v>0.36499999999999999</v>
      </c>
      <c r="BJ204" s="67">
        <f>BJ36</f>
        <v>0.55700000000000005</v>
      </c>
      <c r="BK204" s="67">
        <f>BK36</f>
        <v>1.431</v>
      </c>
      <c r="BL204" s="67">
        <f>BL36</f>
        <v>4.8770000000000007</v>
      </c>
      <c r="BM204" s="67">
        <f t="shared" si="403"/>
        <v>14.879000000000001</v>
      </c>
      <c r="BN204" s="67">
        <f t="shared" si="404"/>
        <v>26.677</v>
      </c>
      <c r="BO204" s="67">
        <f t="shared" si="405"/>
        <v>42.273000000000003</v>
      </c>
      <c r="BP204" s="67">
        <f t="shared" si="406"/>
        <v>60.841999999999999</v>
      </c>
      <c r="BQ204" s="110">
        <f t="shared" si="407"/>
        <v>86.260999999999996</v>
      </c>
      <c r="BR204" s="329">
        <f t="shared" si="408"/>
        <v>100.41500000000001</v>
      </c>
      <c r="BS204" s="329">
        <f t="shared" si="409"/>
        <v>114.26265000000001</v>
      </c>
      <c r="BT204" s="1095">
        <f t="shared" si="410"/>
        <v>127.97416800000002</v>
      </c>
      <c r="BU204" s="1095">
        <f t="shared" si="411"/>
        <v>140.77158480000003</v>
      </c>
      <c r="BV204" s="439">
        <f>BV36</f>
        <v>150.62559573600004</v>
      </c>
      <c r="BW204" s="439">
        <f>BW36</f>
        <v>158.15687552280005</v>
      </c>
      <c r="BX204" s="439">
        <f>BX36</f>
        <v>166.06471929894005</v>
      </c>
      <c r="BY204" s="439">
        <f>BY36</f>
        <v>174.36795526388707</v>
      </c>
      <c r="BZ204" s="461">
        <f>BZ36</f>
        <v>183.08635302708143</v>
      </c>
      <c r="CA204" s="54"/>
      <c r="CB204" s="54"/>
      <c r="CC204" s="54"/>
      <c r="CD204" s="54"/>
      <c r="CE204" s="54"/>
      <c r="CF204" s="54"/>
      <c r="CG204" s="1772"/>
      <c r="CH204" s="1772"/>
      <c r="CI204" s="1772"/>
      <c r="CJ204" s="54"/>
      <c r="CK204" s="54"/>
      <c r="CL204" s="54"/>
      <c r="CM204" s="54"/>
      <c r="CN204" s="54"/>
      <c r="CO204" s="54"/>
      <c r="CP204" s="54"/>
      <c r="CQ204" s="54"/>
      <c r="CR204" s="54"/>
    </row>
    <row r="205" spans="1:96" s="401" customFormat="1" ht="11.25" customHeight="1">
      <c r="A205" s="36"/>
      <c r="B205"/>
      <c r="C205"/>
      <c r="D205"/>
      <c r="E205"/>
      <c r="F205"/>
      <c r="G205"/>
      <c r="H205" s="5"/>
      <c r="I205" s="450" t="s">
        <v>241</v>
      </c>
      <c r="J205" s="5"/>
      <c r="K205" s="5"/>
      <c r="L205" s="5"/>
      <c r="M205" s="336"/>
      <c r="N205" s="336"/>
      <c r="O205" s="389">
        <f>0.007-N205-M205</f>
        <v>7.0000000000000001E-3</v>
      </c>
      <c r="P205" s="389">
        <f>0.021-O205-N205-M205</f>
        <v>1.4000000000000002E-2</v>
      </c>
      <c r="Q205" s="389">
        <v>5.0000000000000001E-3</v>
      </c>
      <c r="R205" s="389">
        <f>0.006-Q205</f>
        <v>1E-3</v>
      </c>
      <c r="S205" s="389">
        <f>0.009-R205-Q205</f>
        <v>3.0000000000000001E-3</v>
      </c>
      <c r="T205" s="389">
        <f>BL205-SUM(Q205:S205)</f>
        <v>3.9999999999999983E-3</v>
      </c>
      <c r="U205" s="389">
        <v>1E-3</v>
      </c>
      <c r="V205" s="389">
        <f>0.037-U205</f>
        <v>3.5999999999999997E-2</v>
      </c>
      <c r="W205" s="389">
        <f>0.025-V205-U205</f>
        <v>-1.1999999999999997E-2</v>
      </c>
      <c r="X205" s="389">
        <f>0.064-W205-V205-U205</f>
        <v>3.9E-2</v>
      </c>
      <c r="Y205" s="638">
        <v>0.05</v>
      </c>
      <c r="Z205" s="389">
        <f>0.094-Y205</f>
        <v>4.3999999999999997E-2</v>
      </c>
      <c r="AA205" s="389">
        <f>0.188-Z205-Y205</f>
        <v>9.4000000000000014E-2</v>
      </c>
      <c r="AB205" s="389">
        <f>0.159-AA205-Z205-Y205</f>
        <v>-2.9000000000000012E-2</v>
      </c>
      <c r="AC205" s="1667">
        <v>0</v>
      </c>
      <c r="AD205" s="389">
        <f>-0.005-AC205</f>
        <v>-5.0000000000000001E-3</v>
      </c>
      <c r="AE205" s="389">
        <f>-0.005-AD205-AC205</f>
        <v>0</v>
      </c>
      <c r="AF205" s="389">
        <f>0.004-AE205-AD205-AC205</f>
        <v>9.0000000000000011E-3</v>
      </c>
      <c r="AG205" s="519">
        <v>0</v>
      </c>
      <c r="AH205" s="1731">
        <f>0.144-AG205</f>
        <v>0.14399999999999999</v>
      </c>
      <c r="AI205" s="435">
        <f>0.13-AH205-AG205</f>
        <v>-1.3999999999999985E-2</v>
      </c>
      <c r="AJ205" s="2632">
        <v>8.299999999999999E-2</v>
      </c>
      <c r="AK205" s="2633">
        <v>0.104</v>
      </c>
      <c r="AL205" s="2633">
        <v>1.7000000000000001E-2</v>
      </c>
      <c r="AM205" s="2633">
        <v>0.11100000000000003</v>
      </c>
      <c r="AN205" s="2632">
        <v>4.4999999999999971E-2</v>
      </c>
      <c r="AO205" s="2633">
        <v>0</v>
      </c>
      <c r="AP205" s="2633">
        <v>0</v>
      </c>
      <c r="AQ205" s="2633">
        <v>0</v>
      </c>
      <c r="AR205" s="2632">
        <v>-164.779</v>
      </c>
      <c r="AS205" s="1665">
        <v>0</v>
      </c>
      <c r="AT205" s="438">
        <v>0</v>
      </c>
      <c r="AU205" s="438">
        <v>0</v>
      </c>
      <c r="AV205" s="460">
        <v>0</v>
      </c>
      <c r="AW205" s="1665">
        <v>0</v>
      </c>
      <c r="AX205" s="438">
        <v>0</v>
      </c>
      <c r="AY205" s="438">
        <v>0</v>
      </c>
      <c r="AZ205" s="460">
        <v>0</v>
      </c>
      <c r="BA205" s="1665">
        <v>0</v>
      </c>
      <c r="BB205" s="438">
        <v>0</v>
      </c>
      <c r="BC205" s="438">
        <v>0</v>
      </c>
      <c r="BD205" s="460">
        <v>0</v>
      </c>
      <c r="BE205"/>
      <c r="BF205" s="84"/>
      <c r="BG205" s="595"/>
      <c r="BH205" s="67"/>
      <c r="BI205" s="67">
        <v>0</v>
      </c>
      <c r="BJ205" s="67">
        <v>0</v>
      </c>
      <c r="BK205" s="67">
        <f>SUM(M205:P205)</f>
        <v>2.1000000000000001E-2</v>
      </c>
      <c r="BL205" s="67">
        <v>1.2999999999999999E-2</v>
      </c>
      <c r="BM205" s="67">
        <f t="shared" si="403"/>
        <v>6.4000000000000001E-2</v>
      </c>
      <c r="BN205" s="67">
        <f t="shared" si="404"/>
        <v>0.15899999999999997</v>
      </c>
      <c r="BO205" s="67">
        <f t="shared" si="405"/>
        <v>4.000000000000001E-3</v>
      </c>
      <c r="BP205" s="67">
        <f t="shared" si="406"/>
        <v>0.21299999999999999</v>
      </c>
      <c r="BQ205" s="110">
        <f t="shared" si="407"/>
        <v>0.27700000000000002</v>
      </c>
      <c r="BR205" s="329">
        <f t="shared" si="408"/>
        <v>-164.779</v>
      </c>
      <c r="BS205" s="329">
        <f t="shared" si="409"/>
        <v>0</v>
      </c>
      <c r="BT205" s="1095">
        <f t="shared" si="410"/>
        <v>0</v>
      </c>
      <c r="BU205" s="1095">
        <f t="shared" si="411"/>
        <v>0</v>
      </c>
      <c r="BV205" s="438">
        <v>0</v>
      </c>
      <c r="BW205" s="438">
        <v>0</v>
      </c>
      <c r="BX205" s="438">
        <v>0</v>
      </c>
      <c r="BY205" s="438">
        <v>0</v>
      </c>
      <c r="BZ205" s="460">
        <v>0</v>
      </c>
      <c r="CA205" s="54"/>
      <c r="CB205" s="54"/>
      <c r="CC205" s="54"/>
      <c r="CD205" s="54"/>
      <c r="CE205" s="54"/>
      <c r="CF205" s="54"/>
      <c r="CG205" s="1772"/>
      <c r="CH205" s="1772"/>
      <c r="CI205" s="1772"/>
      <c r="CJ205" s="54"/>
      <c r="CK205" s="54"/>
      <c r="CL205" s="54"/>
      <c r="CM205" s="54"/>
      <c r="CN205" s="54"/>
      <c r="CO205" s="54"/>
      <c r="CP205" s="54"/>
      <c r="CQ205" s="54"/>
      <c r="CR205" s="54"/>
    </row>
    <row r="206" spans="1:96" s="401" customFormat="1" ht="11.25" customHeight="1">
      <c r="A206" s="36"/>
      <c r="B206"/>
      <c r="C206"/>
      <c r="D206"/>
      <c r="E206"/>
      <c r="F206"/>
      <c r="G206"/>
      <c r="H206" s="5"/>
      <c r="I206" s="450" t="s">
        <v>258</v>
      </c>
      <c r="J206" s="5"/>
      <c r="K206" s="5"/>
      <c r="L206" s="5"/>
      <c r="M206" s="336"/>
      <c r="N206" s="336"/>
      <c r="O206" s="389">
        <v>0</v>
      </c>
      <c r="P206" s="389">
        <v>0</v>
      </c>
      <c r="Q206" s="389">
        <v>0</v>
      </c>
      <c r="R206" s="389">
        <f>0-Q206</f>
        <v>0</v>
      </c>
      <c r="S206" s="389">
        <f>0-R206-Q206</f>
        <v>0</v>
      </c>
      <c r="T206" s="389">
        <f>BL206-SUM(Q206:S206)</f>
        <v>5.9279999999999999</v>
      </c>
      <c r="U206" s="389">
        <v>0</v>
      </c>
      <c r="V206" s="389">
        <f>0-U206</f>
        <v>0</v>
      </c>
      <c r="W206" s="389">
        <f>0-V206-U206</f>
        <v>0</v>
      </c>
      <c r="X206" s="389">
        <f>0-W206-V206-U206</f>
        <v>0</v>
      </c>
      <c r="Y206" s="638">
        <v>0</v>
      </c>
      <c r="Z206" s="389">
        <f>0-Y206</f>
        <v>0</v>
      </c>
      <c r="AA206" s="389">
        <f>0-Z206-Y206</f>
        <v>0</v>
      </c>
      <c r="AB206" s="389">
        <f>-0.353-AA206-Z206-Y206</f>
        <v>-0.35299999999999998</v>
      </c>
      <c r="AC206" s="1667">
        <f>-0.039</f>
        <v>-3.9E-2</v>
      </c>
      <c r="AD206" s="389">
        <f>0.093-0.46-AC206</f>
        <v>-0.32800000000000001</v>
      </c>
      <c r="AE206" s="389">
        <f>0.212-0.899-AD206-AC206</f>
        <v>-0.32000000000000006</v>
      </c>
      <c r="AF206" s="389">
        <f>-28.197-1.834+0.349-AE206-AD206-AC206</f>
        <v>-28.994999999999997</v>
      </c>
      <c r="AG206" s="519">
        <f>0.052-0.117-0.815</f>
        <v>-0.87999999999999989</v>
      </c>
      <c r="AH206" s="1731">
        <f>0.481-3.952-AG206</f>
        <v>-2.5910000000000002</v>
      </c>
      <c r="AI206" s="435">
        <f>-4.298-0.002+0.827-AH206-AG206</f>
        <v>-1.9999999999997797E-3</v>
      </c>
      <c r="AJ206" s="2632">
        <v>18.417000000000002</v>
      </c>
      <c r="AK206" s="2633">
        <v>0.376</v>
      </c>
      <c r="AL206" s="2633">
        <v>0.38700000000000001</v>
      </c>
      <c r="AM206" s="2633">
        <v>0.31900000000000006</v>
      </c>
      <c r="AN206" s="2632">
        <v>1.617</v>
      </c>
      <c r="AO206" s="2633">
        <v>0.253</v>
      </c>
      <c r="AP206" s="2633">
        <v>1.4000000000000012E-2</v>
      </c>
      <c r="AQ206" s="2633">
        <v>0.14399999999999996</v>
      </c>
      <c r="AR206" s="2632">
        <v>-0.42999999999999994</v>
      </c>
      <c r="AS206" s="1665">
        <v>0</v>
      </c>
      <c r="AT206" s="438">
        <v>0</v>
      </c>
      <c r="AU206" s="438">
        <v>0</v>
      </c>
      <c r="AV206" s="460">
        <v>0</v>
      </c>
      <c r="AW206" s="1665">
        <v>0</v>
      </c>
      <c r="AX206" s="438">
        <v>0</v>
      </c>
      <c r="AY206" s="438">
        <v>0</v>
      </c>
      <c r="AZ206" s="460">
        <v>0</v>
      </c>
      <c r="BA206" s="1665">
        <v>0</v>
      </c>
      <c r="BB206" s="438">
        <v>0</v>
      </c>
      <c r="BC206" s="438">
        <v>0</v>
      </c>
      <c r="BD206" s="460">
        <v>0</v>
      </c>
      <c r="BE206"/>
      <c r="BF206" s="84"/>
      <c r="BG206" s="595"/>
      <c r="BH206" s="67"/>
      <c r="BI206" s="67">
        <v>0</v>
      </c>
      <c r="BJ206" s="67">
        <v>0</v>
      </c>
      <c r="BK206" s="67">
        <f>SUM(M206:P206)</f>
        <v>0</v>
      </c>
      <c r="BL206" s="67">
        <v>5.9279999999999999</v>
      </c>
      <c r="BM206" s="67">
        <f t="shared" si="403"/>
        <v>0</v>
      </c>
      <c r="BN206" s="67">
        <f t="shared" si="404"/>
        <v>-0.35299999999999998</v>
      </c>
      <c r="BO206" s="67">
        <f t="shared" si="405"/>
        <v>-29.681999999999999</v>
      </c>
      <c r="BP206" s="67">
        <f t="shared" si="406"/>
        <v>14.944000000000003</v>
      </c>
      <c r="BQ206" s="110">
        <f t="shared" si="407"/>
        <v>2.6989999999999998</v>
      </c>
      <c r="BR206" s="329">
        <f t="shared" si="408"/>
        <v>-1.8999999999999961E-2</v>
      </c>
      <c r="BS206" s="329">
        <f t="shared" si="409"/>
        <v>0</v>
      </c>
      <c r="BT206" s="1095">
        <f t="shared" si="410"/>
        <v>0</v>
      </c>
      <c r="BU206" s="1095">
        <f t="shared" si="411"/>
        <v>0</v>
      </c>
      <c r="BV206" s="438">
        <v>0</v>
      </c>
      <c r="BW206" s="438">
        <v>0</v>
      </c>
      <c r="BX206" s="438">
        <v>0</v>
      </c>
      <c r="BY206" s="438">
        <v>0</v>
      </c>
      <c r="BZ206" s="460">
        <v>0</v>
      </c>
      <c r="CA206" s="54"/>
      <c r="CB206" s="54"/>
      <c r="CC206" s="54"/>
      <c r="CD206" s="54"/>
      <c r="CE206" s="54"/>
      <c r="CF206" s="54"/>
      <c r="CG206" s="1772"/>
      <c r="CH206" s="1772"/>
      <c r="CI206" s="1772"/>
      <c r="CJ206" s="54"/>
      <c r="CK206" s="54"/>
      <c r="CL206" s="54"/>
      <c r="CM206" s="54"/>
      <c r="CN206" s="54"/>
      <c r="CO206" s="54"/>
      <c r="CP206" s="54"/>
      <c r="CQ206" s="54"/>
      <c r="CR206" s="54"/>
    </row>
    <row r="207" spans="1:96" s="401" customFormat="1" ht="11.25" customHeight="1">
      <c r="A207" s="55"/>
      <c r="B207"/>
      <c r="C207"/>
      <c r="D207"/>
      <c r="E207"/>
      <c r="F207"/>
      <c r="G207"/>
      <c r="H207" s="571"/>
      <c r="I207" s="138" t="s">
        <v>56</v>
      </c>
      <c r="J207" s="50"/>
      <c r="K207" s="50"/>
      <c r="L207" s="50"/>
      <c r="M207" s="76">
        <f t="shared" ref="M207:W207" si="416">+SUM(M201:M206)</f>
        <v>0</v>
      </c>
      <c r="N207" s="76">
        <f t="shared" si="416"/>
        <v>0</v>
      </c>
      <c r="O207" s="76">
        <f t="shared" si="416"/>
        <v>-0.4739999999999992</v>
      </c>
      <c r="P207" s="76">
        <f t="shared" si="416"/>
        <v>0.33099999999999896</v>
      </c>
      <c r="Q207" s="76">
        <f t="shared" si="416"/>
        <v>-0.84399999999999931</v>
      </c>
      <c r="R207" s="76">
        <f t="shared" si="416"/>
        <v>0.76900000000000113</v>
      </c>
      <c r="S207" s="76">
        <f t="shared" si="416"/>
        <v>-1.2350000000000068</v>
      </c>
      <c r="T207" s="76">
        <f>+SUM(T201:T206)</f>
        <v>-0.26699999999999857</v>
      </c>
      <c r="U207" s="76">
        <f t="shared" si="416"/>
        <v>-1.0209999999999986</v>
      </c>
      <c r="V207" s="76">
        <f t="shared" si="416"/>
        <v>1.6909999999999976</v>
      </c>
      <c r="W207" s="76">
        <f t="shared" si="416"/>
        <v>2.1760000000000015</v>
      </c>
      <c r="X207" s="76">
        <f t="shared" ref="X207:AF207" si="417">+SUM(X201:X206)</f>
        <v>0.80499999999998939</v>
      </c>
      <c r="Y207" s="640">
        <f t="shared" si="417"/>
        <v>3.4400000000000133</v>
      </c>
      <c r="Z207" s="76">
        <f t="shared" si="417"/>
        <v>8.2660000000000018</v>
      </c>
      <c r="AA207" s="76">
        <f t="shared" si="417"/>
        <v>8.4799999999999933</v>
      </c>
      <c r="AB207" s="76">
        <f t="shared" si="417"/>
        <v>10.987999999999998</v>
      </c>
      <c r="AC207" s="627">
        <f t="shared" si="417"/>
        <v>11.628999999999987</v>
      </c>
      <c r="AD207" s="76">
        <f t="shared" si="417"/>
        <v>17.921999999999997</v>
      </c>
      <c r="AE207" s="76">
        <f t="shared" si="417"/>
        <v>20.151999999999994</v>
      </c>
      <c r="AF207" s="76">
        <f t="shared" si="417"/>
        <v>24.193000000000012</v>
      </c>
      <c r="AG207" s="627">
        <f t="shared" ref="AG207:AN207" si="418">+SUM(AG201:AG206)</f>
        <v>21.836000000000002</v>
      </c>
      <c r="AH207" s="76">
        <f t="shared" si="418"/>
        <v>21.573</v>
      </c>
      <c r="AI207" s="76">
        <f t="shared" si="418"/>
        <v>19.471999999999998</v>
      </c>
      <c r="AJ207" s="895">
        <f t="shared" si="418"/>
        <v>26.610000000000007</v>
      </c>
      <c r="AK207" s="222">
        <f t="shared" si="418"/>
        <v>17.417999999999999</v>
      </c>
      <c r="AL207" s="222">
        <f t="shared" si="418"/>
        <v>32.477000000000004</v>
      </c>
      <c r="AM207" s="222">
        <f t="shared" si="418"/>
        <v>38.933</v>
      </c>
      <c r="AN207" s="895">
        <f t="shared" si="418"/>
        <v>48.345999999999989</v>
      </c>
      <c r="AO207" s="222">
        <f>+SUM(AO201:AO206)</f>
        <v>35.007999999999996</v>
      </c>
      <c r="AP207" s="222">
        <f>+SUM(AP201:AP206)</f>
        <v>47.440000000000005</v>
      </c>
      <c r="AQ207" s="222">
        <f>+SUM(AQ201:AQ206)</f>
        <v>48.612000000000009</v>
      </c>
      <c r="AR207" s="895">
        <f t="shared" ref="AR207" si="419">+SUM(AR201:AR206)</f>
        <v>17.027000000000051</v>
      </c>
      <c r="AS207" s="627">
        <f t="shared" ref="AS207:AV207" si="420">+SUM(AS201:AS206)</f>
        <v>33.347781404430634</v>
      </c>
      <c r="AT207" s="76">
        <f t="shared" si="420"/>
        <v>44.358157710454812</v>
      </c>
      <c r="AU207" s="76">
        <f t="shared" si="420"/>
        <v>46.53793405895739</v>
      </c>
      <c r="AV207" s="614">
        <f t="shared" si="420"/>
        <v>51.647628224002652</v>
      </c>
      <c r="AW207" s="627">
        <f t="shared" ref="AW207:BD207" si="421">+SUM(AW201:AW206)</f>
        <v>42.063713069847097</v>
      </c>
      <c r="AX207" s="76">
        <f t="shared" si="421"/>
        <v>52.073814355356603</v>
      </c>
      <c r="AY207" s="76">
        <f t="shared" si="421"/>
        <v>53.945669293184721</v>
      </c>
      <c r="AZ207" s="614">
        <f t="shared" si="421"/>
        <v>58.962750334069817</v>
      </c>
      <c r="BA207" s="627">
        <f t="shared" si="421"/>
        <v>50.120354910340502</v>
      </c>
      <c r="BB207" s="76">
        <f t="shared" si="421"/>
        <v>61.385602063035932</v>
      </c>
      <c r="BC207" s="76">
        <f t="shared" si="421"/>
        <v>63.223773326856943</v>
      </c>
      <c r="BD207" s="614">
        <f t="shared" si="421"/>
        <v>68.60587216191405</v>
      </c>
      <c r="BE207"/>
      <c r="BF207" s="54"/>
      <c r="BG207" s="640"/>
      <c r="BH207" s="76"/>
      <c r="BI207" s="402">
        <f>+SUM(BI201:BI206)</f>
        <v>-4.8339999999999987</v>
      </c>
      <c r="BJ207" s="402">
        <f>+SUM(BJ201:BJ206)</f>
        <v>-0.48099999999999488</v>
      </c>
      <c r="BK207" s="402">
        <f>+SUM(BK201:BK206)</f>
        <v>-5.7299999999999924</v>
      </c>
      <c r="BL207" s="402">
        <f t="shared" ref="BL207:BU207" si="422">+SUM(BL201:BL206)</f>
        <v>-1.5770000000000062</v>
      </c>
      <c r="BM207" s="402">
        <f t="shared" si="422"/>
        <v>3.6509999999999909</v>
      </c>
      <c r="BN207" s="402">
        <f t="shared" si="422"/>
        <v>31.174000000000007</v>
      </c>
      <c r="BO207" s="76">
        <f t="shared" si="422"/>
        <v>73.895999999999987</v>
      </c>
      <c r="BP207" s="76">
        <f t="shared" si="422"/>
        <v>89.491</v>
      </c>
      <c r="BQ207" s="76">
        <f t="shared" si="422"/>
        <v>137.17399999999998</v>
      </c>
      <c r="BR207" s="76">
        <f t="shared" si="422"/>
        <v>148.08700000000005</v>
      </c>
      <c r="BS207" s="76">
        <f t="shared" si="422"/>
        <v>175.8915013978455</v>
      </c>
      <c r="BT207" s="76">
        <f t="shared" si="422"/>
        <v>207.04594705245825</v>
      </c>
      <c r="BU207" s="76">
        <f t="shared" si="422"/>
        <v>243.33560246214745</v>
      </c>
      <c r="BV207" s="76">
        <f>+SUM(BV201:BV206)</f>
        <v>283.52654497654436</v>
      </c>
      <c r="BW207" s="76">
        <f>+SUM(BW201:BW206)</f>
        <v>325.75390197396888</v>
      </c>
      <c r="BX207" s="76">
        <f>+SUM(BX201:BX206)</f>
        <v>369.28877998390521</v>
      </c>
      <c r="BY207" s="76">
        <f>+SUM(BY201:BY206)</f>
        <v>414.236962822821</v>
      </c>
      <c r="BZ207" s="614">
        <f>+SUM(BZ201:BZ206)</f>
        <v>461.49273642612991</v>
      </c>
      <c r="CA207" s="571"/>
      <c r="CB207" s="571"/>
      <c r="CC207" s="571"/>
      <c r="CD207" s="571"/>
      <c r="CE207" s="571"/>
      <c r="CF207" s="571"/>
      <c r="CG207" s="1774"/>
      <c r="CH207" s="1774"/>
      <c r="CI207" s="1774"/>
      <c r="CJ207" s="571"/>
      <c r="CK207" s="571"/>
      <c r="CL207" s="571"/>
      <c r="CM207" s="571"/>
      <c r="CN207" s="571"/>
      <c r="CO207" s="571"/>
      <c r="CP207" s="571"/>
      <c r="CQ207" s="571"/>
      <c r="CR207" s="571"/>
    </row>
    <row r="208" spans="1:96" s="401" customFormat="1" ht="11.25" customHeight="1">
      <c r="A208" s="36"/>
      <c r="B208"/>
      <c r="C208"/>
      <c r="D208"/>
      <c r="E208"/>
      <c r="F208"/>
      <c r="G208"/>
      <c r="H208" s="5"/>
      <c r="I208" s="450"/>
      <c r="J208" s="5"/>
      <c r="K208" s="5"/>
      <c r="L208" s="5"/>
      <c r="M208" s="336"/>
      <c r="N208" s="336"/>
      <c r="O208" s="336"/>
      <c r="P208" s="336"/>
      <c r="Q208" s="336"/>
      <c r="R208" s="336"/>
      <c r="S208" s="336"/>
      <c r="T208" s="336"/>
      <c r="U208" s="336"/>
      <c r="V208" s="336"/>
      <c r="W208" s="336"/>
      <c r="X208" s="336"/>
      <c r="Y208" s="641"/>
      <c r="Z208" s="110"/>
      <c r="AA208" s="110"/>
      <c r="AB208" s="110"/>
      <c r="AC208" s="505"/>
      <c r="AD208" s="110"/>
      <c r="AE208" s="110"/>
      <c r="AF208" s="110"/>
      <c r="AG208" s="505"/>
      <c r="AH208" s="110"/>
      <c r="AI208" s="110"/>
      <c r="AJ208" s="469"/>
      <c r="AK208" s="110"/>
      <c r="AL208" s="110"/>
      <c r="AM208" s="110"/>
      <c r="AN208" s="469"/>
      <c r="AO208" s="110"/>
      <c r="AP208" s="110"/>
      <c r="AQ208" s="110"/>
      <c r="AR208" s="469"/>
      <c r="AS208" s="505"/>
      <c r="AT208" s="110"/>
      <c r="AU208" s="110"/>
      <c r="AV208" s="469"/>
      <c r="AW208" s="505"/>
      <c r="AX208" s="110"/>
      <c r="AY208" s="110"/>
      <c r="AZ208" s="469"/>
      <c r="BA208" s="505"/>
      <c r="BB208" s="110"/>
      <c r="BC208" s="110"/>
      <c r="BD208" s="469"/>
      <c r="BE208"/>
      <c r="BF208" s="54"/>
      <c r="BG208" s="595"/>
      <c r="BH208" s="67"/>
      <c r="BI208" s="67"/>
      <c r="BJ208" s="67"/>
      <c r="BK208" s="67"/>
      <c r="BL208" s="67"/>
      <c r="BM208" s="67"/>
      <c r="BN208" s="67"/>
      <c r="BO208" s="110"/>
      <c r="BP208" s="110"/>
      <c r="BQ208" s="110"/>
      <c r="BR208" s="110"/>
      <c r="BS208" s="110"/>
      <c r="BT208" s="110"/>
      <c r="BU208" s="336"/>
      <c r="BV208" s="336"/>
      <c r="BW208" s="336"/>
      <c r="BX208" s="336"/>
      <c r="BY208" s="336"/>
      <c r="BZ208" s="613"/>
      <c r="CA208" s="54"/>
      <c r="CB208" s="54"/>
      <c r="CC208" s="54"/>
      <c r="CD208" s="54"/>
      <c r="CE208" s="54"/>
      <c r="CF208" s="54"/>
      <c r="CG208" s="1772"/>
      <c r="CH208" s="1772"/>
      <c r="CI208" s="1772"/>
      <c r="CJ208" s="54"/>
      <c r="CK208" s="54"/>
      <c r="CL208" s="54"/>
      <c r="CM208" s="54"/>
      <c r="CN208" s="54"/>
      <c r="CO208" s="54"/>
      <c r="CP208" s="54"/>
      <c r="CQ208" s="54"/>
      <c r="CR208" s="54"/>
    </row>
    <row r="209" spans="1:96" ht="11.25" customHeight="1">
      <c r="A209" s="36"/>
      <c r="H209" s="36"/>
      <c r="I209" s="650" t="s">
        <v>92</v>
      </c>
      <c r="J209" s="536"/>
      <c r="K209" s="536"/>
      <c r="L209" s="536"/>
      <c r="M209" s="536"/>
      <c r="N209" s="537"/>
      <c r="O209" s="538"/>
      <c r="P209" s="538"/>
      <c r="Q209" s="536"/>
      <c r="R209" s="537"/>
      <c r="S209" s="537"/>
      <c r="T209" s="537"/>
      <c r="U209" s="539"/>
      <c r="V209" s="537"/>
      <c r="W209" s="537"/>
      <c r="X209" s="537"/>
      <c r="Y209" s="535"/>
      <c r="Z209" s="537"/>
      <c r="AA209" s="537"/>
      <c r="AB209" s="537"/>
      <c r="AC209" s="650"/>
      <c r="AD209" s="537"/>
      <c r="AE209" s="537"/>
      <c r="AF209" s="537"/>
      <c r="AG209" s="623"/>
      <c r="AH209" s="537"/>
      <c r="AI209" s="537"/>
      <c r="AJ209" s="610"/>
      <c r="AK209" s="537"/>
      <c r="AL209" s="537"/>
      <c r="AM209" s="537"/>
      <c r="AN209" s="610"/>
      <c r="AO209" s="537"/>
      <c r="AP209" s="537"/>
      <c r="AQ209" s="537"/>
      <c r="AR209" s="610"/>
      <c r="AS209" s="623"/>
      <c r="AT209" s="537"/>
      <c r="AU209" s="537"/>
      <c r="AV209" s="610"/>
      <c r="AW209" s="623"/>
      <c r="AX209" s="537"/>
      <c r="AY209" s="537"/>
      <c r="AZ209" s="610"/>
      <c r="BA209" s="623"/>
      <c r="BB209" s="537"/>
      <c r="BC209" s="537"/>
      <c r="BD209" s="610"/>
      <c r="BF209" s="528"/>
      <c r="BG209" s="593"/>
      <c r="BH209" s="537"/>
      <c r="BI209" s="538"/>
      <c r="BJ209" s="538"/>
      <c r="BK209" s="538"/>
      <c r="BL209" s="538"/>
      <c r="BM209" s="538"/>
      <c r="BN209" s="538"/>
      <c r="BO209" s="538"/>
      <c r="BP209" s="538"/>
      <c r="BQ209" s="537"/>
      <c r="BR209" s="537"/>
      <c r="BS209" s="537"/>
      <c r="BT209" s="537"/>
      <c r="BU209" s="537"/>
      <c r="BV209" s="537"/>
      <c r="BW209" s="537"/>
      <c r="BX209" s="537"/>
      <c r="BY209" s="537"/>
      <c r="BZ209" s="610"/>
      <c r="CA209" s="54"/>
      <c r="CB209" s="54"/>
      <c r="CC209" s="54"/>
      <c r="CD209" s="54"/>
      <c r="CE209" s="54"/>
      <c r="CF209" s="54"/>
      <c r="CG209" s="1772"/>
      <c r="CH209" s="1772"/>
      <c r="CI209" s="1772"/>
      <c r="CJ209" s="54"/>
      <c r="CK209" s="54"/>
      <c r="CL209" s="54"/>
      <c r="CM209" s="36"/>
      <c r="CN209" s="36"/>
      <c r="CO209" s="36"/>
      <c r="CP209" s="36"/>
      <c r="CQ209" s="36"/>
      <c r="CR209" s="36"/>
    </row>
    <row r="210" spans="1:96" s="401" customFormat="1" ht="11.25" customHeight="1">
      <c r="A210" s="36"/>
      <c r="B210"/>
      <c r="C210"/>
      <c r="D210"/>
      <c r="E210"/>
      <c r="F210"/>
      <c r="G210"/>
      <c r="H210" s="5"/>
      <c r="I210" s="138"/>
      <c r="J210" s="543"/>
      <c r="K210" s="543"/>
      <c r="L210" s="543"/>
      <c r="M210" s="575"/>
      <c r="N210" s="575"/>
      <c r="O210" s="575"/>
      <c r="P210" s="575"/>
      <c r="Q210" s="575"/>
      <c r="R210" s="575"/>
      <c r="S210" s="575"/>
      <c r="T210" s="575"/>
      <c r="U210" s="575"/>
      <c r="V210" s="575"/>
      <c r="W210" s="575"/>
      <c r="X210" s="575"/>
      <c r="Y210" s="642"/>
      <c r="Z210" s="545"/>
      <c r="AA210" s="545"/>
      <c r="AB210" s="545"/>
      <c r="AC210" s="628"/>
      <c r="AD210" s="545"/>
      <c r="AE210" s="545"/>
      <c r="AF210" s="545"/>
      <c r="AG210" s="628"/>
      <c r="AH210" s="545"/>
      <c r="AI210" s="545"/>
      <c r="AJ210" s="615"/>
      <c r="AK210" s="545"/>
      <c r="AL210" s="545"/>
      <c r="AM210" s="545"/>
      <c r="AN210" s="615"/>
      <c r="AO210" s="545"/>
      <c r="AP210" s="545"/>
      <c r="AQ210" s="545"/>
      <c r="AR210" s="615"/>
      <c r="AS210" s="628"/>
      <c r="AT210" s="545"/>
      <c r="AU210" s="545"/>
      <c r="AV210" s="615"/>
      <c r="AW210" s="628"/>
      <c r="AX210" s="545"/>
      <c r="AY210" s="545"/>
      <c r="AZ210" s="615"/>
      <c r="BA210" s="628"/>
      <c r="BB210" s="545"/>
      <c r="BC210" s="545"/>
      <c r="BD210" s="615"/>
      <c r="BE210"/>
      <c r="BF210" s="54"/>
      <c r="BG210" s="710"/>
      <c r="BH210" s="544"/>
      <c r="BI210" s="544"/>
      <c r="BJ210" s="544"/>
      <c r="BK210" s="544"/>
      <c r="BL210" s="544"/>
      <c r="BM210" s="544"/>
      <c r="BN210" s="544"/>
      <c r="BO210" s="545"/>
      <c r="BP210" s="545"/>
      <c r="BQ210" s="545"/>
      <c r="BR210" s="545"/>
      <c r="BS210" s="545"/>
      <c r="BT210" s="545"/>
      <c r="BU210" s="575"/>
      <c r="BV210" s="575"/>
      <c r="BW210" s="575"/>
      <c r="BX210" s="575"/>
      <c r="BY210" s="575"/>
      <c r="BZ210" s="1670"/>
      <c r="CA210" s="54"/>
      <c r="CB210" s="54"/>
      <c r="CC210" s="54"/>
      <c r="CD210" s="54"/>
      <c r="CE210" s="54"/>
      <c r="CF210" s="54"/>
      <c r="CG210" s="1772"/>
      <c r="CH210" s="1772"/>
      <c r="CI210" s="1772"/>
      <c r="CJ210" s="54"/>
      <c r="CK210" s="54"/>
      <c r="CL210" s="54"/>
      <c r="CM210" s="54"/>
      <c r="CN210" s="54"/>
      <c r="CO210" s="54"/>
      <c r="CP210" s="54"/>
      <c r="CQ210" s="54"/>
      <c r="CR210" s="54"/>
    </row>
    <row r="211" spans="1:96" s="401" customFormat="1" ht="11.25" customHeight="1">
      <c r="A211" s="36"/>
      <c r="B211"/>
      <c r="C211"/>
      <c r="D211"/>
      <c r="E211"/>
      <c r="F211"/>
      <c r="G211"/>
      <c r="H211" s="5"/>
      <c r="I211" s="651" t="s">
        <v>90</v>
      </c>
      <c r="J211" s="13"/>
      <c r="K211" s="5"/>
      <c r="L211" s="5"/>
      <c r="M211" s="327"/>
      <c r="N211" s="327"/>
      <c r="O211" s="589">
        <f>-2.692-N211-M211</f>
        <v>-2.6920000000000002</v>
      </c>
      <c r="P211" s="589">
        <f>-4.426-O211-N211-M211</f>
        <v>-1.734</v>
      </c>
      <c r="Q211" s="589">
        <v>0.57699999999999996</v>
      </c>
      <c r="R211" s="589">
        <f>0.022-Q211</f>
        <v>-0.55499999999999994</v>
      </c>
      <c r="S211" s="589">
        <f>-1.169-R211-Q211</f>
        <v>-1.1910000000000001</v>
      </c>
      <c r="T211" s="589">
        <f>BL211-SUM(Q211:S211)</f>
        <v>-0.5129999999999999</v>
      </c>
      <c r="U211" s="589">
        <v>1.0900000000000001</v>
      </c>
      <c r="V211" s="589">
        <f>-1.973-U211</f>
        <v>-3.0630000000000002</v>
      </c>
      <c r="W211" s="589">
        <f>-2.657-V211-U211</f>
        <v>-0.68399999999999994</v>
      </c>
      <c r="X211" s="589">
        <f>-2.017-W211-V211-U211</f>
        <v>0.64000000000000012</v>
      </c>
      <c r="Y211" s="643">
        <v>-1.4710000000000001</v>
      </c>
      <c r="Z211" s="589">
        <f>-4.404-Y211</f>
        <v>-2.9329999999999998</v>
      </c>
      <c r="AA211" s="589">
        <f>-7.557-Z211-Y211</f>
        <v>-3.1530000000000005</v>
      </c>
      <c r="AB211" s="589">
        <f>-12.843-AA211-Z211-Y211</f>
        <v>-5.2859999999999996</v>
      </c>
      <c r="AC211" s="1090">
        <v>-1.2490000000000001</v>
      </c>
      <c r="AD211" s="589">
        <f>-6.716-AC211</f>
        <v>-5.4670000000000005</v>
      </c>
      <c r="AE211" s="589">
        <f>-13.772-AD211-AC211</f>
        <v>-7.0559999999999992</v>
      </c>
      <c r="AF211" s="589">
        <f>-21.291-AE211-AD211-AC211</f>
        <v>-7.5190000000000001</v>
      </c>
      <c r="AG211" s="1611">
        <v>-2.85</v>
      </c>
      <c r="AH211" s="1748">
        <f>-7.855-AG211</f>
        <v>-5.0050000000000008</v>
      </c>
      <c r="AI211" s="588">
        <f>-17.773-AH211-AG211</f>
        <v>-9.9179999999999993</v>
      </c>
      <c r="AJ211" s="2632">
        <v>-7.5060000000000002</v>
      </c>
      <c r="AK211" s="2633">
        <v>-5.2350000000000003</v>
      </c>
      <c r="AL211" s="2633">
        <v>-8.0019999999999989</v>
      </c>
      <c r="AM211" s="2633">
        <v>-10.930000000000003</v>
      </c>
      <c r="AN211" s="2632">
        <v>-7.4569999999999963</v>
      </c>
      <c r="AO211" s="2633">
        <v>-3.6070000000000002</v>
      </c>
      <c r="AP211" s="2633">
        <v>-4.1209999999999996</v>
      </c>
      <c r="AQ211" s="2633">
        <v>-9.2430000000000021</v>
      </c>
      <c r="AR211" s="2632">
        <v>-15.141000000000002</v>
      </c>
      <c r="AS211" s="629">
        <f t="shared" ref="AS211:BD211" si="423">AR155-AS155</f>
        <v>0.41689703130543876</v>
      </c>
      <c r="AT211" s="584">
        <f t="shared" si="423"/>
        <v>0.19063558905202171</v>
      </c>
      <c r="AU211" s="584">
        <f t="shared" si="423"/>
        <v>-0.12834893479886489</v>
      </c>
      <c r="AV211" s="616">
        <f t="shared" si="423"/>
        <v>-14.132701557312217</v>
      </c>
      <c r="AW211" s="629">
        <f t="shared" si="423"/>
        <v>0.74668705703788874</v>
      </c>
      <c r="AX211" s="584">
        <f t="shared" si="423"/>
        <v>1.3246334087842371</v>
      </c>
      <c r="AY211" s="584">
        <f t="shared" si="423"/>
        <v>1.0041770480447241</v>
      </c>
      <c r="AZ211" s="616">
        <f t="shared" si="423"/>
        <v>-15.076570480633691</v>
      </c>
      <c r="BA211" s="629">
        <f t="shared" si="423"/>
        <v>1.2661463100781134</v>
      </c>
      <c r="BB211" s="584">
        <f t="shared" si="423"/>
        <v>1.8608174892505076</v>
      </c>
      <c r="BC211" s="584">
        <f t="shared" si="423"/>
        <v>1.944135498083341</v>
      </c>
      <c r="BD211" s="616">
        <f t="shared" si="423"/>
        <v>-16.39243726878091</v>
      </c>
      <c r="BE211"/>
      <c r="BF211" s="84"/>
      <c r="BG211" s="596"/>
      <c r="BH211" s="249"/>
      <c r="BI211" s="67">
        <v>-0.80700000000000005</v>
      </c>
      <c r="BJ211" s="67">
        <v>-0.84599999999999997</v>
      </c>
      <c r="BK211" s="67">
        <f>SUM(M211:P211)</f>
        <v>-4.4260000000000002</v>
      </c>
      <c r="BL211" s="67">
        <v>-1.6819999999999999</v>
      </c>
      <c r="BM211" s="67">
        <f>SUM(U211:X211)</f>
        <v>-2.0169999999999999</v>
      </c>
      <c r="BN211" s="67">
        <f>SUM(Y211:AB211)</f>
        <v>-12.843</v>
      </c>
      <c r="BO211" s="67">
        <f>SUM(AC211:AF211)</f>
        <v>-21.291</v>
      </c>
      <c r="BP211" s="67">
        <f>SUM(AG211:AJ211)</f>
        <v>-25.279</v>
      </c>
      <c r="BQ211" s="110">
        <f>SUM(AK211:AN211)</f>
        <v>-31.623999999999999</v>
      </c>
      <c r="BR211" s="329">
        <f>SUM(AO211:AR211)</f>
        <v>-32.112000000000009</v>
      </c>
      <c r="BS211" s="329">
        <f>SUM(AS211:AV211)</f>
        <v>-13.653517871753621</v>
      </c>
      <c r="BT211" s="1095">
        <f>SUM(AW211:AZ211)</f>
        <v>-12.001072966766841</v>
      </c>
      <c r="BU211" s="1095">
        <f>SUM(BA211:BD211)</f>
        <v>-11.321337971368948</v>
      </c>
      <c r="BV211" s="584">
        <f>BU155-BV155</f>
        <v>-9.6901439754060164</v>
      </c>
      <c r="BW211" s="584">
        <f t="shared" ref="BV211:BZ212" si="424">BV155-BW155</f>
        <v>-8.8582416529057468</v>
      </c>
      <c r="BX211" s="584">
        <f t="shared" si="424"/>
        <v>-7.9612219922414909</v>
      </c>
      <c r="BY211" s="584">
        <f t="shared" si="424"/>
        <v>-7.0888429886613835</v>
      </c>
      <c r="BZ211" s="616">
        <f t="shared" si="424"/>
        <v>-6.3205956969619308</v>
      </c>
      <c r="CA211" s="54"/>
      <c r="CB211" s="54"/>
      <c r="CC211" s="54"/>
      <c r="CD211" s="54"/>
      <c r="CE211" s="54"/>
      <c r="CF211" s="54"/>
      <c r="CG211" s="1772"/>
      <c r="CH211" s="1772"/>
      <c r="CI211" s="1772"/>
      <c r="CJ211" s="54"/>
      <c r="CK211" s="54"/>
      <c r="CL211" s="54"/>
      <c r="CM211" s="54"/>
      <c r="CN211" s="54"/>
      <c r="CO211" s="54"/>
      <c r="CP211" s="54"/>
      <c r="CQ211" s="54"/>
      <c r="CR211" s="54"/>
    </row>
    <row r="212" spans="1:96" s="401" customFormat="1" ht="11.25" customHeight="1">
      <c r="A212" s="36"/>
      <c r="B212"/>
      <c r="C212"/>
      <c r="D212"/>
      <c r="E212"/>
      <c r="F212"/>
      <c r="G212"/>
      <c r="H212" s="5"/>
      <c r="I212" s="651" t="s">
        <v>72</v>
      </c>
      <c r="J212" s="13"/>
      <c r="K212" s="5"/>
      <c r="L212" s="5"/>
      <c r="M212" s="327"/>
      <c r="N212" s="327"/>
      <c r="O212" s="589">
        <f>-0.952-N212-M212</f>
        <v>-0.95199999999999996</v>
      </c>
      <c r="P212" s="589">
        <f>-1.121-O212-N212-M212</f>
        <v>-0.16900000000000004</v>
      </c>
      <c r="Q212" s="589">
        <v>0.129</v>
      </c>
      <c r="R212" s="589">
        <f>-0.411-Q212</f>
        <v>-0.54</v>
      </c>
      <c r="S212" s="589">
        <f>-0.197-R212-Q212</f>
        <v>0.21400000000000002</v>
      </c>
      <c r="T212" s="589">
        <f>BL212-SUM(Q212:S212)</f>
        <v>-0.90199999999999991</v>
      </c>
      <c r="U212" s="589">
        <v>-0.55200000000000005</v>
      </c>
      <c r="V212" s="589">
        <f>-0.918-U212</f>
        <v>-0.36599999999999999</v>
      </c>
      <c r="W212" s="589">
        <f>-1.76-V212-U212</f>
        <v>-0.84200000000000008</v>
      </c>
      <c r="X212" s="589">
        <f>-2.384-W212-V212-U212</f>
        <v>-0.62399999999999967</v>
      </c>
      <c r="Y212" s="643">
        <v>-2.4220000000000002</v>
      </c>
      <c r="Z212" s="589">
        <f>-2.318-Y212</f>
        <v>0.10400000000000009</v>
      </c>
      <c r="AA212" s="589">
        <f>-3.02-Z212-Y212</f>
        <v>-0.70199999999999996</v>
      </c>
      <c r="AB212" s="589">
        <f>-1.572-AA212-Z212-Y212</f>
        <v>1.448</v>
      </c>
      <c r="AC212" s="1090">
        <v>-5.9279999999999999</v>
      </c>
      <c r="AD212" s="589">
        <f>-5.98-AC212</f>
        <v>-5.200000000000049E-2</v>
      </c>
      <c r="AE212" s="589">
        <f>-7.338-AD212-AC212</f>
        <v>-1.3579999999999997</v>
      </c>
      <c r="AF212" s="589">
        <f>-4.011-AE212-AD212-AC212</f>
        <v>3.327</v>
      </c>
      <c r="AG212" s="1611">
        <v>-6.0449999999999999</v>
      </c>
      <c r="AH212" s="1748">
        <f>-7.079-AG212</f>
        <v>-1.0339999999999998</v>
      </c>
      <c r="AI212" s="588">
        <f>-15.057-AH212-AG212</f>
        <v>-7.9779999999999998</v>
      </c>
      <c r="AJ212" s="2632">
        <v>-7.6460000000000008</v>
      </c>
      <c r="AK212" s="2633">
        <v>2.8839999999999999</v>
      </c>
      <c r="AL212" s="2633">
        <v>0.6080000000000001</v>
      </c>
      <c r="AM212" s="2633">
        <v>0.14599999999999991</v>
      </c>
      <c r="AN212" s="2632">
        <v>2.0489999999999999</v>
      </c>
      <c r="AO212" s="2633">
        <v>-0.89900000000000002</v>
      </c>
      <c r="AP212" s="2633">
        <v>0.54600000000000004</v>
      </c>
      <c r="AQ212" s="2633">
        <v>-1.7530000000000001</v>
      </c>
      <c r="AR212" s="2632">
        <v>0.74399999999999999</v>
      </c>
      <c r="AS212" s="629">
        <f t="shared" ref="AS212:BD212" si="425">AR156-AS156</f>
        <v>-0.96750912554072599</v>
      </c>
      <c r="AT212" s="584">
        <f t="shared" si="425"/>
        <v>0.43226155939156286</v>
      </c>
      <c r="AU212" s="584">
        <f t="shared" si="425"/>
        <v>-1.2782063899073961</v>
      </c>
      <c r="AV212" s="616">
        <f t="shared" si="425"/>
        <v>-0.61565124399010784</v>
      </c>
      <c r="AW212" s="629">
        <f t="shared" si="425"/>
        <v>-0.62186351454259992</v>
      </c>
      <c r="AX212" s="584">
        <f t="shared" si="425"/>
        <v>0.75360622997525084</v>
      </c>
      <c r="AY212" s="584">
        <f t="shared" si="425"/>
        <v>-1.0724822431086629</v>
      </c>
      <c r="AZ212" s="616">
        <f t="shared" si="425"/>
        <v>-0.10022877477010894</v>
      </c>
      <c r="BA212" s="629">
        <f t="shared" si="425"/>
        <v>-1.2408156971496318</v>
      </c>
      <c r="BB212" s="584">
        <f t="shared" si="425"/>
        <v>1.0005024417356765</v>
      </c>
      <c r="BC212" s="584">
        <f t="shared" si="425"/>
        <v>-1.0548488382896437</v>
      </c>
      <c r="BD212" s="616">
        <f t="shared" si="425"/>
        <v>2.3622049108183774E-2</v>
      </c>
      <c r="BE212"/>
      <c r="BF212" s="84"/>
      <c r="BG212" s="596"/>
      <c r="BH212" s="249"/>
      <c r="BI212" s="67">
        <v>-0.34200000000000003</v>
      </c>
      <c r="BJ212" s="67">
        <v>-0.40500000000000003</v>
      </c>
      <c r="BK212" s="67">
        <f>SUM(M212:P212)</f>
        <v>-1.121</v>
      </c>
      <c r="BL212" s="67">
        <v>-1.099</v>
      </c>
      <c r="BM212" s="67">
        <f>SUM(U212:X212)</f>
        <v>-2.3839999999999999</v>
      </c>
      <c r="BN212" s="67">
        <f>SUM(Y212:AB212)</f>
        <v>-1.5720000000000001</v>
      </c>
      <c r="BO212" s="67">
        <f>SUM(AC212:AF212)</f>
        <v>-4.0110000000000001</v>
      </c>
      <c r="BP212" s="67">
        <f>SUM(AG212:AJ212)</f>
        <v>-22.702999999999999</v>
      </c>
      <c r="BQ212" s="110">
        <f>SUM(AK212:AN212)</f>
        <v>5.6869999999999994</v>
      </c>
      <c r="BR212" s="329">
        <f>SUM(AO212:AR212)</f>
        <v>-1.3619999999999999</v>
      </c>
      <c r="BS212" s="329">
        <f>SUM(AS212:AV212)</f>
        <v>-2.4291052000466671</v>
      </c>
      <c r="BT212" s="1095">
        <f>SUM(AW212:AZ212)</f>
        <v>-1.0409683024461209</v>
      </c>
      <c r="BU212" s="1095">
        <f>SUM(BA212:BD212)</f>
        <v>-1.2715400445954153</v>
      </c>
      <c r="BV212" s="584">
        <f t="shared" si="424"/>
        <v>-1.7742483918785155</v>
      </c>
      <c r="BW212" s="584">
        <f t="shared" si="424"/>
        <v>-1.624000707385683</v>
      </c>
      <c r="BX212" s="584">
        <f t="shared" si="424"/>
        <v>-1.5135244687880203</v>
      </c>
      <c r="BY212" s="584">
        <f t="shared" si="424"/>
        <v>-1.3588577347512896</v>
      </c>
      <c r="BZ212" s="616">
        <f t="shared" si="424"/>
        <v>-1.2262862484340857</v>
      </c>
      <c r="CA212" s="54"/>
      <c r="CB212" s="54"/>
      <c r="CC212" s="54"/>
      <c r="CD212" s="54"/>
      <c r="CE212" s="54"/>
      <c r="CF212" s="54"/>
      <c r="CG212" s="1772"/>
      <c r="CH212" s="1772"/>
      <c r="CI212" s="1772"/>
      <c r="CJ212" s="54"/>
      <c r="CK212" s="54"/>
      <c r="CL212" s="54"/>
      <c r="CM212" s="54"/>
      <c r="CN212" s="54"/>
      <c r="CO212" s="54"/>
      <c r="CP212" s="54"/>
      <c r="CQ212" s="54"/>
      <c r="CR212" s="54"/>
    </row>
    <row r="213" spans="1:96" s="401" customFormat="1" ht="11.25" customHeight="1">
      <c r="A213" s="36"/>
      <c r="B213"/>
      <c r="C213"/>
      <c r="D213"/>
      <c r="E213"/>
      <c r="F213"/>
      <c r="G213"/>
      <c r="H213" s="5"/>
      <c r="I213" s="651" t="s">
        <v>242</v>
      </c>
      <c r="J213" s="13"/>
      <c r="K213" s="5"/>
      <c r="L213" s="5"/>
      <c r="M213" s="327"/>
      <c r="N213" s="327"/>
      <c r="O213" s="589">
        <f>2.983-N213-M213</f>
        <v>2.9830000000000001</v>
      </c>
      <c r="P213" s="589">
        <f>2.924-O213-N213-M213</f>
        <v>-5.9000000000000163E-2</v>
      </c>
      <c r="Q213" s="589">
        <v>0.75</v>
      </c>
      <c r="R213" s="589">
        <f>1.272-Q213</f>
        <v>0.52200000000000002</v>
      </c>
      <c r="S213" s="589">
        <f>1.991-R213-Q213</f>
        <v>0.71900000000000008</v>
      </c>
      <c r="T213" s="589">
        <f>BL213-SUM(Q213:S213)</f>
        <v>1.984</v>
      </c>
      <c r="U213" s="589">
        <v>-1.2170000000000001</v>
      </c>
      <c r="V213" s="589">
        <f>0.577-U213</f>
        <v>1.794</v>
      </c>
      <c r="W213" s="589">
        <f>0.672-V213-U213</f>
        <v>9.5000000000000195E-2</v>
      </c>
      <c r="X213" s="589">
        <f>0.07-W213-V213-U213</f>
        <v>-0.60200000000000009</v>
      </c>
      <c r="Y213" s="643">
        <v>0.50900000000000001</v>
      </c>
      <c r="Z213" s="589">
        <f>0.215-Y213</f>
        <v>-0.29400000000000004</v>
      </c>
      <c r="AA213" s="589">
        <f>3.179-Z213-Y213</f>
        <v>2.964</v>
      </c>
      <c r="AB213" s="589">
        <f>4.971-AA213-Z213-Y213</f>
        <v>1.7920000000000003</v>
      </c>
      <c r="AC213" s="1090">
        <v>5.3090000000000002</v>
      </c>
      <c r="AD213" s="589">
        <f>3.567-AC213</f>
        <v>-1.742</v>
      </c>
      <c r="AE213" s="589">
        <f>10.899-AD213-AC213</f>
        <v>7.3319999999999981</v>
      </c>
      <c r="AF213" s="589">
        <f>8.927-AE213-AD213-AC213</f>
        <v>-1.9719999999999986</v>
      </c>
      <c r="AG213" s="1611">
        <v>12.010999999999999</v>
      </c>
      <c r="AH213" s="1748">
        <f>15.616-AG213</f>
        <v>3.6050000000000004</v>
      </c>
      <c r="AI213" s="588">
        <f>23.904-AH213-AG213</f>
        <v>8.2880000000000003</v>
      </c>
      <c r="AJ213" s="2632">
        <v>-8.01</v>
      </c>
      <c r="AK213" s="2633">
        <v>8.7690000000000001</v>
      </c>
      <c r="AL213" s="2633">
        <v>-2.8140000000000001</v>
      </c>
      <c r="AM213" s="2633">
        <v>7.2379999999999978</v>
      </c>
      <c r="AN213" s="2632">
        <v>2.0850000000000026</v>
      </c>
      <c r="AO213" s="2633">
        <v>10.459</v>
      </c>
      <c r="AP213" s="2633">
        <v>-8.9870000000000001</v>
      </c>
      <c r="AQ213" s="2633">
        <v>14.156000000000002</v>
      </c>
      <c r="AR213" s="2632">
        <v>37.254000000000005</v>
      </c>
      <c r="AS213" s="629">
        <f t="shared" ref="AS213:BD213" si="426">AS166-AR166+AS167-AR167</f>
        <v>-27.537369689292227</v>
      </c>
      <c r="AT213" s="584">
        <f t="shared" si="426"/>
        <v>-8.1122591097494805</v>
      </c>
      <c r="AU213" s="584">
        <f t="shared" si="426"/>
        <v>9.9740412430449865</v>
      </c>
      <c r="AV213" s="616">
        <f t="shared" si="426"/>
        <v>38.3597822243133</v>
      </c>
      <c r="AW213" s="629">
        <f t="shared" si="426"/>
        <v>-16.972500761506652</v>
      </c>
      <c r="AX213" s="584">
        <f t="shared" si="426"/>
        <v>2.7525150602428425</v>
      </c>
      <c r="AY213" s="584">
        <f t="shared" si="426"/>
        <v>3.5034269415901207</v>
      </c>
      <c r="AZ213" s="616">
        <f t="shared" si="426"/>
        <v>12.074730687566472</v>
      </c>
      <c r="BA213" s="629">
        <f t="shared" si="426"/>
        <v>-1.6773374625490334</v>
      </c>
      <c r="BB213" s="584">
        <f t="shared" si="426"/>
        <v>-5.1961629428362528</v>
      </c>
      <c r="BC213" s="584">
        <f t="shared" si="426"/>
        <v>7.2145176275932386</v>
      </c>
      <c r="BD213" s="616">
        <f t="shared" si="426"/>
        <v>10.729488275959881</v>
      </c>
      <c r="BE213"/>
      <c r="BF213" s="84"/>
      <c r="BG213" s="596"/>
      <c r="BH213" s="249"/>
      <c r="BI213" s="67">
        <v>1.0149999999999999</v>
      </c>
      <c r="BJ213" s="67">
        <v>0.61499999999999999</v>
      </c>
      <c r="BK213" s="67">
        <f>SUM(M213:P213)</f>
        <v>2.9239999999999999</v>
      </c>
      <c r="BL213" s="67">
        <v>3.9750000000000001</v>
      </c>
      <c r="BM213" s="67">
        <f>SUM(U213:X213)</f>
        <v>7.0000000000000062E-2</v>
      </c>
      <c r="BN213" s="67">
        <f>SUM(Y213:AB213)</f>
        <v>4.9710000000000001</v>
      </c>
      <c r="BO213" s="67">
        <f>SUM(AC213:AF213)</f>
        <v>8.9269999999999996</v>
      </c>
      <c r="BP213" s="67">
        <f>SUM(AG213:AJ213)</f>
        <v>15.894</v>
      </c>
      <c r="BQ213" s="110">
        <f>SUM(AK213:AN213)</f>
        <v>15.278</v>
      </c>
      <c r="BR213" s="329">
        <f>SUM(AO213:AR213)</f>
        <v>52.882000000000005</v>
      </c>
      <c r="BS213" s="329">
        <f>SUM(AS213:AV213)</f>
        <v>12.684194668316579</v>
      </c>
      <c r="BT213" s="1095">
        <f>SUM(AW213:AZ213)</f>
        <v>1.3581719278927835</v>
      </c>
      <c r="BU213" s="1095">
        <f>SUM(BA213:BD213)</f>
        <v>11.070505498167833</v>
      </c>
      <c r="BV213" s="584">
        <f>BV166-BU166+BV167-BU167</f>
        <v>9.4653815485626183</v>
      </c>
      <c r="BW213" s="584">
        <f>BW166-BV166+BW167-BV167</f>
        <v>8.6842331606648173</v>
      </c>
      <c r="BX213" s="584">
        <f>BX166-BW166+BX167-BW167</f>
        <v>8.0769371546078048</v>
      </c>
      <c r="BY213" s="584">
        <f>BY166-BX166+BY167-BX167</f>
        <v>7.5299508672740387</v>
      </c>
      <c r="BZ213" s="616">
        <f>BZ166-BY166+BZ167-BY167</f>
        <v>6.8716076602152185</v>
      </c>
      <c r="CA213" s="54"/>
      <c r="CB213" s="54"/>
      <c r="CC213" s="54"/>
      <c r="CD213" s="54"/>
      <c r="CE213" s="54"/>
      <c r="CF213" s="54"/>
      <c r="CG213" s="1772"/>
      <c r="CH213" s="1772"/>
      <c r="CI213" s="1772"/>
      <c r="CJ213" s="54"/>
      <c r="CK213" s="54"/>
      <c r="CL213" s="54"/>
      <c r="CM213" s="54"/>
      <c r="CN213" s="54"/>
      <c r="CO213" s="54"/>
      <c r="CP213" s="54"/>
      <c r="CQ213" s="54"/>
      <c r="CR213" s="54"/>
    </row>
    <row r="214" spans="1:96" s="401" customFormat="1" ht="11.25" customHeight="1">
      <c r="A214" s="36"/>
      <c r="B214"/>
      <c r="C214"/>
      <c r="D214"/>
      <c r="E214"/>
      <c r="F214"/>
      <c r="G214"/>
      <c r="H214" s="5"/>
      <c r="I214" s="651" t="s">
        <v>41</v>
      </c>
      <c r="J214" s="13"/>
      <c r="K214" s="5"/>
      <c r="L214" s="5"/>
      <c r="M214" s="327"/>
      <c r="N214" s="327"/>
      <c r="O214" s="589">
        <f>0.281-N214-M214</f>
        <v>0.28100000000000003</v>
      </c>
      <c r="P214" s="589">
        <f>0.542-O214-N214-M214</f>
        <v>0.26100000000000001</v>
      </c>
      <c r="Q214" s="589">
        <v>0.38400000000000001</v>
      </c>
      <c r="R214" s="589">
        <f>-0.037-Q214</f>
        <v>-0.42099999999999999</v>
      </c>
      <c r="S214" s="589">
        <f>0.389-R214-Q214</f>
        <v>0.42600000000000005</v>
      </c>
      <c r="T214" s="589">
        <f>BL214-SUM(Q214:S214)</f>
        <v>0.24399999999999994</v>
      </c>
      <c r="U214" s="589">
        <v>-1.073</v>
      </c>
      <c r="V214" s="589">
        <f>-0.796-U214</f>
        <v>0.27699999999999991</v>
      </c>
      <c r="W214" s="589">
        <f>-0.829-V214-U214</f>
        <v>-3.2999999999999918E-2</v>
      </c>
      <c r="X214" s="589">
        <f>-0.443-W214-V214-U214</f>
        <v>0.3859999999999999</v>
      </c>
      <c r="Y214" s="643">
        <v>0.19400000000000001</v>
      </c>
      <c r="Z214" s="589">
        <f>-0.085-Y214</f>
        <v>-0.27900000000000003</v>
      </c>
      <c r="AA214" s="589">
        <f>-0.68-Z214-Y214</f>
        <v>-0.59499999999999997</v>
      </c>
      <c r="AB214" s="589">
        <f>-0.298-AA214-Z214-Y214</f>
        <v>0.38200000000000006</v>
      </c>
      <c r="AC214" s="1090">
        <v>-0.438</v>
      </c>
      <c r="AD214" s="589">
        <f>-0.433-AC214</f>
        <v>5.0000000000000044E-3</v>
      </c>
      <c r="AE214" s="589">
        <f>-0.453-AD214-AC214</f>
        <v>-2.0000000000000018E-2</v>
      </c>
      <c r="AF214" s="589">
        <f>0.411-AE214-AD214-AC214</f>
        <v>0.86399999999999999</v>
      </c>
      <c r="AG214" s="1611">
        <v>0.68300000000000005</v>
      </c>
      <c r="AH214" s="1748">
        <f>-0.426-AG214</f>
        <v>-1.109</v>
      </c>
      <c r="AI214" s="588">
        <f>-0.428-AH214-AG214</f>
        <v>-2.0000000000000018E-3</v>
      </c>
      <c r="AJ214" s="2632">
        <v>0.38699999999999996</v>
      </c>
      <c r="AK214" s="2633">
        <v>4.2999999999999997E-2</v>
      </c>
      <c r="AL214" s="2633">
        <v>0.36200000000000004</v>
      </c>
      <c r="AM214" s="2633">
        <v>-0.11000000000000006</v>
      </c>
      <c r="AN214" s="2632">
        <v>9.0000000000000011E-2</v>
      </c>
      <c r="AO214" s="2633">
        <v>0.27400000000000002</v>
      </c>
      <c r="AP214" s="2633">
        <v>0.20999999999999996</v>
      </c>
      <c r="AQ214" s="2633">
        <v>-0.13400000000000001</v>
      </c>
      <c r="AR214" s="2632">
        <v>-0.19799999999999995</v>
      </c>
      <c r="AS214" s="629">
        <f t="shared" ref="AS214:BD214" si="427">AS168-AR168</f>
        <v>0.55316467416368065</v>
      </c>
      <c r="AT214" s="584">
        <f t="shared" si="427"/>
        <v>0.18784758261585033</v>
      </c>
      <c r="AU214" s="584">
        <f t="shared" si="427"/>
        <v>27.949246669382898</v>
      </c>
      <c r="AV214" s="616">
        <f t="shared" si="427"/>
        <v>-28.036119899559424</v>
      </c>
      <c r="AW214" s="629">
        <f t="shared" si="427"/>
        <v>14.96100128158616</v>
      </c>
      <c r="AX214" s="584">
        <f t="shared" si="427"/>
        <v>-7.0680576316037165</v>
      </c>
      <c r="AY214" s="584">
        <f t="shared" si="427"/>
        <v>4.8369245779719794</v>
      </c>
      <c r="AZ214" s="616">
        <f t="shared" si="427"/>
        <v>-1.348024276538986</v>
      </c>
      <c r="BA214" s="629">
        <f t="shared" si="427"/>
        <v>1.0671440747093577</v>
      </c>
      <c r="BB214" s="584">
        <f t="shared" si="427"/>
        <v>4.0532951253915428E-3</v>
      </c>
      <c r="BC214" s="584">
        <f t="shared" si="427"/>
        <v>1.1552934678147331</v>
      </c>
      <c r="BD214" s="616">
        <f t="shared" si="427"/>
        <v>0.59061517015666709</v>
      </c>
      <c r="BE214"/>
      <c r="BF214" s="84"/>
      <c r="BG214" s="596"/>
      <c r="BH214" s="249"/>
      <c r="BI214" s="67">
        <v>0.23899999999999999</v>
      </c>
      <c r="BJ214" s="67">
        <v>0.48399999999999999</v>
      </c>
      <c r="BK214" s="67">
        <f>SUM(M214:P214)</f>
        <v>0.54200000000000004</v>
      </c>
      <c r="BL214" s="67">
        <v>0.63300000000000001</v>
      </c>
      <c r="BM214" s="67">
        <f>SUM(U214:X214)</f>
        <v>-0.44300000000000006</v>
      </c>
      <c r="BN214" s="67">
        <f>SUM(Y214:AB214)</f>
        <v>-0.29799999999999988</v>
      </c>
      <c r="BO214" s="67">
        <f>SUM(AC214:AF214)</f>
        <v>0.41099999999999998</v>
      </c>
      <c r="BP214" s="67">
        <f>SUM(AG214:AJ214)</f>
        <v>-4.0999999999999981E-2</v>
      </c>
      <c r="BQ214" s="110">
        <f>SUM(AK214:AN214)</f>
        <v>0.38500000000000001</v>
      </c>
      <c r="BR214" s="329">
        <f>SUM(AO214:AR214)</f>
        <v>0.15200000000000002</v>
      </c>
      <c r="BS214" s="329">
        <f>SUM(AS214:AV214)</f>
        <v>0.65413902660300494</v>
      </c>
      <c r="BT214" s="1095">
        <f>SUM(AW214:AZ214)</f>
        <v>11.381843951415437</v>
      </c>
      <c r="BU214" s="1095">
        <f>SUM(BA214:BD214)</f>
        <v>2.8171060078061494</v>
      </c>
      <c r="BV214" s="584">
        <f>BV168-BU168</f>
        <v>2.0348187038040955</v>
      </c>
      <c r="BW214" s="584">
        <f>BW168-BV168</f>
        <v>1.9912154458654392</v>
      </c>
      <c r="BX214" s="584">
        <f>BX168-BW168</f>
        <v>1.933077768613888</v>
      </c>
      <c r="BY214" s="584">
        <f>BY168-BX168</f>
        <v>1.8749400913623475</v>
      </c>
      <c r="BZ214" s="616">
        <f>BZ168-BY168</f>
        <v>1.8313368334236841</v>
      </c>
      <c r="CA214" s="54"/>
      <c r="CB214" s="54"/>
      <c r="CC214" s="54"/>
      <c r="CD214" s="54"/>
      <c r="CE214" s="54"/>
      <c r="CF214" s="54"/>
      <c r="CG214" s="1772"/>
      <c r="CH214" s="1772"/>
      <c r="CI214" s="1772"/>
      <c r="CJ214" s="54"/>
      <c r="CK214" s="54"/>
      <c r="CL214" s="54"/>
      <c r="CM214" s="54"/>
      <c r="CN214" s="54"/>
      <c r="CO214" s="54"/>
      <c r="CP214" s="54"/>
      <c r="CQ214" s="54"/>
      <c r="CR214" s="54"/>
    </row>
    <row r="215" spans="1:96" s="401" customFormat="1" ht="11.25" customHeight="1">
      <c r="A215" s="55"/>
      <c r="B215"/>
      <c r="C215"/>
      <c r="D215"/>
      <c r="E215"/>
      <c r="F215"/>
      <c r="G215"/>
      <c r="H215" s="571"/>
      <c r="I215" s="138" t="s">
        <v>92</v>
      </c>
      <c r="J215" s="50"/>
      <c r="K215" s="50"/>
      <c r="L215" s="50"/>
      <c r="M215" s="76">
        <f t="shared" ref="M215:AE215" si="428">+SUM(M211:M214)</f>
        <v>0</v>
      </c>
      <c r="N215" s="76">
        <f t="shared" si="428"/>
        <v>0</v>
      </c>
      <c r="O215" s="76">
        <f t="shared" si="428"/>
        <v>-0.38</v>
      </c>
      <c r="P215" s="76">
        <f t="shared" si="428"/>
        <v>-1.7010000000000001</v>
      </c>
      <c r="Q215" s="76">
        <f t="shared" si="428"/>
        <v>1.8399999999999999</v>
      </c>
      <c r="R215" s="76">
        <f t="shared" si="428"/>
        <v>-0.99399999999999999</v>
      </c>
      <c r="S215" s="76">
        <f t="shared" si="428"/>
        <v>0.16800000000000004</v>
      </c>
      <c r="T215" s="76">
        <f>+SUM(T211:T214)</f>
        <v>0.81300000000000017</v>
      </c>
      <c r="U215" s="76">
        <f>+SUM(U211:U214)</f>
        <v>-1.752</v>
      </c>
      <c r="V215" s="76">
        <f t="shared" si="428"/>
        <v>-1.3580000000000003</v>
      </c>
      <c r="W215" s="76">
        <f t="shared" si="428"/>
        <v>-1.4639999999999997</v>
      </c>
      <c r="X215" s="76">
        <f t="shared" si="428"/>
        <v>-0.19999999999999973</v>
      </c>
      <c r="Y215" s="644">
        <f t="shared" si="428"/>
        <v>-3.1900000000000004</v>
      </c>
      <c r="Z215" s="74">
        <f t="shared" si="428"/>
        <v>-3.4019999999999997</v>
      </c>
      <c r="AA215" s="74">
        <f t="shared" si="428"/>
        <v>-1.4860000000000004</v>
      </c>
      <c r="AB215" s="74">
        <f t="shared" si="428"/>
        <v>-1.6639999999999993</v>
      </c>
      <c r="AC215" s="511">
        <f>+SUM(AC211:AC214)</f>
        <v>-2.3059999999999996</v>
      </c>
      <c r="AD215" s="74">
        <f t="shared" si="428"/>
        <v>-7.2560000000000011</v>
      </c>
      <c r="AE215" s="74">
        <f t="shared" si="428"/>
        <v>-1.1019999999999999</v>
      </c>
      <c r="AF215" s="74">
        <f t="shared" ref="AF215:AN215" si="429">+SUM(AF211:AF214)</f>
        <v>-5.2999999999999989</v>
      </c>
      <c r="AG215" s="1612">
        <f t="shared" si="429"/>
        <v>3.7989999999999995</v>
      </c>
      <c r="AH215" s="74">
        <f t="shared" si="429"/>
        <v>-3.5430000000000001</v>
      </c>
      <c r="AI215" s="74">
        <f t="shared" si="429"/>
        <v>-9.6100000000000012</v>
      </c>
      <c r="AJ215" s="481">
        <f t="shared" si="429"/>
        <v>-22.774999999999999</v>
      </c>
      <c r="AK215" s="74">
        <f t="shared" si="429"/>
        <v>6.4609999999999994</v>
      </c>
      <c r="AL215" s="74">
        <f t="shared" si="429"/>
        <v>-9.8459999999999983</v>
      </c>
      <c r="AM215" s="74">
        <f t="shared" si="429"/>
        <v>-3.6560000000000046</v>
      </c>
      <c r="AN215" s="481">
        <f t="shared" si="429"/>
        <v>-3.2329999999999934</v>
      </c>
      <c r="AO215" s="74">
        <f>+SUM(AO211:AO214)</f>
        <v>6.2269999999999994</v>
      </c>
      <c r="AP215" s="74">
        <f>+SUM(AP211:AP214)</f>
        <v>-12.352</v>
      </c>
      <c r="AQ215" s="74">
        <f>+SUM(AQ211:AQ214)</f>
        <v>3.0260000000000002</v>
      </c>
      <c r="AR215" s="481">
        <f t="shared" ref="AR215" si="430">+SUM(AR211:AR214)</f>
        <v>22.659000000000002</v>
      </c>
      <c r="AS215" s="511">
        <f t="shared" ref="AS215:AV215" si="431">+SUM(AS211:AS214)</f>
        <v>-27.534817109363832</v>
      </c>
      <c r="AT215" s="74">
        <f t="shared" si="431"/>
        <v>-7.3015143786900456</v>
      </c>
      <c r="AU215" s="74">
        <f t="shared" si="431"/>
        <v>36.51673258772162</v>
      </c>
      <c r="AV215" s="481">
        <f t="shared" si="431"/>
        <v>-4.4246904765484487</v>
      </c>
      <c r="AW215" s="511">
        <f t="shared" ref="AW215:BD215" si="432">+SUM(AW211:AW214)</f>
        <v>-1.8866759374252027</v>
      </c>
      <c r="AX215" s="74">
        <f t="shared" si="432"/>
        <v>-2.237302932601386</v>
      </c>
      <c r="AY215" s="74">
        <f t="shared" si="432"/>
        <v>8.2720463244981612</v>
      </c>
      <c r="AZ215" s="481">
        <f t="shared" si="432"/>
        <v>-4.4500928443763144</v>
      </c>
      <c r="BA215" s="511">
        <f t="shared" si="432"/>
        <v>-0.58486277491119409</v>
      </c>
      <c r="BB215" s="74">
        <f t="shared" si="432"/>
        <v>-2.3307897167246772</v>
      </c>
      <c r="BC215" s="74">
        <f t="shared" si="432"/>
        <v>9.2590977552016689</v>
      </c>
      <c r="BD215" s="481">
        <f t="shared" si="432"/>
        <v>-5.0487117735561782</v>
      </c>
      <c r="BE215"/>
      <c r="BF215" s="54"/>
      <c r="BG215" s="640"/>
      <c r="BH215" s="76"/>
      <c r="BI215" s="68">
        <f t="shared" ref="BI215:BU215" si="433">+SUM(BI211:BI214)</f>
        <v>0.10499999999999987</v>
      </c>
      <c r="BJ215" s="68">
        <f t="shared" si="433"/>
        <v>-0.15199999999999991</v>
      </c>
      <c r="BK215" s="68">
        <f t="shared" si="433"/>
        <v>-2.0810000000000004</v>
      </c>
      <c r="BL215" s="68">
        <f t="shared" si="433"/>
        <v>1.8270000000000004</v>
      </c>
      <c r="BM215" s="68">
        <f t="shared" si="433"/>
        <v>-4.7739999999999991</v>
      </c>
      <c r="BN215" s="68">
        <f t="shared" si="433"/>
        <v>-9.7419999999999991</v>
      </c>
      <c r="BO215" s="74">
        <f t="shared" si="433"/>
        <v>-15.964</v>
      </c>
      <c r="BP215" s="74">
        <f t="shared" si="433"/>
        <v>-32.128999999999998</v>
      </c>
      <c r="BQ215" s="74">
        <f t="shared" si="433"/>
        <v>-10.273999999999997</v>
      </c>
      <c r="BR215" s="74">
        <f t="shared" si="433"/>
        <v>19.559999999999995</v>
      </c>
      <c r="BS215" s="74">
        <f t="shared" si="433"/>
        <v>-2.7442893768807046</v>
      </c>
      <c r="BT215" s="74">
        <f t="shared" si="433"/>
        <v>-0.30202538990474181</v>
      </c>
      <c r="BU215" s="76">
        <f t="shared" si="433"/>
        <v>1.2947334900096195</v>
      </c>
      <c r="BV215" s="76">
        <f>+SUM(BV211:BV214)</f>
        <v>3.5807885082181912E-2</v>
      </c>
      <c r="BW215" s="76">
        <f>+SUM(BW211:BW214)</f>
        <v>0.19320624623882665</v>
      </c>
      <c r="BX215" s="76">
        <f>+SUM(BX211:BX214)</f>
        <v>0.53526846219218172</v>
      </c>
      <c r="BY215" s="76">
        <f>+SUM(BY211:BY214)</f>
        <v>0.95719023522371316</v>
      </c>
      <c r="BZ215" s="614">
        <f>+SUM(BZ211:BZ214)</f>
        <v>1.1560625482428861</v>
      </c>
      <c r="CA215" s="571"/>
      <c r="CB215" s="571"/>
      <c r="CC215" s="571"/>
      <c r="CD215" s="571"/>
      <c r="CE215" s="571"/>
      <c r="CF215" s="571"/>
      <c r="CG215" s="1774"/>
      <c r="CH215" s="1774"/>
      <c r="CI215" s="1774"/>
      <c r="CJ215" s="571"/>
      <c r="CK215" s="571"/>
      <c r="CL215" s="571"/>
      <c r="CM215" s="571"/>
      <c r="CN215" s="571"/>
      <c r="CO215" s="571"/>
      <c r="CP215" s="571"/>
      <c r="CQ215" s="571"/>
      <c r="CR215" s="571"/>
    </row>
    <row r="216" spans="1:96" s="401" customFormat="1" ht="11.25" customHeight="1">
      <c r="A216" s="36"/>
      <c r="B216"/>
      <c r="C216"/>
      <c r="D216"/>
      <c r="E216"/>
      <c r="F216"/>
      <c r="G216"/>
      <c r="H216" s="54"/>
      <c r="I216" s="138" t="s">
        <v>93</v>
      </c>
      <c r="J216" s="50"/>
      <c r="K216" s="50"/>
      <c r="L216" s="50"/>
      <c r="M216" s="76">
        <f>+M207+M215</f>
        <v>0</v>
      </c>
      <c r="N216" s="76">
        <f t="shared" ref="N216:AE216" si="434">+N207+N215</f>
        <v>0</v>
      </c>
      <c r="O216" s="76">
        <f t="shared" si="434"/>
        <v>-0.8539999999999992</v>
      </c>
      <c r="P216" s="76">
        <f t="shared" si="434"/>
        <v>-1.370000000000001</v>
      </c>
      <c r="Q216" s="76">
        <f t="shared" si="434"/>
        <v>0.99600000000000055</v>
      </c>
      <c r="R216" s="76">
        <f t="shared" si="434"/>
        <v>-0.22499999999999887</v>
      </c>
      <c r="S216" s="76">
        <f t="shared" si="434"/>
        <v>-1.0670000000000068</v>
      </c>
      <c r="T216" s="76">
        <f>+T207+T215</f>
        <v>0.5460000000000016</v>
      </c>
      <c r="U216" s="76">
        <f>+U207+U215</f>
        <v>-2.7729999999999988</v>
      </c>
      <c r="V216" s="76">
        <f t="shared" si="434"/>
        <v>0.3329999999999973</v>
      </c>
      <c r="W216" s="76">
        <f t="shared" si="434"/>
        <v>0.71200000000000174</v>
      </c>
      <c r="X216" s="76">
        <f t="shared" si="434"/>
        <v>0.60499999999998966</v>
      </c>
      <c r="Y216" s="644">
        <f t="shared" si="434"/>
        <v>0.25000000000001288</v>
      </c>
      <c r="Z216" s="74">
        <f t="shared" si="434"/>
        <v>4.8640000000000025</v>
      </c>
      <c r="AA216" s="74">
        <f t="shared" si="434"/>
        <v>6.9939999999999927</v>
      </c>
      <c r="AB216" s="74">
        <f t="shared" si="434"/>
        <v>9.3239999999999981</v>
      </c>
      <c r="AC216" s="511">
        <f>+AC207+AC215</f>
        <v>9.322999999999988</v>
      </c>
      <c r="AD216" s="74">
        <f t="shared" si="434"/>
        <v>10.665999999999997</v>
      </c>
      <c r="AE216" s="74">
        <f t="shared" si="434"/>
        <v>19.049999999999994</v>
      </c>
      <c r="AF216" s="74">
        <f t="shared" ref="AF216:AN216" si="435">+AF207+AF215</f>
        <v>18.893000000000015</v>
      </c>
      <c r="AG216" s="511">
        <f t="shared" si="435"/>
        <v>25.635000000000002</v>
      </c>
      <c r="AH216" s="74">
        <f t="shared" si="435"/>
        <v>18.03</v>
      </c>
      <c r="AI216" s="74">
        <f t="shared" si="435"/>
        <v>9.8619999999999965</v>
      </c>
      <c r="AJ216" s="481">
        <f t="shared" si="435"/>
        <v>3.835000000000008</v>
      </c>
      <c r="AK216" s="74">
        <f t="shared" si="435"/>
        <v>23.878999999999998</v>
      </c>
      <c r="AL216" s="74">
        <f t="shared" si="435"/>
        <v>22.631000000000007</v>
      </c>
      <c r="AM216" s="74">
        <f t="shared" si="435"/>
        <v>35.276999999999994</v>
      </c>
      <c r="AN216" s="481">
        <f t="shared" si="435"/>
        <v>45.113</v>
      </c>
      <c r="AO216" s="74">
        <f>+AO207+AO215</f>
        <v>41.234999999999992</v>
      </c>
      <c r="AP216" s="74">
        <f>+AP207+AP215</f>
        <v>35.088000000000008</v>
      </c>
      <c r="AQ216" s="74">
        <f>+AQ207+AQ215</f>
        <v>51.638000000000012</v>
      </c>
      <c r="AR216" s="481">
        <f t="shared" ref="AR216" si="436">+AR207+AR215</f>
        <v>39.68600000000005</v>
      </c>
      <c r="AS216" s="511">
        <f t="shared" ref="AS216:AV216" si="437">+AS207+AS215</f>
        <v>5.8129642950668021</v>
      </c>
      <c r="AT216" s="74">
        <f t="shared" si="437"/>
        <v>37.056643331764768</v>
      </c>
      <c r="AU216" s="74">
        <f t="shared" si="437"/>
        <v>83.05466664667901</v>
      </c>
      <c r="AV216" s="481">
        <f t="shared" si="437"/>
        <v>47.222937747454203</v>
      </c>
      <c r="AW216" s="511">
        <f t="shared" ref="AW216:BD216" si="438">+AW207+AW215</f>
        <v>40.177037132421894</v>
      </c>
      <c r="AX216" s="74">
        <f t="shared" si="438"/>
        <v>49.836511422755216</v>
      </c>
      <c r="AY216" s="74">
        <f t="shared" si="438"/>
        <v>62.217715617682884</v>
      </c>
      <c r="AZ216" s="481">
        <f t="shared" si="438"/>
        <v>54.512657489693503</v>
      </c>
      <c r="BA216" s="511">
        <f t="shared" si="438"/>
        <v>49.535492135429308</v>
      </c>
      <c r="BB216" s="74">
        <f t="shared" si="438"/>
        <v>59.054812346311252</v>
      </c>
      <c r="BC216" s="74">
        <f t="shared" si="438"/>
        <v>72.482871082058608</v>
      </c>
      <c r="BD216" s="481">
        <f t="shared" si="438"/>
        <v>63.557160388357872</v>
      </c>
      <c r="BE216"/>
      <c r="BF216" s="215"/>
      <c r="BG216" s="640"/>
      <c r="BH216" s="76"/>
      <c r="BI216" s="68">
        <f t="shared" ref="BI216:BU216" si="439">+BI207+BI215</f>
        <v>-4.7289999999999992</v>
      </c>
      <c r="BJ216" s="68">
        <f t="shared" si="439"/>
        <v>-0.63299999999999479</v>
      </c>
      <c r="BK216" s="68">
        <f t="shared" si="439"/>
        <v>-7.8109999999999928</v>
      </c>
      <c r="BL216" s="68">
        <f t="shared" si="439"/>
        <v>0.24999999999999423</v>
      </c>
      <c r="BM216" s="68">
        <f t="shared" si="439"/>
        <v>-1.1230000000000082</v>
      </c>
      <c r="BN216" s="68">
        <f t="shared" si="439"/>
        <v>21.432000000000009</v>
      </c>
      <c r="BO216" s="74">
        <f t="shared" si="439"/>
        <v>57.931999999999988</v>
      </c>
      <c r="BP216" s="74">
        <f t="shared" si="439"/>
        <v>57.362000000000002</v>
      </c>
      <c r="BQ216" s="74">
        <f t="shared" si="439"/>
        <v>126.89999999999998</v>
      </c>
      <c r="BR216" s="74">
        <f t="shared" si="439"/>
        <v>167.64700000000005</v>
      </c>
      <c r="BS216" s="74">
        <f t="shared" si="439"/>
        <v>173.14721202096479</v>
      </c>
      <c r="BT216" s="74">
        <f t="shared" si="439"/>
        <v>206.7439216625535</v>
      </c>
      <c r="BU216" s="76">
        <f t="shared" si="439"/>
        <v>244.63033595215705</v>
      </c>
      <c r="BV216" s="76">
        <f>+BV207+BV215</f>
        <v>283.56235286162655</v>
      </c>
      <c r="BW216" s="76">
        <f>+BW207+BW215</f>
        <v>325.94710822020772</v>
      </c>
      <c r="BX216" s="76">
        <f>+BX207+BX215</f>
        <v>369.82404844609738</v>
      </c>
      <c r="BY216" s="76">
        <f>+BY207+BY215</f>
        <v>415.19415305804472</v>
      </c>
      <c r="BZ216" s="614">
        <f>+BZ207+BZ215</f>
        <v>462.64879897437277</v>
      </c>
      <c r="CA216" s="54"/>
      <c r="CB216" s="54"/>
      <c r="CC216" s="54"/>
      <c r="CD216" s="54"/>
      <c r="CE216" s="54"/>
      <c r="CF216" s="54"/>
      <c r="CG216" s="1772"/>
      <c r="CH216" s="1772"/>
      <c r="CI216" s="1772"/>
      <c r="CJ216" s="54"/>
      <c r="CK216" s="54"/>
      <c r="CL216" s="54"/>
      <c r="CM216" s="54"/>
      <c r="CN216" s="54"/>
      <c r="CO216" s="54"/>
      <c r="CP216" s="54"/>
      <c r="CQ216" s="54"/>
      <c r="CR216" s="54"/>
    </row>
    <row r="217" spans="1:96" s="401" customFormat="1" ht="11.25" customHeight="1">
      <c r="A217" s="36"/>
      <c r="B217"/>
      <c r="C217"/>
      <c r="D217"/>
      <c r="E217"/>
      <c r="F217"/>
      <c r="G217"/>
      <c r="H217" s="5"/>
      <c r="I217" s="450"/>
      <c r="J217" s="5"/>
      <c r="K217" s="5"/>
      <c r="L217" s="5"/>
      <c r="M217" s="336"/>
      <c r="N217" s="336"/>
      <c r="O217" s="336"/>
      <c r="P217" s="336"/>
      <c r="Q217" s="336"/>
      <c r="R217" s="336"/>
      <c r="S217" s="336"/>
      <c r="T217" s="336"/>
      <c r="U217" s="336"/>
      <c r="V217" s="336"/>
      <c r="W217" s="336"/>
      <c r="X217" s="336"/>
      <c r="Y217" s="641"/>
      <c r="Z217" s="110"/>
      <c r="AA217" s="110"/>
      <c r="AB217" s="604"/>
      <c r="AC217" s="1781"/>
      <c r="AD217" s="604"/>
      <c r="AE217" s="110"/>
      <c r="AF217" s="110"/>
      <c r="AG217" s="505"/>
      <c r="AH217" s="110"/>
      <c r="AI217" s="604"/>
      <c r="AJ217" s="469"/>
      <c r="AK217" s="110"/>
      <c r="AL217" s="110"/>
      <c r="AM217" s="110"/>
      <c r="AN217" s="469"/>
      <c r="AO217" s="110"/>
      <c r="AP217" s="110"/>
      <c r="AQ217" s="110"/>
      <c r="AR217" s="469"/>
      <c r="AS217" s="505"/>
      <c r="AT217" s="110"/>
      <c r="AU217" s="110"/>
      <c r="AV217" s="469"/>
      <c r="AW217" s="505"/>
      <c r="AX217" s="110"/>
      <c r="AY217" s="110"/>
      <c r="AZ217" s="469"/>
      <c r="BA217" s="505"/>
      <c r="BB217" s="110"/>
      <c r="BC217" s="110"/>
      <c r="BD217" s="469"/>
      <c r="BE217"/>
      <c r="BF217" s="54"/>
      <c r="BG217" s="595"/>
      <c r="BH217" s="67"/>
      <c r="BI217" s="67"/>
      <c r="BJ217" s="67"/>
      <c r="BK217" s="67"/>
      <c r="BL217" s="67"/>
      <c r="BM217" s="67"/>
      <c r="BN217" s="110"/>
      <c r="BO217" s="110"/>
      <c r="BP217" s="110"/>
      <c r="BQ217" s="110"/>
      <c r="BR217" s="110"/>
      <c r="BS217" s="110"/>
      <c r="BT217" s="110"/>
      <c r="BU217" s="336"/>
      <c r="BV217" s="336"/>
      <c r="BW217" s="336"/>
      <c r="BX217" s="336"/>
      <c r="BY217" s="336"/>
      <c r="BZ217" s="613"/>
      <c r="CA217" s="54"/>
      <c r="CB217" s="54"/>
      <c r="CC217" s="54"/>
      <c r="CD217" s="54"/>
      <c r="CE217" s="54"/>
      <c r="CF217" s="54"/>
      <c r="CG217" s="1772"/>
      <c r="CH217" s="1772"/>
      <c r="CI217" s="1772"/>
      <c r="CJ217" s="54"/>
      <c r="CK217" s="54"/>
      <c r="CL217" s="54"/>
      <c r="CM217" s="54"/>
      <c r="CN217" s="54"/>
      <c r="CO217" s="54"/>
      <c r="CP217" s="54"/>
      <c r="CQ217" s="54"/>
      <c r="CR217" s="54"/>
    </row>
    <row r="218" spans="1:96" ht="11.25" customHeight="1">
      <c r="A218" s="36"/>
      <c r="H218" s="36"/>
      <c r="I218" s="650" t="s">
        <v>94</v>
      </c>
      <c r="J218" s="536"/>
      <c r="K218" s="536"/>
      <c r="L218" s="536"/>
      <c r="M218" s="536"/>
      <c r="N218" s="537"/>
      <c r="O218" s="538"/>
      <c r="P218" s="538"/>
      <c r="Q218" s="536"/>
      <c r="R218" s="537"/>
      <c r="S218" s="537"/>
      <c r="T218" s="537"/>
      <c r="U218" s="539"/>
      <c r="V218" s="537"/>
      <c r="W218" s="537"/>
      <c r="X218" s="537"/>
      <c r="Y218" s="535"/>
      <c r="Z218" s="537"/>
      <c r="AA218" s="537"/>
      <c r="AB218" s="537"/>
      <c r="AC218" s="650"/>
      <c r="AD218" s="537"/>
      <c r="AE218" s="537"/>
      <c r="AF218" s="537"/>
      <c r="AG218" s="623"/>
      <c r="AH218" s="537"/>
      <c r="AI218" s="537"/>
      <c r="AJ218" s="610"/>
      <c r="AK218" s="537"/>
      <c r="AL218" s="537"/>
      <c r="AM218" s="537"/>
      <c r="AN218" s="610"/>
      <c r="AO218" s="537"/>
      <c r="AP218" s="537"/>
      <c r="AQ218" s="537"/>
      <c r="AR218" s="610"/>
      <c r="AS218" s="623"/>
      <c r="AT218" s="537"/>
      <c r="AU218" s="537"/>
      <c r="AV218" s="610"/>
      <c r="AW218" s="623"/>
      <c r="AX218" s="537"/>
      <c r="AY218" s="537"/>
      <c r="AZ218" s="610"/>
      <c r="BA218" s="623"/>
      <c r="BB218" s="537"/>
      <c r="BC218" s="537"/>
      <c r="BD218" s="610"/>
      <c r="BF218" s="528"/>
      <c r="BG218" s="593"/>
      <c r="BH218" s="537"/>
      <c r="BI218" s="538"/>
      <c r="BJ218" s="538"/>
      <c r="BK218" s="538"/>
      <c r="BL218" s="538"/>
      <c r="BM218" s="538"/>
      <c r="BN218" s="538"/>
      <c r="BO218" s="538"/>
      <c r="BP218" s="538"/>
      <c r="BQ218" s="537"/>
      <c r="BR218" s="537"/>
      <c r="BS218" s="537"/>
      <c r="BT218" s="537"/>
      <c r="BU218" s="537"/>
      <c r="BV218" s="537"/>
      <c r="BW218" s="537"/>
      <c r="BX218" s="537"/>
      <c r="BY218" s="537"/>
      <c r="BZ218" s="610"/>
      <c r="CA218" s="54"/>
      <c r="CB218" s="54"/>
      <c r="CC218" s="54"/>
      <c r="CD218" s="54"/>
      <c r="CE218" s="54"/>
      <c r="CF218" s="54"/>
      <c r="CG218" s="1772"/>
      <c r="CH218" s="1772"/>
      <c r="CI218" s="1772"/>
      <c r="CJ218" s="54"/>
      <c r="CK218" s="54"/>
      <c r="CL218" s="54"/>
      <c r="CM218" s="36"/>
      <c r="CN218" s="36"/>
      <c r="CO218" s="36"/>
      <c r="CP218" s="36"/>
      <c r="CQ218" s="36"/>
      <c r="CR218" s="36"/>
    </row>
    <row r="219" spans="1:96" s="401" customFormat="1" ht="11.25" customHeight="1">
      <c r="A219" s="36"/>
      <c r="B219"/>
      <c r="C219"/>
      <c r="D219"/>
      <c r="E219"/>
      <c r="F219"/>
      <c r="G219"/>
      <c r="H219" s="5"/>
      <c r="I219" s="138"/>
      <c r="J219" s="543"/>
      <c r="K219" s="543"/>
      <c r="L219" s="543"/>
      <c r="M219" s="575"/>
      <c r="N219" s="575"/>
      <c r="O219" s="575"/>
      <c r="P219" s="575"/>
      <c r="Q219" s="575"/>
      <c r="R219" s="575"/>
      <c r="S219" s="575"/>
      <c r="T219" s="575"/>
      <c r="U219" s="575"/>
      <c r="V219" s="575"/>
      <c r="W219" s="575"/>
      <c r="X219" s="575"/>
      <c r="Y219" s="642"/>
      <c r="Z219" s="545"/>
      <c r="AA219" s="545"/>
      <c r="AB219" s="545"/>
      <c r="AC219" s="628"/>
      <c r="AD219" s="545"/>
      <c r="AE219" s="545"/>
      <c r="AF219" s="545"/>
      <c r="AG219" s="628"/>
      <c r="AH219" s="545"/>
      <c r="AI219" s="545"/>
      <c r="AJ219" s="615"/>
      <c r="AK219" s="545"/>
      <c r="AL219" s="545"/>
      <c r="AM219" s="545"/>
      <c r="AN219" s="615"/>
      <c r="AO219" s="545"/>
      <c r="AP219" s="545"/>
      <c r="AQ219" s="545"/>
      <c r="AR219" s="615"/>
      <c r="AS219" s="628"/>
      <c r="AT219" s="545"/>
      <c r="AU219" s="545"/>
      <c r="AV219" s="615"/>
      <c r="AW219" s="628"/>
      <c r="AX219" s="545"/>
      <c r="AY219" s="545"/>
      <c r="AZ219" s="615"/>
      <c r="BA219" s="628"/>
      <c r="BB219" s="545"/>
      <c r="BC219" s="545"/>
      <c r="BD219" s="615"/>
      <c r="BE219"/>
      <c r="BF219" s="54"/>
      <c r="BG219" s="710"/>
      <c r="BH219" s="544"/>
      <c r="BI219" s="576"/>
      <c r="BJ219" s="576"/>
      <c r="BK219" s="576"/>
      <c r="BL219" s="576"/>
      <c r="BM219" s="576"/>
      <c r="BN219" s="576"/>
      <c r="BO219" s="577"/>
      <c r="BP219" s="577"/>
      <c r="BQ219" s="578"/>
      <c r="BR219" s="578"/>
      <c r="BS219" s="577"/>
      <c r="BT219" s="577"/>
      <c r="BU219" s="577"/>
      <c r="BV219" s="577"/>
      <c r="BW219" s="577"/>
      <c r="BX219" s="577"/>
      <c r="BY219" s="577"/>
      <c r="BZ219" s="1671"/>
      <c r="CA219" s="54"/>
      <c r="CB219" s="54"/>
      <c r="CC219" s="54"/>
      <c r="CD219" s="54"/>
      <c r="CE219" s="54"/>
      <c r="CF219" s="54"/>
      <c r="CG219" s="1772"/>
      <c r="CH219" s="1772"/>
      <c r="CI219" s="1772"/>
      <c r="CJ219" s="54"/>
      <c r="CK219" s="54"/>
      <c r="CL219" s="54"/>
      <c r="CM219" s="54"/>
      <c r="CN219" s="54"/>
      <c r="CO219" s="54"/>
      <c r="CP219" s="54"/>
      <c r="CQ219" s="54"/>
      <c r="CR219" s="54"/>
    </row>
    <row r="220" spans="1:96" s="401" customFormat="1" ht="11.25" customHeight="1">
      <c r="A220" s="36"/>
      <c r="B220"/>
      <c r="C220"/>
      <c r="D220"/>
      <c r="E220"/>
      <c r="F220"/>
      <c r="G220"/>
      <c r="H220" s="5"/>
      <c r="I220" s="450" t="s">
        <v>45</v>
      </c>
      <c r="J220" s="13"/>
      <c r="K220" s="5"/>
      <c r="L220" s="5"/>
      <c r="M220" s="327"/>
      <c r="N220" s="327"/>
      <c r="O220" s="589">
        <f>-3.05-N220-M220</f>
        <v>-3.05</v>
      </c>
      <c r="P220" s="589">
        <f>-3.571-O220-N220-M220</f>
        <v>-0.52100000000000035</v>
      </c>
      <c r="Q220" s="589">
        <v>-0.81299999999999994</v>
      </c>
      <c r="R220" s="589">
        <f>-1.478-Q220</f>
        <v>-0.66500000000000004</v>
      </c>
      <c r="S220" s="589">
        <f>-2.76-R220-Q220</f>
        <v>-1.2819999999999998</v>
      </c>
      <c r="T220" s="589">
        <f t="shared" ref="T220:T225" si="440">BL220-SUM(Q220:S220)</f>
        <v>-2.0380000000000003</v>
      </c>
      <c r="U220" s="589">
        <v>-0.36699999999999999</v>
      </c>
      <c r="V220" s="589">
        <f>-1.927-U220</f>
        <v>-1.56</v>
      </c>
      <c r="W220" s="589">
        <f>-3.484-V220-U220</f>
        <v>-1.5569999999999999</v>
      </c>
      <c r="X220" s="589">
        <f>-7.524-W220-V220-U220</f>
        <v>-4.04</v>
      </c>
      <c r="Y220" s="643">
        <v>-0.94699999999999995</v>
      </c>
      <c r="Z220" s="589">
        <f>-4.966-Y220</f>
        <v>-4.0190000000000001</v>
      </c>
      <c r="AA220" s="589">
        <f>-9.547-Z220-Y220</f>
        <v>-4.5810000000000004</v>
      </c>
      <c r="AB220" s="589">
        <f>-16.243-AA220-Z220-Y220</f>
        <v>-6.6959999999999988</v>
      </c>
      <c r="AC220" s="1090">
        <v>-4.2460000000000004</v>
      </c>
      <c r="AD220" s="589">
        <f>-7.212-AC220</f>
        <v>-2.9659999999999993</v>
      </c>
      <c r="AE220" s="589">
        <f>-12.743-AD220-AC220</f>
        <v>-5.5310000000000006</v>
      </c>
      <c r="AF220" s="588">
        <f>-29.054-AE220-AD220-AC220</f>
        <v>-16.310999999999993</v>
      </c>
      <c r="AG220" s="1090">
        <v>-10.881</v>
      </c>
      <c r="AH220" s="588">
        <f>-18.059-73.422-AG220</f>
        <v>-80.599999999999994</v>
      </c>
      <c r="AI220" s="588">
        <f>-73.422-25.358-AH220-AG220</f>
        <v>-7.2990000000000066</v>
      </c>
      <c r="AJ220" s="2630">
        <v>-5.7689999999999912</v>
      </c>
      <c r="AK220" s="2631">
        <v>-7.6449999999999996</v>
      </c>
      <c r="AL220" s="2631">
        <v>-4.7590000000000003</v>
      </c>
      <c r="AM220" s="2631">
        <v>-5.3169999999999966</v>
      </c>
      <c r="AN220" s="2630">
        <v>-5.2730000000000032</v>
      </c>
      <c r="AO220" s="2631">
        <v>-2.452</v>
      </c>
      <c r="AP220" s="2631">
        <v>-1.6269999999999998</v>
      </c>
      <c r="AQ220" s="2631">
        <v>-3.8130000000000006</v>
      </c>
      <c r="AR220" s="2630">
        <v>-7.7060000000000013</v>
      </c>
      <c r="AS220" s="629">
        <f t="shared" ref="AS220:BD220" si="441">-AS258</f>
        <v>-5.53</v>
      </c>
      <c r="AT220" s="584">
        <f t="shared" si="441"/>
        <v>-5.7850000000000001</v>
      </c>
      <c r="AU220" s="584">
        <f t="shared" si="441"/>
        <v>-6.2</v>
      </c>
      <c r="AV220" s="616">
        <f t="shared" si="441"/>
        <v>-6.4849999999999994</v>
      </c>
      <c r="AW220" s="629">
        <f t="shared" si="441"/>
        <v>-8.5448686221582744</v>
      </c>
      <c r="AX220" s="584">
        <f t="shared" si="441"/>
        <v>-8.9000760291316521</v>
      </c>
      <c r="AY220" s="584">
        <f t="shared" si="441"/>
        <v>-9.2784378010008872</v>
      </c>
      <c r="AZ220" s="616">
        <f t="shared" si="441"/>
        <v>-9.5795222811216245</v>
      </c>
      <c r="BA220" s="629">
        <f t="shared" si="441"/>
        <v>-9.758137819601977</v>
      </c>
      <c r="BB220" s="584">
        <f t="shared" si="441"/>
        <v>-10.126179322437531</v>
      </c>
      <c r="BC220" s="584">
        <f t="shared" si="441"/>
        <v>-10.48715950429558</v>
      </c>
      <c r="BD220" s="616">
        <f t="shared" si="441"/>
        <v>-10.74830663157263</v>
      </c>
      <c r="BE220"/>
      <c r="BF220" s="84"/>
      <c r="BG220" s="596" t="s">
        <v>100</v>
      </c>
      <c r="BH220" s="249" t="s">
        <v>100</v>
      </c>
      <c r="BI220" s="67">
        <v>-1.333</v>
      </c>
      <c r="BJ220" s="67">
        <v>-0.622</v>
      </c>
      <c r="BK220" s="67">
        <f t="shared" ref="BK220:BK225" si="442">SUM(M220:P220)</f>
        <v>-3.5710000000000002</v>
      </c>
      <c r="BL220" s="67">
        <v>-4.798</v>
      </c>
      <c r="BM220" s="67">
        <f t="shared" ref="BM220:BM225" si="443">SUM(U220:X220)</f>
        <v>-7.524</v>
      </c>
      <c r="BN220" s="67">
        <f t="shared" ref="BN220:BN225" si="444">SUM(Y220:AB220)</f>
        <v>-16.242999999999999</v>
      </c>
      <c r="BO220" s="67">
        <f t="shared" ref="BO220:BO225" si="445">SUM(AC220:AF220)</f>
        <v>-29.053999999999995</v>
      </c>
      <c r="BP220" s="67">
        <f t="shared" ref="BP220:BP225" si="446">SUM(AG220:AJ220)</f>
        <v>-104.54899999999999</v>
      </c>
      <c r="BQ220" s="110">
        <f t="shared" ref="BQ220:BQ225" si="447">SUM(AK220:AN220)</f>
        <v>-22.994</v>
      </c>
      <c r="BR220" s="329">
        <f t="shared" ref="BR220:BR225" si="448">SUM(AO220:AR220)</f>
        <v>-15.598000000000003</v>
      </c>
      <c r="BS220" s="329">
        <f t="shared" ref="BS220:BS225" si="449">SUM(AS220:AV220)</f>
        <v>-24</v>
      </c>
      <c r="BT220" s="1095">
        <f t="shared" ref="BT220:BT225" si="450">SUM(AW220:AZ220)</f>
        <v>-36.30290473341244</v>
      </c>
      <c r="BU220" s="1095">
        <f t="shared" ref="BU220:BU225" si="451">SUM(BA220:BD220)</f>
        <v>-41.119783277907715</v>
      </c>
      <c r="BV220" s="584">
        <f>-BV258</f>
        <v>-46.119783277907715</v>
      </c>
      <c r="BW220" s="584">
        <f>-BW258</f>
        <v>-51.119783277907715</v>
      </c>
      <c r="BX220" s="584">
        <f>-BX258</f>
        <v>-56.119783277907715</v>
      </c>
      <c r="BY220" s="584">
        <f>-BY258</f>
        <v>-61.119783277907715</v>
      </c>
      <c r="BZ220" s="616">
        <f>-BZ258</f>
        <v>-66.119783277907715</v>
      </c>
      <c r="CA220" s="54"/>
      <c r="CB220" s="54"/>
      <c r="CC220" s="54"/>
      <c r="CD220" s="54"/>
      <c r="CE220" s="54"/>
      <c r="CF220" s="54"/>
      <c r="CG220" s="1772"/>
      <c r="CH220" s="1772"/>
      <c r="CI220" s="1772"/>
      <c r="CJ220" s="54"/>
      <c r="CK220" s="54"/>
      <c r="CL220" s="54"/>
      <c r="CM220" s="54"/>
      <c r="CN220" s="54"/>
      <c r="CO220" s="54"/>
      <c r="CP220" s="54"/>
      <c r="CQ220" s="54"/>
      <c r="CR220" s="54"/>
    </row>
    <row r="221" spans="1:96" s="401" customFormat="1" ht="11.25" customHeight="1">
      <c r="A221" s="36"/>
      <c r="B221"/>
      <c r="C221"/>
      <c r="D221"/>
      <c r="E221"/>
      <c r="F221"/>
      <c r="G221"/>
      <c r="H221" s="5"/>
      <c r="I221" s="450" t="s">
        <v>246</v>
      </c>
      <c r="J221" s="5"/>
      <c r="K221" s="5"/>
      <c r="L221" s="5"/>
      <c r="M221" s="327"/>
      <c r="N221" s="327"/>
      <c r="O221" s="589">
        <f>0-N221-M221</f>
        <v>0</v>
      </c>
      <c r="P221" s="589">
        <f>0-O221-N221-M221</f>
        <v>0</v>
      </c>
      <c r="Q221" s="589">
        <v>0</v>
      </c>
      <c r="R221" s="589">
        <f>0-Q221</f>
        <v>0</v>
      </c>
      <c r="S221" s="589">
        <f>0-R221-Q221</f>
        <v>0</v>
      </c>
      <c r="T221" s="589">
        <f t="shared" si="440"/>
        <v>0</v>
      </c>
      <c r="U221" s="589">
        <v>0</v>
      </c>
      <c r="V221" s="589">
        <f>0-U221</f>
        <v>0</v>
      </c>
      <c r="W221" s="589">
        <f>0-V221-U221</f>
        <v>0</v>
      </c>
      <c r="X221" s="589">
        <v>0</v>
      </c>
      <c r="Y221" s="643">
        <v>0</v>
      </c>
      <c r="Z221" s="589">
        <f>1.153-Y221</f>
        <v>1.153</v>
      </c>
      <c r="AA221" s="589">
        <f>0-Z221-Y221</f>
        <v>-1.153</v>
      </c>
      <c r="AB221" s="589">
        <f>1.153-AA221-Z221-Y221</f>
        <v>1.153</v>
      </c>
      <c r="AC221" s="1090">
        <v>0</v>
      </c>
      <c r="AD221" s="589">
        <f>0-AC221</f>
        <v>0</v>
      </c>
      <c r="AE221" s="589">
        <f>-1.334-AD221-AC221</f>
        <v>-1.3340000000000001</v>
      </c>
      <c r="AF221" s="588">
        <f>-1.724-AE221-AD221-AC221</f>
        <v>-0.3899999999999999</v>
      </c>
      <c r="AG221" s="1090">
        <v>-0.314</v>
      </c>
      <c r="AH221" s="1748">
        <f>-0.314-AG221</f>
        <v>0</v>
      </c>
      <c r="AI221" s="588">
        <f>-0.647-AH221-AG221</f>
        <v>-0.33300000000000002</v>
      </c>
      <c r="AJ221" s="2630">
        <v>0</v>
      </c>
      <c r="AK221" s="2631">
        <v>0</v>
      </c>
      <c r="AL221" s="2631">
        <v>0</v>
      </c>
      <c r="AM221" s="2631">
        <v>0</v>
      </c>
      <c r="AN221" s="2630">
        <v>0</v>
      </c>
      <c r="AO221" s="2631">
        <v>0</v>
      </c>
      <c r="AP221" s="2631">
        <v>-50.543999999999997</v>
      </c>
      <c r="AQ221" s="2631">
        <v>0</v>
      </c>
      <c r="AR221" s="2630">
        <v>0</v>
      </c>
      <c r="AS221" s="630">
        <v>0</v>
      </c>
      <c r="AT221" s="587">
        <v>0</v>
      </c>
      <c r="AU221" s="587">
        <v>0</v>
      </c>
      <c r="AV221" s="617">
        <v>0</v>
      </c>
      <c r="AW221" s="630">
        <v>0</v>
      </c>
      <c r="AX221" s="587">
        <v>0</v>
      </c>
      <c r="AY221" s="587">
        <v>0</v>
      </c>
      <c r="AZ221" s="617">
        <v>0</v>
      </c>
      <c r="BA221" s="630">
        <v>0</v>
      </c>
      <c r="BB221" s="587">
        <v>0</v>
      </c>
      <c r="BC221" s="587">
        <v>0</v>
      </c>
      <c r="BD221" s="617">
        <v>0</v>
      </c>
      <c r="BE221"/>
      <c r="BF221" s="84"/>
      <c r="BG221" s="596"/>
      <c r="BH221" s="249"/>
      <c r="BI221" s="67">
        <v>-1.2E-2</v>
      </c>
      <c r="BJ221" s="67">
        <v>-4.2999999999999997E-2</v>
      </c>
      <c r="BK221" s="67">
        <f t="shared" si="442"/>
        <v>0</v>
      </c>
      <c r="BL221" s="67">
        <v>0</v>
      </c>
      <c r="BM221" s="67">
        <f t="shared" si="443"/>
        <v>0</v>
      </c>
      <c r="BN221" s="67">
        <f t="shared" si="444"/>
        <v>1.153</v>
      </c>
      <c r="BO221" s="67">
        <f t="shared" si="445"/>
        <v>-1.724</v>
      </c>
      <c r="BP221" s="67">
        <f t="shared" si="446"/>
        <v>-0.64700000000000002</v>
      </c>
      <c r="BQ221" s="110">
        <f t="shared" si="447"/>
        <v>0</v>
      </c>
      <c r="BR221" s="329">
        <f t="shared" si="448"/>
        <v>-50.543999999999997</v>
      </c>
      <c r="BS221" s="329">
        <f t="shared" si="449"/>
        <v>0</v>
      </c>
      <c r="BT221" s="1095">
        <f t="shared" si="450"/>
        <v>0</v>
      </c>
      <c r="BU221" s="1095">
        <f t="shared" si="451"/>
        <v>0</v>
      </c>
      <c r="BV221" s="587">
        <v>0</v>
      </c>
      <c r="BW221" s="587">
        <v>0</v>
      </c>
      <c r="BX221" s="587">
        <v>0</v>
      </c>
      <c r="BY221" s="587">
        <v>0</v>
      </c>
      <c r="BZ221" s="617">
        <v>0</v>
      </c>
      <c r="CA221" s="54"/>
      <c r="CB221" s="54"/>
      <c r="CC221" s="54"/>
      <c r="CD221" s="54"/>
      <c r="CE221" s="54"/>
      <c r="CF221" s="54"/>
      <c r="CG221" s="1772"/>
      <c r="CH221" s="1772"/>
      <c r="CI221" s="1772"/>
      <c r="CJ221" s="54"/>
      <c r="CK221" s="54"/>
      <c r="CL221" s="54"/>
      <c r="CM221" s="54"/>
      <c r="CN221" s="54"/>
      <c r="CO221" s="54"/>
      <c r="CP221" s="54"/>
      <c r="CQ221" s="54"/>
      <c r="CR221" s="54"/>
    </row>
    <row r="222" spans="1:96" s="401" customFormat="1" ht="11.25" customHeight="1">
      <c r="A222" s="36"/>
      <c r="B222"/>
      <c r="C222"/>
      <c r="D222"/>
      <c r="E222"/>
      <c r="F222"/>
      <c r="G222"/>
      <c r="H222" s="5"/>
      <c r="I222" s="450" t="s">
        <v>247</v>
      </c>
      <c r="J222" s="5"/>
      <c r="K222" s="5"/>
      <c r="L222" s="5"/>
      <c r="M222" s="327"/>
      <c r="N222" s="327"/>
      <c r="O222" s="589">
        <f>0-N222-M222</f>
        <v>0</v>
      </c>
      <c r="P222" s="589">
        <f>0-O222-N222-M222</f>
        <v>0</v>
      </c>
      <c r="Q222" s="589">
        <v>0</v>
      </c>
      <c r="R222" s="589">
        <f>0-Q222</f>
        <v>0</v>
      </c>
      <c r="S222" s="589">
        <f>0-R222-Q222</f>
        <v>0</v>
      </c>
      <c r="T222" s="589">
        <f t="shared" si="440"/>
        <v>0</v>
      </c>
      <c r="U222" s="589">
        <v>0</v>
      </c>
      <c r="V222" s="589">
        <f>0-U222</f>
        <v>0</v>
      </c>
      <c r="W222" s="589">
        <f>0-V222-U222</f>
        <v>0</v>
      </c>
      <c r="X222" s="589">
        <v>0</v>
      </c>
      <c r="Y222" s="643">
        <v>0</v>
      </c>
      <c r="Z222" s="589">
        <v>0</v>
      </c>
      <c r="AA222" s="589">
        <v>0</v>
      </c>
      <c r="AB222" s="589">
        <v>0</v>
      </c>
      <c r="AC222" s="1090">
        <v>0</v>
      </c>
      <c r="AD222" s="589">
        <f>0-AC222</f>
        <v>0</v>
      </c>
      <c r="AE222" s="589">
        <f>0-AD222-AC222</f>
        <v>0</v>
      </c>
      <c r="AF222" s="588">
        <f>-14.34-AE222-AD222-AC222</f>
        <v>-14.34</v>
      </c>
      <c r="AG222" s="1090">
        <f>0.097-36.12+18.25</f>
        <v>-17.772999999999996</v>
      </c>
      <c r="AH222" s="1748">
        <f>63.87-AG222</f>
        <v>81.643000000000001</v>
      </c>
      <c r="AI222" s="588">
        <f>131.87-AH222-AG222</f>
        <v>68</v>
      </c>
      <c r="AJ222" s="2630">
        <v>71</v>
      </c>
      <c r="AK222" s="2631">
        <v>90.5</v>
      </c>
      <c r="AL222" s="2631">
        <v>62</v>
      </c>
      <c r="AM222" s="2631">
        <v>60</v>
      </c>
      <c r="AN222" s="2630">
        <v>53.088000000000022</v>
      </c>
      <c r="AO222" s="2631">
        <v>68</v>
      </c>
      <c r="AP222" s="2631">
        <v>72</v>
      </c>
      <c r="AQ222" s="2631">
        <v>51</v>
      </c>
      <c r="AR222" s="2630">
        <v>325.66300000000001</v>
      </c>
      <c r="AS222" s="630">
        <v>0</v>
      </c>
      <c r="AT222" s="587">
        <v>0</v>
      </c>
      <c r="AU222" s="587">
        <v>0</v>
      </c>
      <c r="AV222" s="617">
        <v>0</v>
      </c>
      <c r="AW222" s="630">
        <v>0</v>
      </c>
      <c r="AX222" s="587">
        <v>0</v>
      </c>
      <c r="AY222" s="587">
        <v>0</v>
      </c>
      <c r="AZ222" s="617">
        <v>0</v>
      </c>
      <c r="BA222" s="630">
        <v>0</v>
      </c>
      <c r="BB222" s="587">
        <v>0</v>
      </c>
      <c r="BC222" s="587">
        <v>0</v>
      </c>
      <c r="BD222" s="617">
        <v>0</v>
      </c>
      <c r="BE222"/>
      <c r="BF222" s="84"/>
      <c r="BG222" s="596"/>
      <c r="BH222" s="249"/>
      <c r="BI222" s="67">
        <v>7.7210000000000001</v>
      </c>
      <c r="BJ222" s="67">
        <v>3.2909999999999999</v>
      </c>
      <c r="BK222" s="67">
        <f t="shared" si="442"/>
        <v>0</v>
      </c>
      <c r="BL222" s="67">
        <v>0</v>
      </c>
      <c r="BM222" s="67">
        <f t="shared" si="443"/>
        <v>0</v>
      </c>
      <c r="BN222" s="67">
        <f t="shared" si="444"/>
        <v>0</v>
      </c>
      <c r="BO222" s="67">
        <f t="shared" si="445"/>
        <v>-14.34</v>
      </c>
      <c r="BP222" s="67">
        <f t="shared" si="446"/>
        <v>202.87</v>
      </c>
      <c r="BQ222" s="110">
        <f t="shared" si="447"/>
        <v>265.58800000000002</v>
      </c>
      <c r="BR222" s="329">
        <f t="shared" si="448"/>
        <v>516.66300000000001</v>
      </c>
      <c r="BS222" s="329">
        <f t="shared" si="449"/>
        <v>0</v>
      </c>
      <c r="BT222" s="1095">
        <f t="shared" si="450"/>
        <v>0</v>
      </c>
      <c r="BU222" s="1095">
        <f t="shared" si="451"/>
        <v>0</v>
      </c>
      <c r="BV222" s="587">
        <v>0</v>
      </c>
      <c r="BW222" s="587">
        <v>0</v>
      </c>
      <c r="BX222" s="587">
        <v>0</v>
      </c>
      <c r="BY222" s="587">
        <v>0</v>
      </c>
      <c r="BZ222" s="617">
        <v>0</v>
      </c>
      <c r="CA222" s="54"/>
      <c r="CB222" s="54"/>
      <c r="CC222" s="54"/>
      <c r="CD222" s="54"/>
      <c r="CE222" s="54"/>
      <c r="CF222" s="54"/>
      <c r="CG222" s="1772"/>
      <c r="CH222" s="1772"/>
      <c r="CI222" s="1772"/>
      <c r="CJ222" s="54"/>
      <c r="CK222" s="54"/>
      <c r="CL222" s="54"/>
      <c r="CM222" s="54"/>
      <c r="CN222" s="54"/>
      <c r="CO222" s="54"/>
      <c r="CP222" s="54"/>
      <c r="CQ222" s="54"/>
      <c r="CR222" s="54"/>
    </row>
    <row r="223" spans="1:96" s="401" customFormat="1" ht="11.25" customHeight="1">
      <c r="A223" s="36"/>
      <c r="B223"/>
      <c r="C223"/>
      <c r="D223"/>
      <c r="E223"/>
      <c r="F223"/>
      <c r="G223"/>
      <c r="H223" s="5"/>
      <c r="I223" s="450" t="s">
        <v>248</v>
      </c>
      <c r="J223" s="5"/>
      <c r="K223" s="5"/>
      <c r="L223" s="5"/>
      <c r="M223" s="327"/>
      <c r="N223" s="327"/>
      <c r="O223" s="589">
        <f>0-N223-M223</f>
        <v>0</v>
      </c>
      <c r="P223" s="589">
        <f>0-O223-N223-M223</f>
        <v>0</v>
      </c>
      <c r="Q223" s="589">
        <v>0</v>
      </c>
      <c r="R223" s="589">
        <f>0-Q223</f>
        <v>0</v>
      </c>
      <c r="S223" s="589">
        <f>0-R223-Q223</f>
        <v>0</v>
      </c>
      <c r="T223" s="589">
        <f t="shared" si="440"/>
        <v>0</v>
      </c>
      <c r="U223" s="589">
        <v>0</v>
      </c>
      <c r="V223" s="589">
        <f>0-U223</f>
        <v>0</v>
      </c>
      <c r="W223" s="589">
        <f>0-V223-U223</f>
        <v>0</v>
      </c>
      <c r="X223" s="589">
        <f>-24.125-W223-V223-U223</f>
        <v>-24.125</v>
      </c>
      <c r="Y223" s="643">
        <v>0</v>
      </c>
      <c r="Z223" s="589">
        <v>0</v>
      </c>
      <c r="AA223" s="589">
        <f>-2.057+1.153-Z223-Y223</f>
        <v>-0.90399999999999991</v>
      </c>
      <c r="AB223" s="589">
        <f>-2.057-AA223-Z223-Y223</f>
        <v>-1.153</v>
      </c>
      <c r="AC223" s="1090">
        <v>0</v>
      </c>
      <c r="AD223" s="589">
        <f>-122.226+0.014-AC223</f>
        <v>-122.212</v>
      </c>
      <c r="AE223" s="589">
        <f>-148.359+21+0.014-AD223-AC223</f>
        <v>-5.1330000000000098</v>
      </c>
      <c r="AF223" s="588">
        <f>0.014-210.459+53.002-AE223-AD223-AC223</f>
        <v>-30.097999999999971</v>
      </c>
      <c r="AG223" s="1090">
        <v>-71.546000000000006</v>
      </c>
      <c r="AH223" s="1748">
        <f>-93.914+0.109-AG223</f>
        <v>-22.259</v>
      </c>
      <c r="AI223" s="588">
        <f>-172.717+0.109-AH223-AG223</f>
        <v>-78.802999999999983</v>
      </c>
      <c r="AJ223" s="2630">
        <v>-73.551999999999992</v>
      </c>
      <c r="AK223" s="2631">
        <v>-92.100999999999999</v>
      </c>
      <c r="AL223" s="2631">
        <v>-69.753000000000014</v>
      </c>
      <c r="AM223" s="2631">
        <v>-67.916999999999973</v>
      </c>
      <c r="AN223" s="2630">
        <v>-53.193999999999988</v>
      </c>
      <c r="AO223" s="2631">
        <v>-104.804</v>
      </c>
      <c r="AP223" s="2631">
        <v>-20.051000000000002</v>
      </c>
      <c r="AQ223" s="2631">
        <v>-54.70199999999997</v>
      </c>
      <c r="AR223" s="2630">
        <v>-175.33799999999999</v>
      </c>
      <c r="AS223" s="630">
        <v>0</v>
      </c>
      <c r="AT223" s="587">
        <v>0</v>
      </c>
      <c r="AU223" s="587">
        <v>0</v>
      </c>
      <c r="AV223" s="617">
        <v>0</v>
      </c>
      <c r="AW223" s="630">
        <v>0</v>
      </c>
      <c r="AX223" s="587">
        <v>0</v>
      </c>
      <c r="AY223" s="587">
        <v>0</v>
      </c>
      <c r="AZ223" s="617">
        <v>0</v>
      </c>
      <c r="BA223" s="630">
        <v>0</v>
      </c>
      <c r="BB223" s="587">
        <v>0</v>
      </c>
      <c r="BC223" s="587">
        <v>0</v>
      </c>
      <c r="BD223" s="617">
        <v>0</v>
      </c>
      <c r="BE223"/>
      <c r="BF223" s="84"/>
      <c r="BG223" s="596"/>
      <c r="BH223" s="249"/>
      <c r="BI223" s="67">
        <v>-6.7279999999999998</v>
      </c>
      <c r="BJ223" s="67">
        <v>-1</v>
      </c>
      <c r="BK223" s="67">
        <f t="shared" si="442"/>
        <v>0</v>
      </c>
      <c r="BL223" s="67">
        <v>0</v>
      </c>
      <c r="BM223" s="67">
        <f t="shared" si="443"/>
        <v>-24.125</v>
      </c>
      <c r="BN223" s="67">
        <f t="shared" si="444"/>
        <v>-2.0569999999999999</v>
      </c>
      <c r="BO223" s="67">
        <f t="shared" si="445"/>
        <v>-157.44299999999998</v>
      </c>
      <c r="BP223" s="67">
        <f t="shared" si="446"/>
        <v>-246.16</v>
      </c>
      <c r="BQ223" s="110">
        <f t="shared" si="447"/>
        <v>-282.96499999999997</v>
      </c>
      <c r="BR223" s="329">
        <f t="shared" si="448"/>
        <v>-354.89499999999998</v>
      </c>
      <c r="BS223" s="329">
        <f t="shared" si="449"/>
        <v>0</v>
      </c>
      <c r="BT223" s="1095">
        <f t="shared" si="450"/>
        <v>0</v>
      </c>
      <c r="BU223" s="1095">
        <f t="shared" si="451"/>
        <v>0</v>
      </c>
      <c r="BV223" s="587">
        <v>0</v>
      </c>
      <c r="BW223" s="587">
        <v>0</v>
      </c>
      <c r="BX223" s="587">
        <v>0</v>
      </c>
      <c r="BY223" s="587">
        <v>0</v>
      </c>
      <c r="BZ223" s="617">
        <v>0</v>
      </c>
      <c r="CA223" s="54"/>
      <c r="CB223" s="54"/>
      <c r="CC223" s="54"/>
      <c r="CD223" s="54"/>
      <c r="CE223" s="54"/>
      <c r="CF223" s="54"/>
      <c r="CG223" s="1772"/>
      <c r="CH223" s="1772"/>
      <c r="CI223" s="1772"/>
      <c r="CJ223" s="54"/>
      <c r="CK223" s="54"/>
      <c r="CL223" s="54"/>
      <c r="CM223" s="54"/>
      <c r="CN223" s="54"/>
      <c r="CO223" s="54"/>
      <c r="CP223" s="54"/>
      <c r="CQ223" s="54"/>
      <c r="CR223" s="54"/>
    </row>
    <row r="224" spans="1:96" s="401" customFormat="1" ht="11.25" customHeight="1">
      <c r="A224" s="36"/>
      <c r="B224"/>
      <c r="C224"/>
      <c r="D224"/>
      <c r="E224"/>
      <c r="F224"/>
      <c r="G224"/>
      <c r="H224" s="5"/>
      <c r="I224" s="450" t="s">
        <v>46</v>
      </c>
      <c r="J224" s="5"/>
      <c r="K224" s="5"/>
      <c r="L224" s="5"/>
      <c r="M224" s="327"/>
      <c r="N224" s="327"/>
      <c r="O224" s="589">
        <f>-0.656-N224-M224</f>
        <v>-0.65600000000000003</v>
      </c>
      <c r="P224" s="589">
        <f>-1.229-O224-N224-M224</f>
        <v>-0.57300000000000006</v>
      </c>
      <c r="Q224" s="589">
        <v>-0.53700000000000003</v>
      </c>
      <c r="R224" s="589">
        <f>-1.055-Q224</f>
        <v>-0.5179999999999999</v>
      </c>
      <c r="S224" s="589">
        <f>-1.608-R224-Q224</f>
        <v>-0.55300000000000027</v>
      </c>
      <c r="T224" s="589">
        <f t="shared" si="440"/>
        <v>-0.89799999999999969</v>
      </c>
      <c r="U224" s="589">
        <v>-0.61199999999999999</v>
      </c>
      <c r="V224" s="589">
        <f>-1.59-U224</f>
        <v>-0.97800000000000009</v>
      </c>
      <c r="W224" s="589">
        <f>-2.334-V224-U224</f>
        <v>-0.74399999999999988</v>
      </c>
      <c r="X224" s="589">
        <f>-2.93-W224-V224-U224</f>
        <v>-0.5960000000000002</v>
      </c>
      <c r="Y224" s="643">
        <v>-0.96899999999999997</v>
      </c>
      <c r="Z224" s="589">
        <f>-2.139-Y224</f>
        <v>-1.17</v>
      </c>
      <c r="AA224" s="589">
        <f>-3.265-Z224-Y224</f>
        <v>-1.1260000000000003</v>
      </c>
      <c r="AB224" s="589">
        <f>-4.856-AA224-Z224-Y224</f>
        <v>-1.5909999999999997</v>
      </c>
      <c r="AC224" s="1090">
        <v>-1.5920000000000001</v>
      </c>
      <c r="AD224" s="589">
        <f>-4.327-AC224</f>
        <v>-2.7349999999999999</v>
      </c>
      <c r="AE224" s="589">
        <f>-7.969-AD224-AC224</f>
        <v>-3.6419999999999999</v>
      </c>
      <c r="AF224" s="588">
        <f>-11.349-AE224-AD224-AC224</f>
        <v>-3.3800000000000012</v>
      </c>
      <c r="AG224" s="1090">
        <v>-3.1960000000000002</v>
      </c>
      <c r="AH224" s="1748">
        <f>-6.012-AG224</f>
        <v>-2.8159999999999994</v>
      </c>
      <c r="AI224" s="588">
        <f>-8.658-AH224-AG224</f>
        <v>-2.6460000000000004</v>
      </c>
      <c r="AJ224" s="2630">
        <v>-3.0760000000000005</v>
      </c>
      <c r="AK224" s="2631">
        <v>-3.125</v>
      </c>
      <c r="AL224" s="2631">
        <v>-4.03</v>
      </c>
      <c r="AM224" s="2631">
        <v>-3.62</v>
      </c>
      <c r="AN224" s="2630">
        <v>-3.5949999999999998</v>
      </c>
      <c r="AO224" s="2631">
        <v>-4.2080000000000002</v>
      </c>
      <c r="AP224" s="2631">
        <v>-3.8219999999999992</v>
      </c>
      <c r="AQ224" s="2631">
        <v>-4.2060000000000013</v>
      </c>
      <c r="AR224" s="2630">
        <v>-2.4109999999999996</v>
      </c>
      <c r="AS224" s="630">
        <v>0</v>
      </c>
      <c r="AT224" s="587">
        <v>0</v>
      </c>
      <c r="AU224" s="587">
        <v>0</v>
      </c>
      <c r="AV224" s="617">
        <v>0</v>
      </c>
      <c r="AW224" s="630">
        <v>0</v>
      </c>
      <c r="AX224" s="587">
        <v>0</v>
      </c>
      <c r="AY224" s="587">
        <v>0</v>
      </c>
      <c r="AZ224" s="617">
        <v>0</v>
      </c>
      <c r="BA224" s="630">
        <v>0</v>
      </c>
      <c r="BB224" s="587">
        <v>0</v>
      </c>
      <c r="BC224" s="587">
        <v>0</v>
      </c>
      <c r="BD224" s="617">
        <v>0</v>
      </c>
      <c r="BE224"/>
      <c r="BF224" s="84"/>
      <c r="BG224" s="596"/>
      <c r="BH224" s="249"/>
      <c r="BI224" s="67">
        <v>-0.44600000000000001</v>
      </c>
      <c r="BJ224" s="67">
        <v>-0.95499999999999996</v>
      </c>
      <c r="BK224" s="67">
        <f t="shared" si="442"/>
        <v>-1.2290000000000001</v>
      </c>
      <c r="BL224" s="67">
        <v>-2.5059999999999998</v>
      </c>
      <c r="BM224" s="67">
        <f t="shared" si="443"/>
        <v>-2.93</v>
      </c>
      <c r="BN224" s="67">
        <f t="shared" si="444"/>
        <v>-4.8559999999999999</v>
      </c>
      <c r="BO224" s="67">
        <f t="shared" si="445"/>
        <v>-11.349</v>
      </c>
      <c r="BP224" s="67">
        <f t="shared" si="446"/>
        <v>-11.734</v>
      </c>
      <c r="BQ224" s="110">
        <f t="shared" si="447"/>
        <v>-14.370000000000001</v>
      </c>
      <c r="BR224" s="329">
        <f t="shared" si="448"/>
        <v>-14.647</v>
      </c>
      <c r="BS224" s="329">
        <f t="shared" si="449"/>
        <v>0</v>
      </c>
      <c r="BT224" s="1095">
        <f t="shared" si="450"/>
        <v>0</v>
      </c>
      <c r="BU224" s="1095">
        <f t="shared" si="451"/>
        <v>0</v>
      </c>
      <c r="BV224" s="587">
        <v>0</v>
      </c>
      <c r="BW224" s="587">
        <v>0</v>
      </c>
      <c r="BX224" s="587">
        <v>0</v>
      </c>
      <c r="BY224" s="587">
        <v>0</v>
      </c>
      <c r="BZ224" s="617">
        <v>0</v>
      </c>
      <c r="CA224" s="54"/>
      <c r="CB224" s="54"/>
      <c r="CC224" s="54"/>
      <c r="CD224" s="54"/>
      <c r="CE224" s="54"/>
      <c r="CF224" s="54"/>
      <c r="CG224" s="1772"/>
      <c r="CH224" s="1772"/>
      <c r="CI224" s="1772"/>
      <c r="CJ224" s="54"/>
      <c r="CK224" s="54"/>
      <c r="CL224" s="54"/>
      <c r="CM224" s="54"/>
      <c r="CN224" s="54"/>
      <c r="CO224" s="54"/>
      <c r="CP224" s="54"/>
      <c r="CQ224" s="54"/>
      <c r="CR224" s="54"/>
    </row>
    <row r="225" spans="1:96" s="401" customFormat="1" ht="11.25" customHeight="1">
      <c r="A225" s="36"/>
      <c r="B225"/>
      <c r="C225"/>
      <c r="D225"/>
      <c r="E225"/>
      <c r="F225"/>
      <c r="G225"/>
      <c r="H225" s="5"/>
      <c r="I225" s="450" t="s">
        <v>47</v>
      </c>
      <c r="J225" s="5"/>
      <c r="K225" s="5"/>
      <c r="L225" s="5"/>
      <c r="M225" s="327"/>
      <c r="N225" s="327"/>
      <c r="O225" s="589">
        <f>0-N225-M225</f>
        <v>0</v>
      </c>
      <c r="P225" s="589">
        <f>0-O225-N225-M225</f>
        <v>0</v>
      </c>
      <c r="Q225" s="589">
        <v>0</v>
      </c>
      <c r="R225" s="589">
        <f>-0.365-Q225</f>
        <v>-0.36499999999999999</v>
      </c>
      <c r="S225" s="589">
        <f>-0.365-R225-Q225</f>
        <v>0</v>
      </c>
      <c r="T225" s="589">
        <f t="shared" si="440"/>
        <v>0.216</v>
      </c>
      <c r="U225" s="589">
        <v>-1.1120000000000001</v>
      </c>
      <c r="V225" s="589">
        <f>-6.008-U225</f>
        <v>-4.8959999999999999</v>
      </c>
      <c r="W225" s="589">
        <f>-6.048-V225-U225</f>
        <v>-4.0000000000000036E-2</v>
      </c>
      <c r="X225" s="589">
        <f>-6.013-W225-V225-U225</f>
        <v>3.5000000000000142E-2</v>
      </c>
      <c r="Y225" s="643">
        <v>0</v>
      </c>
      <c r="Z225" s="589">
        <f>-1.768-Y225</f>
        <v>-1.768</v>
      </c>
      <c r="AA225" s="589">
        <f>-1.768-Z225-Y225</f>
        <v>0</v>
      </c>
      <c r="AB225" s="589">
        <f>3.176-AA225-Z225-Y225</f>
        <v>4.944</v>
      </c>
      <c r="AC225" s="1090">
        <v>-0.39700000000000002</v>
      </c>
      <c r="AD225" s="589">
        <f>-0.397-AC225</f>
        <v>0</v>
      </c>
      <c r="AE225" s="589">
        <f>-9.756-AD225-AC225</f>
        <v>-9.359</v>
      </c>
      <c r="AF225" s="588">
        <f>-14.764-AE225-AD225-AC225</f>
        <v>-5.0079999999999991</v>
      </c>
      <c r="AG225" s="1090">
        <v>-5.0000000000000001E-3</v>
      </c>
      <c r="AH225" s="1748">
        <f>1.672-AG225</f>
        <v>1.6769999999999998</v>
      </c>
      <c r="AI225" s="588">
        <f>1.664-AH225-AG225</f>
        <v>-7.9999999999998996E-3</v>
      </c>
      <c r="AJ225" s="2630">
        <v>-0.12600000000000011</v>
      </c>
      <c r="AK225" s="2631">
        <v>-0.82</v>
      </c>
      <c r="AL225" s="2631">
        <v>0</v>
      </c>
      <c r="AM225" s="2631">
        <v>-5.0000000000000044E-3</v>
      </c>
      <c r="AN225" s="2630">
        <v>-6.0000000000000053E-3</v>
      </c>
      <c r="AO225" s="2631">
        <v>-1.1180000000000001</v>
      </c>
      <c r="AP225" s="2631">
        <v>-4.5999999999999819E-2</v>
      </c>
      <c r="AQ225" s="2631">
        <v>-4.5000000000000151E-2</v>
      </c>
      <c r="AR225" s="2630">
        <v>0.129</v>
      </c>
      <c r="AS225" s="630">
        <v>0</v>
      </c>
      <c r="AT225" s="587">
        <v>0</v>
      </c>
      <c r="AU225" s="587">
        <v>0</v>
      </c>
      <c r="AV225" s="617">
        <v>0</v>
      </c>
      <c r="AW225" s="630">
        <v>0</v>
      </c>
      <c r="AX225" s="587">
        <v>0</v>
      </c>
      <c r="AY225" s="587">
        <v>0</v>
      </c>
      <c r="AZ225" s="617">
        <v>0</v>
      </c>
      <c r="BA225" s="630">
        <v>0</v>
      </c>
      <c r="BB225" s="587">
        <v>0</v>
      </c>
      <c r="BC225" s="587">
        <v>0</v>
      </c>
      <c r="BD225" s="617">
        <v>0</v>
      </c>
      <c r="BE225"/>
      <c r="BF225" s="84"/>
      <c r="BG225" s="596"/>
      <c r="BH225" s="249"/>
      <c r="BI225" s="67">
        <v>-0.32</v>
      </c>
      <c r="BJ225" s="67">
        <v>0.104</v>
      </c>
      <c r="BK225" s="67">
        <f t="shared" si="442"/>
        <v>0</v>
      </c>
      <c r="BL225" s="67">
        <v>-0.14899999999999999</v>
      </c>
      <c r="BM225" s="67">
        <f t="shared" si="443"/>
        <v>-6.0129999999999999</v>
      </c>
      <c r="BN225" s="67">
        <f t="shared" si="444"/>
        <v>3.1760000000000002</v>
      </c>
      <c r="BO225" s="67">
        <f t="shared" si="445"/>
        <v>-14.763999999999999</v>
      </c>
      <c r="BP225" s="67">
        <f t="shared" si="446"/>
        <v>1.5379999999999998</v>
      </c>
      <c r="BQ225" s="110">
        <f t="shared" si="447"/>
        <v>-0.83099999999999996</v>
      </c>
      <c r="BR225" s="329">
        <f t="shared" si="448"/>
        <v>-1.08</v>
      </c>
      <c r="BS225" s="329">
        <f t="shared" si="449"/>
        <v>0</v>
      </c>
      <c r="BT225" s="1095">
        <f t="shared" si="450"/>
        <v>0</v>
      </c>
      <c r="BU225" s="1095">
        <f t="shared" si="451"/>
        <v>0</v>
      </c>
      <c r="BV225" s="587">
        <v>0</v>
      </c>
      <c r="BW225" s="587">
        <v>0</v>
      </c>
      <c r="BX225" s="587">
        <v>0</v>
      </c>
      <c r="BY225" s="587">
        <v>0</v>
      </c>
      <c r="BZ225" s="617">
        <v>0</v>
      </c>
      <c r="CA225" s="54"/>
      <c r="CB225" s="54"/>
      <c r="CC225" s="54"/>
      <c r="CD225" s="54"/>
      <c r="CE225" s="54"/>
      <c r="CF225" s="54"/>
      <c r="CG225" s="1772"/>
      <c r="CH225" s="1772"/>
      <c r="CI225" s="1772"/>
      <c r="CJ225" s="54"/>
      <c r="CK225" s="54"/>
      <c r="CL225" s="54"/>
      <c r="CM225" s="54"/>
      <c r="CN225" s="54"/>
      <c r="CO225" s="54"/>
      <c r="CP225" s="54"/>
      <c r="CQ225" s="54"/>
      <c r="CR225" s="54"/>
    </row>
    <row r="226" spans="1:96" s="401" customFormat="1" ht="11.25" customHeight="1">
      <c r="A226" s="36"/>
      <c r="B226"/>
      <c r="C226"/>
      <c r="D226"/>
      <c r="E226"/>
      <c r="F226"/>
      <c r="G226"/>
      <c r="H226" s="54"/>
      <c r="I226" s="138" t="s">
        <v>94</v>
      </c>
      <c r="J226" s="50"/>
      <c r="K226" s="50"/>
      <c r="L226" s="50"/>
      <c r="M226" s="76">
        <f t="shared" ref="M226:AJ226" si="452">+SUM(M220:M225)</f>
        <v>0</v>
      </c>
      <c r="N226" s="76">
        <f t="shared" si="452"/>
        <v>0</v>
      </c>
      <c r="O226" s="76">
        <f t="shared" si="452"/>
        <v>-3.706</v>
      </c>
      <c r="P226" s="76">
        <f t="shared" si="452"/>
        <v>-1.0940000000000003</v>
      </c>
      <c r="Q226" s="76">
        <f t="shared" si="452"/>
        <v>-1.35</v>
      </c>
      <c r="R226" s="76">
        <f t="shared" si="452"/>
        <v>-1.5479999999999998</v>
      </c>
      <c r="S226" s="76">
        <f t="shared" si="452"/>
        <v>-1.835</v>
      </c>
      <c r="T226" s="76">
        <f t="shared" si="452"/>
        <v>-2.7199999999999998</v>
      </c>
      <c r="U226" s="76">
        <f t="shared" si="452"/>
        <v>-2.0910000000000002</v>
      </c>
      <c r="V226" s="76">
        <f t="shared" si="452"/>
        <v>-7.4340000000000002</v>
      </c>
      <c r="W226" s="76">
        <f t="shared" si="452"/>
        <v>-2.3409999999999997</v>
      </c>
      <c r="X226" s="76">
        <f t="shared" si="452"/>
        <v>-28.725999999999999</v>
      </c>
      <c r="Y226" s="644">
        <f t="shared" si="452"/>
        <v>-1.9159999999999999</v>
      </c>
      <c r="Z226" s="74">
        <f t="shared" si="452"/>
        <v>-5.8039999999999994</v>
      </c>
      <c r="AA226" s="74">
        <f t="shared" si="452"/>
        <v>-7.7640000000000002</v>
      </c>
      <c r="AB226" s="74">
        <f t="shared" si="452"/>
        <v>-3.3429999999999991</v>
      </c>
      <c r="AC226" s="511">
        <f t="shared" si="452"/>
        <v>-6.2350000000000012</v>
      </c>
      <c r="AD226" s="74">
        <f t="shared" si="452"/>
        <v>-127.913</v>
      </c>
      <c r="AE226" s="74">
        <f t="shared" si="452"/>
        <v>-24.999000000000009</v>
      </c>
      <c r="AF226" s="74">
        <f t="shared" si="452"/>
        <v>-69.526999999999958</v>
      </c>
      <c r="AG226" s="511">
        <f t="shared" si="452"/>
        <v>-103.715</v>
      </c>
      <c r="AH226" s="74">
        <f t="shared" si="452"/>
        <v>-22.354999999999993</v>
      </c>
      <c r="AI226" s="74">
        <f t="shared" si="452"/>
        <v>-21.088999999999988</v>
      </c>
      <c r="AJ226" s="481">
        <f t="shared" si="452"/>
        <v>-11.522999999999984</v>
      </c>
      <c r="AK226" s="74">
        <f t="shared" ref="AK226:AP226" si="453">+SUM(AK220:AK225)</f>
        <v>-13.190999999999995</v>
      </c>
      <c r="AL226" s="74">
        <f t="shared" si="453"/>
        <v>-16.542000000000016</v>
      </c>
      <c r="AM226" s="74">
        <f t="shared" si="453"/>
        <v>-16.858999999999966</v>
      </c>
      <c r="AN226" s="481">
        <f t="shared" si="453"/>
        <v>-8.9799999999999685</v>
      </c>
      <c r="AO226" s="74">
        <f t="shared" si="453"/>
        <v>-44.582000000000001</v>
      </c>
      <c r="AP226" s="74">
        <f t="shared" si="453"/>
        <v>-4.09</v>
      </c>
      <c r="AQ226" s="74">
        <f t="shared" ref="AQ226" si="454">+SUM(AQ220:AQ225)</f>
        <v>-11.765999999999973</v>
      </c>
      <c r="AR226" s="481">
        <f t="shared" ref="AR226" si="455">+SUM(AR220:AR225)</f>
        <v>140.33699999999999</v>
      </c>
      <c r="AS226" s="511">
        <f t="shared" ref="AS226:AV226" si="456">+SUM(AS220:AS225)</f>
        <v>-5.53</v>
      </c>
      <c r="AT226" s="74">
        <f t="shared" si="456"/>
        <v>-5.7850000000000001</v>
      </c>
      <c r="AU226" s="74">
        <f t="shared" si="456"/>
        <v>-6.2</v>
      </c>
      <c r="AV226" s="481">
        <f t="shared" si="456"/>
        <v>-6.4849999999999994</v>
      </c>
      <c r="AW226" s="511">
        <f t="shared" ref="AW226:BD226" si="457">+SUM(AW220:AW225)</f>
        <v>-8.5448686221582744</v>
      </c>
      <c r="AX226" s="74">
        <f t="shared" si="457"/>
        <v>-8.9000760291316521</v>
      </c>
      <c r="AY226" s="74">
        <f t="shared" si="457"/>
        <v>-9.2784378010008872</v>
      </c>
      <c r="AZ226" s="481">
        <f t="shared" si="457"/>
        <v>-9.5795222811216245</v>
      </c>
      <c r="BA226" s="511">
        <f t="shared" si="457"/>
        <v>-9.758137819601977</v>
      </c>
      <c r="BB226" s="74">
        <f t="shared" si="457"/>
        <v>-10.126179322437531</v>
      </c>
      <c r="BC226" s="74">
        <f t="shared" si="457"/>
        <v>-10.48715950429558</v>
      </c>
      <c r="BD226" s="481">
        <f t="shared" si="457"/>
        <v>-10.74830663157263</v>
      </c>
      <c r="BE226"/>
      <c r="BF226" s="99"/>
      <c r="BG226" s="640"/>
      <c r="BH226" s="76"/>
      <c r="BI226" s="402">
        <f t="shared" ref="BI226:BZ226" si="458">+SUM(BI220:BI225)</f>
        <v>-1.1179999999999994</v>
      </c>
      <c r="BJ226" s="402">
        <f t="shared" si="458"/>
        <v>0.77499999999999991</v>
      </c>
      <c r="BK226" s="402">
        <f t="shared" si="458"/>
        <v>-4.8000000000000007</v>
      </c>
      <c r="BL226" s="402">
        <f t="shared" si="458"/>
        <v>-7.4530000000000003</v>
      </c>
      <c r="BM226" s="402">
        <f t="shared" si="458"/>
        <v>-40.591999999999999</v>
      </c>
      <c r="BN226" s="402">
        <f t="shared" si="458"/>
        <v>-18.826999999999998</v>
      </c>
      <c r="BO226" s="74">
        <f t="shared" si="458"/>
        <v>-228.67399999999998</v>
      </c>
      <c r="BP226" s="74">
        <f t="shared" si="458"/>
        <v>-158.68199999999999</v>
      </c>
      <c r="BQ226" s="74">
        <f t="shared" si="458"/>
        <v>-55.57199999999996</v>
      </c>
      <c r="BR226" s="74">
        <f t="shared" si="458"/>
        <v>79.899000000000029</v>
      </c>
      <c r="BS226" s="74">
        <f t="shared" si="458"/>
        <v>-24</v>
      </c>
      <c r="BT226" s="74">
        <f t="shared" si="458"/>
        <v>-36.30290473341244</v>
      </c>
      <c r="BU226" s="76">
        <f t="shared" si="458"/>
        <v>-41.119783277907715</v>
      </c>
      <c r="BV226" s="76">
        <f t="shared" si="458"/>
        <v>-46.119783277907715</v>
      </c>
      <c r="BW226" s="76">
        <f t="shared" si="458"/>
        <v>-51.119783277907715</v>
      </c>
      <c r="BX226" s="76">
        <f t="shared" si="458"/>
        <v>-56.119783277907715</v>
      </c>
      <c r="BY226" s="76">
        <f t="shared" si="458"/>
        <v>-61.119783277907715</v>
      </c>
      <c r="BZ226" s="614">
        <f t="shared" si="458"/>
        <v>-66.119783277907715</v>
      </c>
      <c r="CA226" s="54"/>
      <c r="CB226" s="54"/>
      <c r="CC226" s="54"/>
      <c r="CD226" s="54"/>
      <c r="CE226" s="54"/>
      <c r="CF226" s="54"/>
      <c r="CG226" s="1772"/>
      <c r="CH226" s="1772"/>
      <c r="CI226" s="1772"/>
      <c r="CJ226" s="54"/>
      <c r="CK226" s="54"/>
      <c r="CL226" s="54"/>
      <c r="CM226" s="54"/>
      <c r="CN226" s="54"/>
      <c r="CO226" s="54"/>
      <c r="CP226" s="54"/>
      <c r="CQ226" s="54"/>
      <c r="CR226" s="54"/>
    </row>
    <row r="227" spans="1:96" s="401" customFormat="1" ht="11.25" customHeight="1">
      <c r="A227" s="36"/>
      <c r="B227"/>
      <c r="C227"/>
      <c r="D227"/>
      <c r="E227"/>
      <c r="F227"/>
      <c r="G227"/>
      <c r="H227" s="5"/>
      <c r="I227" s="450"/>
      <c r="J227" s="5"/>
      <c r="K227" s="5"/>
      <c r="L227" s="5"/>
      <c r="M227" s="336"/>
      <c r="N227" s="336"/>
      <c r="O227" s="336"/>
      <c r="P227" s="336"/>
      <c r="Q227" s="336"/>
      <c r="R227" s="336"/>
      <c r="S227" s="336"/>
      <c r="T227" s="336"/>
      <c r="U227" s="336"/>
      <c r="V227" s="336"/>
      <c r="W227" s="336"/>
      <c r="X227" s="336"/>
      <c r="Y227" s="641"/>
      <c r="Z227" s="110"/>
      <c r="AA227" s="110"/>
      <c r="AB227" s="605"/>
      <c r="AC227" s="1782"/>
      <c r="AD227" s="110"/>
      <c r="AE227" s="110"/>
      <c r="AF227" s="110"/>
      <c r="AG227" s="505"/>
      <c r="AH227" s="110"/>
      <c r="AI227" s="604"/>
      <c r="AJ227" s="469"/>
      <c r="AK227" s="110"/>
      <c r="AL227" s="110"/>
      <c r="AM227" s="110"/>
      <c r="AN227" s="469"/>
      <c r="AO227" s="110"/>
      <c r="AP227" s="110"/>
      <c r="AQ227" s="110"/>
      <c r="AR227" s="469"/>
      <c r="AS227" s="505"/>
      <c r="AT227" s="110"/>
      <c r="AU227" s="110"/>
      <c r="AV227" s="469"/>
      <c r="AW227" s="505"/>
      <c r="AX227" s="110"/>
      <c r="AY227" s="110"/>
      <c r="AZ227" s="469"/>
      <c r="BA227" s="505"/>
      <c r="BB227" s="110"/>
      <c r="BC227" s="110"/>
      <c r="BD227" s="469"/>
      <c r="BE227"/>
      <c r="BF227" s="54"/>
      <c r="BG227" s="595"/>
      <c r="BH227" s="67"/>
      <c r="BI227" s="67"/>
      <c r="BJ227" s="67"/>
      <c r="BK227" s="67"/>
      <c r="BL227" s="67"/>
      <c r="BM227" s="67"/>
      <c r="BN227" s="67"/>
      <c r="BO227" s="110"/>
      <c r="BP227" s="110"/>
      <c r="BQ227" s="110"/>
      <c r="BR227" s="110"/>
      <c r="BS227" s="110"/>
      <c r="BT227" s="110"/>
      <c r="BU227" s="336"/>
      <c r="BV227" s="336"/>
      <c r="BW227" s="336"/>
      <c r="BX227" s="336"/>
      <c r="BY227" s="336"/>
      <c r="BZ227" s="613"/>
      <c r="CA227" s="54"/>
      <c r="CB227" s="54"/>
      <c r="CC227" s="54"/>
      <c r="CD227" s="54"/>
      <c r="CE227" s="54"/>
      <c r="CF227" s="54"/>
      <c r="CG227" s="1772"/>
      <c r="CH227" s="1772"/>
      <c r="CI227" s="1772"/>
      <c r="CJ227" s="54"/>
      <c r="CK227" s="54"/>
      <c r="CL227" s="54"/>
      <c r="CM227" s="54"/>
      <c r="CN227" s="54"/>
      <c r="CO227" s="54"/>
      <c r="CP227" s="54"/>
      <c r="CQ227" s="54"/>
      <c r="CR227" s="54"/>
    </row>
    <row r="228" spans="1:96" ht="11.25" customHeight="1">
      <c r="A228" s="36"/>
      <c r="H228" s="36"/>
      <c r="I228" s="650" t="s">
        <v>95</v>
      </c>
      <c r="J228" s="536"/>
      <c r="K228" s="536"/>
      <c r="L228" s="536"/>
      <c r="M228" s="536"/>
      <c r="N228" s="537"/>
      <c r="O228" s="538"/>
      <c r="P228" s="538"/>
      <c r="Q228" s="536"/>
      <c r="R228" s="537"/>
      <c r="S228" s="537"/>
      <c r="T228" s="537"/>
      <c r="U228" s="539"/>
      <c r="V228" s="537"/>
      <c r="W228" s="537"/>
      <c r="X228" s="537"/>
      <c r="Y228" s="535"/>
      <c r="Z228" s="537"/>
      <c r="AA228" s="537"/>
      <c r="AB228" s="537"/>
      <c r="AC228" s="650"/>
      <c r="AD228" s="537"/>
      <c r="AE228" s="537"/>
      <c r="AF228" s="537"/>
      <c r="AG228" s="623"/>
      <c r="AH228" s="537"/>
      <c r="AI228" s="537"/>
      <c r="AJ228" s="610"/>
      <c r="AK228" s="537"/>
      <c r="AL228" s="537"/>
      <c r="AM228" s="537"/>
      <c r="AN228" s="610"/>
      <c r="AO228" s="537"/>
      <c r="AP228" s="537"/>
      <c r="AQ228" s="537"/>
      <c r="AR228" s="610"/>
      <c r="AS228" s="623"/>
      <c r="AT228" s="537"/>
      <c r="AU228" s="537"/>
      <c r="AV228" s="610"/>
      <c r="AW228" s="623"/>
      <c r="AX228" s="537"/>
      <c r="AY228" s="537"/>
      <c r="AZ228" s="610"/>
      <c r="BA228" s="623"/>
      <c r="BB228" s="537"/>
      <c r="BC228" s="537"/>
      <c r="BD228" s="610"/>
      <c r="BF228" s="528"/>
      <c r="BG228" s="593"/>
      <c r="BH228" s="537"/>
      <c r="BI228" s="538"/>
      <c r="BJ228" s="538"/>
      <c r="BK228" s="538"/>
      <c r="BL228" s="538"/>
      <c r="BM228" s="538"/>
      <c r="BN228" s="538"/>
      <c r="BO228" s="538"/>
      <c r="BP228" s="538"/>
      <c r="BQ228" s="537"/>
      <c r="BR228" s="537"/>
      <c r="BS228" s="537"/>
      <c r="BT228" s="537"/>
      <c r="BU228" s="537"/>
      <c r="BV228" s="537"/>
      <c r="BW228" s="537"/>
      <c r="BX228" s="537"/>
      <c r="BY228" s="537"/>
      <c r="BZ228" s="610"/>
      <c r="CA228" s="54"/>
      <c r="CB228" s="54"/>
      <c r="CC228" s="54"/>
      <c r="CD228" s="54"/>
      <c r="CE228" s="54"/>
      <c r="CF228" s="54"/>
      <c r="CG228" s="1772"/>
      <c r="CH228" s="1772"/>
      <c r="CI228" s="1772"/>
      <c r="CJ228" s="54"/>
      <c r="CK228" s="54"/>
      <c r="CL228" s="54"/>
      <c r="CM228" s="36"/>
      <c r="CN228" s="36"/>
      <c r="CO228" s="36"/>
      <c r="CP228" s="36"/>
      <c r="CQ228" s="36"/>
      <c r="CR228" s="36"/>
    </row>
    <row r="229" spans="1:96" s="401" customFormat="1" ht="11.25" customHeight="1">
      <c r="A229" s="36"/>
      <c r="B229"/>
      <c r="C229"/>
      <c r="D229"/>
      <c r="E229"/>
      <c r="F229"/>
      <c r="G229"/>
      <c r="H229" s="5"/>
      <c r="I229" s="624"/>
      <c r="J229" s="543"/>
      <c r="K229" s="543"/>
      <c r="L229" s="543"/>
      <c r="M229" s="575"/>
      <c r="N229" s="575"/>
      <c r="O229" s="575"/>
      <c r="P229" s="575"/>
      <c r="Q229" s="575"/>
      <c r="R229" s="575"/>
      <c r="S229" s="575"/>
      <c r="T229" s="575"/>
      <c r="U229" s="575"/>
      <c r="V229" s="575"/>
      <c r="W229" s="575"/>
      <c r="X229" s="575"/>
      <c r="Y229" s="642"/>
      <c r="Z229" s="545"/>
      <c r="AA229" s="545"/>
      <c r="AB229" s="545"/>
      <c r="AC229" s="628"/>
      <c r="AD229" s="545"/>
      <c r="AE229" s="545"/>
      <c r="AF229" s="545"/>
      <c r="AG229" s="628"/>
      <c r="AH229" s="545"/>
      <c r="AI229" s="545"/>
      <c r="AJ229" s="615"/>
      <c r="AK229" s="545"/>
      <c r="AL229" s="545"/>
      <c r="AM229" s="545"/>
      <c r="AN229" s="615"/>
      <c r="AO229" s="545"/>
      <c r="AP229" s="545"/>
      <c r="AQ229" s="545"/>
      <c r="AR229" s="615"/>
      <c r="AS229" s="628"/>
      <c r="AT229" s="545"/>
      <c r="AU229" s="545"/>
      <c r="AV229" s="615"/>
      <c r="AW229" s="628"/>
      <c r="AX229" s="545"/>
      <c r="AY229" s="545"/>
      <c r="AZ229" s="615"/>
      <c r="BA229" s="628"/>
      <c r="BB229" s="545"/>
      <c r="BC229" s="545"/>
      <c r="BD229" s="615"/>
      <c r="BE229"/>
      <c r="BF229" s="54"/>
      <c r="BG229" s="710"/>
      <c r="BH229" s="544"/>
      <c r="BI229" s="544"/>
      <c r="BJ229" s="544"/>
      <c r="BK229" s="544"/>
      <c r="BL229" s="544"/>
      <c r="BM229" s="544"/>
      <c r="BN229" s="544"/>
      <c r="BO229" s="545"/>
      <c r="BP229" s="545"/>
      <c r="BQ229" s="545"/>
      <c r="BR229" s="545"/>
      <c r="BS229" s="545"/>
      <c r="BT229" s="545"/>
      <c r="BU229" s="575"/>
      <c r="BV229" s="575"/>
      <c r="BW229" s="575"/>
      <c r="BX229" s="575"/>
      <c r="BY229" s="575"/>
      <c r="BZ229" s="1670"/>
      <c r="CA229" s="54"/>
      <c r="CB229" s="54"/>
      <c r="CC229" s="54"/>
      <c r="CD229" s="54"/>
      <c r="CE229" s="54"/>
      <c r="CF229" s="54"/>
      <c r="CG229" s="1772"/>
      <c r="CH229" s="1772"/>
      <c r="CI229" s="1772"/>
      <c r="CJ229" s="54"/>
      <c r="CK229" s="54"/>
      <c r="CL229" s="54"/>
      <c r="CM229" s="54"/>
      <c r="CN229" s="54"/>
      <c r="CO229" s="54"/>
      <c r="CP229" s="54"/>
      <c r="CQ229" s="54"/>
      <c r="CR229" s="54"/>
    </row>
    <row r="230" spans="1:96" s="401" customFormat="1" ht="11.25" customHeight="1">
      <c r="A230" s="36"/>
      <c r="B230"/>
      <c r="C230"/>
      <c r="D230"/>
      <c r="E230"/>
      <c r="F230"/>
      <c r="G230"/>
      <c r="H230" s="5"/>
      <c r="I230" s="450" t="s">
        <v>48</v>
      </c>
      <c r="J230" s="5"/>
      <c r="K230" s="5"/>
      <c r="L230" s="5"/>
      <c r="M230" s="327"/>
      <c r="N230" s="327"/>
      <c r="O230" s="589">
        <f>24.534-N230-M230</f>
        <v>24.533999999999999</v>
      </c>
      <c r="P230" s="589">
        <f>0.439+25-0.806-O230-N230-M230</f>
        <v>9.9000000000000199E-2</v>
      </c>
      <c r="Q230" s="589">
        <v>0.161</v>
      </c>
      <c r="R230" s="589">
        <f>0.396-Q230</f>
        <v>0.23500000000000001</v>
      </c>
      <c r="S230" s="589">
        <f>1.025-R230-Q230</f>
        <v>0.62899999999999989</v>
      </c>
      <c r="T230" s="589">
        <f>BL230-SUM(Q230:S230)</f>
        <v>1.0129999999999999</v>
      </c>
      <c r="U230" s="589">
        <f>0.511+113.407</f>
        <v>113.91799999999999</v>
      </c>
      <c r="V230" s="589">
        <f>0.762+112.257-U230</f>
        <v>-0.8989999999999867</v>
      </c>
      <c r="W230" s="589">
        <f>2.824+112.257-V230-U230</f>
        <v>2.0619999999999976</v>
      </c>
      <c r="X230" s="589">
        <f>114.006+3.675-W230-V230-U230</f>
        <v>2.5999999999999943</v>
      </c>
      <c r="Y230" s="643">
        <v>1.657</v>
      </c>
      <c r="Z230" s="589">
        <f>4.604-Y230</f>
        <v>2.9470000000000001</v>
      </c>
      <c r="AA230" s="589">
        <f>9.702-Z230-Y230</f>
        <v>5.0979999999999999</v>
      </c>
      <c r="AB230" s="588">
        <f>276.527-AA230-Z230-Y230+13.554+1.96+0.353</f>
        <v>282.69199999999995</v>
      </c>
      <c r="AC230" s="1611">
        <v>6.7350000000000003</v>
      </c>
      <c r="AD230" s="589">
        <f>10.841-AC230</f>
        <v>4.105999999999999</v>
      </c>
      <c r="AE230" s="589">
        <f>17.316-AD230-AC230</f>
        <v>6.4750000000000005</v>
      </c>
      <c r="AF230" s="589">
        <f>20.164+8.869+1.834-AE230-AD230-AC230</f>
        <v>13.551000000000002</v>
      </c>
      <c r="AG230" s="1611">
        <v>3.3980000000000001</v>
      </c>
      <c r="AH230" s="1748">
        <f>8.534-AG230</f>
        <v>5.136000000000001</v>
      </c>
      <c r="AI230" s="588">
        <f>9.889-AH230-AG230</f>
        <v>1.3549999999999982</v>
      </c>
      <c r="AJ230" s="2632">
        <v>17.860000000000003</v>
      </c>
      <c r="AK230" s="2633">
        <v>1.0449999999999999</v>
      </c>
      <c r="AL230" s="2633">
        <v>6.8100000000000005</v>
      </c>
      <c r="AM230" s="2633">
        <v>10.199999999999999</v>
      </c>
      <c r="AN230" s="2632">
        <v>11.466999999999999</v>
      </c>
      <c r="AO230" s="2633">
        <v>3.2869999999999999</v>
      </c>
      <c r="AP230" s="2633">
        <v>16.067</v>
      </c>
      <c r="AQ230" s="2633">
        <v>10.202000000000002</v>
      </c>
      <c r="AR230" s="2632">
        <v>11.361000000000001</v>
      </c>
      <c r="AS230" s="630">
        <v>0</v>
      </c>
      <c r="AT230" s="587">
        <v>0</v>
      </c>
      <c r="AU230" s="587">
        <v>0</v>
      </c>
      <c r="AV230" s="617">
        <v>0</v>
      </c>
      <c r="AW230" s="630">
        <v>0</v>
      </c>
      <c r="AX230" s="587">
        <v>0</v>
      </c>
      <c r="AY230" s="587">
        <v>0</v>
      </c>
      <c r="AZ230" s="617">
        <v>0</v>
      </c>
      <c r="BA230" s="630">
        <v>0</v>
      </c>
      <c r="BB230" s="587">
        <v>0</v>
      </c>
      <c r="BC230" s="587">
        <v>0</v>
      </c>
      <c r="BD230" s="617">
        <v>0</v>
      </c>
      <c r="BE230"/>
      <c r="BF230" s="84"/>
      <c r="BG230" s="596"/>
      <c r="BH230" s="249"/>
      <c r="BI230" s="67">
        <v>8.0000000000000002E-3</v>
      </c>
      <c r="BJ230" s="67">
        <v>4.5999999999999999E-2</v>
      </c>
      <c r="BK230" s="67">
        <f>SUM(M230:P230)</f>
        <v>24.632999999999999</v>
      </c>
      <c r="BL230" s="67">
        <v>2.0379999999999998</v>
      </c>
      <c r="BM230" s="67">
        <f>SUM(U230:X230)</f>
        <v>117.681</v>
      </c>
      <c r="BN230" s="67">
        <f>SUM(Y230:AB230)</f>
        <v>292.39399999999995</v>
      </c>
      <c r="BO230" s="67">
        <f>SUM(AC230:AF230)</f>
        <v>30.867000000000001</v>
      </c>
      <c r="BP230" s="67">
        <f>SUM(AG230:AJ230)</f>
        <v>27.749000000000002</v>
      </c>
      <c r="BQ230" s="110">
        <f>SUM(AK230:AN230)</f>
        <v>29.521999999999998</v>
      </c>
      <c r="BR230" s="329">
        <f>SUM(AO230:AR230)</f>
        <v>40.917000000000002</v>
      </c>
      <c r="BS230" s="329">
        <f>SUM(AS230:AV230)</f>
        <v>0</v>
      </c>
      <c r="BT230" s="1095">
        <f>SUM(AW230:AZ230)</f>
        <v>0</v>
      </c>
      <c r="BU230" s="1095">
        <f>SUM(BA230:BD230)</f>
        <v>0</v>
      </c>
      <c r="BV230" s="587">
        <v>0</v>
      </c>
      <c r="BW230" s="587">
        <v>0</v>
      </c>
      <c r="BX230" s="587">
        <v>0</v>
      </c>
      <c r="BY230" s="587">
        <v>0</v>
      </c>
      <c r="BZ230" s="617">
        <v>0</v>
      </c>
      <c r="CA230" s="54"/>
      <c r="CB230" s="54"/>
      <c r="CC230" s="54"/>
      <c r="CD230" s="54"/>
      <c r="CE230" s="54"/>
      <c r="CF230" s="54"/>
      <c r="CG230" s="1772"/>
      <c r="CH230" s="1772"/>
      <c r="CI230" s="1772"/>
      <c r="CJ230" s="54"/>
      <c r="CK230" s="54"/>
      <c r="CL230" s="54"/>
      <c r="CM230" s="54"/>
      <c r="CN230" s="54"/>
      <c r="CO230" s="54"/>
      <c r="CP230" s="54"/>
      <c r="CQ230" s="54"/>
      <c r="CR230" s="54"/>
    </row>
    <row r="231" spans="1:96" s="401" customFormat="1" ht="11.25" customHeight="1">
      <c r="A231" s="36"/>
      <c r="B231"/>
      <c r="C231"/>
      <c r="D231"/>
      <c r="E231"/>
      <c r="F231"/>
      <c r="G231"/>
      <c r="H231" s="5"/>
      <c r="I231" s="450" t="s">
        <v>249</v>
      </c>
      <c r="J231" s="5"/>
      <c r="K231" s="5"/>
      <c r="L231" s="5"/>
      <c r="M231" s="327"/>
      <c r="N231" s="327"/>
      <c r="O231" s="589">
        <f>0-N231-M231</f>
        <v>0</v>
      </c>
      <c r="P231" s="589">
        <f>0-O231-N231-M231</f>
        <v>0</v>
      </c>
      <c r="Q231" s="589">
        <v>0</v>
      </c>
      <c r="R231" s="589">
        <f>0-Q231</f>
        <v>0</v>
      </c>
      <c r="S231" s="589">
        <f>0-R231-Q231</f>
        <v>0</v>
      </c>
      <c r="T231" s="589">
        <f>BL231-SUM(Q231:S231)</f>
        <v>0</v>
      </c>
      <c r="U231" s="589">
        <v>0</v>
      </c>
      <c r="V231" s="589">
        <f>0-U231</f>
        <v>0</v>
      </c>
      <c r="W231" s="589">
        <f>0-V231-U231</f>
        <v>0</v>
      </c>
      <c r="X231" s="589">
        <v>0</v>
      </c>
      <c r="Y231" s="643">
        <v>0</v>
      </c>
      <c r="Z231" s="589">
        <v>0</v>
      </c>
      <c r="AA231" s="589">
        <f>0-Z231-Y231</f>
        <v>0</v>
      </c>
      <c r="AB231" s="588">
        <v>0</v>
      </c>
      <c r="AC231" s="1611">
        <v>3.9E-2</v>
      </c>
      <c r="AD231" s="589">
        <f>4.087+0.46-AC231</f>
        <v>4.508</v>
      </c>
      <c r="AE231" s="589">
        <f>4.087+0.899-AD231-AC231</f>
        <v>0.43899999999999978</v>
      </c>
      <c r="AF231" s="589">
        <f>0-AE231-AD231-AC231</f>
        <v>-4.9859999999999998</v>
      </c>
      <c r="AG231" s="1611">
        <v>0.81499999999999995</v>
      </c>
      <c r="AH231" s="1748">
        <f>5.061+3.952-AG231</f>
        <v>8.1980000000000004</v>
      </c>
      <c r="AI231" s="588">
        <f>5.061-AH231-AG231</f>
        <v>-3.9520000000000004</v>
      </c>
      <c r="AJ231" s="2632">
        <v>-5.0609999999999999</v>
      </c>
      <c r="AK231" s="2633">
        <v>0</v>
      </c>
      <c r="AL231" s="2633">
        <v>0</v>
      </c>
      <c r="AM231" s="2633">
        <v>0</v>
      </c>
      <c r="AN231" s="2632">
        <v>0</v>
      </c>
      <c r="AO231" s="2633">
        <v>0</v>
      </c>
      <c r="AP231" s="2633">
        <v>0</v>
      </c>
      <c r="AQ231" s="2633">
        <v>0</v>
      </c>
      <c r="AR231" s="2632">
        <v>-1.1990000000000001</v>
      </c>
      <c r="AS231" s="630">
        <v>0</v>
      </c>
      <c r="AT231" s="587">
        <v>0</v>
      </c>
      <c r="AU231" s="587">
        <v>0</v>
      </c>
      <c r="AV231" s="617">
        <v>0</v>
      </c>
      <c r="AW231" s="630">
        <v>0</v>
      </c>
      <c r="AX231" s="587">
        <v>0</v>
      </c>
      <c r="AY231" s="587">
        <v>0</v>
      </c>
      <c r="AZ231" s="617">
        <v>0</v>
      </c>
      <c r="BA231" s="630">
        <v>0</v>
      </c>
      <c r="BB231" s="587">
        <v>0</v>
      </c>
      <c r="BC231" s="587">
        <v>0</v>
      </c>
      <c r="BD231" s="617">
        <v>0</v>
      </c>
      <c r="BE231"/>
      <c r="BF231" s="84"/>
      <c r="BG231" s="596"/>
      <c r="BH231" s="249"/>
      <c r="BI231" s="67">
        <v>9.9000000000000005E-2</v>
      </c>
      <c r="BJ231" s="67">
        <v>2.7E-2</v>
      </c>
      <c r="BK231" s="67">
        <f>SUM(M231:P231)</f>
        <v>0</v>
      </c>
      <c r="BL231" s="67">
        <v>0</v>
      </c>
      <c r="BM231" s="67">
        <f>SUM(U231:X231)</f>
        <v>0</v>
      </c>
      <c r="BN231" s="67">
        <f>SUM(Y231:AB231)</f>
        <v>0</v>
      </c>
      <c r="BO231" s="67">
        <f>SUM(AC231:AF231)</f>
        <v>0</v>
      </c>
      <c r="BP231" s="67">
        <f>SUM(AG231:AJ231)</f>
        <v>0</v>
      </c>
      <c r="BQ231" s="110">
        <f>SUM(AK231:AN231)</f>
        <v>0</v>
      </c>
      <c r="BR231" s="329">
        <f>SUM(AO231:AR231)</f>
        <v>-1.1990000000000001</v>
      </c>
      <c r="BS231" s="329">
        <f>SUM(AS231:AV231)</f>
        <v>0</v>
      </c>
      <c r="BT231" s="1095">
        <f>SUM(AW231:AZ231)</f>
        <v>0</v>
      </c>
      <c r="BU231" s="1095">
        <f>SUM(BA231:BD231)</f>
        <v>0</v>
      </c>
      <c r="BV231" s="587">
        <v>0</v>
      </c>
      <c r="BW231" s="587">
        <v>0</v>
      </c>
      <c r="BX231" s="587">
        <v>0</v>
      </c>
      <c r="BY231" s="587">
        <v>0</v>
      </c>
      <c r="BZ231" s="617">
        <v>0</v>
      </c>
      <c r="CA231" s="54"/>
      <c r="CB231" s="54"/>
      <c r="CC231" s="54"/>
      <c r="CD231" s="54"/>
      <c r="CE231" s="54"/>
      <c r="CF231" s="54"/>
      <c r="CG231" s="1772"/>
      <c r="CH231" s="1772"/>
      <c r="CI231" s="1772"/>
      <c r="CJ231" s="54"/>
      <c r="CK231" s="54"/>
      <c r="CL231" s="54"/>
      <c r="CM231" s="54"/>
      <c r="CN231" s="54"/>
      <c r="CO231" s="54"/>
      <c r="CP231" s="54"/>
      <c r="CQ231" s="54"/>
      <c r="CR231" s="54"/>
    </row>
    <row r="232" spans="1:96" s="401" customFormat="1" ht="11.25" customHeight="1">
      <c r="A232" s="36"/>
      <c r="B232"/>
      <c r="C232"/>
      <c r="D232"/>
      <c r="E232"/>
      <c r="F232"/>
      <c r="G232"/>
      <c r="H232" s="5"/>
      <c r="I232" s="450" t="s">
        <v>250</v>
      </c>
      <c r="J232" s="5"/>
      <c r="K232" s="5"/>
      <c r="L232" s="5"/>
      <c r="M232" s="327"/>
      <c r="N232" s="327"/>
      <c r="O232" s="589">
        <f>0-N232-M232</f>
        <v>0</v>
      </c>
      <c r="P232" s="589">
        <f>0-O232-N232-M232</f>
        <v>0</v>
      </c>
      <c r="Q232" s="589">
        <v>0</v>
      </c>
      <c r="R232" s="589">
        <f>0-Q232</f>
        <v>0</v>
      </c>
      <c r="S232" s="589">
        <f>0-R232-Q232</f>
        <v>0</v>
      </c>
      <c r="T232" s="589">
        <f>BL232-SUM(Q232:S232)</f>
        <v>0</v>
      </c>
      <c r="U232" s="589">
        <v>0</v>
      </c>
      <c r="V232" s="589">
        <f>0-U232</f>
        <v>0</v>
      </c>
      <c r="W232" s="589">
        <f>0-V232-U232</f>
        <v>0</v>
      </c>
      <c r="X232" s="589">
        <v>0</v>
      </c>
      <c r="Y232" s="643">
        <v>0</v>
      </c>
      <c r="Z232" s="589">
        <f>-0.193-Y232</f>
        <v>-0.193</v>
      </c>
      <c r="AA232" s="589">
        <f>-0.368-Z232-Y232</f>
        <v>-0.17499999999999999</v>
      </c>
      <c r="AB232" s="588">
        <f>-0.674-AA232-Z232-Y232</f>
        <v>-0.30600000000000005</v>
      </c>
      <c r="AC232" s="1611">
        <v>-0.36099999999999999</v>
      </c>
      <c r="AD232" s="589">
        <f>-0.642-AC232</f>
        <v>-0.28100000000000003</v>
      </c>
      <c r="AE232" s="589">
        <f>-1.035-AD232-AC232</f>
        <v>-0.3929999999999999</v>
      </c>
      <c r="AF232" s="589">
        <f>-1.318-AE232-AD232-AC232</f>
        <v>-0.28300000000000014</v>
      </c>
      <c r="AG232" s="1611">
        <v>-0.16800000000000001</v>
      </c>
      <c r="AH232" s="1748">
        <f>-0.396-AG232</f>
        <v>-0.22800000000000001</v>
      </c>
      <c r="AI232" s="588">
        <f>4.298-AH232-AG232</f>
        <v>4.694</v>
      </c>
      <c r="AJ232" s="2632">
        <v>-4.78</v>
      </c>
      <c r="AK232" s="2633">
        <v>0</v>
      </c>
      <c r="AL232" s="2633">
        <v>0</v>
      </c>
      <c r="AM232" s="2633">
        <v>0</v>
      </c>
      <c r="AN232" s="2632">
        <v>0</v>
      </c>
      <c r="AO232" s="2633">
        <v>0</v>
      </c>
      <c r="AP232" s="2633">
        <v>0</v>
      </c>
      <c r="AQ232" s="2633">
        <v>-7.7430000000000003</v>
      </c>
      <c r="AR232" s="2632">
        <v>-4.8129999999999988</v>
      </c>
      <c r="AS232" s="630">
        <v>0</v>
      </c>
      <c r="AT232" s="587">
        <v>0</v>
      </c>
      <c r="AU232" s="587">
        <v>0</v>
      </c>
      <c r="AV232" s="617">
        <v>0</v>
      </c>
      <c r="AW232" s="630">
        <v>0</v>
      </c>
      <c r="AX232" s="587">
        <v>0</v>
      </c>
      <c r="AY232" s="587">
        <v>0</v>
      </c>
      <c r="AZ232" s="617">
        <v>0</v>
      </c>
      <c r="BA232" s="630">
        <v>0</v>
      </c>
      <c r="BB232" s="587">
        <v>0</v>
      </c>
      <c r="BC232" s="587">
        <v>0</v>
      </c>
      <c r="BD232" s="617">
        <v>0</v>
      </c>
      <c r="BE232"/>
      <c r="BF232" s="84"/>
      <c r="BG232" s="596"/>
      <c r="BH232" s="249"/>
      <c r="BI232" s="67">
        <v>14.916</v>
      </c>
      <c r="BJ232" s="67">
        <v>-1E-3</v>
      </c>
      <c r="BK232" s="67">
        <f>SUM(M232:P232)</f>
        <v>0</v>
      </c>
      <c r="BL232" s="67">
        <v>0</v>
      </c>
      <c r="BM232" s="67">
        <f>SUM(U232:X232)</f>
        <v>0</v>
      </c>
      <c r="BN232" s="67">
        <f>SUM(Y232:AB232)</f>
        <v>-0.67400000000000004</v>
      </c>
      <c r="BO232" s="67">
        <f>SUM(AC232:AF232)</f>
        <v>-1.3180000000000001</v>
      </c>
      <c r="BP232" s="67">
        <f>SUM(AG232:AJ232)</f>
        <v>-0.48200000000000021</v>
      </c>
      <c r="BQ232" s="110">
        <f>SUM(AK232:AN232)</f>
        <v>0</v>
      </c>
      <c r="BR232" s="329">
        <f>SUM(AO232:AR232)</f>
        <v>-12.555999999999999</v>
      </c>
      <c r="BS232" s="329">
        <f>SUM(AS232:AV232)</f>
        <v>0</v>
      </c>
      <c r="BT232" s="1095">
        <f>SUM(AW232:AZ232)</f>
        <v>0</v>
      </c>
      <c r="BU232" s="1095">
        <f>SUM(BA232:BD232)</f>
        <v>0</v>
      </c>
      <c r="BV232" s="587">
        <v>0</v>
      </c>
      <c r="BW232" s="587">
        <v>0</v>
      </c>
      <c r="BX232" s="587">
        <v>0</v>
      </c>
      <c r="BY232" s="587">
        <v>0</v>
      </c>
      <c r="BZ232" s="617">
        <v>0</v>
      </c>
      <c r="CA232" s="54"/>
      <c r="CB232" s="54"/>
      <c r="CC232" s="54"/>
      <c r="CD232" s="54"/>
      <c r="CE232" s="54"/>
      <c r="CF232" s="54"/>
      <c r="CG232" s="1772"/>
      <c r="CH232" s="1772"/>
      <c r="CI232" s="1772"/>
      <c r="CJ232" s="54"/>
      <c r="CK232" s="54"/>
      <c r="CL232" s="54"/>
      <c r="CM232" s="54"/>
      <c r="CN232" s="54"/>
      <c r="CO232" s="54"/>
      <c r="CP232" s="54"/>
      <c r="CQ232" s="54"/>
      <c r="CR232" s="54"/>
    </row>
    <row r="233" spans="1:96" s="401" customFormat="1" ht="11.25" customHeight="1">
      <c r="A233" s="36"/>
      <c r="B233"/>
      <c r="C233"/>
      <c r="D233"/>
      <c r="E233"/>
      <c r="F233"/>
      <c r="G233"/>
      <c r="H233" s="5"/>
      <c r="I233" s="450" t="s">
        <v>259</v>
      </c>
      <c r="J233" s="5"/>
      <c r="K233" s="5"/>
      <c r="L233" s="5"/>
      <c r="M233" s="327"/>
      <c r="N233" s="327"/>
      <c r="O233" s="589">
        <f>0-N233-M233</f>
        <v>0</v>
      </c>
      <c r="P233" s="589">
        <f>0-O233-N233-M233</f>
        <v>0</v>
      </c>
      <c r="Q233" s="589">
        <v>0</v>
      </c>
      <c r="R233" s="589">
        <f>0-Q233</f>
        <v>0</v>
      </c>
      <c r="S233" s="589">
        <f>0-R233-Q233</f>
        <v>0</v>
      </c>
      <c r="T233" s="589">
        <f>BL233-SUM(Q233:S233)</f>
        <v>-0.45600000000000002</v>
      </c>
      <c r="U233" s="589">
        <v>0</v>
      </c>
      <c r="V233" s="589">
        <f>0-U233</f>
        <v>0</v>
      </c>
      <c r="W233" s="589">
        <f>0-V233-U233</f>
        <v>0</v>
      </c>
      <c r="X233" s="589">
        <f>-1.749-1.308-W233-V233-U233</f>
        <v>-3.0570000000000004</v>
      </c>
      <c r="Y233" s="643">
        <v>0</v>
      </c>
      <c r="Z233" s="589">
        <v>0</v>
      </c>
      <c r="AA233" s="589">
        <f>0-Z233-Y233</f>
        <v>0</v>
      </c>
      <c r="AB233" s="588">
        <v>0</v>
      </c>
      <c r="AC233" s="1611">
        <v>0</v>
      </c>
      <c r="AD233" s="589">
        <f>0-AC233</f>
        <v>0</v>
      </c>
      <c r="AE233" s="589">
        <f>0-AD233-AC233</f>
        <v>0</v>
      </c>
      <c r="AF233" s="589">
        <f>0-AE233-AD233-AC233</f>
        <v>0</v>
      </c>
      <c r="AG233" s="1611">
        <v>0</v>
      </c>
      <c r="AH233" s="1748">
        <v>0</v>
      </c>
      <c r="AI233" s="588">
        <f>-0.482-AH233-AG233</f>
        <v>-0.48199999999999998</v>
      </c>
      <c r="AJ233" s="2632">
        <v>-0.34299999999999997</v>
      </c>
      <c r="AK233" s="2633">
        <v>0</v>
      </c>
      <c r="AL233" s="2633">
        <v>0</v>
      </c>
      <c r="AM233" s="2633">
        <v>0</v>
      </c>
      <c r="AN233" s="2632">
        <v>0</v>
      </c>
      <c r="AO233" s="2633">
        <v>0</v>
      </c>
      <c r="AP233" s="2633">
        <v>0</v>
      </c>
      <c r="AQ233" s="2633">
        <v>0</v>
      </c>
      <c r="AR233" s="2632">
        <v>0</v>
      </c>
      <c r="AS233" s="630">
        <v>0</v>
      </c>
      <c r="AT233" s="587">
        <v>0</v>
      </c>
      <c r="AU233" s="587">
        <v>0</v>
      </c>
      <c r="AV233" s="617">
        <v>0</v>
      </c>
      <c r="AW233" s="630">
        <v>0</v>
      </c>
      <c r="AX233" s="587">
        <v>0</v>
      </c>
      <c r="AY233" s="587">
        <v>0</v>
      </c>
      <c r="AZ233" s="617">
        <v>0</v>
      </c>
      <c r="BA233" s="630">
        <v>0</v>
      </c>
      <c r="BB233" s="587">
        <v>0</v>
      </c>
      <c r="BC233" s="587">
        <v>0</v>
      </c>
      <c r="BD233" s="617">
        <v>0</v>
      </c>
      <c r="BE233"/>
      <c r="BF233" s="84"/>
      <c r="BG233" s="596"/>
      <c r="BH233" s="249"/>
      <c r="BI233" s="67">
        <v>0</v>
      </c>
      <c r="BJ233" s="67">
        <v>0</v>
      </c>
      <c r="BK233" s="67">
        <f>SUM(M233:P233)</f>
        <v>0</v>
      </c>
      <c r="BL233" s="67">
        <v>-0.45600000000000002</v>
      </c>
      <c r="BM233" s="67">
        <f>SUM(U233:X233)</f>
        <v>-3.0570000000000004</v>
      </c>
      <c r="BN233" s="67">
        <f>SUM(Y233:AB233)</f>
        <v>0</v>
      </c>
      <c r="BO233" s="67">
        <f>SUM(AC233:AF233)</f>
        <v>0</v>
      </c>
      <c r="BP233" s="67">
        <f>SUM(AG233:AJ233)</f>
        <v>-0.82499999999999996</v>
      </c>
      <c r="BQ233" s="110">
        <f>SUM(AK233:AN233)</f>
        <v>0</v>
      </c>
      <c r="BR233" s="329">
        <f>SUM(AO233:AR233)</f>
        <v>0</v>
      </c>
      <c r="BS233" s="329">
        <f>SUM(AS233:AV233)</f>
        <v>0</v>
      </c>
      <c r="BT233" s="1095">
        <f>SUM(AW233:AZ233)</f>
        <v>0</v>
      </c>
      <c r="BU233" s="1095">
        <f>SUM(BA233:BD233)</f>
        <v>0</v>
      </c>
      <c r="BV233" s="587">
        <v>0</v>
      </c>
      <c r="BW233" s="587">
        <v>0</v>
      </c>
      <c r="BX233" s="587">
        <v>0</v>
      </c>
      <c r="BY233" s="587">
        <v>0</v>
      </c>
      <c r="BZ233" s="617">
        <v>0</v>
      </c>
      <c r="CA233" s="54"/>
      <c r="CB233" s="54"/>
      <c r="CC233" s="54"/>
      <c r="CD233" s="54"/>
      <c r="CE233" s="54"/>
      <c r="CF233" s="54"/>
      <c r="CG233" s="1772"/>
      <c r="CH233" s="1772"/>
      <c r="CI233" s="1772"/>
      <c r="CJ233" s="54"/>
      <c r="CK233" s="54"/>
      <c r="CL233" s="54"/>
      <c r="CM233" s="54"/>
      <c r="CN233" s="54"/>
      <c r="CO233" s="54"/>
      <c r="CP233" s="54"/>
      <c r="CQ233" s="54"/>
      <c r="CR233" s="54"/>
    </row>
    <row r="234" spans="1:96" s="401" customFormat="1" ht="11.25" customHeight="1">
      <c r="A234" s="36"/>
      <c r="B234"/>
      <c r="C234"/>
      <c r="D234"/>
      <c r="E234"/>
      <c r="F234"/>
      <c r="G234"/>
      <c r="H234" s="54"/>
      <c r="I234" s="622" t="s">
        <v>95</v>
      </c>
      <c r="J234" s="50"/>
      <c r="K234" s="50"/>
      <c r="L234" s="50"/>
      <c r="M234" s="76">
        <f t="shared" ref="M234:AE234" si="459">+SUM(M230:M233)</f>
        <v>0</v>
      </c>
      <c r="N234" s="76">
        <f t="shared" si="459"/>
        <v>0</v>
      </c>
      <c r="O234" s="76">
        <f t="shared" si="459"/>
        <v>24.533999999999999</v>
      </c>
      <c r="P234" s="76">
        <f t="shared" si="459"/>
        <v>9.9000000000000199E-2</v>
      </c>
      <c r="Q234" s="76">
        <f t="shared" si="459"/>
        <v>0.161</v>
      </c>
      <c r="R234" s="76">
        <f t="shared" si="459"/>
        <v>0.23500000000000001</v>
      </c>
      <c r="S234" s="76">
        <f t="shared" si="459"/>
        <v>0.62899999999999989</v>
      </c>
      <c r="T234" s="76">
        <f t="shared" si="459"/>
        <v>0.55699999999999994</v>
      </c>
      <c r="U234" s="76">
        <f t="shared" si="459"/>
        <v>113.91799999999999</v>
      </c>
      <c r="V234" s="76">
        <f t="shared" si="459"/>
        <v>-0.8989999999999867</v>
      </c>
      <c r="W234" s="76">
        <f t="shared" si="459"/>
        <v>2.0619999999999976</v>
      </c>
      <c r="X234" s="76">
        <f t="shared" si="459"/>
        <v>-0.45700000000000607</v>
      </c>
      <c r="Y234" s="640">
        <f t="shared" si="459"/>
        <v>1.657</v>
      </c>
      <c r="Z234" s="76">
        <f t="shared" si="459"/>
        <v>2.754</v>
      </c>
      <c r="AA234" s="76">
        <f t="shared" si="459"/>
        <v>4.923</v>
      </c>
      <c r="AB234" s="76">
        <f t="shared" si="459"/>
        <v>282.38599999999997</v>
      </c>
      <c r="AC234" s="627">
        <f>+SUM(AC230:AC233)</f>
        <v>6.4130000000000003</v>
      </c>
      <c r="AD234" s="76">
        <f t="shared" si="459"/>
        <v>8.3329999999999984</v>
      </c>
      <c r="AE234" s="76">
        <f t="shared" si="459"/>
        <v>6.5210000000000008</v>
      </c>
      <c r="AF234" s="76">
        <f t="shared" ref="AF234:AN234" si="460">+SUM(AF230:AF233)</f>
        <v>8.2820000000000018</v>
      </c>
      <c r="AG234" s="627">
        <f t="shared" si="460"/>
        <v>4.0449999999999999</v>
      </c>
      <c r="AH234" s="76">
        <f t="shared" si="460"/>
        <v>13.106000000000002</v>
      </c>
      <c r="AI234" s="76">
        <f t="shared" si="460"/>
        <v>1.6149999999999978</v>
      </c>
      <c r="AJ234" s="614">
        <f t="shared" si="460"/>
        <v>7.6760000000000019</v>
      </c>
      <c r="AK234" s="76">
        <f t="shared" si="460"/>
        <v>1.0449999999999999</v>
      </c>
      <c r="AL234" s="76">
        <f t="shared" si="460"/>
        <v>6.8100000000000005</v>
      </c>
      <c r="AM234" s="76">
        <f t="shared" si="460"/>
        <v>10.199999999999999</v>
      </c>
      <c r="AN234" s="614">
        <f t="shared" si="460"/>
        <v>11.466999999999999</v>
      </c>
      <c r="AO234" s="76">
        <f>+SUM(AO230:AO233)</f>
        <v>3.2869999999999999</v>
      </c>
      <c r="AP234" s="76">
        <f>+SUM(AP230:AP233)</f>
        <v>16.067</v>
      </c>
      <c r="AQ234" s="76">
        <f>+SUM(AQ230:AQ233)</f>
        <v>2.4590000000000014</v>
      </c>
      <c r="AR234" s="614">
        <f t="shared" ref="AR234" si="461">+SUM(AR230:AR233)</f>
        <v>5.349000000000002</v>
      </c>
      <c r="AS234" s="627">
        <f t="shared" ref="AS234:AV234" si="462">+SUM(AS230:AS233)</f>
        <v>0</v>
      </c>
      <c r="AT234" s="76">
        <f t="shared" si="462"/>
        <v>0</v>
      </c>
      <c r="AU234" s="76">
        <f t="shared" si="462"/>
        <v>0</v>
      </c>
      <c r="AV234" s="614">
        <f t="shared" si="462"/>
        <v>0</v>
      </c>
      <c r="AW234" s="627">
        <f t="shared" ref="AW234:BD234" si="463">+SUM(AW230:AW233)</f>
        <v>0</v>
      </c>
      <c r="AX234" s="76">
        <f t="shared" si="463"/>
        <v>0</v>
      </c>
      <c r="AY234" s="76">
        <f t="shared" si="463"/>
        <v>0</v>
      </c>
      <c r="AZ234" s="614">
        <f t="shared" si="463"/>
        <v>0</v>
      </c>
      <c r="BA234" s="627">
        <f t="shared" si="463"/>
        <v>0</v>
      </c>
      <c r="BB234" s="76">
        <f t="shared" si="463"/>
        <v>0</v>
      </c>
      <c r="BC234" s="76">
        <f t="shared" si="463"/>
        <v>0</v>
      </c>
      <c r="BD234" s="614">
        <f t="shared" si="463"/>
        <v>0</v>
      </c>
      <c r="BE234"/>
      <c r="BF234" s="54"/>
      <c r="BG234" s="640"/>
      <c r="BH234" s="76"/>
      <c r="BI234" s="402">
        <f t="shared" ref="BI234:BU234" si="464">+SUM(BI230:BI233)</f>
        <v>15.023</v>
      </c>
      <c r="BJ234" s="402">
        <f t="shared" si="464"/>
        <v>7.1999999999999995E-2</v>
      </c>
      <c r="BK234" s="402">
        <f t="shared" si="464"/>
        <v>24.632999999999999</v>
      </c>
      <c r="BL234" s="402">
        <f t="shared" si="464"/>
        <v>1.5819999999999999</v>
      </c>
      <c r="BM234" s="402">
        <f t="shared" si="464"/>
        <v>114.624</v>
      </c>
      <c r="BN234" s="402">
        <f t="shared" si="464"/>
        <v>291.71999999999997</v>
      </c>
      <c r="BO234" s="402">
        <f t="shared" si="464"/>
        <v>29.548999999999999</v>
      </c>
      <c r="BP234" s="1796">
        <f t="shared" si="464"/>
        <v>26.442000000000004</v>
      </c>
      <c r="BQ234" s="402">
        <f t="shared" si="464"/>
        <v>29.521999999999998</v>
      </c>
      <c r="BR234" s="402">
        <f t="shared" si="464"/>
        <v>27.162000000000006</v>
      </c>
      <c r="BS234" s="402">
        <f t="shared" si="464"/>
        <v>0</v>
      </c>
      <c r="BT234" s="402">
        <f t="shared" si="464"/>
        <v>0</v>
      </c>
      <c r="BU234" s="402">
        <f t="shared" si="464"/>
        <v>0</v>
      </c>
      <c r="BV234" s="402">
        <f>+SUM(BV230:BV233)</f>
        <v>0</v>
      </c>
      <c r="BW234" s="402">
        <f>+SUM(BW230:BW233)</f>
        <v>0</v>
      </c>
      <c r="BX234" s="402">
        <f>+SUM(BX230:BX233)</f>
        <v>0</v>
      </c>
      <c r="BY234" s="402">
        <f>+SUM(BY230:BY233)</f>
        <v>0</v>
      </c>
      <c r="BZ234" s="897">
        <f>+SUM(BZ230:BZ233)</f>
        <v>0</v>
      </c>
      <c r="CA234" s="54"/>
      <c r="CB234" s="54"/>
      <c r="CC234" s="54"/>
      <c r="CD234" s="54"/>
      <c r="CE234" s="54"/>
      <c r="CF234" s="54"/>
      <c r="CG234" s="1772"/>
      <c r="CH234" s="1772"/>
      <c r="CI234" s="1772"/>
      <c r="CJ234" s="54"/>
      <c r="CK234" s="54"/>
      <c r="CL234" s="54"/>
      <c r="CM234" s="54"/>
      <c r="CN234" s="54"/>
      <c r="CO234" s="54"/>
      <c r="CP234" s="54"/>
      <c r="CQ234" s="54"/>
      <c r="CR234" s="54"/>
    </row>
    <row r="235" spans="1:96" s="401" customFormat="1" ht="11.25" customHeight="1">
      <c r="A235" s="36"/>
      <c r="B235"/>
      <c r="C235"/>
      <c r="D235"/>
      <c r="E235"/>
      <c r="F235"/>
      <c r="G235"/>
      <c r="H235" s="5"/>
      <c r="I235" s="450"/>
      <c r="J235" s="5"/>
      <c r="K235" s="5"/>
      <c r="L235" s="5"/>
      <c r="M235" s="336"/>
      <c r="N235" s="336"/>
      <c r="O235" s="336"/>
      <c r="P235" s="336"/>
      <c r="Q235" s="336"/>
      <c r="R235" s="336"/>
      <c r="S235" s="336"/>
      <c r="T235" s="336"/>
      <c r="U235" s="336"/>
      <c r="V235" s="336"/>
      <c r="W235" s="336"/>
      <c r="X235" s="336"/>
      <c r="Y235" s="641"/>
      <c r="Z235" s="110"/>
      <c r="AA235" s="110"/>
      <c r="AB235" s="605"/>
      <c r="AC235" s="1782"/>
      <c r="AD235" s="110"/>
      <c r="AE235" s="110"/>
      <c r="AF235" s="604"/>
      <c r="AG235" s="505"/>
      <c r="AH235" s="110"/>
      <c r="AI235" s="604"/>
      <c r="AJ235" s="2280"/>
      <c r="AK235" s="604"/>
      <c r="AL235" s="604"/>
      <c r="AM235" s="604"/>
      <c r="AN235" s="469"/>
      <c r="AO235" s="604"/>
      <c r="AP235" s="604"/>
      <c r="AQ235" s="604"/>
      <c r="AR235" s="469"/>
      <c r="AS235" s="505"/>
      <c r="AT235" s="110"/>
      <c r="AU235" s="110"/>
      <c r="AV235" s="469"/>
      <c r="AW235" s="505"/>
      <c r="AX235" s="110"/>
      <c r="AY235" s="110"/>
      <c r="AZ235" s="469"/>
      <c r="BA235" s="505"/>
      <c r="BB235" s="110"/>
      <c r="BC235" s="110"/>
      <c r="BD235" s="469"/>
      <c r="BE235"/>
      <c r="BF235" s="54"/>
      <c r="BG235" s="595"/>
      <c r="BH235" s="67"/>
      <c r="BI235" s="67"/>
      <c r="BJ235" s="67"/>
      <c r="BK235" s="67"/>
      <c r="BL235" s="67"/>
      <c r="BM235" s="67"/>
      <c r="BN235" s="67"/>
      <c r="BO235" s="110"/>
      <c r="BP235" s="110"/>
      <c r="BQ235" s="110"/>
      <c r="BR235" s="110"/>
      <c r="BS235" s="110"/>
      <c r="BT235" s="110"/>
      <c r="BU235" s="336"/>
      <c r="BV235" s="336"/>
      <c r="BW235" s="336"/>
      <c r="BX235" s="336"/>
      <c r="BY235" s="336"/>
      <c r="BZ235" s="613"/>
      <c r="CA235" s="54"/>
      <c r="CB235" s="54"/>
      <c r="CC235" s="54"/>
      <c r="CD235" s="54"/>
      <c r="CE235" s="54"/>
      <c r="CF235" s="54"/>
      <c r="CG235" s="1772"/>
      <c r="CH235" s="1772"/>
      <c r="CI235" s="1772"/>
      <c r="CJ235" s="54"/>
      <c r="CK235" s="54"/>
      <c r="CL235" s="54"/>
      <c r="CM235" s="54"/>
      <c r="CN235" s="54"/>
      <c r="CO235" s="54"/>
      <c r="CP235" s="54"/>
      <c r="CQ235" s="54"/>
      <c r="CR235" s="54"/>
    </row>
    <row r="236" spans="1:96" s="401" customFormat="1" ht="11.25" customHeight="1">
      <c r="A236" s="36"/>
      <c r="B236"/>
      <c r="C236"/>
      <c r="D236"/>
      <c r="E236"/>
      <c r="F236"/>
      <c r="G236"/>
      <c r="H236" s="5"/>
      <c r="I236" s="450" t="s">
        <v>96</v>
      </c>
      <c r="J236" s="5"/>
      <c r="K236" s="5"/>
      <c r="L236" s="5"/>
      <c r="M236" s="327"/>
      <c r="N236" s="327"/>
      <c r="O236" s="589">
        <f>-0.075-N236-M236</f>
        <v>-7.4999999999999997E-2</v>
      </c>
      <c r="P236" s="589">
        <f>-0.022-O236-N236-M236</f>
        <v>5.2999999999999999E-2</v>
      </c>
      <c r="Q236" s="589">
        <v>-0.11600000000000001</v>
      </c>
      <c r="R236" s="589">
        <f>-0.2-Q236</f>
        <v>-8.4000000000000005E-2</v>
      </c>
      <c r="S236" s="589">
        <f>0.058-R236-Q236</f>
        <v>0.25800000000000001</v>
      </c>
      <c r="T236" s="589">
        <f>BL236-SUM(Q236:S236)</f>
        <v>0.22499999999999998</v>
      </c>
      <c r="U236" s="589">
        <v>-5.2999999999999999E-2</v>
      </c>
      <c r="V236" s="589">
        <f>-0.177-U236</f>
        <v>-0.124</v>
      </c>
      <c r="W236" s="589">
        <f>-0.14-V236-U236</f>
        <v>3.6999999999999984E-2</v>
      </c>
      <c r="X236" s="589">
        <f>0.479-W236-V236-U236</f>
        <v>0.61900000000000011</v>
      </c>
      <c r="Y236" s="643">
        <v>-0.61699999999999999</v>
      </c>
      <c r="Z236" s="589">
        <f>-0.134-Y236</f>
        <v>0.48299999999999998</v>
      </c>
      <c r="AA236" s="589">
        <f>0.132-Z236-Y236</f>
        <v>0.26600000000000001</v>
      </c>
      <c r="AB236" s="588">
        <f>0.315-AA236-Z236-Y236</f>
        <v>0.183</v>
      </c>
      <c r="AC236" s="1611">
        <v>5.5E-2</v>
      </c>
      <c r="AD236" s="589">
        <f>0.035-AC236</f>
        <v>-1.9999999999999997E-2</v>
      </c>
      <c r="AE236" s="589">
        <f>-0.356-AD236-AC236</f>
        <v>-0.39099999999999996</v>
      </c>
      <c r="AF236" s="589">
        <f>-1.259-AE236-AD236-AC236</f>
        <v>-0.90299999999999991</v>
      </c>
      <c r="AG236" s="1611">
        <v>-0.64800000000000002</v>
      </c>
      <c r="AH236" s="1748">
        <f>-0.598-AG236</f>
        <v>5.0000000000000044E-2</v>
      </c>
      <c r="AI236" s="588">
        <f>-0.639-AH236-AG236</f>
        <v>-4.1000000000000036E-2</v>
      </c>
      <c r="AJ236" s="2630">
        <v>-0.18199999999999994</v>
      </c>
      <c r="AK236" s="2631">
        <v>0.159</v>
      </c>
      <c r="AL236" s="2631">
        <v>-0.109</v>
      </c>
      <c r="AM236" s="2631">
        <v>-2.1999999999999992E-2</v>
      </c>
      <c r="AN236" s="2630">
        <v>-0.29000000000000004</v>
      </c>
      <c r="AO236" s="2631">
        <v>0.13800000000000001</v>
      </c>
      <c r="AP236" s="2631">
        <v>0.41000000000000003</v>
      </c>
      <c r="AQ236" s="2631">
        <v>0.31599999999999995</v>
      </c>
      <c r="AR236" s="2630">
        <v>7.6999999999999957E-2</v>
      </c>
      <c r="AS236" s="630">
        <v>0</v>
      </c>
      <c r="AT236" s="587">
        <v>0</v>
      </c>
      <c r="AU236" s="587">
        <v>0</v>
      </c>
      <c r="AV236" s="617">
        <v>0</v>
      </c>
      <c r="AW236" s="630">
        <v>0</v>
      </c>
      <c r="AX236" s="587">
        <v>0</v>
      </c>
      <c r="AY236" s="587">
        <v>0</v>
      </c>
      <c r="AZ236" s="617">
        <v>0</v>
      </c>
      <c r="BA236" s="630">
        <v>0</v>
      </c>
      <c r="BB236" s="587">
        <v>0</v>
      </c>
      <c r="BC236" s="587">
        <v>0</v>
      </c>
      <c r="BD236" s="617">
        <v>0</v>
      </c>
      <c r="BE236"/>
      <c r="BF236" s="84"/>
      <c r="BG236" s="596"/>
      <c r="BH236" s="249"/>
      <c r="BI236" s="67">
        <v>0</v>
      </c>
      <c r="BJ236" s="67">
        <v>-8.9999999999999993E-3</v>
      </c>
      <c r="BK236" s="67">
        <f>SUM(M236:P236)</f>
        <v>-2.1999999999999999E-2</v>
      </c>
      <c r="BL236" s="67">
        <v>0.28299999999999997</v>
      </c>
      <c r="BM236" s="67">
        <f>SUM(U236:X236)</f>
        <v>0.47900000000000009</v>
      </c>
      <c r="BN236" s="67">
        <f>SUM(Y236:AB236)</f>
        <v>0.315</v>
      </c>
      <c r="BO236" s="67">
        <f>SUM(AC236:AF236)</f>
        <v>-1.2589999999999999</v>
      </c>
      <c r="BP236" s="67">
        <f>SUM(AG236:AJ236)</f>
        <v>-0.82099999999999995</v>
      </c>
      <c r="BQ236" s="110">
        <f>SUM(AK236:AN236)</f>
        <v>-0.26200000000000001</v>
      </c>
      <c r="BR236" s="329">
        <f>SUM(AO236:AR236)</f>
        <v>0.94099999999999995</v>
      </c>
      <c r="BS236" s="329">
        <f>SUM(AS236:AV236)</f>
        <v>0</v>
      </c>
      <c r="BT236" s="1095">
        <f>SUM(AW236:AZ236)</f>
        <v>0</v>
      </c>
      <c r="BU236" s="1095">
        <f>SUM(BA236:BD236)</f>
        <v>0</v>
      </c>
      <c r="BV236" s="587">
        <v>0</v>
      </c>
      <c r="BW236" s="587">
        <v>0</v>
      </c>
      <c r="BX236" s="587">
        <v>0</v>
      </c>
      <c r="BY236" s="587">
        <v>0</v>
      </c>
      <c r="BZ236" s="617">
        <v>0</v>
      </c>
      <c r="CA236" s="54"/>
      <c r="CB236" s="54"/>
      <c r="CC236" s="54"/>
      <c r="CD236" s="54"/>
      <c r="CE236" s="54"/>
      <c r="CF236" s="54"/>
      <c r="CG236" s="1772"/>
      <c r="CH236" s="1772"/>
      <c r="CI236" s="1772"/>
      <c r="CJ236" s="54"/>
      <c r="CK236" s="54"/>
      <c r="CL236" s="54"/>
      <c r="CM236" s="54"/>
      <c r="CN236" s="54"/>
      <c r="CO236" s="54"/>
      <c r="CP236" s="54"/>
      <c r="CQ236" s="54"/>
      <c r="CR236" s="54"/>
    </row>
    <row r="237" spans="1:96" s="401" customFormat="1" ht="11.25" customHeight="1">
      <c r="A237" s="36"/>
      <c r="B237"/>
      <c r="C237"/>
      <c r="D237"/>
      <c r="E237"/>
      <c r="F237"/>
      <c r="G237"/>
      <c r="H237" s="5"/>
      <c r="I237" s="450"/>
      <c r="J237" s="5"/>
      <c r="K237" s="5"/>
      <c r="L237" s="5"/>
      <c r="M237" s="336"/>
      <c r="N237" s="336"/>
      <c r="O237" s="336"/>
      <c r="P237" s="336"/>
      <c r="Q237" s="336"/>
      <c r="R237" s="336"/>
      <c r="S237" s="336"/>
      <c r="T237" s="336"/>
      <c r="U237" s="336"/>
      <c r="V237" s="336"/>
      <c r="W237" s="336"/>
      <c r="X237" s="336"/>
      <c r="Y237" s="639"/>
      <c r="Z237" s="336"/>
      <c r="AA237" s="336"/>
      <c r="AB237" s="336"/>
      <c r="AC237" s="626"/>
      <c r="AD237" s="336"/>
      <c r="AE237" s="336"/>
      <c r="AF237" s="336"/>
      <c r="AG237" s="626"/>
      <c r="AH237" s="336"/>
      <c r="AI237" s="336"/>
      <c r="AJ237" s="613"/>
      <c r="AK237" s="336"/>
      <c r="AL237" s="336"/>
      <c r="AM237" s="336"/>
      <c r="AN237" s="613"/>
      <c r="AO237" s="336"/>
      <c r="AP237" s="336"/>
      <c r="AQ237" s="336"/>
      <c r="AR237" s="613"/>
      <c r="AS237" s="626"/>
      <c r="AT237" s="336"/>
      <c r="AU237" s="336"/>
      <c r="AV237" s="613"/>
      <c r="AW237" s="626"/>
      <c r="AX237" s="336"/>
      <c r="AY237" s="336"/>
      <c r="AZ237" s="613"/>
      <c r="BA237" s="626"/>
      <c r="BB237" s="336"/>
      <c r="BC237" s="336"/>
      <c r="BD237" s="613"/>
      <c r="BE237"/>
      <c r="BF237" s="54"/>
      <c r="BG237" s="595"/>
      <c r="BH237" s="67"/>
      <c r="BI237" s="67"/>
      <c r="BJ237" s="67"/>
      <c r="BK237" s="67"/>
      <c r="BL237" s="67"/>
      <c r="BM237" s="67"/>
      <c r="BN237" s="67"/>
      <c r="BO237" s="336"/>
      <c r="BP237" s="336"/>
      <c r="BQ237" s="336"/>
      <c r="BR237" s="336"/>
      <c r="BS237" s="336"/>
      <c r="BT237" s="336"/>
      <c r="BU237" s="336"/>
      <c r="BV237" s="336"/>
      <c r="BW237" s="336"/>
      <c r="BX237" s="336"/>
      <c r="BY237" s="336"/>
      <c r="BZ237" s="613"/>
      <c r="CA237" s="54"/>
      <c r="CB237" s="54"/>
      <c r="CC237" s="54"/>
      <c r="CD237" s="54"/>
      <c r="CE237" s="54"/>
      <c r="CF237" s="54"/>
      <c r="CG237" s="1772"/>
      <c r="CH237" s="1772"/>
      <c r="CI237" s="1772"/>
      <c r="CJ237" s="54"/>
      <c r="CK237" s="54"/>
      <c r="CL237" s="54"/>
      <c r="CM237" s="54"/>
      <c r="CN237" s="54"/>
      <c r="CO237" s="54"/>
      <c r="CP237" s="54"/>
      <c r="CQ237" s="54"/>
      <c r="CR237" s="54"/>
    </row>
    <row r="238" spans="1:96" s="401" customFormat="1" ht="11.25" customHeight="1">
      <c r="A238" s="36"/>
      <c r="B238"/>
      <c r="C238"/>
      <c r="D238"/>
      <c r="E238"/>
      <c r="F238"/>
      <c r="G238"/>
      <c r="H238" s="5"/>
      <c r="I238" s="450" t="s">
        <v>97</v>
      </c>
      <c r="J238" s="5"/>
      <c r="K238" s="5"/>
      <c r="L238" s="5"/>
      <c r="M238" s="336"/>
      <c r="N238" s="336"/>
      <c r="O238" s="336">
        <f>15.074-5.587-N238-M238</f>
        <v>9.4870000000000001</v>
      </c>
      <c r="P238" s="336">
        <f t="shared" ref="P238:U238" si="465">O241</f>
        <v>29.466000000000001</v>
      </c>
      <c r="Q238" s="336">
        <f t="shared" si="465"/>
        <v>27.074000000000002</v>
      </c>
      <c r="R238" s="336">
        <f t="shared" si="465"/>
        <v>26.765000000000001</v>
      </c>
      <c r="S238" s="336">
        <f t="shared" si="465"/>
        <v>25.143000000000001</v>
      </c>
      <c r="T238" s="336">
        <f t="shared" si="465"/>
        <v>23.127999999999993</v>
      </c>
      <c r="U238" s="336">
        <f t="shared" si="465"/>
        <v>21.735999999999994</v>
      </c>
      <c r="V238" s="336">
        <f t="shared" ref="V238:AE238" si="466">U241</f>
        <v>130.73699999999999</v>
      </c>
      <c r="W238" s="336">
        <f t="shared" si="466"/>
        <v>122.613</v>
      </c>
      <c r="X238" s="336">
        <f t="shared" si="466"/>
        <v>123.083</v>
      </c>
      <c r="Y238" s="595">
        <f t="shared" si="466"/>
        <v>95.123999999999981</v>
      </c>
      <c r="Z238" s="572">
        <f t="shared" si="466"/>
        <v>94.49799999999999</v>
      </c>
      <c r="AA238" s="67">
        <f t="shared" si="466"/>
        <v>96.794999999999987</v>
      </c>
      <c r="AB238" s="67">
        <f t="shared" si="466"/>
        <v>101.21399999999998</v>
      </c>
      <c r="AC238" s="631">
        <f>AB241</f>
        <v>389.76399999999995</v>
      </c>
      <c r="AD238" s="67">
        <f t="shared" si="466"/>
        <v>399.31999999999994</v>
      </c>
      <c r="AE238" s="67">
        <f t="shared" si="466"/>
        <v>290.38599999999997</v>
      </c>
      <c r="AF238" s="67">
        <f t="shared" ref="AF238:AR238" si="467">AE241</f>
        <v>290.56699999999995</v>
      </c>
      <c r="AG238" s="631">
        <f t="shared" si="467"/>
        <v>247.31200000000001</v>
      </c>
      <c r="AH238" s="67">
        <f t="shared" si="467"/>
        <v>172.62900000000002</v>
      </c>
      <c r="AI238" s="67">
        <f t="shared" si="467"/>
        <v>181.46000000000004</v>
      </c>
      <c r="AJ238" s="581">
        <f t="shared" si="467"/>
        <v>171.80700000000004</v>
      </c>
      <c r="AK238" s="67">
        <f t="shared" si="467"/>
        <v>171.61300000000008</v>
      </c>
      <c r="AL238" s="67">
        <f t="shared" si="467"/>
        <v>183.50500000000008</v>
      </c>
      <c r="AM238" s="67">
        <f t="shared" si="467"/>
        <v>196.29500000000007</v>
      </c>
      <c r="AN238" s="581">
        <f t="shared" si="467"/>
        <v>224.8910000000001</v>
      </c>
      <c r="AO238" s="67">
        <f t="shared" si="467"/>
        <v>272.20100000000014</v>
      </c>
      <c r="AP238" s="67">
        <f t="shared" si="467"/>
        <v>272.27900000000011</v>
      </c>
      <c r="AQ238" s="67">
        <f t="shared" si="467"/>
        <v>319.75400000000013</v>
      </c>
      <c r="AR238" s="581">
        <f t="shared" si="467"/>
        <v>362.40100000000018</v>
      </c>
      <c r="AS238" s="631">
        <f t="shared" ref="AS238:AV238" si="468">AR241</f>
        <v>547.85000000000014</v>
      </c>
      <c r="AT238" s="67">
        <f t="shared" si="468"/>
        <v>548.13296429506693</v>
      </c>
      <c r="AU238" s="67">
        <f t="shared" si="468"/>
        <v>579.40460762683165</v>
      </c>
      <c r="AV238" s="581">
        <f t="shared" si="468"/>
        <v>656.25927427351064</v>
      </c>
      <c r="AW238" s="631">
        <f t="shared" ref="AW238:BD238" si="469">AV241</f>
        <v>696.99721202096487</v>
      </c>
      <c r="AX238" s="67">
        <f t="shared" si="469"/>
        <v>728.62938053122843</v>
      </c>
      <c r="AY238" s="67">
        <f t="shared" si="469"/>
        <v>769.56581592485202</v>
      </c>
      <c r="AZ238" s="581">
        <f t="shared" si="469"/>
        <v>822.50509374153398</v>
      </c>
      <c r="BA238" s="631">
        <f t="shared" si="469"/>
        <v>867.43822895010589</v>
      </c>
      <c r="BB238" s="67">
        <f t="shared" si="469"/>
        <v>907.21558326593322</v>
      </c>
      <c r="BC238" s="67">
        <f t="shared" si="469"/>
        <v>956.14421628980699</v>
      </c>
      <c r="BD238" s="581">
        <f t="shared" si="469"/>
        <v>1018.13992786757</v>
      </c>
      <c r="BE238"/>
      <c r="BF238" s="84"/>
      <c r="BG238" s="595"/>
      <c r="BH238" s="67"/>
      <c r="BI238" s="67">
        <v>5.6929999999999996</v>
      </c>
      <c r="BJ238" s="67">
        <f>BI241</f>
        <v>14.869000000000002</v>
      </c>
      <c r="BK238" s="67">
        <f t="shared" ref="BK238:BZ238" si="470">BJ241</f>
        <v>15.074000000000007</v>
      </c>
      <c r="BL238" s="67">
        <f t="shared" si="470"/>
        <v>27.074000000000012</v>
      </c>
      <c r="BM238" s="67">
        <f t="shared" si="470"/>
        <v>21.736000000000004</v>
      </c>
      <c r="BN238" s="67">
        <f t="shared" si="470"/>
        <v>95.123999999999995</v>
      </c>
      <c r="BO238" s="67">
        <f t="shared" si="470"/>
        <v>389.76400000000001</v>
      </c>
      <c r="BP238" s="67">
        <f t="shared" si="470"/>
        <v>247.31200000000004</v>
      </c>
      <c r="BQ238" s="67">
        <f t="shared" si="470"/>
        <v>171.61300000000006</v>
      </c>
      <c r="BR238" s="67">
        <f t="shared" si="470"/>
        <v>272.20100000000008</v>
      </c>
      <c r="BS238" s="67">
        <f t="shared" si="470"/>
        <v>547.85000000000014</v>
      </c>
      <c r="BT238" s="67">
        <f t="shared" si="470"/>
        <v>696.99721202096498</v>
      </c>
      <c r="BU238" s="67">
        <f t="shared" si="470"/>
        <v>867.43822895010601</v>
      </c>
      <c r="BV238" s="67">
        <f t="shared" si="470"/>
        <v>1070.9487816243554</v>
      </c>
      <c r="BW238" s="67">
        <f t="shared" si="470"/>
        <v>1308.3913512080742</v>
      </c>
      <c r="BX238" s="67">
        <f t="shared" si="470"/>
        <v>1583.2186761503742</v>
      </c>
      <c r="BY238" s="67">
        <f t="shared" si="470"/>
        <v>1896.922941318564</v>
      </c>
      <c r="BZ238" s="581">
        <f t="shared" si="470"/>
        <v>2250.9973110987012</v>
      </c>
      <c r="CA238" s="54"/>
      <c r="CB238" s="54"/>
      <c r="CC238" s="54"/>
      <c r="CD238" s="54"/>
      <c r="CE238" s="54"/>
      <c r="CF238" s="54"/>
      <c r="CG238" s="1772"/>
      <c r="CH238" s="1772"/>
      <c r="CI238" s="1772"/>
      <c r="CJ238" s="54"/>
      <c r="CK238" s="54"/>
      <c r="CL238" s="54"/>
      <c r="CM238" s="54"/>
      <c r="CN238" s="54"/>
      <c r="CO238" s="54"/>
      <c r="CP238" s="54"/>
      <c r="CQ238" s="54"/>
      <c r="CR238" s="54"/>
    </row>
    <row r="239" spans="1:96" s="401" customFormat="1" ht="11.25" customHeight="1">
      <c r="A239" s="36"/>
      <c r="B239"/>
      <c r="C239"/>
      <c r="D239"/>
      <c r="E239"/>
      <c r="F239"/>
      <c r="G239"/>
      <c r="H239" s="5"/>
      <c r="I239" s="450" t="s">
        <v>81</v>
      </c>
      <c r="J239" s="5"/>
      <c r="K239" s="5"/>
      <c r="L239" s="5"/>
      <c r="M239" s="336"/>
      <c r="N239" s="336"/>
      <c r="O239" s="336">
        <f t="shared" ref="O239:AJ239" si="471">O216+O226+O234+O236</f>
        <v>19.899000000000001</v>
      </c>
      <c r="P239" s="336">
        <f t="shared" si="471"/>
        <v>-2.3120000000000012</v>
      </c>
      <c r="Q239" s="336">
        <f t="shared" si="471"/>
        <v>-0.30899999999999955</v>
      </c>
      <c r="R239" s="336">
        <f t="shared" si="471"/>
        <v>-1.6219999999999988</v>
      </c>
      <c r="S239" s="336">
        <f t="shared" si="471"/>
        <v>-2.0150000000000068</v>
      </c>
      <c r="T239" s="336">
        <f t="shared" si="471"/>
        <v>-1.3919999999999981</v>
      </c>
      <c r="U239" s="336">
        <f t="shared" si="471"/>
        <v>109.00099999999999</v>
      </c>
      <c r="V239" s="336">
        <f t="shared" si="471"/>
        <v>-8.1239999999999899</v>
      </c>
      <c r="W239" s="336">
        <f t="shared" si="471"/>
        <v>0.46999999999999958</v>
      </c>
      <c r="X239" s="336">
        <f t="shared" si="471"/>
        <v>-27.959000000000017</v>
      </c>
      <c r="Y239" s="595">
        <f t="shared" si="471"/>
        <v>-0.62599999999998701</v>
      </c>
      <c r="Z239" s="572">
        <f t="shared" si="471"/>
        <v>2.2970000000000033</v>
      </c>
      <c r="AA239" s="67">
        <f t="shared" si="471"/>
        <v>4.4189999999999925</v>
      </c>
      <c r="AB239" s="67">
        <f t="shared" si="471"/>
        <v>288.54999999999995</v>
      </c>
      <c r="AC239" s="631">
        <f t="shared" si="471"/>
        <v>9.5559999999999867</v>
      </c>
      <c r="AD239" s="67">
        <f t="shared" si="471"/>
        <v>-108.934</v>
      </c>
      <c r="AE239" s="67">
        <f t="shared" si="471"/>
        <v>0.18099999999998501</v>
      </c>
      <c r="AF239" s="67">
        <f t="shared" si="471"/>
        <v>-43.254999999999939</v>
      </c>
      <c r="AG239" s="631">
        <f t="shared" si="471"/>
        <v>-74.682999999999993</v>
      </c>
      <c r="AH239" s="67">
        <f t="shared" si="471"/>
        <v>8.8310000000000102</v>
      </c>
      <c r="AI239" s="67">
        <f t="shared" si="471"/>
        <v>-9.6529999999999934</v>
      </c>
      <c r="AJ239" s="581">
        <f t="shared" si="471"/>
        <v>-0.19399999999997375</v>
      </c>
      <c r="AK239" s="67">
        <f t="shared" ref="AK239:AP239" si="472">AK216+AK226+AK234+AK236</f>
        <v>11.892000000000003</v>
      </c>
      <c r="AL239" s="67">
        <f t="shared" si="472"/>
        <v>12.789999999999992</v>
      </c>
      <c r="AM239" s="67">
        <f t="shared" si="472"/>
        <v>28.596000000000029</v>
      </c>
      <c r="AN239" s="581">
        <f t="shared" si="472"/>
        <v>47.310000000000031</v>
      </c>
      <c r="AO239" s="67">
        <f t="shared" si="472"/>
        <v>7.7999999999991521E-2</v>
      </c>
      <c r="AP239" s="67">
        <f t="shared" si="472"/>
        <v>47.475000000000009</v>
      </c>
      <c r="AQ239" s="67">
        <f t="shared" ref="AQ239:AR239" si="473">AQ216+AQ226+AQ234+AQ236</f>
        <v>42.647000000000048</v>
      </c>
      <c r="AR239" s="581">
        <f t="shared" si="473"/>
        <v>185.44900000000001</v>
      </c>
      <c r="AS239" s="631">
        <f t="shared" ref="AS239:AV239" si="474">AS216+AS226+AS234+AS236</f>
        <v>0.28296429506680187</v>
      </c>
      <c r="AT239" s="67">
        <f t="shared" si="474"/>
        <v>31.271643331764768</v>
      </c>
      <c r="AU239" s="67">
        <f t="shared" si="474"/>
        <v>76.854666646679007</v>
      </c>
      <c r="AV239" s="581">
        <f t="shared" si="474"/>
        <v>40.737937747454204</v>
      </c>
      <c r="AW239" s="631">
        <f t="shared" ref="AW239:BD239" si="475">AW216+AW226+AW234+AW236</f>
        <v>31.632168510263618</v>
      </c>
      <c r="AX239" s="67">
        <f t="shared" si="475"/>
        <v>40.936435393623562</v>
      </c>
      <c r="AY239" s="67">
        <f t="shared" si="475"/>
        <v>52.939277816681994</v>
      </c>
      <c r="AZ239" s="581">
        <f t="shared" si="475"/>
        <v>44.933135208571876</v>
      </c>
      <c r="BA239" s="631">
        <f t="shared" si="475"/>
        <v>39.777354315827331</v>
      </c>
      <c r="BB239" s="67">
        <f t="shared" si="475"/>
        <v>48.928633023873722</v>
      </c>
      <c r="BC239" s="67">
        <f t="shared" si="475"/>
        <v>61.995711577763032</v>
      </c>
      <c r="BD239" s="581">
        <f t="shared" si="475"/>
        <v>52.80885375678524</v>
      </c>
      <c r="BE239"/>
      <c r="BF239" s="84"/>
      <c r="BG239" s="595"/>
      <c r="BH239" s="67"/>
      <c r="BI239" s="67">
        <f t="shared" ref="BI239:BZ239" si="476">BI216+BI226+BI234+BI236</f>
        <v>9.1760000000000019</v>
      </c>
      <c r="BJ239" s="67">
        <f t="shared" si="476"/>
        <v>0.20500000000000512</v>
      </c>
      <c r="BK239" s="67">
        <f t="shared" si="476"/>
        <v>12.000000000000005</v>
      </c>
      <c r="BL239" s="67">
        <f t="shared" si="476"/>
        <v>-5.3380000000000063</v>
      </c>
      <c r="BM239" s="67">
        <f t="shared" si="476"/>
        <v>73.387999999999991</v>
      </c>
      <c r="BN239" s="67">
        <f t="shared" si="476"/>
        <v>294.64</v>
      </c>
      <c r="BO239" s="67">
        <f t="shared" si="476"/>
        <v>-142.45199999999997</v>
      </c>
      <c r="BP239" s="67">
        <f t="shared" si="476"/>
        <v>-75.698999999999984</v>
      </c>
      <c r="BQ239" s="67">
        <f t="shared" si="476"/>
        <v>100.58800000000002</v>
      </c>
      <c r="BR239" s="67">
        <f t="shared" si="476"/>
        <v>275.64900000000006</v>
      </c>
      <c r="BS239" s="67">
        <f t="shared" si="476"/>
        <v>149.14721202096479</v>
      </c>
      <c r="BT239" s="67">
        <f t="shared" si="476"/>
        <v>170.44101692914106</v>
      </c>
      <c r="BU239" s="67">
        <f t="shared" si="476"/>
        <v>203.51055267424934</v>
      </c>
      <c r="BV239" s="67">
        <f t="shared" si="476"/>
        <v>237.44256958371884</v>
      </c>
      <c r="BW239" s="67">
        <f t="shared" si="476"/>
        <v>274.82732494230004</v>
      </c>
      <c r="BX239" s="67">
        <f t="shared" si="476"/>
        <v>313.70426516818964</v>
      </c>
      <c r="BY239" s="67">
        <f t="shared" si="476"/>
        <v>354.07436978013698</v>
      </c>
      <c r="BZ239" s="581">
        <f t="shared" si="476"/>
        <v>396.52901569646508</v>
      </c>
      <c r="CA239" s="54"/>
      <c r="CB239" s="54"/>
      <c r="CC239" s="54"/>
      <c r="CD239" s="54"/>
      <c r="CE239" s="54"/>
      <c r="CF239" s="54"/>
      <c r="CG239" s="1772"/>
      <c r="CH239" s="1772"/>
      <c r="CI239" s="1772"/>
      <c r="CJ239" s="54"/>
      <c r="CK239" s="54"/>
      <c r="CL239" s="54"/>
      <c r="CM239" s="54"/>
      <c r="CN239" s="54"/>
      <c r="CO239" s="54"/>
      <c r="CP239" s="54"/>
      <c r="CQ239" s="54"/>
      <c r="CR239" s="54"/>
    </row>
    <row r="240" spans="1:96" s="401" customFormat="1" ht="11.25" customHeight="1">
      <c r="A240" s="36"/>
      <c r="B240"/>
      <c r="C240"/>
      <c r="D240"/>
      <c r="E240"/>
      <c r="F240"/>
      <c r="G240"/>
      <c r="H240" s="5"/>
      <c r="I240" s="450" t="s">
        <v>82</v>
      </c>
      <c r="J240" s="5"/>
      <c r="K240" s="5"/>
      <c r="L240" s="5"/>
      <c r="M240" s="336"/>
      <c r="N240" s="336"/>
      <c r="O240" s="389">
        <f>0.08-N240-M240</f>
        <v>0.08</v>
      </c>
      <c r="P240" s="389">
        <f>0-O240-N240-M240</f>
        <v>-0.08</v>
      </c>
      <c r="Q240" s="389">
        <v>0</v>
      </c>
      <c r="R240" s="389">
        <f>0-Q240</f>
        <v>0</v>
      </c>
      <c r="S240" s="389">
        <f>0-R240-Q240</f>
        <v>0</v>
      </c>
      <c r="T240" s="389">
        <f>0-S240-R240-Q240</f>
        <v>0</v>
      </c>
      <c r="U240" s="389">
        <v>0</v>
      </c>
      <c r="V240" s="389">
        <f>0-U240</f>
        <v>0</v>
      </c>
      <c r="W240" s="389">
        <f>0-V240-U240</f>
        <v>0</v>
      </c>
      <c r="X240" s="389">
        <v>0</v>
      </c>
      <c r="Y240" s="638">
        <v>0</v>
      </c>
      <c r="Z240" s="2412">
        <v>0</v>
      </c>
      <c r="AA240" s="389">
        <v>0</v>
      </c>
      <c r="AB240" s="389">
        <v>0</v>
      </c>
      <c r="AC240" s="1667">
        <v>0</v>
      </c>
      <c r="AD240" s="389">
        <v>0</v>
      </c>
      <c r="AE240" s="389">
        <v>0</v>
      </c>
      <c r="AF240" s="389">
        <v>0</v>
      </c>
      <c r="AG240" s="519">
        <v>0</v>
      </c>
      <c r="AH240" s="1731">
        <v>0</v>
      </c>
      <c r="AI240" s="1731">
        <v>0</v>
      </c>
      <c r="AJ240" s="2634">
        <v>0</v>
      </c>
      <c r="AK240" s="2618">
        <v>0</v>
      </c>
      <c r="AL240" s="2618">
        <v>0</v>
      </c>
      <c r="AM240" s="2618">
        <v>0</v>
      </c>
      <c r="AN240" s="2634">
        <v>0</v>
      </c>
      <c r="AO240" s="2618">
        <v>0</v>
      </c>
      <c r="AP240" s="2618">
        <v>0</v>
      </c>
      <c r="AQ240" s="2618">
        <v>0</v>
      </c>
      <c r="AR240" s="2634">
        <v>0</v>
      </c>
      <c r="AS240" s="1665">
        <v>0</v>
      </c>
      <c r="AT240" s="438">
        <v>0</v>
      </c>
      <c r="AU240" s="438">
        <v>0</v>
      </c>
      <c r="AV240" s="460">
        <v>0</v>
      </c>
      <c r="AW240" s="1665">
        <v>0</v>
      </c>
      <c r="AX240" s="438">
        <v>0</v>
      </c>
      <c r="AY240" s="438">
        <v>0</v>
      </c>
      <c r="AZ240" s="460">
        <v>0</v>
      </c>
      <c r="BA240" s="1665">
        <v>0</v>
      </c>
      <c r="BB240" s="438">
        <v>0</v>
      </c>
      <c r="BC240" s="438">
        <v>0</v>
      </c>
      <c r="BD240" s="460">
        <v>0</v>
      </c>
      <c r="BE240"/>
      <c r="BF240" s="84"/>
      <c r="BG240" s="595"/>
      <c r="BH240" s="67"/>
      <c r="BI240" s="67">
        <v>0</v>
      </c>
      <c r="BJ240" s="67">
        <v>0</v>
      </c>
      <c r="BK240" s="67">
        <f>SUM(M240:P240)</f>
        <v>0</v>
      </c>
      <c r="BL240" s="67">
        <v>0</v>
      </c>
      <c r="BM240" s="67">
        <f>SUM(U240:X240)</f>
        <v>0</v>
      </c>
      <c r="BN240" s="67">
        <f>SUM(Y240:AB240)</f>
        <v>0</v>
      </c>
      <c r="BO240" s="67">
        <f>SUM(AC240:AF240)</f>
        <v>0</v>
      </c>
      <c r="BP240" s="67">
        <f>SUM(AG240:AJ240)</f>
        <v>0</v>
      </c>
      <c r="BQ240" s="110">
        <f>SUM(AK240:AN240)</f>
        <v>0</v>
      </c>
      <c r="BR240" s="329">
        <f>SUM(AO240:AR240)</f>
        <v>0</v>
      </c>
      <c r="BS240" s="329">
        <f>SUM(AS240:AV240)</f>
        <v>0</v>
      </c>
      <c r="BT240" s="1095">
        <f>SUM(AW240:AZ240)</f>
        <v>0</v>
      </c>
      <c r="BU240" s="1095">
        <f>SUM(BA240:BD240)</f>
        <v>0</v>
      </c>
      <c r="BV240" s="438">
        <v>0</v>
      </c>
      <c r="BW240" s="438">
        <v>0</v>
      </c>
      <c r="BX240" s="438">
        <v>0</v>
      </c>
      <c r="BY240" s="438">
        <v>0</v>
      </c>
      <c r="BZ240" s="460">
        <v>0</v>
      </c>
      <c r="CA240" s="54"/>
      <c r="CB240" s="54"/>
      <c r="CC240" s="54"/>
      <c r="CD240" s="54"/>
      <c r="CE240" s="54"/>
      <c r="CF240" s="54"/>
      <c r="CG240" s="1772"/>
      <c r="CH240" s="1772"/>
      <c r="CI240" s="1772"/>
      <c r="CJ240" s="54"/>
      <c r="CK240" s="54"/>
      <c r="CL240" s="54"/>
      <c r="CM240" s="54"/>
      <c r="CN240" s="54"/>
      <c r="CO240" s="54"/>
      <c r="CP240" s="54"/>
      <c r="CQ240" s="54"/>
      <c r="CR240" s="54"/>
    </row>
    <row r="241" spans="1:96" s="401" customFormat="1" ht="11.25" customHeight="1">
      <c r="A241" s="36"/>
      <c r="B241"/>
      <c r="C241"/>
      <c r="D241"/>
      <c r="E241"/>
      <c r="F241"/>
      <c r="G241"/>
      <c r="H241" s="54"/>
      <c r="I241" s="622" t="s">
        <v>98</v>
      </c>
      <c r="J241" s="50"/>
      <c r="K241" s="50"/>
      <c r="L241" s="50"/>
      <c r="M241" s="76">
        <f>+SUM(M238:M240)</f>
        <v>0</v>
      </c>
      <c r="N241" s="76">
        <f>+SUM(N238:N240)</f>
        <v>0</v>
      </c>
      <c r="O241" s="76">
        <f>+SUM(O238:O240)</f>
        <v>29.466000000000001</v>
      </c>
      <c r="P241" s="76">
        <f t="shared" ref="P241:U241" si="477">+SUM(P238:P240)</f>
        <v>27.074000000000002</v>
      </c>
      <c r="Q241" s="76">
        <f t="shared" si="477"/>
        <v>26.765000000000001</v>
      </c>
      <c r="R241" s="76">
        <f t="shared" si="477"/>
        <v>25.143000000000001</v>
      </c>
      <c r="S241" s="76">
        <f t="shared" si="477"/>
        <v>23.127999999999993</v>
      </c>
      <c r="T241" s="76">
        <f>+SUM(T238:T240)</f>
        <v>21.735999999999994</v>
      </c>
      <c r="U241" s="76">
        <f t="shared" si="477"/>
        <v>130.73699999999999</v>
      </c>
      <c r="V241" s="76">
        <f t="shared" ref="V241:AE241" si="478">+SUM(V238:V240)</f>
        <v>122.613</v>
      </c>
      <c r="W241" s="76">
        <f t="shared" si="478"/>
        <v>123.083</v>
      </c>
      <c r="X241" s="76">
        <f t="shared" si="478"/>
        <v>95.123999999999981</v>
      </c>
      <c r="Y241" s="640">
        <f t="shared" si="478"/>
        <v>94.49799999999999</v>
      </c>
      <c r="Z241" s="222">
        <f t="shared" si="478"/>
        <v>96.794999999999987</v>
      </c>
      <c r="AA241" s="76">
        <f t="shared" si="478"/>
        <v>101.21399999999998</v>
      </c>
      <c r="AB241" s="76">
        <f t="shared" si="478"/>
        <v>389.76399999999995</v>
      </c>
      <c r="AC241" s="627">
        <f>+SUM(AC238:AC240)</f>
        <v>399.31999999999994</v>
      </c>
      <c r="AD241" s="76">
        <f t="shared" si="478"/>
        <v>290.38599999999997</v>
      </c>
      <c r="AE241" s="76">
        <f t="shared" si="478"/>
        <v>290.56699999999995</v>
      </c>
      <c r="AF241" s="76">
        <f t="shared" ref="AF241:AN241" si="479">+SUM(AF238:AF240)</f>
        <v>247.31200000000001</v>
      </c>
      <c r="AG241" s="627">
        <f t="shared" si="479"/>
        <v>172.62900000000002</v>
      </c>
      <c r="AH241" s="76">
        <f t="shared" si="479"/>
        <v>181.46000000000004</v>
      </c>
      <c r="AI241" s="76">
        <f t="shared" si="479"/>
        <v>171.80700000000004</v>
      </c>
      <c r="AJ241" s="614">
        <f t="shared" si="479"/>
        <v>171.61300000000008</v>
      </c>
      <c r="AK241" s="76">
        <f t="shared" si="479"/>
        <v>183.50500000000008</v>
      </c>
      <c r="AL241" s="76">
        <f t="shared" si="479"/>
        <v>196.29500000000007</v>
      </c>
      <c r="AM241" s="76">
        <f t="shared" si="479"/>
        <v>224.8910000000001</v>
      </c>
      <c r="AN241" s="614">
        <f t="shared" si="479"/>
        <v>272.20100000000014</v>
      </c>
      <c r="AO241" s="76">
        <f>+SUM(AO238:AO240)</f>
        <v>272.27900000000011</v>
      </c>
      <c r="AP241" s="76">
        <f>+SUM(AP238:AP240)</f>
        <v>319.75400000000013</v>
      </c>
      <c r="AQ241" s="76">
        <f>+SUM(AQ238:AQ240)</f>
        <v>362.40100000000018</v>
      </c>
      <c r="AR241" s="614">
        <f t="shared" ref="AR241" si="480">+SUM(AR238:AR240)</f>
        <v>547.85000000000014</v>
      </c>
      <c r="AS241" s="627">
        <f t="shared" ref="AS241:AV241" si="481">+SUM(AS238:AS240)</f>
        <v>548.13296429506693</v>
      </c>
      <c r="AT241" s="76">
        <f t="shared" si="481"/>
        <v>579.40460762683165</v>
      </c>
      <c r="AU241" s="76">
        <f t="shared" si="481"/>
        <v>656.25927427351064</v>
      </c>
      <c r="AV241" s="614">
        <f t="shared" si="481"/>
        <v>696.99721202096487</v>
      </c>
      <c r="AW241" s="627">
        <f t="shared" ref="AW241:BD241" si="482">+SUM(AW238:AW240)</f>
        <v>728.62938053122843</v>
      </c>
      <c r="AX241" s="76">
        <f t="shared" si="482"/>
        <v>769.56581592485202</v>
      </c>
      <c r="AY241" s="76">
        <f t="shared" si="482"/>
        <v>822.50509374153398</v>
      </c>
      <c r="AZ241" s="614">
        <f t="shared" si="482"/>
        <v>867.43822895010589</v>
      </c>
      <c r="BA241" s="627">
        <f t="shared" si="482"/>
        <v>907.21558326593322</v>
      </c>
      <c r="BB241" s="76">
        <f t="shared" si="482"/>
        <v>956.14421628980699</v>
      </c>
      <c r="BC241" s="76">
        <f t="shared" si="482"/>
        <v>1018.13992786757</v>
      </c>
      <c r="BD241" s="614">
        <f t="shared" si="482"/>
        <v>1070.9487816243552</v>
      </c>
      <c r="BE241"/>
      <c r="BF241" s="54"/>
      <c r="BG241" s="640"/>
      <c r="BH241" s="76"/>
      <c r="BI241" s="402">
        <f t="shared" ref="BI241:BO241" si="483">+SUM(BI238:BI240)</f>
        <v>14.869000000000002</v>
      </c>
      <c r="BJ241" s="402">
        <f t="shared" si="483"/>
        <v>15.074000000000007</v>
      </c>
      <c r="BK241" s="402">
        <f t="shared" si="483"/>
        <v>27.074000000000012</v>
      </c>
      <c r="BL241" s="402">
        <f t="shared" si="483"/>
        <v>21.736000000000004</v>
      </c>
      <c r="BM241" s="402">
        <f t="shared" si="483"/>
        <v>95.123999999999995</v>
      </c>
      <c r="BN241" s="402">
        <f t="shared" si="483"/>
        <v>389.76400000000001</v>
      </c>
      <c r="BO241" s="76">
        <f t="shared" si="483"/>
        <v>247.31200000000004</v>
      </c>
      <c r="BP241" s="76">
        <f t="shared" ref="BP241:BU241" si="484">+SUM(BP238:BP240)</f>
        <v>171.61300000000006</v>
      </c>
      <c r="BQ241" s="76">
        <f t="shared" si="484"/>
        <v>272.20100000000008</v>
      </c>
      <c r="BR241" s="76">
        <f t="shared" si="484"/>
        <v>547.85000000000014</v>
      </c>
      <c r="BS241" s="76">
        <f t="shared" si="484"/>
        <v>696.99721202096498</v>
      </c>
      <c r="BT241" s="76">
        <f t="shared" si="484"/>
        <v>867.43822895010601</v>
      </c>
      <c r="BU241" s="76">
        <f t="shared" si="484"/>
        <v>1070.9487816243554</v>
      </c>
      <c r="BV241" s="76">
        <f>+SUM(BV238:BV240)</f>
        <v>1308.3913512080742</v>
      </c>
      <c r="BW241" s="76">
        <f>+SUM(BW238:BW240)</f>
        <v>1583.2186761503742</v>
      </c>
      <c r="BX241" s="76">
        <f>+SUM(BX238:BX240)</f>
        <v>1896.922941318564</v>
      </c>
      <c r="BY241" s="76">
        <f>+SUM(BY238:BY240)</f>
        <v>2250.9973110987012</v>
      </c>
      <c r="BZ241" s="614">
        <f>+SUM(BZ238:BZ240)</f>
        <v>2647.5263267951664</v>
      </c>
      <c r="CA241" s="54"/>
      <c r="CB241" s="54"/>
      <c r="CC241" s="54"/>
      <c r="CD241" s="54"/>
      <c r="CE241" s="54"/>
      <c r="CF241" s="54"/>
      <c r="CG241" s="1772"/>
      <c r="CH241" s="1772"/>
      <c r="CI241" s="1772"/>
      <c r="CJ241" s="54"/>
      <c r="CK241" s="54"/>
      <c r="CL241" s="54"/>
      <c r="CM241" s="54"/>
      <c r="CN241" s="54"/>
      <c r="CO241" s="54"/>
      <c r="CP241" s="54"/>
      <c r="CQ241" s="54"/>
      <c r="CR241" s="54"/>
    </row>
    <row r="242" spans="1:96" s="401" customFormat="1" ht="11.25" customHeight="1" outlineLevel="1">
      <c r="A242" s="36"/>
      <c r="B242"/>
      <c r="C242"/>
      <c r="D242"/>
      <c r="E242"/>
      <c r="F242"/>
      <c r="G242"/>
      <c r="H242" s="5"/>
      <c r="I242" s="652" t="s">
        <v>109</v>
      </c>
      <c r="J242" s="5"/>
      <c r="K242" s="5"/>
      <c r="L242" s="5"/>
      <c r="M242" s="548" t="str">
        <f t="shared" ref="M242:BD242" si="485">IF(ROUND(M153-M241,8)=0,"OK",M153-M241)</f>
        <v>OK</v>
      </c>
      <c r="N242" s="548" t="str">
        <f t="shared" si="485"/>
        <v>OK</v>
      </c>
      <c r="O242" s="549" t="str">
        <f t="shared" si="485"/>
        <v>OK</v>
      </c>
      <c r="P242" s="549" t="str">
        <f t="shared" si="485"/>
        <v>OK</v>
      </c>
      <c r="Q242" s="549" t="str">
        <f t="shared" si="485"/>
        <v>OK</v>
      </c>
      <c r="R242" s="549" t="str">
        <f t="shared" si="485"/>
        <v>OK</v>
      </c>
      <c r="S242" s="549" t="str">
        <f t="shared" si="485"/>
        <v>OK</v>
      </c>
      <c r="T242" s="549" t="str">
        <f t="shared" si="485"/>
        <v>OK</v>
      </c>
      <c r="U242" s="549" t="str">
        <f t="shared" si="485"/>
        <v>OK</v>
      </c>
      <c r="V242" s="549" t="str">
        <f t="shared" si="485"/>
        <v>OK</v>
      </c>
      <c r="W242" s="549" t="str">
        <f t="shared" si="485"/>
        <v>OK</v>
      </c>
      <c r="X242" s="549" t="str">
        <f t="shared" si="485"/>
        <v>OK</v>
      </c>
      <c r="Y242" s="645" t="str">
        <f t="shared" si="485"/>
        <v>OK</v>
      </c>
      <c r="Z242" s="548" t="str">
        <f t="shared" si="485"/>
        <v>OK</v>
      </c>
      <c r="AA242" s="548" t="str">
        <f t="shared" si="485"/>
        <v>OK</v>
      </c>
      <c r="AB242" s="548" t="str">
        <f t="shared" si="485"/>
        <v>OK</v>
      </c>
      <c r="AC242" s="632" t="str">
        <f t="shared" si="485"/>
        <v>OK</v>
      </c>
      <c r="AD242" s="548" t="str">
        <f t="shared" si="485"/>
        <v>OK</v>
      </c>
      <c r="AE242" s="548" t="str">
        <f t="shared" si="485"/>
        <v>OK</v>
      </c>
      <c r="AF242" s="548" t="str">
        <f t="shared" si="485"/>
        <v>OK</v>
      </c>
      <c r="AG242" s="632" t="str">
        <f t="shared" si="485"/>
        <v>OK</v>
      </c>
      <c r="AH242" s="548" t="str">
        <f t="shared" si="485"/>
        <v>OK</v>
      </c>
      <c r="AI242" s="548" t="str">
        <f t="shared" si="485"/>
        <v>OK</v>
      </c>
      <c r="AJ242" s="618" t="str">
        <f t="shared" si="485"/>
        <v>OK</v>
      </c>
      <c r="AK242" s="548" t="str">
        <f t="shared" si="485"/>
        <v>OK</v>
      </c>
      <c r="AL242" s="548" t="str">
        <f t="shared" si="485"/>
        <v>OK</v>
      </c>
      <c r="AM242" s="548" t="str">
        <f t="shared" si="485"/>
        <v>OK</v>
      </c>
      <c r="AN242" s="618" t="str">
        <f t="shared" si="485"/>
        <v>OK</v>
      </c>
      <c r="AO242" s="548" t="str">
        <f>IF(ROUND(AO153-AO241,8)=0,"OK",AO153-AO241)</f>
        <v>OK</v>
      </c>
      <c r="AP242" s="548" t="str">
        <f t="shared" si="485"/>
        <v>OK</v>
      </c>
      <c r="AQ242" s="548" t="str">
        <f t="shared" ref="AQ242:AR242" si="486">IF(ROUND(AQ153-AQ241,8)=0,"OK",AQ153-AQ241)</f>
        <v>OK</v>
      </c>
      <c r="AR242" s="618" t="str">
        <f t="shared" si="486"/>
        <v>OK</v>
      </c>
      <c r="AS242" s="632" t="str">
        <f t="shared" si="485"/>
        <v>OK</v>
      </c>
      <c r="AT242" s="548" t="str">
        <f t="shared" si="485"/>
        <v>OK</v>
      </c>
      <c r="AU242" s="548" t="str">
        <f t="shared" si="485"/>
        <v>OK</v>
      </c>
      <c r="AV242" s="618" t="str">
        <f t="shared" si="485"/>
        <v>OK</v>
      </c>
      <c r="AW242" s="632" t="str">
        <f t="shared" si="485"/>
        <v>OK</v>
      </c>
      <c r="AX242" s="548" t="str">
        <f t="shared" si="485"/>
        <v>OK</v>
      </c>
      <c r="AY242" s="548" t="str">
        <f t="shared" si="485"/>
        <v>OK</v>
      </c>
      <c r="AZ242" s="618" t="str">
        <f t="shared" si="485"/>
        <v>OK</v>
      </c>
      <c r="BA242" s="632" t="str">
        <f t="shared" si="485"/>
        <v>OK</v>
      </c>
      <c r="BB242" s="548" t="str">
        <f t="shared" si="485"/>
        <v>OK</v>
      </c>
      <c r="BC242" s="548" t="str">
        <f t="shared" si="485"/>
        <v>OK</v>
      </c>
      <c r="BD242" s="618" t="str">
        <f t="shared" si="485"/>
        <v>OK</v>
      </c>
      <c r="BE242"/>
      <c r="BF242" s="54"/>
      <c r="BG242" s="448"/>
      <c r="BH242" s="5"/>
      <c r="BI242" s="548">
        <f t="shared" ref="BI242:BZ242" si="487">IF(ROUND(BI153-BI241,8)=0,"OK",BI153-BI241)</f>
        <v>-14.869000000000002</v>
      </c>
      <c r="BJ242" s="548" t="str">
        <f t="shared" si="487"/>
        <v>OK</v>
      </c>
      <c r="BK242" s="548" t="str">
        <f t="shared" si="487"/>
        <v>OK</v>
      </c>
      <c r="BL242" s="549" t="str">
        <f t="shared" si="487"/>
        <v>OK</v>
      </c>
      <c r="BM242" s="548" t="str">
        <f t="shared" si="487"/>
        <v>OK</v>
      </c>
      <c r="BN242" s="548" t="str">
        <f t="shared" si="487"/>
        <v>OK</v>
      </c>
      <c r="BO242" s="548" t="str">
        <f t="shared" si="487"/>
        <v>OK</v>
      </c>
      <c r="BP242" s="548" t="str">
        <f t="shared" si="487"/>
        <v>OK</v>
      </c>
      <c r="BQ242" s="548" t="str">
        <f t="shared" si="487"/>
        <v>OK</v>
      </c>
      <c r="BR242" s="548" t="str">
        <f t="shared" si="487"/>
        <v>OK</v>
      </c>
      <c r="BS242" s="548" t="str">
        <f t="shared" si="487"/>
        <v>OK</v>
      </c>
      <c r="BT242" s="548" t="str">
        <f t="shared" si="487"/>
        <v>OK</v>
      </c>
      <c r="BU242" s="548" t="str">
        <f t="shared" si="487"/>
        <v>OK</v>
      </c>
      <c r="BV242" s="548" t="str">
        <f t="shared" si="487"/>
        <v>OK</v>
      </c>
      <c r="BW242" s="548" t="str">
        <f t="shared" si="487"/>
        <v>OK</v>
      </c>
      <c r="BX242" s="548" t="str">
        <f t="shared" si="487"/>
        <v>OK</v>
      </c>
      <c r="BY242" s="548" t="str">
        <f t="shared" si="487"/>
        <v>OK</v>
      </c>
      <c r="BZ242" s="618" t="str">
        <f t="shared" si="487"/>
        <v>OK</v>
      </c>
      <c r="CA242" s="54"/>
      <c r="CB242" s="54"/>
      <c r="CC242" s="54"/>
      <c r="CD242" s="54"/>
      <c r="CE242" s="54"/>
      <c r="CF242" s="54"/>
      <c r="CG242" s="1772"/>
      <c r="CH242" s="1772"/>
      <c r="CI242" s="1772"/>
      <c r="CJ242" s="54"/>
      <c r="CK242" s="54"/>
      <c r="CL242" s="54"/>
      <c r="CM242" s="54"/>
      <c r="CN242" s="54"/>
      <c r="CO242" s="54"/>
      <c r="CP242" s="54"/>
      <c r="CQ242" s="54"/>
      <c r="CR242" s="54"/>
    </row>
    <row r="243" spans="1:96" ht="11.25" customHeight="1" outlineLevel="1">
      <c r="A243" s="36"/>
      <c r="H243" s="36"/>
      <c r="I243" s="633"/>
      <c r="J243" s="54"/>
      <c r="K243" s="54"/>
      <c r="L243" s="54"/>
      <c r="M243" s="54"/>
      <c r="N243" s="54"/>
      <c r="O243" s="54"/>
      <c r="P243" s="54"/>
      <c r="Q243" s="54"/>
      <c r="R243" s="54"/>
      <c r="S243" s="54"/>
      <c r="T243" s="54"/>
      <c r="U243" s="54"/>
      <c r="V243" s="54"/>
      <c r="W243" s="54"/>
      <c r="X243" s="54"/>
      <c r="Y243" s="601"/>
      <c r="Z243" s="54"/>
      <c r="AA243" s="54"/>
      <c r="AB243" s="99"/>
      <c r="AC243" s="633"/>
      <c r="AD243" s="54"/>
      <c r="AE243" s="54"/>
      <c r="AF243" s="54"/>
      <c r="AG243" s="633"/>
      <c r="AH243" s="54"/>
      <c r="AI243" s="54"/>
      <c r="AJ243" s="619"/>
      <c r="AK243" s="54"/>
      <c r="AL243" s="54"/>
      <c r="AM243" s="54"/>
      <c r="AN243" s="619"/>
      <c r="AO243" s="54"/>
      <c r="AP243" s="54"/>
      <c r="AQ243" s="54"/>
      <c r="AR243" s="619"/>
      <c r="AS243" s="633"/>
      <c r="AT243" s="54"/>
      <c r="AU243" s="54"/>
      <c r="AV243" s="619"/>
      <c r="AW243" s="633"/>
      <c r="AX243" s="54"/>
      <c r="AY243" s="54"/>
      <c r="AZ243" s="619"/>
      <c r="BA243" s="633"/>
      <c r="BB243" s="54"/>
      <c r="BC243" s="54"/>
      <c r="BD243" s="619"/>
      <c r="BF243" s="36"/>
      <c r="BG243" s="601"/>
      <c r="BH243" s="54"/>
      <c r="BI243" s="54"/>
      <c r="BJ243" s="54"/>
      <c r="BK243" s="54"/>
      <c r="BL243" s="54"/>
      <c r="BM243" s="54"/>
      <c r="BN243" s="54"/>
      <c r="BO243" s="54"/>
      <c r="BP243" s="54"/>
      <c r="BQ243" s="54"/>
      <c r="BR243" s="54"/>
      <c r="BS243" s="54"/>
      <c r="BT243" s="54"/>
      <c r="BU243" s="54"/>
      <c r="BV243" s="54"/>
      <c r="BW243" s="54"/>
      <c r="BX243" s="54"/>
      <c r="BY243" s="54"/>
      <c r="BZ243" s="619"/>
      <c r="CA243" s="36"/>
      <c r="CB243" s="36"/>
      <c r="CC243" s="36"/>
      <c r="CD243" s="36"/>
      <c r="CE243" s="36"/>
      <c r="CF243" s="36"/>
      <c r="CG243" s="1765"/>
      <c r="CH243" s="1765"/>
      <c r="CI243" s="1765"/>
      <c r="CJ243" s="36"/>
      <c r="CK243" s="36"/>
      <c r="CL243" s="36"/>
      <c r="CM243" s="36"/>
      <c r="CN243" s="36"/>
      <c r="CO243" s="36"/>
      <c r="CP243" s="36"/>
      <c r="CQ243" s="36"/>
      <c r="CR243" s="36"/>
    </row>
    <row r="244" spans="1:96" ht="11.25" customHeight="1" outlineLevel="1">
      <c r="A244" s="36"/>
      <c r="H244" s="36"/>
      <c r="I244" s="633"/>
      <c r="J244" s="54"/>
      <c r="K244" s="54"/>
      <c r="L244" s="54"/>
      <c r="M244" s="54"/>
      <c r="N244" s="54"/>
      <c r="O244" s="54"/>
      <c r="P244" s="54"/>
      <c r="Q244" s="54"/>
      <c r="R244" s="54"/>
      <c r="S244" s="54"/>
      <c r="T244" s="54"/>
      <c r="U244" s="54"/>
      <c r="V244" s="54"/>
      <c r="W244" s="54"/>
      <c r="X244" s="54"/>
      <c r="Y244" s="601"/>
      <c r="Z244" s="54"/>
      <c r="AA244" s="54"/>
      <c r="AB244" s="54"/>
      <c r="AC244" s="633"/>
      <c r="AD244" s="54"/>
      <c r="AE244" s="54"/>
      <c r="AF244" s="54"/>
      <c r="AG244" s="633"/>
      <c r="AH244" s="54"/>
      <c r="AI244" s="54"/>
      <c r="AJ244" s="619"/>
      <c r="AK244" s="54"/>
      <c r="AL244" s="54"/>
      <c r="AM244" s="54"/>
      <c r="AN244" s="619"/>
      <c r="AO244" s="54"/>
      <c r="AP244" s="54"/>
      <c r="AQ244" s="54"/>
      <c r="AR244" s="619"/>
      <c r="AS244" s="633"/>
      <c r="AT244" s="54"/>
      <c r="AU244" s="54"/>
      <c r="AV244" s="619"/>
      <c r="AW244" s="633"/>
      <c r="AX244" s="54"/>
      <c r="AY244" s="54"/>
      <c r="AZ244" s="619"/>
      <c r="BA244" s="633"/>
      <c r="BB244" s="54"/>
      <c r="BC244" s="54"/>
      <c r="BD244" s="619"/>
      <c r="BF244" s="36"/>
      <c r="BG244" s="601"/>
      <c r="BH244" s="54"/>
      <c r="BI244" s="54"/>
      <c r="BJ244" s="54"/>
      <c r="BK244" s="54"/>
      <c r="BL244" s="54"/>
      <c r="BM244" s="54"/>
      <c r="BN244" s="54"/>
      <c r="BO244" s="54"/>
      <c r="BP244" s="54"/>
      <c r="BQ244" s="54"/>
      <c r="BR244" s="54"/>
      <c r="BS244" s="54"/>
      <c r="BT244" s="54"/>
      <c r="BU244" s="54"/>
      <c r="BV244" s="54"/>
      <c r="BW244" s="54"/>
      <c r="BX244" s="54"/>
      <c r="BY244" s="54"/>
      <c r="BZ244" s="619"/>
      <c r="CA244" s="36"/>
      <c r="CB244" s="36"/>
      <c r="CC244" s="36"/>
      <c r="CD244" s="36"/>
      <c r="CE244" s="36"/>
      <c r="CF244" s="36"/>
      <c r="CG244" s="1765"/>
      <c r="CH244" s="1765"/>
      <c r="CI244" s="1765"/>
      <c r="CJ244" s="36"/>
      <c r="CK244" s="36"/>
      <c r="CL244" s="36"/>
      <c r="CM244" s="36"/>
      <c r="CN244" s="36"/>
      <c r="CO244" s="36"/>
      <c r="CP244" s="36"/>
      <c r="CQ244" s="36"/>
      <c r="CR244" s="36"/>
    </row>
    <row r="245" spans="1:96" ht="11.25" customHeight="1">
      <c r="A245" s="36"/>
      <c r="H245" s="36"/>
      <c r="I245" s="633"/>
      <c r="J245" s="54"/>
      <c r="K245" s="54"/>
      <c r="L245" s="54"/>
      <c r="M245" s="54"/>
      <c r="N245" s="54"/>
      <c r="O245" s="54"/>
      <c r="P245" s="54"/>
      <c r="Q245" s="54"/>
      <c r="R245" s="54"/>
      <c r="S245" s="54"/>
      <c r="T245" s="54"/>
      <c r="U245" s="54"/>
      <c r="V245" s="54"/>
      <c r="W245" s="54"/>
      <c r="X245" s="54"/>
      <c r="Y245" s="601"/>
      <c r="Z245" s="54"/>
      <c r="AA245" s="54"/>
      <c r="AB245" s="54"/>
      <c r="AC245" s="633"/>
      <c r="AD245" s="54"/>
      <c r="AE245" s="54"/>
      <c r="AF245" s="54"/>
      <c r="AG245" s="633"/>
      <c r="AH245" s="54"/>
      <c r="AI245" s="54"/>
      <c r="AJ245" s="619"/>
      <c r="AK245" s="54"/>
      <c r="AL245" s="54"/>
      <c r="AM245" s="54"/>
      <c r="AN245" s="619"/>
      <c r="AO245" s="54"/>
      <c r="AP245" s="54"/>
      <c r="AQ245" s="54"/>
      <c r="AR245" s="619"/>
      <c r="AS245" s="633"/>
      <c r="AT245" s="54"/>
      <c r="AU245" s="54"/>
      <c r="AV245" s="619"/>
      <c r="AW245" s="633"/>
      <c r="AX245" s="54"/>
      <c r="AY245" s="54"/>
      <c r="AZ245" s="619"/>
      <c r="BA245" s="633"/>
      <c r="BB245" s="54"/>
      <c r="BC245" s="54"/>
      <c r="BD245" s="619"/>
      <c r="BF245" s="36"/>
      <c r="BG245" s="601"/>
      <c r="BH245" s="54"/>
      <c r="BI245" s="54"/>
      <c r="BJ245" s="54"/>
      <c r="BK245" s="54"/>
      <c r="BL245" s="54"/>
      <c r="BM245" s="54"/>
      <c r="BN245" s="54"/>
      <c r="BO245" s="54"/>
      <c r="BP245" s="54"/>
      <c r="BQ245" s="99">
        <f>BQ49</f>
        <v>120.08199999999995</v>
      </c>
      <c r="BR245" s="99">
        <f t="shared" ref="BR245:BZ245" si="488">BR49</f>
        <v>156.607</v>
      </c>
      <c r="BS245" s="99">
        <f t="shared" si="488"/>
        <v>186.58690435868911</v>
      </c>
      <c r="BT245" s="99">
        <f t="shared" si="488"/>
        <v>234.7880648287065</v>
      </c>
      <c r="BU245" s="99">
        <f t="shared" si="488"/>
        <v>283.31739995723177</v>
      </c>
      <c r="BV245" s="99">
        <f t="shared" si="488"/>
        <v>340.4198054285194</v>
      </c>
      <c r="BW245" s="99">
        <f t="shared" si="488"/>
        <v>402.08232792542259</v>
      </c>
      <c r="BX245" s="99">
        <f t="shared" si="488"/>
        <v>465.55167312314603</v>
      </c>
      <c r="BY245" s="99">
        <f t="shared" si="488"/>
        <v>531.00424102168972</v>
      </c>
      <c r="BZ245" s="99">
        <f t="shared" si="488"/>
        <v>599.90292594584912</v>
      </c>
      <c r="CA245" s="36"/>
      <c r="CB245" s="36"/>
      <c r="CC245" s="36"/>
      <c r="CD245" s="36"/>
      <c r="CE245" s="36"/>
      <c r="CF245" s="36"/>
      <c r="CG245" s="1765"/>
      <c r="CH245" s="1765"/>
      <c r="CI245" s="1765"/>
      <c r="CJ245" s="36"/>
      <c r="CK245" s="36"/>
      <c r="CL245" s="36"/>
      <c r="CM245" s="36"/>
      <c r="CN245" s="36"/>
      <c r="CO245" s="36"/>
      <c r="CP245" s="36"/>
      <c r="CQ245" s="36"/>
      <c r="CR245" s="36"/>
    </row>
    <row r="246" spans="1:96" ht="11.25" customHeight="1" outlineLevel="1">
      <c r="A246" s="36"/>
      <c r="H246" s="36"/>
      <c r="I246" s="650" t="s">
        <v>128</v>
      </c>
      <c r="J246" s="536"/>
      <c r="K246" s="536"/>
      <c r="L246" s="536"/>
      <c r="M246" s="536"/>
      <c r="N246" s="537"/>
      <c r="O246" s="538"/>
      <c r="P246" s="538"/>
      <c r="Q246" s="536"/>
      <c r="R246" s="537"/>
      <c r="S246" s="537"/>
      <c r="T246" s="537"/>
      <c r="U246" s="539"/>
      <c r="V246" s="537"/>
      <c r="W246" s="537"/>
      <c r="X246" s="537"/>
      <c r="Y246" s="535"/>
      <c r="Z246" s="537"/>
      <c r="AA246" s="537"/>
      <c r="AB246" s="537"/>
      <c r="AC246" s="650"/>
      <c r="AD246" s="537"/>
      <c r="AE246" s="537"/>
      <c r="AF246" s="537"/>
      <c r="AG246" s="623"/>
      <c r="AH246" s="537"/>
      <c r="AI246" s="537"/>
      <c r="AJ246" s="610"/>
      <c r="AK246" s="537"/>
      <c r="AL246" s="537"/>
      <c r="AM246" s="537"/>
      <c r="AN246" s="610"/>
      <c r="AO246" s="537"/>
      <c r="AP246" s="537"/>
      <c r="AQ246" s="537"/>
      <c r="AR246" s="610"/>
      <c r="AS246" s="623"/>
      <c r="AT246" s="537"/>
      <c r="AU246" s="537"/>
      <c r="AV246" s="610"/>
      <c r="AW246" s="623"/>
      <c r="AX246" s="537"/>
      <c r="AY246" s="537"/>
      <c r="AZ246" s="610"/>
      <c r="BA246" s="623"/>
      <c r="BB246" s="537"/>
      <c r="BC246" s="537"/>
      <c r="BD246" s="610"/>
      <c r="BF246" s="528"/>
      <c r="BG246" s="593"/>
      <c r="BH246" s="537"/>
      <c r="BI246" s="538"/>
      <c r="BJ246" s="538"/>
      <c r="BK246" s="538"/>
      <c r="BL246" s="538"/>
      <c r="BM246" s="538"/>
      <c r="BN246" s="538"/>
      <c r="BO246" s="538"/>
      <c r="BP246" s="538"/>
      <c r="BQ246" s="537"/>
      <c r="BR246" s="537"/>
      <c r="BS246" s="537"/>
      <c r="BT246" s="537"/>
      <c r="BU246" s="537"/>
      <c r="BV246" s="537"/>
      <c r="BW246" s="537"/>
      <c r="BX246" s="537"/>
      <c r="BY246" s="537"/>
      <c r="BZ246" s="610"/>
      <c r="CA246" s="54"/>
      <c r="CB246" s="54"/>
      <c r="CC246" s="54"/>
      <c r="CD246" s="54"/>
      <c r="CE246" s="54"/>
      <c r="CF246" s="54"/>
      <c r="CG246" s="1772"/>
      <c r="CH246" s="1772"/>
      <c r="CI246" s="1772"/>
      <c r="CJ246" s="54"/>
      <c r="CK246" s="54"/>
      <c r="CL246" s="54"/>
      <c r="CM246" s="36"/>
      <c r="CN246" s="36"/>
      <c r="CO246" s="36"/>
      <c r="CP246" s="36"/>
      <c r="CQ246" s="36"/>
      <c r="CR246" s="36"/>
    </row>
    <row r="247" spans="1:96" ht="11.25" customHeight="1" outlineLevel="1">
      <c r="A247" s="36"/>
      <c r="H247" s="36"/>
      <c r="I247" s="450" t="s">
        <v>129</v>
      </c>
      <c r="J247" s="5"/>
      <c r="K247" s="5"/>
      <c r="L247" s="5"/>
      <c r="M247" s="336">
        <f t="shared" ref="M247:AN247" si="489">M216</f>
        <v>0</v>
      </c>
      <c r="N247" s="336">
        <f t="shared" si="489"/>
        <v>0</v>
      </c>
      <c r="O247" s="336">
        <f t="shared" si="489"/>
        <v>-0.8539999999999992</v>
      </c>
      <c r="P247" s="336">
        <f t="shared" si="489"/>
        <v>-1.370000000000001</v>
      </c>
      <c r="Q247" s="336">
        <f t="shared" si="489"/>
        <v>0.99600000000000055</v>
      </c>
      <c r="R247" s="336">
        <f t="shared" si="489"/>
        <v>-0.22499999999999887</v>
      </c>
      <c r="S247" s="336">
        <f t="shared" si="489"/>
        <v>-1.0670000000000068</v>
      </c>
      <c r="T247" s="336">
        <f t="shared" si="489"/>
        <v>0.5460000000000016</v>
      </c>
      <c r="U247" s="336">
        <f t="shared" si="489"/>
        <v>-2.7729999999999988</v>
      </c>
      <c r="V247" s="336">
        <f t="shared" si="489"/>
        <v>0.3329999999999973</v>
      </c>
      <c r="W247" s="336">
        <f t="shared" si="489"/>
        <v>0.71200000000000174</v>
      </c>
      <c r="X247" s="336">
        <f t="shared" si="489"/>
        <v>0.60499999999998966</v>
      </c>
      <c r="Y247" s="639">
        <f t="shared" si="489"/>
        <v>0.25000000000001288</v>
      </c>
      <c r="Z247" s="336">
        <f t="shared" si="489"/>
        <v>4.8640000000000025</v>
      </c>
      <c r="AA247" s="336">
        <f t="shared" si="489"/>
        <v>6.9939999999999927</v>
      </c>
      <c r="AB247" s="336">
        <f t="shared" si="489"/>
        <v>9.3239999999999981</v>
      </c>
      <c r="AC247" s="626">
        <f t="shared" si="489"/>
        <v>9.322999999999988</v>
      </c>
      <c r="AD247" s="336">
        <f t="shared" si="489"/>
        <v>10.665999999999997</v>
      </c>
      <c r="AE247" s="336">
        <f t="shared" si="489"/>
        <v>19.049999999999994</v>
      </c>
      <c r="AF247" s="613">
        <f t="shared" si="489"/>
        <v>18.893000000000015</v>
      </c>
      <c r="AG247" s="626">
        <f t="shared" si="489"/>
        <v>25.635000000000002</v>
      </c>
      <c r="AH247" s="336">
        <f t="shared" si="489"/>
        <v>18.03</v>
      </c>
      <c r="AI247" s="336">
        <f t="shared" si="489"/>
        <v>9.8619999999999965</v>
      </c>
      <c r="AJ247" s="613">
        <f t="shared" si="489"/>
        <v>3.835000000000008</v>
      </c>
      <c r="AK247" s="336">
        <f t="shared" si="489"/>
        <v>23.878999999999998</v>
      </c>
      <c r="AL247" s="336">
        <f t="shared" si="489"/>
        <v>22.631000000000007</v>
      </c>
      <c r="AM247" s="336">
        <f t="shared" si="489"/>
        <v>35.276999999999994</v>
      </c>
      <c r="AN247" s="613">
        <f t="shared" si="489"/>
        <v>45.113</v>
      </c>
      <c r="AO247" s="336">
        <f>AO216</f>
        <v>41.234999999999992</v>
      </c>
      <c r="AP247" s="336">
        <f t="shared" ref="AP247:AV247" si="490">AP216</f>
        <v>35.088000000000008</v>
      </c>
      <c r="AQ247" s="336">
        <f t="shared" si="490"/>
        <v>51.638000000000012</v>
      </c>
      <c r="AR247" s="613">
        <f t="shared" si="490"/>
        <v>39.68600000000005</v>
      </c>
      <c r="AS247" s="626">
        <f t="shared" si="490"/>
        <v>5.8129642950668021</v>
      </c>
      <c r="AT247" s="336">
        <f t="shared" si="490"/>
        <v>37.056643331764768</v>
      </c>
      <c r="AU247" s="336">
        <f t="shared" si="490"/>
        <v>83.05466664667901</v>
      </c>
      <c r="AV247" s="613">
        <f t="shared" si="490"/>
        <v>47.222937747454203</v>
      </c>
      <c r="AW247" s="626">
        <f t="shared" ref="AW247:BD247" si="491">AW216</f>
        <v>40.177037132421894</v>
      </c>
      <c r="AX247" s="336">
        <f t="shared" si="491"/>
        <v>49.836511422755216</v>
      </c>
      <c r="AY247" s="336">
        <f t="shared" si="491"/>
        <v>62.217715617682884</v>
      </c>
      <c r="AZ247" s="613">
        <f t="shared" si="491"/>
        <v>54.512657489693503</v>
      </c>
      <c r="BA247" s="626">
        <f t="shared" si="491"/>
        <v>49.535492135429308</v>
      </c>
      <c r="BB247" s="336">
        <f t="shared" si="491"/>
        <v>59.054812346311252</v>
      </c>
      <c r="BC247" s="336">
        <f t="shared" si="491"/>
        <v>72.482871082058608</v>
      </c>
      <c r="BD247" s="613">
        <f t="shared" si="491"/>
        <v>63.557160388357872</v>
      </c>
      <c r="BF247" s="59"/>
      <c r="BG247" s="639"/>
      <c r="BH247" s="336"/>
      <c r="BI247" s="336">
        <f t="shared" ref="BI247:BZ247" si="492">BI216</f>
        <v>-4.7289999999999992</v>
      </c>
      <c r="BJ247" s="336">
        <f t="shared" si="492"/>
        <v>-0.63299999999999479</v>
      </c>
      <c r="BK247" s="336">
        <f t="shared" si="492"/>
        <v>-7.8109999999999928</v>
      </c>
      <c r="BL247" s="336">
        <f t="shared" si="492"/>
        <v>0.24999999999999423</v>
      </c>
      <c r="BM247" s="336">
        <f t="shared" si="492"/>
        <v>-1.1230000000000082</v>
      </c>
      <c r="BN247" s="336">
        <f t="shared" si="492"/>
        <v>21.432000000000009</v>
      </c>
      <c r="BO247" s="336">
        <f t="shared" si="492"/>
        <v>57.931999999999988</v>
      </c>
      <c r="BP247" s="336">
        <f t="shared" si="492"/>
        <v>57.362000000000002</v>
      </c>
      <c r="BQ247" s="336">
        <f t="shared" si="492"/>
        <v>126.89999999999998</v>
      </c>
      <c r="BR247" s="336">
        <f t="shared" si="492"/>
        <v>167.64700000000005</v>
      </c>
      <c r="BS247" s="336">
        <f t="shared" si="492"/>
        <v>173.14721202096479</v>
      </c>
      <c r="BT247" s="336">
        <f t="shared" si="492"/>
        <v>206.7439216625535</v>
      </c>
      <c r="BU247" s="336">
        <f t="shared" si="492"/>
        <v>244.63033595215705</v>
      </c>
      <c r="BV247" s="336">
        <f t="shared" si="492"/>
        <v>283.56235286162655</v>
      </c>
      <c r="BW247" s="336">
        <f t="shared" si="492"/>
        <v>325.94710822020772</v>
      </c>
      <c r="BX247" s="336">
        <f t="shared" si="492"/>
        <v>369.82404844609738</v>
      </c>
      <c r="BY247" s="336">
        <f t="shared" si="492"/>
        <v>415.19415305804472</v>
      </c>
      <c r="BZ247" s="613">
        <f t="shared" si="492"/>
        <v>462.64879897437277</v>
      </c>
      <c r="CA247" s="36"/>
      <c r="CB247" s="36"/>
      <c r="CC247" s="36"/>
      <c r="CD247" s="36"/>
      <c r="CE247" s="36"/>
      <c r="CF247" s="36"/>
      <c r="CG247" s="1765"/>
      <c r="CH247" s="1765"/>
      <c r="CI247" s="1765"/>
      <c r="CJ247" s="36"/>
      <c r="CK247" s="36"/>
      <c r="CL247" s="114">
        <f t="shared" ref="CL247:CR249" si="493">IF(ISERROR(RATE(3,,-BL247,BO247)),"NM",(RATE(3,,-BL247,BO247)))</f>
        <v>5.1422313612188173</v>
      </c>
      <c r="CM247" s="114" t="str">
        <f t="shared" si="493"/>
        <v>NM</v>
      </c>
      <c r="CN247" s="114">
        <f t="shared" si="493"/>
        <v>0.80911555250323597</v>
      </c>
      <c r="CO247" s="114">
        <f t="shared" si="493"/>
        <v>0.42503573385544535</v>
      </c>
      <c r="CP247" s="114">
        <f t="shared" si="493"/>
        <v>0.44520816305450372</v>
      </c>
      <c r="CQ247" s="114">
        <f t="shared" si="493"/>
        <v>0.17667639870683488</v>
      </c>
      <c r="CR247" s="114">
        <f t="shared" si="493"/>
        <v>0.13423969396760779</v>
      </c>
    </row>
    <row r="248" spans="1:96" ht="11.25" customHeight="1" outlineLevel="1">
      <c r="A248" s="36"/>
      <c r="H248" s="36"/>
      <c r="I248" s="450" t="s">
        <v>130</v>
      </c>
      <c r="J248" s="5"/>
      <c r="K248" s="5"/>
      <c r="L248" s="5"/>
      <c r="M248" s="336">
        <f t="shared" ref="M248:AN248" si="494">M220</f>
        <v>0</v>
      </c>
      <c r="N248" s="336">
        <f t="shared" si="494"/>
        <v>0</v>
      </c>
      <c r="O248" s="336">
        <f t="shared" si="494"/>
        <v>-3.05</v>
      </c>
      <c r="P248" s="336">
        <f t="shared" si="494"/>
        <v>-0.52100000000000035</v>
      </c>
      <c r="Q248" s="336">
        <f t="shared" si="494"/>
        <v>-0.81299999999999994</v>
      </c>
      <c r="R248" s="336">
        <f t="shared" si="494"/>
        <v>-0.66500000000000004</v>
      </c>
      <c r="S248" s="336">
        <f t="shared" si="494"/>
        <v>-1.2819999999999998</v>
      </c>
      <c r="T248" s="336">
        <f t="shared" si="494"/>
        <v>-2.0380000000000003</v>
      </c>
      <c r="U248" s="336">
        <f t="shared" si="494"/>
        <v>-0.36699999999999999</v>
      </c>
      <c r="V248" s="336">
        <f t="shared" si="494"/>
        <v>-1.56</v>
      </c>
      <c r="W248" s="336">
        <f t="shared" si="494"/>
        <v>-1.5569999999999999</v>
      </c>
      <c r="X248" s="336">
        <f t="shared" si="494"/>
        <v>-4.04</v>
      </c>
      <c r="Y248" s="639">
        <f t="shared" si="494"/>
        <v>-0.94699999999999995</v>
      </c>
      <c r="Z248" s="336">
        <f t="shared" si="494"/>
        <v>-4.0190000000000001</v>
      </c>
      <c r="AA248" s="336">
        <f t="shared" si="494"/>
        <v>-4.5810000000000004</v>
      </c>
      <c r="AB248" s="336">
        <f t="shared" si="494"/>
        <v>-6.6959999999999988</v>
      </c>
      <c r="AC248" s="626">
        <f t="shared" si="494"/>
        <v>-4.2460000000000004</v>
      </c>
      <c r="AD248" s="336">
        <f t="shared" si="494"/>
        <v>-2.9659999999999993</v>
      </c>
      <c r="AE248" s="336">
        <f t="shared" si="494"/>
        <v>-5.5310000000000006</v>
      </c>
      <c r="AF248" s="613">
        <f t="shared" si="494"/>
        <v>-16.310999999999993</v>
      </c>
      <c r="AG248" s="626">
        <f t="shared" si="494"/>
        <v>-10.881</v>
      </c>
      <c r="AH248" s="336">
        <f t="shared" si="494"/>
        <v>-80.599999999999994</v>
      </c>
      <c r="AI248" s="336">
        <f t="shared" si="494"/>
        <v>-7.2990000000000066</v>
      </c>
      <c r="AJ248" s="613">
        <f t="shared" si="494"/>
        <v>-5.7689999999999912</v>
      </c>
      <c r="AK248" s="336">
        <f t="shared" si="494"/>
        <v>-7.6449999999999996</v>
      </c>
      <c r="AL248" s="336">
        <f t="shared" si="494"/>
        <v>-4.7590000000000003</v>
      </c>
      <c r="AM248" s="336">
        <f t="shared" si="494"/>
        <v>-5.3169999999999966</v>
      </c>
      <c r="AN248" s="613">
        <f t="shared" si="494"/>
        <v>-5.2730000000000032</v>
      </c>
      <c r="AO248" s="336">
        <f>AO220</f>
        <v>-2.452</v>
      </c>
      <c r="AP248" s="336">
        <f t="shared" ref="AP248:AV248" si="495">AP220</f>
        <v>-1.6269999999999998</v>
      </c>
      <c r="AQ248" s="336">
        <f t="shared" si="495"/>
        <v>-3.8130000000000006</v>
      </c>
      <c r="AR248" s="613">
        <f t="shared" si="495"/>
        <v>-7.7060000000000013</v>
      </c>
      <c r="AS248" s="626">
        <f t="shared" si="495"/>
        <v>-5.53</v>
      </c>
      <c r="AT248" s="336">
        <f t="shared" si="495"/>
        <v>-5.7850000000000001</v>
      </c>
      <c r="AU248" s="336">
        <f t="shared" si="495"/>
        <v>-6.2</v>
      </c>
      <c r="AV248" s="613">
        <f t="shared" si="495"/>
        <v>-6.4849999999999994</v>
      </c>
      <c r="AW248" s="626">
        <f t="shared" ref="AW248:BD248" si="496">AW220</f>
        <v>-8.5448686221582744</v>
      </c>
      <c r="AX248" s="336">
        <f t="shared" si="496"/>
        <v>-8.9000760291316521</v>
      </c>
      <c r="AY248" s="336">
        <f t="shared" si="496"/>
        <v>-9.2784378010008872</v>
      </c>
      <c r="AZ248" s="613">
        <f t="shared" si="496"/>
        <v>-9.5795222811216245</v>
      </c>
      <c r="BA248" s="626">
        <f t="shared" si="496"/>
        <v>-9.758137819601977</v>
      </c>
      <c r="BB248" s="336">
        <f t="shared" si="496"/>
        <v>-10.126179322437531</v>
      </c>
      <c r="BC248" s="336">
        <f t="shared" si="496"/>
        <v>-10.48715950429558</v>
      </c>
      <c r="BD248" s="613">
        <f t="shared" si="496"/>
        <v>-10.74830663157263</v>
      </c>
      <c r="BF248" s="59"/>
      <c r="BG248" s="639"/>
      <c r="BH248" s="336"/>
      <c r="BI248" s="336">
        <f t="shared" ref="BI248:BN248" si="497">-BI258</f>
        <v>-1.333</v>
      </c>
      <c r="BJ248" s="336">
        <f>-BJ258</f>
        <v>-0.622</v>
      </c>
      <c r="BK248" s="336">
        <f t="shared" si="497"/>
        <v>-3.5710000000000002</v>
      </c>
      <c r="BL248" s="336">
        <f t="shared" si="497"/>
        <v>-4.798</v>
      </c>
      <c r="BM248" s="336">
        <f t="shared" si="497"/>
        <v>-7.524</v>
      </c>
      <c r="BN248" s="336">
        <f t="shared" si="497"/>
        <v>-16.242999999999999</v>
      </c>
      <c r="BO248" s="336">
        <f>-BO258</f>
        <v>-29.053999999999995</v>
      </c>
      <c r="BP248" s="336">
        <f t="shared" ref="BP248:BU248" si="498">-BP258</f>
        <v>-104.54899999999999</v>
      </c>
      <c r="BQ248" s="336">
        <f t="shared" si="498"/>
        <v>-22.994</v>
      </c>
      <c r="BR248" s="336">
        <f t="shared" si="498"/>
        <v>-15.598000000000003</v>
      </c>
      <c r="BS248" s="336">
        <f t="shared" si="498"/>
        <v>-24</v>
      </c>
      <c r="BT248" s="336">
        <f t="shared" si="498"/>
        <v>-36.30290473341244</v>
      </c>
      <c r="BU248" s="336">
        <f t="shared" si="498"/>
        <v>-41.119783277907715</v>
      </c>
      <c r="BV248" s="336">
        <f>-BV258</f>
        <v>-46.119783277907715</v>
      </c>
      <c r="BW248" s="336">
        <f>-BW258</f>
        <v>-51.119783277907715</v>
      </c>
      <c r="BX248" s="336">
        <f>-BX258</f>
        <v>-56.119783277907715</v>
      </c>
      <c r="BY248" s="336">
        <f>-BY258</f>
        <v>-61.119783277907715</v>
      </c>
      <c r="BZ248" s="613">
        <f>-BZ258</f>
        <v>-66.119783277907715</v>
      </c>
      <c r="CA248" s="36"/>
      <c r="CB248" s="36"/>
      <c r="CC248" s="36"/>
      <c r="CD248" s="36"/>
      <c r="CE248" s="36"/>
      <c r="CF248" s="36"/>
      <c r="CG248" s="1765"/>
      <c r="CH248" s="1765"/>
      <c r="CI248" s="1765"/>
      <c r="CJ248" s="36"/>
      <c r="CK248" s="36"/>
      <c r="CL248" s="114">
        <f t="shared" si="493"/>
        <v>0.82270015085087256</v>
      </c>
      <c r="CM248" s="114">
        <f t="shared" si="493"/>
        <v>1.4041249307679351</v>
      </c>
      <c r="CN248" s="114">
        <f t="shared" si="493"/>
        <v>0.12283539461131167</v>
      </c>
      <c r="CO248" s="114">
        <f t="shared" si="493"/>
        <v>-0.18725495969407696</v>
      </c>
      <c r="CP248" s="114">
        <f t="shared" si="493"/>
        <v>-0.38770066724024166</v>
      </c>
      <c r="CQ248" s="114">
        <f t="shared" si="493"/>
        <v>0.16441810550271677</v>
      </c>
      <c r="CR248" s="114">
        <f t="shared" si="493"/>
        <v>0.38142496522135555</v>
      </c>
    </row>
    <row r="249" spans="1:96" ht="11.25" customHeight="1" outlineLevel="1">
      <c r="A249" s="36"/>
      <c r="H249" s="36"/>
      <c r="I249" s="622" t="s">
        <v>131</v>
      </c>
      <c r="J249" s="50"/>
      <c r="K249" s="50"/>
      <c r="L249" s="50"/>
      <c r="M249" s="76">
        <f t="shared" ref="M249:S249" si="499">SUM(M247:M248)</f>
        <v>0</v>
      </c>
      <c r="N249" s="76">
        <f t="shared" si="499"/>
        <v>0</v>
      </c>
      <c r="O249" s="76">
        <f t="shared" si="499"/>
        <v>-3.903999999999999</v>
      </c>
      <c r="P249" s="76">
        <f t="shared" si="499"/>
        <v>-1.8910000000000013</v>
      </c>
      <c r="Q249" s="76">
        <f t="shared" si="499"/>
        <v>0.18300000000000061</v>
      </c>
      <c r="R249" s="76">
        <f t="shared" si="499"/>
        <v>-0.8899999999999989</v>
      </c>
      <c r="S249" s="76">
        <f t="shared" si="499"/>
        <v>-2.3490000000000064</v>
      </c>
      <c r="T249" s="76">
        <f t="shared" ref="T249:AE249" si="500">SUM(T247:T248)</f>
        <v>-1.4919999999999987</v>
      </c>
      <c r="U249" s="76">
        <f t="shared" si="500"/>
        <v>-3.1399999999999988</v>
      </c>
      <c r="V249" s="76">
        <f t="shared" si="500"/>
        <v>-1.2270000000000028</v>
      </c>
      <c r="W249" s="76">
        <f t="shared" si="500"/>
        <v>-0.8449999999999982</v>
      </c>
      <c r="X249" s="76">
        <f t="shared" si="500"/>
        <v>-3.4350000000000103</v>
      </c>
      <c r="Y249" s="640">
        <f t="shared" si="500"/>
        <v>-0.69699999999998707</v>
      </c>
      <c r="Z249" s="76">
        <f t="shared" si="500"/>
        <v>0.84500000000000242</v>
      </c>
      <c r="AA249" s="76">
        <f t="shared" si="500"/>
        <v>2.4129999999999923</v>
      </c>
      <c r="AB249" s="76">
        <f t="shared" si="500"/>
        <v>2.6279999999999992</v>
      </c>
      <c r="AC249" s="627">
        <f>SUM(AC247:AC248)</f>
        <v>5.0769999999999875</v>
      </c>
      <c r="AD249" s="76">
        <f t="shared" si="500"/>
        <v>7.6999999999999975</v>
      </c>
      <c r="AE249" s="76">
        <f t="shared" si="500"/>
        <v>13.518999999999993</v>
      </c>
      <c r="AF249" s="614">
        <f t="shared" ref="AF249:AN249" si="501">SUM(AF247:AF248)</f>
        <v>2.5820000000000221</v>
      </c>
      <c r="AG249" s="627">
        <f t="shared" si="501"/>
        <v>14.754000000000001</v>
      </c>
      <c r="AH249" s="76">
        <f t="shared" si="501"/>
        <v>-62.569999999999993</v>
      </c>
      <c r="AI249" s="76">
        <f t="shared" si="501"/>
        <v>2.56299999999999</v>
      </c>
      <c r="AJ249" s="614">
        <f t="shared" si="501"/>
        <v>-1.9339999999999833</v>
      </c>
      <c r="AK249" s="76">
        <f t="shared" si="501"/>
        <v>16.233999999999998</v>
      </c>
      <c r="AL249" s="76">
        <f t="shared" si="501"/>
        <v>17.872000000000007</v>
      </c>
      <c r="AM249" s="76">
        <f t="shared" si="501"/>
        <v>29.959999999999997</v>
      </c>
      <c r="AN249" s="614">
        <f t="shared" si="501"/>
        <v>39.839999999999996</v>
      </c>
      <c r="AO249" s="76">
        <f>SUM(AO247:AO248)</f>
        <v>38.782999999999994</v>
      </c>
      <c r="AP249" s="76">
        <f t="shared" ref="AP249:AV249" si="502">SUM(AP247:AP248)</f>
        <v>33.461000000000006</v>
      </c>
      <c r="AQ249" s="76">
        <f t="shared" si="502"/>
        <v>47.82500000000001</v>
      </c>
      <c r="AR249" s="614">
        <f t="shared" si="502"/>
        <v>31.980000000000047</v>
      </c>
      <c r="AS249" s="627">
        <f t="shared" si="502"/>
        <v>0.28296429506680187</v>
      </c>
      <c r="AT249" s="76">
        <f t="shared" si="502"/>
        <v>31.271643331764768</v>
      </c>
      <c r="AU249" s="76">
        <f t="shared" si="502"/>
        <v>76.854666646679007</v>
      </c>
      <c r="AV249" s="614">
        <f t="shared" si="502"/>
        <v>40.737937747454204</v>
      </c>
      <c r="AW249" s="627">
        <f t="shared" ref="AW249:BD249" si="503">SUM(AW247:AW248)</f>
        <v>31.632168510263618</v>
      </c>
      <c r="AX249" s="76">
        <f t="shared" si="503"/>
        <v>40.936435393623562</v>
      </c>
      <c r="AY249" s="76">
        <f t="shared" si="503"/>
        <v>52.939277816681994</v>
      </c>
      <c r="AZ249" s="614">
        <f t="shared" si="503"/>
        <v>44.933135208571876</v>
      </c>
      <c r="BA249" s="627">
        <f t="shared" si="503"/>
        <v>39.777354315827331</v>
      </c>
      <c r="BB249" s="76">
        <f t="shared" si="503"/>
        <v>48.928633023873722</v>
      </c>
      <c r="BC249" s="76">
        <f t="shared" si="503"/>
        <v>61.995711577763032</v>
      </c>
      <c r="BD249" s="614">
        <f t="shared" si="503"/>
        <v>52.80885375678524</v>
      </c>
      <c r="BF249" s="59"/>
      <c r="BG249" s="640"/>
      <c r="BH249" s="76"/>
      <c r="BI249" s="76">
        <f t="shared" ref="BI249:BU249" si="504">SUM(BI247:BI248)</f>
        <v>-6.0619999999999994</v>
      </c>
      <c r="BJ249" s="76">
        <f t="shared" si="504"/>
        <v>-1.2549999999999948</v>
      </c>
      <c r="BK249" s="76">
        <f t="shared" si="504"/>
        <v>-11.381999999999993</v>
      </c>
      <c r="BL249" s="76">
        <f t="shared" si="504"/>
        <v>-4.5480000000000054</v>
      </c>
      <c r="BM249" s="76">
        <f t="shared" si="504"/>
        <v>-8.6470000000000091</v>
      </c>
      <c r="BN249" s="76">
        <f t="shared" si="504"/>
        <v>5.1890000000000107</v>
      </c>
      <c r="BO249" s="76">
        <f t="shared" si="504"/>
        <v>28.877999999999993</v>
      </c>
      <c r="BP249" s="76">
        <f t="shared" si="504"/>
        <v>-47.186999999999991</v>
      </c>
      <c r="BQ249" s="76">
        <f t="shared" si="504"/>
        <v>103.90599999999998</v>
      </c>
      <c r="BR249" s="76">
        <f t="shared" si="504"/>
        <v>152.04900000000004</v>
      </c>
      <c r="BS249" s="76">
        <f t="shared" si="504"/>
        <v>149.14721202096479</v>
      </c>
      <c r="BT249" s="76">
        <f t="shared" si="504"/>
        <v>170.44101692914106</v>
      </c>
      <c r="BU249" s="76">
        <f t="shared" si="504"/>
        <v>203.51055267424934</v>
      </c>
      <c r="BV249" s="76">
        <f>SUM(BV247:BV248)</f>
        <v>237.44256958371884</v>
      </c>
      <c r="BW249" s="76">
        <f>SUM(BW247:BW248)</f>
        <v>274.82732494230004</v>
      </c>
      <c r="BX249" s="76">
        <f>SUM(BX247:BX248)</f>
        <v>313.70426516818964</v>
      </c>
      <c r="BY249" s="76">
        <f>SUM(BY247:BY248)</f>
        <v>354.07436978013698</v>
      </c>
      <c r="BZ249" s="614">
        <f>SUM(BZ247:BZ248)</f>
        <v>396.52901569646508</v>
      </c>
      <c r="CA249" s="36"/>
      <c r="CB249" s="36"/>
      <c r="CC249" s="36"/>
      <c r="CD249" s="36"/>
      <c r="CE249" s="36"/>
      <c r="CF249" s="36"/>
      <c r="CG249" s="1765"/>
      <c r="CH249" s="1765"/>
      <c r="CI249" s="1765"/>
      <c r="CJ249" s="36"/>
      <c r="CK249" s="36"/>
      <c r="CL249" s="73" t="str">
        <f t="shared" si="493"/>
        <v>NM</v>
      </c>
      <c r="CM249" s="73">
        <f t="shared" si="493"/>
        <v>0.76056596840880597</v>
      </c>
      <c r="CN249" s="73">
        <f t="shared" si="493"/>
        <v>1.7155157032464099</v>
      </c>
      <c r="CO249" s="73">
        <f t="shared" si="493"/>
        <v>0.7396911415070726</v>
      </c>
      <c r="CP249" s="73" t="str">
        <f t="shared" si="493"/>
        <v>NM</v>
      </c>
      <c r="CQ249" s="73">
        <f t="shared" si="493"/>
        <v>0.17935484835390617</v>
      </c>
      <c r="CR249" s="73">
        <f t="shared" si="493"/>
        <v>0.10204955067832827</v>
      </c>
    </row>
    <row r="250" spans="1:96" ht="11.25" customHeight="1" outlineLevel="1">
      <c r="A250" s="36"/>
      <c r="H250" s="36"/>
      <c r="I250" s="653" t="s">
        <v>132</v>
      </c>
      <c r="J250" s="13"/>
      <c r="K250" s="5"/>
      <c r="L250" s="5"/>
      <c r="M250" s="199" t="str">
        <f>IF(ISERROR(+M249/I249-1),"NA",(IF(M249&lt;=0,"NM",M249/I249-1)))</f>
        <v>NA</v>
      </c>
      <c r="N250" s="199" t="str">
        <f>IF(ISERROR(+N249/J249-1),"NA",(IF(N249&lt;=0,"NM",N249/J249-1)))</f>
        <v>NA</v>
      </c>
      <c r="O250" s="199" t="str">
        <f>IF(ISERROR(+O249/K249-1),"NA",(IF(O249&lt;=0,"NM",O249/K249-1)))</f>
        <v>NA</v>
      </c>
      <c r="P250" s="199" t="str">
        <f>IF(ISERROR(+P249/L249-1),"NA",(IF(P249&lt;=0,"NM",P249/L249-1)))</f>
        <v>NA</v>
      </c>
      <c r="Q250" s="199" t="str">
        <f>IF(ISERROR(+Q249/M249-1),"NA",(IF(Q249&lt;=0,"NM",Q249/M249-1)))</f>
        <v>NA</v>
      </c>
      <c r="R250" s="199" t="str">
        <f t="shared" ref="R250:AE250" si="505">IF(ISERROR(+R249/N249-1),"NA",(IF(R249&lt;=0,"NM",R249/N249-1)))</f>
        <v>NA</v>
      </c>
      <c r="S250" s="199" t="str">
        <f t="shared" si="505"/>
        <v>NM</v>
      </c>
      <c r="T250" s="199" t="str">
        <f t="shared" si="505"/>
        <v>NM</v>
      </c>
      <c r="U250" s="199" t="str">
        <f t="shared" si="505"/>
        <v>NM</v>
      </c>
      <c r="V250" s="199" t="str">
        <f t="shared" si="505"/>
        <v>NM</v>
      </c>
      <c r="W250" s="199" t="str">
        <f t="shared" si="505"/>
        <v>NM</v>
      </c>
      <c r="X250" s="199" t="str">
        <f t="shared" si="505"/>
        <v>NM</v>
      </c>
      <c r="Y250" s="451" t="str">
        <f t="shared" si="505"/>
        <v>NM</v>
      </c>
      <c r="Z250" s="199">
        <f t="shared" si="505"/>
        <v>-1.6886715566422172</v>
      </c>
      <c r="AA250" s="199">
        <f t="shared" si="505"/>
        <v>-3.8556213017751451</v>
      </c>
      <c r="AB250" s="199">
        <f t="shared" si="505"/>
        <v>-1.7650655021834036</v>
      </c>
      <c r="AC250" s="449">
        <f>IF(ISERROR(+AC249/Y249-1),"NA",(IF(AC249&lt;=0,"NM",AC249/Y249-1)))</f>
        <v>-8.2840746054520551</v>
      </c>
      <c r="AD250" s="199">
        <f t="shared" si="505"/>
        <v>8.1124260355029296</v>
      </c>
      <c r="AE250" s="199">
        <f t="shared" si="505"/>
        <v>4.6025694156651618</v>
      </c>
      <c r="AF250" s="620">
        <f t="shared" ref="AF250:AO250" si="506">IF(ISERROR(+AF249/AB249-1),"NA",(IF(AF249&lt;=0,"NM",AF249/AB249-1)))</f>
        <v>-1.7503805175029363E-2</v>
      </c>
      <c r="AG250" s="449">
        <f t="shared" si="506"/>
        <v>1.9060468780776123</v>
      </c>
      <c r="AH250" s="199" t="str">
        <f t="shared" si="506"/>
        <v>NM</v>
      </c>
      <c r="AI250" s="199">
        <f t="shared" si="506"/>
        <v>-0.81041497152156294</v>
      </c>
      <c r="AJ250" s="620" t="str">
        <f t="shared" si="506"/>
        <v>NM</v>
      </c>
      <c r="AK250" s="199">
        <f t="shared" si="506"/>
        <v>0.10031177985631001</v>
      </c>
      <c r="AL250" s="199">
        <f t="shared" si="506"/>
        <v>-1.2856320920568964</v>
      </c>
      <c r="AM250" s="199">
        <f t="shared" si="506"/>
        <v>10.689426453374995</v>
      </c>
      <c r="AN250" s="620">
        <f t="shared" si="506"/>
        <v>-21.599793174767498</v>
      </c>
      <c r="AO250" s="199">
        <f t="shared" si="506"/>
        <v>1.3889983984230625</v>
      </c>
      <c r="AP250" s="199">
        <f t="shared" ref="AP250:AV250" si="507">IF(ISERROR(+AP249/AL249-1),"NA",(IF(AP249&lt;=0,"NM",AP249/AL249-1)))</f>
        <v>0.87225828111011605</v>
      </c>
      <c r="AQ250" s="199">
        <f t="shared" si="507"/>
        <v>0.59629506008010735</v>
      </c>
      <c r="AR250" s="620">
        <f t="shared" si="507"/>
        <v>-0.19728915662650481</v>
      </c>
      <c r="AS250" s="449">
        <f t="shared" si="507"/>
        <v>-0.99270390905636996</v>
      </c>
      <c r="AT250" s="199">
        <f t="shared" si="507"/>
        <v>-6.5430102753511132E-2</v>
      </c>
      <c r="AU250" s="199">
        <f t="shared" si="507"/>
        <v>0.60699773437906934</v>
      </c>
      <c r="AV250" s="620">
        <f t="shared" si="507"/>
        <v>0.27385671505485121</v>
      </c>
      <c r="AW250" s="449">
        <f t="shared" ref="AW250:BD250" si="508">IF(ISERROR(+AW249/AS249-1),"NA",(IF(AW249&lt;=0,"NM",AW249/AS249-1)))</f>
        <v>110.78855092935288</v>
      </c>
      <c r="AX250" s="199">
        <f t="shared" si="508"/>
        <v>0.30905929564761947</v>
      </c>
      <c r="AY250" s="199">
        <f t="shared" si="508"/>
        <v>-0.31117679476696336</v>
      </c>
      <c r="AZ250" s="620">
        <f t="shared" si="508"/>
        <v>0.10298011369954141</v>
      </c>
      <c r="BA250" s="449">
        <f t="shared" si="508"/>
        <v>0.25749691498136973</v>
      </c>
      <c r="BB250" s="199">
        <f t="shared" si="508"/>
        <v>0.19523433228617315</v>
      </c>
      <c r="BC250" s="199">
        <f t="shared" si="508"/>
        <v>0.17107210628073988</v>
      </c>
      <c r="BD250" s="620">
        <f t="shared" si="508"/>
        <v>0.17527640819309931</v>
      </c>
      <c r="BF250" s="36"/>
      <c r="BG250" s="451"/>
      <c r="BH250" s="199"/>
      <c r="BI250" s="199" t="str">
        <f t="shared" ref="BI250:BZ250" si="509">IF(ISERROR(+BI249/BH249-1),"NA",(IF(BI249&lt;=0,"NM",BI249/BH249-1)))</f>
        <v>NA</v>
      </c>
      <c r="BJ250" s="199" t="str">
        <f>IF(ISERROR(+BJ249/BI249-1),"NA",(IF(BJ249&lt;=0,"NM",BJ249/BI249-1)))</f>
        <v>NM</v>
      </c>
      <c r="BK250" s="199" t="str">
        <f>IF(ISERROR(+BK249/BJ249-1),"NA",(IF(BK249&lt;=0,"NM",BK249/BJ249-1)))</f>
        <v>NM</v>
      </c>
      <c r="BL250" s="199" t="str">
        <f>IF(ISERROR(+BL249/BK249-1),"NA",(IF(BL249&lt;=0,"NM",BL249/BK249-1)))</f>
        <v>NM</v>
      </c>
      <c r="BM250" s="199" t="str">
        <f t="shared" si="509"/>
        <v>NM</v>
      </c>
      <c r="BN250" s="199">
        <f t="shared" si="509"/>
        <v>-1.6000925176361749</v>
      </c>
      <c r="BO250" s="199">
        <f t="shared" si="509"/>
        <v>4.5652341491616752</v>
      </c>
      <c r="BP250" s="199" t="str">
        <f t="shared" si="509"/>
        <v>NM</v>
      </c>
      <c r="BQ250" s="199">
        <f t="shared" si="509"/>
        <v>-3.2020047894547226</v>
      </c>
      <c r="BR250" s="199">
        <f t="shared" si="509"/>
        <v>0.46333224260389261</v>
      </c>
      <c r="BS250" s="199">
        <f t="shared" si="509"/>
        <v>-1.9084558129519036E-2</v>
      </c>
      <c r="BT250" s="199">
        <f t="shared" si="509"/>
        <v>0.14277038517611129</v>
      </c>
      <c r="BU250" s="199">
        <f t="shared" si="509"/>
        <v>0.19402334215628736</v>
      </c>
      <c r="BV250" s="199">
        <f t="shared" si="509"/>
        <v>0.16673345172317933</v>
      </c>
      <c r="BW250" s="199">
        <f t="shared" si="509"/>
        <v>0.15744756900215351</v>
      </c>
      <c r="BX250" s="199">
        <f t="shared" si="509"/>
        <v>0.14145951547595126</v>
      </c>
      <c r="BY250" s="199">
        <f t="shared" si="509"/>
        <v>0.12868841483651261</v>
      </c>
      <c r="BZ250" s="620">
        <f t="shared" si="509"/>
        <v>0.11990318853830173</v>
      </c>
      <c r="CA250" s="36"/>
      <c r="CB250" s="36"/>
      <c r="CC250" s="36"/>
      <c r="CD250" s="36"/>
      <c r="CE250" s="36"/>
      <c r="CF250" s="36"/>
      <c r="CG250" s="1765"/>
      <c r="CH250" s="1765"/>
      <c r="CI250" s="1765"/>
      <c r="CJ250" s="36"/>
      <c r="CK250" s="36"/>
      <c r="CL250" s="36"/>
      <c r="CM250" s="36"/>
      <c r="CN250" s="36"/>
      <c r="CO250" s="36"/>
      <c r="CP250" s="36"/>
      <c r="CQ250" s="36"/>
      <c r="CR250" s="36"/>
    </row>
    <row r="251" spans="1:96" ht="11.25" customHeight="1" outlineLevel="1">
      <c r="A251" s="36"/>
      <c r="H251" s="36"/>
      <c r="I251" s="653"/>
      <c r="J251" s="13"/>
      <c r="K251" s="5"/>
      <c r="L251" s="5"/>
      <c r="M251" s="5"/>
      <c r="N251" s="5"/>
      <c r="O251" s="5"/>
      <c r="P251" s="5"/>
      <c r="Q251" s="5"/>
      <c r="R251" s="5"/>
      <c r="S251" s="5"/>
      <c r="T251" s="5"/>
      <c r="U251" s="5"/>
      <c r="V251" s="5"/>
      <c r="W251" s="5"/>
      <c r="X251" s="5"/>
      <c r="Y251" s="448"/>
      <c r="Z251" s="5"/>
      <c r="AA251" s="5"/>
      <c r="AB251" s="5"/>
      <c r="AC251" s="450"/>
      <c r="AD251" s="5"/>
      <c r="AE251" s="5"/>
      <c r="AF251" s="492"/>
      <c r="AG251" s="450"/>
      <c r="AH251" s="5"/>
      <c r="AI251" s="5"/>
      <c r="AJ251" s="492"/>
      <c r="AK251" s="5"/>
      <c r="AL251" s="5"/>
      <c r="AM251" s="5"/>
      <c r="AN251" s="492"/>
      <c r="AO251" s="5"/>
      <c r="AP251" s="5"/>
      <c r="AQ251" s="5"/>
      <c r="AR251" s="492"/>
      <c r="AS251" s="450"/>
      <c r="AT251" s="5"/>
      <c r="AU251" s="5"/>
      <c r="AV251" s="492"/>
      <c r="AW251" s="450"/>
      <c r="AX251" s="5"/>
      <c r="AY251" s="5"/>
      <c r="AZ251" s="492"/>
      <c r="BA251" s="450"/>
      <c r="BB251" s="5"/>
      <c r="BC251" s="5"/>
      <c r="BD251" s="492"/>
      <c r="BF251" s="36"/>
      <c r="BG251" s="448"/>
      <c r="BH251" s="5"/>
      <c r="BI251" s="5"/>
      <c r="BJ251" s="5"/>
      <c r="BK251" s="5"/>
      <c r="BL251" s="5"/>
      <c r="BM251" s="5"/>
      <c r="BN251" s="5"/>
      <c r="BO251" s="5"/>
      <c r="BP251" s="5"/>
      <c r="BQ251" s="5"/>
      <c r="BR251" s="5"/>
      <c r="BS251" s="5"/>
      <c r="BT251" s="5"/>
      <c r="BU251" s="5"/>
      <c r="BV251" s="5"/>
      <c r="BW251" s="5"/>
      <c r="BX251" s="5"/>
      <c r="BY251" s="5"/>
      <c r="BZ251" s="492"/>
      <c r="CA251" s="36"/>
      <c r="CB251" s="36"/>
      <c r="CC251" s="36"/>
      <c r="CD251" s="36"/>
      <c r="CE251" s="36"/>
      <c r="CF251" s="36"/>
      <c r="CG251" s="1765"/>
      <c r="CH251" s="1765"/>
      <c r="CI251" s="1765"/>
      <c r="CJ251" s="36"/>
      <c r="CK251" s="36"/>
      <c r="CL251" s="36"/>
      <c r="CM251" s="36"/>
      <c r="CN251" s="36"/>
      <c r="CO251" s="36"/>
      <c r="CP251" s="36"/>
      <c r="CQ251" s="36"/>
      <c r="CR251" s="36"/>
    </row>
    <row r="252" spans="1:96" ht="11.25" customHeight="1" outlineLevel="1">
      <c r="A252" s="36"/>
      <c r="H252" s="36"/>
      <c r="I252" s="622" t="s">
        <v>35</v>
      </c>
      <c r="J252" s="5"/>
      <c r="K252" s="5"/>
      <c r="L252" s="5"/>
      <c r="M252" s="353">
        <f t="shared" ref="M252:BD252" si="510">M249/M49</f>
        <v>0</v>
      </c>
      <c r="N252" s="353">
        <f t="shared" si="510"/>
        <v>0</v>
      </c>
      <c r="O252" s="353">
        <f t="shared" si="510"/>
        <v>1.9578736208625889</v>
      </c>
      <c r="P252" s="353">
        <f t="shared" si="510"/>
        <v>-4.8737113402061789</v>
      </c>
      <c r="Q252" s="353">
        <f t="shared" si="510"/>
        <v>-0.20795454545454659</v>
      </c>
      <c r="R252" s="353">
        <f t="shared" si="510"/>
        <v>-1.371340523882892</v>
      </c>
      <c r="S252" s="353">
        <f t="shared" si="510"/>
        <v>2.6632653061224389</v>
      </c>
      <c r="T252" s="353">
        <f t="shared" si="510"/>
        <v>99.466666666683423</v>
      </c>
      <c r="U252" s="353">
        <f t="shared" si="510"/>
        <v>3.3017875920084068</v>
      </c>
      <c r="V252" s="353">
        <f t="shared" si="510"/>
        <v>-0.77609108159393048</v>
      </c>
      <c r="W252" s="353">
        <f t="shared" si="510"/>
        <v>-0.39084181313598343</v>
      </c>
      <c r="X252" s="353">
        <f t="shared" si="510"/>
        <v>-1.9030470914127553</v>
      </c>
      <c r="Y252" s="647">
        <f t="shared" si="510"/>
        <v>-0.21754057428214285</v>
      </c>
      <c r="Z252" s="353">
        <f t="shared" si="510"/>
        <v>0.10875160875160902</v>
      </c>
      <c r="AA252" s="353">
        <f t="shared" si="510"/>
        <v>0.29975155279503035</v>
      </c>
      <c r="AB252" s="353">
        <f t="shared" si="510"/>
        <v>0.25257087938491118</v>
      </c>
      <c r="AC252" s="634">
        <f t="shared" si="510"/>
        <v>0.59638200399389096</v>
      </c>
      <c r="AD252" s="353">
        <f t="shared" si="510"/>
        <v>0.44653212711667833</v>
      </c>
      <c r="AE252" s="353">
        <f t="shared" si="510"/>
        <v>0.67372670188378303</v>
      </c>
      <c r="AF252" s="621">
        <f t="shared" si="510"/>
        <v>0.10287262440734775</v>
      </c>
      <c r="AG252" s="634">
        <f t="shared" si="510"/>
        <v>1.5354355291913835</v>
      </c>
      <c r="AH252" s="353">
        <f t="shared" si="510"/>
        <v>-4.3391123439667165</v>
      </c>
      <c r="AI252" s="353">
        <f t="shared" si="510"/>
        <v>0.7171236709569081</v>
      </c>
      <c r="AJ252" s="621">
        <f t="shared" si="510"/>
        <v>-0.18405024743052767</v>
      </c>
      <c r="AK252" s="353">
        <f t="shared" si="510"/>
        <v>1.2462766774144001</v>
      </c>
      <c r="AL252" s="353">
        <f t="shared" si="510"/>
        <v>0.6359463402483726</v>
      </c>
      <c r="AM252" s="353">
        <f t="shared" si="510"/>
        <v>0.88957510614923285</v>
      </c>
      <c r="AN252" s="621">
        <f t="shared" si="510"/>
        <v>0.87997526173963003</v>
      </c>
      <c r="AO252" s="353">
        <f>AO249/AO49</f>
        <v>1.3249632742304678</v>
      </c>
      <c r="AP252" s="353">
        <f t="shared" si="510"/>
        <v>0.78012216730392647</v>
      </c>
      <c r="AQ252" s="353">
        <f t="shared" si="510"/>
        <v>1.1171977200523273</v>
      </c>
      <c r="AR252" s="621">
        <f t="shared" ref="AR252" si="511">AR249/AR49</f>
        <v>0.76808531078874198</v>
      </c>
      <c r="AS252" s="634">
        <f t="shared" si="510"/>
        <v>8.6325979865172174E-3</v>
      </c>
      <c r="AT252" s="353">
        <f t="shared" si="510"/>
        <v>0.66036371008295003</v>
      </c>
      <c r="AU252" s="353">
        <f t="shared" si="510"/>
        <v>1.5483702222988149</v>
      </c>
      <c r="AV252" s="621">
        <f t="shared" si="510"/>
        <v>0.71699886493889942</v>
      </c>
      <c r="AW252" s="634">
        <f t="shared" si="510"/>
        <v>0.71507957359297902</v>
      </c>
      <c r="AX252" s="353">
        <f t="shared" si="510"/>
        <v>0.68412964804409726</v>
      </c>
      <c r="AY252" s="353">
        <f t="shared" si="510"/>
        <v>0.85663909732816712</v>
      </c>
      <c r="AZ252" s="621">
        <f t="shared" si="510"/>
        <v>0.6519973310244378</v>
      </c>
      <c r="BA252" s="634">
        <f t="shared" si="510"/>
        <v>0.72569827958973598</v>
      </c>
      <c r="BB252" s="353">
        <f t="shared" si="510"/>
        <v>0.67573612419594353</v>
      </c>
      <c r="BC252" s="353">
        <f t="shared" si="510"/>
        <v>0.83520924922094431</v>
      </c>
      <c r="BD252" s="621">
        <f t="shared" si="510"/>
        <v>0.64503919265205989</v>
      </c>
      <c r="BF252" s="36"/>
      <c r="BG252" s="647"/>
      <c r="BH252" s="353"/>
      <c r="BI252" s="353">
        <f t="shared" ref="BI252:BZ252" si="512">BI249/BI49</f>
        <v>1.143126532151612</v>
      </c>
      <c r="BJ252" s="353">
        <f t="shared" si="512"/>
        <v>2.1826086956521795</v>
      </c>
      <c r="BK252" s="353">
        <f t="shared" si="512"/>
        <v>2.5629362756135996</v>
      </c>
      <c r="BL252" s="353">
        <f t="shared" si="512"/>
        <v>4.0319148936170253</v>
      </c>
      <c r="BM252" s="353">
        <f t="shared" si="512"/>
        <v>-1.8810093539264889</v>
      </c>
      <c r="BN252" s="353">
        <f t="shared" si="512"/>
        <v>0.1763226749125017</v>
      </c>
      <c r="BO252" s="353">
        <f t="shared" si="512"/>
        <v>0.40717971856405621</v>
      </c>
      <c r="BP252" s="353">
        <f t="shared" si="512"/>
        <v>-1.2381464668993201</v>
      </c>
      <c r="BQ252" s="353">
        <f t="shared" si="512"/>
        <v>0.86529205043220481</v>
      </c>
      <c r="BR252" s="353">
        <f t="shared" si="512"/>
        <v>0.97089529842216526</v>
      </c>
      <c r="BS252" s="353">
        <f t="shared" si="512"/>
        <v>0.79934447990116508</v>
      </c>
      <c r="BT252" s="353">
        <f t="shared" si="512"/>
        <v>0.7259356094335081</v>
      </c>
      <c r="BU252" s="353">
        <f t="shared" si="512"/>
        <v>0.71831293349780245</v>
      </c>
      <c r="BV252" s="353">
        <f t="shared" si="512"/>
        <v>0.697499281173805</v>
      </c>
      <c r="BW252" s="353">
        <f t="shared" si="512"/>
        <v>0.68351008202796326</v>
      </c>
      <c r="BX252" s="353">
        <f t="shared" si="512"/>
        <v>0.67383339654588614</v>
      </c>
      <c r="BY252" s="353">
        <f t="shared" si="512"/>
        <v>0.66680139710159914</v>
      </c>
      <c r="BZ252" s="621">
        <f t="shared" si="512"/>
        <v>0.6609886342382304</v>
      </c>
      <c r="CA252" s="36"/>
      <c r="CB252" s="36"/>
      <c r="CC252" s="36"/>
      <c r="CD252" s="36"/>
      <c r="CE252" s="36"/>
      <c r="CF252" s="36"/>
      <c r="CG252" s="1765"/>
      <c r="CH252" s="1765"/>
      <c r="CI252" s="1765"/>
      <c r="CJ252" s="36"/>
      <c r="CK252" s="36"/>
      <c r="CL252" s="36"/>
      <c r="CM252" s="36"/>
      <c r="CN252" s="36"/>
      <c r="CO252" s="36"/>
      <c r="CP252" s="36"/>
      <c r="CQ252" s="36"/>
      <c r="CR252" s="36"/>
    </row>
    <row r="253" spans="1:96" ht="11.25" customHeight="1" outlineLevel="1">
      <c r="A253" s="36"/>
      <c r="H253" s="36"/>
      <c r="I253" s="622" t="s">
        <v>319</v>
      </c>
      <c r="J253" s="5"/>
      <c r="K253" s="5"/>
      <c r="L253" s="5"/>
      <c r="M253" s="353">
        <f t="shared" ref="M253:AF253" si="513">M249/M18</f>
        <v>0</v>
      </c>
      <c r="N253" s="353">
        <f t="shared" si="513"/>
        <v>0</v>
      </c>
      <c r="O253" s="353">
        <f t="shared" si="513"/>
        <v>-0.30998888359536275</v>
      </c>
      <c r="P253" s="353">
        <f t="shared" si="513"/>
        <v>-0.12380515909388512</v>
      </c>
      <c r="Q253" s="353">
        <f t="shared" si="513"/>
        <v>1.1090909090909127E-2</v>
      </c>
      <c r="R253" s="353">
        <f t="shared" si="513"/>
        <v>-4.5459188885483649E-2</v>
      </c>
      <c r="S253" s="353">
        <f t="shared" si="513"/>
        <v>-0.10532687651331749</v>
      </c>
      <c r="T253" s="353">
        <f t="shared" si="513"/>
        <v>-5.9907649066452462E-2</v>
      </c>
      <c r="U253" s="353">
        <f t="shared" si="513"/>
        <v>-0.11466131093664411</v>
      </c>
      <c r="V253" s="353">
        <f t="shared" si="513"/>
        <v>-3.7576945456772815E-2</v>
      </c>
      <c r="W253" s="353">
        <f t="shared" si="513"/>
        <v>-2.3232795358939764E-2</v>
      </c>
      <c r="X253" s="353">
        <f t="shared" si="513"/>
        <v>-8.346089365114101E-2</v>
      </c>
      <c r="Y253" s="647">
        <f t="shared" si="513"/>
        <v>-1.5108490668284895E-2</v>
      </c>
      <c r="Z253" s="353">
        <f t="shared" si="513"/>
        <v>1.5357214255856684E-2</v>
      </c>
      <c r="AA253" s="353">
        <f t="shared" si="513"/>
        <v>3.9440349127997126E-2</v>
      </c>
      <c r="AB253" s="353">
        <f t="shared" si="513"/>
        <v>3.7196925733535259E-2</v>
      </c>
      <c r="AC253" s="634">
        <f t="shared" si="513"/>
        <v>6.6446791524336621E-2</v>
      </c>
      <c r="AD253" s="353">
        <f t="shared" si="513"/>
        <v>8.6724407852500893E-2</v>
      </c>
      <c r="AE253" s="353">
        <f t="shared" si="513"/>
        <v>0.13195061246400852</v>
      </c>
      <c r="AF253" s="621">
        <f t="shared" si="513"/>
        <v>2.3496864961278605E-2</v>
      </c>
      <c r="AG253" s="634">
        <f t="shared" ref="AG253:AQ253" si="514">AG249/AG23</f>
        <v>0.13196779964221828</v>
      </c>
      <c r="AH253" s="353">
        <f t="shared" si="514"/>
        <v>-0.49816878980891716</v>
      </c>
      <c r="AI253" s="353">
        <f t="shared" si="514"/>
        <v>1.904160475482905E-2</v>
      </c>
      <c r="AJ253" s="621">
        <f t="shared" si="514"/>
        <v>-1.3183367416496138E-2</v>
      </c>
      <c r="AK253" s="353">
        <f t="shared" si="514"/>
        <v>0.10234974434630199</v>
      </c>
      <c r="AL253" s="353">
        <f t="shared" si="514"/>
        <v>0.10305141038355979</v>
      </c>
      <c r="AM253" s="353">
        <f t="shared" si="514"/>
        <v>0.16087460801580822</v>
      </c>
      <c r="AN253" s="621">
        <f t="shared" si="514"/>
        <v>0.20452165342204151</v>
      </c>
      <c r="AO253" s="353">
        <f t="shared" si="514"/>
        <v>0.19654576506540034</v>
      </c>
      <c r="AP253" s="353">
        <f t="shared" si="514"/>
        <v>0.16020472652060674</v>
      </c>
      <c r="AQ253" s="353">
        <f t="shared" si="514"/>
        <v>0.21505980753664902</v>
      </c>
      <c r="AR253" s="621">
        <f t="shared" ref="AR253" si="515">AR249/AR23</f>
        <v>0.14653189520082863</v>
      </c>
      <c r="AS253" s="634">
        <f t="shared" ref="AS253:BD253" si="516">AS249/AS23</f>
        <v>1.2792237570831912E-3</v>
      </c>
      <c r="AT253" s="353">
        <f t="shared" si="516"/>
        <v>0.13514106884945881</v>
      </c>
      <c r="AU253" s="353">
        <f t="shared" si="516"/>
        <v>0.30989784938177017</v>
      </c>
      <c r="AV253" s="621">
        <f t="shared" si="516"/>
        <v>0.15704679162472709</v>
      </c>
      <c r="AW253" s="634">
        <f t="shared" si="516"/>
        <v>0.12064137494379717</v>
      </c>
      <c r="AX253" s="353">
        <f t="shared" si="516"/>
        <v>0.15105695717204265</v>
      </c>
      <c r="AY253" s="353">
        <f t="shared" si="516"/>
        <v>0.18458604538592047</v>
      </c>
      <c r="AZ253" s="621">
        <f t="shared" si="516"/>
        <v>0.15159627263350836</v>
      </c>
      <c r="BA253" s="634">
        <f t="shared" si="516"/>
        <v>0.13330212572328196</v>
      </c>
      <c r="BB253" s="353">
        <f t="shared" si="516"/>
        <v>0.15916926813231527</v>
      </c>
      <c r="BC253" s="353">
        <f t="shared" si="516"/>
        <v>0.19205610773780368</v>
      </c>
      <c r="BD253" s="621">
        <f t="shared" si="516"/>
        <v>0.15906281252043747</v>
      </c>
      <c r="BF253" s="36"/>
      <c r="BG253" s="647"/>
      <c r="BH253" s="353"/>
      <c r="BI253" s="353">
        <f t="shared" ref="BI253:BZ253" si="517">BI249/BI23</f>
        <v>-0.49938215668506458</v>
      </c>
      <c r="BJ253" s="353">
        <f t="shared" si="517"/>
        <v>-4.8628332300061791E-2</v>
      </c>
      <c r="BK253" s="353">
        <f t="shared" si="517"/>
        <v>-0.23846137730196293</v>
      </c>
      <c r="BL253" s="353">
        <f t="shared" si="517"/>
        <v>-5.4607672450021079E-2</v>
      </c>
      <c r="BM253" s="353">
        <f t="shared" si="517"/>
        <v>-6.2857101318639863E-2</v>
      </c>
      <c r="BN253" s="353">
        <f t="shared" si="517"/>
        <v>2.2271533297852295E-2</v>
      </c>
      <c r="BO253" s="353">
        <f t="shared" si="517"/>
        <v>7.6490718765892501E-2</v>
      </c>
      <c r="BP253" s="353">
        <f t="shared" si="517"/>
        <v>-9.0971659919028308E-2</v>
      </c>
      <c r="BQ253" s="353">
        <f t="shared" si="517"/>
        <v>0.14571661367974206</v>
      </c>
      <c r="BR253" s="353">
        <f t="shared" si="517"/>
        <v>0.1795543998497898</v>
      </c>
      <c r="BS253" s="353">
        <f t="shared" si="517"/>
        <v>0.15536167918850499</v>
      </c>
      <c r="BT253" s="353">
        <f t="shared" si="517"/>
        <v>0.15267020506014067</v>
      </c>
      <c r="BU253" s="353">
        <f t="shared" si="517"/>
        <v>0.1614394357244561</v>
      </c>
      <c r="BV253" s="353">
        <f t="shared" si="517"/>
        <v>0.16952918005406173</v>
      </c>
      <c r="BW253" s="353">
        <f t="shared" si="517"/>
        <v>0.17873785441096518</v>
      </c>
      <c r="BX253" s="353">
        <f t="shared" si="517"/>
        <v>0.18777939971758031</v>
      </c>
      <c r="BY253" s="353">
        <f t="shared" si="517"/>
        <v>0.19675170581247889</v>
      </c>
      <c r="BZ253" s="621">
        <f t="shared" si="517"/>
        <v>0.20592491467410942</v>
      </c>
      <c r="CA253" s="36"/>
      <c r="CB253" s="36"/>
      <c r="CC253" s="36"/>
      <c r="CD253" s="36"/>
      <c r="CE253" s="36"/>
      <c r="CF253" s="36"/>
      <c r="CG253" s="1765"/>
      <c r="CH253" s="1765"/>
      <c r="CI253" s="1765"/>
      <c r="CJ253" s="36"/>
      <c r="CK253" s="36"/>
      <c r="CL253" s="36"/>
      <c r="CM253" s="36"/>
      <c r="CN253" s="36"/>
      <c r="CO253" s="36"/>
      <c r="CP253" s="36"/>
      <c r="CQ253" s="36"/>
      <c r="CR253" s="36"/>
    </row>
    <row r="254" spans="1:96" ht="11.25" customHeight="1">
      <c r="A254" s="36"/>
      <c r="H254" s="36"/>
      <c r="I254" s="493"/>
      <c r="J254" s="494"/>
      <c r="K254" s="494"/>
      <c r="L254" s="494"/>
      <c r="M254" s="494"/>
      <c r="N254" s="494"/>
      <c r="O254" s="494"/>
      <c r="P254" s="494"/>
      <c r="Q254" s="494"/>
      <c r="R254" s="494"/>
      <c r="S254" s="494"/>
      <c r="T254" s="494"/>
      <c r="U254" s="494"/>
      <c r="V254" s="494"/>
      <c r="W254" s="494"/>
      <c r="X254" s="494"/>
      <c r="Y254" s="654"/>
      <c r="Z254" s="494"/>
      <c r="AA254" s="494"/>
      <c r="AB254" s="494"/>
      <c r="AC254" s="493"/>
      <c r="AD254" s="494"/>
      <c r="AE254" s="494"/>
      <c r="AF254" s="496"/>
      <c r="AG254" s="493"/>
      <c r="AH254" s="494"/>
      <c r="AI254" s="494"/>
      <c r="AJ254" s="496"/>
      <c r="AK254" s="494"/>
      <c r="AL254" s="494"/>
      <c r="AM254" s="494"/>
      <c r="AN254" s="496"/>
      <c r="AO254" s="494"/>
      <c r="AP254" s="494"/>
      <c r="AQ254" s="494"/>
      <c r="AR254" s="496"/>
      <c r="AS254" s="493"/>
      <c r="AT254" s="494"/>
      <c r="AU254" s="494"/>
      <c r="AV254" s="496"/>
      <c r="AW254" s="493"/>
      <c r="AX254" s="494"/>
      <c r="AY254" s="494"/>
      <c r="AZ254" s="496"/>
      <c r="BA254" s="493"/>
      <c r="BB254" s="494"/>
      <c r="BC254" s="494"/>
      <c r="BD254" s="496"/>
      <c r="BF254" s="36"/>
      <c r="BG254" s="557"/>
      <c r="BH254" s="558"/>
      <c r="BI254" s="558"/>
      <c r="BJ254" s="558"/>
      <c r="BK254" s="558"/>
      <c r="BL254" s="558"/>
      <c r="BM254" s="558"/>
      <c r="BN254" s="558"/>
      <c r="BO254" s="558"/>
      <c r="BP254" s="558"/>
      <c r="BQ254" s="558"/>
      <c r="BR254" s="558"/>
      <c r="BS254" s="558"/>
      <c r="BT254" s="558"/>
      <c r="BU254" s="558"/>
      <c r="BV254" s="494"/>
      <c r="BW254" s="494"/>
      <c r="BX254" s="494"/>
      <c r="BY254" s="494"/>
      <c r="BZ254" s="496"/>
      <c r="CA254" s="36"/>
      <c r="CB254" s="36"/>
      <c r="CC254" s="36"/>
      <c r="CD254" s="36"/>
      <c r="CE254" s="36"/>
      <c r="CF254" s="36"/>
      <c r="CG254" s="1765"/>
      <c r="CH254" s="1765"/>
      <c r="CI254" s="1765"/>
      <c r="CJ254" s="36"/>
      <c r="CK254" s="36"/>
      <c r="CL254" s="36"/>
      <c r="CM254" s="36"/>
      <c r="CN254" s="36"/>
      <c r="CO254" s="36"/>
      <c r="CP254" s="36"/>
      <c r="CQ254" s="36"/>
      <c r="CR254" s="36"/>
    </row>
    <row r="255" spans="1:96" ht="11.25" customHeight="1">
      <c r="A255" s="36"/>
      <c r="H255" s="36"/>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5"/>
      <c r="AM255" s="1"/>
      <c r="AN255" s="492"/>
      <c r="AO255" s="1"/>
      <c r="AP255" s="1"/>
      <c r="AQ255" s="1"/>
      <c r="AR255" s="492"/>
      <c r="AS255" s="1"/>
      <c r="AT255" s="1"/>
      <c r="AU255" s="1"/>
      <c r="AV255" s="1"/>
      <c r="AW255" s="1"/>
      <c r="AX255" s="1"/>
      <c r="AY255" s="1"/>
      <c r="AZ255" s="1"/>
      <c r="BA255" s="1"/>
      <c r="BB255" s="1"/>
      <c r="BC255" s="1"/>
      <c r="BD255" s="1"/>
      <c r="BF255" s="36"/>
      <c r="BG255" s="1"/>
      <c r="BH255" s="1"/>
      <c r="BI255" s="1"/>
      <c r="BJ255" s="1"/>
      <c r="BK255" s="1"/>
      <c r="BL255" s="1"/>
      <c r="BM255" s="1"/>
      <c r="BN255" s="5"/>
      <c r="BO255" s="5"/>
      <c r="BP255" s="1"/>
      <c r="BQ255" s="1"/>
      <c r="BR255" s="1"/>
      <c r="BS255" s="1"/>
      <c r="BT255" s="1"/>
      <c r="BU255" s="5"/>
      <c r="BV255" s="5"/>
      <c r="BW255" s="1"/>
      <c r="BX255" s="1"/>
      <c r="BY255" s="1"/>
      <c r="BZ255" s="1"/>
      <c r="CA255" s="36"/>
      <c r="CB255" s="36"/>
      <c r="CC255" s="36"/>
      <c r="CD255" s="36"/>
      <c r="CE255" s="36"/>
      <c r="CF255" s="36"/>
      <c r="CG255" s="1765"/>
      <c r="CH255" s="1765"/>
      <c r="CI255" s="1765"/>
      <c r="CJ255" s="36"/>
      <c r="CK255" s="36"/>
      <c r="CL255" s="36"/>
      <c r="CM255" s="36"/>
      <c r="CN255" s="36"/>
      <c r="CO255" s="36"/>
      <c r="CP255" s="36"/>
      <c r="CQ255" s="36"/>
      <c r="CR255" s="36"/>
    </row>
    <row r="256" spans="1:96" ht="11.25" customHeight="1">
      <c r="A256" s="1"/>
      <c r="H256" s="1"/>
      <c r="I256" s="529" t="s">
        <v>134</v>
      </c>
      <c r="J256" s="530"/>
      <c r="K256" s="530"/>
      <c r="L256" s="530"/>
      <c r="M256" s="530"/>
      <c r="N256" s="530"/>
      <c r="O256" s="531"/>
      <c r="P256" s="531"/>
      <c r="Q256" s="529"/>
      <c r="R256" s="530"/>
      <c r="S256" s="530"/>
      <c r="T256" s="532"/>
      <c r="U256" s="529"/>
      <c r="V256" s="530"/>
      <c r="W256" s="531"/>
      <c r="X256" s="532"/>
      <c r="Y256" s="530"/>
      <c r="Z256" s="530"/>
      <c r="AA256" s="530"/>
      <c r="AB256" s="532"/>
      <c r="AC256" s="529"/>
      <c r="AD256" s="530"/>
      <c r="AE256" s="530"/>
      <c r="AF256" s="532"/>
      <c r="AG256" s="530"/>
      <c r="AH256" s="530"/>
      <c r="AI256" s="530"/>
      <c r="AJ256" s="532"/>
      <c r="AK256" s="530"/>
      <c r="AL256" s="530"/>
      <c r="AM256" s="530"/>
      <c r="AN256" s="2610"/>
      <c r="AO256" s="530"/>
      <c r="AP256" s="530"/>
      <c r="AQ256" s="530"/>
      <c r="AR256" s="2610"/>
      <c r="AS256" s="530"/>
      <c r="AT256" s="530"/>
      <c r="AU256" s="530"/>
      <c r="AV256" s="532"/>
      <c r="AW256" s="530"/>
      <c r="AX256" s="530"/>
      <c r="AY256" s="530"/>
      <c r="AZ256" s="532"/>
      <c r="BA256" s="530"/>
      <c r="BB256" s="530"/>
      <c r="BC256" s="530"/>
      <c r="BD256" s="532"/>
      <c r="BF256" s="36"/>
      <c r="BG256" s="689"/>
      <c r="BH256" s="394"/>
      <c r="BI256" s="569"/>
      <c r="BJ256" s="569"/>
      <c r="BK256" s="569"/>
      <c r="BL256" s="569"/>
      <c r="BM256" s="569"/>
      <c r="BN256" s="569"/>
      <c r="BO256" s="1214"/>
      <c r="BP256" s="1214"/>
      <c r="BQ256" s="1215"/>
      <c r="BR256" s="1215"/>
      <c r="BS256" s="1215"/>
      <c r="BT256" s="1215"/>
      <c r="BU256" s="1215"/>
      <c r="BV256" s="394"/>
      <c r="BW256" s="394"/>
      <c r="BX256" s="394"/>
      <c r="BY256" s="394"/>
      <c r="BZ256" s="394"/>
      <c r="CA256" s="54"/>
      <c r="CB256" s="54"/>
      <c r="CC256" s="54"/>
      <c r="CD256" s="54"/>
      <c r="CE256" s="54"/>
      <c r="CF256" s="54"/>
      <c r="CG256" s="1772"/>
      <c r="CH256" s="1772"/>
      <c r="CI256" s="1772"/>
      <c r="CJ256" s="54"/>
      <c r="CK256" s="54"/>
      <c r="CL256" s="54"/>
      <c r="CM256" s="36"/>
      <c r="CN256" s="36"/>
      <c r="CO256" s="36"/>
      <c r="CP256" s="36"/>
      <c r="CQ256" s="36"/>
      <c r="CR256" s="36"/>
    </row>
    <row r="257" spans="1:96" s="401" customFormat="1" ht="11.25" customHeight="1">
      <c r="A257" s="5"/>
      <c r="B257"/>
      <c r="C257"/>
      <c r="D257"/>
      <c r="E257"/>
      <c r="F257"/>
      <c r="G257"/>
      <c r="H257" s="5"/>
      <c r="I257" s="533"/>
      <c r="J257" s="50"/>
      <c r="K257" s="50"/>
      <c r="L257" s="50"/>
      <c r="M257" s="50"/>
      <c r="N257" s="50"/>
      <c r="O257" s="222"/>
      <c r="P257" s="222"/>
      <c r="Q257" s="444"/>
      <c r="R257" s="50"/>
      <c r="S257" s="50"/>
      <c r="T257" s="534"/>
      <c r="U257" s="444"/>
      <c r="V257" s="50"/>
      <c r="W257" s="222"/>
      <c r="X257" s="534"/>
      <c r="Y257" s="50"/>
      <c r="Z257" s="50"/>
      <c r="AA257" s="50"/>
      <c r="AB257" s="534"/>
      <c r="AC257" s="444"/>
      <c r="AD257" s="50"/>
      <c r="AE257" s="50"/>
      <c r="AF257" s="534"/>
      <c r="AG257" s="50"/>
      <c r="AH257" s="50"/>
      <c r="AI257" s="50"/>
      <c r="AJ257" s="534"/>
      <c r="AK257" s="50"/>
      <c r="AL257" s="50"/>
      <c r="AM257" s="50"/>
      <c r="AN257" s="609"/>
      <c r="AO257" s="50"/>
      <c r="AP257" s="50"/>
      <c r="AQ257" s="50"/>
      <c r="AR257" s="609"/>
      <c r="AS257" s="50"/>
      <c r="AT257" s="50"/>
      <c r="AU257" s="50"/>
      <c r="AV257" s="534"/>
      <c r="AW257" s="50"/>
      <c r="AX257" s="50"/>
      <c r="AY257" s="50"/>
      <c r="AZ257" s="534"/>
      <c r="BA257" s="50"/>
      <c r="BB257" s="50"/>
      <c r="BC257" s="50"/>
      <c r="BD257" s="534"/>
      <c r="BE257"/>
      <c r="BF257" s="54"/>
      <c r="BG257" s="622"/>
      <c r="BH257" s="50"/>
      <c r="BI257" s="222"/>
      <c r="BJ257" s="222"/>
      <c r="BK257" s="222"/>
      <c r="BL257" s="222"/>
      <c r="BM257" s="222"/>
      <c r="BN257" s="222"/>
      <c r="BO257" s="222"/>
      <c r="BP257" s="222"/>
      <c r="BQ257" s="50"/>
      <c r="BR257" s="50"/>
      <c r="BS257" s="50"/>
      <c r="BT257" s="50"/>
      <c r="BU257" s="50"/>
      <c r="BV257" s="742"/>
      <c r="BW257" s="742"/>
      <c r="BX257" s="742"/>
      <c r="BY257" s="742"/>
      <c r="BZ257" s="1672"/>
      <c r="CA257" s="54"/>
      <c r="CB257" s="54"/>
      <c r="CC257" s="54"/>
      <c r="CD257" s="54"/>
      <c r="CE257" s="54"/>
      <c r="CF257" s="54"/>
      <c r="CG257" s="1772"/>
      <c r="CH257" s="1772"/>
      <c r="CI257" s="1772"/>
      <c r="CJ257" s="54"/>
      <c r="CK257" s="54"/>
      <c r="CL257" s="54"/>
      <c r="CM257" s="54"/>
      <c r="CN257" s="54"/>
      <c r="CO257" s="54"/>
      <c r="CP257" s="54"/>
      <c r="CQ257" s="54"/>
      <c r="CR257" s="54"/>
    </row>
    <row r="258" spans="1:96" s="106" customFormat="1" ht="11.25" customHeight="1">
      <c r="A258" s="54"/>
      <c r="B258"/>
      <c r="C258"/>
      <c r="D258"/>
      <c r="E258"/>
      <c r="F258"/>
      <c r="G258"/>
      <c r="H258" s="54"/>
      <c r="I258" s="444" t="s">
        <v>262</v>
      </c>
      <c r="J258" s="50"/>
      <c r="K258" s="50"/>
      <c r="L258" s="50"/>
      <c r="M258" s="108">
        <f t="shared" ref="M258:AI258" si="518">-M220</f>
        <v>0</v>
      </c>
      <c r="N258" s="108">
        <f t="shared" si="518"/>
        <v>0</v>
      </c>
      <c r="O258" s="108">
        <f t="shared" si="518"/>
        <v>3.05</v>
      </c>
      <c r="P258" s="108">
        <f t="shared" si="518"/>
        <v>0.52100000000000035</v>
      </c>
      <c r="Q258" s="674">
        <f t="shared" si="518"/>
        <v>0.81299999999999994</v>
      </c>
      <c r="R258" s="108">
        <f t="shared" si="518"/>
        <v>0.66500000000000004</v>
      </c>
      <c r="S258" s="108">
        <f t="shared" si="518"/>
        <v>1.2819999999999998</v>
      </c>
      <c r="T258" s="679">
        <f t="shared" si="518"/>
        <v>2.0380000000000003</v>
      </c>
      <c r="U258" s="674">
        <f t="shared" si="518"/>
        <v>0.36699999999999999</v>
      </c>
      <c r="V258" s="108">
        <f t="shared" si="518"/>
        <v>1.56</v>
      </c>
      <c r="W258" s="108">
        <f t="shared" si="518"/>
        <v>1.5569999999999999</v>
      </c>
      <c r="X258" s="679">
        <f t="shared" si="518"/>
        <v>4.04</v>
      </c>
      <c r="Y258" s="108">
        <f t="shared" si="518"/>
        <v>0.94699999999999995</v>
      </c>
      <c r="Z258" s="108">
        <f t="shared" si="518"/>
        <v>4.0190000000000001</v>
      </c>
      <c r="AA258" s="108">
        <f t="shared" si="518"/>
        <v>4.5810000000000004</v>
      </c>
      <c r="AB258" s="679">
        <f t="shared" si="518"/>
        <v>6.6959999999999988</v>
      </c>
      <c r="AC258" s="674">
        <f t="shared" si="518"/>
        <v>4.2460000000000004</v>
      </c>
      <c r="AD258" s="108">
        <f t="shared" si="518"/>
        <v>2.9659999999999993</v>
      </c>
      <c r="AE258" s="108">
        <f t="shared" si="518"/>
        <v>5.5310000000000006</v>
      </c>
      <c r="AF258" s="679">
        <f t="shared" si="518"/>
        <v>16.310999999999993</v>
      </c>
      <c r="AG258" s="674">
        <f t="shared" si="518"/>
        <v>10.881</v>
      </c>
      <c r="AH258" s="108">
        <f t="shared" si="518"/>
        <v>80.599999999999994</v>
      </c>
      <c r="AI258" s="428">
        <f t="shared" si="518"/>
        <v>7.2990000000000066</v>
      </c>
      <c r="AJ258" s="679">
        <f t="shared" ref="AJ258:AO258" si="519">-AJ220</f>
        <v>5.7689999999999912</v>
      </c>
      <c r="AK258" s="428">
        <f t="shared" si="519"/>
        <v>7.6449999999999996</v>
      </c>
      <c r="AL258" s="428">
        <f t="shared" si="519"/>
        <v>4.7590000000000003</v>
      </c>
      <c r="AM258" s="428">
        <f t="shared" si="519"/>
        <v>5.3169999999999966</v>
      </c>
      <c r="AN258" s="471">
        <f t="shared" si="519"/>
        <v>5.2730000000000032</v>
      </c>
      <c r="AO258" s="428">
        <f t="shared" si="519"/>
        <v>2.452</v>
      </c>
      <c r="AP258" s="428">
        <f>-AP220</f>
        <v>1.6269999999999998</v>
      </c>
      <c r="AQ258" s="428">
        <f t="shared" ref="AQ258:AR258" si="520">-AQ220</f>
        <v>3.8130000000000006</v>
      </c>
      <c r="AR258" s="471">
        <f t="shared" si="520"/>
        <v>7.7060000000000013</v>
      </c>
      <c r="AS258" s="322">
        <f>AS260*AS23</f>
        <v>5.53</v>
      </c>
      <c r="AT258" s="322">
        <f t="shared" ref="AT258:BD258" si="521">AT260*AT23</f>
        <v>5.7850000000000001</v>
      </c>
      <c r="AU258" s="322">
        <f t="shared" si="521"/>
        <v>6.2</v>
      </c>
      <c r="AV258" s="681">
        <f t="shared" si="521"/>
        <v>6.4849999999999994</v>
      </c>
      <c r="AW258" s="322">
        <f t="shared" si="521"/>
        <v>8.5448686221582744</v>
      </c>
      <c r="AX258" s="322">
        <f t="shared" si="521"/>
        <v>8.9000760291316521</v>
      </c>
      <c r="AY258" s="322">
        <f t="shared" si="521"/>
        <v>9.2784378010008872</v>
      </c>
      <c r="AZ258" s="681">
        <f t="shared" si="521"/>
        <v>9.5795222811216245</v>
      </c>
      <c r="BA258" s="322">
        <f t="shared" si="521"/>
        <v>9.758137819601977</v>
      </c>
      <c r="BB258" s="322">
        <f t="shared" si="521"/>
        <v>10.126179322437531</v>
      </c>
      <c r="BC258" s="322">
        <f t="shared" si="521"/>
        <v>10.48715950429558</v>
      </c>
      <c r="BD258" s="681">
        <f t="shared" si="521"/>
        <v>10.74830663157263</v>
      </c>
      <c r="BE258"/>
      <c r="BF258" s="99"/>
      <c r="BG258" s="627"/>
      <c r="BH258" s="76"/>
      <c r="BI258" s="108">
        <f>-BI220</f>
        <v>1.333</v>
      </c>
      <c r="BJ258" s="108">
        <f>-BJ220</f>
        <v>0.622</v>
      </c>
      <c r="BK258" s="108">
        <f>-BK220</f>
        <v>3.5710000000000002</v>
      </c>
      <c r="BL258" s="108">
        <f>SUM(Q258:T258)</f>
        <v>4.798</v>
      </c>
      <c r="BM258" s="108">
        <f>SUM(U258:X258)</f>
        <v>7.524</v>
      </c>
      <c r="BN258" s="108">
        <f>SUM(Y258:AB258)</f>
        <v>16.242999999999999</v>
      </c>
      <c r="BO258" s="108">
        <f>SUM(AC258:AF258)</f>
        <v>29.053999999999995</v>
      </c>
      <c r="BP258" s="108">
        <f>SUM(AG258:AJ258)</f>
        <v>104.54899999999999</v>
      </c>
      <c r="BQ258" s="428">
        <f>SUM(AK258:AN258)</f>
        <v>22.994</v>
      </c>
      <c r="BR258" s="428">
        <f>SUM(AO258:AR258)</f>
        <v>15.598000000000003</v>
      </c>
      <c r="BS258" s="428">
        <f>SUM(AS258:AV258)</f>
        <v>24</v>
      </c>
      <c r="BT258" s="428">
        <f>SUM(AW258:AZ258)</f>
        <v>36.30290473341244</v>
      </c>
      <c r="BU258" s="428">
        <f>SUM(BA258:BD258)</f>
        <v>41.119783277907715</v>
      </c>
      <c r="BV258" s="322">
        <f>BU258+BV262</f>
        <v>46.119783277907715</v>
      </c>
      <c r="BW258" s="322">
        <f>BV258+BW262</f>
        <v>51.119783277907715</v>
      </c>
      <c r="BX258" s="322">
        <f>BW258+BX262</f>
        <v>56.119783277907715</v>
      </c>
      <c r="BY258" s="322">
        <f>BX258+BY262</f>
        <v>61.119783277907715</v>
      </c>
      <c r="BZ258" s="734">
        <f>BY258+BZ262</f>
        <v>66.119783277907715</v>
      </c>
      <c r="CA258" s="54"/>
      <c r="CB258" s="54"/>
      <c r="CC258" s="54"/>
      <c r="CD258" s="54"/>
      <c r="CE258" s="54"/>
      <c r="CF258" s="54"/>
      <c r="CG258" s="1772"/>
      <c r="CH258" s="1772"/>
      <c r="CI258" s="1772"/>
      <c r="CJ258" s="54"/>
      <c r="CK258" s="54"/>
      <c r="CL258" s="54"/>
      <c r="CM258" s="54"/>
      <c r="CN258" s="54"/>
      <c r="CO258" s="54"/>
      <c r="CP258" s="54"/>
      <c r="CQ258" s="54"/>
      <c r="CR258" s="54"/>
    </row>
    <row r="259" spans="1:96" s="106" customFormat="1" ht="11.25" customHeight="1">
      <c r="A259" s="54"/>
      <c r="B259"/>
      <c r="C259"/>
      <c r="D259"/>
      <c r="E259"/>
      <c r="F259"/>
      <c r="G259"/>
      <c r="H259" s="54"/>
      <c r="I259" s="1045" t="s">
        <v>432</v>
      </c>
      <c r="J259" s="50"/>
      <c r="K259" s="50"/>
      <c r="L259" s="50"/>
      <c r="M259" s="108"/>
      <c r="N259" s="108"/>
      <c r="O259" s="198" t="str">
        <f t="shared" ref="O259:AH259" si="522">IFERROR(O258/O159,"NA")</f>
        <v>NA</v>
      </c>
      <c r="P259" s="198">
        <f t="shared" si="522"/>
        <v>9.9124809741248154E-2</v>
      </c>
      <c r="Q259" s="866" t="str">
        <f t="shared" si="522"/>
        <v>NA</v>
      </c>
      <c r="R259" s="198" t="str">
        <f t="shared" si="522"/>
        <v>NA</v>
      </c>
      <c r="S259" s="198">
        <f t="shared" si="522"/>
        <v>0.14317623408532495</v>
      </c>
      <c r="T259" s="867">
        <f t="shared" si="522"/>
        <v>0.20625442768950514</v>
      </c>
      <c r="U259" s="866">
        <f t="shared" si="522"/>
        <v>3.4463329890130533E-2</v>
      </c>
      <c r="V259" s="198">
        <f t="shared" si="522"/>
        <v>0.13411279229711143</v>
      </c>
      <c r="W259" s="198">
        <f t="shared" si="522"/>
        <v>0.1233462726768597</v>
      </c>
      <c r="X259" s="867">
        <f t="shared" si="522"/>
        <v>0.27299141833907697</v>
      </c>
      <c r="Y259" s="198">
        <f t="shared" si="522"/>
        <v>6.0043114379913769E-2</v>
      </c>
      <c r="Z259" s="198">
        <f t="shared" si="522"/>
        <v>0.20319530815511402</v>
      </c>
      <c r="AA259" s="198">
        <f t="shared" si="522"/>
        <v>0.17672929285135605</v>
      </c>
      <c r="AB259" s="867">
        <f t="shared" si="522"/>
        <v>0.21835257288201915</v>
      </c>
      <c r="AC259" s="866">
        <f t="shared" si="522"/>
        <v>0.1275151660760406</v>
      </c>
      <c r="AD259" s="198">
        <f t="shared" si="522"/>
        <v>7.9173562543377263E-2</v>
      </c>
      <c r="AE259" s="198">
        <f t="shared" si="522"/>
        <v>0.1276394433803337</v>
      </c>
      <c r="AF259" s="867">
        <f t="shared" si="522"/>
        <v>0.25989069645161794</v>
      </c>
      <c r="AG259" s="866">
        <f t="shared" si="522"/>
        <v>0.15862903460944108</v>
      </c>
      <c r="AH259" s="198">
        <f t="shared" si="522"/>
        <v>1.1101469636240926</v>
      </c>
      <c r="AI259" s="198">
        <f t="shared" ref="AI259:AN259" si="523">IFERROR(AI258/AI159,"NA")</f>
        <v>9.3168415409359051E-2</v>
      </c>
      <c r="AJ259" s="867">
        <f t="shared" si="523"/>
        <v>7.1693986354654599E-2</v>
      </c>
      <c r="AK259" s="264">
        <f t="shared" si="523"/>
        <v>9.017882419552703E-2</v>
      </c>
      <c r="AL259" s="264">
        <f t="shared" si="523"/>
        <v>5.3171996156510477E-2</v>
      </c>
      <c r="AM259" s="264">
        <f t="shared" si="523"/>
        <v>5.6661480423708915E-2</v>
      </c>
      <c r="AN259" s="1242">
        <f t="shared" si="523"/>
        <v>5.7042405884898346E-2</v>
      </c>
      <c r="AO259" s="264">
        <f>IFERROR(AO258/AO159,"NA")</f>
        <v>2.6731496723974402E-2</v>
      </c>
      <c r="AP259" s="264">
        <f>IFERROR(AP258/AP159,"NA")</f>
        <v>1.7739930653989575E-2</v>
      </c>
      <c r="AQ259" s="264">
        <f t="shared" ref="AQ259:AR259" si="524">IFERROR(AQ258/AQ159,"NA")</f>
        <v>4.0414211218043845E-2</v>
      </c>
      <c r="AR259" s="1242">
        <f t="shared" si="524"/>
        <v>7.4345640659520901E-2</v>
      </c>
      <c r="AS259" s="198">
        <f t="shared" ref="AS259:AV259" si="525">IFERROR(AS258/AS159,"NA")</f>
        <v>5.6043131929383636E-2</v>
      </c>
      <c r="AT259" s="198">
        <f t="shared" si="525"/>
        <v>6.1893171423221989E-2</v>
      </c>
      <c r="AU259" s="198">
        <f t="shared" si="525"/>
        <v>7.0544730479305942E-2</v>
      </c>
      <c r="AV259" s="867">
        <f t="shared" si="525"/>
        <v>7.9036209186969089E-2</v>
      </c>
      <c r="AW259" s="198">
        <f t="shared" ref="AW259:BD259" si="526">IFERROR(AW258/AW159,"NA")</f>
        <v>0.1030675887153206</v>
      </c>
      <c r="AX259" s="198">
        <f t="shared" si="526"/>
        <v>0.10621186838196137</v>
      </c>
      <c r="AY259" s="198">
        <f t="shared" si="526"/>
        <v>0.10951454455376554</v>
      </c>
      <c r="AZ259" s="867">
        <f t="shared" si="526"/>
        <v>0.11180413166281832</v>
      </c>
      <c r="BA259" s="198">
        <f t="shared" si="526"/>
        <v>0.11260632239514284</v>
      </c>
      <c r="BB259" s="198">
        <f t="shared" si="526"/>
        <v>0.11550372317566338</v>
      </c>
      <c r="BC259" s="198">
        <f t="shared" si="526"/>
        <v>0.11820721514490563</v>
      </c>
      <c r="BD259" s="867">
        <f t="shared" si="526"/>
        <v>0.11970058307351797</v>
      </c>
      <c r="BE259"/>
      <c r="BF259" s="99"/>
      <c r="BG259" s="627"/>
      <c r="BH259" s="76"/>
      <c r="BI259" s="198" t="str">
        <f t="shared" ref="BI259:BZ259" si="527">IFERROR(BI258/BI159,"NA")</f>
        <v>NA</v>
      </c>
      <c r="BJ259" s="198">
        <f t="shared" si="527"/>
        <v>0.28479853479853479</v>
      </c>
      <c r="BK259" s="198">
        <f t="shared" si="527"/>
        <v>0.67941400304414001</v>
      </c>
      <c r="BL259" s="198">
        <f t="shared" si="527"/>
        <v>0.48557838275478188</v>
      </c>
      <c r="BM259" s="198">
        <f t="shared" si="527"/>
        <v>0.50841273058990477</v>
      </c>
      <c r="BN259" s="198">
        <f t="shared" si="527"/>
        <v>0.52967455814256825</v>
      </c>
      <c r="BO259" s="198">
        <f t="shared" si="527"/>
        <v>0.46293080097512779</v>
      </c>
      <c r="BP259" s="198">
        <f t="shared" si="527"/>
        <v>1.2992779648800128</v>
      </c>
      <c r="BQ259" s="198">
        <f t="shared" si="527"/>
        <v>0.24874513197749892</v>
      </c>
      <c r="BR259" s="198">
        <f t="shared" si="527"/>
        <v>0.15048576472971803</v>
      </c>
      <c r="BS259" s="198">
        <f t="shared" si="527"/>
        <v>0.29250100547220637</v>
      </c>
      <c r="BT259" s="198">
        <f t="shared" si="527"/>
        <v>0.42369698837236441</v>
      </c>
      <c r="BU259" s="198">
        <f t="shared" si="527"/>
        <v>0.45793837140484328</v>
      </c>
      <c r="BV259" s="198">
        <f t="shared" si="527"/>
        <v>0.48852987180813251</v>
      </c>
      <c r="BW259" s="198">
        <f t="shared" si="527"/>
        <v>0.51367773813331441</v>
      </c>
      <c r="BX259" s="198">
        <f t="shared" si="527"/>
        <v>0.53381725779016664</v>
      </c>
      <c r="BY259" s="198">
        <f t="shared" si="527"/>
        <v>0.54943485962068306</v>
      </c>
      <c r="BZ259" s="752">
        <f t="shared" si="527"/>
        <v>0.5610353004620664</v>
      </c>
      <c r="CA259" s="54"/>
      <c r="CB259" s="54"/>
      <c r="CC259" s="54"/>
      <c r="CD259" s="54"/>
      <c r="CE259" s="54"/>
      <c r="CF259" s="54"/>
      <c r="CG259" s="1772"/>
      <c r="CH259" s="1772"/>
      <c r="CI259" s="1772"/>
      <c r="CJ259" s="54"/>
      <c r="CK259" s="54"/>
      <c r="CL259" s="54"/>
      <c r="CM259" s="54"/>
      <c r="CN259" s="54"/>
      <c r="CO259" s="54"/>
      <c r="CP259" s="54"/>
      <c r="CQ259" s="54"/>
      <c r="CR259" s="54"/>
    </row>
    <row r="260" spans="1:96" s="237" customFormat="1" ht="11.25" customHeight="1">
      <c r="A260" s="92"/>
      <c r="B260"/>
      <c r="C260"/>
      <c r="D260"/>
      <c r="E260"/>
      <c r="F260"/>
      <c r="G260"/>
      <c r="H260" s="92"/>
      <c r="I260" s="667" t="s">
        <v>144</v>
      </c>
      <c r="J260" s="137"/>
      <c r="K260" s="137"/>
      <c r="L260" s="137"/>
      <c r="M260" s="354">
        <f t="shared" ref="M260:AO260" si="528">IF(ISERROR(M258/M$23),"NM",M258/M$23)</f>
        <v>0</v>
      </c>
      <c r="N260" s="354">
        <f t="shared" si="528"/>
        <v>0</v>
      </c>
      <c r="O260" s="354">
        <f t="shared" si="528"/>
        <v>0.24217881530887719</v>
      </c>
      <c r="P260" s="354">
        <f t="shared" si="528"/>
        <v>3.4110252717035508E-2</v>
      </c>
      <c r="Q260" s="675">
        <f t="shared" si="528"/>
        <v>4.9272727272727267E-2</v>
      </c>
      <c r="R260" s="354">
        <f t="shared" si="528"/>
        <v>3.396669731331086E-2</v>
      </c>
      <c r="S260" s="354">
        <f t="shared" si="528"/>
        <v>5.7483633754820185E-2</v>
      </c>
      <c r="T260" s="680">
        <f t="shared" si="528"/>
        <v>8.1830957639028312E-2</v>
      </c>
      <c r="U260" s="675">
        <f t="shared" si="528"/>
        <v>1.3401497169983569E-2</v>
      </c>
      <c r="V260" s="354">
        <f t="shared" si="528"/>
        <v>4.7775089578292962E-2</v>
      </c>
      <c r="W260" s="354">
        <f t="shared" si="528"/>
        <v>4.2808831211679631E-2</v>
      </c>
      <c r="X260" s="680">
        <f t="shared" si="528"/>
        <v>9.816070170323396E-2</v>
      </c>
      <c r="Y260" s="354">
        <f t="shared" si="528"/>
        <v>2.0527604968243986E-2</v>
      </c>
      <c r="Z260" s="354">
        <f t="shared" si="528"/>
        <v>7.3042182360103958E-2</v>
      </c>
      <c r="AA260" s="354">
        <f t="shared" si="528"/>
        <v>7.487618705153562E-2</v>
      </c>
      <c r="AB260" s="680">
        <f t="shared" si="528"/>
        <v>9.4775728581336413E-2</v>
      </c>
      <c r="AC260" s="675">
        <f t="shared" si="528"/>
        <v>5.5570824662661805E-2</v>
      </c>
      <c r="AD260" s="354">
        <f t="shared" si="528"/>
        <v>3.3405791388378916E-2</v>
      </c>
      <c r="AE260" s="354">
        <f t="shared" si="528"/>
        <v>5.3984676199307018E-2</v>
      </c>
      <c r="AF260" s="680">
        <f t="shared" si="528"/>
        <v>0.14843430069070948</v>
      </c>
      <c r="AG260" s="675">
        <f t="shared" si="528"/>
        <v>9.7325581395348845E-2</v>
      </c>
      <c r="AH260" s="354">
        <f t="shared" si="528"/>
        <v>0.64171974522292996</v>
      </c>
      <c r="AI260" s="354">
        <f t="shared" si="528"/>
        <v>5.4227340267459193E-2</v>
      </c>
      <c r="AJ260" s="680">
        <f t="shared" si="528"/>
        <v>3.932515337423307E-2</v>
      </c>
      <c r="AK260" s="265">
        <f t="shared" si="528"/>
        <v>4.819907573780207E-2</v>
      </c>
      <c r="AL260" s="265">
        <f t="shared" si="528"/>
        <v>2.7440782341951707E-2</v>
      </c>
      <c r="AM260" s="265">
        <f t="shared" si="528"/>
        <v>2.8550410240989716E-2</v>
      </c>
      <c r="AN260" s="1785">
        <f t="shared" si="528"/>
        <v>2.7069344339719519E-2</v>
      </c>
      <c r="AO260" s="265">
        <f t="shared" si="528"/>
        <v>1.2426326378577256E-2</v>
      </c>
      <c r="AP260" s="265">
        <f>IF(ISERROR(AP258/AP$23),"NM",AP258/AP$23)</f>
        <v>7.7897579286042582E-3</v>
      </c>
      <c r="AQ260" s="265">
        <f t="shared" ref="AQ260:AR260" si="529">IF(ISERROR(AQ258/AQ$23),"NM",AQ258/AQ$23)</f>
        <v>1.7146326108462995E-2</v>
      </c>
      <c r="AR260" s="1785">
        <f t="shared" si="529"/>
        <v>3.5308780000549843E-2</v>
      </c>
      <c r="AS260" s="683">
        <v>2.5000000000000001E-2</v>
      </c>
      <c r="AT260" s="683">
        <v>2.5000000000000001E-2</v>
      </c>
      <c r="AU260" s="683">
        <v>2.5000000000000001E-2</v>
      </c>
      <c r="AV260" s="2153">
        <v>2.5000000000000001E-2</v>
      </c>
      <c r="AW260" s="2874">
        <v>3.258912517985612E-2</v>
      </c>
      <c r="AX260" s="2874">
        <v>3.2841608963585435E-2</v>
      </c>
      <c r="AY260" s="2874">
        <v>3.2351596237799464E-2</v>
      </c>
      <c r="AZ260" s="2875">
        <v>3.2319575847238949E-2</v>
      </c>
      <c r="BA260" s="2874">
        <v>3.2701534247995906E-2</v>
      </c>
      <c r="BB260" s="2874">
        <v>3.2941377106172835E-2</v>
      </c>
      <c r="BC260" s="2874">
        <v>3.248810255357986E-2</v>
      </c>
      <c r="BD260" s="2875">
        <v>3.2374417564977803E-2</v>
      </c>
      <c r="BE260"/>
      <c r="BF260" s="99"/>
      <c r="BG260" s="690"/>
      <c r="BH260" s="196"/>
      <c r="BI260" s="354">
        <f t="shared" ref="BI260:BO260" si="530">IF(ISERROR(BI258/BI$18),"NM",BI258/BI$18)</f>
        <v>0.10981135184117306</v>
      </c>
      <c r="BJ260" s="354">
        <f t="shared" si="530"/>
        <v>2.4101053936763792E-2</v>
      </c>
      <c r="BK260" s="354">
        <f t="shared" si="530"/>
        <v>7.4815109677149022E-2</v>
      </c>
      <c r="BL260" s="354">
        <f t="shared" si="530"/>
        <v>5.7609413459806691E-2</v>
      </c>
      <c r="BM260" s="354">
        <f t="shared" si="530"/>
        <v>5.4693747001439308E-2</v>
      </c>
      <c r="BN260" s="354">
        <f t="shared" si="530"/>
        <v>6.9716036877435744E-2</v>
      </c>
      <c r="BO260" s="354">
        <f t="shared" si="530"/>
        <v>7.6956899474487195E-2</v>
      </c>
      <c r="BP260" s="354">
        <f t="shared" ref="BP260:BZ260" si="531">IF(ISERROR(BP258/BP$23),"NM",BP258/BP$23)</f>
        <v>0.20155966840177364</v>
      </c>
      <c r="BQ260" s="354">
        <f t="shared" si="531"/>
        <v>3.2246528737050695E-2</v>
      </c>
      <c r="BR260" s="354">
        <f t="shared" si="531"/>
        <v>1.841965109179949E-2</v>
      </c>
      <c r="BS260" s="354">
        <f t="shared" si="531"/>
        <v>2.5000000000000001E-2</v>
      </c>
      <c r="BT260" s="354">
        <f t="shared" si="531"/>
        <v>3.2517829392164493E-2</v>
      </c>
      <c r="BU260" s="354">
        <f t="shared" si="531"/>
        <v>3.2619215673415608E-2</v>
      </c>
      <c r="BV260" s="354">
        <f t="shared" si="531"/>
        <v>3.2928590088467595E-2</v>
      </c>
      <c r="BW260" s="354">
        <f t="shared" si="531"/>
        <v>3.3246477157848411E-2</v>
      </c>
      <c r="BX260" s="354">
        <f t="shared" si="531"/>
        <v>3.3592591450920459E-2</v>
      </c>
      <c r="BY260" s="354">
        <f t="shared" si="531"/>
        <v>3.3962982483834031E-2</v>
      </c>
      <c r="BZ260" s="691">
        <f t="shared" si="531"/>
        <v>3.433723684976512E-2</v>
      </c>
      <c r="CA260" s="92"/>
      <c r="CB260" s="92"/>
      <c r="CC260" s="92"/>
      <c r="CD260" s="92"/>
      <c r="CE260" s="92"/>
      <c r="CF260" s="92"/>
      <c r="CG260" s="1775"/>
      <c r="CH260" s="1775"/>
      <c r="CI260" s="1775"/>
      <c r="CJ260" s="92"/>
      <c r="CK260" s="92"/>
      <c r="CL260" s="92"/>
      <c r="CM260" s="92"/>
      <c r="CN260" s="92"/>
      <c r="CO260" s="92"/>
      <c r="CP260" s="92"/>
      <c r="CQ260" s="92"/>
      <c r="CR260" s="92"/>
    </row>
    <row r="261" spans="1:96" s="106" customFormat="1" ht="11.25" customHeight="1">
      <c r="A261" s="54"/>
      <c r="B261"/>
      <c r="C261"/>
      <c r="D261"/>
      <c r="E261"/>
      <c r="F261"/>
      <c r="G261"/>
      <c r="H261" s="54"/>
      <c r="I261" s="446" t="s">
        <v>132</v>
      </c>
      <c r="J261" s="50"/>
      <c r="K261" s="50"/>
      <c r="L261" s="50"/>
      <c r="M261" s="199" t="str">
        <f t="shared" ref="M261:AR261" si="532">IF(ISERROR(+M258/I258-1),"NA",(IF(M258&lt;=0,"NM",M258/I258-1)))</f>
        <v>NA</v>
      </c>
      <c r="N261" s="199" t="str">
        <f t="shared" si="532"/>
        <v>NA</v>
      </c>
      <c r="O261" s="199" t="str">
        <f t="shared" si="532"/>
        <v>NA</v>
      </c>
      <c r="P261" s="199" t="str">
        <f t="shared" si="532"/>
        <v>NA</v>
      </c>
      <c r="Q261" s="451" t="str">
        <f t="shared" si="532"/>
        <v>NA</v>
      </c>
      <c r="R261" s="199" t="str">
        <f t="shared" si="532"/>
        <v>NA</v>
      </c>
      <c r="S261" s="199">
        <f t="shared" si="532"/>
        <v>-0.57967213114754101</v>
      </c>
      <c r="T261" s="447">
        <f t="shared" si="532"/>
        <v>2.9117082533589231</v>
      </c>
      <c r="U261" s="451">
        <f t="shared" si="532"/>
        <v>-0.54858548585485845</v>
      </c>
      <c r="V261" s="199">
        <f t="shared" si="532"/>
        <v>1.3458646616541352</v>
      </c>
      <c r="W261" s="199">
        <f t="shared" si="532"/>
        <v>0.21450858034321385</v>
      </c>
      <c r="X261" s="447">
        <f t="shared" si="532"/>
        <v>0.98233562315996048</v>
      </c>
      <c r="Y261" s="199">
        <f t="shared" si="532"/>
        <v>1.5803814713896456</v>
      </c>
      <c r="Z261" s="199">
        <f t="shared" si="532"/>
        <v>1.5762820512820515</v>
      </c>
      <c r="AA261" s="199">
        <f t="shared" si="532"/>
        <v>1.9421965317919079</v>
      </c>
      <c r="AB261" s="447">
        <f t="shared" si="532"/>
        <v>0.65742574257425712</v>
      </c>
      <c r="AC261" s="451">
        <f t="shared" si="532"/>
        <v>3.4836325237592405</v>
      </c>
      <c r="AD261" s="199">
        <f t="shared" si="532"/>
        <v>-0.26200547399850727</v>
      </c>
      <c r="AE261" s="199">
        <f t="shared" si="532"/>
        <v>0.20737830168085569</v>
      </c>
      <c r="AF261" s="447">
        <f t="shared" si="532"/>
        <v>1.4359318996415764</v>
      </c>
      <c r="AG261" s="451">
        <f t="shared" si="532"/>
        <v>1.5626471973622231</v>
      </c>
      <c r="AH261" s="199">
        <f t="shared" si="532"/>
        <v>26.174645987862444</v>
      </c>
      <c r="AI261" s="199">
        <f t="shared" si="532"/>
        <v>0.31965286566624584</v>
      </c>
      <c r="AJ261" s="447">
        <f t="shared" si="532"/>
        <v>-0.64631230457973188</v>
      </c>
      <c r="AK261" s="265">
        <f t="shared" si="532"/>
        <v>-0.29739913610881363</v>
      </c>
      <c r="AL261" s="265">
        <f t="shared" si="532"/>
        <v>-0.94095533498759309</v>
      </c>
      <c r="AM261" s="265">
        <f t="shared" si="532"/>
        <v>-0.27154404712974489</v>
      </c>
      <c r="AN261" s="1785">
        <f t="shared" si="532"/>
        <v>-8.5976772404227519E-2</v>
      </c>
      <c r="AO261" s="265">
        <f t="shared" si="532"/>
        <v>-0.6792674950948332</v>
      </c>
      <c r="AP261" s="265">
        <f t="shared" si="532"/>
        <v>-0.65812145408699307</v>
      </c>
      <c r="AQ261" s="265">
        <f t="shared" si="532"/>
        <v>-0.28286627797630182</v>
      </c>
      <c r="AR261" s="1785">
        <f t="shared" si="532"/>
        <v>0.46140716859472719</v>
      </c>
      <c r="AS261" s="199">
        <f t="shared" ref="AS261:BD261" si="533">IF(ISERROR(+AS258/AO258-1),"NA",(IF(AS258&lt;=0,"NM",AS258/AO258-1)))</f>
        <v>1.2553017944535076</v>
      </c>
      <c r="AT261" s="199">
        <f t="shared" si="533"/>
        <v>2.5556238475722193</v>
      </c>
      <c r="AU261" s="199">
        <f t="shared" si="533"/>
        <v>0.62601626016260137</v>
      </c>
      <c r="AV261" s="447">
        <f t="shared" si="533"/>
        <v>-0.15844796262652505</v>
      </c>
      <c r="AW261" s="199">
        <f t="shared" si="533"/>
        <v>0.54518419930529372</v>
      </c>
      <c r="AX261" s="199">
        <f t="shared" si="533"/>
        <v>0.53847468092163386</v>
      </c>
      <c r="AY261" s="199">
        <f t="shared" si="533"/>
        <v>0.49652222596788498</v>
      </c>
      <c r="AZ261" s="447">
        <f t="shared" si="533"/>
        <v>0.4771815391089631</v>
      </c>
      <c r="BA261" s="199">
        <f t="shared" si="533"/>
        <v>0.14198804581939295</v>
      </c>
      <c r="BB261" s="199">
        <f t="shared" si="533"/>
        <v>0.13776323812207991</v>
      </c>
      <c r="BC261" s="199">
        <f t="shared" si="533"/>
        <v>0.13027211360562285</v>
      </c>
      <c r="BD261" s="447">
        <f t="shared" si="533"/>
        <v>0.1220086259159634</v>
      </c>
      <c r="BE261"/>
      <c r="BF261" s="99"/>
      <c r="BG261" s="627"/>
      <c r="BH261" s="76"/>
      <c r="BI261" s="199" t="str">
        <f t="shared" ref="BI261:BZ261" si="534">IF(ISERROR(+BI258/BH258-1),"NA",(IF(BI258&lt;=0,"NM",BI258/BH258-1)))</f>
        <v>NA</v>
      </c>
      <c r="BJ261" s="199">
        <f t="shared" si="534"/>
        <v>-0.53338334583645908</v>
      </c>
      <c r="BK261" s="199">
        <f t="shared" si="534"/>
        <v>4.7411575562700969</v>
      </c>
      <c r="BL261" s="199">
        <f t="shared" si="534"/>
        <v>0.34360123214785765</v>
      </c>
      <c r="BM261" s="199">
        <f t="shared" si="534"/>
        <v>0.56815339724885372</v>
      </c>
      <c r="BN261" s="199">
        <f t="shared" si="534"/>
        <v>1.158825093035619</v>
      </c>
      <c r="BO261" s="199">
        <f t="shared" si="534"/>
        <v>0.78870898233084996</v>
      </c>
      <c r="BP261" s="199">
        <f t="shared" si="534"/>
        <v>2.5984373924416606</v>
      </c>
      <c r="BQ261" s="199">
        <f t="shared" si="534"/>
        <v>-0.78006484997465297</v>
      </c>
      <c r="BR261" s="199">
        <f t="shared" si="534"/>
        <v>-0.32164912585891958</v>
      </c>
      <c r="BS261" s="199">
        <f t="shared" si="534"/>
        <v>0.53865880241056519</v>
      </c>
      <c r="BT261" s="199">
        <f t="shared" si="534"/>
        <v>0.51262103055885166</v>
      </c>
      <c r="BU261" s="199">
        <f t="shared" si="534"/>
        <v>0.13268576109453623</v>
      </c>
      <c r="BV261" s="199">
        <f t="shared" si="534"/>
        <v>0.12159597160830216</v>
      </c>
      <c r="BW261" s="199">
        <f t="shared" si="534"/>
        <v>0.10841334552400417</v>
      </c>
      <c r="BX261" s="199">
        <f t="shared" si="534"/>
        <v>9.7809491343458621E-2</v>
      </c>
      <c r="BY261" s="199">
        <f t="shared" si="534"/>
        <v>8.9095140928106886E-2</v>
      </c>
      <c r="BZ261" s="620">
        <f t="shared" si="534"/>
        <v>8.1806572796001564E-2</v>
      </c>
      <c r="CA261" s="54"/>
      <c r="CB261" s="54"/>
      <c r="CC261" s="54"/>
      <c r="CD261" s="54"/>
      <c r="CE261" s="54"/>
      <c r="CF261" s="54"/>
      <c r="CG261" s="1772"/>
      <c r="CH261" s="1772"/>
      <c r="CI261" s="1772"/>
      <c r="CJ261" s="54"/>
      <c r="CK261" s="54"/>
      <c r="CL261" s="54"/>
      <c r="CM261" s="54"/>
      <c r="CN261" s="54"/>
      <c r="CO261" s="54"/>
      <c r="CP261" s="54"/>
      <c r="CQ261" s="54"/>
      <c r="CR261" s="54"/>
    </row>
    <row r="262" spans="1:96" s="106" customFormat="1" ht="11.25" customHeight="1">
      <c r="A262" s="54"/>
      <c r="B262"/>
      <c r="C262"/>
      <c r="D262"/>
      <c r="E262"/>
      <c r="F262"/>
      <c r="G262"/>
      <c r="H262" s="54"/>
      <c r="I262" s="994" t="s">
        <v>380</v>
      </c>
      <c r="J262" s="50"/>
      <c r="K262" s="50"/>
      <c r="L262" s="50"/>
      <c r="M262" s="199"/>
      <c r="N262" s="199"/>
      <c r="O262" s="199"/>
      <c r="P262" s="199"/>
      <c r="Q262" s="451"/>
      <c r="R262" s="199"/>
      <c r="S262" s="199"/>
      <c r="T262" s="447"/>
      <c r="U262" s="639">
        <f>U258-Q258</f>
        <v>-0.44599999999999995</v>
      </c>
      <c r="V262" s="336">
        <f t="shared" ref="V262:AR262" si="535">V258-R258</f>
        <v>0.89500000000000002</v>
      </c>
      <c r="W262" s="336">
        <f t="shared" si="535"/>
        <v>0.27500000000000013</v>
      </c>
      <c r="X262" s="579">
        <f t="shared" si="535"/>
        <v>2.0019999999999998</v>
      </c>
      <c r="Y262" s="336">
        <f t="shared" si="535"/>
        <v>0.57999999999999996</v>
      </c>
      <c r="Z262" s="336">
        <f t="shared" si="535"/>
        <v>2.4590000000000001</v>
      </c>
      <c r="AA262" s="336">
        <f t="shared" si="535"/>
        <v>3.0240000000000005</v>
      </c>
      <c r="AB262" s="579">
        <f t="shared" si="535"/>
        <v>2.6559999999999988</v>
      </c>
      <c r="AC262" s="639">
        <f t="shared" si="535"/>
        <v>3.2990000000000004</v>
      </c>
      <c r="AD262" s="336">
        <f t="shared" si="535"/>
        <v>-1.0530000000000008</v>
      </c>
      <c r="AE262" s="336">
        <f t="shared" si="535"/>
        <v>0.95000000000000018</v>
      </c>
      <c r="AF262" s="579">
        <f t="shared" si="535"/>
        <v>9.6149999999999949</v>
      </c>
      <c r="AG262" s="639">
        <f t="shared" si="535"/>
        <v>6.6349999999999998</v>
      </c>
      <c r="AH262" s="336">
        <f t="shared" si="535"/>
        <v>77.634</v>
      </c>
      <c r="AI262" s="336">
        <f t="shared" si="535"/>
        <v>1.768000000000006</v>
      </c>
      <c r="AJ262" s="579">
        <f t="shared" si="535"/>
        <v>-10.542000000000002</v>
      </c>
      <c r="AK262" s="110">
        <f t="shared" si="535"/>
        <v>-3.2360000000000007</v>
      </c>
      <c r="AL262" s="110">
        <f t="shared" si="535"/>
        <v>-75.840999999999994</v>
      </c>
      <c r="AM262" s="110">
        <f t="shared" si="535"/>
        <v>-1.98200000000001</v>
      </c>
      <c r="AN262" s="469">
        <f t="shared" si="535"/>
        <v>-0.49599999999998801</v>
      </c>
      <c r="AO262" s="110">
        <f t="shared" si="535"/>
        <v>-5.1929999999999996</v>
      </c>
      <c r="AP262" s="110">
        <f t="shared" si="535"/>
        <v>-3.1320000000000006</v>
      </c>
      <c r="AQ262" s="110">
        <f t="shared" si="535"/>
        <v>-1.503999999999996</v>
      </c>
      <c r="AR262" s="469">
        <f t="shared" si="535"/>
        <v>2.4329999999999981</v>
      </c>
      <c r="AS262" s="336">
        <f t="shared" ref="AS262:BD262" si="536">AS258-AO258</f>
        <v>3.0780000000000003</v>
      </c>
      <c r="AT262" s="336">
        <f t="shared" si="536"/>
        <v>4.1580000000000004</v>
      </c>
      <c r="AU262" s="336">
        <f t="shared" si="536"/>
        <v>2.3869999999999996</v>
      </c>
      <c r="AV262" s="579">
        <f t="shared" si="536"/>
        <v>-1.2210000000000019</v>
      </c>
      <c r="AW262" s="336">
        <f t="shared" si="536"/>
        <v>3.0148686221582741</v>
      </c>
      <c r="AX262" s="336">
        <f t="shared" si="536"/>
        <v>3.1150760291316519</v>
      </c>
      <c r="AY262" s="336">
        <f t="shared" si="536"/>
        <v>3.078437801000887</v>
      </c>
      <c r="AZ262" s="579">
        <f t="shared" si="536"/>
        <v>3.0945222811216251</v>
      </c>
      <c r="BA262" s="336">
        <f t="shared" si="536"/>
        <v>1.2132691974437027</v>
      </c>
      <c r="BB262" s="336">
        <f t="shared" si="536"/>
        <v>1.2261032933058793</v>
      </c>
      <c r="BC262" s="336">
        <f t="shared" si="536"/>
        <v>1.2087217032946924</v>
      </c>
      <c r="BD262" s="579">
        <f t="shared" si="536"/>
        <v>1.1687843504510056</v>
      </c>
      <c r="BE262"/>
      <c r="BF262" s="99"/>
      <c r="BG262" s="627"/>
      <c r="BH262" s="76"/>
      <c r="BI262" s="199"/>
      <c r="BJ262" s="336">
        <f t="shared" ref="BJ262:BU262" si="537">+BJ258-BI258</f>
        <v>-0.71099999999999997</v>
      </c>
      <c r="BK262" s="336">
        <f t="shared" si="537"/>
        <v>2.9490000000000003</v>
      </c>
      <c r="BL262" s="336">
        <f t="shared" si="537"/>
        <v>1.2269999999999999</v>
      </c>
      <c r="BM262" s="336">
        <f t="shared" si="537"/>
        <v>2.726</v>
      </c>
      <c r="BN262" s="336">
        <f t="shared" si="537"/>
        <v>8.7189999999999976</v>
      </c>
      <c r="BO262" s="336">
        <f t="shared" si="537"/>
        <v>12.810999999999996</v>
      </c>
      <c r="BP262" s="336">
        <f t="shared" si="537"/>
        <v>75.495000000000005</v>
      </c>
      <c r="BQ262" s="336">
        <f t="shared" si="537"/>
        <v>-81.554999999999993</v>
      </c>
      <c r="BR262" s="336">
        <f t="shared" si="537"/>
        <v>-7.3959999999999972</v>
      </c>
      <c r="BS262" s="336">
        <f t="shared" si="537"/>
        <v>8.4019999999999975</v>
      </c>
      <c r="BT262" s="336">
        <f t="shared" si="537"/>
        <v>12.30290473341244</v>
      </c>
      <c r="BU262" s="336">
        <f t="shared" si="537"/>
        <v>4.8168785444952746</v>
      </c>
      <c r="BV262" s="378">
        <v>5</v>
      </c>
      <c r="BW262" s="378">
        <f>BV262</f>
        <v>5</v>
      </c>
      <c r="BX262" s="378">
        <v>5</v>
      </c>
      <c r="BY262" s="378">
        <v>5</v>
      </c>
      <c r="BZ262" s="458">
        <v>5</v>
      </c>
      <c r="CA262" s="54"/>
      <c r="CB262" s="54"/>
      <c r="CC262" s="54"/>
      <c r="CD262" s="54"/>
      <c r="CE262" s="54"/>
      <c r="CF262" s="54"/>
      <c r="CG262" s="1772"/>
      <c r="CH262" s="1772"/>
      <c r="CI262" s="1772"/>
      <c r="CJ262" s="54"/>
      <c r="CK262" s="54"/>
      <c r="CL262" s="54"/>
      <c r="CM262" s="54"/>
      <c r="CN262" s="54"/>
      <c r="CO262" s="54"/>
      <c r="CP262" s="54"/>
      <c r="CQ262" s="54"/>
      <c r="CR262" s="54"/>
    </row>
    <row r="263" spans="1:96" s="106" customFormat="1" ht="11.25" customHeight="1">
      <c r="A263" s="54"/>
      <c r="B263"/>
      <c r="C263"/>
      <c r="D263"/>
      <c r="E263"/>
      <c r="F263"/>
      <c r="G263"/>
      <c r="H263" s="619"/>
      <c r="I263" s="2876" t="s">
        <v>709</v>
      </c>
      <c r="J263" s="50"/>
      <c r="K263" s="50"/>
      <c r="L263" s="50"/>
      <c r="M263" s="199"/>
      <c r="N263" s="199"/>
      <c r="O263" s="199"/>
      <c r="P263" s="199"/>
      <c r="Q263" s="451"/>
      <c r="R263" s="199"/>
      <c r="S263" s="199"/>
      <c r="T263" s="447"/>
      <c r="U263" s="639"/>
      <c r="V263" s="336"/>
      <c r="W263" s="336"/>
      <c r="X263" s="579"/>
      <c r="Y263" s="336"/>
      <c r="Z263" s="336"/>
      <c r="AA263" s="336"/>
      <c r="AB263" s="579"/>
      <c r="AC263" s="639"/>
      <c r="AD263" s="336"/>
      <c r="AE263" s="336"/>
      <c r="AF263" s="579"/>
      <c r="AG263" s="639"/>
      <c r="AH263" s="336"/>
      <c r="AI263" s="336"/>
      <c r="AJ263" s="579"/>
      <c r="AK263" s="110"/>
      <c r="AL263" s="110"/>
      <c r="AM263" s="110"/>
      <c r="AN263" s="469"/>
      <c r="AO263" s="110"/>
      <c r="AP263" s="110"/>
      <c r="AQ263" s="110"/>
      <c r="AR263" s="469"/>
      <c r="AS263" s="336"/>
      <c r="AT263" s="336"/>
      <c r="AU263" s="336"/>
      <c r="AV263" s="579"/>
      <c r="AW263" s="336"/>
      <c r="AX263" s="336"/>
      <c r="AY263" s="336"/>
      <c r="AZ263" s="579"/>
      <c r="BA263" s="336"/>
      <c r="BB263" s="336"/>
      <c r="BC263" s="336"/>
      <c r="BD263" s="579"/>
      <c r="BE263"/>
      <c r="BF263" s="99"/>
      <c r="BG263" s="627"/>
      <c r="BH263" s="76"/>
      <c r="BI263" s="199"/>
      <c r="BJ263" s="336"/>
      <c r="BK263" s="336"/>
      <c r="BL263" s="336"/>
      <c r="BM263" s="336"/>
      <c r="BN263" s="336"/>
      <c r="BO263" s="336"/>
      <c r="BP263" s="2877">
        <f>BP159</f>
        <v>80.466999999999999</v>
      </c>
      <c r="BQ263" s="2877">
        <f t="shared" ref="BQ263:BZ263" si="538">BQ159</f>
        <v>92.44</v>
      </c>
      <c r="BR263" s="2877">
        <f t="shared" si="538"/>
        <v>103.651</v>
      </c>
      <c r="BS263" s="2877">
        <f t="shared" si="538"/>
        <v>82.050999999999988</v>
      </c>
      <c r="BT263" s="2877">
        <f t="shared" si="538"/>
        <v>85.681290473341235</v>
      </c>
      <c r="BU263" s="2877">
        <f t="shared" si="538"/>
        <v>89.793268801132001</v>
      </c>
      <c r="BV263" s="2877">
        <f t="shared" si="538"/>
        <v>94.405247128922781</v>
      </c>
      <c r="BW263" s="2877">
        <f t="shared" si="538"/>
        <v>99.517225456713561</v>
      </c>
      <c r="BX263" s="2877">
        <f t="shared" si="538"/>
        <v>105.12920378450434</v>
      </c>
      <c r="BY263" s="2877">
        <f t="shared" si="538"/>
        <v>111.24118211229512</v>
      </c>
      <c r="BZ263" s="2878">
        <f t="shared" si="538"/>
        <v>117.8531604400859</v>
      </c>
      <c r="CA263" s="54"/>
      <c r="CB263" s="54"/>
      <c r="CC263" s="54"/>
      <c r="CD263" s="54"/>
      <c r="CE263" s="54"/>
      <c r="CF263" s="54"/>
      <c r="CG263" s="1772"/>
      <c r="CH263" s="1772"/>
      <c r="CI263" s="1772"/>
      <c r="CJ263" s="54"/>
      <c r="CK263" s="54"/>
      <c r="CL263" s="54"/>
      <c r="CM263" s="54"/>
      <c r="CN263" s="54"/>
      <c r="CO263" s="54"/>
      <c r="CP263" s="54"/>
      <c r="CQ263" s="54"/>
      <c r="CR263" s="54"/>
    </row>
    <row r="264" spans="1:96" s="401" customFormat="1" ht="11.25" customHeight="1">
      <c r="A264" s="54"/>
      <c r="B264"/>
      <c r="C264"/>
      <c r="D264"/>
      <c r="E264"/>
      <c r="F264"/>
      <c r="G264"/>
      <c r="H264" s="54"/>
      <c r="I264" s="601"/>
      <c r="J264" s="54"/>
      <c r="K264" s="54"/>
      <c r="L264" s="54"/>
      <c r="M264" s="54"/>
      <c r="N264" s="54"/>
      <c r="O264" s="54"/>
      <c r="P264" s="54"/>
      <c r="Q264" s="601"/>
      <c r="R264" s="54"/>
      <c r="S264" s="54"/>
      <c r="T264" s="551"/>
      <c r="U264" s="601"/>
      <c r="V264" s="54"/>
      <c r="W264" s="54"/>
      <c r="X264" s="551"/>
      <c r="Y264" s="54"/>
      <c r="Z264" s="54"/>
      <c r="AA264" s="54"/>
      <c r="AB264" s="551"/>
      <c r="AC264" s="601"/>
      <c r="AD264" s="54"/>
      <c r="AE264" s="54"/>
      <c r="AF264" s="551"/>
      <c r="AG264" s="601"/>
      <c r="AH264" s="54"/>
      <c r="AI264" s="54"/>
      <c r="AJ264" s="551"/>
      <c r="AK264" s="83"/>
      <c r="AL264" s="83"/>
      <c r="AM264" s="83"/>
      <c r="AN264" s="883"/>
      <c r="AO264" s="83"/>
      <c r="AP264" s="83"/>
      <c r="AQ264" s="83"/>
      <c r="AR264" s="883"/>
      <c r="AS264" s="54"/>
      <c r="AT264" s="54"/>
      <c r="AU264" s="54"/>
      <c r="AV264" s="551"/>
      <c r="AW264" s="54"/>
      <c r="AX264" s="54"/>
      <c r="AY264" s="54"/>
      <c r="AZ264" s="551"/>
      <c r="BA264" s="54"/>
      <c r="BB264" s="54"/>
      <c r="BC264" s="54"/>
      <c r="BD264" s="551"/>
      <c r="BE264"/>
      <c r="BF264" s="54"/>
      <c r="BG264" s="692"/>
      <c r="BH264" s="606"/>
      <c r="BI264" s="606"/>
      <c r="BJ264" s="54"/>
      <c r="BK264" s="606"/>
      <c r="BL264" s="606"/>
      <c r="BM264" s="606"/>
      <c r="BN264" s="606"/>
      <c r="BO264" s="606"/>
      <c r="BP264" s="606"/>
      <c r="BQ264" s="606"/>
      <c r="BR264" s="336"/>
      <c r="BS264" s="336"/>
      <c r="BT264" s="336"/>
      <c r="BU264" s="336"/>
      <c r="BV264" s="336"/>
      <c r="BW264" s="336"/>
      <c r="BX264" s="336"/>
      <c r="BY264" s="336"/>
      <c r="BZ264" s="613"/>
      <c r="CA264" s="54"/>
      <c r="CB264" s="54"/>
      <c r="CC264" s="54"/>
      <c r="CD264" s="54"/>
      <c r="CE264" s="54"/>
      <c r="CF264" s="54"/>
      <c r="CG264" s="1772"/>
      <c r="CH264" s="1772"/>
      <c r="CI264" s="1772"/>
      <c r="CJ264" s="54"/>
      <c r="CK264" s="54"/>
      <c r="CL264" s="54"/>
      <c r="CM264" s="54"/>
      <c r="CN264" s="54"/>
      <c r="CO264" s="54"/>
      <c r="CP264" s="54"/>
      <c r="CQ264" s="54"/>
      <c r="CR264" s="54"/>
    </row>
    <row r="265" spans="1:96" s="106" customFormat="1" ht="11.25" customHeight="1">
      <c r="A265" s="54"/>
      <c r="B265"/>
      <c r="C265"/>
      <c r="D265"/>
      <c r="E265"/>
      <c r="F265"/>
      <c r="G265"/>
      <c r="H265" s="54"/>
      <c r="I265" s="444" t="s">
        <v>91</v>
      </c>
      <c r="J265" s="50"/>
      <c r="K265" s="50"/>
      <c r="L265" s="50"/>
      <c r="M265" s="108">
        <f t="shared" ref="M265:AI265" si="539">M202</f>
        <v>0</v>
      </c>
      <c r="N265" s="108">
        <f t="shared" si="539"/>
        <v>0</v>
      </c>
      <c r="O265" s="108">
        <f t="shared" si="539"/>
        <v>1.4830000000000001</v>
      </c>
      <c r="P265" s="108">
        <f t="shared" si="539"/>
        <v>0.85099999999999998</v>
      </c>
      <c r="Q265" s="674">
        <f t="shared" si="539"/>
        <v>0.81899999999999995</v>
      </c>
      <c r="R265" s="108">
        <f t="shared" si="539"/>
        <v>0.92400000000000004</v>
      </c>
      <c r="S265" s="108">
        <f t="shared" si="539"/>
        <v>1.0469999999999999</v>
      </c>
      <c r="T265" s="679">
        <f t="shared" si="539"/>
        <v>1.448</v>
      </c>
      <c r="U265" s="674">
        <f t="shared" si="539"/>
        <v>1.361</v>
      </c>
      <c r="V265" s="108">
        <f t="shared" si="539"/>
        <v>1.661</v>
      </c>
      <c r="W265" s="108">
        <f t="shared" si="539"/>
        <v>1.78</v>
      </c>
      <c r="X265" s="679">
        <f t="shared" si="539"/>
        <v>2.4209999999999998</v>
      </c>
      <c r="Y265" s="108">
        <f t="shared" si="539"/>
        <v>2.4780000000000002</v>
      </c>
      <c r="Z265" s="108">
        <f t="shared" si="539"/>
        <v>2.637</v>
      </c>
      <c r="AA265" s="108">
        <f t="shared" si="539"/>
        <v>2.8159999999999998</v>
      </c>
      <c r="AB265" s="679">
        <f t="shared" si="539"/>
        <v>3.524</v>
      </c>
      <c r="AC265" s="674">
        <f t="shared" si="539"/>
        <v>3.661</v>
      </c>
      <c r="AD265" s="108">
        <f t="shared" si="539"/>
        <v>4.0339999999999998</v>
      </c>
      <c r="AE265" s="108">
        <f t="shared" si="539"/>
        <v>4.6040000000000001</v>
      </c>
      <c r="AF265" s="679">
        <f t="shared" si="539"/>
        <v>5.2910000000000004</v>
      </c>
      <c r="AG265" s="674">
        <f t="shared" si="539"/>
        <v>6.8949999999999996</v>
      </c>
      <c r="AH265" s="1733">
        <f t="shared" si="539"/>
        <v>7.1669999999999998</v>
      </c>
      <c r="AI265" s="428">
        <f t="shared" si="539"/>
        <v>7.5619999999999994</v>
      </c>
      <c r="AJ265" s="679">
        <f t="shared" ref="AJ265:AO265" si="540">AJ202</f>
        <v>7.98</v>
      </c>
      <c r="AK265" s="428">
        <f t="shared" si="540"/>
        <v>8.1890000000000001</v>
      </c>
      <c r="AL265" s="428">
        <f t="shared" si="540"/>
        <v>8.5640000000000001</v>
      </c>
      <c r="AM265" s="428">
        <f t="shared" si="540"/>
        <v>9.1589999999999989</v>
      </c>
      <c r="AN265" s="471">
        <f t="shared" si="540"/>
        <v>9.4339999999999975</v>
      </c>
      <c r="AO265" s="428">
        <f t="shared" si="540"/>
        <v>10.151</v>
      </c>
      <c r="AP265" s="428">
        <f>AP202</f>
        <v>10.661999999999999</v>
      </c>
      <c r="AQ265" s="428">
        <f t="shared" ref="AQ265:AR265" si="541">AQ202</f>
        <v>10.657</v>
      </c>
      <c r="AR265" s="471">
        <f t="shared" si="541"/>
        <v>9.7280000000000015</v>
      </c>
      <c r="AS265" s="322">
        <f t="shared" ref="AS265:BD265" si="542">AS258*AS267</f>
        <v>10.507</v>
      </c>
      <c r="AT265" s="322">
        <f t="shared" si="542"/>
        <v>10.9915</v>
      </c>
      <c r="AU265" s="322">
        <f t="shared" si="542"/>
        <v>11.78</v>
      </c>
      <c r="AV265" s="681">
        <f t="shared" si="542"/>
        <v>12.321499999999999</v>
      </c>
      <c r="AW265" s="322">
        <f t="shared" si="542"/>
        <v>7.6903817599424471</v>
      </c>
      <c r="AX265" s="322">
        <f t="shared" si="542"/>
        <v>8.0100684262184867</v>
      </c>
      <c r="AY265" s="322">
        <f t="shared" si="542"/>
        <v>8.3505940209007985</v>
      </c>
      <c r="AZ265" s="681">
        <f t="shared" si="542"/>
        <v>8.6215700530094619</v>
      </c>
      <c r="BA265" s="322">
        <f t="shared" si="542"/>
        <v>8.7823240376417804</v>
      </c>
      <c r="BB265" s="322">
        <f t="shared" si="542"/>
        <v>9.1135613901937784</v>
      </c>
      <c r="BC265" s="322">
        <f t="shared" si="542"/>
        <v>9.4384435538660227</v>
      </c>
      <c r="BD265" s="681">
        <f t="shared" si="542"/>
        <v>9.6734759684153673</v>
      </c>
      <c r="BE265"/>
      <c r="BF265" s="99"/>
      <c r="BG265" s="627"/>
      <c r="BH265" s="76"/>
      <c r="BI265" s="76"/>
      <c r="BJ265" s="108">
        <f>BJ202</f>
        <v>1.2010000000000001</v>
      </c>
      <c r="BK265" s="76">
        <f>BK202</f>
        <v>2.3340000000000001</v>
      </c>
      <c r="BL265" s="108">
        <f>SUM(Q265:T265)</f>
        <v>4.2379999999999995</v>
      </c>
      <c r="BM265" s="108">
        <f>SUM(U265:X265)</f>
        <v>7.2230000000000008</v>
      </c>
      <c r="BN265" s="108">
        <f>SUM(Y265:AB265)</f>
        <v>11.455</v>
      </c>
      <c r="BO265" s="108">
        <f>SUM(AC265:AF265)</f>
        <v>17.59</v>
      </c>
      <c r="BP265" s="108">
        <f>SUM(AG265:AJ265)</f>
        <v>29.603999999999999</v>
      </c>
      <c r="BQ265" s="428">
        <f>SUM(AK265:AN265)</f>
        <v>35.345999999999997</v>
      </c>
      <c r="BR265" s="2092">
        <f>SUM(AO265:AR265)</f>
        <v>41.198</v>
      </c>
      <c r="BS265" s="2092">
        <f>SUM(AS265:AV265)</f>
        <v>45.6</v>
      </c>
      <c r="BT265" s="428">
        <f>SUM(AW265:AZ265)</f>
        <v>32.672614260071192</v>
      </c>
      <c r="BU265" s="428">
        <f>SUM(BA265:BD265)</f>
        <v>37.007804950116949</v>
      </c>
      <c r="BV265" s="735">
        <f>BV267*BV258</f>
        <v>41.507804950116942</v>
      </c>
      <c r="BW265" s="735">
        <f>BW267*BW258</f>
        <v>46.007804950116942</v>
      </c>
      <c r="BX265" s="735">
        <f>BX267*BX258</f>
        <v>50.507804950116942</v>
      </c>
      <c r="BY265" s="735">
        <f>BY267*BY258</f>
        <v>55.007804950116942</v>
      </c>
      <c r="BZ265" s="736">
        <f>BZ267*BZ258</f>
        <v>59.507804950116942</v>
      </c>
      <c r="CA265" s="54"/>
      <c r="CB265" s="54"/>
      <c r="CC265" s="54"/>
      <c r="CD265" s="54"/>
      <c r="CE265" s="54"/>
      <c r="CF265" s="54"/>
      <c r="CG265" s="1772"/>
      <c r="CH265" s="1772"/>
      <c r="CI265" s="1772"/>
      <c r="CJ265" s="54"/>
      <c r="CK265" s="54"/>
      <c r="CL265" s="54"/>
      <c r="CM265" s="54"/>
      <c r="CN265" s="54"/>
      <c r="CO265" s="54"/>
      <c r="CP265" s="54"/>
      <c r="CQ265" s="54"/>
      <c r="CR265" s="54"/>
    </row>
    <row r="266" spans="1:96" s="401" customFormat="1" ht="11.25" customHeight="1">
      <c r="A266" s="54"/>
      <c r="B266"/>
      <c r="C266"/>
      <c r="D266"/>
      <c r="E266"/>
      <c r="F266"/>
      <c r="G266"/>
      <c r="H266" s="54"/>
      <c r="I266" s="668" t="s">
        <v>144</v>
      </c>
      <c r="J266" s="607"/>
      <c r="K266" s="5"/>
      <c r="L266" s="5"/>
      <c r="M266" s="199">
        <f t="shared" ref="M266:BD266" si="543">IF(ISERROR(M265/M$23),"NM",M265/M$23)</f>
        <v>0</v>
      </c>
      <c r="N266" s="199">
        <f t="shared" si="543"/>
        <v>0</v>
      </c>
      <c r="O266" s="199">
        <f t="shared" si="543"/>
        <v>0.11775448626329998</v>
      </c>
      <c r="P266" s="199">
        <f t="shared" si="543"/>
        <v>5.5715595128977342E-2</v>
      </c>
      <c r="Q266" s="451">
        <f t="shared" si="543"/>
        <v>4.9636363636363631E-2</v>
      </c>
      <c r="R266" s="199">
        <f t="shared" si="543"/>
        <v>4.719583205638983E-2</v>
      </c>
      <c r="S266" s="199">
        <f t="shared" si="543"/>
        <v>4.6946462200699486E-2</v>
      </c>
      <c r="T266" s="447">
        <f t="shared" si="543"/>
        <v>5.8140935555109415E-2</v>
      </c>
      <c r="U266" s="451">
        <f t="shared" si="543"/>
        <v>4.9698740186233339E-2</v>
      </c>
      <c r="V266" s="199">
        <f t="shared" si="543"/>
        <v>5.0868220377913213E-2</v>
      </c>
      <c r="W266" s="199">
        <f t="shared" si="543"/>
        <v>4.8940089631849551E-2</v>
      </c>
      <c r="X266" s="447">
        <f t="shared" si="543"/>
        <v>5.8823529411764705E-2</v>
      </c>
      <c r="Y266" s="199">
        <f t="shared" si="543"/>
        <v>5.371426094119177E-2</v>
      </c>
      <c r="Z266" s="199">
        <f t="shared" si="543"/>
        <v>4.7925413009105279E-2</v>
      </c>
      <c r="AA266" s="199">
        <f t="shared" si="543"/>
        <v>4.602736143573985E-2</v>
      </c>
      <c r="AB266" s="447">
        <f t="shared" si="543"/>
        <v>4.9878982604634046E-2</v>
      </c>
      <c r="AC266" s="451">
        <f t="shared" si="543"/>
        <v>4.7914458099388803E-2</v>
      </c>
      <c r="AD266" s="199">
        <f t="shared" si="543"/>
        <v>4.5434579386621911E-2</v>
      </c>
      <c r="AE266" s="199">
        <f t="shared" si="543"/>
        <v>4.4936801522619689E-2</v>
      </c>
      <c r="AF266" s="447">
        <f t="shared" si="543"/>
        <v>4.8149462629792424E-2</v>
      </c>
      <c r="AG266" s="451">
        <f t="shared" si="543"/>
        <v>6.1672629695885509E-2</v>
      </c>
      <c r="AH266" s="1749">
        <f t="shared" si="543"/>
        <v>5.7062101910828028E-2</v>
      </c>
      <c r="AI266" s="199">
        <f t="shared" si="543"/>
        <v>5.6181277860326895E-2</v>
      </c>
      <c r="AJ266" s="447">
        <f t="shared" si="543"/>
        <v>5.4396728016359926E-2</v>
      </c>
      <c r="AK266" s="265">
        <f t="shared" si="543"/>
        <v>5.1628807222611012E-2</v>
      </c>
      <c r="AL266" s="265">
        <f t="shared" si="543"/>
        <v>4.9380722835989578E-2</v>
      </c>
      <c r="AM266" s="265">
        <f t="shared" si="543"/>
        <v>4.9180591949826019E-2</v>
      </c>
      <c r="AN266" s="1785">
        <f t="shared" si="543"/>
        <v>4.8430152569867956E-2</v>
      </c>
      <c r="AO266" s="265">
        <f t="shared" si="543"/>
        <v>5.1443572214085534E-2</v>
      </c>
      <c r="AP266" s="265">
        <f>IF(ISERROR(AP265/AP$23),"NM",AP265/AP$23)</f>
        <v>5.1047571625555378E-2</v>
      </c>
      <c r="AQ266" s="265">
        <f t="shared" ref="AQ266:AR266" si="544">IF(ISERROR(AQ265/AQ$23),"NM",AQ265/AQ$23)</f>
        <v>4.7922475042719667E-2</v>
      </c>
      <c r="AR266" s="1785">
        <f t="shared" si="544"/>
        <v>4.4573554612684772E-2</v>
      </c>
      <c r="AS266" s="199">
        <f t="shared" si="543"/>
        <v>4.7500000000000001E-2</v>
      </c>
      <c r="AT266" s="199">
        <f t="shared" si="543"/>
        <v>4.7500000000000001E-2</v>
      </c>
      <c r="AU266" s="199">
        <f t="shared" si="543"/>
        <v>4.7500000000000001E-2</v>
      </c>
      <c r="AV266" s="447">
        <f t="shared" si="543"/>
        <v>4.7500000000000001E-2</v>
      </c>
      <c r="AW266" s="199">
        <f t="shared" si="543"/>
        <v>2.9330212661870508E-2</v>
      </c>
      <c r="AX266" s="199">
        <f t="shared" si="543"/>
        <v>2.9557448067226887E-2</v>
      </c>
      <c r="AY266" s="199">
        <f t="shared" si="543"/>
        <v>2.9116436614019518E-2</v>
      </c>
      <c r="AZ266" s="447">
        <f t="shared" si="543"/>
        <v>2.9087618262515057E-2</v>
      </c>
      <c r="BA266" s="199">
        <f t="shared" si="543"/>
        <v>2.9431380823196317E-2</v>
      </c>
      <c r="BB266" s="199">
        <f t="shared" si="543"/>
        <v>2.9647239395555556E-2</v>
      </c>
      <c r="BC266" s="199">
        <f t="shared" si="543"/>
        <v>2.9239292298221878E-2</v>
      </c>
      <c r="BD266" s="447">
        <f t="shared" si="543"/>
        <v>2.9136975808480021E-2</v>
      </c>
      <c r="BE266"/>
      <c r="BF266" s="54"/>
      <c r="BG266" s="449"/>
      <c r="BH266" s="199"/>
      <c r="BI266" s="199"/>
      <c r="BJ266" s="199">
        <f t="shared" ref="BJ266:BO266" si="545">IF(ISERROR(BJ265/BJ$18),"nm",BJ265/BJ$18)</f>
        <v>4.6535957842529445E-2</v>
      </c>
      <c r="BK266" s="199">
        <f t="shared" si="545"/>
        <v>4.8899038360813725E-2</v>
      </c>
      <c r="BL266" s="199">
        <f t="shared" si="545"/>
        <v>5.0885513597886768E-2</v>
      </c>
      <c r="BM266" s="199">
        <f t="shared" si="545"/>
        <v>5.25057063518602E-2</v>
      </c>
      <c r="BN266" s="199">
        <f t="shared" si="545"/>
        <v>4.9165622263807586E-2</v>
      </c>
      <c r="BO266" s="199">
        <f t="shared" si="545"/>
        <v>4.6591583319206653E-2</v>
      </c>
      <c r="BP266" s="199">
        <f t="shared" ref="BP266:BZ266" si="546">IF(ISERROR(BP265/BP$23),"nm",BP265/BP$23)</f>
        <v>5.7073452862926539E-2</v>
      </c>
      <c r="BQ266" s="199">
        <f t="shared" si="546"/>
        <v>4.9568835554483506E-2</v>
      </c>
      <c r="BR266" s="199">
        <f t="shared" si="546"/>
        <v>4.8650646600843402E-2</v>
      </c>
      <c r="BS266" s="199">
        <f t="shared" si="546"/>
        <v>4.7500000000000001E-2</v>
      </c>
      <c r="BT266" s="199">
        <f t="shared" si="546"/>
        <v>2.9266046452948037E-2</v>
      </c>
      <c r="BU266" s="199">
        <f t="shared" si="546"/>
        <v>2.9357294106074055E-2</v>
      </c>
      <c r="BV266" s="199">
        <f t="shared" si="546"/>
        <v>2.9635731079620836E-2</v>
      </c>
      <c r="BW266" s="199">
        <f t="shared" si="546"/>
        <v>2.992182944206357E-2</v>
      </c>
      <c r="BX266" s="199">
        <f t="shared" si="546"/>
        <v>3.0233332305828413E-2</v>
      </c>
      <c r="BY266" s="199">
        <f t="shared" si="546"/>
        <v>3.0566684235450624E-2</v>
      </c>
      <c r="BZ266" s="620">
        <f t="shared" si="546"/>
        <v>3.0903513164788607E-2</v>
      </c>
      <c r="CA266" s="54"/>
      <c r="CB266" s="54"/>
      <c r="CC266" s="54"/>
      <c r="CD266" s="54"/>
      <c r="CE266" s="54"/>
      <c r="CF266" s="54"/>
      <c r="CG266" s="1772"/>
      <c r="CH266" s="1772"/>
      <c r="CI266" s="1772"/>
      <c r="CJ266" s="54"/>
      <c r="CK266" s="54"/>
      <c r="CL266" s="54"/>
      <c r="CM266" s="54"/>
      <c r="CN266" s="54"/>
      <c r="CO266" s="54"/>
      <c r="CP266" s="54"/>
      <c r="CQ266" s="54"/>
      <c r="CR266" s="54"/>
    </row>
    <row r="267" spans="1:96" s="401" customFormat="1" ht="11.25" customHeight="1">
      <c r="A267" s="54"/>
      <c r="B267"/>
      <c r="C267"/>
      <c r="D267"/>
      <c r="E267"/>
      <c r="F267"/>
      <c r="G267"/>
      <c r="H267" s="54"/>
      <c r="I267" s="668" t="s">
        <v>33</v>
      </c>
      <c r="J267" s="607"/>
      <c r="K267" s="5"/>
      <c r="L267" s="5"/>
      <c r="M267" s="199" t="str">
        <f t="shared" ref="M267:AF267" si="547">IF(ISERROR(M265/M258),"NM",M265/M258)</f>
        <v>NM</v>
      </c>
      <c r="N267" s="199" t="str">
        <f t="shared" si="547"/>
        <v>NM</v>
      </c>
      <c r="O267" s="199">
        <f t="shared" si="547"/>
        <v>0.48622950819672139</v>
      </c>
      <c r="P267" s="199">
        <f t="shared" si="547"/>
        <v>1.6333973128598838</v>
      </c>
      <c r="Q267" s="451">
        <f t="shared" si="547"/>
        <v>1.0073800738007379</v>
      </c>
      <c r="R267" s="199">
        <f t="shared" si="547"/>
        <v>1.3894736842105264</v>
      </c>
      <c r="S267" s="199">
        <f t="shared" si="547"/>
        <v>0.81669266770670834</v>
      </c>
      <c r="T267" s="447">
        <f t="shared" si="547"/>
        <v>0.71050049067713439</v>
      </c>
      <c r="U267" s="451">
        <f t="shared" si="547"/>
        <v>3.7084468664850139</v>
      </c>
      <c r="V267" s="199">
        <f t="shared" si="547"/>
        <v>1.0647435897435897</v>
      </c>
      <c r="W267" s="199">
        <f t="shared" si="547"/>
        <v>1.1432241490044959</v>
      </c>
      <c r="X267" s="447">
        <f t="shared" si="547"/>
        <v>0.59925742574257423</v>
      </c>
      <c r="Y267" s="199">
        <f t="shared" si="547"/>
        <v>2.6166842661034848</v>
      </c>
      <c r="Z267" s="199">
        <f t="shared" si="547"/>
        <v>0.65613336650908183</v>
      </c>
      <c r="AA267" s="199">
        <f t="shared" si="547"/>
        <v>0.61471294477188376</v>
      </c>
      <c r="AB267" s="447">
        <f t="shared" si="547"/>
        <v>0.52628434886499409</v>
      </c>
      <c r="AC267" s="451">
        <f t="shared" si="547"/>
        <v>0.86222326895902013</v>
      </c>
      <c r="AD267" s="199">
        <f t="shared" si="547"/>
        <v>1.3600809170600137</v>
      </c>
      <c r="AE267" s="199">
        <f t="shared" si="547"/>
        <v>0.83239920448381843</v>
      </c>
      <c r="AF267" s="447">
        <f t="shared" si="547"/>
        <v>0.32438231868064515</v>
      </c>
      <c r="AG267" s="451">
        <f t="shared" ref="AG267:AL267" si="548">IF(ISERROR(AG265/AG258),"NM",AG265/AG258)</f>
        <v>0.63367337560885939</v>
      </c>
      <c r="AH267" s="265">
        <f t="shared" si="548"/>
        <v>8.8920595533498764E-2</v>
      </c>
      <c r="AI267" s="265">
        <f t="shared" si="548"/>
        <v>1.0360323331963273</v>
      </c>
      <c r="AJ267" s="447">
        <f t="shared" si="548"/>
        <v>1.3832553302132107</v>
      </c>
      <c r="AK267" s="265">
        <f t="shared" si="548"/>
        <v>1.0711576193590582</v>
      </c>
      <c r="AL267" s="265">
        <f t="shared" si="548"/>
        <v>1.7995377180079848</v>
      </c>
      <c r="AM267" s="265">
        <f t="shared" ref="AM267:AR267" si="549">IF(ISERROR(AM265/AM258),"NM",AM265/AM258)</f>
        <v>1.7225879255219116</v>
      </c>
      <c r="AN267" s="1785">
        <f t="shared" si="549"/>
        <v>1.7891143561539904</v>
      </c>
      <c r="AO267" s="265">
        <f t="shared" si="549"/>
        <v>4.1398858075040783</v>
      </c>
      <c r="AP267" s="265">
        <f t="shared" si="549"/>
        <v>6.5531653349723422</v>
      </c>
      <c r="AQ267" s="265">
        <f t="shared" si="549"/>
        <v>2.7949121426698134</v>
      </c>
      <c r="AR267" s="1785">
        <f t="shared" si="549"/>
        <v>1.262392940565793</v>
      </c>
      <c r="AS267" s="683">
        <v>1.9</v>
      </c>
      <c r="AT267" s="683">
        <v>1.9</v>
      </c>
      <c r="AU267" s="683">
        <v>1.9</v>
      </c>
      <c r="AV267" s="2153">
        <v>1.9</v>
      </c>
      <c r="AW267" s="683">
        <v>0.9</v>
      </c>
      <c r="AX267" s="683">
        <v>0.9</v>
      </c>
      <c r="AY267" s="683">
        <v>0.9</v>
      </c>
      <c r="AZ267" s="682">
        <v>0.9</v>
      </c>
      <c r="BA267" s="683">
        <v>0.9</v>
      </c>
      <c r="BB267" s="683">
        <v>0.9</v>
      </c>
      <c r="BC267" s="683">
        <v>0.9</v>
      </c>
      <c r="BD267" s="682">
        <v>0.9</v>
      </c>
      <c r="BE267"/>
      <c r="BF267" s="54"/>
      <c r="BG267" s="449"/>
      <c r="BH267" s="199"/>
      <c r="BI267" s="199"/>
      <c r="BJ267" s="199">
        <f t="shared" ref="BJ267:BP267" si="550">IF(ISERROR(BJ265/BJ258),"NM",BJ265/BJ258)</f>
        <v>1.9308681672025725</v>
      </c>
      <c r="BK267" s="199">
        <f t="shared" si="550"/>
        <v>0.65359843181181743</v>
      </c>
      <c r="BL267" s="199">
        <f t="shared" si="550"/>
        <v>0.88328470195914954</v>
      </c>
      <c r="BM267" s="199">
        <f t="shared" si="550"/>
        <v>0.95999468367889429</v>
      </c>
      <c r="BN267" s="199">
        <f t="shared" si="550"/>
        <v>0.70522686695807435</v>
      </c>
      <c r="BO267" s="199">
        <f t="shared" si="550"/>
        <v>0.60542438218489714</v>
      </c>
      <c r="BP267" s="199">
        <f t="shared" si="550"/>
        <v>0.2831590928655463</v>
      </c>
      <c r="BQ267" s="199">
        <f>IF(ISERROR(BQ265/BQ258),"NM",BQ265/BQ258)</f>
        <v>1.5371836131164651</v>
      </c>
      <c r="BR267" s="199">
        <f>IF(ISERROR(BR265/BR258),"NM",BR265/BR258)</f>
        <v>2.6412360559046029</v>
      </c>
      <c r="BS267" s="199">
        <f>IF(ISERROR(BS265/BS258),"NM",BS265/BS258)</f>
        <v>1.9000000000000001</v>
      </c>
      <c r="BT267" s="199">
        <f>IF(ISERROR(BT265/BT258),"NM",BT265/BT258)</f>
        <v>0.89999999999999991</v>
      </c>
      <c r="BU267" s="199">
        <f>IF(ISERROR(BU265/BU258),"NM",BU265/BU258)</f>
        <v>0.90000000000000013</v>
      </c>
      <c r="BV267" s="683">
        <v>0.9</v>
      </c>
      <c r="BW267" s="683">
        <v>0.9</v>
      </c>
      <c r="BX267" s="683">
        <f>BW267</f>
        <v>0.9</v>
      </c>
      <c r="BY267" s="683">
        <f>BX267</f>
        <v>0.9</v>
      </c>
      <c r="BZ267" s="2153">
        <f>BY267</f>
        <v>0.9</v>
      </c>
      <c r="CA267" s="54"/>
      <c r="CB267" s="54"/>
      <c r="CC267" s="54"/>
      <c r="CD267" s="54"/>
      <c r="CE267" s="54"/>
      <c r="CF267" s="54"/>
      <c r="CG267" s="1772"/>
      <c r="CH267" s="1772"/>
      <c r="CI267" s="1772"/>
      <c r="CJ267" s="54"/>
      <c r="CK267" s="54"/>
      <c r="CL267" s="54"/>
      <c r="CM267" s="54"/>
      <c r="CN267" s="54"/>
      <c r="CO267" s="54"/>
      <c r="CP267" s="54"/>
      <c r="CQ267" s="54"/>
      <c r="CR267" s="54"/>
    </row>
    <row r="268" spans="1:96" s="401" customFormat="1" ht="11.25" customHeight="1">
      <c r="A268" s="54"/>
      <c r="B268"/>
      <c r="C268"/>
      <c r="D268"/>
      <c r="E268"/>
      <c r="F268"/>
      <c r="G268"/>
      <c r="H268" s="54"/>
      <c r="I268" s="533" t="s">
        <v>304</v>
      </c>
      <c r="J268" s="607"/>
      <c r="K268" s="5"/>
      <c r="L268" s="5"/>
      <c r="M268" s="199"/>
      <c r="N268" s="199"/>
      <c r="O268" s="199"/>
      <c r="P268" s="199"/>
      <c r="Q268" s="451"/>
      <c r="R268" s="199"/>
      <c r="S268" s="199"/>
      <c r="T268" s="447"/>
      <c r="U268" s="451"/>
      <c r="V268" s="199"/>
      <c r="W268" s="199"/>
      <c r="X268" s="447"/>
      <c r="Y268" s="199"/>
      <c r="Z268" s="199"/>
      <c r="AA268" s="199"/>
      <c r="AB268" s="447"/>
      <c r="AC268" s="451"/>
      <c r="AD268" s="199"/>
      <c r="AE268" s="199"/>
      <c r="AF268" s="447"/>
      <c r="AG268" s="199"/>
      <c r="AH268" s="199"/>
      <c r="AI268" s="199"/>
      <c r="AJ268" s="1792"/>
      <c r="AK268" s="199"/>
      <c r="AL268" s="199"/>
      <c r="AM268" s="199"/>
      <c r="AN268" s="620"/>
      <c r="AO268" s="199"/>
      <c r="AP268" s="199"/>
      <c r="AQ268" s="199"/>
      <c r="AR268" s="620"/>
      <c r="AS268" s="199"/>
      <c r="AT268" s="199"/>
      <c r="AU268" s="199"/>
      <c r="AV268" s="447"/>
      <c r="AW268" s="199"/>
      <c r="AX268" s="199"/>
      <c r="AY268" s="199"/>
      <c r="AZ268" s="447"/>
      <c r="BA268" s="199"/>
      <c r="BB268" s="199"/>
      <c r="BC268" s="199"/>
      <c r="BD268" s="447"/>
      <c r="BE268"/>
      <c r="BF268" s="54"/>
      <c r="BG268" s="449"/>
      <c r="BH268" s="199"/>
      <c r="BI268" s="199"/>
      <c r="BJ268" s="199"/>
      <c r="BK268" s="199"/>
      <c r="BL268" s="331">
        <f>AVERAGE(BJ265:BL265)</f>
        <v>2.5909999999999997</v>
      </c>
      <c r="BM268" s="331">
        <f>AVERAGE(BK265:BM265)</f>
        <v>4.5983333333333336</v>
      </c>
      <c r="BN268" s="331">
        <f>AVERAGE(BL265:BN265)</f>
        <v>7.6386666666666665</v>
      </c>
      <c r="BO268" s="331">
        <f t="shared" ref="BO268:BT268" si="551">AVERAGE(BM265:BO265)</f>
        <v>12.089333333333334</v>
      </c>
      <c r="BP268" s="331">
        <f t="shared" si="551"/>
        <v>19.549666666666667</v>
      </c>
      <c r="BQ268" s="331">
        <f t="shared" si="551"/>
        <v>27.513333333333332</v>
      </c>
      <c r="BR268" s="331">
        <f t="shared" si="551"/>
        <v>35.382666666666665</v>
      </c>
      <c r="BS268" s="331">
        <f>AVERAGE(BQ265:BS265)</f>
        <v>40.714666666666666</v>
      </c>
      <c r="BT268" s="331">
        <f t="shared" si="551"/>
        <v>39.823538086690398</v>
      </c>
      <c r="BU268" s="331">
        <f t="shared" ref="BU268:BZ268" si="552">AVERAGE(BS265:BU265)</f>
        <v>38.42680640339605</v>
      </c>
      <c r="BV268" s="331">
        <f t="shared" si="552"/>
        <v>37.062741386768359</v>
      </c>
      <c r="BW268" s="331">
        <f t="shared" si="552"/>
        <v>41.507804950116942</v>
      </c>
      <c r="BX268" s="331">
        <f t="shared" si="552"/>
        <v>46.007804950116942</v>
      </c>
      <c r="BY268" s="331">
        <f t="shared" si="552"/>
        <v>50.507804950116942</v>
      </c>
      <c r="BZ268" s="694">
        <f t="shared" si="552"/>
        <v>55.007804950116942</v>
      </c>
      <c r="CA268" s="54"/>
      <c r="CB268" s="54"/>
      <c r="CC268" s="54"/>
      <c r="CD268" s="54"/>
      <c r="CE268" s="54"/>
      <c r="CF268" s="54"/>
      <c r="CG268" s="1772"/>
      <c r="CH268" s="1772"/>
      <c r="CI268" s="1772"/>
      <c r="CJ268" s="54"/>
      <c r="CK268" s="54"/>
      <c r="CL268" s="54"/>
      <c r="CM268" s="54"/>
      <c r="CN268" s="54"/>
      <c r="CO268" s="54"/>
      <c r="CP268" s="54"/>
      <c r="CQ268" s="54"/>
      <c r="CR268" s="54"/>
    </row>
    <row r="269" spans="1:96" s="401" customFormat="1" ht="11.25" customHeight="1">
      <c r="A269" s="54"/>
      <c r="B269"/>
      <c r="C269"/>
      <c r="D269"/>
      <c r="E269"/>
      <c r="F269"/>
      <c r="G269"/>
      <c r="H269" s="54"/>
      <c r="I269" s="533"/>
      <c r="J269" s="607"/>
      <c r="K269" s="5"/>
      <c r="L269" s="5"/>
      <c r="M269" s="199"/>
      <c r="N269" s="199"/>
      <c r="O269" s="199"/>
      <c r="P269" s="199"/>
      <c r="Q269" s="451"/>
      <c r="R269" s="199"/>
      <c r="S269" s="199"/>
      <c r="T269" s="447"/>
      <c r="U269" s="451"/>
      <c r="V269" s="199"/>
      <c r="W269" s="199"/>
      <c r="X269" s="447"/>
      <c r="Y269" s="199"/>
      <c r="Z269" s="199"/>
      <c r="AA269" s="199"/>
      <c r="AB269" s="447"/>
      <c r="AC269" s="674"/>
      <c r="AD269" s="199"/>
      <c r="AE269" s="199"/>
      <c r="AF269" s="447"/>
      <c r="AG269" s="199"/>
      <c r="AH269" s="199"/>
      <c r="AI269" s="199"/>
      <c r="AJ269" s="1792"/>
      <c r="AK269" s="199"/>
      <c r="AL269" s="199"/>
      <c r="AM269" s="199"/>
      <c r="AN269" s="620"/>
      <c r="AO269" s="199"/>
      <c r="AP269" s="199"/>
      <c r="AQ269" s="199"/>
      <c r="AR269" s="620"/>
      <c r="AS269" s="199"/>
      <c r="AT269" s="199"/>
      <c r="AU269" s="199"/>
      <c r="AV269" s="447"/>
      <c r="AW269" s="199"/>
      <c r="AX269" s="199"/>
      <c r="AY269" s="199"/>
      <c r="AZ269" s="447"/>
      <c r="BA269" s="199"/>
      <c r="BB269" s="199"/>
      <c r="BC269" s="199"/>
      <c r="BD269" s="447"/>
      <c r="BE269"/>
      <c r="BF269" s="54"/>
      <c r="BG269" s="449"/>
      <c r="BH269" s="199"/>
      <c r="BI269" s="199"/>
      <c r="BJ269" s="199"/>
      <c r="BK269" s="199"/>
      <c r="BL269" s="331"/>
      <c r="BM269" s="331"/>
      <c r="BN269" s="331"/>
      <c r="BO269" s="331"/>
      <c r="BP269" s="331"/>
      <c r="BQ269" s="331"/>
      <c r="BR269" s="331"/>
      <c r="BS269" s="331"/>
      <c r="BT269" s="331"/>
      <c r="BU269" s="331"/>
      <c r="BV269" s="331"/>
      <c r="BW269" s="331"/>
      <c r="BX269" s="331"/>
      <c r="BY269" s="331"/>
      <c r="BZ269" s="694"/>
      <c r="CA269" s="54"/>
      <c r="CB269" s="54"/>
      <c r="CC269" s="54"/>
      <c r="CD269" s="54"/>
      <c r="CE269" s="54"/>
      <c r="CF269" s="54"/>
      <c r="CG269" s="1772"/>
      <c r="CH269" s="1772"/>
      <c r="CI269" s="1772"/>
      <c r="CJ269" s="54"/>
      <c r="CK269" s="54"/>
      <c r="CL269" s="54"/>
      <c r="CM269" s="54"/>
      <c r="CN269" s="54"/>
      <c r="CO269" s="54"/>
      <c r="CP269" s="54"/>
      <c r="CQ269" s="54"/>
      <c r="CR269" s="54"/>
    </row>
    <row r="270" spans="1:96" s="401" customFormat="1" ht="11.25" customHeight="1">
      <c r="A270" s="54"/>
      <c r="B270"/>
      <c r="C270"/>
      <c r="D270"/>
      <c r="E270"/>
      <c r="F270"/>
      <c r="G270"/>
      <c r="H270" s="54"/>
      <c r="I270" s="1113" t="s">
        <v>428</v>
      </c>
      <c r="J270" s="607"/>
      <c r="K270" s="5"/>
      <c r="L270" s="5"/>
      <c r="M270" s="108">
        <f>'Expense drivers'!M208</f>
        <v>0.44400000000000001</v>
      </c>
      <c r="N270" s="108">
        <f>'Expense drivers'!N208</f>
        <v>0.45300000000000001</v>
      </c>
      <c r="O270" s="108">
        <f>'Expense drivers'!O208</f>
        <v>0.58599999999999997</v>
      </c>
      <c r="P270" s="108">
        <f>'Expense drivers'!P208</f>
        <v>0.85099999999999998</v>
      </c>
      <c r="Q270" s="674">
        <f>'Expense drivers'!Q208</f>
        <v>0.81899999999999995</v>
      </c>
      <c r="R270" s="108">
        <f>'Expense drivers'!R208</f>
        <v>0.92400000000000004</v>
      </c>
      <c r="S270" s="108">
        <f>'Expense drivers'!S208</f>
        <v>1.0469999999999999</v>
      </c>
      <c r="T270" s="679">
        <f>'Expense drivers'!T208</f>
        <v>1.448</v>
      </c>
      <c r="U270" s="674">
        <f>'Expense drivers'!U208</f>
        <v>1.361</v>
      </c>
      <c r="V270" s="108">
        <f>'Expense drivers'!V208</f>
        <v>1.661</v>
      </c>
      <c r="W270" s="108">
        <f>'Expense drivers'!W208</f>
        <v>1.78</v>
      </c>
      <c r="X270" s="679">
        <f>'Expense drivers'!X208</f>
        <v>2.4209999999999998</v>
      </c>
      <c r="Y270" s="108">
        <f>'Expense drivers'!Y208</f>
        <v>2.4780000000000002</v>
      </c>
      <c r="Z270" s="108">
        <f>'Expense drivers'!Z208</f>
        <v>2.637</v>
      </c>
      <c r="AA270" s="108">
        <f>'Expense drivers'!AA208</f>
        <v>2.8159999999999998</v>
      </c>
      <c r="AB270" s="679">
        <f>'Expense drivers'!AB208</f>
        <v>3.524</v>
      </c>
      <c r="AC270" s="674">
        <f>'Expense drivers'!AC208</f>
        <v>3.661</v>
      </c>
      <c r="AD270" s="108">
        <f>'Expense drivers'!AD208</f>
        <v>4.0339999999999998</v>
      </c>
      <c r="AE270" s="108">
        <f>'Expense drivers'!AE208</f>
        <v>4.6040000000000001</v>
      </c>
      <c r="AF270" s="679">
        <f>'Expense drivers'!AF208</f>
        <v>5.2910000000000004</v>
      </c>
      <c r="AG270" s="108">
        <f>'Expense drivers'!AG208</f>
        <v>6.8949999999999996</v>
      </c>
      <c r="AH270" s="108">
        <f>'Expense drivers'!AH208</f>
        <v>7.1669999999999998</v>
      </c>
      <c r="AI270" s="108">
        <f>'Expense drivers'!AI208</f>
        <v>7.5620000000000003</v>
      </c>
      <c r="AJ270" s="1790">
        <f>'Expense drivers'!AJ208</f>
        <v>7.98</v>
      </c>
      <c r="AK270" s="108">
        <f>'Expense drivers'!AK208</f>
        <v>8.1890000000000001</v>
      </c>
      <c r="AL270" s="108">
        <f>'Expense drivers'!AL208</f>
        <v>8.5640000000000001</v>
      </c>
      <c r="AM270" s="108">
        <f>'Expense drivers'!AM208</f>
        <v>9.1590000000000007</v>
      </c>
      <c r="AN270" s="1055">
        <f>'Expense drivers'!AN208</f>
        <v>12.888999999999999</v>
      </c>
      <c r="AO270" s="108">
        <f>'Expense drivers'!AO208</f>
        <v>10.382</v>
      </c>
      <c r="AP270" s="108">
        <f>'Expense drivers'!AP208</f>
        <v>10.662000000000001</v>
      </c>
      <c r="AQ270" s="108">
        <f>'Expense drivers'!AQ208</f>
        <v>10.656000000000001</v>
      </c>
      <c r="AR270" s="1055">
        <f>'Expense drivers'!AR208</f>
        <v>9.7289999999999992</v>
      </c>
      <c r="AS270" s="108">
        <f>'Expense drivers'!AS208</f>
        <v>10.507</v>
      </c>
      <c r="AT270" s="108">
        <f>'Expense drivers'!AT208</f>
        <v>10.9915</v>
      </c>
      <c r="AU270" s="108">
        <f>'Expense drivers'!AU208</f>
        <v>11.78</v>
      </c>
      <c r="AV270" s="679">
        <f>'Expense drivers'!AV208</f>
        <v>12.321499999999999</v>
      </c>
      <c r="AW270" s="108">
        <f>'Expense drivers'!AW208</f>
        <v>7.6903817599424471</v>
      </c>
      <c r="AX270" s="108">
        <f>'Expense drivers'!AX208</f>
        <v>8.0100684262184867</v>
      </c>
      <c r="AY270" s="108">
        <f>'Expense drivers'!AY208</f>
        <v>8.3505940209007985</v>
      </c>
      <c r="AZ270" s="679">
        <f>'Expense drivers'!AZ208</f>
        <v>8.6215700530094619</v>
      </c>
      <c r="BA270" s="108">
        <f>'Expense drivers'!BA208</f>
        <v>8.7823240376417804</v>
      </c>
      <c r="BB270" s="108">
        <f>'Expense drivers'!BB208</f>
        <v>9.1135613901937784</v>
      </c>
      <c r="BC270" s="108">
        <f>'Expense drivers'!BC208</f>
        <v>9.4384435538660227</v>
      </c>
      <c r="BD270" s="679">
        <f>'Expense drivers'!BD208</f>
        <v>9.6734759684153673</v>
      </c>
      <c r="BE270"/>
      <c r="BF270" s="54"/>
      <c r="BG270" s="449"/>
      <c r="BH270" s="199"/>
      <c r="BI270" s="108">
        <f>'Expense drivers'!BH208</f>
        <v>0.57099999999999995</v>
      </c>
      <c r="BJ270" s="108">
        <f>'Expense drivers'!BI208</f>
        <v>1.2010000000000001</v>
      </c>
      <c r="BK270" s="108">
        <f>'Expense drivers'!BJ208</f>
        <v>2.3340000000000001</v>
      </c>
      <c r="BL270" s="108">
        <f>'Expense drivers'!BK208</f>
        <v>4.2379999999999995</v>
      </c>
      <c r="BM270" s="108">
        <f>'Expense drivers'!BL208</f>
        <v>7.2230000000000008</v>
      </c>
      <c r="BN270" s="108">
        <f>'Expense drivers'!BM208</f>
        <v>11.455</v>
      </c>
      <c r="BO270" s="108">
        <f>'Expense drivers'!BN208</f>
        <v>17.59</v>
      </c>
      <c r="BP270" s="108">
        <f>'Expense drivers'!BO208</f>
        <v>29.603999999999999</v>
      </c>
      <c r="BQ270" s="108">
        <f>'Expense drivers'!BP208</f>
        <v>38.801000000000002</v>
      </c>
      <c r="BR270" s="108">
        <f>'Expense drivers'!BQ208</f>
        <v>41.429000000000002</v>
      </c>
      <c r="BS270" s="108">
        <f>'Expense drivers'!BR208</f>
        <v>45.6</v>
      </c>
      <c r="BT270" s="108">
        <f>'Expense drivers'!BS208</f>
        <v>32.672614260071192</v>
      </c>
      <c r="BU270" s="108">
        <f>'Expense drivers'!BT208</f>
        <v>37.007804950116949</v>
      </c>
      <c r="BV270" s="108">
        <f>'Expense drivers'!BU208</f>
        <v>41.507804950116942</v>
      </c>
      <c r="BW270" s="108">
        <f>'Expense drivers'!BV208</f>
        <v>46.007804950116942</v>
      </c>
      <c r="BX270" s="108">
        <f>'Expense drivers'!BW208</f>
        <v>50.507804950116942</v>
      </c>
      <c r="BY270" s="108">
        <f>'Expense drivers'!BX208</f>
        <v>55.007804950116942</v>
      </c>
      <c r="BZ270" s="1055">
        <f>'Expense drivers'!BY208</f>
        <v>59.507804950116942</v>
      </c>
      <c r="CA270" s="54"/>
      <c r="CB270" s="54"/>
      <c r="CC270" s="54"/>
      <c r="CD270" s="54"/>
      <c r="CE270" s="54"/>
      <c r="CF270" s="54"/>
      <c r="CG270" s="1772"/>
      <c r="CH270" s="1772"/>
      <c r="CI270" s="1772"/>
      <c r="CJ270" s="54"/>
      <c r="CK270" s="54"/>
      <c r="CL270" s="54"/>
      <c r="CM270" s="54"/>
      <c r="CN270" s="54"/>
      <c r="CO270" s="54"/>
      <c r="CP270" s="54"/>
      <c r="CQ270" s="54"/>
      <c r="CR270" s="54"/>
    </row>
    <row r="271" spans="1:96" s="401" customFormat="1" ht="11.25" customHeight="1">
      <c r="A271" s="54"/>
      <c r="B271"/>
      <c r="C271"/>
      <c r="D271"/>
      <c r="E271"/>
      <c r="F271"/>
      <c r="G271"/>
      <c r="H271" s="54"/>
      <c r="I271" s="1114" t="s">
        <v>430</v>
      </c>
      <c r="J271" s="607"/>
      <c r="K271" s="5"/>
      <c r="L271" s="5"/>
      <c r="M271" s="199"/>
      <c r="N271" s="199"/>
      <c r="O271" s="327" t="str">
        <f t="shared" ref="O271:AR271" si="553">IFERROR(AVERAGE(N159:O159),"NA")</f>
        <v>NA</v>
      </c>
      <c r="P271" s="327">
        <f t="shared" si="553"/>
        <v>5.2560000000000002</v>
      </c>
      <c r="Q271" s="636">
        <f t="shared" si="553"/>
        <v>5.2560000000000002</v>
      </c>
      <c r="R271" s="327" t="str">
        <f t="shared" si="553"/>
        <v>NA</v>
      </c>
      <c r="S271" s="327">
        <f t="shared" si="553"/>
        <v>8.9540000000000006</v>
      </c>
      <c r="T271" s="637">
        <f t="shared" si="553"/>
        <v>9.4175000000000004</v>
      </c>
      <c r="U271" s="636">
        <f t="shared" si="553"/>
        <v>10.265000000000001</v>
      </c>
      <c r="V271" s="327">
        <f t="shared" si="553"/>
        <v>11.140499999999999</v>
      </c>
      <c r="W271" s="327">
        <f t="shared" si="553"/>
        <v>12.1275</v>
      </c>
      <c r="X271" s="637">
        <f t="shared" si="553"/>
        <v>13.710999999999999</v>
      </c>
      <c r="Y271" s="327">
        <f t="shared" si="553"/>
        <v>15.285499999999999</v>
      </c>
      <c r="Z271" s="327">
        <f t="shared" si="553"/>
        <v>17.775500000000001</v>
      </c>
      <c r="AA271" s="327">
        <f t="shared" si="553"/>
        <v>22.85</v>
      </c>
      <c r="AB271" s="637">
        <f t="shared" si="553"/>
        <v>28.293500000000002</v>
      </c>
      <c r="AC271" s="636">
        <f t="shared" si="553"/>
        <v>31.981999999999999</v>
      </c>
      <c r="AD271" s="327">
        <f t="shared" si="553"/>
        <v>35.380000000000003</v>
      </c>
      <c r="AE271" s="327">
        <f t="shared" si="553"/>
        <v>40.397500000000001</v>
      </c>
      <c r="AF271" s="637">
        <f t="shared" si="553"/>
        <v>53.046999999999997</v>
      </c>
      <c r="AG271" s="327">
        <f t="shared" si="553"/>
        <v>65.677499999999995</v>
      </c>
      <c r="AH271" s="327">
        <f t="shared" si="553"/>
        <v>70.598500000000001</v>
      </c>
      <c r="AI271" s="327">
        <f t="shared" si="553"/>
        <v>75.472499999999997</v>
      </c>
      <c r="AJ271" s="1793">
        <f t="shared" si="553"/>
        <v>79.404499999999999</v>
      </c>
      <c r="AK271" s="327">
        <f t="shared" si="553"/>
        <v>82.621499999999997</v>
      </c>
      <c r="AL271" s="327">
        <f t="shared" si="553"/>
        <v>87.138999999999996</v>
      </c>
      <c r="AM271" s="327">
        <f t="shared" si="553"/>
        <v>91.669999999999987</v>
      </c>
      <c r="AN271" s="612">
        <f t="shared" si="553"/>
        <v>93.138999999999996</v>
      </c>
      <c r="AO271" s="327">
        <f t="shared" si="553"/>
        <v>92.083500000000001</v>
      </c>
      <c r="AP271" s="327">
        <f t="shared" si="553"/>
        <v>91.720500000000001</v>
      </c>
      <c r="AQ271" s="327">
        <f t="shared" si="553"/>
        <v>93.031000000000006</v>
      </c>
      <c r="AR271" s="612">
        <f t="shared" si="553"/>
        <v>98.999499999999998</v>
      </c>
      <c r="AS271" s="327">
        <f t="shared" ref="AS271:AV271" si="554">IFERROR(AVERAGE(AR159:AS159),"NA")</f>
        <v>101.16249999999999</v>
      </c>
      <c r="AT271" s="327">
        <f t="shared" si="554"/>
        <v>96.07074999999999</v>
      </c>
      <c r="AU271" s="327">
        <f t="shared" si="554"/>
        <v>90.677499999999981</v>
      </c>
      <c r="AV271" s="637">
        <f t="shared" si="554"/>
        <v>84.969249999999988</v>
      </c>
      <c r="AW271" s="327">
        <f t="shared" ref="AW271:BD271" si="555">IFERROR(AVERAGE(AV159:AW159),"NA")</f>
        <v>82.478243431107899</v>
      </c>
      <c r="AX271" s="327">
        <f t="shared" si="555"/>
        <v>83.350490663672389</v>
      </c>
      <c r="AY271" s="327">
        <f t="shared" si="555"/>
        <v>84.259416355179027</v>
      </c>
      <c r="AZ271" s="637">
        <f t="shared" si="555"/>
        <v>85.202314359285154</v>
      </c>
      <c r="BA271" s="327">
        <f t="shared" si="555"/>
        <v>86.16919736432132</v>
      </c>
      <c r="BB271" s="327">
        <f t="shared" si="555"/>
        <v>87.163413221423298</v>
      </c>
      <c r="BC271" s="327">
        <f t="shared" si="555"/>
        <v>88.194080162759946</v>
      </c>
      <c r="BD271" s="637">
        <f t="shared" si="555"/>
        <v>89.255853469553358</v>
      </c>
      <c r="BE271"/>
      <c r="BF271" s="54"/>
      <c r="BG271" s="449"/>
      <c r="BH271" s="199"/>
      <c r="BI271" s="199"/>
      <c r="BJ271" s="327"/>
      <c r="BK271" s="327">
        <f t="shared" ref="BK271:BZ271" si="556">IFERROR(AVERAGE(BJ159:BK159),"NA")</f>
        <v>3.72</v>
      </c>
      <c r="BL271" s="327">
        <f t="shared" si="556"/>
        <v>7.5685000000000002</v>
      </c>
      <c r="BM271" s="327">
        <f t="shared" si="556"/>
        <v>12.34</v>
      </c>
      <c r="BN271" s="327">
        <f t="shared" si="556"/>
        <v>22.732500000000002</v>
      </c>
      <c r="BO271" s="327">
        <f t="shared" si="556"/>
        <v>46.713500000000003</v>
      </c>
      <c r="BP271" s="327">
        <f t="shared" si="556"/>
        <v>71.614000000000004</v>
      </c>
      <c r="BQ271" s="327">
        <f t="shared" si="556"/>
        <v>86.453499999999991</v>
      </c>
      <c r="BR271" s="327">
        <f t="shared" si="556"/>
        <v>98.045500000000004</v>
      </c>
      <c r="BS271" s="327">
        <f t="shared" si="556"/>
        <v>92.850999999999999</v>
      </c>
      <c r="BT271" s="327">
        <f t="shared" si="556"/>
        <v>83.866145236670604</v>
      </c>
      <c r="BU271" s="327">
        <f t="shared" si="556"/>
        <v>87.737279637236611</v>
      </c>
      <c r="BV271" s="327">
        <f t="shared" si="556"/>
        <v>92.099257965027391</v>
      </c>
      <c r="BW271" s="327">
        <f t="shared" si="556"/>
        <v>96.961236292818171</v>
      </c>
      <c r="BX271" s="327">
        <f t="shared" si="556"/>
        <v>102.32321462060895</v>
      </c>
      <c r="BY271" s="327">
        <f t="shared" si="556"/>
        <v>108.18519294839973</v>
      </c>
      <c r="BZ271" s="612">
        <f t="shared" si="556"/>
        <v>114.54717127619051</v>
      </c>
      <c r="CA271" s="54"/>
      <c r="CB271" s="54"/>
      <c r="CC271" s="54"/>
      <c r="CD271" s="54"/>
      <c r="CE271" s="54"/>
      <c r="CF271" s="54"/>
      <c r="CG271" s="1772"/>
      <c r="CH271" s="1772"/>
      <c r="CI271" s="1772"/>
      <c r="CJ271" s="54"/>
      <c r="CK271" s="54"/>
      <c r="CL271" s="54"/>
      <c r="CM271" s="54"/>
      <c r="CN271" s="54"/>
      <c r="CO271" s="54"/>
      <c r="CP271" s="54"/>
      <c r="CQ271" s="54"/>
      <c r="CR271" s="54"/>
    </row>
    <row r="272" spans="1:96" s="401" customFormat="1" ht="11.25" customHeight="1">
      <c r="A272" s="54"/>
      <c r="B272"/>
      <c r="C272"/>
      <c r="D272"/>
      <c r="E272"/>
      <c r="F272"/>
      <c r="G272"/>
      <c r="H272" s="54"/>
      <c r="I272" s="1114" t="s">
        <v>431</v>
      </c>
      <c r="J272" s="607"/>
      <c r="K272" s="5"/>
      <c r="L272" s="5"/>
      <c r="M272" s="199"/>
      <c r="N272" s="199"/>
      <c r="O272" s="199"/>
      <c r="P272" s="198">
        <f t="shared" ref="P272:AI272" si="557">IFERROR(P270/P271,"NA")</f>
        <v>0.16191019786910196</v>
      </c>
      <c r="Q272" s="866">
        <f t="shared" si="557"/>
        <v>0.15582191780821916</v>
      </c>
      <c r="R272" s="198" t="str">
        <f t="shared" si="557"/>
        <v>NA</v>
      </c>
      <c r="S272" s="198">
        <f t="shared" si="557"/>
        <v>0.11693098056734419</v>
      </c>
      <c r="T272" s="867">
        <f t="shared" si="557"/>
        <v>0.15375630475179186</v>
      </c>
      <c r="U272" s="866">
        <f t="shared" si="557"/>
        <v>0.1325864588407209</v>
      </c>
      <c r="V272" s="198">
        <f t="shared" si="557"/>
        <v>0.14909564202683903</v>
      </c>
      <c r="W272" s="198">
        <f t="shared" si="557"/>
        <v>0.14677386105957535</v>
      </c>
      <c r="X272" s="867">
        <f t="shared" si="557"/>
        <v>0.17657355408066516</v>
      </c>
      <c r="Y272" s="198">
        <f t="shared" si="557"/>
        <v>0.16211442216479674</v>
      </c>
      <c r="Z272" s="198">
        <f t="shared" si="557"/>
        <v>0.14835025737672639</v>
      </c>
      <c r="AA272" s="198">
        <f t="shared" si="557"/>
        <v>0.12323851203501092</v>
      </c>
      <c r="AB272" s="867">
        <f t="shared" si="557"/>
        <v>0.12455157545019173</v>
      </c>
      <c r="AC272" s="866">
        <f t="shared" si="557"/>
        <v>0.11447063973485086</v>
      </c>
      <c r="AD272" s="198">
        <f t="shared" si="557"/>
        <v>0.11401921989824758</v>
      </c>
      <c r="AE272" s="198">
        <f t="shared" si="557"/>
        <v>0.11396744848072282</v>
      </c>
      <c r="AF272" s="867">
        <f t="shared" si="557"/>
        <v>9.9741738458348272E-2</v>
      </c>
      <c r="AG272" s="198">
        <f t="shared" si="557"/>
        <v>0.10498268052224886</v>
      </c>
      <c r="AH272" s="198">
        <f t="shared" si="557"/>
        <v>0.10151773762898644</v>
      </c>
      <c r="AI272" s="198">
        <f t="shared" si="557"/>
        <v>0.10019543542349864</v>
      </c>
      <c r="AJ272" s="1791">
        <f t="shared" ref="AJ272:AL272" si="558">IFERROR(AJ270/AJ271,"NA")</f>
        <v>0.10049808260237141</v>
      </c>
      <c r="AK272" s="198">
        <f t="shared" si="558"/>
        <v>9.9114637231229166E-2</v>
      </c>
      <c r="AL272" s="198">
        <f t="shared" si="558"/>
        <v>9.8279759923799906E-2</v>
      </c>
      <c r="AM272" s="198">
        <f t="shared" ref="AM272:AR272" si="559">IFERROR(AM270/AM271,"NA")</f>
        <v>9.991273044616561E-2</v>
      </c>
      <c r="AN272" s="752">
        <f t="shared" si="559"/>
        <v>0.13838456500499255</v>
      </c>
      <c r="AO272" s="198">
        <f t="shared" si="559"/>
        <v>0.11274549729321756</v>
      </c>
      <c r="AP272" s="198">
        <f t="shared" si="559"/>
        <v>0.11624446007163067</v>
      </c>
      <c r="AQ272" s="198">
        <f t="shared" si="559"/>
        <v>0.11454246433984371</v>
      </c>
      <c r="AR272" s="752">
        <f t="shared" si="559"/>
        <v>9.8273223602139401E-2</v>
      </c>
      <c r="AS272" s="198">
        <f t="shared" ref="AS272:BD272" si="560">IFERROR(AS270/AS271,"NA")</f>
        <v>0.1038625973063141</v>
      </c>
      <c r="AT272" s="198">
        <f t="shared" si="560"/>
        <v>0.1144104735312257</v>
      </c>
      <c r="AU272" s="198">
        <f t="shared" si="560"/>
        <v>0.12991094814038767</v>
      </c>
      <c r="AV272" s="867">
        <f t="shared" si="560"/>
        <v>0.14501128349373449</v>
      </c>
      <c r="AW272" s="198">
        <f t="shared" si="560"/>
        <v>9.3241337836759808E-2</v>
      </c>
      <c r="AX272" s="198">
        <f t="shared" si="560"/>
        <v>9.6101035068166765E-2</v>
      </c>
      <c r="AY272" s="198">
        <f t="shared" si="560"/>
        <v>9.910576624101583E-2</v>
      </c>
      <c r="AZ272" s="867">
        <f t="shared" si="560"/>
        <v>0.10118938807992488</v>
      </c>
      <c r="BA272" s="198">
        <f t="shared" si="560"/>
        <v>0.10191952932450238</v>
      </c>
      <c r="BB272" s="198">
        <f t="shared" si="560"/>
        <v>0.10455718808351827</v>
      </c>
      <c r="BC272" s="198">
        <f t="shared" si="560"/>
        <v>0.10701901461467271</v>
      </c>
      <c r="BD272" s="867">
        <f t="shared" si="560"/>
        <v>0.10837917730196989</v>
      </c>
      <c r="BE272"/>
      <c r="BF272" s="54"/>
      <c r="BG272" s="449"/>
      <c r="BH272" s="199"/>
      <c r="BI272" s="199"/>
      <c r="BJ272" s="199"/>
      <c r="BK272" s="198">
        <f>IFERROR(BK270/BK271,"NA")</f>
        <v>0.6274193548387097</v>
      </c>
      <c r="BL272" s="198">
        <f t="shared" ref="BL272:BU272" si="561">IFERROR(BL270/BL271,"NA")</f>
        <v>0.55995243443218601</v>
      </c>
      <c r="BM272" s="198">
        <f t="shared" si="561"/>
        <v>0.58533225283630475</v>
      </c>
      <c r="BN272" s="198">
        <f t="shared" si="561"/>
        <v>0.50390410205652691</v>
      </c>
      <c r="BO272" s="198">
        <f t="shared" si="561"/>
        <v>0.37655067592879998</v>
      </c>
      <c r="BP272" s="198">
        <f t="shared" si="561"/>
        <v>0.4133828581003714</v>
      </c>
      <c r="BQ272" s="198">
        <f t="shared" si="561"/>
        <v>0.4488077405773046</v>
      </c>
      <c r="BR272" s="198">
        <f t="shared" si="561"/>
        <v>0.42254871462739241</v>
      </c>
      <c r="BS272" s="198">
        <f t="shared" si="561"/>
        <v>0.49110941185339957</v>
      </c>
      <c r="BT272" s="198">
        <f t="shared" si="561"/>
        <v>0.38958049362909125</v>
      </c>
      <c r="BU272" s="198">
        <f t="shared" si="561"/>
        <v>0.42180251203515151</v>
      </c>
      <c r="BV272" s="198">
        <f>IFERROR(BV270/BV271,"NA")</f>
        <v>0.45068555238391378</v>
      </c>
      <c r="BW272" s="198">
        <f>IFERROR(BW270/BW271,"NA")</f>
        <v>0.47449688874815532</v>
      </c>
      <c r="BX272" s="198">
        <f>IFERROR(BX270/BX271,"NA")</f>
        <v>0.49361042005363415</v>
      </c>
      <c r="BY272" s="198">
        <f>IFERROR(BY270/BY271,"NA")</f>
        <v>0.50845964638019914</v>
      </c>
      <c r="BZ272" s="752">
        <f>IFERROR(BZ270/BZ271,"NA")</f>
        <v>0.51950479690707196</v>
      </c>
      <c r="CA272" s="54"/>
      <c r="CB272" s="54"/>
      <c r="CC272" s="54"/>
      <c r="CD272" s="54"/>
      <c r="CE272" s="54"/>
      <c r="CF272" s="54"/>
      <c r="CG272" s="1772"/>
      <c r="CH272" s="1772"/>
      <c r="CI272" s="1772"/>
      <c r="CJ272" s="54"/>
      <c r="CK272" s="54"/>
      <c r="CL272" s="54"/>
      <c r="CM272" s="54"/>
      <c r="CN272" s="54"/>
      <c r="CO272" s="54"/>
      <c r="CP272" s="54"/>
      <c r="CQ272" s="54"/>
      <c r="CR272" s="54"/>
    </row>
    <row r="273" spans="1:96" s="401" customFormat="1" ht="11.25" customHeight="1">
      <c r="A273" s="54"/>
      <c r="B273"/>
      <c r="C273"/>
      <c r="D273"/>
      <c r="E273"/>
      <c r="F273"/>
      <c r="G273"/>
      <c r="H273" s="54"/>
      <c r="I273" s="1114" t="s">
        <v>429</v>
      </c>
      <c r="J273" s="607"/>
      <c r="K273" s="5"/>
      <c r="L273" s="5"/>
      <c r="M273" s="199"/>
      <c r="N273" s="199"/>
      <c r="O273" s="199"/>
      <c r="P273" s="327">
        <f t="shared" ref="P273:AI273" si="562">IFERROR(1/P272/4,"NA")</f>
        <v>1.5440658049353704</v>
      </c>
      <c r="Q273" s="636">
        <f t="shared" si="562"/>
        <v>1.6043956043956045</v>
      </c>
      <c r="R273" s="327" t="str">
        <f t="shared" si="562"/>
        <v>NA</v>
      </c>
      <c r="S273" s="327">
        <f t="shared" si="562"/>
        <v>2.1380133715377272</v>
      </c>
      <c r="T273" s="637">
        <f t="shared" si="562"/>
        <v>1.6259495856353592</v>
      </c>
      <c r="U273" s="636">
        <f t="shared" si="562"/>
        <v>1.885562086700955</v>
      </c>
      <c r="V273" s="327">
        <f t="shared" si="562"/>
        <v>1.6767760385310051</v>
      </c>
      <c r="W273" s="327">
        <f t="shared" si="562"/>
        <v>1.7033005617977528</v>
      </c>
      <c r="X273" s="637">
        <f t="shared" si="562"/>
        <v>1.4158405617513423</v>
      </c>
      <c r="Y273" s="327">
        <f t="shared" si="562"/>
        <v>1.5421206618240513</v>
      </c>
      <c r="Z273" s="327">
        <f t="shared" si="562"/>
        <v>1.6852009859689041</v>
      </c>
      <c r="AA273" s="327">
        <f t="shared" si="562"/>
        <v>2.0285866477272729</v>
      </c>
      <c r="AB273" s="637">
        <f t="shared" si="562"/>
        <v>2.0072006242905789</v>
      </c>
      <c r="AC273" s="636">
        <f t="shared" si="562"/>
        <v>2.1839661294728216</v>
      </c>
      <c r="AD273" s="327">
        <f t="shared" si="562"/>
        <v>2.1926127912741697</v>
      </c>
      <c r="AE273" s="327">
        <f t="shared" si="562"/>
        <v>2.1936088184187663</v>
      </c>
      <c r="AF273" s="637">
        <f t="shared" si="562"/>
        <v>2.5064732564732561</v>
      </c>
      <c r="AG273" s="327">
        <f t="shared" si="562"/>
        <v>2.3813451776649748</v>
      </c>
      <c r="AH273" s="327">
        <f t="shared" si="562"/>
        <v>2.4626238314497004</v>
      </c>
      <c r="AI273" s="327">
        <f t="shared" si="562"/>
        <v>2.4951236445384817</v>
      </c>
      <c r="AJ273" s="1793">
        <f t="shared" ref="AJ273:AL273" si="563">IFERROR(1/AJ272/4,"NA")</f>
        <v>2.487609649122807</v>
      </c>
      <c r="AK273" s="327">
        <f t="shared" si="563"/>
        <v>2.5223317865429231</v>
      </c>
      <c r="AL273" s="327">
        <f t="shared" si="563"/>
        <v>2.5437587575899112</v>
      </c>
      <c r="AM273" s="327">
        <f t="shared" ref="AM273:AR273" si="564">IFERROR(1/AM272/4,"NA")</f>
        <v>2.5021836445026744</v>
      </c>
      <c r="AN273" s="612">
        <f t="shared" si="564"/>
        <v>1.8065598572426098</v>
      </c>
      <c r="AO273" s="327">
        <f t="shared" si="564"/>
        <v>2.2173834521286846</v>
      </c>
      <c r="AP273" s="327">
        <f t="shared" si="564"/>
        <v>2.1506401238041644</v>
      </c>
      <c r="AQ273" s="327">
        <f t="shared" si="564"/>
        <v>2.182596659159159</v>
      </c>
      <c r="AR273" s="612">
        <f t="shared" si="564"/>
        <v>2.543927947373831</v>
      </c>
      <c r="AS273" s="327">
        <f t="shared" ref="AS273:BD273" si="565">IFERROR(1/AS272/4,"NA")</f>
        <v>2.4070262682021508</v>
      </c>
      <c r="AT273" s="327">
        <f t="shared" si="565"/>
        <v>2.1851146340353909</v>
      </c>
      <c r="AU273" s="327">
        <f t="shared" si="565"/>
        <v>1.9243951612903221</v>
      </c>
      <c r="AV273" s="637">
        <f t="shared" si="565"/>
        <v>1.724003773891166</v>
      </c>
      <c r="AW273" s="327">
        <f t="shared" si="565"/>
        <v>2.6812142103503698</v>
      </c>
      <c r="AX273" s="327">
        <f t="shared" si="565"/>
        <v>2.6014287965022334</v>
      </c>
      <c r="AY273" s="327">
        <f t="shared" si="565"/>
        <v>2.5225575613029791</v>
      </c>
      <c r="AZ273" s="637">
        <f t="shared" si="565"/>
        <v>2.4706148020436336</v>
      </c>
      <c r="BA273" s="327">
        <f t="shared" si="565"/>
        <v>2.4529155663977122</v>
      </c>
      <c r="BB273" s="327">
        <f t="shared" si="565"/>
        <v>2.3910359926694356</v>
      </c>
      <c r="BC273" s="327">
        <f t="shared" si="565"/>
        <v>2.3360334693805345</v>
      </c>
      <c r="BD273" s="637">
        <f t="shared" si="565"/>
        <v>2.3067161628607051</v>
      </c>
      <c r="BE273"/>
      <c r="BF273" s="54"/>
      <c r="BG273" s="449"/>
      <c r="BH273" s="199"/>
      <c r="BI273" s="199"/>
      <c r="BJ273" s="199"/>
      <c r="BK273" s="327">
        <f>IFERROR(1/BK272/4,"NA")</f>
        <v>0.39845758354755784</v>
      </c>
      <c r="BL273" s="327">
        <f t="shared" ref="BL273:BU273" si="566">IFERROR(1/BL272/4,"NA")</f>
        <v>0.44646649362907032</v>
      </c>
      <c r="BM273" s="327">
        <f t="shared" si="566"/>
        <v>0.42710784992385431</v>
      </c>
      <c r="BN273" s="327">
        <f t="shared" si="566"/>
        <v>0.49612614578786562</v>
      </c>
      <c r="BO273" s="327">
        <f t="shared" si="566"/>
        <v>0.66392126208072777</v>
      </c>
      <c r="BP273" s="327">
        <f t="shared" si="566"/>
        <v>0.60476624780435084</v>
      </c>
      <c r="BQ273" s="327">
        <f t="shared" si="566"/>
        <v>0.55703139094353238</v>
      </c>
      <c r="BR273" s="327">
        <f t="shared" si="566"/>
        <v>0.59164775881628806</v>
      </c>
      <c r="BS273" s="327">
        <f t="shared" si="566"/>
        <v>0.50905153508771928</v>
      </c>
      <c r="BT273" s="327">
        <f t="shared" si="566"/>
        <v>0.64171590746537233</v>
      </c>
      <c r="BU273" s="327">
        <f t="shared" si="566"/>
        <v>0.59269443131994881</v>
      </c>
      <c r="BV273" s="327">
        <f>IFERROR(1/BV272/4,"NA")</f>
        <v>0.55471048201482842</v>
      </c>
      <c r="BW273" s="327">
        <f>IFERROR(1/BW272/4,"NA")</f>
        <v>0.52687384454630293</v>
      </c>
      <c r="BX273" s="327">
        <f>IFERROR(1/BX272/4,"NA")</f>
        <v>0.50647229038000408</v>
      </c>
      <c r="BY273" s="327">
        <f>IFERROR(1/BY272/4,"NA")</f>
        <v>0.49168110346570804</v>
      </c>
      <c r="BZ273" s="612">
        <f>IFERROR(1/BZ272/4,"NA")</f>
        <v>0.48122751029134292</v>
      </c>
      <c r="CA273" s="54"/>
      <c r="CB273" s="54"/>
      <c r="CC273" s="54"/>
      <c r="CD273" s="54"/>
      <c r="CE273" s="54"/>
      <c r="CF273" s="54"/>
      <c r="CG273" s="1772"/>
      <c r="CH273" s="1772"/>
      <c r="CI273" s="1772"/>
      <c r="CJ273" s="54"/>
      <c r="CK273" s="54"/>
      <c r="CL273" s="54"/>
      <c r="CM273" s="54"/>
      <c r="CN273" s="54"/>
      <c r="CO273" s="54"/>
      <c r="CP273" s="54"/>
      <c r="CQ273" s="54"/>
      <c r="CR273" s="54"/>
    </row>
    <row r="274" spans="1:96" s="401" customFormat="1" ht="11.25" customHeight="1">
      <c r="A274" s="54"/>
      <c r="B274"/>
      <c r="C274"/>
      <c r="D274"/>
      <c r="E274"/>
      <c r="F274"/>
      <c r="G274"/>
      <c r="H274" s="54"/>
      <c r="I274" s="668" t="s">
        <v>144</v>
      </c>
      <c r="J274" s="607"/>
      <c r="K274" s="5"/>
      <c r="L274" s="5"/>
      <c r="M274" s="199"/>
      <c r="N274" s="199"/>
      <c r="O274" s="199"/>
      <c r="P274" s="199">
        <f>IF(ISERROR(P265/P$18),"NM",P265/P$18)</f>
        <v>5.5715595128977342E-2</v>
      </c>
      <c r="Q274" s="451">
        <f t="shared" ref="Q274:AF274" si="567">IF(ISERROR(Q265/Q$18),"NM",Q265/Q$18)</f>
        <v>4.9636363636363631E-2</v>
      </c>
      <c r="R274" s="199">
        <f t="shared" si="567"/>
        <v>4.719583205638983E-2</v>
      </c>
      <c r="S274" s="199">
        <f t="shared" si="567"/>
        <v>4.6946462200699486E-2</v>
      </c>
      <c r="T274" s="447">
        <f t="shared" si="567"/>
        <v>5.8140935555109415E-2</v>
      </c>
      <c r="U274" s="451">
        <f t="shared" si="567"/>
        <v>4.9698740186233339E-2</v>
      </c>
      <c r="V274" s="199">
        <f t="shared" si="567"/>
        <v>5.0868220377913213E-2</v>
      </c>
      <c r="W274" s="199">
        <f t="shared" si="567"/>
        <v>4.8940089631849551E-2</v>
      </c>
      <c r="X274" s="447">
        <f t="shared" si="567"/>
        <v>5.8823529411764705E-2</v>
      </c>
      <c r="Y274" s="199">
        <f t="shared" si="567"/>
        <v>5.371426094119177E-2</v>
      </c>
      <c r="Z274" s="199">
        <f t="shared" si="567"/>
        <v>4.7925413009105279E-2</v>
      </c>
      <c r="AA274" s="199">
        <f t="shared" si="567"/>
        <v>4.602736143573985E-2</v>
      </c>
      <c r="AB274" s="447">
        <f t="shared" si="567"/>
        <v>4.9878982604634046E-2</v>
      </c>
      <c r="AC274" s="451">
        <f t="shared" si="567"/>
        <v>4.7914458099388803E-2</v>
      </c>
      <c r="AD274" s="199">
        <f t="shared" si="567"/>
        <v>4.5434579386621911E-2</v>
      </c>
      <c r="AE274" s="199">
        <f t="shared" si="567"/>
        <v>4.4936801522619689E-2</v>
      </c>
      <c r="AF274" s="447">
        <f t="shared" si="567"/>
        <v>4.8149462629792424E-2</v>
      </c>
      <c r="AG274" s="199">
        <f t="shared" ref="AG274:AQ274" si="568">IF(ISERROR(AG265/AG$23),"NM",AG265/AG$23)</f>
        <v>6.1672629695885509E-2</v>
      </c>
      <c r="AH274" s="199">
        <f t="shared" si="568"/>
        <v>5.7062101910828028E-2</v>
      </c>
      <c r="AI274" s="199">
        <f t="shared" si="568"/>
        <v>5.6181277860326895E-2</v>
      </c>
      <c r="AJ274" s="1792">
        <f t="shared" si="568"/>
        <v>5.4396728016359926E-2</v>
      </c>
      <c r="AK274" s="199">
        <f t="shared" si="568"/>
        <v>5.1628807222611012E-2</v>
      </c>
      <c r="AL274" s="199">
        <f t="shared" si="568"/>
        <v>4.9380722835989578E-2</v>
      </c>
      <c r="AM274" s="199">
        <f t="shared" si="568"/>
        <v>4.9180591949826019E-2</v>
      </c>
      <c r="AN274" s="620">
        <f t="shared" si="568"/>
        <v>4.8430152569867956E-2</v>
      </c>
      <c r="AO274" s="199">
        <f t="shared" si="568"/>
        <v>5.1443572214085534E-2</v>
      </c>
      <c r="AP274" s="199">
        <f t="shared" si="568"/>
        <v>5.1047571625555378E-2</v>
      </c>
      <c r="AQ274" s="199">
        <f t="shared" si="568"/>
        <v>4.7922475042719667E-2</v>
      </c>
      <c r="AR274" s="620">
        <f t="shared" ref="AR274" si="569">IF(ISERROR(AR265/AR$23),"NM",AR265/AR$23)</f>
        <v>4.4573554612684772E-2</v>
      </c>
      <c r="AS274" s="199" t="str">
        <f t="shared" ref="AS274:BD274" si="570">IF(ISERROR(AS265/AS$18),"NM",AS265/AS$18)</f>
        <v>NM</v>
      </c>
      <c r="AT274" s="199" t="str">
        <f t="shared" si="570"/>
        <v>NM</v>
      </c>
      <c r="AU274" s="199" t="str">
        <f t="shared" si="570"/>
        <v>NM</v>
      </c>
      <c r="AV274" s="447" t="str">
        <f t="shared" si="570"/>
        <v>NM</v>
      </c>
      <c r="AW274" s="199" t="str">
        <f t="shared" si="570"/>
        <v>NM</v>
      </c>
      <c r="AX274" s="199" t="str">
        <f t="shared" si="570"/>
        <v>NM</v>
      </c>
      <c r="AY274" s="199" t="str">
        <f t="shared" si="570"/>
        <v>NM</v>
      </c>
      <c r="AZ274" s="447" t="str">
        <f t="shared" si="570"/>
        <v>NM</v>
      </c>
      <c r="BA274" s="199" t="str">
        <f t="shared" si="570"/>
        <v>NM</v>
      </c>
      <c r="BB274" s="199" t="str">
        <f t="shared" si="570"/>
        <v>NM</v>
      </c>
      <c r="BC274" s="199" t="str">
        <f t="shared" si="570"/>
        <v>NM</v>
      </c>
      <c r="BD274" s="447" t="str">
        <f t="shared" si="570"/>
        <v>NM</v>
      </c>
      <c r="BE274"/>
      <c r="BF274" s="54"/>
      <c r="BG274" s="449"/>
      <c r="BH274" s="199"/>
      <c r="BI274" s="199"/>
      <c r="BJ274" s="199"/>
      <c r="BK274" s="199">
        <f t="shared" ref="BK274:BO274" si="571">IF(ISERROR(BK265/BK$18),"NM",BK265/BK$18)</f>
        <v>4.8899038360813725E-2</v>
      </c>
      <c r="BL274" s="199">
        <f t="shared" si="571"/>
        <v>5.0885513597886768E-2</v>
      </c>
      <c r="BM274" s="199">
        <f t="shared" si="571"/>
        <v>5.25057063518602E-2</v>
      </c>
      <c r="BN274" s="199">
        <f t="shared" si="571"/>
        <v>4.9165622263807586E-2</v>
      </c>
      <c r="BO274" s="199">
        <f t="shared" si="571"/>
        <v>4.6591583319206653E-2</v>
      </c>
      <c r="BP274" s="199">
        <f t="shared" ref="BP274:BZ274" si="572">IF(ISERROR(BP265/BP$23),"NM",BP265/BP$23)</f>
        <v>5.7073452862926539E-2</v>
      </c>
      <c r="BQ274" s="199">
        <f t="shared" si="572"/>
        <v>4.9568835554483506E-2</v>
      </c>
      <c r="BR274" s="199">
        <f t="shared" si="572"/>
        <v>4.8650646600843402E-2</v>
      </c>
      <c r="BS274" s="199">
        <f t="shared" si="572"/>
        <v>4.7500000000000001E-2</v>
      </c>
      <c r="BT274" s="199">
        <f t="shared" si="572"/>
        <v>2.9266046452948037E-2</v>
      </c>
      <c r="BU274" s="199">
        <f t="shared" si="572"/>
        <v>2.9357294106074055E-2</v>
      </c>
      <c r="BV274" s="199">
        <f t="shared" si="572"/>
        <v>2.9635731079620836E-2</v>
      </c>
      <c r="BW274" s="199">
        <f t="shared" si="572"/>
        <v>2.992182944206357E-2</v>
      </c>
      <c r="BX274" s="199">
        <f t="shared" si="572"/>
        <v>3.0233332305828413E-2</v>
      </c>
      <c r="BY274" s="199">
        <f t="shared" si="572"/>
        <v>3.0566684235450624E-2</v>
      </c>
      <c r="BZ274" s="620">
        <f t="shared" si="572"/>
        <v>3.0903513164788607E-2</v>
      </c>
      <c r="CA274" s="54"/>
      <c r="CB274" s="54"/>
      <c r="CC274" s="54"/>
      <c r="CD274" s="54"/>
      <c r="CE274" s="54"/>
      <c r="CF274" s="54"/>
      <c r="CG274" s="1772"/>
      <c r="CH274" s="1772"/>
      <c r="CI274" s="1772"/>
      <c r="CJ274" s="54"/>
      <c r="CK274" s="54"/>
      <c r="CL274" s="54"/>
      <c r="CM274" s="54"/>
      <c r="CN274" s="54"/>
      <c r="CO274" s="54"/>
      <c r="CP274" s="54"/>
      <c r="CQ274" s="54"/>
      <c r="CR274" s="54"/>
    </row>
    <row r="275" spans="1:96" s="401" customFormat="1" ht="11.25" customHeight="1">
      <c r="A275" s="54"/>
      <c r="B275"/>
      <c r="C275"/>
      <c r="D275"/>
      <c r="E275"/>
      <c r="F275"/>
      <c r="G275"/>
      <c r="H275" s="54"/>
      <c r="I275" s="1046"/>
      <c r="J275" s="607"/>
      <c r="K275" s="5"/>
      <c r="L275" s="5"/>
      <c r="M275" s="199"/>
      <c r="N275" s="199"/>
      <c r="O275" s="199"/>
      <c r="P275" s="199"/>
      <c r="Q275" s="451"/>
      <c r="R275" s="199"/>
      <c r="S275" s="199"/>
      <c r="T275" s="447"/>
      <c r="U275" s="451"/>
      <c r="V275" s="199"/>
      <c r="W275" s="199"/>
      <c r="X275" s="447"/>
      <c r="Y275" s="199"/>
      <c r="Z275" s="199"/>
      <c r="AA275" s="199"/>
      <c r="AB275" s="447"/>
      <c r="AC275" s="451"/>
      <c r="AD275" s="199"/>
      <c r="AE275" s="199"/>
      <c r="AF275" s="447"/>
      <c r="AG275" s="199"/>
      <c r="AH275" s="199"/>
      <c r="AI275" s="199"/>
      <c r="AJ275" s="447"/>
      <c r="AK275" s="199"/>
      <c r="AL275" s="199"/>
      <c r="AM275" s="199"/>
      <c r="AN275" s="620"/>
      <c r="AO275" s="199"/>
      <c r="AP275" s="199"/>
      <c r="AQ275" s="199"/>
      <c r="AR275" s="620"/>
      <c r="AS275" s="199"/>
      <c r="AT275" s="199"/>
      <c r="AU275" s="199"/>
      <c r="AV275" s="447"/>
      <c r="AW275" s="199"/>
      <c r="AX275" s="199"/>
      <c r="AY275" s="199"/>
      <c r="AZ275" s="447"/>
      <c r="BA275" s="199"/>
      <c r="BB275" s="199"/>
      <c r="BC275" s="199"/>
      <c r="BD275" s="447"/>
      <c r="BE275"/>
      <c r="BF275" s="54"/>
      <c r="BG275" s="449"/>
      <c r="BH275" s="199"/>
      <c r="BI275" s="199"/>
      <c r="BJ275" s="199"/>
      <c r="BK275" s="199"/>
      <c r="BL275" s="331"/>
      <c r="BM275" s="331"/>
      <c r="BN275" s="331"/>
      <c r="BO275" s="331"/>
      <c r="BP275" s="331"/>
      <c r="BQ275" s="331"/>
      <c r="BR275" s="331"/>
      <c r="BS275" s="331"/>
      <c r="BT275" s="331"/>
      <c r="BU275" s="331"/>
      <c r="BV275" s="331"/>
      <c r="BW275" s="331"/>
      <c r="BX275" s="331"/>
      <c r="BY275" s="331"/>
      <c r="BZ275" s="694"/>
      <c r="CA275" s="54"/>
      <c r="CB275" s="54"/>
      <c r="CC275" s="54"/>
      <c r="CD275" s="54"/>
      <c r="CE275" s="54"/>
      <c r="CF275" s="54"/>
      <c r="CG275" s="1772"/>
      <c r="CH275" s="1772"/>
      <c r="CI275" s="1772"/>
      <c r="CJ275" s="54"/>
      <c r="CK275" s="54"/>
      <c r="CL275" s="54"/>
      <c r="CM275" s="54"/>
      <c r="CN275" s="54"/>
      <c r="CO275" s="54"/>
      <c r="CP275" s="54"/>
      <c r="CQ275" s="54"/>
      <c r="CR275" s="54"/>
    </row>
    <row r="276" spans="1:96" ht="11.25" customHeight="1">
      <c r="A276" s="36"/>
      <c r="H276" s="36"/>
      <c r="I276" s="601"/>
      <c r="J276" s="54"/>
      <c r="K276" s="54"/>
      <c r="L276" s="54"/>
      <c r="M276" s="54"/>
      <c r="N276" s="54"/>
      <c r="O276" s="54"/>
      <c r="P276" s="54"/>
      <c r="Q276" s="601"/>
      <c r="R276" s="54"/>
      <c r="S276" s="54"/>
      <c r="T276" s="551"/>
      <c r="U276" s="601"/>
      <c r="V276" s="54"/>
      <c r="W276" s="54"/>
      <c r="X276" s="551"/>
      <c r="Y276" s="54"/>
      <c r="Z276" s="54"/>
      <c r="AA276" s="54"/>
      <c r="AB276" s="551"/>
      <c r="AC276" s="601"/>
      <c r="AD276" s="54"/>
      <c r="AE276" s="54"/>
      <c r="AF276" s="551"/>
      <c r="AG276" s="54"/>
      <c r="AH276" s="54"/>
      <c r="AI276" s="54"/>
      <c r="AJ276" s="551"/>
      <c r="AK276" s="54"/>
      <c r="AL276" s="54"/>
      <c r="AM276" s="54"/>
      <c r="AN276" s="619"/>
      <c r="AO276" s="54"/>
      <c r="AP276" s="54"/>
      <c r="AQ276" s="54"/>
      <c r="AR276" s="619"/>
      <c r="AS276" s="54"/>
      <c r="AT276" s="54"/>
      <c r="AU276" s="54"/>
      <c r="AV276" s="551"/>
      <c r="AW276" s="54"/>
      <c r="AX276" s="54"/>
      <c r="AY276" s="54"/>
      <c r="AZ276" s="551"/>
      <c r="BA276" s="54"/>
      <c r="BB276" s="54"/>
      <c r="BC276" s="54"/>
      <c r="BD276" s="551"/>
      <c r="BF276" s="36"/>
      <c r="BG276" s="692"/>
      <c r="BH276" s="606"/>
      <c r="BI276" s="606"/>
      <c r="BJ276" s="606"/>
      <c r="BK276" s="606"/>
      <c r="BL276" s="606"/>
      <c r="BM276" s="606"/>
      <c r="BN276" s="606"/>
      <c r="BO276" s="606"/>
      <c r="BP276" s="606"/>
      <c r="BQ276" s="606"/>
      <c r="BR276" s="606"/>
      <c r="BS276" s="606"/>
      <c r="BT276" s="606"/>
      <c r="BU276" s="606"/>
      <c r="BV276" s="606"/>
      <c r="BW276" s="606"/>
      <c r="BX276" s="606"/>
      <c r="BY276" s="606"/>
      <c r="BZ276" s="693"/>
      <c r="CA276" s="36"/>
      <c r="CB276" s="36"/>
      <c r="CC276" s="36"/>
      <c r="CD276" s="36"/>
      <c r="CE276" s="36"/>
      <c r="CF276" s="36"/>
      <c r="CG276" s="1765"/>
      <c r="CH276" s="1765"/>
      <c r="CI276" s="1765"/>
      <c r="CJ276" s="36"/>
      <c r="CK276" s="36"/>
      <c r="CL276" s="36"/>
      <c r="CM276" s="36"/>
      <c r="CN276" s="36"/>
      <c r="CO276" s="36"/>
      <c r="CP276" s="36"/>
      <c r="CQ276" s="36"/>
      <c r="CR276" s="36"/>
    </row>
    <row r="277" spans="1:96" s="401" customFormat="1" ht="11.25" customHeight="1">
      <c r="A277" s="81"/>
      <c r="B277"/>
      <c r="C277"/>
      <c r="D277"/>
      <c r="E277"/>
      <c r="F277"/>
      <c r="G277"/>
      <c r="H277" s="81"/>
      <c r="I277" s="669" t="s">
        <v>305</v>
      </c>
      <c r="J277" s="397"/>
      <c r="K277" s="397"/>
      <c r="L277" s="397"/>
      <c r="M277" s="398"/>
      <c r="N277" s="398"/>
      <c r="O277" s="398"/>
      <c r="P277" s="398"/>
      <c r="Q277" s="676"/>
      <c r="R277" s="398"/>
      <c r="S277" s="398"/>
      <c r="T277" s="670"/>
      <c r="U277" s="676"/>
      <c r="V277" s="398"/>
      <c r="W277" s="398"/>
      <c r="X277" s="670"/>
      <c r="Y277" s="398"/>
      <c r="Z277" s="398"/>
      <c r="AA277" s="398"/>
      <c r="AB277" s="670"/>
      <c r="AC277" s="676"/>
      <c r="AD277" s="398"/>
      <c r="AE277" s="398"/>
      <c r="AF277" s="670"/>
      <c r="AG277" s="398"/>
      <c r="AH277" s="398"/>
      <c r="AI277" s="398"/>
      <c r="AJ277" s="670"/>
      <c r="AK277" s="398"/>
      <c r="AL277" s="398"/>
      <c r="AM277" s="398"/>
      <c r="AN277" s="696"/>
      <c r="AO277" s="398"/>
      <c r="AP277" s="398"/>
      <c r="AQ277" s="398"/>
      <c r="AR277" s="696"/>
      <c r="AS277" s="398"/>
      <c r="AT277" s="398"/>
      <c r="AU277" s="398"/>
      <c r="AV277" s="670"/>
      <c r="AW277" s="398"/>
      <c r="AX277" s="398"/>
      <c r="AY277" s="398"/>
      <c r="AZ277" s="670"/>
      <c r="BA277" s="398"/>
      <c r="BB277" s="398"/>
      <c r="BC277" s="398"/>
      <c r="BD277" s="670"/>
      <c r="BE277"/>
      <c r="BF277" s="105"/>
      <c r="BG277" s="695"/>
      <c r="BH277" s="398"/>
      <c r="BI277" s="398"/>
      <c r="BJ277" s="398"/>
      <c r="BK277" s="398"/>
      <c r="BL277" s="398"/>
      <c r="BM277" s="398"/>
      <c r="BN277" s="398"/>
      <c r="BO277" s="398"/>
      <c r="BP277" s="398"/>
      <c r="BQ277" s="398"/>
      <c r="BR277" s="398"/>
      <c r="BS277" s="398"/>
      <c r="BT277" s="398"/>
      <c r="BU277" s="398"/>
      <c r="BV277" s="398"/>
      <c r="BW277" s="398"/>
      <c r="BX277" s="398"/>
      <c r="BY277" s="398"/>
      <c r="BZ277" s="696"/>
      <c r="CA277" s="83"/>
      <c r="CB277" s="83"/>
      <c r="CC277" s="83"/>
      <c r="CD277" s="83"/>
      <c r="CE277" s="83"/>
      <c r="CF277" s="83"/>
      <c r="CG277" s="1769"/>
      <c r="CH277" s="1769"/>
      <c r="CI277" s="1769"/>
      <c r="CJ277" s="83"/>
      <c r="CK277" s="83"/>
      <c r="CL277" s="75"/>
      <c r="CM277" s="75"/>
      <c r="CN277" s="75"/>
      <c r="CO277" s="75"/>
      <c r="CP277" s="75"/>
      <c r="CQ277" s="75"/>
      <c r="CR277" s="75"/>
    </row>
    <row r="278" spans="1:96" s="225" customFormat="1" ht="11.25" customHeight="1">
      <c r="A278" s="81"/>
      <c r="B278"/>
      <c r="C278"/>
      <c r="D278"/>
      <c r="E278"/>
      <c r="F278"/>
      <c r="G278"/>
      <c r="H278" s="81"/>
      <c r="I278" s="671"/>
      <c r="J278" s="321"/>
      <c r="K278" s="321"/>
      <c r="L278" s="321"/>
      <c r="M278" s="68"/>
      <c r="N278" s="68"/>
      <c r="O278" s="68"/>
      <c r="P278" s="68"/>
      <c r="Q278" s="677"/>
      <c r="R278" s="68"/>
      <c r="S278" s="68"/>
      <c r="T278" s="672"/>
      <c r="U278" s="677"/>
      <c r="V278" s="68"/>
      <c r="W278" s="68"/>
      <c r="X278" s="672"/>
      <c r="Y278" s="68"/>
      <c r="Z278" s="68"/>
      <c r="AA278" s="68"/>
      <c r="AB278" s="672"/>
      <c r="AC278" s="677"/>
      <c r="AD278" s="68"/>
      <c r="AE278" s="68"/>
      <c r="AF278" s="672"/>
      <c r="AG278" s="68"/>
      <c r="AH278" s="68"/>
      <c r="AI278" s="68"/>
      <c r="AJ278" s="672"/>
      <c r="AK278" s="68"/>
      <c r="AL278" s="68"/>
      <c r="AM278" s="68"/>
      <c r="AN278" s="475"/>
      <c r="AO278" s="68"/>
      <c r="AP278" s="68"/>
      <c r="AQ278" s="68"/>
      <c r="AR278" s="475"/>
      <c r="AS278" s="68"/>
      <c r="AT278" s="68"/>
      <c r="AU278" s="68"/>
      <c r="AV278" s="672"/>
      <c r="AW278" s="68"/>
      <c r="AX278" s="68"/>
      <c r="AY278" s="68"/>
      <c r="AZ278" s="672"/>
      <c r="BA278" s="68"/>
      <c r="BB278" s="68"/>
      <c r="BC278" s="68"/>
      <c r="BD278" s="672"/>
      <c r="BE278"/>
      <c r="BF278" s="105"/>
      <c r="BG278" s="507"/>
      <c r="BH278" s="68"/>
      <c r="BI278" s="68"/>
      <c r="BJ278" s="68"/>
      <c r="BK278" s="68"/>
      <c r="BL278" s="68"/>
      <c r="BM278" s="68"/>
      <c r="BN278" s="68"/>
      <c r="BO278" s="68"/>
      <c r="BP278" s="68"/>
      <c r="BQ278" s="68"/>
      <c r="BR278" s="68"/>
      <c r="BS278" s="68"/>
      <c r="BT278" s="68"/>
      <c r="BU278" s="68"/>
      <c r="BV278" s="68"/>
      <c r="BW278" s="68"/>
      <c r="BX278" s="68"/>
      <c r="BY278" s="68"/>
      <c r="BZ278" s="475"/>
      <c r="CA278" s="83"/>
      <c r="CB278" s="83"/>
      <c r="CC278" s="83"/>
      <c r="CD278" s="83"/>
      <c r="CE278" s="83"/>
      <c r="CF278" s="83"/>
      <c r="CG278" s="1769"/>
      <c r="CH278" s="1769"/>
      <c r="CI278" s="1769"/>
      <c r="CJ278" s="83"/>
      <c r="CK278" s="83"/>
      <c r="CL278" s="75"/>
      <c r="CM278" s="75"/>
      <c r="CN278" s="75"/>
      <c r="CO278" s="75"/>
      <c r="CP278" s="75"/>
      <c r="CQ278" s="75"/>
      <c r="CR278" s="75"/>
    </row>
    <row r="279" spans="1:96" s="401" customFormat="1" ht="11.25" customHeight="1">
      <c r="A279" s="54"/>
      <c r="B279"/>
      <c r="C279"/>
      <c r="D279"/>
      <c r="E279"/>
      <c r="F279"/>
      <c r="G279"/>
      <c r="H279" s="54"/>
      <c r="I279" s="448" t="s">
        <v>306</v>
      </c>
      <c r="J279" s="54"/>
      <c r="K279" s="54"/>
      <c r="L279" s="54"/>
      <c r="M279" s="99"/>
      <c r="N279" s="99"/>
      <c r="O279" s="99"/>
      <c r="P279" s="99"/>
      <c r="Q279" s="678">
        <f t="shared" ref="Q279:BD279" si="573">Q153+Q154+Q160</f>
        <v>26.765000000000001</v>
      </c>
      <c r="R279" s="99">
        <f t="shared" si="573"/>
        <v>25.143000000000001</v>
      </c>
      <c r="S279" s="99">
        <f t="shared" si="573"/>
        <v>23.709</v>
      </c>
      <c r="T279" s="646">
        <f t="shared" si="573"/>
        <v>22.100999999999999</v>
      </c>
      <c r="U279" s="678">
        <f t="shared" si="573"/>
        <v>132.23400000000001</v>
      </c>
      <c r="V279" s="99">
        <f t="shared" si="573"/>
        <v>128.97499999999999</v>
      </c>
      <c r="W279" s="99">
        <f t="shared" si="573"/>
        <v>129.51300000000001</v>
      </c>
      <c r="X279" s="646">
        <f t="shared" si="573"/>
        <v>101.52399999999999</v>
      </c>
      <c r="Y279" s="99">
        <f t="shared" si="573"/>
        <v>100.83</v>
      </c>
      <c r="Z279" s="99">
        <f t="shared" si="573"/>
        <v>104.89699999999999</v>
      </c>
      <c r="AA279" s="99">
        <f t="shared" si="573"/>
        <v>109.38199999999998</v>
      </c>
      <c r="AB279" s="646">
        <f t="shared" si="573"/>
        <v>393.01099999999997</v>
      </c>
      <c r="AC279" s="678">
        <f t="shared" si="573"/>
        <v>402.97499999999991</v>
      </c>
      <c r="AD279" s="99">
        <f t="shared" si="573"/>
        <v>294.07</v>
      </c>
      <c r="AE279" s="99">
        <f t="shared" si="573"/>
        <v>303.55299999999994</v>
      </c>
      <c r="AF279" s="646">
        <f t="shared" si="573"/>
        <v>383.75299999999999</v>
      </c>
      <c r="AG279" s="678">
        <f t="shared" si="573"/>
        <v>349.13100000000003</v>
      </c>
      <c r="AH279" s="99">
        <f t="shared" si="573"/>
        <v>384.41800000000006</v>
      </c>
      <c r="AI279" s="99">
        <f t="shared" si="573"/>
        <v>385.19200000000006</v>
      </c>
      <c r="AJ279" s="646">
        <f t="shared" si="573"/>
        <v>387.3130000000001</v>
      </c>
      <c r="AK279" s="99">
        <f t="shared" si="573"/>
        <v>392.76300000000009</v>
      </c>
      <c r="AL279" s="99">
        <f t="shared" si="573"/>
        <v>415.4070000000001</v>
      </c>
      <c r="AM279" s="99">
        <f t="shared" si="573"/>
        <v>449.60600000000005</v>
      </c>
      <c r="AN279" s="697">
        <f t="shared" si="573"/>
        <v>496.85000000000014</v>
      </c>
      <c r="AO279" s="99">
        <f>AO153+AO154+AO160</f>
        <v>503.94000000000011</v>
      </c>
      <c r="AP279" s="99">
        <f>AP153+AP154+AP160</f>
        <v>530.33400000000017</v>
      </c>
      <c r="AQ279" s="99">
        <f t="shared" ref="AQ279:AR279" si="574">AQ153+AQ154+AQ160</f>
        <v>575.98400000000026</v>
      </c>
      <c r="AR279" s="697">
        <f t="shared" si="574"/>
        <v>839.7700000000001</v>
      </c>
      <c r="AS279" s="99">
        <f t="shared" si="573"/>
        <v>840.05296429506689</v>
      </c>
      <c r="AT279" s="99">
        <f t="shared" si="573"/>
        <v>871.32460762683161</v>
      </c>
      <c r="AU279" s="99">
        <f t="shared" si="573"/>
        <v>948.1792742735106</v>
      </c>
      <c r="AV279" s="646">
        <f t="shared" si="573"/>
        <v>988.91721202096483</v>
      </c>
      <c r="AW279" s="99">
        <f t="shared" si="573"/>
        <v>1020.5493805312284</v>
      </c>
      <c r="AX279" s="99">
        <f t="shared" si="573"/>
        <v>1061.485815924852</v>
      </c>
      <c r="AY279" s="99">
        <f t="shared" si="573"/>
        <v>1114.4250937415341</v>
      </c>
      <c r="AZ279" s="646">
        <f t="shared" si="573"/>
        <v>1159.358228950106</v>
      </c>
      <c r="BA279" s="99">
        <f t="shared" si="573"/>
        <v>1199.1355832659333</v>
      </c>
      <c r="BB279" s="99">
        <f t="shared" si="573"/>
        <v>1248.0642162898071</v>
      </c>
      <c r="BC279" s="99">
        <f t="shared" si="573"/>
        <v>1310.05992786757</v>
      </c>
      <c r="BD279" s="646">
        <f t="shared" si="573"/>
        <v>1362.8687816243553</v>
      </c>
      <c r="BE279"/>
      <c r="BF279" s="54"/>
      <c r="BG279" s="692"/>
      <c r="BH279" s="606"/>
      <c r="BI279" s="606"/>
      <c r="BJ279" s="99">
        <f t="shared" ref="BJ279:BZ279" si="575">BJ153+BJ154+BJ160</f>
        <v>15.29</v>
      </c>
      <c r="BK279" s="99">
        <f t="shared" si="575"/>
        <v>27.290000000000003</v>
      </c>
      <c r="BL279" s="99">
        <f t="shared" si="575"/>
        <v>22.100999999999999</v>
      </c>
      <c r="BM279" s="99">
        <f t="shared" si="575"/>
        <v>101.52399999999999</v>
      </c>
      <c r="BN279" s="99">
        <f t="shared" si="575"/>
        <v>393.01099999999997</v>
      </c>
      <c r="BO279" s="99">
        <f t="shared" si="575"/>
        <v>383.75299999999999</v>
      </c>
      <c r="BP279" s="99">
        <f t="shared" si="575"/>
        <v>387.3130000000001</v>
      </c>
      <c r="BQ279" s="99">
        <f t="shared" si="575"/>
        <v>496.85000000000014</v>
      </c>
      <c r="BR279" s="99">
        <f t="shared" si="575"/>
        <v>839.7700000000001</v>
      </c>
      <c r="BS279" s="99">
        <f t="shared" si="575"/>
        <v>988.91721202096483</v>
      </c>
      <c r="BT279" s="99">
        <f t="shared" si="575"/>
        <v>1159.358228950106</v>
      </c>
      <c r="BU279" s="99">
        <f t="shared" si="575"/>
        <v>1362.8687816243553</v>
      </c>
      <c r="BV279" s="99">
        <f t="shared" si="575"/>
        <v>1600.3113512080743</v>
      </c>
      <c r="BW279" s="99">
        <f t="shared" si="575"/>
        <v>1875.1386761503743</v>
      </c>
      <c r="BX279" s="99">
        <f t="shared" si="575"/>
        <v>2188.842941318564</v>
      </c>
      <c r="BY279" s="99">
        <f t="shared" si="575"/>
        <v>2542.9173110987012</v>
      </c>
      <c r="BZ279" s="697">
        <f t="shared" si="575"/>
        <v>2939.4463267951664</v>
      </c>
      <c r="CA279" s="54"/>
      <c r="CB279" s="54"/>
      <c r="CC279" s="54"/>
      <c r="CD279" s="54"/>
      <c r="CE279" s="54"/>
      <c r="CF279" s="54"/>
      <c r="CG279" s="1772"/>
      <c r="CH279" s="1772"/>
      <c r="CI279" s="1772"/>
      <c r="CJ279" s="54"/>
      <c r="CK279" s="54"/>
      <c r="CL279" s="54"/>
      <c r="CM279" s="54"/>
      <c r="CN279" s="54"/>
      <c r="CO279" s="54"/>
      <c r="CP279" s="54"/>
      <c r="CQ279" s="54"/>
      <c r="CR279" s="54"/>
    </row>
    <row r="280" spans="1:96" s="401" customFormat="1" ht="11.25" customHeight="1">
      <c r="A280" s="54"/>
      <c r="B280"/>
      <c r="C280"/>
      <c r="D280"/>
      <c r="E280"/>
      <c r="F280"/>
      <c r="G280"/>
      <c r="H280" s="54"/>
      <c r="I280" s="448" t="s">
        <v>307</v>
      </c>
      <c r="J280" s="54"/>
      <c r="K280" s="54"/>
      <c r="L280" s="54"/>
      <c r="M280" s="99"/>
      <c r="N280" s="99"/>
      <c r="O280" s="99"/>
      <c r="P280" s="99"/>
      <c r="Q280" s="678">
        <f t="shared" ref="Q280:BD280" si="576">P153+P154+P160</f>
        <v>27.290000000000003</v>
      </c>
      <c r="R280" s="99">
        <f t="shared" si="576"/>
        <v>26.765000000000001</v>
      </c>
      <c r="S280" s="99">
        <f t="shared" si="576"/>
        <v>25.143000000000001</v>
      </c>
      <c r="T280" s="646">
        <f t="shared" si="576"/>
        <v>23.709</v>
      </c>
      <c r="U280" s="678">
        <f t="shared" si="576"/>
        <v>22.100999999999999</v>
      </c>
      <c r="V280" s="99">
        <f t="shared" si="576"/>
        <v>132.23400000000001</v>
      </c>
      <c r="W280" s="99">
        <f t="shared" si="576"/>
        <v>128.97499999999999</v>
      </c>
      <c r="X280" s="646">
        <f t="shared" si="576"/>
        <v>129.51300000000001</v>
      </c>
      <c r="Y280" s="99">
        <f t="shared" si="576"/>
        <v>101.52399999999999</v>
      </c>
      <c r="Z280" s="99">
        <f t="shared" si="576"/>
        <v>100.83</v>
      </c>
      <c r="AA280" s="99">
        <f t="shared" si="576"/>
        <v>104.89699999999999</v>
      </c>
      <c r="AB280" s="646">
        <f t="shared" si="576"/>
        <v>109.38199999999998</v>
      </c>
      <c r="AC280" s="678">
        <f t="shared" si="576"/>
        <v>393.01099999999997</v>
      </c>
      <c r="AD280" s="99">
        <f t="shared" si="576"/>
        <v>402.97499999999991</v>
      </c>
      <c r="AE280" s="99">
        <f t="shared" si="576"/>
        <v>294.07</v>
      </c>
      <c r="AF280" s="646">
        <f t="shared" si="576"/>
        <v>303.55299999999994</v>
      </c>
      <c r="AG280" s="678">
        <f t="shared" si="576"/>
        <v>383.75299999999999</v>
      </c>
      <c r="AH280" s="99">
        <f t="shared" si="576"/>
        <v>349.13100000000003</v>
      </c>
      <c r="AI280" s="99">
        <f t="shared" si="576"/>
        <v>384.41800000000006</v>
      </c>
      <c r="AJ280" s="646">
        <f t="shared" si="576"/>
        <v>385.19200000000006</v>
      </c>
      <c r="AK280" s="99">
        <f t="shared" si="576"/>
        <v>387.3130000000001</v>
      </c>
      <c r="AL280" s="99">
        <f t="shared" si="576"/>
        <v>392.76300000000009</v>
      </c>
      <c r="AM280" s="99">
        <f t="shared" si="576"/>
        <v>415.4070000000001</v>
      </c>
      <c r="AN280" s="697">
        <f t="shared" si="576"/>
        <v>449.60600000000005</v>
      </c>
      <c r="AO280" s="99">
        <f t="shared" si="576"/>
        <v>496.85000000000014</v>
      </c>
      <c r="AP280" s="99">
        <f t="shared" si="576"/>
        <v>503.94000000000011</v>
      </c>
      <c r="AQ280" s="99">
        <f t="shared" si="576"/>
        <v>530.33400000000017</v>
      </c>
      <c r="AR280" s="697">
        <f t="shared" si="576"/>
        <v>575.98400000000026</v>
      </c>
      <c r="AS280" s="99">
        <f t="shared" si="576"/>
        <v>839.7700000000001</v>
      </c>
      <c r="AT280" s="99">
        <f t="shared" si="576"/>
        <v>840.05296429506689</v>
      </c>
      <c r="AU280" s="99">
        <f t="shared" si="576"/>
        <v>871.32460762683161</v>
      </c>
      <c r="AV280" s="646">
        <f t="shared" si="576"/>
        <v>948.1792742735106</v>
      </c>
      <c r="AW280" s="99">
        <f t="shared" si="576"/>
        <v>988.91721202096483</v>
      </c>
      <c r="AX280" s="99">
        <f t="shared" si="576"/>
        <v>1020.5493805312284</v>
      </c>
      <c r="AY280" s="99">
        <f t="shared" si="576"/>
        <v>1061.485815924852</v>
      </c>
      <c r="AZ280" s="646">
        <f t="shared" si="576"/>
        <v>1114.4250937415341</v>
      </c>
      <c r="BA280" s="99">
        <f t="shared" si="576"/>
        <v>1159.358228950106</v>
      </c>
      <c r="BB280" s="99">
        <f t="shared" si="576"/>
        <v>1199.1355832659333</v>
      </c>
      <c r="BC280" s="99">
        <f t="shared" si="576"/>
        <v>1248.0642162898071</v>
      </c>
      <c r="BD280" s="646">
        <f t="shared" si="576"/>
        <v>1310.05992786757</v>
      </c>
      <c r="BE280"/>
      <c r="BF280" s="54"/>
      <c r="BG280" s="692"/>
      <c r="BH280" s="606"/>
      <c r="BI280" s="606"/>
      <c r="BJ280" s="99">
        <f t="shared" ref="BJ280:BZ280" si="577">BI153+BI154+BI160</f>
        <v>0</v>
      </c>
      <c r="BK280" s="99">
        <f t="shared" si="577"/>
        <v>15.29</v>
      </c>
      <c r="BL280" s="99">
        <f t="shared" si="577"/>
        <v>27.290000000000003</v>
      </c>
      <c r="BM280" s="99">
        <f t="shared" si="577"/>
        <v>22.100999999999999</v>
      </c>
      <c r="BN280" s="99">
        <f t="shared" si="577"/>
        <v>101.52399999999999</v>
      </c>
      <c r="BO280" s="99">
        <f t="shared" si="577"/>
        <v>393.01099999999997</v>
      </c>
      <c r="BP280" s="99">
        <f t="shared" si="577"/>
        <v>383.75299999999999</v>
      </c>
      <c r="BQ280" s="99">
        <f t="shared" si="577"/>
        <v>387.3130000000001</v>
      </c>
      <c r="BR280" s="99">
        <f t="shared" si="577"/>
        <v>496.85000000000014</v>
      </c>
      <c r="BS280" s="99">
        <f t="shared" si="577"/>
        <v>839.7700000000001</v>
      </c>
      <c r="BT280" s="99">
        <f t="shared" si="577"/>
        <v>988.91721202096483</v>
      </c>
      <c r="BU280" s="99">
        <f t="shared" si="577"/>
        <v>1159.358228950106</v>
      </c>
      <c r="BV280" s="99">
        <f t="shared" si="577"/>
        <v>1362.8687816243553</v>
      </c>
      <c r="BW280" s="99">
        <f t="shared" si="577"/>
        <v>1600.3113512080743</v>
      </c>
      <c r="BX280" s="99">
        <f t="shared" si="577"/>
        <v>1875.1386761503743</v>
      </c>
      <c r="BY280" s="99">
        <f t="shared" si="577"/>
        <v>2188.842941318564</v>
      </c>
      <c r="BZ280" s="697">
        <f t="shared" si="577"/>
        <v>2542.9173110987012</v>
      </c>
      <c r="CA280" s="54"/>
      <c r="CB280" s="54"/>
      <c r="CC280" s="54"/>
      <c r="CD280" s="54"/>
      <c r="CE280" s="54"/>
      <c r="CF280" s="54"/>
      <c r="CG280" s="1772"/>
      <c r="CH280" s="1772"/>
      <c r="CI280" s="1772"/>
      <c r="CJ280" s="54"/>
      <c r="CK280" s="54"/>
      <c r="CL280" s="54"/>
      <c r="CM280" s="54"/>
      <c r="CN280" s="54"/>
      <c r="CO280" s="54"/>
      <c r="CP280" s="54"/>
      <c r="CQ280" s="54"/>
      <c r="CR280" s="54"/>
    </row>
    <row r="281" spans="1:96" s="401" customFormat="1" ht="11.25" customHeight="1">
      <c r="A281" s="54"/>
      <c r="B281"/>
      <c r="C281"/>
      <c r="D281"/>
      <c r="E281"/>
      <c r="F281"/>
      <c r="G281"/>
      <c r="H281" s="54"/>
      <c r="I281" s="448" t="s">
        <v>308</v>
      </c>
      <c r="J281" s="54"/>
      <c r="K281" s="54"/>
      <c r="L281" s="54"/>
      <c r="M281" s="215"/>
      <c r="N281" s="215"/>
      <c r="O281" s="215"/>
      <c r="P281" s="215"/>
      <c r="Q281" s="685">
        <f>0.007-R281</f>
        <v>5.0000000000000001E-3</v>
      </c>
      <c r="R281" s="684">
        <v>2E-3</v>
      </c>
      <c r="S281" s="684">
        <v>2E-3</v>
      </c>
      <c r="T281" s="686">
        <f>0.013-S281-R281-Q281</f>
        <v>3.9999999999999992E-3</v>
      </c>
      <c r="U281" s="685">
        <f>0.018-V281</f>
        <v>4.9999999999999992E-3</v>
      </c>
      <c r="V281" s="684">
        <v>1.2999999999999999E-2</v>
      </c>
      <c r="W281" s="684">
        <v>1.6E-2</v>
      </c>
      <c r="X281" s="686">
        <f>0.051-W281-V281-U281</f>
        <v>1.7000000000000001E-2</v>
      </c>
      <c r="Y281" s="684">
        <f>0.051-X281-W281-V281</f>
        <v>4.9999999999999958E-3</v>
      </c>
      <c r="Z281" s="684">
        <v>1.4E-2</v>
      </c>
      <c r="AA281" s="684">
        <v>3.1E-2</v>
      </c>
      <c r="AB281" s="686">
        <f>0.062-AA281-Z281-Y281</f>
        <v>1.2000000000000005E-2</v>
      </c>
      <c r="AC281" s="685">
        <v>3.4000000000000002E-2</v>
      </c>
      <c r="AD281" s="684">
        <v>0.20200000000000001</v>
      </c>
      <c r="AE281" s="684">
        <v>0.222</v>
      </c>
      <c r="AF281" s="684">
        <f>0.727-AE281-AD281-AC281</f>
        <v>0.26900000000000002</v>
      </c>
      <c r="AG281" s="685">
        <v>0.3</v>
      </c>
      <c r="AH281" s="1908">
        <f t="shared" ref="AH281:AN281" si="578">AH282*AH280/4</f>
        <v>0.26981212926206166</v>
      </c>
      <c r="AI281" s="1908">
        <f t="shared" si="578"/>
        <v>0.29516870923067068</v>
      </c>
      <c r="AJ281" s="2276">
        <f t="shared" si="578"/>
        <v>0.29672173159290205</v>
      </c>
      <c r="AK281" s="1908">
        <f t="shared" si="578"/>
        <v>0.29787358433378852</v>
      </c>
      <c r="AL281" s="1908">
        <f t="shared" si="578"/>
        <v>0.30230944579313446</v>
      </c>
      <c r="AM281" s="1908">
        <f t="shared" si="578"/>
        <v>0.31960927862896127</v>
      </c>
      <c r="AN281" s="2564">
        <f t="shared" si="578"/>
        <v>0.34599152868498989</v>
      </c>
      <c r="AO281" s="1908">
        <f>AO282*AO280/4</f>
        <v>0.38230921327694689</v>
      </c>
      <c r="AP281" s="1908">
        <f>AP282*AP280/4</f>
        <v>0.38778432573257748</v>
      </c>
      <c r="AQ281" s="1908">
        <f t="shared" ref="AQ281:AR281" si="579">AQ282*AQ280/4</f>
        <v>0.40808432718465926</v>
      </c>
      <c r="AR281" s="2564">
        <f t="shared" si="579"/>
        <v>0.44321694056625566</v>
      </c>
      <c r="AS281" s="688">
        <f t="shared" ref="AS281:AV281" si="580">AS282*AS280/4</f>
        <v>0.64619492701213921</v>
      </c>
      <c r="AT281" s="688">
        <f t="shared" si="580"/>
        <v>0.64641470714940685</v>
      </c>
      <c r="AU281" s="688">
        <f t="shared" si="580"/>
        <v>0.67047695259570128</v>
      </c>
      <c r="AV281" s="687">
        <f t="shared" si="580"/>
        <v>0.72214963615737993</v>
      </c>
      <c r="AW281" s="688">
        <f t="shared" ref="AW281:BD281" si="581">AW282*AW280/4</f>
        <v>0.75706991096655607</v>
      </c>
      <c r="AX281" s="688">
        <f t="shared" si="581"/>
        <v>0.77927700481111895</v>
      </c>
      <c r="AY281" s="688">
        <f t="shared" si="581"/>
        <v>0.81158030463807318</v>
      </c>
      <c r="AZ281" s="687">
        <f t="shared" si="581"/>
        <v>0.84273153159402669</v>
      </c>
      <c r="BA281" s="688">
        <f t="shared" si="581"/>
        <v>0.88156036233928714</v>
      </c>
      <c r="BB281" s="688">
        <f t="shared" si="581"/>
        <v>0.90929818944829244</v>
      </c>
      <c r="BC281" s="688">
        <f t="shared" si="581"/>
        <v>0.94770585634617033</v>
      </c>
      <c r="BD281" s="687">
        <f t="shared" si="581"/>
        <v>0.98377990480209088</v>
      </c>
      <c r="BE281"/>
      <c r="BF281" s="54"/>
      <c r="BG281" s="692"/>
      <c r="BH281" s="606"/>
      <c r="BI281" s="606"/>
      <c r="BJ281" s="99">
        <v>0.02</v>
      </c>
      <c r="BK281" s="99">
        <v>0.03</v>
      </c>
      <c r="BL281" s="99">
        <f>SUM(Q281:T281)</f>
        <v>1.3000000000000001E-2</v>
      </c>
      <c r="BM281" s="99">
        <f>SUM(U281:X281)</f>
        <v>5.1000000000000004E-2</v>
      </c>
      <c r="BN281" s="99">
        <f>SUM(Y281:AB281)</f>
        <v>6.2E-2</v>
      </c>
      <c r="BO281" s="99">
        <f>SUM(AC281:AF281)</f>
        <v>0.72700000000000009</v>
      </c>
      <c r="BP281" s="99">
        <f>SUM(AG281:AJ281)</f>
        <v>1.1617025700856345</v>
      </c>
      <c r="BQ281" s="110">
        <f>SUM(AK281:AN281)</f>
        <v>1.2657838374408741</v>
      </c>
      <c r="BR281" s="320">
        <f>SUM(AO281:AR281)</f>
        <v>1.6213948067604393</v>
      </c>
      <c r="BS281" s="320">
        <f>SUM(AS281:AV281)</f>
        <v>2.6852362229146274</v>
      </c>
      <c r="BT281" s="110">
        <f>SUM(AW281:AZ281)</f>
        <v>3.1906587520097749</v>
      </c>
      <c r="BU281" s="110">
        <f>SUM(BA281:BD281)</f>
        <v>3.7223443129358409</v>
      </c>
      <c r="BV281" s="739">
        <f>BV282*BV280</f>
        <v>4.0355024083098492</v>
      </c>
      <c r="BW281" s="739">
        <f>BW282*BW280</f>
        <v>4.7310550492475629</v>
      </c>
      <c r="BX281" s="739">
        <f>BX282*BX280</f>
        <v>5.5479440173246957</v>
      </c>
      <c r="BY281" s="739">
        <f>BY282*BY280</f>
        <v>6.4735235403427573</v>
      </c>
      <c r="BZ281" s="740">
        <f>BZ282*BZ280</f>
        <v>7.5221961129019723</v>
      </c>
      <c r="CA281" s="54"/>
      <c r="CB281" s="54"/>
      <c r="CC281" s="54"/>
      <c r="CD281" s="54"/>
      <c r="CE281" s="54"/>
      <c r="CF281" s="54"/>
      <c r="CG281" s="1772"/>
      <c r="CH281" s="1772"/>
      <c r="CI281" s="1772"/>
      <c r="CJ281" s="54"/>
      <c r="CK281" s="54"/>
      <c r="CL281" s="54"/>
      <c r="CM281" s="54"/>
      <c r="CN281" s="54"/>
      <c r="CO281" s="54"/>
      <c r="CP281" s="54"/>
      <c r="CQ281" s="54"/>
      <c r="CR281" s="54"/>
    </row>
    <row r="282" spans="1:96" s="401" customFormat="1" ht="11.25" customHeight="1">
      <c r="A282" s="54"/>
      <c r="B282"/>
      <c r="C282"/>
      <c r="D282"/>
      <c r="E282"/>
      <c r="F282"/>
      <c r="G282"/>
      <c r="H282" s="54"/>
      <c r="I282" s="448" t="s">
        <v>309</v>
      </c>
      <c r="J282" s="54"/>
      <c r="K282" s="54"/>
      <c r="L282" s="54"/>
      <c r="M282" s="608"/>
      <c r="N282" s="608"/>
      <c r="O282" s="608"/>
      <c r="P282" s="608"/>
      <c r="Q282" s="701">
        <f t="shared" ref="Q282:V282" si="582">IF(Q281&lt;=0,"NM",((Q281*4)/(AVERAGE(Q279:Q280))))</f>
        <v>7.3998705022662093E-4</v>
      </c>
      <c r="R282" s="608">
        <f t="shared" si="582"/>
        <v>3.0823765122909761E-4</v>
      </c>
      <c r="S282" s="608">
        <f t="shared" si="582"/>
        <v>3.2751985589126337E-4</v>
      </c>
      <c r="T282" s="702">
        <f t="shared" si="582"/>
        <v>6.9853743724077695E-4</v>
      </c>
      <c r="U282" s="701">
        <f t="shared" si="582"/>
        <v>2.5917646677681659E-4</v>
      </c>
      <c r="V282" s="608">
        <f t="shared" si="582"/>
        <v>3.9814860896829742E-4</v>
      </c>
      <c r="W282" s="608">
        <f t="shared" ref="W282:AF282" si="583">IF(W281&lt;=0,"NM",((W281*4)/(AVERAGE(W279:W280))))</f>
        <v>4.951873974807341E-4</v>
      </c>
      <c r="X282" s="702">
        <f t="shared" si="583"/>
        <v>5.8865030276535806E-4</v>
      </c>
      <c r="Y282" s="608">
        <f t="shared" si="583"/>
        <v>1.976733842671752E-4</v>
      </c>
      <c r="Z282" s="608">
        <f t="shared" si="583"/>
        <v>5.444107968326958E-4</v>
      </c>
      <c r="AA282" s="608">
        <f t="shared" si="583"/>
        <v>1.1573695975807244E-3</v>
      </c>
      <c r="AB282" s="702">
        <f t="shared" si="583"/>
        <v>1.9108546496467916E-4</v>
      </c>
      <c r="AC282" s="701">
        <f t="shared" si="583"/>
        <v>3.4171455276851609E-4</v>
      </c>
      <c r="AD282" s="608">
        <f t="shared" si="583"/>
        <v>2.3183582121670773E-3</v>
      </c>
      <c r="AE282" s="608">
        <f t="shared" si="583"/>
        <v>2.9717731747272115E-3</v>
      </c>
      <c r="AF282" s="702">
        <f t="shared" si="583"/>
        <v>3.1310653478945336E-3</v>
      </c>
      <c r="AG282" s="701">
        <f t="shared" ref="AG282:AR282" si="584">AVERAGE(AE282:AF282)</f>
        <v>3.0514192613108728E-3</v>
      </c>
      <c r="AH282" s="1909">
        <f t="shared" si="584"/>
        <v>3.0912423046027034E-3</v>
      </c>
      <c r="AI282" s="1909">
        <f t="shared" si="584"/>
        <v>3.0713307829567881E-3</v>
      </c>
      <c r="AJ282" s="2277">
        <f t="shared" si="584"/>
        <v>3.081286543779746E-3</v>
      </c>
      <c r="AK282" s="1909">
        <f t="shared" si="584"/>
        <v>3.0763086633682673E-3</v>
      </c>
      <c r="AL282" s="1909">
        <f t="shared" si="584"/>
        <v>3.0787976035740066E-3</v>
      </c>
      <c r="AM282" s="1909">
        <f t="shared" si="584"/>
        <v>3.0775531334711372E-3</v>
      </c>
      <c r="AN282" s="2565">
        <f t="shared" si="584"/>
        <v>3.0781753685225717E-3</v>
      </c>
      <c r="AO282" s="1909">
        <f t="shared" si="584"/>
        <v>3.0778642509968544E-3</v>
      </c>
      <c r="AP282" s="1909">
        <f t="shared" si="584"/>
        <v>3.0780198097597128E-3</v>
      </c>
      <c r="AQ282" s="1909">
        <f t="shared" si="584"/>
        <v>3.0779420303782834E-3</v>
      </c>
      <c r="AR282" s="2565">
        <f t="shared" si="584"/>
        <v>3.0779809200689981E-3</v>
      </c>
      <c r="AS282" s="704">
        <f>AVERAGE(AQ282:AR282)</f>
        <v>3.0779614752236405E-3</v>
      </c>
      <c r="AT282" s="704">
        <f>AVERAGE(AR282:AS282)</f>
        <v>3.0779711976463191E-3</v>
      </c>
      <c r="AU282" s="704">
        <f>AVERAGE(AS282:AT282)</f>
        <v>3.0779663364349798E-3</v>
      </c>
      <c r="AV282" s="703">
        <f>AVERAGE(AT282:AU282)-0.00315%</f>
        <v>3.0464687670406494E-3</v>
      </c>
      <c r="AW282" s="704">
        <f>AVERAGE(AU282:AV282)</f>
        <v>3.0622175517378146E-3</v>
      </c>
      <c r="AX282" s="704">
        <f>AVERAGE(AV282:AW282)</f>
        <v>3.054343159389232E-3</v>
      </c>
      <c r="AY282" s="704">
        <f>AVERAGE(AW282:AX282)</f>
        <v>3.0582803555635231E-3</v>
      </c>
      <c r="AZ282" s="703">
        <f>AVERAGE(AX282:AY282)-0.00315%</f>
        <v>3.0248117574763777E-3</v>
      </c>
      <c r="BA282" s="704">
        <f>AVERAGE(AY282:AZ282)</f>
        <v>3.0415460565199502E-3</v>
      </c>
      <c r="BB282" s="704">
        <f>AVERAGE(AZ282:BA282)</f>
        <v>3.0331789069981642E-3</v>
      </c>
      <c r="BC282" s="704">
        <f>AVERAGE(BA282:BB282)</f>
        <v>3.0373624817590572E-3</v>
      </c>
      <c r="BD282" s="703">
        <f>AVERAGE(BB282:BC282)-0.00315%</f>
        <v>3.0037706943786108E-3</v>
      </c>
      <c r="BE282"/>
      <c r="BF282" s="54"/>
      <c r="BG282" s="692"/>
      <c r="BH282" s="606"/>
      <c r="BI282" s="606"/>
      <c r="BJ282" s="608">
        <f t="shared" ref="BJ282:BU282" si="585">IF(BJ281&lt;=0,"NM",((BJ281)/(AVERAGE(BJ279:BJ280))))</f>
        <v>2.616088947024199E-3</v>
      </c>
      <c r="BK282" s="608">
        <f t="shared" si="585"/>
        <v>1.4091122592766556E-3</v>
      </c>
      <c r="BL282" s="608">
        <f t="shared" si="585"/>
        <v>5.2641169443825794E-4</v>
      </c>
      <c r="BM282" s="608">
        <f t="shared" si="585"/>
        <v>8.2507583417593545E-4</v>
      </c>
      <c r="BN282" s="608">
        <f t="shared" si="585"/>
        <v>2.507405947000718E-4</v>
      </c>
      <c r="BO282" s="608">
        <f t="shared" si="585"/>
        <v>1.8718684182068175E-3</v>
      </c>
      <c r="BP282" s="608">
        <f t="shared" si="585"/>
        <v>3.0132376997186608E-3</v>
      </c>
      <c r="BQ282" s="608">
        <f t="shared" si="585"/>
        <v>2.8632363884054722E-3</v>
      </c>
      <c r="BR282" s="608">
        <f t="shared" si="585"/>
        <v>2.4261118444441035E-3</v>
      </c>
      <c r="BS282" s="608">
        <f t="shared" si="585"/>
        <v>2.9367911639159453E-3</v>
      </c>
      <c r="BT282" s="608">
        <f t="shared" si="585"/>
        <v>2.9704373016222938E-3</v>
      </c>
      <c r="BU282" s="608">
        <f t="shared" si="585"/>
        <v>2.9516330586659145E-3</v>
      </c>
      <c r="BV282" s="737">
        <f>AVERAGE(BT282:BU282)</f>
        <v>2.9610351801441044E-3</v>
      </c>
      <c r="BW282" s="737">
        <f>AVERAGE(BU282:BV282)</f>
        <v>2.9563341194050094E-3</v>
      </c>
      <c r="BX282" s="737">
        <f>AVERAGE(BV282:BW282)</f>
        <v>2.9586846497745567E-3</v>
      </c>
      <c r="BY282" s="737">
        <f>AVERAGE(BW282:BX282)</f>
        <v>2.9575093845897833E-3</v>
      </c>
      <c r="BZ282" s="738">
        <f>AVERAGE(BX282:BY282)</f>
        <v>2.95809701718217E-3</v>
      </c>
      <c r="CA282" s="54"/>
      <c r="CB282" s="54"/>
      <c r="CC282" s="54"/>
      <c r="CD282" s="54"/>
      <c r="CE282" s="54"/>
      <c r="CF282" s="54"/>
      <c r="CG282" s="1772"/>
      <c r="CH282" s="1772"/>
      <c r="CI282" s="1772"/>
      <c r="CJ282" s="54"/>
      <c r="CK282" s="54"/>
      <c r="CL282" s="54"/>
      <c r="CM282" s="54"/>
      <c r="CN282" s="54"/>
      <c r="CO282" s="54"/>
      <c r="CP282" s="54"/>
      <c r="CQ282" s="54"/>
      <c r="CR282" s="54"/>
    </row>
    <row r="283" spans="1:96" s="401" customFormat="1" ht="11.25" customHeight="1">
      <c r="A283" s="54"/>
      <c r="B283"/>
      <c r="C283"/>
      <c r="D283"/>
      <c r="E283"/>
      <c r="F283"/>
      <c r="G283"/>
      <c r="H283" s="54"/>
      <c r="I283" s="705"/>
      <c r="J283" s="673"/>
      <c r="K283" s="673"/>
      <c r="L283" s="673"/>
      <c r="M283" s="673"/>
      <c r="N283" s="673"/>
      <c r="O283" s="673"/>
      <c r="P283" s="673"/>
      <c r="Q283" s="705"/>
      <c r="R283" s="673"/>
      <c r="S283" s="673"/>
      <c r="T283" s="707"/>
      <c r="U283" s="705"/>
      <c r="V283" s="673"/>
      <c r="W283" s="673"/>
      <c r="X283" s="707"/>
      <c r="Y283" s="673"/>
      <c r="Z283" s="673"/>
      <c r="AA283" s="673"/>
      <c r="AB283" s="706"/>
      <c r="AC283" s="705"/>
      <c r="AD283" s="673"/>
      <c r="AE283" s="673"/>
      <c r="AF283" s="707"/>
      <c r="AG283" s="673"/>
      <c r="AH283" s="673"/>
      <c r="AI283" s="673"/>
      <c r="AJ283" s="707"/>
      <c r="AK283" s="673"/>
      <c r="AL283" s="673"/>
      <c r="AM283" s="673"/>
      <c r="AN283" s="2611"/>
      <c r="AO283" s="673"/>
      <c r="AP283" s="673"/>
      <c r="AQ283" s="673"/>
      <c r="AR283" s="707"/>
      <c r="AS283" s="673"/>
      <c r="AT283" s="673"/>
      <c r="AU283" s="673"/>
      <c r="AV283" s="707"/>
      <c r="AW283" s="673"/>
      <c r="AX283" s="673"/>
      <c r="AY283" s="673"/>
      <c r="AZ283" s="707"/>
      <c r="BA283" s="673"/>
      <c r="BB283" s="673"/>
      <c r="BC283" s="673"/>
      <c r="BD283" s="707"/>
      <c r="BE283"/>
      <c r="BF283" s="54"/>
      <c r="BG283" s="698"/>
      <c r="BH283" s="699"/>
      <c r="BI283" s="699"/>
      <c r="BJ283" s="699"/>
      <c r="BK283" s="699"/>
      <c r="BL283" s="699"/>
      <c r="BM283" s="699"/>
      <c r="BN283" s="699"/>
      <c r="BO283" s="699"/>
      <c r="BP283" s="699"/>
      <c r="BQ283" s="699"/>
      <c r="BR283" s="699"/>
      <c r="BS283" s="699"/>
      <c r="BT283" s="699"/>
      <c r="BU283" s="699"/>
      <c r="BV283" s="699"/>
      <c r="BW283" s="699"/>
      <c r="BX283" s="699"/>
      <c r="BY283" s="699"/>
      <c r="BZ283" s="700"/>
      <c r="CA283" s="54"/>
      <c r="CB283" s="54"/>
      <c r="CC283" s="54"/>
      <c r="CD283" s="54"/>
      <c r="CE283" s="54"/>
      <c r="CF283" s="54"/>
      <c r="CG283" s="1772"/>
      <c r="CH283" s="1772"/>
      <c r="CI283" s="1772"/>
      <c r="CJ283" s="54"/>
      <c r="CK283" s="54"/>
      <c r="CL283" s="54"/>
      <c r="CM283" s="54"/>
      <c r="CN283" s="54"/>
      <c r="CO283" s="54"/>
      <c r="CP283" s="54"/>
      <c r="CQ283" s="54"/>
      <c r="CR283" s="54"/>
    </row>
    <row r="284" spans="1:96" ht="11.25" customHeight="1">
      <c r="A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54"/>
      <c r="AM284" s="36"/>
      <c r="AN284" s="619"/>
      <c r="AO284" s="36"/>
      <c r="AP284" s="36"/>
      <c r="AQ284" s="36"/>
      <c r="AR284" s="36"/>
      <c r="AS284" s="36"/>
      <c r="AT284" s="36"/>
      <c r="AU284" s="36"/>
      <c r="AV284" s="36"/>
      <c r="AW284" s="36"/>
      <c r="AX284" s="36"/>
      <c r="AY284" s="36"/>
      <c r="AZ284" s="36"/>
      <c r="BA284" s="36"/>
      <c r="BB284" s="36"/>
      <c r="BC284" s="36"/>
      <c r="BD284" s="36"/>
      <c r="BF284" s="36"/>
      <c r="BG284" s="85"/>
      <c r="BH284" s="85"/>
      <c r="BI284" s="85"/>
      <c r="BJ284" s="85"/>
      <c r="BK284" s="85"/>
      <c r="BL284" s="85"/>
      <c r="BM284" s="85"/>
      <c r="BN284" s="606"/>
      <c r="BO284" s="606"/>
      <c r="BP284" s="85"/>
      <c r="BQ284" s="85"/>
      <c r="BR284" s="85"/>
      <c r="BS284" s="85"/>
      <c r="BT284" s="85"/>
      <c r="BU284" s="85"/>
      <c r="BV284" s="606"/>
      <c r="BW284" s="85"/>
      <c r="BX284" s="85"/>
      <c r="BY284" s="85"/>
      <c r="BZ284" s="85"/>
      <c r="CA284" s="36"/>
      <c r="CB284" s="36"/>
      <c r="CC284" s="36"/>
      <c r="CD284" s="36"/>
      <c r="CE284" s="36"/>
      <c r="CF284" s="36"/>
      <c r="CG284" s="1765"/>
      <c r="CH284" s="1765"/>
      <c r="CI284" s="1765"/>
      <c r="CJ284" s="36"/>
      <c r="CK284" s="36"/>
      <c r="CL284" s="36"/>
      <c r="CM284" s="36"/>
      <c r="CN284" s="36"/>
      <c r="CO284" s="36"/>
      <c r="CP284" s="36"/>
      <c r="CQ284" s="36"/>
      <c r="CR284" s="36"/>
    </row>
    <row r="285" spans="1:96" ht="11.25" customHeight="1">
      <c r="A285" s="36"/>
      <c r="H285" s="36"/>
      <c r="I285" s="36"/>
      <c r="J285" s="36"/>
      <c r="K285" s="36"/>
      <c r="L285" s="36"/>
      <c r="M285" s="36"/>
      <c r="N285" s="36"/>
      <c r="O285" s="36"/>
      <c r="P285" s="36"/>
      <c r="Q285" s="36"/>
      <c r="R285" s="36"/>
      <c r="S285" s="36"/>
      <c r="T285" s="36"/>
      <c r="U285" s="36"/>
      <c r="V285" s="36"/>
      <c r="W285" s="36"/>
      <c r="X285" s="36"/>
      <c r="Y285" s="36"/>
      <c r="Z285" s="36"/>
      <c r="AA285" s="36"/>
      <c r="AB285" s="1422"/>
      <c r="AC285" s="1422"/>
      <c r="AD285" s="36"/>
      <c r="AE285" s="36"/>
      <c r="AF285" s="36"/>
      <c r="AG285" s="36"/>
      <c r="AH285" s="36"/>
      <c r="AI285" s="36"/>
      <c r="AJ285" s="36"/>
      <c r="AK285" s="36"/>
      <c r="AL285" s="54"/>
      <c r="AM285" s="36"/>
      <c r="AN285" s="619"/>
      <c r="AO285" s="36"/>
      <c r="AP285" s="36"/>
      <c r="AQ285" s="36"/>
      <c r="AR285" s="36"/>
      <c r="AS285" s="36"/>
      <c r="AT285" s="36"/>
      <c r="AU285" s="36"/>
      <c r="AV285" s="36"/>
      <c r="AW285" s="36"/>
      <c r="AX285" s="36"/>
      <c r="AY285" s="36"/>
      <c r="AZ285" s="36"/>
      <c r="BA285" s="36"/>
      <c r="BB285" s="36"/>
      <c r="BC285" s="36"/>
      <c r="BD285" s="36"/>
      <c r="BF285" s="36"/>
      <c r="BG285" s="85"/>
      <c r="BH285" s="85"/>
      <c r="BI285" s="85"/>
      <c r="BJ285" s="85"/>
      <c r="BK285" s="85"/>
      <c r="BL285" s="85"/>
      <c r="BM285" s="85"/>
      <c r="BN285" s="606"/>
      <c r="BO285" s="606"/>
      <c r="BP285" s="85"/>
      <c r="BQ285" s="85"/>
      <c r="BR285" s="85"/>
      <c r="BS285" s="85"/>
      <c r="BT285" s="85"/>
      <c r="BU285" s="85"/>
      <c r="BV285" s="606"/>
      <c r="BW285" s="85"/>
      <c r="BX285" s="85"/>
      <c r="BY285" s="85"/>
      <c r="BZ285" s="85"/>
      <c r="CA285" s="36"/>
      <c r="CB285" s="36"/>
      <c r="CC285" s="36"/>
      <c r="CD285" s="36"/>
      <c r="CE285" s="36"/>
      <c r="CF285" s="36"/>
      <c r="CG285" s="1765"/>
      <c r="CH285" s="1765"/>
      <c r="CI285" s="1765"/>
      <c r="CJ285" s="36"/>
      <c r="CK285" s="36"/>
      <c r="CL285" s="36"/>
      <c r="CM285" s="36"/>
      <c r="CN285" s="36"/>
      <c r="CO285" s="36"/>
      <c r="CP285" s="36"/>
      <c r="CQ285" s="36"/>
      <c r="CR285" s="36"/>
    </row>
    <row r="286" spans="1:96" ht="11.25" customHeight="1">
      <c r="A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54"/>
      <c r="AM286" s="36"/>
      <c r="AN286" s="619"/>
      <c r="AO286" s="36"/>
      <c r="AP286" s="36"/>
      <c r="AQ286" s="36"/>
      <c r="AR286" s="36"/>
      <c r="AS286" s="36"/>
      <c r="AT286" s="36"/>
      <c r="AU286" s="36"/>
      <c r="AV286" s="36"/>
      <c r="AW286" s="36"/>
      <c r="AX286" s="36"/>
      <c r="AY286" s="36"/>
      <c r="AZ286" s="36"/>
      <c r="BA286" s="36"/>
      <c r="BB286" s="36"/>
      <c r="BC286" s="36"/>
      <c r="BD286" s="36"/>
      <c r="BF286" s="36"/>
      <c r="BG286" s="85"/>
      <c r="BH286" s="85"/>
      <c r="BI286" s="85"/>
      <c r="BJ286" s="85"/>
      <c r="BK286" s="85"/>
      <c r="BL286" s="85"/>
      <c r="BM286" s="85"/>
      <c r="BN286" s="606"/>
      <c r="BO286" s="606"/>
      <c r="BP286" s="85"/>
      <c r="BQ286" s="85"/>
      <c r="BR286" s="85"/>
      <c r="BS286" s="85"/>
      <c r="BT286" s="85"/>
      <c r="BU286" s="85"/>
      <c r="BV286" s="606"/>
      <c r="BW286" s="85"/>
      <c r="BX286" s="85"/>
      <c r="BY286" s="85"/>
      <c r="BZ286" s="85"/>
      <c r="CA286" s="36"/>
      <c r="CB286" s="36"/>
      <c r="CC286" s="36"/>
      <c r="CD286" s="36"/>
      <c r="CE286" s="36"/>
      <c r="CF286" s="36"/>
      <c r="CG286" s="1765"/>
      <c r="CH286" s="1765"/>
      <c r="CI286" s="1765"/>
      <c r="CJ286" s="36"/>
      <c r="CK286" s="36"/>
      <c r="CL286" s="36"/>
      <c r="CM286" s="36"/>
      <c r="CN286" s="36"/>
      <c r="CO286" s="36"/>
      <c r="CP286" s="36"/>
      <c r="CQ286" s="36"/>
      <c r="CR286" s="36"/>
    </row>
    <row r="287" spans="1:96" ht="11.25" customHeight="1">
      <c r="A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54"/>
      <c r="AM287" s="36"/>
      <c r="AN287" s="619"/>
      <c r="AO287" s="36"/>
      <c r="AP287" s="36"/>
      <c r="AQ287" s="36"/>
      <c r="AR287" s="36"/>
      <c r="AS287" s="36"/>
      <c r="AT287" s="36"/>
      <c r="AU287" s="36"/>
      <c r="AV287" s="36"/>
      <c r="AW287" s="36"/>
      <c r="AX287" s="36"/>
      <c r="AY287" s="36"/>
      <c r="AZ287" s="36"/>
      <c r="BA287" s="36"/>
      <c r="BB287" s="36"/>
      <c r="BC287" s="36"/>
      <c r="BD287" s="36"/>
      <c r="BF287" s="36"/>
      <c r="BG287" s="85"/>
      <c r="BH287" s="85"/>
      <c r="BI287" s="85"/>
      <c r="BJ287" s="85"/>
      <c r="BK287" s="85"/>
      <c r="BL287" s="85"/>
      <c r="BM287" s="85"/>
      <c r="BN287" s="606"/>
      <c r="BO287" s="606"/>
      <c r="BP287" s="85"/>
      <c r="BQ287" s="85"/>
      <c r="BR287" s="85"/>
      <c r="BS287" s="85"/>
      <c r="BT287" s="85"/>
      <c r="BU287" s="85"/>
      <c r="BV287" s="606"/>
      <c r="BW287" s="85"/>
      <c r="BX287" s="85"/>
      <c r="BY287" s="85"/>
      <c r="BZ287" s="85"/>
      <c r="CA287" s="36"/>
      <c r="CB287" s="36"/>
      <c r="CC287" s="36"/>
      <c r="CD287" s="36"/>
      <c r="CE287" s="36"/>
      <c r="CF287" s="36"/>
      <c r="CG287" s="1765"/>
      <c r="CH287" s="1765"/>
      <c r="CI287" s="1765"/>
      <c r="CJ287" s="36"/>
      <c r="CK287" s="36"/>
      <c r="CL287" s="36"/>
      <c r="CM287" s="36"/>
      <c r="CN287" s="36"/>
      <c r="CO287" s="36"/>
      <c r="CP287" s="36"/>
      <c r="CQ287" s="36"/>
      <c r="CR287" s="36"/>
    </row>
    <row r="288" spans="1:96" s="217" customFormat="1" ht="11.25" customHeight="1">
      <c r="A288" s="36"/>
      <c r="B288"/>
      <c r="C288"/>
      <c r="D288"/>
      <c r="E288"/>
      <c r="F288"/>
      <c r="G288"/>
      <c r="H288" s="36"/>
      <c r="I288" s="53" t="s">
        <v>214</v>
      </c>
      <c r="J288" s="79"/>
      <c r="K288" s="79"/>
      <c r="L288" s="79"/>
      <c r="M288" s="79"/>
      <c r="N288" s="79"/>
      <c r="O288" s="79"/>
      <c r="P288" s="79"/>
      <c r="Q288" s="79"/>
      <c r="R288" s="79"/>
      <c r="S288" s="79"/>
      <c r="T288" s="79"/>
      <c r="U288" s="79"/>
      <c r="V288" s="79"/>
      <c r="W288" s="79"/>
      <c r="X288" s="79"/>
      <c r="Y288" s="79"/>
      <c r="Z288" s="79"/>
      <c r="AA288" s="79"/>
      <c r="AB288" s="79"/>
      <c r="AC288" s="79"/>
      <c r="AD288" s="79"/>
      <c r="AE288" s="79"/>
      <c r="AF288" s="79"/>
      <c r="AG288" s="79"/>
      <c r="AH288" s="79"/>
      <c r="AI288" s="79"/>
      <c r="AJ288" s="79"/>
      <c r="AK288" s="79"/>
      <c r="AL288" s="79"/>
      <c r="AM288" s="79"/>
      <c r="AN288" s="2612"/>
      <c r="AO288" s="79"/>
      <c r="AP288" s="79"/>
      <c r="AQ288" s="79"/>
      <c r="AR288" s="79"/>
      <c r="AS288" s="79"/>
      <c r="AT288" s="79"/>
      <c r="AU288" s="79"/>
      <c r="AV288" s="79"/>
      <c r="AW288" s="79"/>
      <c r="AX288" s="79"/>
      <c r="AY288" s="79"/>
      <c r="AZ288" s="79"/>
      <c r="BA288" s="79"/>
      <c r="BB288" s="79"/>
      <c r="BC288" s="79"/>
      <c r="BD288" s="79"/>
      <c r="BE288"/>
      <c r="BF288" s="36"/>
      <c r="BG288" s="79"/>
      <c r="BH288" s="79"/>
      <c r="BI288" s="79"/>
      <c r="BJ288" s="79"/>
      <c r="BK288" s="79"/>
      <c r="BL288" s="79"/>
      <c r="BM288" s="79"/>
      <c r="BN288" s="79"/>
      <c r="BO288" s="79"/>
      <c r="BP288" s="79"/>
      <c r="BQ288" s="79"/>
      <c r="BR288" s="79"/>
      <c r="BS288" s="79"/>
      <c r="BT288" s="79"/>
      <c r="BU288" s="79"/>
      <c r="BV288" s="1642"/>
      <c r="BW288" s="1642"/>
      <c r="BX288" s="1642"/>
      <c r="BY288" s="1642"/>
      <c r="BZ288" s="1642"/>
      <c r="CA288" s="36"/>
      <c r="CB288" s="36"/>
      <c r="CC288" s="36"/>
      <c r="CD288" s="36"/>
      <c r="CE288" s="36"/>
      <c r="CF288" s="36"/>
      <c r="CG288" s="1765"/>
      <c r="CH288" s="1765"/>
      <c r="CI288" s="1765"/>
      <c r="CJ288" s="36"/>
      <c r="CK288" s="36"/>
      <c r="CL288" s="36"/>
      <c r="CM288" s="36"/>
      <c r="CN288" s="36"/>
      <c r="CO288" s="36"/>
      <c r="CP288" s="36"/>
      <c r="CQ288" s="36"/>
      <c r="CR288" s="36"/>
    </row>
    <row r="289" spans="1:96" s="217" customFormat="1" ht="11.25" customHeight="1" outlineLevel="1">
      <c r="A289" s="36"/>
      <c r="B289"/>
      <c r="C289"/>
      <c r="D289"/>
      <c r="E289"/>
      <c r="F289"/>
      <c r="G289"/>
      <c r="H289" s="36"/>
      <c r="I289" s="1" t="s">
        <v>106</v>
      </c>
      <c r="J289" s="1"/>
      <c r="K289" s="1"/>
      <c r="L289" s="1"/>
      <c r="M289" s="218">
        <f t="shared" ref="M289:AN289" si="586">M35+M36</f>
        <v>1.5529999999999999</v>
      </c>
      <c r="N289" s="218">
        <f t="shared" si="586"/>
        <v>0.25700000000000001</v>
      </c>
      <c r="O289" s="218">
        <f t="shared" si="586"/>
        <v>0.36699999999999999</v>
      </c>
      <c r="P289" s="218">
        <f t="shared" si="586"/>
        <v>0.55400000000000005</v>
      </c>
      <c r="Q289" s="218">
        <f t="shared" si="586"/>
        <v>1.1030000000000002</v>
      </c>
      <c r="R289" s="218">
        <f t="shared" si="586"/>
        <v>0.94799999999999995</v>
      </c>
      <c r="S289" s="218">
        <f t="shared" si="586"/>
        <v>1.46</v>
      </c>
      <c r="T289" s="218">
        <f t="shared" si="586"/>
        <v>7.2940000000000005</v>
      </c>
      <c r="U289" s="218">
        <f t="shared" si="586"/>
        <v>7.4290000000000003</v>
      </c>
      <c r="V289" s="218">
        <f t="shared" si="586"/>
        <v>1.8580000000000001</v>
      </c>
      <c r="W289" s="218">
        <f t="shared" si="586"/>
        <v>2.3339999999999996</v>
      </c>
      <c r="X289" s="218">
        <f t="shared" si="586"/>
        <v>4.5199999999999996</v>
      </c>
      <c r="Y289" s="218">
        <f t="shared" si="586"/>
        <v>5.28</v>
      </c>
      <c r="Z289" s="218">
        <f t="shared" si="586"/>
        <v>5.7130000000000001</v>
      </c>
      <c r="AA289" s="218">
        <f t="shared" si="586"/>
        <v>7.0150000000000006</v>
      </c>
      <c r="AB289" s="218">
        <f t="shared" si="586"/>
        <v>8.7889999999999997</v>
      </c>
      <c r="AC289" s="218">
        <f t="shared" si="586"/>
        <v>9.4559999999999995</v>
      </c>
      <c r="AD289" s="218">
        <f t="shared" si="586"/>
        <v>10.083</v>
      </c>
      <c r="AE289" s="218">
        <f t="shared" si="586"/>
        <v>10.917999999999999</v>
      </c>
      <c r="AF289" s="218">
        <f t="shared" si="586"/>
        <v>11.816000000000001</v>
      </c>
      <c r="AG289" s="218">
        <f t="shared" si="586"/>
        <v>13.670999999999999</v>
      </c>
      <c r="AH289" s="218">
        <f t="shared" si="586"/>
        <v>15.516000000000002</v>
      </c>
      <c r="AI289" s="218">
        <f t="shared" si="586"/>
        <v>15.683</v>
      </c>
      <c r="AJ289" s="218">
        <f t="shared" si="586"/>
        <v>15.972</v>
      </c>
      <c r="AK289" s="218">
        <f t="shared" si="586"/>
        <v>19.11</v>
      </c>
      <c r="AL289" s="1368">
        <f t="shared" si="586"/>
        <v>20.725999999999999</v>
      </c>
      <c r="AM289" s="218">
        <f t="shared" si="586"/>
        <v>22.560000000000002</v>
      </c>
      <c r="AN289" s="2613">
        <f t="shared" si="586"/>
        <v>23.864000000000004</v>
      </c>
      <c r="AO289" s="218">
        <f>AO35+AO36</f>
        <v>24.334000000000003</v>
      </c>
      <c r="AP289" s="218"/>
      <c r="AQ289" s="218"/>
      <c r="AR289" s="218"/>
      <c r="AS289" s="218"/>
      <c r="AT289" s="218"/>
      <c r="AU289" s="218"/>
      <c r="AV289" s="218"/>
      <c r="AW289" s="218"/>
      <c r="AX289" s="218"/>
      <c r="AY289" s="218"/>
      <c r="AZ289" s="218"/>
      <c r="BA289" s="218"/>
      <c r="BB289" s="218"/>
      <c r="BC289" s="218"/>
      <c r="BD289" s="218"/>
      <c r="BE289"/>
      <c r="BF289" s="58"/>
      <c r="BG289" s="218">
        <f t="shared" ref="BG289:BZ289" si="587">BG35+BG36</f>
        <v>0</v>
      </c>
      <c r="BH289" s="218">
        <f t="shared" si="587"/>
        <v>9.4E-2</v>
      </c>
      <c r="BI289" s="218">
        <f t="shared" si="587"/>
        <v>0.36499999999999999</v>
      </c>
      <c r="BJ289" s="218">
        <f t="shared" si="587"/>
        <v>0.55700000000000005</v>
      </c>
      <c r="BK289" s="218">
        <f t="shared" si="587"/>
        <v>2.7309999999999999</v>
      </c>
      <c r="BL289" s="218">
        <f t="shared" si="587"/>
        <v>10.805</v>
      </c>
      <c r="BM289" s="218">
        <f t="shared" si="587"/>
        <v>16.141000000000002</v>
      </c>
      <c r="BN289" s="1368">
        <f t="shared" si="587"/>
        <v>26.797000000000001</v>
      </c>
      <c r="BO289" s="1368">
        <f t="shared" si="587"/>
        <v>42.273000000000003</v>
      </c>
      <c r="BP289" s="218">
        <f t="shared" si="587"/>
        <v>60.842000000000006</v>
      </c>
      <c r="BQ289" s="218">
        <f t="shared" si="587"/>
        <v>86.26</v>
      </c>
      <c r="BR289" s="218">
        <f t="shared" si="587"/>
        <v>-64.306999999999974</v>
      </c>
      <c r="BS289" s="218">
        <f t="shared" si="587"/>
        <v>114.26265000000001</v>
      </c>
      <c r="BT289" s="218">
        <f t="shared" si="587"/>
        <v>127.97416800000002</v>
      </c>
      <c r="BU289" s="218">
        <f t="shared" si="587"/>
        <v>140.77158480000003</v>
      </c>
      <c r="BV289" s="218">
        <f t="shared" si="587"/>
        <v>150.62559573600004</v>
      </c>
      <c r="BW289" s="218">
        <f t="shared" si="587"/>
        <v>158.15687552280005</v>
      </c>
      <c r="BX289" s="218">
        <f t="shared" si="587"/>
        <v>166.06471929894005</v>
      </c>
      <c r="BY289" s="218">
        <f t="shared" si="587"/>
        <v>174.36795526388707</v>
      </c>
      <c r="BZ289" s="218">
        <f t="shared" si="587"/>
        <v>183.08635302708143</v>
      </c>
      <c r="CA289" s="36"/>
      <c r="CB289" s="36"/>
      <c r="CC289" s="36"/>
      <c r="CD289" s="36"/>
      <c r="CE289" s="36"/>
      <c r="CF289" s="36"/>
      <c r="CG289" s="1765"/>
      <c r="CH289" s="1765"/>
      <c r="CI289" s="1765"/>
      <c r="CJ289" s="36"/>
      <c r="CK289" s="36"/>
      <c r="CL289" s="36"/>
      <c r="CM289" s="36"/>
      <c r="CN289" s="36"/>
      <c r="CO289" s="36"/>
      <c r="CP289" s="36"/>
      <c r="CQ289" s="36"/>
      <c r="CR289" s="36"/>
    </row>
    <row r="290" spans="1:96" s="217" customFormat="1" ht="11.25" customHeight="1" outlineLevel="1">
      <c r="A290" s="36"/>
      <c r="B290"/>
      <c r="C290"/>
      <c r="D290"/>
      <c r="E290"/>
      <c r="F290"/>
      <c r="G290"/>
      <c r="H290" s="36"/>
      <c r="I290" s="1" t="s">
        <v>107</v>
      </c>
      <c r="J290" s="1"/>
      <c r="K290" s="1"/>
      <c r="L290" s="1"/>
      <c r="M290" s="219">
        <v>1</v>
      </c>
      <c r="N290" s="219">
        <v>1</v>
      </c>
      <c r="O290" s="219">
        <v>1</v>
      </c>
      <c r="P290" s="219">
        <v>1</v>
      </c>
      <c r="Q290" s="219">
        <v>1</v>
      </c>
      <c r="R290" s="219">
        <v>1</v>
      </c>
      <c r="S290" s="219">
        <v>1</v>
      </c>
      <c r="T290" s="219">
        <v>1</v>
      </c>
      <c r="U290" s="219">
        <v>1</v>
      </c>
      <c r="V290" s="219">
        <v>1</v>
      </c>
      <c r="W290" s="219">
        <v>1</v>
      </c>
      <c r="X290" s="219">
        <v>1</v>
      </c>
      <c r="Y290" s="219">
        <v>1</v>
      </c>
      <c r="Z290" s="219">
        <v>1</v>
      </c>
      <c r="AA290" s="219">
        <v>1</v>
      </c>
      <c r="AB290" s="219">
        <v>1</v>
      </c>
      <c r="AC290" s="219">
        <v>1</v>
      </c>
      <c r="AD290" s="219">
        <v>1</v>
      </c>
      <c r="AE290" s="219">
        <v>1</v>
      </c>
      <c r="AF290" s="219">
        <v>1</v>
      </c>
      <c r="AG290" s="219">
        <v>1</v>
      </c>
      <c r="AH290" s="219">
        <v>1</v>
      </c>
      <c r="AI290" s="219">
        <v>1</v>
      </c>
      <c r="AJ290" s="219">
        <v>1</v>
      </c>
      <c r="AK290" s="219">
        <v>1</v>
      </c>
      <c r="AL290" s="1369">
        <v>1</v>
      </c>
      <c r="AM290" s="219">
        <v>1</v>
      </c>
      <c r="AN290" s="2614">
        <v>1</v>
      </c>
      <c r="AO290" s="219">
        <v>1</v>
      </c>
      <c r="AP290" s="219"/>
      <c r="AQ290" s="219"/>
      <c r="AR290" s="219"/>
      <c r="AS290" s="219"/>
      <c r="AT290" s="219"/>
      <c r="AU290" s="219"/>
      <c r="AV290" s="219"/>
      <c r="AW290" s="219"/>
      <c r="AX290" s="219"/>
      <c r="AY290" s="219"/>
      <c r="AZ290" s="219"/>
      <c r="BA290" s="219"/>
      <c r="BB290" s="219"/>
      <c r="BC290" s="219"/>
      <c r="BD290" s="219"/>
      <c r="BE290"/>
      <c r="BF290" s="36"/>
      <c r="BG290" s="219">
        <v>1</v>
      </c>
      <c r="BH290" s="219">
        <v>1</v>
      </c>
      <c r="BI290" s="219">
        <v>1</v>
      </c>
      <c r="BJ290" s="219">
        <v>1</v>
      </c>
      <c r="BK290" s="219">
        <v>1</v>
      </c>
      <c r="BL290" s="219">
        <v>1</v>
      </c>
      <c r="BM290" s="219">
        <v>1</v>
      </c>
      <c r="BN290" s="1369">
        <v>1</v>
      </c>
      <c r="BO290" s="1369">
        <v>1</v>
      </c>
      <c r="BP290" s="219">
        <v>1</v>
      </c>
      <c r="BQ290" s="219">
        <v>1</v>
      </c>
      <c r="BR290" s="219">
        <v>1</v>
      </c>
      <c r="BS290" s="219">
        <v>1</v>
      </c>
      <c r="BT290" s="219">
        <v>1</v>
      </c>
      <c r="BU290" s="219">
        <v>1</v>
      </c>
      <c r="BV290" s="219">
        <v>1</v>
      </c>
      <c r="BW290" s="219">
        <v>1</v>
      </c>
      <c r="BX290" s="219">
        <v>1</v>
      </c>
      <c r="BY290" s="219">
        <v>1</v>
      </c>
      <c r="BZ290" s="219">
        <v>1</v>
      </c>
      <c r="CA290" s="36"/>
      <c r="CB290" s="36"/>
      <c r="CC290" s="36"/>
      <c r="CD290" s="36"/>
      <c r="CE290" s="36"/>
      <c r="CF290" s="36"/>
      <c r="CG290" s="1765"/>
      <c r="CH290" s="1765"/>
      <c r="CI290" s="1765"/>
      <c r="CJ290" s="36"/>
      <c r="CK290" s="36"/>
      <c r="CL290" s="36"/>
      <c r="CM290" s="36"/>
      <c r="CN290" s="36"/>
      <c r="CO290" s="36"/>
      <c r="CP290" s="36"/>
      <c r="CQ290" s="36"/>
      <c r="CR290" s="36"/>
    </row>
    <row r="291" spans="1:96" s="217" customFormat="1" ht="11.25" customHeight="1" outlineLevel="1">
      <c r="A291" s="36"/>
      <c r="B291"/>
      <c r="C291"/>
      <c r="D291"/>
      <c r="E291"/>
      <c r="F291"/>
      <c r="G291"/>
      <c r="H291" s="1"/>
      <c r="I291" s="1" t="s">
        <v>99</v>
      </c>
      <c r="J291" s="1"/>
      <c r="K291" s="1"/>
      <c r="L291" s="1"/>
      <c r="M291" s="220" t="s">
        <v>100</v>
      </c>
      <c r="N291" s="220" t="s">
        <v>100</v>
      </c>
      <c r="O291" s="220" t="s">
        <v>100</v>
      </c>
      <c r="P291" s="220" t="s">
        <v>100</v>
      </c>
      <c r="Q291" s="220" t="s">
        <v>100</v>
      </c>
      <c r="R291" s="220" t="s">
        <v>100</v>
      </c>
      <c r="S291" s="220" t="s">
        <v>100</v>
      </c>
      <c r="T291" s="220" t="s">
        <v>100</v>
      </c>
      <c r="U291" s="220" t="s">
        <v>100</v>
      </c>
      <c r="V291" s="220" t="s">
        <v>100</v>
      </c>
      <c r="W291" s="220" t="s">
        <v>100</v>
      </c>
      <c r="X291" s="220" t="s">
        <v>100</v>
      </c>
      <c r="Y291" s="220" t="s">
        <v>100</v>
      </c>
      <c r="Z291" s="220" t="s">
        <v>100</v>
      </c>
      <c r="AA291" s="220" t="s">
        <v>100</v>
      </c>
      <c r="AB291" s="220" t="s">
        <v>100</v>
      </c>
      <c r="AC291" s="220" t="s">
        <v>100</v>
      </c>
      <c r="AD291" s="220" t="s">
        <v>100</v>
      </c>
      <c r="AE291" s="220" t="s">
        <v>100</v>
      </c>
      <c r="AF291" s="220" t="s">
        <v>100</v>
      </c>
      <c r="AG291" s="220" t="s">
        <v>100</v>
      </c>
      <c r="AH291" s="220" t="s">
        <v>100</v>
      </c>
      <c r="AI291" s="220" t="s">
        <v>100</v>
      </c>
      <c r="AJ291" s="220" t="s">
        <v>100</v>
      </c>
      <c r="AK291" s="220" t="s">
        <v>100</v>
      </c>
      <c r="AL291" s="1370" t="s">
        <v>100</v>
      </c>
      <c r="AM291" s="220" t="s">
        <v>100</v>
      </c>
      <c r="AN291" s="2615" t="s">
        <v>100</v>
      </c>
      <c r="AO291" s="220" t="s">
        <v>100</v>
      </c>
      <c r="AP291" s="220"/>
      <c r="AQ291" s="220"/>
      <c r="AR291" s="220"/>
      <c r="AS291" s="220"/>
      <c r="AT291" s="220"/>
      <c r="AU291" s="220"/>
      <c r="AV291" s="220"/>
      <c r="AW291" s="220"/>
      <c r="AX291" s="220"/>
      <c r="AY291" s="220"/>
      <c r="AZ291" s="220"/>
      <c r="BA291" s="220"/>
      <c r="BB291" s="220"/>
      <c r="BC291" s="220"/>
      <c r="BD291" s="220"/>
      <c r="BE291"/>
      <c r="BF291" s="36"/>
      <c r="BG291" s="220" t="s">
        <v>100</v>
      </c>
      <c r="BH291" s="220" t="s">
        <v>100</v>
      </c>
      <c r="BI291" s="220" t="s">
        <v>100</v>
      </c>
      <c r="BJ291" s="220" t="s">
        <v>100</v>
      </c>
      <c r="BK291" s="220" t="s">
        <v>100</v>
      </c>
      <c r="BL291" s="220" t="s">
        <v>100</v>
      </c>
      <c r="BM291" s="220" t="s">
        <v>100</v>
      </c>
      <c r="BN291" s="1370" t="s">
        <v>100</v>
      </c>
      <c r="BO291" s="1370" t="s">
        <v>100</v>
      </c>
      <c r="BP291" s="220" t="s">
        <v>100</v>
      </c>
      <c r="BQ291" s="220" t="s">
        <v>100</v>
      </c>
      <c r="BR291" s="220" t="s">
        <v>100</v>
      </c>
      <c r="BS291" s="220" t="s">
        <v>100</v>
      </c>
      <c r="BT291" s="220" t="s">
        <v>100</v>
      </c>
      <c r="BU291" s="220" t="s">
        <v>100</v>
      </c>
      <c r="BV291" s="220" t="s">
        <v>100</v>
      </c>
      <c r="BW291" s="220" t="s">
        <v>100</v>
      </c>
      <c r="BX291" s="220" t="s">
        <v>100</v>
      </c>
      <c r="BY291" s="220" t="s">
        <v>100</v>
      </c>
      <c r="BZ291" s="220" t="s">
        <v>100</v>
      </c>
      <c r="CA291" s="36"/>
      <c r="CB291" s="36"/>
      <c r="CC291" s="36"/>
      <c r="CD291" s="36"/>
      <c r="CE291" s="36"/>
      <c r="CF291" s="36"/>
      <c r="CG291" s="1765"/>
      <c r="CH291" s="1765"/>
      <c r="CI291" s="1765"/>
      <c r="CJ291" s="36"/>
      <c r="CK291" s="36"/>
      <c r="CL291" s="36"/>
      <c r="CM291" s="36"/>
      <c r="CN291" s="36"/>
      <c r="CO291" s="36"/>
      <c r="CP291" s="36"/>
      <c r="CQ291" s="36"/>
      <c r="CR291" s="36"/>
    </row>
    <row r="292" spans="1:96" s="217" customFormat="1" ht="11.25" customHeight="1" outlineLevel="1">
      <c r="A292" s="36"/>
      <c r="B292"/>
      <c r="C292"/>
      <c r="D292"/>
      <c r="E292"/>
      <c r="F292"/>
      <c r="G292"/>
      <c r="H292" s="1"/>
      <c r="I292" s="1" t="s">
        <v>13</v>
      </c>
      <c r="J292" s="1"/>
      <c r="K292" s="1"/>
      <c r="L292" s="1"/>
      <c r="M292" s="221">
        <f t="shared" ref="M292:AJ292" si="588">M177-L177+M178-L178</f>
        <v>0</v>
      </c>
      <c r="N292" s="221">
        <f t="shared" si="588"/>
        <v>0</v>
      </c>
      <c r="O292" s="221">
        <f t="shared" si="588"/>
        <v>0</v>
      </c>
      <c r="P292" s="221">
        <f t="shared" si="588"/>
        <v>3.524</v>
      </c>
      <c r="Q292" s="221">
        <f t="shared" si="588"/>
        <v>-3.524</v>
      </c>
      <c r="R292" s="221">
        <f t="shared" si="588"/>
        <v>0</v>
      </c>
      <c r="S292" s="221">
        <f t="shared" si="588"/>
        <v>8.2089999999999996</v>
      </c>
      <c r="T292" s="221">
        <f t="shared" si="588"/>
        <v>8.4160000000000004</v>
      </c>
      <c r="U292" s="221">
        <f t="shared" si="588"/>
        <v>174.82300000000001</v>
      </c>
      <c r="V292" s="221">
        <f t="shared" si="588"/>
        <v>2.2090000000000032</v>
      </c>
      <c r="W292" s="221">
        <f t="shared" si="588"/>
        <v>4.2150000000000034</v>
      </c>
      <c r="X292" s="221">
        <f t="shared" si="588"/>
        <v>27.37299999999999</v>
      </c>
      <c r="Y292" s="221">
        <f t="shared" si="588"/>
        <v>6.2800000000000011</v>
      </c>
      <c r="Z292" s="221">
        <f t="shared" si="588"/>
        <v>9.2270000000000039</v>
      </c>
      <c r="AA292" s="221">
        <f t="shared" si="588"/>
        <v>21.923000000000002</v>
      </c>
      <c r="AB292" s="221">
        <f t="shared" si="588"/>
        <v>291.07800000000003</v>
      </c>
      <c r="AC292" s="221">
        <f t="shared" si="588"/>
        <v>16.171999999999912</v>
      </c>
      <c r="AD292" s="221">
        <f t="shared" si="588"/>
        <v>18.903999999999996</v>
      </c>
      <c r="AE292" s="221">
        <f t="shared" si="588"/>
        <v>18.182999999999993</v>
      </c>
      <c r="AF292" s="221">
        <f t="shared" si="588"/>
        <v>20.730000000000018</v>
      </c>
      <c r="AG292" s="221">
        <f t="shared" si="588"/>
        <v>77.655000000000086</v>
      </c>
      <c r="AH292" s="221">
        <f t="shared" si="588"/>
        <v>29.469999999999914</v>
      </c>
      <c r="AI292" s="221">
        <f t="shared" si="588"/>
        <v>17.927999999999997</v>
      </c>
      <c r="AJ292" s="221">
        <f t="shared" si="588"/>
        <v>21.227000000000089</v>
      </c>
      <c r="AK292" s="221">
        <f>AK177-AJ177+AK178-AJ178</f>
        <v>19.445999999999913</v>
      </c>
      <c r="AL292" s="1371">
        <f>AL177-AK177+AL178-AK178</f>
        <v>28.91700000000003</v>
      </c>
      <c r="AM292" s="221">
        <f>AM177-AL177+AM178-AL178</f>
        <v>33.730000000000018</v>
      </c>
      <c r="AN292" s="2616">
        <f>AN177-AM177+AN178-AM178</f>
        <v>36.867999999999938</v>
      </c>
      <c r="AO292" s="221">
        <f>AO177-AN177+AO178-AN178</f>
        <v>28.458000000000084</v>
      </c>
      <c r="AP292" s="221"/>
      <c r="AQ292" s="221"/>
      <c r="AR292" s="221"/>
      <c r="AS292" s="221"/>
      <c r="AT292" s="221"/>
      <c r="AU292" s="221"/>
      <c r="AV292" s="221"/>
      <c r="AW292" s="221"/>
      <c r="AX292" s="221"/>
      <c r="AY292" s="221"/>
      <c r="AZ292" s="221"/>
      <c r="BA292" s="221"/>
      <c r="BB292" s="221"/>
      <c r="BC292" s="221"/>
      <c r="BD292" s="221"/>
      <c r="BE292"/>
      <c r="BF292" s="36"/>
      <c r="BG292" s="262" t="str">
        <f t="shared" ref="BG292:BZ292" si="589">IF(ISERROR(BG177-BF177+BG178-BF178),"NM",BG177-BF177+BG178-BF178)</f>
        <v>NM</v>
      </c>
      <c r="BH292" s="262" t="str">
        <f t="shared" si="589"/>
        <v>NM</v>
      </c>
      <c r="BI292" s="262" t="str">
        <f t="shared" si="589"/>
        <v>NM</v>
      </c>
      <c r="BJ292" s="262" t="str">
        <f t="shared" si="589"/>
        <v>NM</v>
      </c>
      <c r="BK292" s="262">
        <f t="shared" si="589"/>
        <v>2.0409999999999999</v>
      </c>
      <c r="BL292" s="221">
        <f t="shared" si="589"/>
        <v>13.100999999999999</v>
      </c>
      <c r="BM292" s="221">
        <f t="shared" si="589"/>
        <v>208.62</v>
      </c>
      <c r="BN292" s="1371">
        <f t="shared" si="589"/>
        <v>328.50800000000004</v>
      </c>
      <c r="BO292" s="1371">
        <f t="shared" si="589"/>
        <v>73.988999999999919</v>
      </c>
      <c r="BP292" s="221">
        <f t="shared" si="589"/>
        <v>146.28000000000009</v>
      </c>
      <c r="BQ292" s="221">
        <f t="shared" si="589"/>
        <v>118.9609999999999</v>
      </c>
      <c r="BR292" s="221">
        <f t="shared" si="589"/>
        <v>145.03400000000011</v>
      </c>
      <c r="BS292" s="221">
        <f t="shared" si="589"/>
        <v>114.26264999999989</v>
      </c>
      <c r="BT292" s="221">
        <f t="shared" si="589"/>
        <v>127.97416799999996</v>
      </c>
      <c r="BU292" s="221">
        <f t="shared" si="589"/>
        <v>140.77158480000003</v>
      </c>
      <c r="BV292" s="221">
        <f t="shared" si="589"/>
        <v>150.62559573600015</v>
      </c>
      <c r="BW292" s="221">
        <f t="shared" si="589"/>
        <v>158.15687552280019</v>
      </c>
      <c r="BX292" s="221">
        <f t="shared" si="589"/>
        <v>166.06471929894019</v>
      </c>
      <c r="BY292" s="221">
        <f t="shared" si="589"/>
        <v>174.3679552638871</v>
      </c>
      <c r="BZ292" s="221">
        <f t="shared" si="589"/>
        <v>183.08635302708149</v>
      </c>
      <c r="CA292" s="36"/>
      <c r="CB292" s="36"/>
      <c r="CC292" s="36"/>
      <c r="CD292" s="36"/>
      <c r="CE292" s="36"/>
      <c r="CF292" s="36"/>
      <c r="CG292" s="1765"/>
      <c r="CH292" s="1765"/>
      <c r="CI292" s="1765"/>
      <c r="CJ292" s="36"/>
      <c r="CK292" s="36"/>
      <c r="CL292" s="36"/>
      <c r="CM292" s="36"/>
      <c r="CN292" s="36"/>
      <c r="CO292" s="36"/>
      <c r="CP292" s="36"/>
      <c r="CQ292" s="36"/>
      <c r="CR292" s="36"/>
    </row>
    <row r="293" spans="1:96" s="217" customFormat="1" ht="11.25" customHeight="1" outlineLevel="1">
      <c r="B293"/>
      <c r="C293"/>
      <c r="D293"/>
      <c r="E293"/>
      <c r="F293"/>
      <c r="G293"/>
      <c r="H293" s="1"/>
      <c r="I293" s="1" t="s">
        <v>216</v>
      </c>
      <c r="M293" s="80">
        <f t="shared" ref="M293:AN293" si="590">M36</f>
        <v>0.253</v>
      </c>
      <c r="N293" s="80">
        <f t="shared" si="590"/>
        <v>0.25700000000000001</v>
      </c>
      <c r="O293" s="80">
        <f t="shared" si="590"/>
        <v>0.36699999999999999</v>
      </c>
      <c r="P293" s="80">
        <f t="shared" si="590"/>
        <v>0.55400000000000005</v>
      </c>
      <c r="Q293" s="80">
        <f t="shared" si="590"/>
        <v>1.1030000000000002</v>
      </c>
      <c r="R293" s="80">
        <f t="shared" si="590"/>
        <v>0.94799999999999995</v>
      </c>
      <c r="S293" s="80">
        <f t="shared" si="590"/>
        <v>1.46</v>
      </c>
      <c r="T293" s="80">
        <f t="shared" si="590"/>
        <v>1.3660000000000001</v>
      </c>
      <c r="U293" s="80">
        <f t="shared" si="590"/>
        <v>7.4290000000000003</v>
      </c>
      <c r="V293" s="80">
        <f t="shared" si="590"/>
        <v>1.8580000000000001</v>
      </c>
      <c r="W293" s="80">
        <f t="shared" si="590"/>
        <v>2.3339999999999996</v>
      </c>
      <c r="X293" s="80">
        <f t="shared" si="590"/>
        <v>3.258</v>
      </c>
      <c r="Y293" s="80">
        <f t="shared" si="590"/>
        <v>5.16</v>
      </c>
      <c r="Z293" s="80">
        <f t="shared" si="590"/>
        <v>5.7130000000000001</v>
      </c>
      <c r="AA293" s="80">
        <f t="shared" si="590"/>
        <v>7.0150000000000006</v>
      </c>
      <c r="AB293" s="80">
        <f t="shared" si="590"/>
        <v>8.7889999999999997</v>
      </c>
      <c r="AC293" s="80">
        <f t="shared" si="590"/>
        <v>9.4559999999999995</v>
      </c>
      <c r="AD293" s="80">
        <f t="shared" si="590"/>
        <v>10.083</v>
      </c>
      <c r="AE293" s="80">
        <f t="shared" si="590"/>
        <v>10.917999999999999</v>
      </c>
      <c r="AF293" s="80">
        <f t="shared" si="590"/>
        <v>11.816000000000001</v>
      </c>
      <c r="AG293" s="80">
        <f t="shared" si="590"/>
        <v>13.670999999999999</v>
      </c>
      <c r="AH293" s="80">
        <f t="shared" si="590"/>
        <v>15.516000000000002</v>
      </c>
      <c r="AI293" s="80">
        <f t="shared" si="590"/>
        <v>15.683</v>
      </c>
      <c r="AJ293" s="80">
        <f t="shared" si="590"/>
        <v>15.972</v>
      </c>
      <c r="AK293" s="80">
        <f t="shared" si="590"/>
        <v>19.11</v>
      </c>
      <c r="AL293" s="99">
        <f t="shared" si="590"/>
        <v>20.725999999999999</v>
      </c>
      <c r="AM293" s="80">
        <f t="shared" si="590"/>
        <v>22.560000000000002</v>
      </c>
      <c r="AN293" s="697">
        <f t="shared" si="590"/>
        <v>23.864000000000004</v>
      </c>
      <c r="AO293" s="80">
        <f>AO36</f>
        <v>24.334000000000003</v>
      </c>
      <c r="AP293" s="80"/>
      <c r="AQ293" s="80"/>
      <c r="AR293" s="80"/>
      <c r="AS293" s="80"/>
      <c r="AT293" s="80"/>
      <c r="AU293" s="80"/>
      <c r="AV293" s="80"/>
      <c r="AW293" s="80"/>
      <c r="AX293" s="80"/>
      <c r="AY293" s="80"/>
      <c r="AZ293" s="80"/>
      <c r="BA293" s="80"/>
      <c r="BB293" s="80"/>
      <c r="BC293" s="80"/>
      <c r="BD293" s="80"/>
      <c r="BE293"/>
      <c r="BF293" s="36"/>
      <c r="BG293" s="80">
        <f t="shared" ref="BG293:BU293" si="591">BG36</f>
        <v>0</v>
      </c>
      <c r="BH293" s="80">
        <f t="shared" si="591"/>
        <v>9.4E-2</v>
      </c>
      <c r="BI293" s="80">
        <f t="shared" si="591"/>
        <v>0.36499999999999999</v>
      </c>
      <c r="BJ293" s="80">
        <f t="shared" si="591"/>
        <v>0.55700000000000005</v>
      </c>
      <c r="BK293" s="80">
        <f t="shared" si="591"/>
        <v>1.431</v>
      </c>
      <c r="BL293" s="80">
        <f t="shared" si="591"/>
        <v>4.8770000000000007</v>
      </c>
      <c r="BM293" s="80">
        <f t="shared" si="591"/>
        <v>14.879000000000001</v>
      </c>
      <c r="BN293" s="99">
        <f t="shared" si="591"/>
        <v>26.677</v>
      </c>
      <c r="BO293" s="99">
        <f t="shared" si="591"/>
        <v>42.273000000000003</v>
      </c>
      <c r="BP293" s="80">
        <f t="shared" si="591"/>
        <v>60.842000000000006</v>
      </c>
      <c r="BQ293" s="80">
        <f t="shared" si="591"/>
        <v>86.26</v>
      </c>
      <c r="BR293" s="80">
        <f t="shared" si="591"/>
        <v>100.41500000000001</v>
      </c>
      <c r="BS293" s="80">
        <f t="shared" si="591"/>
        <v>114.26265000000001</v>
      </c>
      <c r="BT293" s="80">
        <f t="shared" si="591"/>
        <v>127.97416800000002</v>
      </c>
      <c r="BU293" s="80">
        <f t="shared" si="591"/>
        <v>140.77158480000003</v>
      </c>
      <c r="BV293" s="80">
        <f>BV36</f>
        <v>150.62559573600004</v>
      </c>
      <c r="BW293" s="80">
        <f>BW36</f>
        <v>158.15687552280005</v>
      </c>
      <c r="BX293" s="80">
        <f>BX36</f>
        <v>166.06471929894005</v>
      </c>
      <c r="BY293" s="80">
        <f>BY36</f>
        <v>174.36795526388707</v>
      </c>
      <c r="BZ293" s="80">
        <f>BZ36</f>
        <v>183.08635302708143</v>
      </c>
      <c r="CG293" s="1776"/>
      <c r="CH293" s="1776"/>
      <c r="CI293" s="1776"/>
    </row>
    <row r="294" spans="1:96" s="217" customFormat="1" ht="11.25" customHeight="1" outlineLevel="1">
      <c r="B294"/>
      <c r="C294"/>
      <c r="D294"/>
      <c r="E294"/>
      <c r="F294"/>
      <c r="G294"/>
      <c r="H294" s="1"/>
      <c r="I294" s="1" t="s">
        <v>217</v>
      </c>
      <c r="M294" s="80">
        <f t="shared" ref="M294:AJ294" si="592">M64-M66</f>
        <v>0</v>
      </c>
      <c r="N294" s="80">
        <f t="shared" si="592"/>
        <v>0</v>
      </c>
      <c r="O294" s="80">
        <f t="shared" si="592"/>
        <v>0</v>
      </c>
      <c r="P294" s="80">
        <f t="shared" si="592"/>
        <v>0</v>
      </c>
      <c r="Q294" s="80">
        <f t="shared" si="592"/>
        <v>0</v>
      </c>
      <c r="R294" s="80">
        <f t="shared" si="592"/>
        <v>0</v>
      </c>
      <c r="S294" s="80">
        <f t="shared" si="592"/>
        <v>0</v>
      </c>
      <c r="T294" s="80">
        <f t="shared" si="592"/>
        <v>0</v>
      </c>
      <c r="U294" s="80">
        <f t="shared" si="592"/>
        <v>0</v>
      </c>
      <c r="V294" s="80">
        <f t="shared" si="592"/>
        <v>0</v>
      </c>
      <c r="W294" s="80">
        <f t="shared" si="592"/>
        <v>0.102200000000002</v>
      </c>
      <c r="X294" s="80">
        <f t="shared" si="592"/>
        <v>0</v>
      </c>
      <c r="Y294" s="80">
        <f t="shared" si="592"/>
        <v>0.16600000000000248</v>
      </c>
      <c r="Z294" s="80">
        <f t="shared" si="592"/>
        <v>1.7948000000000011</v>
      </c>
      <c r="AA294" s="80">
        <f t="shared" si="592"/>
        <v>1.5711999999999982</v>
      </c>
      <c r="AB294" s="80">
        <f t="shared" si="592"/>
        <v>2.6567999999999974</v>
      </c>
      <c r="AC294" s="80">
        <f t="shared" si="592"/>
        <v>3.910999999999996</v>
      </c>
      <c r="AD294" s="80">
        <f t="shared" si="592"/>
        <v>4.908999999999998</v>
      </c>
      <c r="AE294" s="80">
        <f t="shared" si="592"/>
        <v>5.1578000000000008</v>
      </c>
      <c r="AF294" s="80">
        <f t="shared" si="592"/>
        <v>32.636400000000002</v>
      </c>
      <c r="AG294" s="80">
        <f t="shared" si="592"/>
        <v>3.7133999999999996</v>
      </c>
      <c r="AH294" s="80">
        <f t="shared" si="592"/>
        <v>1.3487999999999947</v>
      </c>
      <c r="AI294" s="80">
        <f t="shared" si="592"/>
        <v>0</v>
      </c>
      <c r="AJ294" s="80">
        <f t="shared" si="592"/>
        <v>16.883199999999995</v>
      </c>
      <c r="AK294" s="80">
        <f>AK64-AK66</f>
        <v>0.60100000000000686</v>
      </c>
      <c r="AL294" s="99">
        <f>AL64-AL66</f>
        <v>9.2313999999999954</v>
      </c>
      <c r="AM294" s="80">
        <f>AM64-AM66</f>
        <v>9.7217999999999929</v>
      </c>
      <c r="AN294" s="697">
        <f>AN64-AN66</f>
        <v>12.250799999999996</v>
      </c>
      <c r="AO294" s="80">
        <f>AO64-AO66</f>
        <v>7.7813999999999925</v>
      </c>
      <c r="AP294" s="80"/>
      <c r="AQ294" s="80"/>
      <c r="AR294" s="80"/>
      <c r="AS294" s="80"/>
      <c r="AT294" s="80"/>
      <c r="AU294" s="80"/>
      <c r="AV294" s="80"/>
      <c r="AW294" s="80"/>
      <c r="AX294" s="80"/>
      <c r="AY294" s="80"/>
      <c r="AZ294" s="80"/>
      <c r="BA294" s="80"/>
      <c r="BB294" s="80"/>
      <c r="BC294" s="80"/>
      <c r="BD294" s="80"/>
      <c r="BE294"/>
      <c r="BF294" s="36"/>
      <c r="BG294" s="80">
        <f t="shared" ref="BG294:BU294" si="593">BG64-BG66</f>
        <v>0</v>
      </c>
      <c r="BH294" s="80">
        <f t="shared" si="593"/>
        <v>0</v>
      </c>
      <c r="BI294" s="80">
        <f t="shared" si="593"/>
        <v>0</v>
      </c>
      <c r="BJ294" s="80">
        <f t="shared" si="593"/>
        <v>0</v>
      </c>
      <c r="BK294" s="80">
        <f t="shared" si="593"/>
        <v>0</v>
      </c>
      <c r="BL294" s="80">
        <f t="shared" si="593"/>
        <v>0</v>
      </c>
      <c r="BM294" s="80">
        <f t="shared" si="593"/>
        <v>0.102200000000002</v>
      </c>
      <c r="BN294" s="99">
        <f t="shared" si="593"/>
        <v>6.1887999999999987</v>
      </c>
      <c r="BO294" s="99">
        <f t="shared" si="593"/>
        <v>46.614199999999997</v>
      </c>
      <c r="BP294" s="80">
        <f t="shared" si="593"/>
        <v>21.945399999999992</v>
      </c>
      <c r="BQ294" s="80">
        <f t="shared" si="593"/>
        <v>31.804999999999989</v>
      </c>
      <c r="BR294" s="80">
        <f t="shared" si="593"/>
        <v>16.525799999999972</v>
      </c>
      <c r="BS294" s="80">
        <f t="shared" si="593"/>
        <v>44.088217048883195</v>
      </c>
      <c r="BT294" s="80">
        <f t="shared" si="593"/>
        <v>51.189667200000002</v>
      </c>
      <c r="BU294" s="80">
        <f t="shared" si="593"/>
        <v>56.308633920000005</v>
      </c>
      <c r="BV294" s="80">
        <f>BV64-BV66</f>
        <v>60.25023829440002</v>
      </c>
      <c r="BW294" s="80">
        <f>BW64-BW66</f>
        <v>63.262750209120043</v>
      </c>
      <c r="BX294" s="80">
        <f>BX64-BX66</f>
        <v>66.425887719576025</v>
      </c>
      <c r="BY294" s="80">
        <f>BY64-BY66</f>
        <v>69.747182105554884</v>
      </c>
      <c r="BZ294" s="80">
        <f>BZ64-BZ66</f>
        <v>73.234541210832646</v>
      </c>
      <c r="CG294" s="1776"/>
      <c r="CH294" s="1776"/>
      <c r="CI294" s="1776"/>
    </row>
    <row r="295" spans="1:96" ht="11.25" customHeight="1" outlineLevel="1">
      <c r="I295" s="1" t="s">
        <v>324</v>
      </c>
      <c r="M295" s="101">
        <v>0.4</v>
      </c>
      <c r="N295" s="101">
        <v>0.4</v>
      </c>
      <c r="O295" s="101">
        <v>0.4</v>
      </c>
      <c r="P295" s="101">
        <v>0.4</v>
      </c>
      <c r="Q295" s="101">
        <v>0.4</v>
      </c>
      <c r="R295" s="101">
        <v>0.4</v>
      </c>
      <c r="S295" s="101">
        <v>0.4</v>
      </c>
      <c r="T295" s="101">
        <v>0.4</v>
      </c>
      <c r="U295" s="101">
        <v>0.4</v>
      </c>
      <c r="V295" s="101">
        <v>0.4</v>
      </c>
      <c r="W295" s="101">
        <v>0.4</v>
      </c>
      <c r="X295" s="101">
        <v>0.4</v>
      </c>
      <c r="Y295" s="101">
        <v>0.4</v>
      </c>
      <c r="Z295" s="101">
        <v>0.4</v>
      </c>
      <c r="AA295" s="101">
        <v>0.4</v>
      </c>
      <c r="AB295" s="101">
        <v>0.4</v>
      </c>
      <c r="AC295" s="101">
        <v>0.4</v>
      </c>
      <c r="AD295" s="101">
        <v>0.4</v>
      </c>
      <c r="AE295" s="101">
        <v>0.4</v>
      </c>
      <c r="AF295" s="101">
        <v>0.4</v>
      </c>
      <c r="AG295" s="101">
        <v>0.4</v>
      </c>
      <c r="AH295" s="101">
        <v>0.4</v>
      </c>
      <c r="AI295" s="101">
        <v>0.4</v>
      </c>
      <c r="AJ295" s="101">
        <v>0.4</v>
      </c>
      <c r="AK295" s="101">
        <v>0.4</v>
      </c>
      <c r="AL295" s="1372">
        <v>0.4</v>
      </c>
      <c r="AM295" s="101">
        <v>0.4</v>
      </c>
      <c r="AN295" s="2617">
        <v>0.4</v>
      </c>
      <c r="AO295" s="101">
        <v>0.4</v>
      </c>
      <c r="AP295" s="101"/>
      <c r="AQ295" s="101"/>
      <c r="AR295" s="101"/>
      <c r="AS295" s="101"/>
      <c r="AT295" s="101"/>
      <c r="AU295" s="101"/>
      <c r="AV295" s="101"/>
      <c r="AW295" s="101"/>
      <c r="AX295" s="101"/>
      <c r="AY295" s="101"/>
      <c r="AZ295" s="101"/>
      <c r="BA295" s="101"/>
      <c r="BB295" s="101"/>
      <c r="BC295" s="101"/>
      <c r="BD295" s="101"/>
      <c r="BG295" s="101">
        <v>0.4</v>
      </c>
      <c r="BH295" s="101">
        <v>0.4</v>
      </c>
      <c r="BI295" s="101">
        <v>0.4</v>
      </c>
      <c r="BJ295" s="101">
        <v>0.4</v>
      </c>
      <c r="BK295" s="101">
        <v>0.4</v>
      </c>
      <c r="BL295" s="101">
        <v>0.4</v>
      </c>
      <c r="BM295" s="101">
        <v>0.4</v>
      </c>
      <c r="BN295" s="1372">
        <v>0.4</v>
      </c>
      <c r="BO295" s="1372">
        <v>0.4</v>
      </c>
      <c r="BP295" s="241">
        <f t="shared" ref="BP295:BU295" si="594">BP65</f>
        <v>0.24686832340042622</v>
      </c>
      <c r="BQ295" s="241">
        <f t="shared" si="594"/>
        <v>0.40000000000000013</v>
      </c>
      <c r="BR295" s="241">
        <f t="shared" si="594"/>
        <v>0.3999999999999998</v>
      </c>
      <c r="BS295" s="241">
        <f t="shared" si="594"/>
        <v>0.40000000000000019</v>
      </c>
      <c r="BT295" s="241">
        <f t="shared" si="594"/>
        <v>0.39999999999999997</v>
      </c>
      <c r="BU295" s="241">
        <f t="shared" si="594"/>
        <v>0.40000000000000024</v>
      </c>
      <c r="BV295" s="241">
        <f>BV65</f>
        <v>0.40000000000000024</v>
      </c>
      <c r="BW295" s="241">
        <f>BW65</f>
        <v>0.40000000000000024</v>
      </c>
      <c r="BX295" s="241">
        <f>BX65</f>
        <v>0.40000000000000024</v>
      </c>
      <c r="BY295" s="241">
        <f>BY65</f>
        <v>0.40000000000000024</v>
      </c>
      <c r="BZ295" s="241">
        <f>BZ65</f>
        <v>0.40000000000000024</v>
      </c>
    </row>
  </sheetData>
  <mergeCells count="9">
    <mergeCell ref="AS7:AV7"/>
    <mergeCell ref="AS147:AV147"/>
    <mergeCell ref="AS195:AV195"/>
    <mergeCell ref="BA7:BD7"/>
    <mergeCell ref="BA147:BD147"/>
    <mergeCell ref="BA195:BD195"/>
    <mergeCell ref="AW7:AZ7"/>
    <mergeCell ref="AW147:AZ147"/>
    <mergeCell ref="AW195:AZ195"/>
  </mergeCells>
  <phoneticPr fontId="2" type="noConversion"/>
  <pageMargins left="0" right="0" top="0" bottom="0" header="0" footer="0"/>
  <pageSetup paperSize="5" scale="19" orientation="landscape" r:id="rId1"/>
  <headerFooter alignWithMargins="0"/>
  <ignoredErrors>
    <ignoredError sqref="BP221:BP236 BK102:BP102 BL103:BO103 BJ68" formulaRange="1"/>
    <ignoredError sqref="BK65:BQ67" formula="1"/>
    <ignoredError sqref="BK68:BQ68" formula="1" formulaRange="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pageSetUpPr fitToPage="1"/>
  </sheetPr>
  <dimension ref="A1:CU672"/>
  <sheetViews>
    <sheetView showGridLines="0" zoomScale="85" zoomScaleNormal="85" zoomScaleSheetLayoutView="55" workbookViewId="0">
      <pane xSplit="12" ySplit="8" topLeftCell="AH78" activePane="bottomRight" state="frozen"/>
      <selection pane="topRight" activeCell="M1" sqref="M1"/>
      <selection pane="bottomLeft" activeCell="A9" sqref="A9"/>
      <selection pane="bottomRight" activeCell="AR102" sqref="AR102"/>
    </sheetView>
  </sheetViews>
  <sheetFormatPr defaultRowHeight="11.25" customHeight="1" outlineLevelRow="3" outlineLevelCol="1"/>
  <cols>
    <col min="1" max="1" width="1.7109375" style="40" customWidth="1"/>
    <col min="2" max="7" width="8.7109375" style="40" hidden="1" customWidth="1" outlineLevel="1"/>
    <col min="8" max="8" width="1.7109375" style="42" customWidth="1" collapsed="1"/>
    <col min="9" max="11" width="10.85546875" style="40" customWidth="1"/>
    <col min="12" max="12" width="10.5703125" style="40" customWidth="1"/>
    <col min="13" max="16" width="9.28515625" style="40" customWidth="1" outlineLevel="1"/>
    <col min="17" max="17" width="9.28515625" style="40" customWidth="1" outlineLevel="1" collapsed="1"/>
    <col min="18" max="28" width="9.28515625" style="40" customWidth="1" outlineLevel="1"/>
    <col min="29" max="29" width="9.28515625" style="40" customWidth="1" outlineLevel="1" collapsed="1"/>
    <col min="30" max="32" width="9.28515625" style="40" customWidth="1" outlineLevel="1"/>
    <col min="33" max="37" width="9.28515625" style="40" customWidth="1"/>
    <col min="38" max="38" width="9.28515625" style="106" customWidth="1"/>
    <col min="39" max="48" width="9.28515625" style="40" customWidth="1"/>
    <col min="49" max="56" width="9.28515625" style="40" hidden="1" customWidth="1" outlineLevel="1"/>
    <col min="57" max="57" width="4.42578125" style="42" customWidth="1" collapsed="1"/>
    <col min="58" max="60" width="9.140625" style="40" hidden="1" customWidth="1" outlineLevel="1"/>
    <col min="61" max="64" width="9.28515625" style="40" hidden="1" customWidth="1" outlineLevel="1"/>
    <col min="65" max="65" width="9.28515625" style="106" hidden="1" customWidth="1" outlineLevel="1" collapsed="1"/>
    <col min="66" max="66" width="9.28515625" style="40" customWidth="1" collapsed="1"/>
    <col min="67" max="67" width="10.140625" style="106" bestFit="1" customWidth="1"/>
    <col min="68" max="72" width="9.28515625" style="40" customWidth="1"/>
    <col min="73" max="73" width="9.28515625" style="106" customWidth="1" outlineLevel="1"/>
    <col min="74" max="77" width="9.28515625" style="40" customWidth="1" outlineLevel="1"/>
    <col min="78" max="78" width="9.28515625" style="83" customWidth="1"/>
    <col min="79" max="80" width="10.5703125" style="40" bestFit="1" customWidth="1"/>
    <col min="81" max="81" width="9.140625" style="40"/>
    <col min="82" max="82" width="9.7109375" style="40" bestFit="1" customWidth="1"/>
    <col min="83" max="90" width="9.140625" style="40"/>
    <col min="91" max="91" width="11.7109375" style="40" customWidth="1"/>
    <col min="92" max="92" width="9.140625" style="40"/>
    <col min="93" max="93" width="10" style="40" bestFit="1" customWidth="1"/>
    <col min="94" max="16384" width="9.140625" style="40"/>
  </cols>
  <sheetData>
    <row r="1" spans="1:85" ht="11.25" customHeight="1">
      <c r="A1" s="36"/>
      <c r="B1" s="36"/>
      <c r="C1" s="36"/>
      <c r="D1" s="36"/>
      <c r="E1" s="36"/>
      <c r="F1" s="36"/>
      <c r="G1" s="36"/>
      <c r="I1" s="48">
        <f>DCF!L1</f>
        <v>40</v>
      </c>
      <c r="J1" s="49">
        <v>35</v>
      </c>
      <c r="K1" s="185"/>
      <c r="M1" s="103"/>
      <c r="N1" s="8"/>
      <c r="O1" s="8"/>
      <c r="P1" s="8"/>
      <c r="Q1" s="8"/>
      <c r="R1" s="8"/>
      <c r="S1" s="8"/>
      <c r="T1" s="183"/>
      <c r="U1" s="8"/>
      <c r="V1" s="8"/>
      <c r="W1" s="8"/>
      <c r="X1" s="8"/>
      <c r="Y1" s="8"/>
      <c r="Z1" s="8"/>
      <c r="AA1" s="8"/>
      <c r="AB1" s="254"/>
      <c r="AC1" s="8"/>
      <c r="AD1" s="8"/>
      <c r="AE1" s="8"/>
      <c r="AF1" s="254"/>
      <c r="AH1" s="1715"/>
      <c r="AI1" s="2266"/>
      <c r="AJ1" s="254"/>
      <c r="AK1" s="254"/>
      <c r="AL1" s="2284"/>
      <c r="AM1" s="254"/>
      <c r="AN1" s="254"/>
      <c r="AO1" s="254"/>
      <c r="AP1" s="254"/>
      <c r="AQ1" s="254"/>
      <c r="AR1" s="254"/>
      <c r="AS1" s="254"/>
      <c r="AT1" s="254"/>
      <c r="AU1" s="254"/>
      <c r="AV1" s="254"/>
      <c r="AW1" s="254"/>
      <c r="AX1" s="254"/>
      <c r="AY1" s="254"/>
      <c r="AZ1" s="254"/>
      <c r="BA1" s="254"/>
      <c r="BB1" s="254"/>
      <c r="BC1" s="254"/>
      <c r="BD1" s="254"/>
      <c r="BE1" s="1191"/>
      <c r="BF1" s="8"/>
      <c r="BG1" s="8"/>
      <c r="BH1" s="8"/>
      <c r="BI1" s="8"/>
      <c r="BJ1" s="8"/>
      <c r="BK1" s="8"/>
      <c r="BL1" s="8"/>
      <c r="BM1" s="1219"/>
      <c r="BN1" s="8"/>
      <c r="BO1" s="428"/>
      <c r="BP1" s="428"/>
      <c r="BQ1" s="8"/>
      <c r="BR1" s="8"/>
      <c r="BS1" s="8"/>
      <c r="BT1" s="8"/>
      <c r="BU1" s="1219"/>
      <c r="BV1" s="8"/>
      <c r="BW1" s="8"/>
      <c r="BX1" s="8"/>
      <c r="BY1" s="8"/>
      <c r="BZ1" s="272"/>
      <c r="CA1" s="36"/>
      <c r="CB1" s="36"/>
      <c r="CC1" s="36"/>
      <c r="CD1" s="36"/>
      <c r="CE1" s="36"/>
      <c r="CF1" s="36"/>
      <c r="CG1" s="36"/>
    </row>
    <row r="2" spans="1:85" ht="11.25" customHeight="1">
      <c r="A2" s="36"/>
      <c r="B2" s="36"/>
      <c r="C2" s="36"/>
      <c r="D2" s="36"/>
      <c r="E2" s="36"/>
      <c r="F2" s="36"/>
      <c r="G2" s="36"/>
      <c r="I2" s="49"/>
      <c r="J2" s="49"/>
      <c r="K2" s="1"/>
      <c r="L2" s="1"/>
      <c r="M2" s="8"/>
      <c r="N2" s="8"/>
      <c r="O2" s="8"/>
      <c r="P2" s="8"/>
      <c r="Q2" s="8"/>
      <c r="R2" s="8"/>
      <c r="S2" s="8"/>
      <c r="T2" s="8"/>
      <c r="U2" s="8"/>
      <c r="V2" s="8"/>
      <c r="W2" s="8"/>
      <c r="X2" s="8"/>
      <c r="Y2" s="8"/>
      <c r="Z2" s="8"/>
      <c r="AA2" s="8"/>
      <c r="AB2" s="93"/>
      <c r="AC2" s="8"/>
      <c r="AD2" s="1162"/>
      <c r="AE2" s="8"/>
      <c r="AF2" s="93"/>
      <c r="AG2" s="254"/>
      <c r="AH2" s="1763"/>
      <c r="AI2" s="1763"/>
      <c r="AK2" s="93"/>
      <c r="AL2" s="2285"/>
      <c r="AM2" s="93"/>
      <c r="AN2" s="93"/>
      <c r="AO2" s="1794"/>
      <c r="AP2" s="1892"/>
      <c r="AQ2" s="1892"/>
      <c r="AR2" s="2867"/>
      <c r="AS2" s="2866"/>
      <c r="AT2" s="1892"/>
      <c r="AU2" s="1892"/>
      <c r="AV2" s="1892"/>
      <c r="AW2" s="1794"/>
      <c r="AX2" s="2841"/>
      <c r="AY2" s="2841"/>
      <c r="AZ2" s="93"/>
      <c r="BA2" s="1794"/>
      <c r="BB2" s="93"/>
      <c r="BC2" s="93"/>
      <c r="BD2" s="93"/>
      <c r="BE2" s="36"/>
      <c r="BF2" s="8"/>
      <c r="BG2" s="8"/>
      <c r="BH2" s="8"/>
      <c r="BI2" s="36"/>
      <c r="BJ2" s="8"/>
      <c r="BK2" s="8"/>
      <c r="BL2" s="8"/>
      <c r="BM2" s="1219"/>
      <c r="BN2" s="1219"/>
      <c r="BO2" s="68"/>
      <c r="BP2" s="68"/>
      <c r="BQ2" s="2866"/>
      <c r="BR2" s="2866"/>
      <c r="BS2" s="242"/>
      <c r="BT2" s="8"/>
      <c r="BU2" s="1219"/>
      <c r="BV2" s="8"/>
      <c r="BW2" s="8"/>
      <c r="BX2" s="8"/>
      <c r="BY2" s="8"/>
      <c r="BZ2" s="272"/>
      <c r="CA2" s="36"/>
      <c r="CB2" s="36"/>
      <c r="CC2" s="36"/>
      <c r="CD2" s="36"/>
      <c r="CE2" s="36"/>
      <c r="CF2" s="36"/>
      <c r="CG2" s="36"/>
    </row>
    <row r="3" spans="1:85" ht="11.25" customHeight="1">
      <c r="A3" s="36"/>
      <c r="B3" s="36"/>
      <c r="C3" s="36"/>
      <c r="D3" s="36"/>
      <c r="E3" s="36"/>
      <c r="F3" s="36"/>
      <c r="G3" s="36"/>
      <c r="I3" s="49"/>
      <c r="J3" s="49"/>
      <c r="K3" s="1"/>
      <c r="L3" s="1"/>
      <c r="M3" s="8"/>
      <c r="N3" s="8"/>
      <c r="O3" s="8"/>
      <c r="P3" s="8"/>
      <c r="Q3" s="8"/>
      <c r="R3" s="8"/>
      <c r="S3" s="8"/>
      <c r="T3" s="8"/>
      <c r="U3" s="8"/>
      <c r="V3" s="8"/>
      <c r="W3" s="8"/>
      <c r="X3" s="8"/>
      <c r="Y3" s="8"/>
      <c r="Z3" s="8"/>
      <c r="AA3" s="8"/>
      <c r="AB3" s="93"/>
      <c r="AC3" s="8"/>
      <c r="AD3" s="8"/>
      <c r="AE3" s="8"/>
      <c r="AF3" s="93"/>
      <c r="AJ3" s="1518"/>
      <c r="AK3" s="93"/>
      <c r="AL3" s="2285"/>
      <c r="AM3" s="93"/>
      <c r="AN3" s="93"/>
      <c r="AO3" s="1795"/>
      <c r="AP3" s="2644"/>
      <c r="AQ3"/>
      <c r="AR3" s="93"/>
      <c r="AS3" s="1795"/>
      <c r="AT3" s="93"/>
      <c r="AU3"/>
      <c r="AV3" s="93"/>
      <c r="AW3" s="1795"/>
      <c r="AX3" s="93"/>
      <c r="AY3"/>
      <c r="AZ3" s="93"/>
      <c r="BA3" s="1795"/>
      <c r="BB3" s="93"/>
      <c r="BC3"/>
      <c r="BD3" s="93"/>
      <c r="BE3" s="36"/>
      <c r="BF3" s="210"/>
      <c r="BG3" s="210"/>
      <c r="BH3" s="210"/>
      <c r="BI3" s="210"/>
      <c r="BJ3" s="210"/>
      <c r="BK3" s="210"/>
      <c r="BL3" s="210"/>
      <c r="BM3" s="210"/>
      <c r="BN3" s="1882"/>
      <c r="BO3" s="1795"/>
      <c r="BP3" s="68"/>
      <c r="BR3" s="1795"/>
      <c r="BS3" s="242"/>
      <c r="BT3" s="8"/>
      <c r="BU3" s="1219"/>
      <c r="BV3" s="8"/>
      <c r="BW3" s="8"/>
      <c r="BX3" s="8"/>
      <c r="BY3" s="8"/>
      <c r="BZ3" s="272"/>
      <c r="CA3" s="36"/>
      <c r="CB3" s="36"/>
      <c r="CC3" s="36"/>
      <c r="CD3" s="36"/>
      <c r="CE3" s="36"/>
      <c r="CF3" s="36"/>
      <c r="CG3" s="36"/>
    </row>
    <row r="4" spans="1:85" ht="11.25" customHeight="1">
      <c r="A4" s="36"/>
      <c r="B4" s="36"/>
      <c r="C4" s="36"/>
      <c r="D4" s="36"/>
      <c r="E4" s="36"/>
      <c r="F4" s="36"/>
      <c r="G4" s="36"/>
      <c r="I4" s="49"/>
      <c r="J4" s="49"/>
      <c r="K4" s="1"/>
      <c r="L4" s="1"/>
      <c r="M4" s="8"/>
      <c r="N4" s="8"/>
      <c r="O4" s="8"/>
      <c r="P4" s="8"/>
      <c r="Q4" s="8"/>
      <c r="R4" s="8"/>
      <c r="S4" s="8"/>
      <c r="T4" s="8"/>
      <c r="U4" s="8"/>
      <c r="V4" s="8"/>
      <c r="W4" s="8"/>
      <c r="X4" s="8"/>
      <c r="Y4" s="8"/>
      <c r="Z4" s="8"/>
      <c r="AA4" s="8"/>
      <c r="AB4" s="8"/>
      <c r="AC4" s="8"/>
      <c r="AD4" s="8"/>
      <c r="AE4" s="8"/>
      <c r="AF4" s="8"/>
      <c r="AK4" s="8"/>
      <c r="AL4" s="1219"/>
      <c r="AM4" s="8"/>
      <c r="AN4" s="8"/>
      <c r="AO4" s="8"/>
      <c r="AP4" s="8"/>
      <c r="AQ4" s="8"/>
      <c r="AR4" s="8"/>
      <c r="AS4" s="8"/>
      <c r="AT4" s="8"/>
      <c r="AU4" s="8"/>
      <c r="AV4" s="8"/>
      <c r="AW4" s="8"/>
      <c r="AX4" s="8"/>
      <c r="AY4" s="8"/>
      <c r="AZ4" s="8"/>
      <c r="BA4" s="8"/>
      <c r="BB4" s="8"/>
      <c r="BC4" s="8"/>
      <c r="BD4" s="8"/>
      <c r="BE4" s="1192"/>
      <c r="BF4" s="8"/>
      <c r="BG4" s="8"/>
      <c r="BH4" s="8"/>
      <c r="BI4" s="8"/>
      <c r="BJ4" s="8"/>
      <c r="BK4" s="8"/>
      <c r="BL4" s="8"/>
      <c r="BM4" s="1219"/>
      <c r="BN4" s="8"/>
      <c r="BO4" s="428"/>
      <c r="BP4" s="428"/>
      <c r="BQ4" s="8"/>
      <c r="BR4" s="8"/>
      <c r="BS4" s="8"/>
      <c r="BT4" s="8"/>
      <c r="BU4" s="1219"/>
      <c r="BV4" s="8"/>
      <c r="BW4" s="8"/>
      <c r="BX4" s="8"/>
      <c r="BY4" s="8"/>
      <c r="BZ4" s="272"/>
      <c r="CA4" s="36"/>
      <c r="CB4" s="36"/>
      <c r="CC4" s="36"/>
      <c r="CD4" s="36"/>
      <c r="CE4" s="36"/>
      <c r="CF4" s="36"/>
      <c r="CG4" s="36"/>
    </row>
    <row r="5" spans="1:85" ht="11.25" hidden="1" customHeight="1" outlineLevel="1">
      <c r="A5" s="56"/>
      <c r="B5" s="56"/>
      <c r="C5" s="56"/>
      <c r="D5" s="56"/>
      <c r="E5" s="56"/>
      <c r="F5" s="56"/>
      <c r="G5" s="56"/>
      <c r="I5" s="6"/>
      <c r="J5" s="6"/>
      <c r="K5" s="6"/>
      <c r="L5" s="6"/>
      <c r="M5" s="7" t="str">
        <f t="shared" ref="M5:BD5" si="0">+YEAR(M$6)&amp;"-Q"&amp;M8</f>
        <v>2010-Q1</v>
      </c>
      <c r="N5" s="7" t="str">
        <f t="shared" si="0"/>
        <v>2010-Q2</v>
      </c>
      <c r="O5" s="7" t="str">
        <f t="shared" si="0"/>
        <v>2010-Q3</v>
      </c>
      <c r="P5" s="7" t="str">
        <f t="shared" si="0"/>
        <v>2010-Q4</v>
      </c>
      <c r="Q5" s="7" t="str">
        <f t="shared" si="0"/>
        <v>2011-Q1</v>
      </c>
      <c r="R5" s="7" t="str">
        <f t="shared" si="0"/>
        <v>2011-Q2</v>
      </c>
      <c r="S5" s="7" t="str">
        <f t="shared" si="0"/>
        <v>2011-Q3</v>
      </c>
      <c r="T5" s="7" t="str">
        <f t="shared" si="0"/>
        <v>2011-Q4</v>
      </c>
      <c r="U5" s="7" t="str">
        <f t="shared" si="0"/>
        <v>2012-Q1</v>
      </c>
      <c r="V5" s="7" t="str">
        <f t="shared" si="0"/>
        <v>2012-Q2</v>
      </c>
      <c r="W5" s="7" t="str">
        <f t="shared" si="0"/>
        <v>2012-Q3</v>
      </c>
      <c r="X5" s="7" t="str">
        <f t="shared" si="0"/>
        <v>2012-Q4</v>
      </c>
      <c r="Y5" s="7" t="str">
        <f t="shared" si="0"/>
        <v>2013-Q1</v>
      </c>
      <c r="Z5" s="7" t="str">
        <f t="shared" si="0"/>
        <v>2013-Q2</v>
      </c>
      <c r="AA5" s="7" t="str">
        <f t="shared" si="0"/>
        <v>2013-Q3</v>
      </c>
      <c r="AB5" s="7" t="str">
        <f t="shared" si="0"/>
        <v>2013-Q4</v>
      </c>
      <c r="AC5" s="7" t="str">
        <f t="shared" si="0"/>
        <v>2014-Q1</v>
      </c>
      <c r="AD5" s="7" t="str">
        <f t="shared" si="0"/>
        <v>2014-Q2</v>
      </c>
      <c r="AE5" s="7" t="str">
        <f t="shared" si="0"/>
        <v>2014-Q3</v>
      </c>
      <c r="AF5" s="7" t="str">
        <f t="shared" si="0"/>
        <v>2014-Q4</v>
      </c>
      <c r="AG5" s="7" t="str">
        <f t="shared" si="0"/>
        <v>2015-Q1</v>
      </c>
      <c r="AH5" s="7" t="str">
        <f t="shared" si="0"/>
        <v>2015-Q2</v>
      </c>
      <c r="AI5" s="7" t="str">
        <f t="shared" si="0"/>
        <v>2015-Q3</v>
      </c>
      <c r="AJ5" s="7" t="str">
        <f t="shared" si="0"/>
        <v>2015-Q4</v>
      </c>
      <c r="AK5" s="7" t="str">
        <f t="shared" si="0"/>
        <v>2016-Q1</v>
      </c>
      <c r="AL5" s="1220" t="str">
        <f t="shared" si="0"/>
        <v>2016-Q2</v>
      </c>
      <c r="AM5" s="7" t="str">
        <f t="shared" si="0"/>
        <v>2016-Q3</v>
      </c>
      <c r="AN5" s="7" t="str">
        <f t="shared" si="0"/>
        <v>2016-Q4</v>
      </c>
      <c r="AO5" s="7" t="str">
        <f t="shared" si="0"/>
        <v>2017-Q1</v>
      </c>
      <c r="AP5" s="7" t="str">
        <f t="shared" si="0"/>
        <v>2017-Q2</v>
      </c>
      <c r="AQ5" s="7" t="str">
        <f t="shared" si="0"/>
        <v>2017-Q3</v>
      </c>
      <c r="AR5" s="7" t="str">
        <f t="shared" si="0"/>
        <v>2017-Q4</v>
      </c>
      <c r="AS5" s="7" t="str">
        <f t="shared" si="0"/>
        <v>2018-Q1</v>
      </c>
      <c r="AT5" s="7" t="str">
        <f t="shared" si="0"/>
        <v>2018-Q2</v>
      </c>
      <c r="AU5" s="7" t="str">
        <f t="shared" si="0"/>
        <v>2018-Q3</v>
      </c>
      <c r="AV5" s="7" t="str">
        <f t="shared" si="0"/>
        <v>2018-Q4</v>
      </c>
      <c r="AW5" s="7" t="str">
        <f t="shared" si="0"/>
        <v>2019-Q1</v>
      </c>
      <c r="AX5" s="7" t="str">
        <f t="shared" si="0"/>
        <v>2019-Q2</v>
      </c>
      <c r="AY5" s="7" t="str">
        <f t="shared" si="0"/>
        <v>2019-Q3</v>
      </c>
      <c r="AZ5" s="7" t="str">
        <f t="shared" si="0"/>
        <v>2019-Q4</v>
      </c>
      <c r="BA5" s="7" t="str">
        <f t="shared" si="0"/>
        <v>2020-Q1</v>
      </c>
      <c r="BB5" s="7" t="str">
        <f t="shared" si="0"/>
        <v>2020-Q2</v>
      </c>
      <c r="BC5" s="7" t="str">
        <f t="shared" si="0"/>
        <v>2020-Q3</v>
      </c>
      <c r="BD5" s="7" t="str">
        <f t="shared" si="0"/>
        <v>2020-Q4</v>
      </c>
      <c r="BE5" s="1193"/>
      <c r="BF5" s="7" t="str">
        <f t="shared" ref="BF5:BY5" si="1">+YEAR(BF$8)&amp;"-FY"</f>
        <v>2006-FY</v>
      </c>
      <c r="BG5" s="7" t="str">
        <f t="shared" si="1"/>
        <v>2007-FY</v>
      </c>
      <c r="BH5" s="7" t="str">
        <f t="shared" si="1"/>
        <v>2008-FY</v>
      </c>
      <c r="BI5" s="7" t="str">
        <f t="shared" si="1"/>
        <v>2009-FY</v>
      </c>
      <c r="BJ5" s="7" t="str">
        <f t="shared" si="1"/>
        <v>2010-FY</v>
      </c>
      <c r="BK5" s="7" t="str">
        <f t="shared" si="1"/>
        <v>2011-FY</v>
      </c>
      <c r="BL5" s="7" t="str">
        <f t="shared" si="1"/>
        <v>2012-FY</v>
      </c>
      <c r="BM5" s="1220" t="str">
        <f t="shared" si="1"/>
        <v>2013-FY</v>
      </c>
      <c r="BN5" s="7" t="str">
        <f t="shared" si="1"/>
        <v>2014-FY</v>
      </c>
      <c r="BO5" s="1220" t="str">
        <f t="shared" si="1"/>
        <v>2015-FY</v>
      </c>
      <c r="BP5" s="7" t="str">
        <f t="shared" si="1"/>
        <v>2016-FY</v>
      </c>
      <c r="BQ5" s="7" t="str">
        <f t="shared" si="1"/>
        <v>2017-FY</v>
      </c>
      <c r="BR5" s="7" t="str">
        <f t="shared" si="1"/>
        <v>2018-FY</v>
      </c>
      <c r="BS5" s="7" t="str">
        <f t="shared" si="1"/>
        <v>2019-FY</v>
      </c>
      <c r="BT5" s="7" t="str">
        <f t="shared" si="1"/>
        <v>2020-FY</v>
      </c>
      <c r="BU5" s="1220" t="str">
        <f t="shared" si="1"/>
        <v>2021-FY</v>
      </c>
      <c r="BV5" s="7" t="str">
        <f t="shared" si="1"/>
        <v>2022-FY</v>
      </c>
      <c r="BW5" s="7" t="str">
        <f t="shared" si="1"/>
        <v>2023-FY</v>
      </c>
      <c r="BX5" s="7" t="str">
        <f t="shared" si="1"/>
        <v>2024-FY</v>
      </c>
      <c r="BY5" s="7" t="str">
        <f t="shared" si="1"/>
        <v>2025-FY</v>
      </c>
      <c r="BZ5" s="56"/>
      <c r="CA5" s="56"/>
      <c r="CB5" s="56"/>
      <c r="CC5" s="56"/>
      <c r="CD5" s="56"/>
      <c r="CE5" s="56"/>
      <c r="CF5" s="56"/>
      <c r="CG5" s="56"/>
    </row>
    <row r="6" spans="1:85" ht="11.25" hidden="1" customHeight="1" outlineLevel="1">
      <c r="A6" s="56"/>
      <c r="B6" s="56"/>
      <c r="C6" s="56"/>
      <c r="D6" s="56"/>
      <c r="E6" s="56"/>
      <c r="F6" s="56"/>
      <c r="G6" s="56"/>
      <c r="I6" s="6" t="s">
        <v>108</v>
      </c>
      <c r="J6" s="6"/>
      <c r="K6" s="6"/>
      <c r="L6" s="6"/>
      <c r="M6" s="45">
        <v>40268</v>
      </c>
      <c r="N6" s="45">
        <f t="shared" ref="N6:BD6" si="2">+EOMONTH(M6,3)</f>
        <v>40359</v>
      </c>
      <c r="O6" s="45">
        <f t="shared" si="2"/>
        <v>40451</v>
      </c>
      <c r="P6" s="45">
        <f t="shared" si="2"/>
        <v>40543</v>
      </c>
      <c r="Q6" s="45">
        <f t="shared" si="2"/>
        <v>40633</v>
      </c>
      <c r="R6" s="45">
        <f t="shared" si="2"/>
        <v>40724</v>
      </c>
      <c r="S6" s="45">
        <f t="shared" si="2"/>
        <v>40816</v>
      </c>
      <c r="T6" s="45">
        <f t="shared" si="2"/>
        <v>40908</v>
      </c>
      <c r="U6" s="45">
        <f t="shared" si="2"/>
        <v>40999</v>
      </c>
      <c r="V6" s="45">
        <f t="shared" si="2"/>
        <v>41090</v>
      </c>
      <c r="W6" s="45">
        <f t="shared" si="2"/>
        <v>41182</v>
      </c>
      <c r="X6" s="45">
        <f t="shared" si="2"/>
        <v>41274</v>
      </c>
      <c r="Y6" s="45">
        <f t="shared" si="2"/>
        <v>41364</v>
      </c>
      <c r="Z6" s="45">
        <f t="shared" si="2"/>
        <v>41455</v>
      </c>
      <c r="AA6" s="45">
        <f t="shared" si="2"/>
        <v>41547</v>
      </c>
      <c r="AB6" s="45">
        <f t="shared" si="2"/>
        <v>41639</v>
      </c>
      <c r="AC6" s="45">
        <f t="shared" si="2"/>
        <v>41729</v>
      </c>
      <c r="AD6" s="45">
        <f t="shared" si="2"/>
        <v>41820</v>
      </c>
      <c r="AE6" s="45">
        <f t="shared" si="2"/>
        <v>41912</v>
      </c>
      <c r="AF6" s="45">
        <f t="shared" si="2"/>
        <v>42004</v>
      </c>
      <c r="AG6" s="45">
        <f t="shared" si="2"/>
        <v>42094</v>
      </c>
      <c r="AH6" s="45">
        <f t="shared" si="2"/>
        <v>42185</v>
      </c>
      <c r="AI6" s="45">
        <f t="shared" si="2"/>
        <v>42277</v>
      </c>
      <c r="AJ6" s="45">
        <f t="shared" si="2"/>
        <v>42369</v>
      </c>
      <c r="AK6" s="45">
        <f t="shared" si="2"/>
        <v>42460</v>
      </c>
      <c r="AL6" s="2286">
        <f t="shared" si="2"/>
        <v>42551</v>
      </c>
      <c r="AM6" s="45">
        <f t="shared" si="2"/>
        <v>42643</v>
      </c>
      <c r="AN6" s="45">
        <f t="shared" si="2"/>
        <v>42735</v>
      </c>
      <c r="AO6" s="45">
        <f t="shared" si="2"/>
        <v>42825</v>
      </c>
      <c r="AP6" s="45">
        <f t="shared" si="2"/>
        <v>42916</v>
      </c>
      <c r="AQ6" s="45">
        <f t="shared" si="2"/>
        <v>43008</v>
      </c>
      <c r="AR6" s="45">
        <f t="shared" si="2"/>
        <v>43100</v>
      </c>
      <c r="AS6" s="45">
        <f t="shared" si="2"/>
        <v>43190</v>
      </c>
      <c r="AT6" s="45">
        <f t="shared" si="2"/>
        <v>43281</v>
      </c>
      <c r="AU6" s="45">
        <f t="shared" si="2"/>
        <v>43373</v>
      </c>
      <c r="AV6" s="45">
        <f t="shared" si="2"/>
        <v>43465</v>
      </c>
      <c r="AW6" s="45">
        <f t="shared" si="2"/>
        <v>43555</v>
      </c>
      <c r="AX6" s="45">
        <f t="shared" si="2"/>
        <v>43646</v>
      </c>
      <c r="AY6" s="45">
        <f t="shared" si="2"/>
        <v>43738</v>
      </c>
      <c r="AZ6" s="45">
        <f t="shared" si="2"/>
        <v>43830</v>
      </c>
      <c r="BA6" s="45">
        <f t="shared" si="2"/>
        <v>43921</v>
      </c>
      <c r="BB6" s="45">
        <f t="shared" si="2"/>
        <v>44012</v>
      </c>
      <c r="BC6" s="45">
        <f t="shared" si="2"/>
        <v>44104</v>
      </c>
      <c r="BD6" s="45">
        <f t="shared" si="2"/>
        <v>44196</v>
      </c>
      <c r="BE6" s="1194"/>
      <c r="BF6" s="46">
        <v>39082</v>
      </c>
      <c r="BG6" s="46">
        <f t="shared" ref="BG6:BY6" si="3">+EOMONTH(BF6,12)</f>
        <v>39447</v>
      </c>
      <c r="BH6" s="46">
        <f t="shared" si="3"/>
        <v>39813</v>
      </c>
      <c r="BI6" s="46">
        <f t="shared" si="3"/>
        <v>40178</v>
      </c>
      <c r="BJ6" s="46">
        <f t="shared" si="3"/>
        <v>40543</v>
      </c>
      <c r="BK6" s="46">
        <f t="shared" si="3"/>
        <v>40908</v>
      </c>
      <c r="BL6" s="46">
        <f t="shared" si="3"/>
        <v>41274</v>
      </c>
      <c r="BM6" s="1221">
        <f t="shared" si="3"/>
        <v>41639</v>
      </c>
      <c r="BN6" s="46">
        <f t="shared" si="3"/>
        <v>42004</v>
      </c>
      <c r="BO6" s="1221">
        <f t="shared" si="3"/>
        <v>42369</v>
      </c>
      <c r="BP6" s="46">
        <f t="shared" si="3"/>
        <v>42735</v>
      </c>
      <c r="BQ6" s="46">
        <f t="shared" si="3"/>
        <v>43100</v>
      </c>
      <c r="BR6" s="46">
        <f t="shared" si="3"/>
        <v>43465</v>
      </c>
      <c r="BS6" s="46">
        <f t="shared" si="3"/>
        <v>43830</v>
      </c>
      <c r="BT6" s="46">
        <f t="shared" si="3"/>
        <v>44196</v>
      </c>
      <c r="BU6" s="1221">
        <f t="shared" si="3"/>
        <v>44561</v>
      </c>
      <c r="BV6" s="46">
        <f t="shared" si="3"/>
        <v>44926</v>
      </c>
      <c r="BW6" s="46">
        <f t="shared" si="3"/>
        <v>45291</v>
      </c>
      <c r="BX6" s="46">
        <f t="shared" si="3"/>
        <v>45657</v>
      </c>
      <c r="BY6" s="46">
        <f t="shared" si="3"/>
        <v>46022</v>
      </c>
      <c r="BZ6" s="56"/>
      <c r="CA6" s="56"/>
      <c r="CB6" s="56"/>
      <c r="CC6" s="56"/>
      <c r="CD6" s="56"/>
      <c r="CE6" s="56"/>
      <c r="CF6" s="56"/>
      <c r="CG6" s="56"/>
    </row>
    <row r="7" spans="1:85" ht="11.25" customHeight="1" collapsed="1">
      <c r="A7" s="36"/>
      <c r="B7" s="36"/>
      <c r="C7" s="36"/>
      <c r="D7" s="36"/>
      <c r="E7" s="36"/>
      <c r="F7" s="36"/>
      <c r="G7" s="36"/>
      <c r="H7" s="213"/>
      <c r="I7" s="741" t="s">
        <v>254</v>
      </c>
      <c r="J7" s="742"/>
      <c r="K7" s="742"/>
      <c r="L7" s="742"/>
      <c r="M7" s="298">
        <v>2010</v>
      </c>
      <c r="N7" s="299"/>
      <c r="O7" s="299"/>
      <c r="P7" s="300"/>
      <c r="Q7" s="298">
        <v>2011</v>
      </c>
      <c r="R7" s="299"/>
      <c r="S7" s="299"/>
      <c r="T7" s="299"/>
      <c r="U7" s="302">
        <v>2012</v>
      </c>
      <c r="V7" s="301"/>
      <c r="W7" s="301"/>
      <c r="X7" s="303"/>
      <c r="Y7" s="302">
        <v>2013</v>
      </c>
      <c r="Z7" s="301"/>
      <c r="AA7" s="301"/>
      <c r="AB7" s="301"/>
      <c r="AC7" s="302" t="s">
        <v>448</v>
      </c>
      <c r="AD7" s="301"/>
      <c r="AE7" s="301"/>
      <c r="AF7" s="303"/>
      <c r="AG7" s="302" t="s">
        <v>520</v>
      </c>
      <c r="AH7" s="301"/>
      <c r="AI7" s="301"/>
      <c r="AJ7" s="303"/>
      <c r="AK7" s="302" t="s">
        <v>501</v>
      </c>
      <c r="AL7" s="301"/>
      <c r="AM7" s="301"/>
      <c r="AN7" s="303"/>
      <c r="AO7" s="302" t="s">
        <v>517</v>
      </c>
      <c r="AP7" s="301"/>
      <c r="AQ7" s="301"/>
      <c r="AR7" s="303"/>
      <c r="AS7" s="2911" t="s">
        <v>203</v>
      </c>
      <c r="AT7" s="2912"/>
      <c r="AU7" s="2912"/>
      <c r="AV7" s="2913"/>
      <c r="AW7" s="2911" t="s">
        <v>204</v>
      </c>
      <c r="AX7" s="2912"/>
      <c r="AY7" s="2912"/>
      <c r="AZ7" s="2913"/>
      <c r="BA7" s="2911" t="s">
        <v>205</v>
      </c>
      <c r="BB7" s="2912"/>
      <c r="BC7" s="2912"/>
      <c r="BD7" s="2913"/>
      <c r="BE7" s="1195"/>
      <c r="BF7" s="723"/>
      <c r="BG7" s="724"/>
      <c r="BH7" s="724"/>
      <c r="BI7" s="724"/>
      <c r="BJ7" s="724"/>
      <c r="BK7" s="724"/>
      <c r="BL7" s="724"/>
      <c r="BM7" s="724"/>
      <c r="BN7" s="723"/>
      <c r="BO7" s="724"/>
      <c r="BP7" s="724"/>
      <c r="BQ7" s="724"/>
      <c r="BR7" s="724"/>
      <c r="BS7" s="724"/>
      <c r="BT7" s="724"/>
      <c r="BU7" s="724"/>
      <c r="BV7" s="724"/>
      <c r="BW7" s="724"/>
      <c r="BX7" s="724"/>
      <c r="BY7" s="725"/>
      <c r="BZ7" s="263"/>
      <c r="CA7" s="71" t="s">
        <v>135</v>
      </c>
      <c r="CB7" s="71"/>
      <c r="CC7" s="71"/>
      <c r="CD7" s="71"/>
      <c r="CE7" s="71"/>
      <c r="CF7" s="71"/>
      <c r="CG7" s="71"/>
    </row>
    <row r="8" spans="1:85" ht="11.25" customHeight="1" thickBot="1">
      <c r="A8" s="36"/>
      <c r="B8" s="36"/>
      <c r="C8" s="36"/>
      <c r="D8" s="36"/>
      <c r="E8" s="36"/>
      <c r="F8" s="36"/>
      <c r="G8" s="36"/>
      <c r="H8" s="213"/>
      <c r="I8" s="743" t="s">
        <v>83</v>
      </c>
      <c r="J8" s="51"/>
      <c r="K8" s="51"/>
      <c r="L8" s="51"/>
      <c r="M8" s="304">
        <v>1</v>
      </c>
      <c r="N8" s="305">
        <v>2</v>
      </c>
      <c r="O8" s="305">
        <v>3</v>
      </c>
      <c r="P8" s="306">
        <v>4</v>
      </c>
      <c r="Q8" s="304">
        <v>1</v>
      </c>
      <c r="R8" s="305">
        <v>2</v>
      </c>
      <c r="S8" s="305">
        <v>3</v>
      </c>
      <c r="T8" s="305">
        <v>4</v>
      </c>
      <c r="U8" s="304">
        <v>1</v>
      </c>
      <c r="V8" s="305">
        <v>2</v>
      </c>
      <c r="W8" s="305">
        <v>3</v>
      </c>
      <c r="X8" s="306">
        <v>4</v>
      </c>
      <c r="Y8" s="304">
        <v>1</v>
      </c>
      <c r="Z8" s="305">
        <v>2</v>
      </c>
      <c r="AA8" s="305">
        <v>3</v>
      </c>
      <c r="AB8" s="305">
        <v>4</v>
      </c>
      <c r="AC8" s="304">
        <v>1</v>
      </c>
      <c r="AD8" s="305">
        <v>2</v>
      </c>
      <c r="AE8" s="305">
        <v>3</v>
      </c>
      <c r="AF8" s="305">
        <v>4</v>
      </c>
      <c r="AG8" s="304">
        <v>1</v>
      </c>
      <c r="AH8" s="305">
        <v>2</v>
      </c>
      <c r="AI8" s="305">
        <v>3</v>
      </c>
      <c r="AJ8" s="305">
        <v>4</v>
      </c>
      <c r="AK8" s="304">
        <v>1</v>
      </c>
      <c r="AL8" s="305">
        <v>2</v>
      </c>
      <c r="AM8" s="305">
        <v>3</v>
      </c>
      <c r="AN8" s="305">
        <v>4</v>
      </c>
      <c r="AO8" s="304">
        <v>1</v>
      </c>
      <c r="AP8" s="305">
        <v>2</v>
      </c>
      <c r="AQ8" s="305">
        <v>3</v>
      </c>
      <c r="AR8" s="305">
        <v>4</v>
      </c>
      <c r="AS8" s="308">
        <v>1</v>
      </c>
      <c r="AT8" s="309">
        <v>2</v>
      </c>
      <c r="AU8" s="309">
        <v>3</v>
      </c>
      <c r="AV8" s="307">
        <v>4</v>
      </c>
      <c r="AW8" s="308">
        <v>1</v>
      </c>
      <c r="AX8" s="309">
        <v>2</v>
      </c>
      <c r="AY8" s="309">
        <v>3</v>
      </c>
      <c r="AZ8" s="307">
        <v>4</v>
      </c>
      <c r="BA8" s="308">
        <v>1</v>
      </c>
      <c r="BB8" s="309">
        <v>2</v>
      </c>
      <c r="BC8" s="309">
        <v>3</v>
      </c>
      <c r="BD8" s="307">
        <v>4</v>
      </c>
      <c r="BE8" s="1189"/>
      <c r="BF8" s="313">
        <v>39082</v>
      </c>
      <c r="BG8" s="312">
        <v>39447</v>
      </c>
      <c r="BH8" s="312">
        <v>39813</v>
      </c>
      <c r="BI8" s="312">
        <v>40178</v>
      </c>
      <c r="BJ8" s="312">
        <v>40543</v>
      </c>
      <c r="BK8" s="312">
        <v>40908</v>
      </c>
      <c r="BL8" s="312">
        <v>41274</v>
      </c>
      <c r="BM8" s="312">
        <v>41639</v>
      </c>
      <c r="BN8" s="1409">
        <v>42004</v>
      </c>
      <c r="BO8" s="312">
        <v>42369</v>
      </c>
      <c r="BP8" s="312">
        <v>42734</v>
      </c>
      <c r="BQ8" s="312">
        <v>43099</v>
      </c>
      <c r="BR8" s="314">
        <v>43465</v>
      </c>
      <c r="BS8" s="314">
        <v>43830</v>
      </c>
      <c r="BT8" s="314">
        <v>44196</v>
      </c>
      <c r="BU8" s="1357">
        <v>44561</v>
      </c>
      <c r="BV8" s="1357">
        <v>44926</v>
      </c>
      <c r="BW8" s="1357">
        <v>45291</v>
      </c>
      <c r="BX8" s="1357">
        <v>45657</v>
      </c>
      <c r="BY8" s="1358">
        <v>46022</v>
      </c>
      <c r="BZ8" s="273"/>
      <c r="CA8" s="72" t="s">
        <v>77</v>
      </c>
      <c r="CB8" s="72" t="s">
        <v>198</v>
      </c>
      <c r="CC8" s="72" t="s">
        <v>136</v>
      </c>
      <c r="CD8" s="72" t="s">
        <v>137</v>
      </c>
      <c r="CE8" s="72" t="s">
        <v>138</v>
      </c>
      <c r="CF8" s="72" t="s">
        <v>139</v>
      </c>
      <c r="CG8" s="72" t="s">
        <v>325</v>
      </c>
    </row>
    <row r="9" spans="1:85" s="42" customFormat="1" ht="11.25" customHeight="1">
      <c r="H9" s="213"/>
      <c r="I9" s="728"/>
      <c r="J9" s="277"/>
      <c r="K9" s="277"/>
      <c r="L9" s="277"/>
      <c r="M9" s="315"/>
      <c r="N9" s="315"/>
      <c r="O9" s="315"/>
      <c r="P9" s="2767"/>
      <c r="Q9" s="315"/>
      <c r="R9" s="315"/>
      <c r="S9" s="315"/>
      <c r="T9" s="315"/>
      <c r="U9" s="765"/>
      <c r="V9" s="315"/>
      <c r="W9" s="315"/>
      <c r="X9" s="766"/>
      <c r="Y9" s="765"/>
      <c r="Z9" s="315"/>
      <c r="AA9" s="315"/>
      <c r="AB9" s="315"/>
      <c r="AC9" s="765"/>
      <c r="AD9" s="315"/>
      <c r="AE9" s="315"/>
      <c r="AF9" s="745"/>
      <c r="AG9" s="744"/>
      <c r="AH9" s="316"/>
      <c r="AI9" s="316"/>
      <c r="AJ9" s="745"/>
      <c r="AK9" s="744"/>
      <c r="AL9" s="316"/>
      <c r="AM9" s="316"/>
      <c r="AN9" s="745"/>
      <c r="AO9" s="744"/>
      <c r="AP9" s="316"/>
      <c r="AQ9" s="316"/>
      <c r="AR9" s="745"/>
      <c r="AS9" s="744"/>
      <c r="AT9" s="316"/>
      <c r="AU9" s="316"/>
      <c r="AV9" s="745"/>
      <c r="AW9" s="744"/>
      <c r="AX9" s="316"/>
      <c r="AY9" s="316"/>
      <c r="AZ9" s="745"/>
      <c r="BA9" s="744"/>
      <c r="BB9" s="316"/>
      <c r="BC9" s="316"/>
      <c r="BD9" s="745"/>
      <c r="BE9" s="1189"/>
      <c r="BF9" s="779"/>
      <c r="BG9" s="317"/>
      <c r="BH9" s="317"/>
      <c r="BI9" s="317"/>
      <c r="BJ9" s="317"/>
      <c r="BK9" s="317"/>
      <c r="BL9" s="317"/>
      <c r="BM9" s="317"/>
      <c r="BN9" s="1410"/>
      <c r="BO9" s="318"/>
      <c r="BP9" s="318"/>
      <c r="BQ9" s="318"/>
      <c r="BR9" s="318"/>
      <c r="BS9" s="318"/>
      <c r="BT9" s="318"/>
      <c r="BU9" s="318"/>
      <c r="BV9" s="318"/>
      <c r="BW9" s="318"/>
      <c r="BX9" s="318"/>
      <c r="BY9" s="780"/>
      <c r="BZ9" s="273"/>
      <c r="CA9" s="319"/>
      <c r="CB9" s="319"/>
      <c r="CC9" s="319"/>
      <c r="CD9" s="319"/>
      <c r="CE9" s="319"/>
      <c r="CF9" s="319"/>
      <c r="CG9" s="319"/>
    </row>
    <row r="10" spans="1:85" s="106" customFormat="1" ht="11.25" customHeight="1">
      <c r="A10" s="54"/>
      <c r="B10" s="54"/>
      <c r="C10" s="54"/>
      <c r="D10" s="54"/>
      <c r="E10" s="54"/>
      <c r="F10" s="54"/>
      <c r="G10" s="54"/>
      <c r="H10" s="83"/>
      <c r="I10" s="769" t="s">
        <v>2</v>
      </c>
      <c r="J10" s="324"/>
      <c r="K10" s="324"/>
      <c r="L10" s="324"/>
      <c r="M10" s="325"/>
      <c r="N10" s="325"/>
      <c r="O10" s="325"/>
      <c r="P10" s="747"/>
      <c r="Q10" s="325"/>
      <c r="R10" s="325"/>
      <c r="S10" s="325"/>
      <c r="T10" s="325"/>
      <c r="U10" s="788"/>
      <c r="V10" s="325"/>
      <c r="W10" s="325"/>
      <c r="X10" s="325"/>
      <c r="Y10" s="746"/>
      <c r="Z10" s="325"/>
      <c r="AA10" s="325"/>
      <c r="AB10" s="747"/>
      <c r="AC10" s="746"/>
      <c r="AD10" s="325"/>
      <c r="AE10" s="325"/>
      <c r="AF10" s="747"/>
      <c r="AG10" s="746"/>
      <c r="AH10" s="325"/>
      <c r="AI10" s="325"/>
      <c r="AJ10" s="747"/>
      <c r="AK10" s="746"/>
      <c r="AL10" s="325"/>
      <c r="AM10" s="325"/>
      <c r="AN10" s="747"/>
      <c r="AO10" s="746"/>
      <c r="AP10" s="325"/>
      <c r="AQ10" s="325"/>
      <c r="AR10" s="747"/>
      <c r="AS10" s="746"/>
      <c r="AT10" s="325"/>
      <c r="AU10" s="325"/>
      <c r="AV10" s="747"/>
      <c r="AW10" s="746"/>
      <c r="AX10" s="325"/>
      <c r="AY10" s="325"/>
      <c r="AZ10" s="747"/>
      <c r="BA10" s="746"/>
      <c r="BB10" s="325"/>
      <c r="BC10" s="325"/>
      <c r="BD10" s="747"/>
      <c r="BE10" s="335"/>
      <c r="BF10" s="781"/>
      <c r="BG10" s="323"/>
      <c r="BH10" s="323"/>
      <c r="BI10" s="323"/>
      <c r="BJ10" s="323"/>
      <c r="BK10" s="323"/>
      <c r="BL10" s="323"/>
      <c r="BM10" s="323"/>
      <c r="BN10" s="1418"/>
      <c r="BO10" s="323"/>
      <c r="BP10" s="323"/>
      <c r="BQ10" s="323"/>
      <c r="BR10" s="323"/>
      <c r="BS10" s="323"/>
      <c r="BT10" s="323"/>
      <c r="BU10" s="1643"/>
      <c r="BV10" s="1643"/>
      <c r="BW10" s="1643"/>
      <c r="BX10" s="1643"/>
      <c r="BY10" s="1645"/>
      <c r="BZ10" s="68"/>
      <c r="CA10" s="54"/>
      <c r="CB10" s="54"/>
      <c r="CC10" s="54"/>
      <c r="CD10" s="54"/>
      <c r="CE10" s="54"/>
      <c r="CF10" s="54"/>
      <c r="CG10" s="54"/>
    </row>
    <row r="11" spans="1:85" s="83" customFormat="1" ht="11.25" customHeight="1">
      <c r="I11" s="455"/>
      <c r="J11" s="334"/>
      <c r="K11" s="334"/>
      <c r="L11" s="334"/>
      <c r="M11" s="335"/>
      <c r="N11" s="335"/>
      <c r="O11" s="335"/>
      <c r="P11" s="749"/>
      <c r="Q11" s="335"/>
      <c r="R11" s="335"/>
      <c r="S11" s="335"/>
      <c r="T11" s="335"/>
      <c r="U11" s="789"/>
      <c r="V11" s="335"/>
      <c r="W11" s="335"/>
      <c r="X11" s="335"/>
      <c r="Y11" s="748"/>
      <c r="Z11" s="335"/>
      <c r="AA11" s="335"/>
      <c r="AB11" s="749"/>
      <c r="AC11" s="748"/>
      <c r="AD11" s="335"/>
      <c r="AE11" s="335"/>
      <c r="AF11" s="749"/>
      <c r="AG11" s="1419"/>
      <c r="AH11" s="1420"/>
      <c r="AI11" s="1420"/>
      <c r="AJ11" s="1420"/>
      <c r="AK11" s="748"/>
      <c r="AL11" s="335"/>
      <c r="AM11" s="335"/>
      <c r="AN11" s="749"/>
      <c r="AO11" s="1480"/>
      <c r="AP11" s="335"/>
      <c r="AQ11" s="335"/>
      <c r="AR11" s="749"/>
      <c r="AS11" s="1480"/>
      <c r="AT11" s="335"/>
      <c r="AU11" s="335"/>
      <c r="AV11" s="749"/>
      <c r="AW11" s="1480"/>
      <c r="AX11" s="335"/>
      <c r="AY11" s="335"/>
      <c r="AZ11" s="749"/>
      <c r="BA11" s="1480"/>
      <c r="BB11" s="335"/>
      <c r="BC11" s="335"/>
      <c r="BD11" s="749"/>
      <c r="BE11" s="335"/>
      <c r="BF11" s="507"/>
      <c r="BG11" s="68"/>
      <c r="BH11" s="68"/>
      <c r="BI11" s="68"/>
      <c r="BJ11" s="68"/>
      <c r="BK11" s="68"/>
      <c r="BL11" s="68"/>
      <c r="BM11" s="68"/>
      <c r="BN11" s="507"/>
      <c r="BO11" s="68"/>
      <c r="BP11" s="68"/>
      <c r="BQ11" s="68"/>
      <c r="BR11" s="68"/>
      <c r="BS11" s="68"/>
      <c r="BT11" s="68"/>
      <c r="BU11" s="68"/>
      <c r="BV11" s="68"/>
      <c r="BW11" s="68"/>
      <c r="BX11" s="68"/>
      <c r="BY11" s="475"/>
      <c r="BZ11" s="68"/>
    </row>
    <row r="12" spans="1:85" ht="11.25" customHeight="1">
      <c r="A12" s="86"/>
      <c r="B12" s="86"/>
      <c r="C12" s="86"/>
      <c r="D12" s="86"/>
      <c r="E12" s="86"/>
      <c r="F12" s="86"/>
      <c r="G12" s="86"/>
      <c r="H12" s="328"/>
      <c r="I12" s="457" t="s">
        <v>55</v>
      </c>
      <c r="J12" s="321"/>
      <c r="K12" s="321"/>
      <c r="L12" s="321"/>
      <c r="M12" s="68">
        <f>Model!M23</f>
        <v>9.1359999999999992</v>
      </c>
      <c r="N12" s="68">
        <f>Model!N23</f>
        <v>10.726999999999999</v>
      </c>
      <c r="O12" s="68">
        <f>Model!O23</f>
        <v>12.594000000000001</v>
      </c>
      <c r="P12" s="475">
        <f>Model!P23</f>
        <v>15.274000000000001</v>
      </c>
      <c r="Q12" s="68">
        <f>Model!Q23</f>
        <v>16.5</v>
      </c>
      <c r="R12" s="68">
        <f>Model!R23</f>
        <v>19.577999999999999</v>
      </c>
      <c r="S12" s="68">
        <f>Model!S23</f>
        <v>22.302</v>
      </c>
      <c r="T12" s="68">
        <f>Model!T23</f>
        <v>24.905000000000001</v>
      </c>
      <c r="U12" s="507">
        <f>Model!U23</f>
        <v>27.384999999999998</v>
      </c>
      <c r="V12" s="68">
        <f>Model!V23</f>
        <v>32.652999999999999</v>
      </c>
      <c r="W12" s="68">
        <f>Model!W23</f>
        <v>36.371000000000002</v>
      </c>
      <c r="X12" s="68">
        <f>Model!X23</f>
        <v>41.156999999999996</v>
      </c>
      <c r="Y12" s="507">
        <f>Model!Y23</f>
        <v>46.133000000000003</v>
      </c>
      <c r="Z12" s="68">
        <f>Model!Z23</f>
        <v>55.023000000000003</v>
      </c>
      <c r="AA12" s="68">
        <f>Model!AA23</f>
        <v>61.180999999999997</v>
      </c>
      <c r="AB12" s="475">
        <f>Model!AB23</f>
        <v>70.650999999999996</v>
      </c>
      <c r="AC12" s="507">
        <f>Model!AC23</f>
        <v>76.406999999999996</v>
      </c>
      <c r="AD12" s="68">
        <f>Model!AD23</f>
        <v>88.787000000000006</v>
      </c>
      <c r="AE12" s="68">
        <f>Model!AE23</f>
        <v>102.455</v>
      </c>
      <c r="AF12" s="68">
        <f>Model!AF23</f>
        <v>109.887</v>
      </c>
      <c r="AG12" s="2598">
        <f>Model!AG23</f>
        <v>111.8</v>
      </c>
      <c r="AH12" s="2599">
        <f>+Model!AH23</f>
        <v>125.6</v>
      </c>
      <c r="AI12" s="2599">
        <f>+Model!AI23</f>
        <v>134.6</v>
      </c>
      <c r="AJ12" s="2295">
        <f>+Model!AJ23</f>
        <v>146.69999999999999</v>
      </c>
      <c r="AK12" s="2598">
        <f>+Model!AK23</f>
        <v>158.613</v>
      </c>
      <c r="AL12" s="2294">
        <f>+Model!AL23</f>
        <v>173.428</v>
      </c>
      <c r="AM12" s="2294">
        <f>+Model!AM23</f>
        <v>186.232</v>
      </c>
      <c r="AN12" s="2294">
        <f>+Model!AN23</f>
        <v>194.79599999999999</v>
      </c>
      <c r="AO12" s="2598">
        <f>+Model!AO23</f>
        <v>197.32300000000001</v>
      </c>
      <c r="AP12" s="2294">
        <f>+Model!AP23</f>
        <v>208.864</v>
      </c>
      <c r="AQ12" s="2294">
        <f>+Model!AQ23</f>
        <v>222.38</v>
      </c>
      <c r="AR12" s="2294">
        <f>+Model!AR23</f>
        <v>218.24600000000001</v>
      </c>
      <c r="AS12" s="750">
        <f>+Model!AS23</f>
        <v>221.2</v>
      </c>
      <c r="AT12" s="322">
        <f>+Model!AT23</f>
        <v>231.4</v>
      </c>
      <c r="AU12" s="322">
        <f>+Model!AU23</f>
        <v>248</v>
      </c>
      <c r="AV12" s="734">
        <f>+Model!AV23</f>
        <v>259.39999999999998</v>
      </c>
      <c r="AW12" s="750">
        <f>+Model!AW23</f>
        <v>262.2</v>
      </c>
      <c r="AX12" s="322">
        <f>+Model!AX23</f>
        <v>271</v>
      </c>
      <c r="AY12" s="322">
        <f>+Model!AY23</f>
        <v>286.8</v>
      </c>
      <c r="AZ12" s="734">
        <f>+Model!AZ23</f>
        <v>296.39999999999998</v>
      </c>
      <c r="BA12" s="750">
        <f>+Model!BA23</f>
        <v>298.39999999999998</v>
      </c>
      <c r="BB12" s="322">
        <f>+Model!BB23</f>
        <v>307.40000000000003</v>
      </c>
      <c r="BC12" s="322">
        <f>+Model!BC23</f>
        <v>322.8</v>
      </c>
      <c r="BD12" s="734">
        <f>+Model!BD23</f>
        <v>332</v>
      </c>
      <c r="BE12" s="428"/>
      <c r="BF12" s="507">
        <f>Model!BG23</f>
        <v>0.443</v>
      </c>
      <c r="BG12" s="68">
        <f>Model!BH23</f>
        <v>3.7450000000000001</v>
      </c>
      <c r="BH12" s="68">
        <f>Model!BI23</f>
        <v>12.139000000000001</v>
      </c>
      <c r="BI12" s="68">
        <f>Model!BJ23</f>
        <v>25.808000000000003</v>
      </c>
      <c r="BJ12" s="68">
        <f>SUM(M12:P12)</f>
        <v>47.731000000000002</v>
      </c>
      <c r="BK12" s="68">
        <f>SUM(Q12:T12)</f>
        <v>83.284999999999997</v>
      </c>
      <c r="BL12" s="68">
        <f>SUM(U12:X12)</f>
        <v>137.56599999999997</v>
      </c>
      <c r="BM12" s="68">
        <f>SUM(Y12:AB12)</f>
        <v>232.988</v>
      </c>
      <c r="BN12" s="507">
        <f>SUM(AC12:AF12)</f>
        <v>377.536</v>
      </c>
      <c r="BO12" s="68">
        <f>SUM(AG12:AJ12)</f>
        <v>518.70000000000005</v>
      </c>
      <c r="BP12" s="428">
        <f>SUM(AK12:AN12)</f>
        <v>713.06899999999996</v>
      </c>
      <c r="BQ12" s="428">
        <f>SUM(AO12:AR12)</f>
        <v>846.81299999999999</v>
      </c>
      <c r="BR12" s="428">
        <f>SUM(AS12:AV12)</f>
        <v>960</v>
      </c>
      <c r="BS12" s="428">
        <f>SUM(AW12:AZ12)</f>
        <v>1116.4000000000001</v>
      </c>
      <c r="BT12" s="428">
        <f>SUM(BA12:BD12)</f>
        <v>1260.5999999999999</v>
      </c>
      <c r="BU12" s="322">
        <f>Model!BV23</f>
        <v>1400.6</v>
      </c>
      <c r="BV12" s="322">
        <f>Model!BW23</f>
        <v>1537.6</v>
      </c>
      <c r="BW12" s="322">
        <f>Model!BX23</f>
        <v>1670.6</v>
      </c>
      <c r="BX12" s="322">
        <f>Model!BY23</f>
        <v>1799.6</v>
      </c>
      <c r="BY12" s="734">
        <f>Model!BZ23</f>
        <v>1925.6</v>
      </c>
      <c r="BZ12" s="274"/>
      <c r="CA12" s="95">
        <f>IF(ISERROR(RATE(5,,-BI12,BN12)),"NM",(RATE(5,,-BI12,BN12)))</f>
        <v>0.71017598666591986</v>
      </c>
      <c r="CB12" s="95">
        <f t="shared" ref="CB12:CG12" si="4">IF(ISERROR(RATE(3,,-BK12,BN12)),"NM",(RATE(3,,-BK12,BN12)))</f>
        <v>0.65499693326849895</v>
      </c>
      <c r="CC12" s="95">
        <f t="shared" si="4"/>
        <v>0.55644954257198587</v>
      </c>
      <c r="CD12" s="95">
        <f t="shared" si="4"/>
        <v>0.45188650189823898</v>
      </c>
      <c r="CE12" s="95">
        <f t="shared" si="4"/>
        <v>0.30901025469906773</v>
      </c>
      <c r="CF12" s="95">
        <f t="shared" si="4"/>
        <v>0.22777370615442566</v>
      </c>
      <c r="CG12" s="95">
        <f t="shared" si="4"/>
        <v>0.16117075834531464</v>
      </c>
    </row>
    <row r="13" spans="1:85" ht="11.25" customHeight="1">
      <c r="A13" s="86"/>
      <c r="B13" s="86"/>
      <c r="C13" s="86"/>
      <c r="D13" s="86"/>
      <c r="E13" s="86"/>
      <c r="F13" s="86"/>
      <c r="G13" s="86"/>
      <c r="H13" s="328"/>
      <c r="I13" s="994" t="s">
        <v>380</v>
      </c>
      <c r="J13" s="321"/>
      <c r="K13" s="321"/>
      <c r="L13" s="321"/>
      <c r="M13" s="68"/>
      <c r="N13" s="68"/>
      <c r="O13" s="68"/>
      <c r="P13" s="475"/>
      <c r="Q13" s="68"/>
      <c r="R13" s="68"/>
      <c r="S13" s="68"/>
      <c r="T13" s="68"/>
      <c r="U13" s="507"/>
      <c r="V13" s="68"/>
      <c r="W13" s="68"/>
      <c r="X13" s="68"/>
      <c r="Y13" s="507"/>
      <c r="Z13" s="68"/>
      <c r="AA13" s="68"/>
      <c r="AB13" s="475"/>
      <c r="AC13" s="507"/>
      <c r="AD13" s="68"/>
      <c r="AE13" s="68"/>
      <c r="AF13" s="68"/>
      <c r="AG13" s="2598"/>
      <c r="AH13" s="2599"/>
      <c r="AI13" s="2599"/>
      <c r="AJ13" s="2295"/>
      <c r="AK13" s="505">
        <f>AK12-AG12</f>
        <v>46.813000000000002</v>
      </c>
      <c r="AL13" s="110">
        <f t="shared" ref="AL13" si="5">AL12-AH12</f>
        <v>47.828000000000003</v>
      </c>
      <c r="AM13" s="110">
        <f t="shared" ref="AM13" si="6">AM12-AI12</f>
        <v>51.632000000000005</v>
      </c>
      <c r="AN13" s="110">
        <f t="shared" ref="AN13" si="7">AN12-AJ12</f>
        <v>48.096000000000004</v>
      </c>
      <c r="AO13" s="505">
        <f t="shared" ref="AO13" si="8">AO12-AK12</f>
        <v>38.710000000000008</v>
      </c>
      <c r="AP13" s="110">
        <f t="shared" ref="AP13" si="9">AP12-AL12</f>
        <v>35.436000000000007</v>
      </c>
      <c r="AQ13" s="110">
        <f t="shared" ref="AQ13:AR13" si="10">AQ12-AM12</f>
        <v>36.147999999999996</v>
      </c>
      <c r="AR13" s="110">
        <f t="shared" si="10"/>
        <v>23.450000000000017</v>
      </c>
      <c r="AS13" s="505">
        <f t="shared" ref="AS13" si="11">AS12-AO12</f>
        <v>23.876999999999981</v>
      </c>
      <c r="AT13" s="110">
        <f t="shared" ref="AT13" si="12">AT12-AP12</f>
        <v>22.536000000000001</v>
      </c>
      <c r="AU13" s="110">
        <f t="shared" ref="AU13" si="13">AU12-AQ12</f>
        <v>25.620000000000005</v>
      </c>
      <c r="AV13" s="469">
        <f t="shared" ref="AV13" si="14">AV12-AR12</f>
        <v>41.153999999999968</v>
      </c>
      <c r="AW13" s="505">
        <f t="shared" ref="AW13" si="15">AW12-AS12</f>
        <v>41</v>
      </c>
      <c r="AX13" s="110">
        <f t="shared" ref="AX13" si="16">AX12-AT12</f>
        <v>39.599999999999994</v>
      </c>
      <c r="AY13" s="110">
        <f t="shared" ref="AY13" si="17">AY12-AU12</f>
        <v>38.800000000000011</v>
      </c>
      <c r="AZ13" s="469">
        <f t="shared" ref="AZ13" si="18">AZ12-AV12</f>
        <v>37</v>
      </c>
      <c r="BA13" s="505">
        <f t="shared" ref="BA13" si="19">BA12-AW12</f>
        <v>36.199999999999989</v>
      </c>
      <c r="BB13" s="110">
        <f t="shared" ref="BB13" si="20">BB12-AX12</f>
        <v>36.400000000000034</v>
      </c>
      <c r="BC13" s="110">
        <f t="shared" ref="BC13" si="21">BC12-AY12</f>
        <v>36</v>
      </c>
      <c r="BD13" s="469">
        <f t="shared" ref="BD13" si="22">BD12-AZ12</f>
        <v>35.600000000000023</v>
      </c>
      <c r="BE13" s="428"/>
      <c r="BF13" s="507"/>
      <c r="BG13" s="68"/>
      <c r="BH13" s="68"/>
      <c r="BI13" s="68"/>
      <c r="BJ13" s="68"/>
      <c r="BK13" s="68"/>
      <c r="BL13" s="68"/>
      <c r="BM13" s="68"/>
      <c r="BN13" s="507"/>
      <c r="BO13" s="110">
        <f>BO12-BN12</f>
        <v>141.16400000000004</v>
      </c>
      <c r="BP13" s="110">
        <f t="shared" ref="BP13:BY13" si="23">BP12-BO12</f>
        <v>194.36899999999991</v>
      </c>
      <c r="BQ13" s="110">
        <f t="shared" si="23"/>
        <v>133.74400000000003</v>
      </c>
      <c r="BR13" s="110">
        <f t="shared" si="23"/>
        <v>113.18700000000001</v>
      </c>
      <c r="BS13" s="110">
        <f t="shared" si="23"/>
        <v>156.40000000000009</v>
      </c>
      <c r="BT13" s="110">
        <f t="shared" si="23"/>
        <v>144.19999999999982</v>
      </c>
      <c r="BU13" s="110">
        <f t="shared" si="23"/>
        <v>140</v>
      </c>
      <c r="BV13" s="110">
        <f t="shared" si="23"/>
        <v>137</v>
      </c>
      <c r="BW13" s="110">
        <f t="shared" si="23"/>
        <v>133</v>
      </c>
      <c r="BX13" s="110">
        <f t="shared" si="23"/>
        <v>129</v>
      </c>
      <c r="BY13" s="469">
        <f t="shared" si="23"/>
        <v>126</v>
      </c>
      <c r="BZ13" s="274"/>
      <c r="CA13" s="95"/>
      <c r="CB13" s="95"/>
      <c r="CC13" s="95"/>
      <c r="CD13" s="95"/>
      <c r="CE13" s="95"/>
      <c r="CF13" s="95"/>
      <c r="CG13" s="95"/>
    </row>
    <row r="14" spans="1:85" ht="11.25" customHeight="1">
      <c r="A14" s="86"/>
      <c r="B14" s="86"/>
      <c r="C14" s="86"/>
      <c r="D14" s="86"/>
      <c r="E14" s="86"/>
      <c r="F14" s="86"/>
      <c r="G14" s="86"/>
      <c r="H14" s="328"/>
      <c r="I14" s="994" t="s">
        <v>377</v>
      </c>
      <c r="J14" s="321"/>
      <c r="K14" s="321"/>
      <c r="L14" s="321"/>
      <c r="M14" s="68"/>
      <c r="N14" s="68"/>
      <c r="O14" s="68"/>
      <c r="P14" s="475"/>
      <c r="Q14" s="68"/>
      <c r="R14" s="68"/>
      <c r="S14" s="68"/>
      <c r="T14" s="68"/>
      <c r="U14" s="507"/>
      <c r="V14" s="68"/>
      <c r="W14" s="68"/>
      <c r="X14" s="68"/>
      <c r="Y14" s="507"/>
      <c r="Z14" s="68"/>
      <c r="AA14" s="68"/>
      <c r="AB14" s="475"/>
      <c r="AC14" s="507"/>
      <c r="AD14" s="68"/>
      <c r="AE14" s="68"/>
      <c r="AF14" s="68"/>
      <c r="AG14" s="2598"/>
      <c r="AH14" s="110">
        <f t="shared" ref="AH14:BD14" si="24">AH12-AG12</f>
        <v>13.799999999999997</v>
      </c>
      <c r="AI14" s="110">
        <f t="shared" si="24"/>
        <v>9</v>
      </c>
      <c r="AJ14" s="110">
        <f t="shared" si="24"/>
        <v>12.099999999999994</v>
      </c>
      <c r="AK14" s="505">
        <f>AK12-AJ12</f>
        <v>11.913000000000011</v>
      </c>
      <c r="AL14" s="110">
        <f t="shared" si="24"/>
        <v>14.814999999999998</v>
      </c>
      <c r="AM14" s="110">
        <f t="shared" si="24"/>
        <v>12.804000000000002</v>
      </c>
      <c r="AN14" s="110">
        <f t="shared" si="24"/>
        <v>8.563999999999993</v>
      </c>
      <c r="AO14" s="505">
        <f t="shared" si="24"/>
        <v>2.5270000000000152</v>
      </c>
      <c r="AP14" s="110">
        <f t="shared" si="24"/>
        <v>11.540999999999997</v>
      </c>
      <c r="AQ14" s="110">
        <f t="shared" si="24"/>
        <v>13.515999999999991</v>
      </c>
      <c r="AR14" s="110">
        <f t="shared" si="24"/>
        <v>-4.1339999999999861</v>
      </c>
      <c r="AS14" s="505">
        <f t="shared" si="24"/>
        <v>2.9539999999999793</v>
      </c>
      <c r="AT14" s="110">
        <f t="shared" si="24"/>
        <v>10.200000000000017</v>
      </c>
      <c r="AU14" s="110">
        <f t="shared" si="24"/>
        <v>16.599999999999994</v>
      </c>
      <c r="AV14" s="469">
        <f t="shared" si="24"/>
        <v>11.399999999999977</v>
      </c>
      <c r="AW14" s="505">
        <f t="shared" si="24"/>
        <v>2.8000000000000114</v>
      </c>
      <c r="AX14" s="110">
        <f t="shared" si="24"/>
        <v>8.8000000000000114</v>
      </c>
      <c r="AY14" s="110">
        <f t="shared" si="24"/>
        <v>15.800000000000011</v>
      </c>
      <c r="AZ14" s="469">
        <f t="shared" si="24"/>
        <v>9.5999999999999659</v>
      </c>
      <c r="BA14" s="505">
        <f t="shared" si="24"/>
        <v>2</v>
      </c>
      <c r="BB14" s="110">
        <f t="shared" si="24"/>
        <v>9.0000000000000568</v>
      </c>
      <c r="BC14" s="110">
        <f t="shared" si="24"/>
        <v>15.399999999999977</v>
      </c>
      <c r="BD14" s="469">
        <f t="shared" si="24"/>
        <v>9.1999999999999886</v>
      </c>
      <c r="BE14" s="428"/>
      <c r="BF14" s="507"/>
      <c r="BG14" s="68"/>
      <c r="BH14" s="68"/>
      <c r="BI14" s="68"/>
      <c r="BJ14" s="68"/>
      <c r="BK14" s="68"/>
      <c r="BL14" s="68"/>
      <c r="BM14" s="68"/>
      <c r="BN14" s="507"/>
      <c r="BO14" s="40"/>
      <c r="BP14" s="428"/>
      <c r="BQ14" s="428"/>
      <c r="BR14" s="428"/>
      <c r="BS14" s="428"/>
      <c r="BT14" s="428"/>
      <c r="BU14" s="428"/>
      <c r="BV14" s="428"/>
      <c r="BW14" s="428"/>
      <c r="BX14" s="428"/>
      <c r="BY14" s="471"/>
      <c r="BZ14" s="274"/>
      <c r="CA14" s="95"/>
      <c r="CB14" s="95"/>
      <c r="CC14" s="95"/>
      <c r="CD14" s="95"/>
      <c r="CE14" s="95"/>
      <c r="CF14" s="95"/>
      <c r="CG14" s="95"/>
    </row>
    <row r="15" spans="1:85" ht="11.25" customHeight="1">
      <c r="A15" s="86"/>
      <c r="B15" s="86"/>
      <c r="C15" s="86"/>
      <c r="D15" s="86"/>
      <c r="E15" s="86"/>
      <c r="F15" s="86"/>
      <c r="G15" s="86"/>
      <c r="H15" s="328"/>
      <c r="I15" s="770" t="s">
        <v>132</v>
      </c>
      <c r="J15" s="193"/>
      <c r="K15" s="67"/>
      <c r="L15" s="67"/>
      <c r="M15" s="198"/>
      <c r="N15" s="198" t="str">
        <f t="shared" ref="N15:BD15" si="25">IF(ISERROR(N12/J12-1),"NA",(IF(N12&lt;=0,"NM",N12/J12-1)))</f>
        <v>NA</v>
      </c>
      <c r="O15" s="198" t="str">
        <f t="shared" si="25"/>
        <v>NA</v>
      </c>
      <c r="P15" s="752" t="str">
        <f t="shared" si="25"/>
        <v>NA</v>
      </c>
      <c r="Q15" s="198">
        <f t="shared" si="25"/>
        <v>0.80604203152364295</v>
      </c>
      <c r="R15" s="198">
        <f t="shared" si="25"/>
        <v>0.82511419781858875</v>
      </c>
      <c r="S15" s="198">
        <f t="shared" si="25"/>
        <v>0.77084325869461634</v>
      </c>
      <c r="T15" s="198">
        <f t="shared" si="25"/>
        <v>0.6305486447557942</v>
      </c>
      <c r="U15" s="751">
        <f t="shared" si="25"/>
        <v>0.65969696969696967</v>
      </c>
      <c r="V15" s="198">
        <f t="shared" si="25"/>
        <v>0.66784145469404432</v>
      </c>
      <c r="W15" s="198">
        <f t="shared" si="25"/>
        <v>0.6308402833826563</v>
      </c>
      <c r="X15" s="198">
        <f t="shared" si="25"/>
        <v>0.65255972696245723</v>
      </c>
      <c r="Y15" s="751">
        <f t="shared" si="25"/>
        <v>0.68460836224210353</v>
      </c>
      <c r="Z15" s="198">
        <f t="shared" si="25"/>
        <v>0.68508253452975243</v>
      </c>
      <c r="AA15" s="198">
        <f t="shared" si="25"/>
        <v>0.68213686728437484</v>
      </c>
      <c r="AB15" s="752">
        <f t="shared" si="25"/>
        <v>0.71662171684039166</v>
      </c>
      <c r="AC15" s="751">
        <f t="shared" si="25"/>
        <v>0.65623306526781255</v>
      </c>
      <c r="AD15" s="198">
        <f t="shared" si="25"/>
        <v>0.61363429838431194</v>
      </c>
      <c r="AE15" s="198">
        <f t="shared" si="25"/>
        <v>0.67462120592994568</v>
      </c>
      <c r="AF15" s="752">
        <f t="shared" si="25"/>
        <v>0.55534953503842832</v>
      </c>
      <c r="AG15" s="751">
        <f t="shared" si="25"/>
        <v>0.46321672098106204</v>
      </c>
      <c r="AH15" s="198">
        <f t="shared" si="25"/>
        <v>0.41462150990572932</v>
      </c>
      <c r="AI15" s="198">
        <f t="shared" si="25"/>
        <v>0.31374749890195686</v>
      </c>
      <c r="AJ15" s="752">
        <f t="shared" si="25"/>
        <v>0.33500778072019433</v>
      </c>
      <c r="AK15" s="751">
        <f t="shared" si="25"/>
        <v>0.41872093023255808</v>
      </c>
      <c r="AL15" s="198">
        <f t="shared" si="25"/>
        <v>0.38079617834394908</v>
      </c>
      <c r="AM15" s="198">
        <f t="shared" si="25"/>
        <v>0.38359583952451715</v>
      </c>
      <c r="AN15" s="198">
        <f t="shared" si="25"/>
        <v>0.32785276073619629</v>
      </c>
      <c r="AO15" s="751">
        <f t="shared" si="25"/>
        <v>0.24405313561940067</v>
      </c>
      <c r="AP15" s="198">
        <f t="shared" si="25"/>
        <v>0.20432686763383079</v>
      </c>
      <c r="AQ15" s="198">
        <f t="shared" si="25"/>
        <v>0.19410198032561543</v>
      </c>
      <c r="AR15" s="198">
        <f t="shared" si="25"/>
        <v>0.12038234871352604</v>
      </c>
      <c r="AS15" s="751">
        <f t="shared" si="25"/>
        <v>0.12100464720280946</v>
      </c>
      <c r="AT15" s="198">
        <f t="shared" si="25"/>
        <v>0.10789796231040305</v>
      </c>
      <c r="AU15" s="198">
        <f t="shared" si="25"/>
        <v>0.11520820217645467</v>
      </c>
      <c r="AV15" s="752">
        <f t="shared" si="25"/>
        <v>0.18856702986538121</v>
      </c>
      <c r="AW15" s="751">
        <f t="shared" si="25"/>
        <v>0.18535262206148273</v>
      </c>
      <c r="AX15" s="198">
        <f t="shared" si="25"/>
        <v>0.17113223854796877</v>
      </c>
      <c r="AY15" s="198">
        <f t="shared" si="25"/>
        <v>0.15645161290322585</v>
      </c>
      <c r="AZ15" s="752">
        <f t="shared" si="25"/>
        <v>0.14263685427910566</v>
      </c>
      <c r="BA15" s="751">
        <f t="shared" si="25"/>
        <v>0.13806254767353154</v>
      </c>
      <c r="BB15" s="198">
        <f t="shared" si="25"/>
        <v>0.13431734317343191</v>
      </c>
      <c r="BC15" s="198">
        <f t="shared" si="25"/>
        <v>0.12552301255230125</v>
      </c>
      <c r="BD15" s="752">
        <f t="shared" si="25"/>
        <v>0.12010796221322551</v>
      </c>
      <c r="BE15" s="264"/>
      <c r="BF15" s="751"/>
      <c r="BG15" s="198">
        <f t="shared" ref="BG15:BY15" si="26">IF(ISERROR(BG12/BF12-1),"NA",(IF(BG12&lt;=0,"NM",BG12/BF12-1)))</f>
        <v>7.4537246049661405</v>
      </c>
      <c r="BH15" s="198">
        <f t="shared" si="26"/>
        <v>2.2413885180240323</v>
      </c>
      <c r="BI15" s="198">
        <f t="shared" si="26"/>
        <v>1.1260400362468079</v>
      </c>
      <c r="BJ15" s="198">
        <f t="shared" si="26"/>
        <v>0.84946528208307481</v>
      </c>
      <c r="BK15" s="198">
        <f t="shared" si="26"/>
        <v>0.74488278058284951</v>
      </c>
      <c r="BL15" s="198">
        <f t="shared" si="26"/>
        <v>0.65175001500870477</v>
      </c>
      <c r="BM15" s="198">
        <f t="shared" si="26"/>
        <v>0.69364523210677098</v>
      </c>
      <c r="BN15" s="751">
        <f t="shared" si="26"/>
        <v>0.62040963483097844</v>
      </c>
      <c r="BO15" s="198">
        <f t="shared" si="26"/>
        <v>0.37390871334124443</v>
      </c>
      <c r="BP15" s="198">
        <f t="shared" si="26"/>
        <v>0.37472334682860975</v>
      </c>
      <c r="BQ15" s="198">
        <f t="shared" si="26"/>
        <v>0.1875610915633692</v>
      </c>
      <c r="BR15" s="198">
        <f t="shared" si="26"/>
        <v>0.13366233158914653</v>
      </c>
      <c r="BS15" s="198">
        <f t="shared" si="26"/>
        <v>0.16291666666666682</v>
      </c>
      <c r="BT15" s="198">
        <f t="shared" si="26"/>
        <v>0.1291651737728412</v>
      </c>
      <c r="BU15" s="198">
        <f t="shared" si="26"/>
        <v>0.11105822624147232</v>
      </c>
      <c r="BV15" s="198">
        <f t="shared" si="26"/>
        <v>9.7815222047693773E-2</v>
      </c>
      <c r="BW15" s="198">
        <f t="shared" si="26"/>
        <v>8.6498439125910487E-2</v>
      </c>
      <c r="BX15" s="198">
        <f t="shared" si="26"/>
        <v>7.7217766072069871E-2</v>
      </c>
      <c r="BY15" s="752">
        <f t="shared" si="26"/>
        <v>7.0015559013113959E-2</v>
      </c>
      <c r="BZ15" s="264"/>
      <c r="CA15" s="80"/>
      <c r="CB15" s="88"/>
      <c r="CC15" s="88"/>
      <c r="CD15" s="88"/>
      <c r="CE15" s="88"/>
      <c r="CF15" s="88"/>
      <c r="CG15" s="88"/>
    </row>
    <row r="16" spans="1:85" ht="11.25" customHeight="1">
      <c r="A16" s="86"/>
      <c r="B16" s="86"/>
      <c r="C16" s="86"/>
      <c r="D16" s="86"/>
      <c r="E16" s="86"/>
      <c r="F16" s="86"/>
      <c r="G16" s="86"/>
      <c r="H16" s="328"/>
      <c r="I16" s="770" t="s">
        <v>146</v>
      </c>
      <c r="J16" s="193"/>
      <c r="K16" s="67"/>
      <c r="L16" s="67"/>
      <c r="M16" s="198"/>
      <c r="N16" s="198">
        <f t="shared" ref="N16:BD16" si="27">IF(ISERROR(N12/M12-1),"NA",(IF(N12&lt;=0,"NM",N12/M12-1)))</f>
        <v>0.17414623467600698</v>
      </c>
      <c r="O16" s="198">
        <f t="shared" si="27"/>
        <v>0.17404679779994425</v>
      </c>
      <c r="P16" s="752">
        <f t="shared" si="27"/>
        <v>0.21279974591075113</v>
      </c>
      <c r="Q16" s="198">
        <f t="shared" si="27"/>
        <v>8.0267120597093067E-2</v>
      </c>
      <c r="R16" s="198">
        <f t="shared" si="27"/>
        <v>0.18654545454545457</v>
      </c>
      <c r="S16" s="198">
        <f t="shared" si="27"/>
        <v>0.13913576463377253</v>
      </c>
      <c r="T16" s="198">
        <f t="shared" si="27"/>
        <v>0.11671598959734553</v>
      </c>
      <c r="U16" s="751">
        <f t="shared" si="27"/>
        <v>9.9578397912065686E-2</v>
      </c>
      <c r="V16" s="198">
        <f t="shared" si="27"/>
        <v>0.19236808471791123</v>
      </c>
      <c r="W16" s="198">
        <f t="shared" si="27"/>
        <v>0.11386396349493166</v>
      </c>
      <c r="X16" s="198">
        <f t="shared" si="27"/>
        <v>0.13158835335844477</v>
      </c>
      <c r="Y16" s="751">
        <f t="shared" si="27"/>
        <v>0.12090288407804284</v>
      </c>
      <c r="Z16" s="198">
        <f t="shared" si="27"/>
        <v>0.1927037045065354</v>
      </c>
      <c r="AA16" s="198">
        <f t="shared" si="27"/>
        <v>0.11191683477818359</v>
      </c>
      <c r="AB16" s="752">
        <f t="shared" si="27"/>
        <v>0.1547866167601053</v>
      </c>
      <c r="AC16" s="198">
        <f t="shared" si="27"/>
        <v>8.1470892131746186E-2</v>
      </c>
      <c r="AD16" s="198">
        <f t="shared" si="27"/>
        <v>0.16202703940738417</v>
      </c>
      <c r="AE16" s="198">
        <f t="shared" si="27"/>
        <v>0.15394145539324433</v>
      </c>
      <c r="AF16" s="752">
        <f t="shared" si="27"/>
        <v>7.2539163535210616E-2</v>
      </c>
      <c r="AG16" s="751">
        <f t="shared" si="27"/>
        <v>1.740879266883244E-2</v>
      </c>
      <c r="AH16" s="198">
        <f t="shared" si="27"/>
        <v>0.1234347048300537</v>
      </c>
      <c r="AI16" s="198">
        <f t="shared" si="27"/>
        <v>7.1656050955414052E-2</v>
      </c>
      <c r="AJ16" s="752">
        <f t="shared" si="27"/>
        <v>8.9895988112927094E-2</v>
      </c>
      <c r="AK16" s="751">
        <f t="shared" si="27"/>
        <v>8.120654396728022E-2</v>
      </c>
      <c r="AL16" s="198">
        <f t="shared" si="27"/>
        <v>9.3403441079860983E-2</v>
      </c>
      <c r="AM16" s="198">
        <f t="shared" si="27"/>
        <v>7.3828908826717665E-2</v>
      </c>
      <c r="AN16" s="198">
        <f t="shared" si="27"/>
        <v>4.5985652304652236E-2</v>
      </c>
      <c r="AO16" s="751">
        <f t="shared" si="27"/>
        <v>1.2972545637487398E-2</v>
      </c>
      <c r="AP16" s="198">
        <f t="shared" si="27"/>
        <v>5.8487860006182668E-2</v>
      </c>
      <c r="AQ16" s="198">
        <f t="shared" si="27"/>
        <v>6.4711965681017336E-2</v>
      </c>
      <c r="AR16" s="198">
        <f t="shared" si="27"/>
        <v>-1.8589801241118753E-2</v>
      </c>
      <c r="AS16" s="751">
        <f t="shared" si="27"/>
        <v>1.3535185066392952E-2</v>
      </c>
      <c r="AT16" s="198">
        <f t="shared" si="27"/>
        <v>4.6112115732368952E-2</v>
      </c>
      <c r="AU16" s="198">
        <f t="shared" si="27"/>
        <v>7.1737251512532296E-2</v>
      </c>
      <c r="AV16" s="752">
        <f t="shared" si="27"/>
        <v>4.5967741935483808E-2</v>
      </c>
      <c r="AW16" s="751">
        <f t="shared" si="27"/>
        <v>1.0794140323824308E-2</v>
      </c>
      <c r="AX16" s="198">
        <f t="shared" si="27"/>
        <v>3.3562166285278527E-2</v>
      </c>
      <c r="AY16" s="198">
        <f t="shared" si="27"/>
        <v>5.8302583025830357E-2</v>
      </c>
      <c r="AZ16" s="752">
        <f t="shared" si="27"/>
        <v>3.34728033472802E-2</v>
      </c>
      <c r="BA16" s="751">
        <f t="shared" si="27"/>
        <v>6.7476383265856477E-3</v>
      </c>
      <c r="BB16" s="198">
        <f t="shared" si="27"/>
        <v>3.0160857908847483E-2</v>
      </c>
      <c r="BC16" s="198">
        <f t="shared" si="27"/>
        <v>5.0097592713077344E-2</v>
      </c>
      <c r="BD16" s="752">
        <f t="shared" si="27"/>
        <v>2.8500619578686548E-2</v>
      </c>
      <c r="BE16" s="264"/>
      <c r="BF16" s="631"/>
      <c r="BG16" s="67"/>
      <c r="BH16" s="67"/>
      <c r="BI16" s="67"/>
      <c r="BJ16" s="67"/>
      <c r="BK16" s="67"/>
      <c r="BL16" s="67"/>
      <c r="BM16" s="67"/>
      <c r="BN16" s="754"/>
      <c r="BO16" s="194"/>
      <c r="BP16" s="194"/>
      <c r="BQ16" s="194"/>
      <c r="BR16" s="194"/>
      <c r="BS16" s="194"/>
      <c r="BT16" s="194"/>
      <c r="BU16" s="194"/>
      <c r="BV16" s="194"/>
      <c r="BW16" s="194"/>
      <c r="BX16" s="194"/>
      <c r="BY16" s="753"/>
      <c r="BZ16" s="266"/>
      <c r="CA16" s="80"/>
      <c r="CB16" s="88"/>
      <c r="CC16" s="88"/>
      <c r="CD16" s="88"/>
      <c r="CE16" s="88"/>
      <c r="CF16" s="88"/>
      <c r="CG16" s="88"/>
    </row>
    <row r="17" spans="1:85" ht="11.25" customHeight="1">
      <c r="A17" s="86"/>
      <c r="B17" s="86"/>
      <c r="C17" s="86"/>
      <c r="D17" s="86"/>
      <c r="E17" s="86"/>
      <c r="F17" s="86"/>
      <c r="G17" s="86"/>
      <c r="H17" s="328"/>
      <c r="I17" s="770"/>
      <c r="J17" s="193"/>
      <c r="K17" s="67"/>
      <c r="L17" s="67"/>
      <c r="M17" s="198"/>
      <c r="N17" s="198"/>
      <c r="O17" s="198"/>
      <c r="P17" s="752"/>
      <c r="Q17" s="198"/>
      <c r="R17" s="198"/>
      <c r="S17" s="198"/>
      <c r="T17" s="198"/>
      <c r="U17" s="751"/>
      <c r="V17" s="198"/>
      <c r="W17" s="198"/>
      <c r="X17" s="198"/>
      <c r="Y17" s="751"/>
      <c r="Z17" s="198"/>
      <c r="AA17" s="198"/>
      <c r="AB17" s="752"/>
      <c r="AC17" s="198"/>
      <c r="AD17" s="198"/>
      <c r="AE17" s="198"/>
      <c r="AF17" s="752"/>
      <c r="AG17" s="751"/>
      <c r="AH17" s="198"/>
      <c r="AI17" s="198"/>
      <c r="AJ17" s="752"/>
      <c r="AK17" s="198"/>
      <c r="AL17" s="198"/>
      <c r="AM17" s="359"/>
      <c r="AN17" s="2696"/>
      <c r="AO17" s="751"/>
      <c r="AP17" s="198"/>
      <c r="AQ17" s="198"/>
      <c r="AR17" s="2696"/>
      <c r="AS17" s="751"/>
      <c r="AT17" s="198"/>
      <c r="AU17" s="198"/>
      <c r="AV17" s="752"/>
      <c r="AW17" s="751"/>
      <c r="AX17" s="198"/>
      <c r="AY17" s="198"/>
      <c r="AZ17" s="752"/>
      <c r="BA17" s="751"/>
      <c r="BB17" s="198"/>
      <c r="BC17" s="198"/>
      <c r="BD17" s="752"/>
      <c r="BE17" s="264"/>
      <c r="BF17" s="631"/>
      <c r="BG17" s="67"/>
      <c r="BH17" s="67"/>
      <c r="BI17" s="67"/>
      <c r="BJ17" s="67"/>
      <c r="BK17" s="67"/>
      <c r="BL17" s="67"/>
      <c r="BM17" s="67"/>
      <c r="BN17" s="754"/>
      <c r="BO17" s="194"/>
      <c r="BP17" s="194"/>
      <c r="BQ17" s="194"/>
      <c r="BR17" s="194"/>
      <c r="BS17" s="194"/>
      <c r="BT17" s="194"/>
      <c r="BU17" s="194"/>
      <c r="BV17" s="194"/>
      <c r="BW17" s="194"/>
      <c r="BX17" s="194"/>
      <c r="BY17" s="753"/>
      <c r="BZ17" s="266"/>
      <c r="CA17" s="80"/>
      <c r="CB17" s="88"/>
      <c r="CC17" s="88"/>
      <c r="CD17" s="88"/>
      <c r="CE17" s="88"/>
      <c r="CF17" s="88"/>
      <c r="CG17" s="88"/>
    </row>
    <row r="18" spans="1:85" s="42" customFormat="1" ht="11.25" hidden="1" customHeight="1" outlineLevel="1">
      <c r="A18" s="328"/>
      <c r="B18" s="328"/>
      <c r="C18" s="328"/>
      <c r="D18" s="328"/>
      <c r="E18" s="328"/>
      <c r="F18" s="328"/>
      <c r="G18" s="328"/>
      <c r="H18" s="328"/>
      <c r="I18" s="457" t="s">
        <v>689</v>
      </c>
      <c r="J18" s="1165"/>
      <c r="K18" s="409"/>
      <c r="L18" s="409"/>
      <c r="M18" s="2769">
        <f>M12-Model!M20</f>
        <v>7.2009999999999987</v>
      </c>
      <c r="N18" s="2769">
        <f>N12-Model!N20</f>
        <v>8.2649999999999988</v>
      </c>
      <c r="O18" s="2769">
        <f>O12-Model!O20</f>
        <v>9.3990000000000009</v>
      </c>
      <c r="P18" s="2770">
        <f>P12-Model!P20</f>
        <v>10.82</v>
      </c>
      <c r="Q18" s="2769">
        <f>Q12-Model!Q20</f>
        <v>12.917</v>
      </c>
      <c r="R18" s="2769">
        <f>R12-Model!R20</f>
        <v>15.106999999999999</v>
      </c>
      <c r="S18" s="2769">
        <f>S12-Model!S20</f>
        <v>17.702999999999999</v>
      </c>
      <c r="T18" s="2770">
        <f>T12-Model!T20</f>
        <v>19.872</v>
      </c>
      <c r="U18" s="2769">
        <f>U12-Model!U20</f>
        <v>23.390999999999998</v>
      </c>
      <c r="V18" s="2769">
        <f>V12-Model!V20</f>
        <v>26.95</v>
      </c>
      <c r="W18" s="2769">
        <f>W12-Model!W20</f>
        <v>30.485000000000003</v>
      </c>
      <c r="X18" s="2770">
        <f>X12-Model!X20</f>
        <v>36.159999999999997</v>
      </c>
      <c r="Y18" s="2769">
        <f>Y12-Model!Y20</f>
        <v>41.366</v>
      </c>
      <c r="Z18" s="2769">
        <f>Z12-Model!Z20</f>
        <v>47.97</v>
      </c>
      <c r="AA18" s="2769">
        <f>AA12-Model!AA20</f>
        <v>54.271000000000001</v>
      </c>
      <c r="AB18" s="2770">
        <f>AB12-Model!AB20</f>
        <v>61.406999999999996</v>
      </c>
      <c r="AC18" s="2769">
        <f>AC12-Model!AC20</f>
        <v>68.95</v>
      </c>
      <c r="AD18" s="2769">
        <f>AD12-Model!AD20</f>
        <v>79.731999999999999</v>
      </c>
      <c r="AE18" s="2769">
        <f>AE12-Model!AE20</f>
        <v>93.137</v>
      </c>
      <c r="AF18" s="2770">
        <f>AF12-Model!AF20</f>
        <v>101.19999999999999</v>
      </c>
      <c r="AG18" s="2769">
        <f>AG12-Model!AG20</f>
        <v>105.173</v>
      </c>
      <c r="AH18" s="2769">
        <f>AH12-Model!AH20</f>
        <v>117.297</v>
      </c>
      <c r="AI18" s="2769">
        <f>AI12-Model!AI20</f>
        <v>125.622</v>
      </c>
      <c r="AJ18" s="2770">
        <f>AJ12-Model!AJ20</f>
        <v>139.595</v>
      </c>
      <c r="AK18" s="2769">
        <f>AK12-Model!AK20</f>
        <v>158.613</v>
      </c>
      <c r="AL18" s="2769">
        <f>AL12-Model!AL20</f>
        <v>173.428</v>
      </c>
      <c r="AM18" s="2769">
        <f>AM12-Model!AM20</f>
        <v>186.232</v>
      </c>
      <c r="AN18" s="2770">
        <f>AN12-Model!AN20</f>
        <v>194.79599999999999</v>
      </c>
      <c r="AO18" s="2769">
        <f>AO12-Model!AO20</f>
        <v>197.32300000000001</v>
      </c>
      <c r="AP18" s="2769">
        <f>AP12-Model!AP20</f>
        <v>208.864</v>
      </c>
      <c r="AQ18" s="2769">
        <f>AQ12-Model!AQ20</f>
        <v>222.38</v>
      </c>
      <c r="AR18" s="2770">
        <f>AR12-Model!AR20</f>
        <v>218.24600000000001</v>
      </c>
      <c r="AS18" s="2769">
        <f>AS12-Model!AS20</f>
        <v>221.2</v>
      </c>
      <c r="AT18" s="2769">
        <f>AT12-Model!AT20</f>
        <v>231.4</v>
      </c>
      <c r="AU18" s="2769">
        <f>AU12-Model!AU20</f>
        <v>248</v>
      </c>
      <c r="AV18" s="2770">
        <f>AV12-Model!AV20</f>
        <v>259.39999999999998</v>
      </c>
      <c r="AW18" s="2769">
        <f>AW12-Model!AW20</f>
        <v>262.2</v>
      </c>
      <c r="AX18" s="2769">
        <f>AX12-Model!AX20</f>
        <v>271</v>
      </c>
      <c r="AY18" s="2769">
        <f>AY12-Model!AY20</f>
        <v>286.8</v>
      </c>
      <c r="AZ18" s="2770">
        <f>AZ12-Model!AZ20</f>
        <v>296.39999999999998</v>
      </c>
      <c r="BA18" s="2769">
        <f>BA12-Model!BA20</f>
        <v>298.39999999999998</v>
      </c>
      <c r="BB18" s="2769">
        <f>BB12-Model!BB20</f>
        <v>307.40000000000003</v>
      </c>
      <c r="BC18" s="2769">
        <f>BC12-Model!BC20</f>
        <v>322.8</v>
      </c>
      <c r="BD18" s="2770">
        <f>BD12-Model!BD20</f>
        <v>332</v>
      </c>
      <c r="BE18" s="264"/>
      <c r="BF18" s="503"/>
      <c r="BG18" s="409"/>
      <c r="BH18" s="409"/>
      <c r="BI18" s="409"/>
      <c r="BJ18" s="409"/>
      <c r="BK18" s="409"/>
      <c r="BL18" s="409"/>
      <c r="BM18" s="409"/>
      <c r="BN18" s="2771"/>
      <c r="BO18" s="266"/>
      <c r="BP18" s="266"/>
      <c r="BQ18" s="266"/>
      <c r="BR18" s="266"/>
      <c r="BS18" s="266"/>
      <c r="BT18" s="266"/>
      <c r="BU18" s="266"/>
      <c r="BV18" s="266"/>
      <c r="BW18" s="266"/>
      <c r="BX18" s="266"/>
      <c r="BY18" s="731"/>
      <c r="BZ18" s="266"/>
      <c r="CA18" s="1917"/>
      <c r="CB18" s="1918"/>
      <c r="CC18" s="1918"/>
      <c r="CD18" s="1918"/>
      <c r="CE18" s="1918"/>
      <c r="CF18" s="1918"/>
      <c r="CG18" s="1918"/>
    </row>
    <row r="19" spans="1:85" s="42" customFormat="1" ht="11.25" hidden="1" customHeight="1" outlineLevel="1">
      <c r="A19" s="328"/>
      <c r="B19" s="328"/>
      <c r="C19" s="328"/>
      <c r="D19" s="328"/>
      <c r="E19" s="328"/>
      <c r="F19" s="328"/>
      <c r="G19" s="328"/>
      <c r="H19" s="328"/>
      <c r="I19" s="1127" t="s">
        <v>132</v>
      </c>
      <c r="J19" s="1165"/>
      <c r="K19" s="409"/>
      <c r="L19" s="409"/>
      <c r="M19" s="264"/>
      <c r="N19" s="264"/>
      <c r="O19" s="264"/>
      <c r="P19" s="1242"/>
      <c r="Q19" s="264">
        <f t="shared" ref="Q19:BD19" si="28">Q18/M18-1</f>
        <v>0.79377864185529812</v>
      </c>
      <c r="R19" s="264">
        <f t="shared" si="28"/>
        <v>0.82782819116757422</v>
      </c>
      <c r="S19" s="264">
        <f t="shared" si="28"/>
        <v>0.88349824449409486</v>
      </c>
      <c r="T19" s="1242">
        <f t="shared" si="28"/>
        <v>0.83659889094269868</v>
      </c>
      <c r="U19" s="264">
        <f t="shared" si="28"/>
        <v>0.81086939691878901</v>
      </c>
      <c r="V19" s="264">
        <f t="shared" si="28"/>
        <v>0.78394121930231031</v>
      </c>
      <c r="W19" s="264">
        <f t="shared" si="28"/>
        <v>0.72202451561882186</v>
      </c>
      <c r="X19" s="1242">
        <f t="shared" si="28"/>
        <v>0.81964573268921082</v>
      </c>
      <c r="Y19" s="264">
        <f t="shared" si="28"/>
        <v>0.76845795391389871</v>
      </c>
      <c r="Z19" s="264">
        <f t="shared" si="28"/>
        <v>0.77996289424860854</v>
      </c>
      <c r="AA19" s="264">
        <f t="shared" si="28"/>
        <v>0.78025258323765767</v>
      </c>
      <c r="AB19" s="1242">
        <f t="shared" si="28"/>
        <v>0.69820243362831858</v>
      </c>
      <c r="AC19" s="264">
        <f t="shared" si="28"/>
        <v>0.66682782961852727</v>
      </c>
      <c r="AD19" s="264">
        <f t="shared" si="28"/>
        <v>0.66212215968313526</v>
      </c>
      <c r="AE19" s="264">
        <f t="shared" si="28"/>
        <v>0.71614674503878684</v>
      </c>
      <c r="AF19" s="1242">
        <f t="shared" si="28"/>
        <v>0.64802058397251128</v>
      </c>
      <c r="AG19" s="264">
        <f t="shared" si="28"/>
        <v>0.52535170413342991</v>
      </c>
      <c r="AH19" s="264">
        <f t="shared" si="28"/>
        <v>0.47114082175287209</v>
      </c>
      <c r="AI19" s="264">
        <f t="shared" si="28"/>
        <v>0.34878727036516088</v>
      </c>
      <c r="AJ19" s="1242">
        <f t="shared" si="28"/>
        <v>0.37939723320158114</v>
      </c>
      <c r="AK19" s="264">
        <f t="shared" si="28"/>
        <v>0.50811520066937321</v>
      </c>
      <c r="AL19" s="264">
        <f t="shared" si="28"/>
        <v>0.47853738799798795</v>
      </c>
      <c r="AM19" s="264">
        <f t="shared" si="28"/>
        <v>0.48247918358249353</v>
      </c>
      <c r="AN19" s="1242">
        <f t="shared" si="28"/>
        <v>0.39543679931229625</v>
      </c>
      <c r="AO19" s="264">
        <f t="shared" si="28"/>
        <v>0.24405313561940067</v>
      </c>
      <c r="AP19" s="264">
        <f t="shared" si="28"/>
        <v>0.20432686763383079</v>
      </c>
      <c r="AQ19" s="264">
        <f t="shared" si="28"/>
        <v>0.19410198032561543</v>
      </c>
      <c r="AR19" s="1242">
        <f t="shared" si="28"/>
        <v>0.12038234871352604</v>
      </c>
      <c r="AS19" s="264">
        <f t="shared" si="28"/>
        <v>0.12100464720280946</v>
      </c>
      <c r="AT19" s="264">
        <f t="shared" si="28"/>
        <v>0.10789796231040305</v>
      </c>
      <c r="AU19" s="264">
        <f t="shared" si="28"/>
        <v>0.11520820217645467</v>
      </c>
      <c r="AV19" s="1242">
        <f t="shared" si="28"/>
        <v>0.18856702986538121</v>
      </c>
      <c r="AW19" s="264">
        <f t="shared" si="28"/>
        <v>0.18535262206148273</v>
      </c>
      <c r="AX19" s="264">
        <f t="shared" si="28"/>
        <v>0.17113223854796877</v>
      </c>
      <c r="AY19" s="264">
        <f t="shared" si="28"/>
        <v>0.15645161290322585</v>
      </c>
      <c r="AZ19" s="1242">
        <f t="shared" si="28"/>
        <v>0.14263685427910566</v>
      </c>
      <c r="BA19" s="264">
        <f t="shared" si="28"/>
        <v>0.13806254767353154</v>
      </c>
      <c r="BB19" s="264">
        <f t="shared" si="28"/>
        <v>0.13431734317343191</v>
      </c>
      <c r="BC19" s="264">
        <f t="shared" si="28"/>
        <v>0.12552301255230125</v>
      </c>
      <c r="BD19" s="1242">
        <f t="shared" si="28"/>
        <v>0.12010796221322551</v>
      </c>
      <c r="BE19" s="2773"/>
      <c r="BF19" s="409"/>
      <c r="BG19" s="409"/>
      <c r="BH19" s="409"/>
      <c r="BI19" s="409"/>
      <c r="BJ19" s="409"/>
      <c r="BK19" s="409"/>
      <c r="BL19" s="409"/>
      <c r="BM19" s="409"/>
      <c r="BN19" s="2771"/>
      <c r="BO19" s="266"/>
      <c r="BP19" s="266"/>
      <c r="BQ19" s="266"/>
      <c r="BR19" s="266"/>
      <c r="BS19" s="266"/>
      <c r="BT19" s="266"/>
      <c r="BU19" s="266"/>
      <c r="BV19" s="266"/>
      <c r="BW19" s="266"/>
      <c r="BX19" s="266"/>
      <c r="BY19" s="731"/>
      <c r="BZ19" s="266"/>
      <c r="CA19" s="1917"/>
      <c r="CB19" s="1918"/>
      <c r="CC19" s="1918"/>
      <c r="CD19" s="1918"/>
      <c r="CE19" s="1918"/>
      <c r="CF19" s="1918"/>
      <c r="CG19" s="1918"/>
    </row>
    <row r="20" spans="1:85" s="42" customFormat="1" ht="11.25" hidden="1" customHeight="1" outlineLevel="1">
      <c r="A20" s="328"/>
      <c r="B20" s="328"/>
      <c r="C20" s="328"/>
      <c r="D20" s="328"/>
      <c r="E20" s="328"/>
      <c r="F20" s="328"/>
      <c r="G20" s="328"/>
      <c r="H20" s="328"/>
      <c r="I20" s="1127" t="s">
        <v>146</v>
      </c>
      <c r="J20" s="1165"/>
      <c r="K20" s="409"/>
      <c r="L20" s="409"/>
      <c r="M20" s="264"/>
      <c r="N20" s="264">
        <f t="shared" ref="N20:BD20" si="29">N18/M18-1</f>
        <v>0.14775725593667555</v>
      </c>
      <c r="O20" s="264">
        <f t="shared" si="29"/>
        <v>0.1372050816696917</v>
      </c>
      <c r="P20" s="1242">
        <f t="shared" si="29"/>
        <v>0.15118629641451209</v>
      </c>
      <c r="Q20" s="264">
        <f t="shared" si="29"/>
        <v>0.19380776340110906</v>
      </c>
      <c r="R20" s="264">
        <f t="shared" si="29"/>
        <v>0.16954401176743827</v>
      </c>
      <c r="S20" s="264">
        <f t="shared" si="29"/>
        <v>0.17184086847156954</v>
      </c>
      <c r="T20" s="1242">
        <f t="shared" si="29"/>
        <v>0.12252160650737176</v>
      </c>
      <c r="U20" s="264">
        <f t="shared" si="29"/>
        <v>0.17708333333333326</v>
      </c>
      <c r="V20" s="264">
        <f t="shared" si="29"/>
        <v>0.15215253730067135</v>
      </c>
      <c r="W20" s="264">
        <f t="shared" si="29"/>
        <v>0.13116883116883127</v>
      </c>
      <c r="X20" s="1242">
        <f t="shared" si="29"/>
        <v>0.18615712645563365</v>
      </c>
      <c r="Y20" s="264">
        <f t="shared" si="29"/>
        <v>0.14397123893805319</v>
      </c>
      <c r="Z20" s="264">
        <f t="shared" si="29"/>
        <v>0.15964802011313628</v>
      </c>
      <c r="AA20" s="264">
        <f t="shared" si="29"/>
        <v>0.1313529289139046</v>
      </c>
      <c r="AB20" s="1242">
        <f t="shared" si="29"/>
        <v>0.13148827182104617</v>
      </c>
      <c r="AC20" s="264">
        <f t="shared" si="29"/>
        <v>0.12283615874411713</v>
      </c>
      <c r="AD20" s="264">
        <f t="shared" si="29"/>
        <v>0.156374184191443</v>
      </c>
      <c r="AE20" s="264">
        <f t="shared" si="29"/>
        <v>0.16812572116590574</v>
      </c>
      <c r="AF20" s="1242">
        <f t="shared" si="29"/>
        <v>8.657139482697529E-2</v>
      </c>
      <c r="AG20" s="264">
        <f t="shared" si="29"/>
        <v>3.925889328063259E-2</v>
      </c>
      <c r="AH20" s="264">
        <f t="shared" si="29"/>
        <v>0.11527673452311893</v>
      </c>
      <c r="AI20" s="264">
        <f t="shared" si="29"/>
        <v>7.0973682191360465E-2</v>
      </c>
      <c r="AJ20" s="1242">
        <f t="shared" si="29"/>
        <v>0.11123051694766839</v>
      </c>
      <c r="AK20" s="264">
        <f t="shared" si="29"/>
        <v>0.13623697123822498</v>
      </c>
      <c r="AL20" s="264">
        <f t="shared" si="29"/>
        <v>9.3403441079860983E-2</v>
      </c>
      <c r="AM20" s="264">
        <f t="shared" si="29"/>
        <v>7.3828908826717665E-2</v>
      </c>
      <c r="AN20" s="1242">
        <f t="shared" si="29"/>
        <v>4.5985652304652236E-2</v>
      </c>
      <c r="AO20" s="264">
        <f t="shared" si="29"/>
        <v>1.2972545637487398E-2</v>
      </c>
      <c r="AP20" s="264">
        <f t="shared" si="29"/>
        <v>5.8487860006182668E-2</v>
      </c>
      <c r="AQ20" s="264">
        <f t="shared" si="29"/>
        <v>6.4711965681017336E-2</v>
      </c>
      <c r="AR20" s="1242">
        <f t="shared" si="29"/>
        <v>-1.8589801241118753E-2</v>
      </c>
      <c r="AS20" s="264">
        <f t="shared" si="29"/>
        <v>1.3535185066392952E-2</v>
      </c>
      <c r="AT20" s="264">
        <f t="shared" si="29"/>
        <v>4.6112115732368952E-2</v>
      </c>
      <c r="AU20" s="264">
        <f t="shared" si="29"/>
        <v>7.1737251512532296E-2</v>
      </c>
      <c r="AV20" s="1242">
        <f t="shared" si="29"/>
        <v>4.5967741935483808E-2</v>
      </c>
      <c r="AW20" s="264">
        <f t="shared" si="29"/>
        <v>1.0794140323824308E-2</v>
      </c>
      <c r="AX20" s="264">
        <f t="shared" si="29"/>
        <v>3.3562166285278527E-2</v>
      </c>
      <c r="AY20" s="264">
        <f t="shared" si="29"/>
        <v>5.8302583025830357E-2</v>
      </c>
      <c r="AZ20" s="1242">
        <f t="shared" si="29"/>
        <v>3.34728033472802E-2</v>
      </c>
      <c r="BA20" s="264">
        <f t="shared" si="29"/>
        <v>6.7476383265856477E-3</v>
      </c>
      <c r="BB20" s="264">
        <f t="shared" si="29"/>
        <v>3.0160857908847483E-2</v>
      </c>
      <c r="BC20" s="264">
        <f t="shared" si="29"/>
        <v>5.0097592713077344E-2</v>
      </c>
      <c r="BD20" s="1242">
        <f t="shared" si="29"/>
        <v>2.8500619578686548E-2</v>
      </c>
      <c r="BE20" s="2773"/>
      <c r="BF20" s="409"/>
      <c r="BG20" s="409"/>
      <c r="BH20" s="409"/>
      <c r="BI20" s="409"/>
      <c r="BJ20" s="409"/>
      <c r="BK20" s="409"/>
      <c r="BL20" s="409"/>
      <c r="BM20" s="409"/>
      <c r="BN20" s="2771"/>
      <c r="BO20" s="266"/>
      <c r="BP20" s="266"/>
      <c r="BQ20" s="266"/>
      <c r="BR20" s="266"/>
      <c r="BS20" s="266"/>
      <c r="BT20" s="266"/>
      <c r="BU20" s="266"/>
      <c r="BV20" s="266"/>
      <c r="BW20" s="266"/>
      <c r="BX20" s="266"/>
      <c r="BY20" s="731"/>
      <c r="BZ20" s="266"/>
      <c r="CA20" s="1917"/>
      <c r="CB20" s="1918"/>
      <c r="CC20" s="1918"/>
      <c r="CD20" s="1918"/>
      <c r="CE20" s="1918"/>
      <c r="CF20" s="1918"/>
      <c r="CG20" s="1918"/>
    </row>
    <row r="21" spans="1:85" s="42" customFormat="1" ht="11.25" customHeight="1" collapsed="1">
      <c r="A21" s="328"/>
      <c r="B21" s="328"/>
      <c r="C21" s="328"/>
      <c r="D21" s="328"/>
      <c r="E21" s="328"/>
      <c r="F21" s="328"/>
      <c r="G21" s="328"/>
      <c r="H21" s="328"/>
      <c r="I21" s="1127"/>
      <c r="J21" s="1165"/>
      <c r="K21" s="409"/>
      <c r="L21" s="409"/>
      <c r="M21" s="264"/>
      <c r="N21" s="264"/>
      <c r="O21" s="264"/>
      <c r="P21" s="1242"/>
      <c r="Q21" s="264"/>
      <c r="R21" s="264"/>
      <c r="S21" s="264"/>
      <c r="T21" s="1242"/>
      <c r="U21" s="264"/>
      <c r="V21" s="264"/>
      <c r="W21" s="264"/>
      <c r="X21" s="1242"/>
      <c r="Y21" s="264"/>
      <c r="Z21" s="264"/>
      <c r="AA21" s="264"/>
      <c r="AB21" s="1242"/>
      <c r="AC21" s="264"/>
      <c r="AD21" s="264"/>
      <c r="AE21" s="264"/>
      <c r="AF21" s="1242"/>
      <c r="AG21" s="264"/>
      <c r="AH21" s="264"/>
      <c r="AI21" s="264"/>
      <c r="AJ21" s="1242"/>
      <c r="AK21" s="264"/>
      <c r="AL21" s="264"/>
      <c r="AM21" s="264"/>
      <c r="AN21" s="1242"/>
      <c r="AO21" s="264"/>
      <c r="AP21" s="264"/>
      <c r="AQ21" s="264"/>
      <c r="AR21" s="1242"/>
      <c r="AS21" s="264"/>
      <c r="AT21" s="264"/>
      <c r="AU21" s="264"/>
      <c r="AV21" s="1242"/>
      <c r="AW21" s="264"/>
      <c r="AX21" s="264"/>
      <c r="AY21" s="264"/>
      <c r="AZ21" s="1242"/>
      <c r="BA21" s="264"/>
      <c r="BB21" s="264"/>
      <c r="BC21" s="264"/>
      <c r="BD21" s="1242"/>
      <c r="BE21" s="2773"/>
      <c r="BF21" s="409"/>
      <c r="BG21" s="409"/>
      <c r="BH21" s="409"/>
      <c r="BI21" s="409"/>
      <c r="BJ21" s="409"/>
      <c r="BK21" s="409"/>
      <c r="BL21" s="409"/>
      <c r="BM21" s="409"/>
      <c r="BN21" s="266"/>
      <c r="BO21" s="266"/>
      <c r="BP21" s="266"/>
      <c r="BQ21" s="266"/>
      <c r="BR21" s="266"/>
      <c r="BS21" s="266"/>
      <c r="BT21" s="266"/>
      <c r="BU21" s="266"/>
      <c r="BV21" s="266"/>
      <c r="BW21" s="266"/>
      <c r="BX21" s="266"/>
      <c r="BY21" s="731"/>
      <c r="BZ21" s="266"/>
      <c r="CA21" s="1917"/>
      <c r="CB21" s="1918"/>
      <c r="CC21" s="1918"/>
      <c r="CD21" s="1918"/>
      <c r="CE21" s="1918"/>
      <c r="CF21" s="1918"/>
      <c r="CG21" s="1918"/>
    </row>
    <row r="22" spans="1:85" s="90" customFormat="1" ht="11.25" customHeight="1">
      <c r="A22" s="1349"/>
      <c r="B22" s="1349"/>
      <c r="C22" s="1349"/>
      <c r="D22" s="1349"/>
      <c r="E22" s="1349"/>
      <c r="F22" s="1349"/>
      <c r="G22" s="1349"/>
      <c r="H22" s="1349"/>
      <c r="I22" s="2726" t="s">
        <v>690</v>
      </c>
      <c r="J22" s="2829"/>
      <c r="K22" s="2716"/>
      <c r="L22" s="2716"/>
      <c r="M22" s="2803">
        <f>M67</f>
        <v>7.0880000000000001</v>
      </c>
      <c r="N22" s="2803">
        <f t="shared" ref="N22:BD22" si="30">N67</f>
        <v>8.1519999999999992</v>
      </c>
      <c r="O22" s="2803">
        <f t="shared" si="30"/>
        <v>8.8800000000000008</v>
      </c>
      <c r="P22" s="2804">
        <f t="shared" si="30"/>
        <v>9.6389999999999993</v>
      </c>
      <c r="Q22" s="2803">
        <f t="shared" si="30"/>
        <v>11.222</v>
      </c>
      <c r="R22" s="2803">
        <f t="shared" si="30"/>
        <v>13.356999999999999</v>
      </c>
      <c r="S22" s="2803">
        <f t="shared" si="30"/>
        <v>15.746</v>
      </c>
      <c r="T22" s="2804">
        <f t="shared" si="30"/>
        <v>18.148</v>
      </c>
      <c r="U22" s="2803">
        <f t="shared" si="30"/>
        <v>21.472999999999999</v>
      </c>
      <c r="V22" s="2803">
        <f t="shared" si="30"/>
        <v>25.254999999999999</v>
      </c>
      <c r="W22" s="2803">
        <f t="shared" si="30"/>
        <v>28.484999999999999</v>
      </c>
      <c r="X22" s="2804">
        <f t="shared" si="30"/>
        <v>33.945</v>
      </c>
      <c r="Y22" s="2803">
        <f t="shared" si="30"/>
        <v>38.866</v>
      </c>
      <c r="Z22" s="2803">
        <f t="shared" si="30"/>
        <v>44.8</v>
      </c>
      <c r="AA22" s="2803">
        <f t="shared" si="30"/>
        <v>51.167000000000002</v>
      </c>
      <c r="AB22" s="2804">
        <f t="shared" si="30"/>
        <v>58.052</v>
      </c>
      <c r="AC22" s="2803">
        <f t="shared" si="30"/>
        <v>65.2</v>
      </c>
      <c r="AD22" s="2803">
        <f t="shared" si="30"/>
        <v>75.685000000000002</v>
      </c>
      <c r="AE22" s="2803">
        <f t="shared" si="30"/>
        <v>85.132000000000005</v>
      </c>
      <c r="AF22" s="2804">
        <f t="shared" si="30"/>
        <v>93.1</v>
      </c>
      <c r="AG22" s="2803">
        <f t="shared" si="30"/>
        <v>104.3</v>
      </c>
      <c r="AH22" s="2803">
        <f t="shared" si="30"/>
        <v>113.5</v>
      </c>
      <c r="AI22" s="2803">
        <f t="shared" si="30"/>
        <v>121.9</v>
      </c>
      <c r="AJ22" s="2804">
        <f t="shared" si="30"/>
        <v>131.69999999999999</v>
      </c>
      <c r="AK22" s="2803">
        <f t="shared" si="30"/>
        <v>143</v>
      </c>
      <c r="AL22" s="2803">
        <f t="shared" si="30"/>
        <v>156.69999999999999</v>
      </c>
      <c r="AM22" s="2803">
        <f t="shared" si="30"/>
        <v>169</v>
      </c>
      <c r="AN22" s="2804">
        <f t="shared" si="30"/>
        <v>176.5</v>
      </c>
      <c r="AO22" s="2803">
        <f t="shared" si="30"/>
        <v>177</v>
      </c>
      <c r="AP22" s="2803">
        <f>AP67</f>
        <v>186.6</v>
      </c>
      <c r="AQ22" s="2803">
        <f>AQ67</f>
        <v>199.6</v>
      </c>
      <c r="AR22" s="2804">
        <f t="shared" ref="AR22" si="31">AR67</f>
        <v>208.4</v>
      </c>
      <c r="AS22" s="2803">
        <f t="shared" si="30"/>
        <v>212</v>
      </c>
      <c r="AT22" s="2803">
        <f t="shared" si="30"/>
        <v>219.6</v>
      </c>
      <c r="AU22" s="2803">
        <f t="shared" si="30"/>
        <v>233.6</v>
      </c>
      <c r="AV22" s="2804">
        <f t="shared" si="30"/>
        <v>242.4</v>
      </c>
      <c r="AW22" s="2803">
        <f t="shared" si="30"/>
        <v>244</v>
      </c>
      <c r="AX22" s="2803">
        <f t="shared" si="30"/>
        <v>251.6</v>
      </c>
      <c r="AY22" s="2803">
        <f t="shared" si="30"/>
        <v>266.10000000000002</v>
      </c>
      <c r="AZ22" s="2804">
        <f t="shared" si="30"/>
        <v>274.39999999999998</v>
      </c>
      <c r="BA22" s="2803">
        <f t="shared" si="30"/>
        <v>275</v>
      </c>
      <c r="BB22" s="2803">
        <f t="shared" si="30"/>
        <v>282.60000000000002</v>
      </c>
      <c r="BC22" s="2803">
        <f t="shared" si="30"/>
        <v>296.60000000000002</v>
      </c>
      <c r="BD22" s="2804">
        <f t="shared" si="30"/>
        <v>304.39999999999998</v>
      </c>
      <c r="BE22" s="2805"/>
      <c r="BF22" s="431"/>
      <c r="BG22" s="431"/>
      <c r="BH22" s="431"/>
      <c r="BI22" s="431"/>
      <c r="BJ22" s="431"/>
      <c r="BK22" s="431"/>
      <c r="BL22" s="431"/>
      <c r="BM22" s="431"/>
      <c r="BN22" s="1385">
        <f>SUM(AC22:AF22)</f>
        <v>319.11699999999996</v>
      </c>
      <c r="BO22" s="431">
        <f>SUM(AG22:AJ22)</f>
        <v>471.40000000000003</v>
      </c>
      <c r="BP22" s="428">
        <f>SUM(AK22:AN22)</f>
        <v>645.20000000000005</v>
      </c>
      <c r="BQ22" s="428">
        <f>SUM(AO22:AR22)</f>
        <v>771.6</v>
      </c>
      <c r="BR22" s="428">
        <f>SUM(AS22:AV22)</f>
        <v>907.6</v>
      </c>
      <c r="BS22" s="428">
        <f>SUM(AW22:AZ22)</f>
        <v>1036.0999999999999</v>
      </c>
      <c r="BT22" s="428">
        <f>SUM(BA22:BD22)</f>
        <v>1158.5999999999999</v>
      </c>
      <c r="BU22" s="322">
        <f>BU67</f>
        <v>1276.5999999999999</v>
      </c>
      <c r="BV22" s="322">
        <f>BV67</f>
        <v>1390.6</v>
      </c>
      <c r="BW22" s="322">
        <f>BW67</f>
        <v>1499.6</v>
      </c>
      <c r="BX22" s="322">
        <f>BX67</f>
        <v>1603.6</v>
      </c>
      <c r="BY22" s="734">
        <f>BY67</f>
        <v>1703.6</v>
      </c>
      <c r="BZ22" s="274"/>
      <c r="CA22" s="95" t="str">
        <f>IF(ISERROR(RATE(5,,-BI22,BN22)),"NM",(RATE(5,,-BI22,BN22)))</f>
        <v>NM</v>
      </c>
      <c r="CB22" s="95" t="str">
        <f t="shared" ref="CB22:CG22" si="32">IF(ISERROR(RATE(3,,-BK22,BN22)),"NM",(RATE(3,,-BK22,BN22)))</f>
        <v>NM</v>
      </c>
      <c r="CC22" s="95" t="str">
        <f t="shared" si="32"/>
        <v>NM</v>
      </c>
      <c r="CD22" s="95" t="str">
        <f t="shared" si="32"/>
        <v>NM</v>
      </c>
      <c r="CE22" s="95">
        <f t="shared" si="32"/>
        <v>0.34219029060726874</v>
      </c>
      <c r="CF22" s="95">
        <f t="shared" si="32"/>
        <v>0.24404179057920686</v>
      </c>
      <c r="CG22" s="95">
        <f t="shared" si="32"/>
        <v>0.17103292240954615</v>
      </c>
    </row>
    <row r="23" spans="1:85" s="90" customFormat="1" ht="11.25" customHeight="1">
      <c r="A23" s="1349"/>
      <c r="B23" s="1349"/>
      <c r="C23" s="1349"/>
      <c r="D23" s="1349"/>
      <c r="E23" s="1349"/>
      <c r="F23" s="1349"/>
      <c r="G23" s="1349"/>
      <c r="H23" s="1349"/>
      <c r="I23" s="994" t="s">
        <v>380</v>
      </c>
      <c r="J23" s="2239"/>
      <c r="K23" s="431"/>
      <c r="L23" s="431"/>
      <c r="M23" s="2803"/>
      <c r="N23" s="2803"/>
      <c r="O23" s="2803"/>
      <c r="P23" s="2804"/>
      <c r="Q23" s="2803"/>
      <c r="R23" s="2803"/>
      <c r="S23" s="2803"/>
      <c r="T23" s="2804"/>
      <c r="U23" s="2803"/>
      <c r="V23" s="2803"/>
      <c r="W23" s="2803"/>
      <c r="X23" s="2804"/>
      <c r="Y23" s="2803"/>
      <c r="Z23" s="2803"/>
      <c r="AA23" s="2803"/>
      <c r="AB23" s="2804"/>
      <c r="AC23" s="2803"/>
      <c r="AD23" s="2803"/>
      <c r="AE23" s="2803"/>
      <c r="AF23" s="2804"/>
      <c r="AG23" s="2803"/>
      <c r="AH23" s="2803"/>
      <c r="AI23" s="2803"/>
      <c r="AJ23" s="2804"/>
      <c r="AK23" s="2803"/>
      <c r="AL23" s="2803"/>
      <c r="AM23" s="2803"/>
      <c r="AN23" s="2804"/>
      <c r="AO23" s="2803"/>
      <c r="AP23" s="2803"/>
      <c r="AQ23" s="2803"/>
      <c r="AR23" s="2804"/>
      <c r="AS23" s="2803"/>
      <c r="AT23" s="2803"/>
      <c r="AU23" s="2803"/>
      <c r="AV23" s="2804"/>
      <c r="AW23" s="2803"/>
      <c r="AX23" s="2803"/>
      <c r="AY23" s="2803"/>
      <c r="AZ23" s="2804"/>
      <c r="BA23" s="2803"/>
      <c r="BB23" s="2803"/>
      <c r="BC23" s="2803"/>
      <c r="BD23" s="2804"/>
      <c r="BE23" s="2805"/>
      <c r="BF23" s="431"/>
      <c r="BG23" s="431"/>
      <c r="BH23" s="431"/>
      <c r="BI23" s="431"/>
      <c r="BJ23" s="431"/>
      <c r="BK23" s="431"/>
      <c r="BL23" s="431"/>
      <c r="BM23" s="431"/>
      <c r="BN23" s="1385"/>
      <c r="BO23" s="110">
        <f>BO22-BN22</f>
        <v>152.28300000000007</v>
      </c>
      <c r="BP23" s="110">
        <f t="shared" ref="BP23" si="33">BP22-BO22</f>
        <v>173.8</v>
      </c>
      <c r="BQ23" s="110">
        <f t="shared" ref="BQ23" si="34">BQ22-BP22</f>
        <v>126.39999999999998</v>
      </c>
      <c r="BR23" s="110">
        <f t="shared" ref="BR23" si="35">BR22-BQ22</f>
        <v>136</v>
      </c>
      <c r="BS23" s="110">
        <f t="shared" ref="BS23" si="36">BS22-BR22</f>
        <v>128.49999999999989</v>
      </c>
      <c r="BT23" s="110">
        <f t="shared" ref="BT23" si="37">BT22-BS22</f>
        <v>122.5</v>
      </c>
      <c r="BU23" s="110">
        <f t="shared" ref="BU23" si="38">BU22-BT22</f>
        <v>118</v>
      </c>
      <c r="BV23" s="110">
        <f t="shared" ref="BV23" si="39">BV22-BU22</f>
        <v>114</v>
      </c>
      <c r="BW23" s="110">
        <f t="shared" ref="BW23" si="40">BW22-BV22</f>
        <v>109</v>
      </c>
      <c r="BX23" s="110">
        <f t="shared" ref="BX23" si="41">BX22-BW22</f>
        <v>104</v>
      </c>
      <c r="BY23" s="469">
        <f t="shared" ref="BY23" si="42">BY22-BX22</f>
        <v>100</v>
      </c>
      <c r="BZ23" s="274"/>
      <c r="CA23" s="2881"/>
      <c r="CB23" s="2881"/>
      <c r="CC23" s="2881"/>
      <c r="CD23" s="2881"/>
      <c r="CE23" s="2881"/>
      <c r="CF23" s="2881"/>
      <c r="CG23" s="2881"/>
    </row>
    <row r="24" spans="1:85" s="90" customFormat="1" ht="11.25" customHeight="1">
      <c r="A24" s="1349"/>
      <c r="B24" s="1349"/>
      <c r="C24" s="1349"/>
      <c r="D24" s="1349"/>
      <c r="E24" s="1349"/>
      <c r="F24" s="1349"/>
      <c r="G24" s="1349"/>
      <c r="H24" s="1349"/>
      <c r="I24" s="994" t="s">
        <v>377</v>
      </c>
      <c r="J24" s="2239"/>
      <c r="K24" s="431"/>
      <c r="L24" s="431"/>
      <c r="M24" s="2803"/>
      <c r="N24" s="2803"/>
      <c r="O24" s="2803"/>
      <c r="P24" s="2804"/>
      <c r="Q24" s="2803"/>
      <c r="R24" s="2803"/>
      <c r="S24" s="2803"/>
      <c r="T24" s="2804"/>
      <c r="U24" s="2803"/>
      <c r="V24" s="2803"/>
      <c r="W24" s="2803"/>
      <c r="X24" s="2804"/>
      <c r="Y24" s="2803"/>
      <c r="Z24" s="2803"/>
      <c r="AA24" s="2803"/>
      <c r="AB24" s="2804"/>
      <c r="AC24" s="2803"/>
      <c r="AD24" s="2803"/>
      <c r="AE24" s="2803"/>
      <c r="AF24" s="2804"/>
      <c r="AG24" s="2803"/>
      <c r="AH24" s="2803"/>
      <c r="AI24" s="2803"/>
      <c r="AJ24" s="2804"/>
      <c r="AK24" s="2803"/>
      <c r="AL24" s="2803"/>
      <c r="AM24" s="2803"/>
      <c r="AN24" s="2804"/>
      <c r="AO24" s="2803"/>
      <c r="AP24" s="2803"/>
      <c r="AQ24" s="2803"/>
      <c r="AR24" s="2804"/>
      <c r="AS24" s="2803"/>
      <c r="AT24" s="2803"/>
      <c r="AU24" s="2803"/>
      <c r="AV24" s="2804"/>
      <c r="AW24" s="2803"/>
      <c r="AX24" s="2803"/>
      <c r="AY24" s="2803"/>
      <c r="AZ24" s="2804"/>
      <c r="BA24" s="2803"/>
      <c r="BB24" s="2803"/>
      <c r="BC24" s="2803"/>
      <c r="BD24" s="2804"/>
      <c r="BE24" s="2805"/>
      <c r="BF24" s="431"/>
      <c r="BG24" s="431"/>
      <c r="BH24" s="431"/>
      <c r="BI24" s="431"/>
      <c r="BJ24" s="431"/>
      <c r="BK24" s="431"/>
      <c r="BL24" s="431"/>
      <c r="BM24" s="431"/>
      <c r="BN24" s="1385"/>
      <c r="BO24" s="431"/>
      <c r="BP24" s="428"/>
      <c r="BQ24" s="428"/>
      <c r="BR24" s="428"/>
      <c r="BS24" s="428"/>
      <c r="BT24" s="428"/>
      <c r="BU24" s="428"/>
      <c r="BV24" s="428"/>
      <c r="BW24" s="428"/>
      <c r="BX24" s="428"/>
      <c r="BY24" s="471"/>
      <c r="BZ24" s="274"/>
      <c r="CA24" s="2881"/>
      <c r="CB24" s="2881"/>
      <c r="CC24" s="2881"/>
      <c r="CD24" s="2881"/>
      <c r="CE24" s="2881"/>
      <c r="CF24" s="2881"/>
      <c r="CG24" s="2881"/>
    </row>
    <row r="25" spans="1:85" s="42" customFormat="1" ht="11.25" customHeight="1">
      <c r="A25" s="328"/>
      <c r="B25" s="328"/>
      <c r="C25" s="328"/>
      <c r="D25" s="328"/>
      <c r="E25" s="328"/>
      <c r="F25" s="328"/>
      <c r="G25" s="328"/>
      <c r="H25" s="328"/>
      <c r="I25" s="1127" t="s">
        <v>132</v>
      </c>
      <c r="J25" s="1165"/>
      <c r="K25" s="409"/>
      <c r="L25" s="409"/>
      <c r="M25" s="264"/>
      <c r="N25" s="264"/>
      <c r="O25" s="264"/>
      <c r="P25" s="1242"/>
      <c r="Q25" s="264">
        <f t="shared" ref="Q25:BD25" si="43">Q22/M22-1</f>
        <v>0.58323927765237005</v>
      </c>
      <c r="R25" s="264">
        <f t="shared" si="43"/>
        <v>0.63849362119725228</v>
      </c>
      <c r="S25" s="264">
        <f t="shared" si="43"/>
        <v>0.77319819819819813</v>
      </c>
      <c r="T25" s="1242">
        <f t="shared" si="43"/>
        <v>0.88276792198360843</v>
      </c>
      <c r="U25" s="264">
        <f t="shared" si="43"/>
        <v>0.9134735341293887</v>
      </c>
      <c r="V25" s="264">
        <f t="shared" si="43"/>
        <v>0.890768885228719</v>
      </c>
      <c r="W25" s="264">
        <f t="shared" si="43"/>
        <v>0.8090308649815825</v>
      </c>
      <c r="X25" s="1242">
        <f t="shared" si="43"/>
        <v>0.87045404452281239</v>
      </c>
      <c r="Y25" s="264">
        <f t="shared" si="43"/>
        <v>0.80999394588553075</v>
      </c>
      <c r="Z25" s="264">
        <f t="shared" si="43"/>
        <v>0.77390615719659461</v>
      </c>
      <c r="AA25" s="264">
        <f t="shared" si="43"/>
        <v>0.7962787431981746</v>
      </c>
      <c r="AB25" s="1242">
        <f t="shared" si="43"/>
        <v>0.71017822948887899</v>
      </c>
      <c r="AC25" s="264">
        <f t="shared" si="43"/>
        <v>0.67755879174599909</v>
      </c>
      <c r="AD25" s="264">
        <f t="shared" si="43"/>
        <v>0.68939732142857157</v>
      </c>
      <c r="AE25" s="264">
        <f t="shared" si="43"/>
        <v>0.66380675044462256</v>
      </c>
      <c r="AF25" s="1242">
        <f t="shared" si="43"/>
        <v>0.60373458278784531</v>
      </c>
      <c r="AG25" s="264">
        <f t="shared" si="43"/>
        <v>0.59969325153374231</v>
      </c>
      <c r="AH25" s="264">
        <f t="shared" si="43"/>
        <v>0.49963665191253215</v>
      </c>
      <c r="AI25" s="264">
        <f t="shared" si="43"/>
        <v>0.43189399990602828</v>
      </c>
      <c r="AJ25" s="1242">
        <f t="shared" si="43"/>
        <v>0.4146079484425349</v>
      </c>
      <c r="AK25" s="264">
        <f t="shared" si="43"/>
        <v>0.37104506232023016</v>
      </c>
      <c r="AL25" s="264">
        <f t="shared" si="43"/>
        <v>0.38061674008810553</v>
      </c>
      <c r="AM25" s="264">
        <f t="shared" si="43"/>
        <v>0.3863822805578343</v>
      </c>
      <c r="AN25" s="1242">
        <f t="shared" si="43"/>
        <v>0.34016704631738803</v>
      </c>
      <c r="AO25" s="264">
        <f t="shared" si="43"/>
        <v>0.2377622377622377</v>
      </c>
      <c r="AP25" s="264">
        <f t="shared" si="43"/>
        <v>0.19081046585832806</v>
      </c>
      <c r="AQ25" s="264">
        <f t="shared" si="43"/>
        <v>0.18106508875739635</v>
      </c>
      <c r="AR25" s="1242">
        <f t="shared" si="43"/>
        <v>0.18073654390934846</v>
      </c>
      <c r="AS25" s="264">
        <f t="shared" si="43"/>
        <v>0.19774011299435035</v>
      </c>
      <c r="AT25" s="264">
        <f t="shared" si="43"/>
        <v>0.17684887459807075</v>
      </c>
      <c r="AU25" s="264">
        <f t="shared" si="43"/>
        <v>0.17034068136272551</v>
      </c>
      <c r="AV25" s="1242">
        <f t="shared" si="43"/>
        <v>0.16314779270633406</v>
      </c>
      <c r="AW25" s="264">
        <f t="shared" si="43"/>
        <v>0.15094339622641506</v>
      </c>
      <c r="AX25" s="264">
        <f t="shared" si="43"/>
        <v>0.14571948998178508</v>
      </c>
      <c r="AY25" s="264">
        <f t="shared" si="43"/>
        <v>0.13912671232876717</v>
      </c>
      <c r="AZ25" s="1242">
        <f t="shared" si="43"/>
        <v>0.13201320132013183</v>
      </c>
      <c r="BA25" s="264">
        <f t="shared" si="43"/>
        <v>0.12704918032786883</v>
      </c>
      <c r="BB25" s="264">
        <f t="shared" si="43"/>
        <v>0.12321144674085871</v>
      </c>
      <c r="BC25" s="264">
        <f t="shared" si="43"/>
        <v>0.11461856444945506</v>
      </c>
      <c r="BD25" s="1242">
        <f t="shared" si="43"/>
        <v>0.10932944606413986</v>
      </c>
      <c r="BE25" s="2773"/>
      <c r="BF25" s="409"/>
      <c r="BG25" s="409"/>
      <c r="BH25" s="409"/>
      <c r="BI25" s="409"/>
      <c r="BJ25" s="409"/>
      <c r="BK25" s="409"/>
      <c r="BL25" s="409"/>
      <c r="BM25" s="409"/>
      <c r="BN25" s="751" t="str">
        <f t="shared" ref="BN25:BY25" si="44">IF(ISERROR(BN22/BM22-1),"NA",(IF(BN22&lt;=0,"NM",BN22/BM22-1)))</f>
        <v>NA</v>
      </c>
      <c r="BO25" s="198">
        <f t="shared" si="44"/>
        <v>0.47720115192860324</v>
      </c>
      <c r="BP25" s="198">
        <f t="shared" si="44"/>
        <v>0.36868901145523969</v>
      </c>
      <c r="BQ25" s="198">
        <f t="shared" si="44"/>
        <v>0.19590824550526964</v>
      </c>
      <c r="BR25" s="198">
        <f t="shared" si="44"/>
        <v>0.17625712804561955</v>
      </c>
      <c r="BS25" s="198">
        <f t="shared" si="44"/>
        <v>0.14158219479947109</v>
      </c>
      <c r="BT25" s="198">
        <f t="shared" si="44"/>
        <v>0.11823183090435285</v>
      </c>
      <c r="BU25" s="198">
        <f t="shared" si="44"/>
        <v>0.1018470567926808</v>
      </c>
      <c r="BV25" s="198">
        <f t="shared" si="44"/>
        <v>8.9299702334325604E-2</v>
      </c>
      <c r="BW25" s="198">
        <f t="shared" si="44"/>
        <v>7.8383431612253807E-2</v>
      </c>
      <c r="BX25" s="198">
        <f t="shared" si="44"/>
        <v>6.9351827153907752E-2</v>
      </c>
      <c r="BY25" s="752">
        <f t="shared" si="44"/>
        <v>6.2359690695934056E-2</v>
      </c>
      <c r="BZ25" s="266"/>
      <c r="CA25" s="1917"/>
      <c r="CB25" s="1918"/>
      <c r="CC25" s="1918"/>
      <c r="CD25" s="1918"/>
      <c r="CE25" s="1918"/>
      <c r="CF25" s="1918"/>
      <c r="CG25" s="1918"/>
    </row>
    <row r="26" spans="1:85" s="42" customFormat="1" ht="11.25" customHeight="1">
      <c r="A26" s="328"/>
      <c r="B26" s="328"/>
      <c r="C26" s="328"/>
      <c r="D26" s="328"/>
      <c r="E26" s="328"/>
      <c r="F26" s="328"/>
      <c r="G26" s="328"/>
      <c r="H26" s="328"/>
      <c r="I26" s="1127" t="s">
        <v>146</v>
      </c>
      <c r="J26" s="1165"/>
      <c r="K26" s="409"/>
      <c r="L26" s="409"/>
      <c r="M26" s="264"/>
      <c r="N26" s="264">
        <f t="shared" ref="N26:BD26" si="45">N22/M22-1</f>
        <v>0.15011286681715563</v>
      </c>
      <c r="O26" s="264">
        <f t="shared" si="45"/>
        <v>8.9303238469087498E-2</v>
      </c>
      <c r="P26" s="1242">
        <f t="shared" si="45"/>
        <v>8.5472972972972849E-2</v>
      </c>
      <c r="Q26" s="264">
        <f t="shared" si="45"/>
        <v>0.16422865442473289</v>
      </c>
      <c r="R26" s="264">
        <f t="shared" si="45"/>
        <v>0.19025129210479408</v>
      </c>
      <c r="S26" s="264">
        <f t="shared" si="45"/>
        <v>0.17885752788799891</v>
      </c>
      <c r="T26" s="1242">
        <f t="shared" si="45"/>
        <v>0.15254667852152926</v>
      </c>
      <c r="U26" s="264">
        <f t="shared" si="45"/>
        <v>0.18321578135331706</v>
      </c>
      <c r="V26" s="264">
        <f t="shared" si="45"/>
        <v>0.17612816094630457</v>
      </c>
      <c r="W26" s="264">
        <f t="shared" si="45"/>
        <v>0.12789546624430814</v>
      </c>
      <c r="X26" s="1242">
        <f t="shared" si="45"/>
        <v>0.19167983149025813</v>
      </c>
      <c r="Y26" s="264">
        <f t="shared" si="45"/>
        <v>0.14496980409485927</v>
      </c>
      <c r="Z26" s="264">
        <f t="shared" si="45"/>
        <v>0.15267843359234279</v>
      </c>
      <c r="AA26" s="264">
        <f t="shared" si="45"/>
        <v>0.14212053571428584</v>
      </c>
      <c r="AB26" s="1242">
        <f t="shared" si="45"/>
        <v>0.13455938397795442</v>
      </c>
      <c r="AC26" s="264">
        <f t="shared" si="45"/>
        <v>0.12313098601254047</v>
      </c>
      <c r="AD26" s="264">
        <f t="shared" si="45"/>
        <v>0.16081288343558287</v>
      </c>
      <c r="AE26" s="264">
        <f t="shared" si="45"/>
        <v>0.12481997753848195</v>
      </c>
      <c r="AF26" s="1242">
        <f t="shared" si="45"/>
        <v>9.3595827655875485E-2</v>
      </c>
      <c r="AG26" s="264">
        <f t="shared" si="45"/>
        <v>0.12030075187969924</v>
      </c>
      <c r="AH26" s="264">
        <f t="shared" si="45"/>
        <v>8.8207094918504314E-2</v>
      </c>
      <c r="AI26" s="264">
        <f t="shared" si="45"/>
        <v>7.4008810572687267E-2</v>
      </c>
      <c r="AJ26" s="1242">
        <f t="shared" si="45"/>
        <v>8.0393765381460147E-2</v>
      </c>
      <c r="AK26" s="264">
        <f t="shared" si="45"/>
        <v>8.5801063022019841E-2</v>
      </c>
      <c r="AL26" s="264">
        <f t="shared" si="45"/>
        <v>9.5804195804195746E-2</v>
      </c>
      <c r="AM26" s="264">
        <f t="shared" si="45"/>
        <v>7.8493937460115015E-2</v>
      </c>
      <c r="AN26" s="1242">
        <f t="shared" si="45"/>
        <v>4.4378698224851965E-2</v>
      </c>
      <c r="AO26" s="264">
        <f t="shared" si="45"/>
        <v>2.8328611898016387E-3</v>
      </c>
      <c r="AP26" s="264">
        <f t="shared" si="45"/>
        <v>5.4237288135593253E-2</v>
      </c>
      <c r="AQ26" s="264">
        <f t="shared" si="45"/>
        <v>6.9667738478027763E-2</v>
      </c>
      <c r="AR26" s="1242">
        <f t="shared" si="45"/>
        <v>4.4088176352705455E-2</v>
      </c>
      <c r="AS26" s="264">
        <f t="shared" si="45"/>
        <v>1.7274472168905985E-2</v>
      </c>
      <c r="AT26" s="264">
        <f t="shared" si="45"/>
        <v>3.5849056603773466E-2</v>
      </c>
      <c r="AU26" s="264">
        <f t="shared" si="45"/>
        <v>6.3752276867030888E-2</v>
      </c>
      <c r="AV26" s="1242">
        <f t="shared" si="45"/>
        <v>3.7671232876712368E-2</v>
      </c>
      <c r="AW26" s="264">
        <f t="shared" si="45"/>
        <v>6.6006600660066805E-3</v>
      </c>
      <c r="AX26" s="264">
        <f t="shared" si="45"/>
        <v>3.1147540983606614E-2</v>
      </c>
      <c r="AY26" s="264">
        <f t="shared" si="45"/>
        <v>5.7631160572337192E-2</v>
      </c>
      <c r="AZ26" s="1242">
        <f t="shared" si="45"/>
        <v>3.1191281473130328E-2</v>
      </c>
      <c r="BA26" s="264">
        <f t="shared" si="45"/>
        <v>2.1865889212828726E-3</v>
      </c>
      <c r="BB26" s="264">
        <f t="shared" si="45"/>
        <v>2.7636363636363681E-2</v>
      </c>
      <c r="BC26" s="264">
        <f t="shared" si="45"/>
        <v>4.9539985845718393E-2</v>
      </c>
      <c r="BD26" s="1242">
        <f t="shared" si="45"/>
        <v>2.6298044504382778E-2</v>
      </c>
      <c r="BE26" s="2773"/>
      <c r="BF26" s="409"/>
      <c r="BG26" s="409"/>
      <c r="BH26" s="409"/>
      <c r="BI26" s="409"/>
      <c r="BJ26" s="409"/>
      <c r="BK26" s="409"/>
      <c r="BL26" s="409"/>
      <c r="BM26" s="409"/>
      <c r="BN26" s="266"/>
      <c r="BO26" s="266"/>
      <c r="BP26" s="266"/>
      <c r="BQ26" s="266"/>
      <c r="BR26" s="266"/>
      <c r="BS26" s="266"/>
      <c r="BT26" s="266"/>
      <c r="BU26" s="266"/>
      <c r="BV26" s="266"/>
      <c r="BW26" s="266"/>
      <c r="BX26" s="266"/>
      <c r="BY26" s="731"/>
      <c r="BZ26" s="266"/>
      <c r="CA26" s="1917"/>
      <c r="CB26" s="1918"/>
      <c r="CC26" s="1918"/>
      <c r="CD26" s="1918"/>
      <c r="CE26" s="1918"/>
      <c r="CF26" s="1918"/>
      <c r="CG26" s="1918"/>
    </row>
    <row r="27" spans="1:85" s="42" customFormat="1" ht="11.25" customHeight="1">
      <c r="A27" s="328"/>
      <c r="B27" s="328"/>
      <c r="C27" s="328"/>
      <c r="D27" s="328"/>
      <c r="E27" s="328"/>
      <c r="F27" s="328"/>
      <c r="G27" s="328"/>
      <c r="H27" s="328"/>
      <c r="I27" s="1127"/>
      <c r="J27" s="1165"/>
      <c r="K27" s="409"/>
      <c r="L27" s="409"/>
      <c r="M27" s="264"/>
      <c r="N27" s="264"/>
      <c r="O27" s="264"/>
      <c r="P27" s="1242"/>
      <c r="Q27" s="264"/>
      <c r="R27" s="264"/>
      <c r="S27" s="264"/>
      <c r="T27" s="1242"/>
      <c r="U27" s="264"/>
      <c r="V27" s="264"/>
      <c r="W27" s="264"/>
      <c r="X27" s="1242"/>
      <c r="Y27" s="264"/>
      <c r="Z27" s="264"/>
      <c r="AA27" s="264"/>
      <c r="AB27" s="1242"/>
      <c r="AC27" s="264"/>
      <c r="AD27" s="264"/>
      <c r="AE27" s="264"/>
      <c r="AF27" s="1242"/>
      <c r="AG27" s="264"/>
      <c r="AH27" s="264"/>
      <c r="AI27" s="264"/>
      <c r="AJ27" s="1242"/>
      <c r="AK27" s="264"/>
      <c r="AL27" s="264"/>
      <c r="AM27" s="264"/>
      <c r="AN27" s="1242"/>
      <c r="AO27" s="264"/>
      <c r="AP27" s="264"/>
      <c r="AQ27" s="264"/>
      <c r="AR27" s="1242"/>
      <c r="AS27" s="264"/>
      <c r="AT27" s="264"/>
      <c r="AU27" s="264"/>
      <c r="AV27" s="1242"/>
      <c r="AW27" s="264"/>
      <c r="AX27" s="264"/>
      <c r="AY27" s="264"/>
      <c r="AZ27" s="1242"/>
      <c r="BA27" s="264"/>
      <c r="BB27" s="264"/>
      <c r="BC27" s="264"/>
      <c r="BD27" s="1242"/>
      <c r="BE27" s="2773"/>
      <c r="BF27" s="409"/>
      <c r="BG27" s="409"/>
      <c r="BH27" s="409"/>
      <c r="BI27" s="409"/>
      <c r="BJ27" s="409"/>
      <c r="BK27" s="409"/>
      <c r="BL27" s="409"/>
      <c r="BM27" s="409"/>
      <c r="BN27" s="266"/>
      <c r="BO27" s="266"/>
      <c r="BP27" s="266"/>
      <c r="BQ27" s="266"/>
      <c r="BR27" s="266"/>
      <c r="BS27" s="266"/>
      <c r="BT27" s="266"/>
      <c r="BU27" s="266"/>
      <c r="BV27" s="266"/>
      <c r="BW27" s="266"/>
      <c r="BX27" s="266"/>
      <c r="BY27" s="731"/>
      <c r="BZ27" s="266"/>
      <c r="CA27" s="1917"/>
      <c r="CB27" s="1918"/>
      <c r="CC27" s="1918"/>
      <c r="CD27" s="1918"/>
      <c r="CE27" s="1918"/>
      <c r="CF27" s="1918"/>
      <c r="CG27" s="1918"/>
    </row>
    <row r="28" spans="1:85" s="90" customFormat="1" ht="11.25" customHeight="1">
      <c r="A28" s="1349"/>
      <c r="B28" s="1349"/>
      <c r="C28" s="1349"/>
      <c r="D28" s="1349"/>
      <c r="E28" s="1349"/>
      <c r="F28" s="1349"/>
      <c r="G28" s="1349"/>
      <c r="H28" s="1349"/>
      <c r="I28" s="2726" t="s">
        <v>671</v>
      </c>
      <c r="J28" s="2829"/>
      <c r="K28" s="2716"/>
      <c r="L28" s="2716"/>
      <c r="M28" s="2803"/>
      <c r="N28" s="2803"/>
      <c r="O28" s="2803"/>
      <c r="P28" s="2804"/>
      <c r="Q28" s="2803"/>
      <c r="R28" s="2803"/>
      <c r="S28" s="2803"/>
      <c r="T28" s="2804"/>
      <c r="U28" s="2803"/>
      <c r="V28" s="2803"/>
      <c r="W28" s="2803"/>
      <c r="X28" s="2804"/>
      <c r="Y28" s="2803"/>
      <c r="Z28" s="2803"/>
      <c r="AA28" s="2803"/>
      <c r="AB28" s="2804"/>
      <c r="AC28" s="2803"/>
      <c r="AD28" s="2803"/>
      <c r="AE28" s="2803">
        <f t="shared" ref="AE28:BD28" si="46">AE117</f>
        <v>1.3380000000000001</v>
      </c>
      <c r="AF28" s="2804">
        <f t="shared" si="46"/>
        <v>1.4169999999999998</v>
      </c>
      <c r="AG28" s="2803">
        <f t="shared" si="46"/>
        <v>6.6</v>
      </c>
      <c r="AH28" s="2803">
        <f t="shared" si="46"/>
        <v>11.3</v>
      </c>
      <c r="AI28" s="2803">
        <f t="shared" si="46"/>
        <v>12</v>
      </c>
      <c r="AJ28" s="2804">
        <f t="shared" si="46"/>
        <v>14</v>
      </c>
      <c r="AK28" s="2803">
        <f t="shared" si="46"/>
        <v>14.5</v>
      </c>
      <c r="AL28" s="2803">
        <f t="shared" si="46"/>
        <v>15.5</v>
      </c>
      <c r="AM28" s="2803">
        <f t="shared" si="46"/>
        <v>15.9</v>
      </c>
      <c r="AN28" s="2804">
        <f t="shared" si="46"/>
        <v>16.600000000000001</v>
      </c>
      <c r="AO28" s="2803">
        <f t="shared" si="46"/>
        <v>18.100000000000001</v>
      </c>
      <c r="AP28" s="2803">
        <f>AP117</f>
        <v>18.399999999999999</v>
      </c>
      <c r="AQ28" s="2803">
        <f>AQ117</f>
        <v>18.5</v>
      </c>
      <c r="AR28" s="2804">
        <f t="shared" ref="AR28" si="47">AR117</f>
        <v>5.2</v>
      </c>
      <c r="AS28" s="2803">
        <f t="shared" si="46"/>
        <v>4</v>
      </c>
      <c r="AT28" s="2803">
        <f t="shared" si="46"/>
        <v>6</v>
      </c>
      <c r="AU28" s="2803">
        <f t="shared" si="46"/>
        <v>8</v>
      </c>
      <c r="AV28" s="2804">
        <f t="shared" si="46"/>
        <v>10</v>
      </c>
      <c r="AW28" s="2803">
        <f t="shared" si="46"/>
        <v>10.6</v>
      </c>
      <c r="AX28" s="2803">
        <f t="shared" si="46"/>
        <v>11.2</v>
      </c>
      <c r="AY28" s="2803">
        <f t="shared" si="46"/>
        <v>11.899999999999999</v>
      </c>
      <c r="AZ28" s="2804">
        <f t="shared" si="46"/>
        <v>12.599999999999998</v>
      </c>
      <c r="BA28" s="2803">
        <f t="shared" si="46"/>
        <v>13.399999999999999</v>
      </c>
      <c r="BB28" s="2803">
        <f t="shared" si="46"/>
        <v>14.2</v>
      </c>
      <c r="BC28" s="2803">
        <f t="shared" si="46"/>
        <v>15</v>
      </c>
      <c r="BD28" s="2804">
        <f t="shared" si="46"/>
        <v>15.8</v>
      </c>
      <c r="BE28" s="2805"/>
      <c r="BF28" s="431"/>
      <c r="BG28" s="431"/>
      <c r="BH28" s="431"/>
      <c r="BI28" s="431"/>
      <c r="BJ28" s="431"/>
      <c r="BK28" s="431"/>
      <c r="BL28" s="431"/>
      <c r="BM28" s="431"/>
      <c r="BN28" s="1385">
        <f>SUM(AC28:AF28)</f>
        <v>2.7549999999999999</v>
      </c>
      <c r="BO28" s="431">
        <f>SUM(AG28:AJ28)</f>
        <v>43.9</v>
      </c>
      <c r="BP28" s="428">
        <f>SUM(AK28:AN28)</f>
        <v>62.5</v>
      </c>
      <c r="BQ28" s="428">
        <f>SUM(AO28:AR28)</f>
        <v>60.2</v>
      </c>
      <c r="BR28" s="428">
        <f>SUM(AS28:AV28)</f>
        <v>28</v>
      </c>
      <c r="BS28" s="428">
        <f>SUM(AW28:AZ28)</f>
        <v>46.3</v>
      </c>
      <c r="BT28" s="428">
        <f>SUM(BA28:BD28)</f>
        <v>58.399999999999991</v>
      </c>
      <c r="BU28" s="322">
        <f>BU117</f>
        <v>70.399999999999991</v>
      </c>
      <c r="BV28" s="322">
        <f>BV117</f>
        <v>82.399999999999991</v>
      </c>
      <c r="BW28" s="322">
        <f>BW117</f>
        <v>94.399999999999991</v>
      </c>
      <c r="BX28" s="322">
        <f>BX117</f>
        <v>106.39999999999999</v>
      </c>
      <c r="BY28" s="734">
        <f>BY117</f>
        <v>118.39999999999999</v>
      </c>
      <c r="BZ28" s="274"/>
      <c r="CA28" s="95" t="str">
        <f>IF(ISERROR(RATE(5,,-BI28,BN28)),"NM",(RATE(5,,-BI28,BN28)))</f>
        <v>NM</v>
      </c>
      <c r="CB28" s="95" t="str">
        <f t="shared" ref="CB28:CG28" si="48">IF(ISERROR(RATE(3,,-BK28,BN28)),"NM",(RATE(3,,-BK28,BN28)))</f>
        <v>NM</v>
      </c>
      <c r="CC28" s="95" t="str">
        <f t="shared" si="48"/>
        <v>NM</v>
      </c>
      <c r="CD28" s="95" t="str">
        <f t="shared" si="48"/>
        <v>NM</v>
      </c>
      <c r="CE28" s="95">
        <f t="shared" si="48"/>
        <v>1.7957068422764486</v>
      </c>
      <c r="CF28" s="95">
        <f t="shared" si="48"/>
        <v>-0.13920876323852424</v>
      </c>
      <c r="CG28" s="95">
        <f t="shared" si="48"/>
        <v>-9.5170000288494164E-2</v>
      </c>
    </row>
    <row r="29" spans="1:85" s="90" customFormat="1" ht="11.25" customHeight="1">
      <c r="A29" s="1349"/>
      <c r="B29" s="1349"/>
      <c r="C29" s="1349"/>
      <c r="D29" s="1349"/>
      <c r="E29" s="1349"/>
      <c r="F29" s="1349"/>
      <c r="G29" s="1349"/>
      <c r="H29" s="1349"/>
      <c r="I29" s="994" t="s">
        <v>380</v>
      </c>
      <c r="J29" s="2239"/>
      <c r="K29" s="431"/>
      <c r="L29" s="431"/>
      <c r="M29" s="2803"/>
      <c r="N29" s="2803"/>
      <c r="O29" s="2803"/>
      <c r="P29" s="2804"/>
      <c r="Q29" s="2803"/>
      <c r="R29" s="2803"/>
      <c r="S29" s="2803"/>
      <c r="T29" s="2804"/>
      <c r="U29" s="2803"/>
      <c r="V29" s="2803"/>
      <c r="W29" s="2803"/>
      <c r="X29" s="2804"/>
      <c r="Y29" s="2803"/>
      <c r="Z29" s="2803"/>
      <c r="AA29" s="2803"/>
      <c r="AB29" s="2804"/>
      <c r="AC29" s="2803"/>
      <c r="AD29" s="2803"/>
      <c r="AE29" s="2803"/>
      <c r="AF29" s="2804"/>
      <c r="AG29" s="2803"/>
      <c r="AH29" s="2803"/>
      <c r="AI29" s="2803"/>
      <c r="AJ29" s="2804"/>
      <c r="AK29" s="2803"/>
      <c r="AL29" s="2803"/>
      <c r="AM29" s="2803"/>
      <c r="AN29" s="2804"/>
      <c r="AO29" s="2803"/>
      <c r="AP29" s="2803"/>
      <c r="AQ29" s="2803"/>
      <c r="AR29" s="2804"/>
      <c r="AS29" s="2803"/>
      <c r="AT29" s="2803"/>
      <c r="AU29" s="2803"/>
      <c r="AV29" s="2804"/>
      <c r="AW29" s="2803"/>
      <c r="AX29" s="2803"/>
      <c r="AY29" s="2803"/>
      <c r="AZ29" s="2804"/>
      <c r="BA29" s="2803"/>
      <c r="BB29" s="2803"/>
      <c r="BC29" s="2803"/>
      <c r="BD29" s="2804"/>
      <c r="BE29" s="2805"/>
      <c r="BF29" s="431"/>
      <c r="BG29" s="431"/>
      <c r="BH29" s="431"/>
      <c r="BI29" s="431"/>
      <c r="BJ29" s="431"/>
      <c r="BK29" s="431"/>
      <c r="BL29" s="431"/>
      <c r="BM29" s="431"/>
      <c r="BN29" s="1385"/>
      <c r="BO29" s="110">
        <f>BO28-BN28</f>
        <v>41.144999999999996</v>
      </c>
      <c r="BP29" s="110">
        <f t="shared" ref="BP29" si="49">BP28-BO28</f>
        <v>18.600000000000001</v>
      </c>
      <c r="BQ29" s="110">
        <f t="shared" ref="BQ29" si="50">BQ28-BP28</f>
        <v>-2.2999999999999972</v>
      </c>
      <c r="BR29" s="110">
        <f t="shared" ref="BR29" si="51">BR28-BQ28</f>
        <v>-32.200000000000003</v>
      </c>
      <c r="BS29" s="110">
        <f t="shared" ref="BS29" si="52">BS28-BR28</f>
        <v>18.299999999999997</v>
      </c>
      <c r="BT29" s="110">
        <f t="shared" ref="BT29" si="53">BT28-BS28</f>
        <v>12.099999999999994</v>
      </c>
      <c r="BU29" s="110">
        <f t="shared" ref="BU29" si="54">BU28-BT28</f>
        <v>12</v>
      </c>
      <c r="BV29" s="110">
        <f t="shared" ref="BV29" si="55">BV28-BU28</f>
        <v>12</v>
      </c>
      <c r="BW29" s="110">
        <f t="shared" ref="BW29" si="56">BW28-BV28</f>
        <v>12</v>
      </c>
      <c r="BX29" s="110">
        <f t="shared" ref="BX29" si="57">BX28-BW28</f>
        <v>12</v>
      </c>
      <c r="BY29" s="469">
        <f t="shared" ref="BY29" si="58">BY28-BX28</f>
        <v>12</v>
      </c>
      <c r="BZ29" s="274"/>
      <c r="CA29" s="2881"/>
      <c r="CB29" s="2881"/>
      <c r="CC29" s="2881"/>
      <c r="CD29" s="2881"/>
      <c r="CE29" s="2881"/>
      <c r="CF29" s="2881"/>
      <c r="CG29" s="2881"/>
    </row>
    <row r="30" spans="1:85" s="90" customFormat="1" ht="11.25" customHeight="1">
      <c r="A30" s="1349"/>
      <c r="B30" s="1349"/>
      <c r="C30" s="1349"/>
      <c r="D30" s="1349"/>
      <c r="E30" s="1349"/>
      <c r="F30" s="1349"/>
      <c r="G30" s="1349"/>
      <c r="H30" s="1349"/>
      <c r="I30" s="994" t="s">
        <v>377</v>
      </c>
      <c r="J30" s="2239"/>
      <c r="K30" s="431"/>
      <c r="L30" s="431"/>
      <c r="M30" s="2803"/>
      <c r="N30" s="2803"/>
      <c r="O30" s="2803"/>
      <c r="P30" s="2804"/>
      <c r="Q30" s="2803"/>
      <c r="R30" s="2803"/>
      <c r="S30" s="2803"/>
      <c r="T30" s="2804"/>
      <c r="U30" s="2803"/>
      <c r="V30" s="2803"/>
      <c r="W30" s="2803"/>
      <c r="X30" s="2804"/>
      <c r="Y30" s="2803"/>
      <c r="Z30" s="2803"/>
      <c r="AA30" s="2803"/>
      <c r="AB30" s="2804"/>
      <c r="AC30" s="2803"/>
      <c r="AD30" s="2803"/>
      <c r="AE30" s="2803"/>
      <c r="AF30" s="2804"/>
      <c r="AG30" s="2803"/>
      <c r="AH30" s="2803"/>
      <c r="AI30" s="2803"/>
      <c r="AJ30" s="2804"/>
      <c r="AK30" s="2803"/>
      <c r="AL30" s="2803"/>
      <c r="AM30" s="2803"/>
      <c r="AN30" s="2804"/>
      <c r="AO30" s="2803"/>
      <c r="AP30" s="2803"/>
      <c r="AQ30" s="2803"/>
      <c r="AR30" s="2804"/>
      <c r="AS30" s="2803"/>
      <c r="AT30" s="2803"/>
      <c r="AU30" s="2803"/>
      <c r="AV30" s="2804"/>
      <c r="AW30" s="2803"/>
      <c r="AX30" s="2803"/>
      <c r="AY30" s="2803"/>
      <c r="AZ30" s="2804"/>
      <c r="BA30" s="2803"/>
      <c r="BB30" s="2803"/>
      <c r="BC30" s="2803"/>
      <c r="BD30" s="2804"/>
      <c r="BE30" s="2805"/>
      <c r="BF30" s="431"/>
      <c r="BG30" s="431"/>
      <c r="BH30" s="431"/>
      <c r="BI30" s="431"/>
      <c r="BJ30" s="431"/>
      <c r="BK30" s="431"/>
      <c r="BL30" s="431"/>
      <c r="BM30" s="431"/>
      <c r="BN30" s="1385"/>
      <c r="BO30" s="431"/>
      <c r="BP30" s="428"/>
      <c r="BQ30" s="428"/>
      <c r="BR30" s="428"/>
      <c r="BS30" s="428"/>
      <c r="BT30" s="428"/>
      <c r="BU30" s="428"/>
      <c r="BV30" s="428"/>
      <c r="BW30" s="428"/>
      <c r="BX30" s="428"/>
      <c r="BY30" s="471"/>
      <c r="BZ30" s="274"/>
      <c r="CA30" s="2881"/>
      <c r="CB30" s="2881"/>
      <c r="CC30" s="2881"/>
      <c r="CD30" s="2881"/>
      <c r="CE30" s="2881"/>
      <c r="CF30" s="2881"/>
      <c r="CG30" s="2881"/>
    </row>
    <row r="31" spans="1:85" s="42" customFormat="1" ht="11.25" customHeight="1">
      <c r="A31" s="328"/>
      <c r="B31" s="328"/>
      <c r="C31" s="328"/>
      <c r="D31" s="328"/>
      <c r="E31" s="328"/>
      <c r="F31" s="328"/>
      <c r="G31" s="328"/>
      <c r="H31" s="328"/>
      <c r="I31" s="1127" t="s">
        <v>132</v>
      </c>
      <c r="J31" s="1165"/>
      <c r="K31" s="409"/>
      <c r="L31" s="409"/>
      <c r="M31" s="264"/>
      <c r="N31" s="264"/>
      <c r="O31" s="264"/>
      <c r="P31" s="1242"/>
      <c r="Q31" s="264"/>
      <c r="R31" s="264"/>
      <c r="S31" s="264"/>
      <c r="T31" s="1242"/>
      <c r="U31" s="264"/>
      <c r="V31" s="264"/>
      <c r="W31" s="264"/>
      <c r="X31" s="1242"/>
      <c r="Y31" s="264"/>
      <c r="Z31" s="264"/>
      <c r="AA31" s="264"/>
      <c r="AB31" s="1242"/>
      <c r="AC31" s="264"/>
      <c r="AD31" s="264"/>
      <c r="AE31" s="264"/>
      <c r="AF31" s="1242"/>
      <c r="AG31" s="264"/>
      <c r="AH31" s="264"/>
      <c r="AI31" s="264">
        <f t="shared" ref="AI31:BD31" si="59">AI28/AE28-1</f>
        <v>7.9686098654708513</v>
      </c>
      <c r="AJ31" s="1242">
        <f t="shared" si="59"/>
        <v>8.8800282286520833</v>
      </c>
      <c r="AK31" s="264">
        <f t="shared" si="59"/>
        <v>1.1969696969696972</v>
      </c>
      <c r="AL31" s="264">
        <f t="shared" si="59"/>
        <v>0.37168141592920345</v>
      </c>
      <c r="AM31" s="264">
        <f t="shared" si="59"/>
        <v>0.32499999999999996</v>
      </c>
      <c r="AN31" s="1242">
        <f t="shared" si="59"/>
        <v>0.18571428571428572</v>
      </c>
      <c r="AO31" s="264">
        <f t="shared" si="59"/>
        <v>0.24827586206896557</v>
      </c>
      <c r="AP31" s="264">
        <f t="shared" si="59"/>
        <v>0.18709677419354831</v>
      </c>
      <c r="AQ31" s="264">
        <f t="shared" si="59"/>
        <v>0.16352201257861632</v>
      </c>
      <c r="AR31" s="1242">
        <f t="shared" si="59"/>
        <v>-0.68674698795180722</v>
      </c>
      <c r="AS31" s="264">
        <f t="shared" si="59"/>
        <v>-0.77900552486187846</v>
      </c>
      <c r="AT31" s="264">
        <f t="shared" si="59"/>
        <v>-0.67391304347826086</v>
      </c>
      <c r="AU31" s="264">
        <f t="shared" si="59"/>
        <v>-0.56756756756756754</v>
      </c>
      <c r="AV31" s="1242">
        <f t="shared" si="59"/>
        <v>0.92307692307692291</v>
      </c>
      <c r="AW31" s="264">
        <f t="shared" si="59"/>
        <v>1.65</v>
      </c>
      <c r="AX31" s="264">
        <f t="shared" si="59"/>
        <v>0.86666666666666647</v>
      </c>
      <c r="AY31" s="264">
        <f t="shared" si="59"/>
        <v>0.48749999999999982</v>
      </c>
      <c r="AZ31" s="1242">
        <f t="shared" si="59"/>
        <v>0.25999999999999979</v>
      </c>
      <c r="BA31" s="264">
        <f t="shared" si="59"/>
        <v>0.26415094339622636</v>
      </c>
      <c r="BB31" s="264">
        <f t="shared" si="59"/>
        <v>0.26785714285714279</v>
      </c>
      <c r="BC31" s="264">
        <f t="shared" si="59"/>
        <v>0.26050420168067245</v>
      </c>
      <c r="BD31" s="1242">
        <f t="shared" si="59"/>
        <v>0.25396825396825418</v>
      </c>
      <c r="BE31" s="2773"/>
      <c r="BF31" s="409"/>
      <c r="BG31" s="409"/>
      <c r="BH31" s="409"/>
      <c r="BI31" s="409"/>
      <c r="BJ31" s="409"/>
      <c r="BK31" s="409"/>
      <c r="BL31" s="409"/>
      <c r="BM31" s="409"/>
      <c r="BN31" s="751" t="str">
        <f t="shared" ref="BN31:BY31" si="60">IF(ISERROR(BN28/BM28-1),"NA",(IF(BN28&lt;=0,"NM",BN28/BM28-1)))</f>
        <v>NA</v>
      </c>
      <c r="BO31" s="198">
        <f t="shared" si="60"/>
        <v>14.934664246823957</v>
      </c>
      <c r="BP31" s="198">
        <f t="shared" si="60"/>
        <v>0.42369020501138954</v>
      </c>
      <c r="BQ31" s="198">
        <f t="shared" si="60"/>
        <v>-3.6799999999999944E-2</v>
      </c>
      <c r="BR31" s="198">
        <f t="shared" si="60"/>
        <v>-0.53488372093023262</v>
      </c>
      <c r="BS31" s="198">
        <f t="shared" si="60"/>
        <v>0.65357142857142847</v>
      </c>
      <c r="BT31" s="198">
        <f t="shared" si="60"/>
        <v>0.26133909287257007</v>
      </c>
      <c r="BU31" s="198">
        <f t="shared" si="60"/>
        <v>0.20547945205479445</v>
      </c>
      <c r="BV31" s="198">
        <f t="shared" si="60"/>
        <v>0.17045454545454541</v>
      </c>
      <c r="BW31" s="198">
        <f t="shared" si="60"/>
        <v>0.14563106796116498</v>
      </c>
      <c r="BX31" s="198">
        <f t="shared" si="60"/>
        <v>0.12711864406779672</v>
      </c>
      <c r="BY31" s="752">
        <f t="shared" si="60"/>
        <v>0.11278195488721798</v>
      </c>
      <c r="BZ31" s="266"/>
      <c r="CA31" s="1917"/>
      <c r="CB31" s="1918"/>
      <c r="CC31" s="1918"/>
      <c r="CD31" s="1918"/>
      <c r="CE31" s="1918"/>
      <c r="CF31" s="1918"/>
      <c r="CG31" s="1918"/>
    </row>
    <row r="32" spans="1:85" s="42" customFormat="1" ht="11.25" customHeight="1">
      <c r="A32" s="328"/>
      <c r="B32" s="328"/>
      <c r="C32" s="328"/>
      <c r="D32" s="328"/>
      <c r="E32" s="328"/>
      <c r="F32" s="328"/>
      <c r="G32" s="328"/>
      <c r="H32" s="328"/>
      <c r="I32" s="1127" t="s">
        <v>146</v>
      </c>
      <c r="J32" s="1165"/>
      <c r="K32" s="409"/>
      <c r="L32" s="409"/>
      <c r="M32" s="264"/>
      <c r="N32" s="264"/>
      <c r="O32" s="264"/>
      <c r="P32" s="1242"/>
      <c r="Q32" s="264"/>
      <c r="R32" s="264"/>
      <c r="S32" s="264"/>
      <c r="T32" s="1242"/>
      <c r="U32" s="264"/>
      <c r="V32" s="264"/>
      <c r="W32" s="264"/>
      <c r="X32" s="1242"/>
      <c r="Y32" s="264"/>
      <c r="Z32" s="264"/>
      <c r="AA32" s="264"/>
      <c r="AB32" s="1242"/>
      <c r="AC32" s="264"/>
      <c r="AD32" s="264"/>
      <c r="AE32" s="264"/>
      <c r="AF32" s="1242">
        <f t="shared" ref="AF32:BD32" si="61">AF28/AE28-1</f>
        <v>5.9043348281016206E-2</v>
      </c>
      <c r="AG32" s="264">
        <f t="shared" si="61"/>
        <v>3.6577275935074107</v>
      </c>
      <c r="AH32" s="264">
        <f t="shared" si="61"/>
        <v>0.71212121212121238</v>
      </c>
      <c r="AI32" s="264">
        <f t="shared" si="61"/>
        <v>6.1946902654867131E-2</v>
      </c>
      <c r="AJ32" s="1242">
        <f t="shared" si="61"/>
        <v>0.16666666666666674</v>
      </c>
      <c r="AK32" s="264">
        <f t="shared" si="61"/>
        <v>3.5714285714285809E-2</v>
      </c>
      <c r="AL32" s="264">
        <f t="shared" si="61"/>
        <v>6.8965517241379226E-2</v>
      </c>
      <c r="AM32" s="264">
        <f t="shared" si="61"/>
        <v>2.5806451612903292E-2</v>
      </c>
      <c r="AN32" s="1242">
        <f t="shared" si="61"/>
        <v>4.4025157232704393E-2</v>
      </c>
      <c r="AO32" s="264">
        <f t="shared" si="61"/>
        <v>9.0361445783132543E-2</v>
      </c>
      <c r="AP32" s="264">
        <f t="shared" si="61"/>
        <v>1.6574585635358963E-2</v>
      </c>
      <c r="AQ32" s="264">
        <f t="shared" si="61"/>
        <v>5.4347826086957873E-3</v>
      </c>
      <c r="AR32" s="1242">
        <f t="shared" si="61"/>
        <v>-0.7189189189189189</v>
      </c>
      <c r="AS32" s="264">
        <f t="shared" si="61"/>
        <v>-0.23076923076923084</v>
      </c>
      <c r="AT32" s="264">
        <f t="shared" si="61"/>
        <v>0.5</v>
      </c>
      <c r="AU32" s="264">
        <f t="shared" si="61"/>
        <v>0.33333333333333326</v>
      </c>
      <c r="AV32" s="1242">
        <f t="shared" si="61"/>
        <v>0.25</v>
      </c>
      <c r="AW32" s="264">
        <f t="shared" si="61"/>
        <v>6.0000000000000053E-2</v>
      </c>
      <c r="AX32" s="264">
        <f t="shared" si="61"/>
        <v>5.6603773584905648E-2</v>
      </c>
      <c r="AY32" s="264">
        <f t="shared" si="61"/>
        <v>6.25E-2</v>
      </c>
      <c r="AZ32" s="1242">
        <f t="shared" si="61"/>
        <v>5.8823529411764719E-2</v>
      </c>
      <c r="BA32" s="264">
        <f t="shared" si="61"/>
        <v>6.3492063492063489E-2</v>
      </c>
      <c r="BB32" s="264">
        <f t="shared" si="61"/>
        <v>5.9701492537313383E-2</v>
      </c>
      <c r="BC32" s="264">
        <f t="shared" si="61"/>
        <v>5.6338028169014231E-2</v>
      </c>
      <c r="BD32" s="1242">
        <f t="shared" si="61"/>
        <v>5.3333333333333455E-2</v>
      </c>
      <c r="BE32" s="2773"/>
      <c r="BF32" s="409"/>
      <c r="BG32" s="409"/>
      <c r="BH32" s="409"/>
      <c r="BI32" s="409"/>
      <c r="BJ32" s="409"/>
      <c r="BK32" s="409"/>
      <c r="BL32" s="409"/>
      <c r="BM32" s="409"/>
      <c r="BN32" s="266"/>
      <c r="BO32" s="266"/>
      <c r="BP32" s="266"/>
      <c r="BQ32" s="266"/>
      <c r="BR32" s="266"/>
      <c r="BS32" s="266"/>
      <c r="BT32" s="266"/>
      <c r="BU32" s="266"/>
      <c r="BV32" s="266"/>
      <c r="BW32" s="266"/>
      <c r="BX32" s="266"/>
      <c r="BY32" s="731"/>
      <c r="BZ32" s="266"/>
      <c r="CA32" s="1917"/>
      <c r="CB32" s="1918"/>
      <c r="CC32" s="1918"/>
      <c r="CD32" s="1918"/>
      <c r="CE32" s="1918"/>
      <c r="CF32" s="1918"/>
      <c r="CG32" s="1918"/>
    </row>
    <row r="33" spans="1:98" s="42" customFormat="1" ht="11.25" customHeight="1">
      <c r="A33" s="328"/>
      <c r="B33" s="328"/>
      <c r="C33" s="328"/>
      <c r="D33" s="328"/>
      <c r="E33" s="328"/>
      <c r="F33" s="328"/>
      <c r="G33" s="328"/>
      <c r="H33" s="328"/>
      <c r="I33" s="1127"/>
      <c r="J33" s="1165"/>
      <c r="K33" s="409"/>
      <c r="L33" s="409"/>
      <c r="M33" s="264"/>
      <c r="N33" s="264"/>
      <c r="O33" s="264"/>
      <c r="P33" s="1242"/>
      <c r="Q33" s="264"/>
      <c r="R33" s="264"/>
      <c r="S33" s="264"/>
      <c r="T33" s="1242"/>
      <c r="U33" s="264"/>
      <c r="V33" s="264"/>
      <c r="W33" s="264"/>
      <c r="X33" s="1242"/>
      <c r="Y33" s="264"/>
      <c r="Z33" s="264"/>
      <c r="AA33" s="264"/>
      <c r="AB33" s="1242"/>
      <c r="AC33" s="264"/>
      <c r="AD33" s="264"/>
      <c r="AE33" s="264"/>
      <c r="AF33" s="1242"/>
      <c r="AG33" s="264"/>
      <c r="AH33" s="264"/>
      <c r="AI33" s="264"/>
      <c r="AJ33" s="1242"/>
      <c r="AK33" s="264"/>
      <c r="AL33" s="264"/>
      <c r="AM33" s="264"/>
      <c r="AN33" s="1242"/>
      <c r="AO33" s="264"/>
      <c r="AP33" s="264"/>
      <c r="AQ33" s="264"/>
      <c r="AR33" s="1242"/>
      <c r="AS33" s="264"/>
      <c r="AT33" s="264"/>
      <c r="AU33" s="264"/>
      <c r="AV33" s="1242"/>
      <c r="AW33" s="264"/>
      <c r="AX33" s="264"/>
      <c r="AY33" s="264"/>
      <c r="AZ33" s="1242"/>
      <c r="BA33" s="264"/>
      <c r="BB33" s="264"/>
      <c r="BC33" s="264"/>
      <c r="BD33" s="1242"/>
      <c r="BE33" s="2773"/>
      <c r="BF33" s="409"/>
      <c r="BG33" s="409"/>
      <c r="BH33" s="409"/>
      <c r="BI33" s="409"/>
      <c r="BJ33" s="409"/>
      <c r="BK33" s="409"/>
      <c r="BL33" s="409"/>
      <c r="BM33" s="409"/>
      <c r="BN33" s="266"/>
      <c r="BO33" s="266"/>
      <c r="BP33" s="266"/>
      <c r="BQ33" s="266"/>
      <c r="BR33" s="266"/>
      <c r="BS33" s="266"/>
      <c r="BT33" s="266"/>
      <c r="BU33" s="266"/>
      <c r="BV33" s="266"/>
      <c r="BW33" s="266"/>
      <c r="BX33" s="266"/>
      <c r="BY33" s="731"/>
      <c r="BZ33" s="266"/>
      <c r="CA33" s="1917"/>
      <c r="CB33" s="1918"/>
      <c r="CC33" s="1918"/>
      <c r="CD33" s="1918"/>
      <c r="CE33" s="1918"/>
      <c r="CF33" s="1918"/>
      <c r="CG33" s="1918"/>
    </row>
    <row r="34" spans="1:98" s="90" customFormat="1" ht="11.25" customHeight="1">
      <c r="A34" s="1349"/>
      <c r="B34" s="1349"/>
      <c r="C34" s="1349"/>
      <c r="D34" s="1349"/>
      <c r="E34" s="1349"/>
      <c r="F34" s="1349"/>
      <c r="G34" s="1349"/>
      <c r="H34" s="1349"/>
      <c r="I34" s="2726" t="s">
        <v>691</v>
      </c>
      <c r="J34" s="2829"/>
      <c r="K34" s="2716"/>
      <c r="L34" s="2716"/>
      <c r="M34" s="2803"/>
      <c r="N34" s="2803"/>
      <c r="O34" s="2803"/>
      <c r="P34" s="2804"/>
      <c r="Q34" s="2803"/>
      <c r="R34" s="2803"/>
      <c r="S34" s="2803"/>
      <c r="T34" s="2804"/>
      <c r="U34" s="2803"/>
      <c r="V34" s="2803"/>
      <c r="W34" s="2803"/>
      <c r="X34" s="2804"/>
      <c r="Y34" s="2803"/>
      <c r="Z34" s="2803"/>
      <c r="AA34" s="2803"/>
      <c r="AB34" s="2804"/>
      <c r="AC34" s="2803"/>
      <c r="AD34" s="2803"/>
      <c r="AE34" s="2803">
        <f t="shared" ref="AE34:BD34" si="62">AE136</f>
        <v>0</v>
      </c>
      <c r="AF34" s="2804">
        <f t="shared" si="62"/>
        <v>0</v>
      </c>
      <c r="AG34" s="2803">
        <f t="shared" si="62"/>
        <v>0.9</v>
      </c>
      <c r="AH34" s="2803">
        <f t="shared" si="62"/>
        <v>0.8</v>
      </c>
      <c r="AI34" s="2803">
        <f t="shared" si="62"/>
        <v>0.7</v>
      </c>
      <c r="AJ34" s="2804">
        <f t="shared" si="62"/>
        <v>1</v>
      </c>
      <c r="AK34" s="2803">
        <f t="shared" si="62"/>
        <v>1.1000000000000001</v>
      </c>
      <c r="AL34" s="2803">
        <f t="shared" si="62"/>
        <v>1.2</v>
      </c>
      <c r="AM34" s="2803">
        <f t="shared" si="62"/>
        <v>1.4</v>
      </c>
      <c r="AN34" s="2804">
        <f t="shared" si="62"/>
        <v>1.7</v>
      </c>
      <c r="AO34" s="2803">
        <f t="shared" si="62"/>
        <v>2.2000000000000002</v>
      </c>
      <c r="AP34" s="2803">
        <f>AP136</f>
        <v>3.8</v>
      </c>
      <c r="AQ34" s="2803">
        <f>AQ136</f>
        <v>4.3</v>
      </c>
      <c r="AR34" s="2804">
        <f t="shared" ref="AR34" si="63">AR136</f>
        <v>4.5999999999999996</v>
      </c>
      <c r="AS34" s="2803">
        <f t="shared" si="62"/>
        <v>5.1999999999999993</v>
      </c>
      <c r="AT34" s="2803">
        <f t="shared" si="62"/>
        <v>5.7999999999999989</v>
      </c>
      <c r="AU34" s="2803">
        <f t="shared" si="62"/>
        <v>6.3999999999999986</v>
      </c>
      <c r="AV34" s="2804">
        <f t="shared" si="62"/>
        <v>6.9999999999999982</v>
      </c>
      <c r="AW34" s="2803">
        <f t="shared" si="62"/>
        <v>7.5999999999999979</v>
      </c>
      <c r="AX34" s="2803">
        <f t="shared" si="62"/>
        <v>8.1999999999999975</v>
      </c>
      <c r="AY34" s="2803">
        <f t="shared" si="62"/>
        <v>8.7999999999999972</v>
      </c>
      <c r="AZ34" s="2804">
        <f t="shared" si="62"/>
        <v>9.3999999999999968</v>
      </c>
      <c r="BA34" s="2803">
        <f t="shared" si="62"/>
        <v>9.9999999999999964</v>
      </c>
      <c r="BB34" s="2803">
        <f t="shared" si="62"/>
        <v>10.599999999999996</v>
      </c>
      <c r="BC34" s="2803">
        <f t="shared" si="62"/>
        <v>11.199999999999996</v>
      </c>
      <c r="BD34" s="2804">
        <f t="shared" si="62"/>
        <v>11.799999999999995</v>
      </c>
      <c r="BE34" s="2805"/>
      <c r="BF34" s="431"/>
      <c r="BG34" s="431"/>
      <c r="BH34" s="431"/>
      <c r="BI34" s="431"/>
      <c r="BJ34" s="431"/>
      <c r="BK34" s="431"/>
      <c r="BL34" s="431"/>
      <c r="BM34" s="431"/>
      <c r="BN34" s="1385">
        <f>SUM(AC34:AF34)</f>
        <v>0</v>
      </c>
      <c r="BO34" s="431">
        <f>SUM(AG34:AJ34)</f>
        <v>3.4000000000000004</v>
      </c>
      <c r="BP34" s="428">
        <f>SUM(AK34:AN34)</f>
        <v>5.3999999999999995</v>
      </c>
      <c r="BQ34" s="428">
        <f>SUM(AO34:AR34)</f>
        <v>14.9</v>
      </c>
      <c r="BR34" s="428">
        <f>SUM(AS34:AV34)</f>
        <v>24.4</v>
      </c>
      <c r="BS34" s="428">
        <f>SUM(AW34:AZ34)</f>
        <v>33.999999999999993</v>
      </c>
      <c r="BT34" s="428">
        <f>SUM(BA34:BD34)</f>
        <v>43.599999999999987</v>
      </c>
      <c r="BU34" s="322">
        <f>BU136</f>
        <v>53.599999999999987</v>
      </c>
      <c r="BV34" s="322">
        <f>BV136</f>
        <v>64.599999999999994</v>
      </c>
      <c r="BW34" s="322">
        <f>BW136</f>
        <v>76.599999999999994</v>
      </c>
      <c r="BX34" s="322">
        <f>BX136</f>
        <v>89.6</v>
      </c>
      <c r="BY34" s="734">
        <f>BY136</f>
        <v>103.6</v>
      </c>
      <c r="BZ34" s="274"/>
      <c r="CA34" s="95" t="str">
        <f>IF(ISERROR(RATE(5,,-BI34,BN34)),"NM",(RATE(5,,-BI34,BN34)))</f>
        <v>NM</v>
      </c>
      <c r="CB34" s="95" t="str">
        <f t="shared" ref="CB34:CG34" si="64">IF(ISERROR(RATE(3,,-BK34,BN34)),"NM",(RATE(3,,-BK34,BN34)))</f>
        <v>NM</v>
      </c>
      <c r="CC34" s="95" t="str">
        <f t="shared" si="64"/>
        <v>NM</v>
      </c>
      <c r="CD34" s="95" t="str">
        <f t="shared" si="64"/>
        <v>NM</v>
      </c>
      <c r="CE34" s="95" t="str">
        <f t="shared" si="64"/>
        <v>NM</v>
      </c>
      <c r="CF34" s="95">
        <f t="shared" si="64"/>
        <v>0.92887301097678099</v>
      </c>
      <c r="CG34" s="95">
        <f t="shared" si="64"/>
        <v>0.84655275225148685</v>
      </c>
    </row>
    <row r="35" spans="1:98" s="90" customFormat="1" ht="11.25" customHeight="1">
      <c r="A35" s="1349"/>
      <c r="B35" s="1349"/>
      <c r="C35" s="1349"/>
      <c r="D35" s="1349"/>
      <c r="E35" s="1349"/>
      <c r="F35" s="1349"/>
      <c r="G35" s="1349"/>
      <c r="H35" s="1349"/>
      <c r="I35" s="994" t="s">
        <v>380</v>
      </c>
      <c r="J35" s="2239"/>
      <c r="K35" s="431"/>
      <c r="L35" s="431"/>
      <c r="M35" s="2803"/>
      <c r="N35" s="2803"/>
      <c r="O35" s="2803"/>
      <c r="P35" s="2804"/>
      <c r="Q35" s="2803"/>
      <c r="R35" s="2803"/>
      <c r="S35" s="2803"/>
      <c r="T35" s="2804"/>
      <c r="U35" s="2803"/>
      <c r="V35" s="2803"/>
      <c r="W35" s="2803"/>
      <c r="X35" s="2804"/>
      <c r="Y35" s="2803"/>
      <c r="Z35" s="2803"/>
      <c r="AA35" s="2803"/>
      <c r="AB35" s="2804"/>
      <c r="AC35" s="2803"/>
      <c r="AD35" s="2803"/>
      <c r="AE35" s="2803"/>
      <c r="AF35" s="2804"/>
      <c r="AG35" s="2803"/>
      <c r="AH35" s="2803"/>
      <c r="AI35" s="2803"/>
      <c r="AJ35" s="2804"/>
      <c r="AK35" s="2803"/>
      <c r="AL35" s="2803"/>
      <c r="AM35" s="2803"/>
      <c r="AN35" s="2804"/>
      <c r="AO35" s="2803"/>
      <c r="AP35" s="2803"/>
      <c r="AQ35" s="2803"/>
      <c r="AR35" s="2804"/>
      <c r="AS35" s="2803"/>
      <c r="AT35" s="2803"/>
      <c r="AU35" s="2803"/>
      <c r="AV35" s="2804"/>
      <c r="AW35" s="2803"/>
      <c r="AX35" s="2803"/>
      <c r="AY35" s="2803"/>
      <c r="AZ35" s="2804"/>
      <c r="BA35" s="2803"/>
      <c r="BB35" s="2803"/>
      <c r="BC35" s="2803"/>
      <c r="BD35" s="2804"/>
      <c r="BE35" s="2805"/>
      <c r="BF35" s="431"/>
      <c r="BG35" s="431"/>
      <c r="BH35" s="431"/>
      <c r="BI35" s="431"/>
      <c r="BJ35" s="431"/>
      <c r="BK35" s="431"/>
      <c r="BL35" s="431"/>
      <c r="BM35" s="431"/>
      <c r="BN35" s="1385"/>
      <c r="BO35" s="110">
        <f>BO34-BN34</f>
        <v>3.4000000000000004</v>
      </c>
      <c r="BP35" s="110">
        <f t="shared" ref="BP35" si="65">BP34-BO34</f>
        <v>1.9999999999999991</v>
      </c>
      <c r="BQ35" s="110">
        <f t="shared" ref="BQ35" si="66">BQ34-BP34</f>
        <v>9.5</v>
      </c>
      <c r="BR35" s="110">
        <f t="shared" ref="BR35" si="67">BR34-BQ34</f>
        <v>9.4999999999999982</v>
      </c>
      <c r="BS35" s="110">
        <f t="shared" ref="BS35" si="68">BS34-BR34</f>
        <v>9.5999999999999943</v>
      </c>
      <c r="BT35" s="110">
        <f t="shared" ref="BT35" si="69">BT34-BS34</f>
        <v>9.5999999999999943</v>
      </c>
      <c r="BU35" s="110">
        <f t="shared" ref="BU35" si="70">BU34-BT34</f>
        <v>10</v>
      </c>
      <c r="BV35" s="110">
        <f t="shared" ref="BV35" si="71">BV34-BU34</f>
        <v>11.000000000000007</v>
      </c>
      <c r="BW35" s="110">
        <f t="shared" ref="BW35" si="72">BW34-BV34</f>
        <v>12</v>
      </c>
      <c r="BX35" s="110">
        <f t="shared" ref="BX35" si="73">BX34-BW34</f>
        <v>13</v>
      </c>
      <c r="BY35" s="469">
        <f t="shared" ref="BY35" si="74">BY34-BX34</f>
        <v>14</v>
      </c>
      <c r="BZ35" s="274"/>
      <c r="CA35" s="95"/>
      <c r="CB35" s="95"/>
      <c r="CC35" s="95"/>
      <c r="CD35" s="95"/>
      <c r="CE35" s="95"/>
      <c r="CF35" s="95"/>
      <c r="CG35" s="95"/>
    </row>
    <row r="36" spans="1:98" s="90" customFormat="1" ht="11.25" customHeight="1">
      <c r="A36" s="1349"/>
      <c r="B36" s="1349"/>
      <c r="C36" s="1349"/>
      <c r="D36" s="1349"/>
      <c r="E36" s="1349"/>
      <c r="F36" s="1349"/>
      <c r="G36" s="1349"/>
      <c r="H36" s="1349"/>
      <c r="I36" s="994" t="s">
        <v>377</v>
      </c>
      <c r="J36" s="2239"/>
      <c r="K36" s="431"/>
      <c r="L36" s="431"/>
      <c r="M36" s="2803"/>
      <c r="N36" s="2803"/>
      <c r="O36" s="2803"/>
      <c r="P36" s="2804"/>
      <c r="Q36" s="2803"/>
      <c r="R36" s="2803"/>
      <c r="S36" s="2803"/>
      <c r="T36" s="2804"/>
      <c r="U36" s="2803"/>
      <c r="V36" s="2803"/>
      <c r="W36" s="2803"/>
      <c r="X36" s="2804"/>
      <c r="Y36" s="2803"/>
      <c r="Z36" s="2803"/>
      <c r="AA36" s="2803"/>
      <c r="AB36" s="2804"/>
      <c r="AC36" s="2803"/>
      <c r="AD36" s="2803"/>
      <c r="AE36" s="2803"/>
      <c r="AF36" s="2804"/>
      <c r="AG36" s="2803"/>
      <c r="AH36" s="2803"/>
      <c r="AI36" s="2803"/>
      <c r="AJ36" s="2804"/>
      <c r="AK36" s="2803"/>
      <c r="AL36" s="2803"/>
      <c r="AM36" s="2803"/>
      <c r="AN36" s="2804"/>
      <c r="AO36" s="2803"/>
      <c r="AP36" s="2803"/>
      <c r="AQ36" s="2803"/>
      <c r="AR36" s="2804"/>
      <c r="AS36" s="2803"/>
      <c r="AT36" s="2803"/>
      <c r="AU36" s="2803"/>
      <c r="AV36" s="2804"/>
      <c r="AW36" s="2803"/>
      <c r="AX36" s="2803"/>
      <c r="AY36" s="2803"/>
      <c r="AZ36" s="2804"/>
      <c r="BA36" s="2803"/>
      <c r="BB36" s="2803"/>
      <c r="BC36" s="2803"/>
      <c r="BD36" s="2804"/>
      <c r="BE36" s="2805"/>
      <c r="BF36" s="431"/>
      <c r="BG36" s="431"/>
      <c r="BH36" s="431"/>
      <c r="BI36" s="431"/>
      <c r="BJ36" s="431"/>
      <c r="BK36" s="431"/>
      <c r="BL36" s="431"/>
      <c r="BM36" s="431"/>
      <c r="BN36" s="1385"/>
      <c r="BO36" s="431"/>
      <c r="BP36" s="428"/>
      <c r="BQ36" s="428"/>
      <c r="BR36" s="428"/>
      <c r="BS36" s="428"/>
      <c r="BT36" s="428"/>
      <c r="BU36" s="428"/>
      <c r="BV36" s="428"/>
      <c r="BW36" s="428"/>
      <c r="BX36" s="428"/>
      <c r="BY36" s="471"/>
      <c r="BZ36" s="274"/>
      <c r="CA36" s="95"/>
      <c r="CB36" s="95"/>
      <c r="CC36" s="95"/>
      <c r="CD36" s="95"/>
      <c r="CE36" s="95"/>
      <c r="CF36" s="95"/>
      <c r="CG36" s="95"/>
    </row>
    <row r="37" spans="1:98" s="42" customFormat="1" ht="11.25" customHeight="1">
      <c r="A37" s="328"/>
      <c r="B37" s="328"/>
      <c r="C37" s="328"/>
      <c r="D37" s="328"/>
      <c r="E37" s="328"/>
      <c r="F37" s="328"/>
      <c r="G37" s="328"/>
      <c r="H37" s="328"/>
      <c r="I37" s="1127" t="s">
        <v>132</v>
      </c>
      <c r="J37" s="1165"/>
      <c r="K37" s="409"/>
      <c r="L37" s="409"/>
      <c r="M37" s="264"/>
      <c r="N37" s="264"/>
      <c r="O37" s="264"/>
      <c r="P37" s="1242"/>
      <c r="Q37" s="264"/>
      <c r="R37" s="264"/>
      <c r="S37" s="264"/>
      <c r="T37" s="1242"/>
      <c r="U37" s="264"/>
      <c r="V37" s="264"/>
      <c r="W37" s="264"/>
      <c r="X37" s="1242"/>
      <c r="Y37" s="264"/>
      <c r="Z37" s="264"/>
      <c r="AA37" s="264"/>
      <c r="AB37" s="1242"/>
      <c r="AC37" s="264"/>
      <c r="AD37" s="264"/>
      <c r="AE37" s="264"/>
      <c r="AF37" s="1242"/>
      <c r="AG37" s="264"/>
      <c r="AH37" s="264"/>
      <c r="AI37" s="264"/>
      <c r="AJ37" s="1242"/>
      <c r="AK37" s="264">
        <f t="shared" ref="AK37:BD37" si="75">AK34/AG34-1</f>
        <v>0.22222222222222232</v>
      </c>
      <c r="AL37" s="264">
        <f t="shared" si="75"/>
        <v>0.49999999999999978</v>
      </c>
      <c r="AM37" s="264">
        <f t="shared" si="75"/>
        <v>1</v>
      </c>
      <c r="AN37" s="1242">
        <f t="shared" si="75"/>
        <v>0.7</v>
      </c>
      <c r="AO37" s="264">
        <f t="shared" si="75"/>
        <v>1</v>
      </c>
      <c r="AP37" s="264">
        <f t="shared" si="75"/>
        <v>2.1666666666666665</v>
      </c>
      <c r="AQ37" s="264">
        <f t="shared" si="75"/>
        <v>2.0714285714285716</v>
      </c>
      <c r="AR37" s="1242">
        <f t="shared" si="75"/>
        <v>1.7058823529411762</v>
      </c>
      <c r="AS37" s="264">
        <f t="shared" si="75"/>
        <v>1.3636363636363633</v>
      </c>
      <c r="AT37" s="264">
        <f t="shared" si="75"/>
        <v>0.52631578947368407</v>
      </c>
      <c r="AU37" s="264">
        <f t="shared" si="75"/>
        <v>0.48837209302325557</v>
      </c>
      <c r="AV37" s="1242">
        <f t="shared" si="75"/>
        <v>0.52173913043478226</v>
      </c>
      <c r="AW37" s="264">
        <f t="shared" si="75"/>
        <v>0.46153846153846123</v>
      </c>
      <c r="AX37" s="264">
        <f t="shared" si="75"/>
        <v>0.4137931034482758</v>
      </c>
      <c r="AY37" s="264">
        <f t="shared" si="75"/>
        <v>0.37499999999999978</v>
      </c>
      <c r="AZ37" s="1242">
        <f t="shared" si="75"/>
        <v>0.34285714285714275</v>
      </c>
      <c r="BA37" s="264">
        <f t="shared" si="75"/>
        <v>0.3157894736842104</v>
      </c>
      <c r="BB37" s="264">
        <f t="shared" si="75"/>
        <v>0.29268292682926811</v>
      </c>
      <c r="BC37" s="264">
        <f t="shared" si="75"/>
        <v>0.27272727272727271</v>
      </c>
      <c r="BD37" s="1242">
        <f t="shared" si="75"/>
        <v>0.25531914893617014</v>
      </c>
      <c r="BE37" s="2773"/>
      <c r="BF37" s="409"/>
      <c r="BG37" s="409"/>
      <c r="BH37" s="409"/>
      <c r="BI37" s="409"/>
      <c r="BJ37" s="409"/>
      <c r="BK37" s="409"/>
      <c r="BL37" s="409"/>
      <c r="BM37" s="409"/>
      <c r="BN37" s="751" t="str">
        <f t="shared" ref="BN37:BY37" si="76">IF(ISERROR(BN34/BM34-1),"NA",(IF(BN34&lt;=0,"NM",BN34/BM34-1)))</f>
        <v>NA</v>
      </c>
      <c r="BO37" s="198" t="str">
        <f t="shared" si="76"/>
        <v>NA</v>
      </c>
      <c r="BP37" s="198">
        <f t="shared" si="76"/>
        <v>0.58823529411764675</v>
      </c>
      <c r="BQ37" s="198">
        <f t="shared" si="76"/>
        <v>1.7592592592592595</v>
      </c>
      <c r="BR37" s="198">
        <f t="shared" si="76"/>
        <v>0.63758389261744952</v>
      </c>
      <c r="BS37" s="198">
        <f t="shared" si="76"/>
        <v>0.39344262295081944</v>
      </c>
      <c r="BT37" s="198">
        <f t="shared" si="76"/>
        <v>0.28235294117647047</v>
      </c>
      <c r="BU37" s="198">
        <f t="shared" si="76"/>
        <v>0.22935779816513757</v>
      </c>
      <c r="BV37" s="198">
        <f t="shared" si="76"/>
        <v>0.20522388059701502</v>
      </c>
      <c r="BW37" s="198">
        <f t="shared" si="76"/>
        <v>0.18575851393188847</v>
      </c>
      <c r="BX37" s="198">
        <f t="shared" si="76"/>
        <v>0.16971279373368153</v>
      </c>
      <c r="BY37" s="752">
        <f t="shared" si="76"/>
        <v>0.15625</v>
      </c>
      <c r="BZ37" s="266"/>
      <c r="CA37" s="1917"/>
      <c r="CB37" s="1918"/>
      <c r="CC37" s="1918"/>
      <c r="CD37" s="1918"/>
      <c r="CE37" s="1918"/>
      <c r="CF37" s="1918"/>
      <c r="CG37" s="1918"/>
    </row>
    <row r="38" spans="1:98" s="42" customFormat="1" ht="11.25" customHeight="1">
      <c r="A38" s="328"/>
      <c r="B38" s="328"/>
      <c r="C38" s="328"/>
      <c r="D38" s="328"/>
      <c r="E38" s="328"/>
      <c r="F38" s="328"/>
      <c r="G38" s="328"/>
      <c r="H38" s="328"/>
      <c r="I38" s="1127" t="s">
        <v>146</v>
      </c>
      <c r="J38" s="1165"/>
      <c r="K38" s="409"/>
      <c r="L38" s="409"/>
      <c r="M38" s="264"/>
      <c r="N38" s="264"/>
      <c r="O38" s="264"/>
      <c r="P38" s="1242"/>
      <c r="Q38" s="264"/>
      <c r="R38" s="264"/>
      <c r="S38" s="264"/>
      <c r="T38" s="1242"/>
      <c r="U38" s="264"/>
      <c r="V38" s="264"/>
      <c r="W38" s="264"/>
      <c r="X38" s="1242"/>
      <c r="Y38" s="264"/>
      <c r="Z38" s="264"/>
      <c r="AA38" s="264"/>
      <c r="AB38" s="1242"/>
      <c r="AC38" s="264"/>
      <c r="AD38" s="264"/>
      <c r="AE38" s="264"/>
      <c r="AF38" s="1242"/>
      <c r="AG38" s="264"/>
      <c r="AH38" s="264">
        <f t="shared" ref="AH38:BD38" si="77">AH34/AG34-1</f>
        <v>-0.11111111111111105</v>
      </c>
      <c r="AI38" s="264">
        <f t="shared" si="77"/>
        <v>-0.12500000000000011</v>
      </c>
      <c r="AJ38" s="1242">
        <f t="shared" si="77"/>
        <v>0.4285714285714286</v>
      </c>
      <c r="AK38" s="264">
        <f t="shared" si="77"/>
        <v>0.10000000000000009</v>
      </c>
      <c r="AL38" s="264">
        <f t="shared" si="77"/>
        <v>9.0909090909090828E-2</v>
      </c>
      <c r="AM38" s="264">
        <f t="shared" si="77"/>
        <v>0.16666666666666674</v>
      </c>
      <c r="AN38" s="1242">
        <f t="shared" si="77"/>
        <v>0.21428571428571441</v>
      </c>
      <c r="AO38" s="264">
        <f t="shared" si="77"/>
        <v>0.29411764705882359</v>
      </c>
      <c r="AP38" s="264">
        <f t="shared" si="77"/>
        <v>0.72727272727272707</v>
      </c>
      <c r="AQ38" s="264">
        <f t="shared" si="77"/>
        <v>0.13157894736842102</v>
      </c>
      <c r="AR38" s="1242">
        <f t="shared" si="77"/>
        <v>6.9767441860465018E-2</v>
      </c>
      <c r="AS38" s="264">
        <f t="shared" si="77"/>
        <v>0.13043478260869557</v>
      </c>
      <c r="AT38" s="264">
        <f t="shared" si="77"/>
        <v>0.11538461538461542</v>
      </c>
      <c r="AU38" s="264">
        <f t="shared" si="77"/>
        <v>0.10344827586206895</v>
      </c>
      <c r="AV38" s="1242">
        <f t="shared" si="77"/>
        <v>9.375E-2</v>
      </c>
      <c r="AW38" s="264">
        <f t="shared" si="77"/>
        <v>8.5714285714285632E-2</v>
      </c>
      <c r="AX38" s="264">
        <f t="shared" si="77"/>
        <v>7.8947368421052655E-2</v>
      </c>
      <c r="AY38" s="264">
        <f t="shared" si="77"/>
        <v>7.3170731707317138E-2</v>
      </c>
      <c r="AZ38" s="1242">
        <f t="shared" si="77"/>
        <v>6.8181818181818121E-2</v>
      </c>
      <c r="BA38" s="264">
        <f t="shared" si="77"/>
        <v>6.3829787234042534E-2</v>
      </c>
      <c r="BB38" s="264">
        <f t="shared" si="77"/>
        <v>6.0000000000000053E-2</v>
      </c>
      <c r="BC38" s="264">
        <f t="shared" si="77"/>
        <v>5.6603773584905648E-2</v>
      </c>
      <c r="BD38" s="1242">
        <f t="shared" si="77"/>
        <v>5.3571428571428603E-2</v>
      </c>
      <c r="BE38" s="2773"/>
      <c r="BF38" s="409"/>
      <c r="BG38" s="409"/>
      <c r="BH38" s="409"/>
      <c r="BI38" s="409"/>
      <c r="BJ38" s="409"/>
      <c r="BK38" s="409"/>
      <c r="BL38" s="409"/>
      <c r="BM38" s="409"/>
      <c r="BN38" s="266"/>
      <c r="BO38" s="266"/>
      <c r="BP38" s="266"/>
      <c r="BQ38" s="266"/>
      <c r="BR38" s="266"/>
      <c r="BS38" s="266"/>
      <c r="BT38" s="266"/>
      <c r="BU38" s="266"/>
      <c r="BV38" s="266"/>
      <c r="BW38" s="266"/>
      <c r="BX38" s="266"/>
      <c r="BY38" s="731"/>
      <c r="BZ38" s="266"/>
      <c r="CA38" s="1917"/>
      <c r="CB38" s="1918"/>
      <c r="CC38" s="1918"/>
      <c r="CD38" s="1918"/>
      <c r="CE38" s="1918"/>
      <c r="CF38" s="1918"/>
      <c r="CG38" s="1918"/>
    </row>
    <row r="39" spans="1:98" ht="11.25" customHeight="1">
      <c r="I39" s="814"/>
      <c r="P39" s="830"/>
      <c r="T39" s="830"/>
      <c r="X39" s="830"/>
      <c r="AB39" s="830"/>
      <c r="AF39" s="830"/>
      <c r="AJ39" s="830"/>
      <c r="AN39" s="830"/>
      <c r="AR39" s="830"/>
      <c r="AV39" s="830"/>
      <c r="AZ39" s="830"/>
      <c r="BD39" s="830"/>
      <c r="BE39" s="1222"/>
      <c r="BY39" s="830"/>
    </row>
    <row r="40" spans="1:98" s="41" customFormat="1" ht="11.25" hidden="1" customHeight="1" outlineLevel="1">
      <c r="A40" s="91"/>
      <c r="B40" s="91"/>
      <c r="C40" s="91"/>
      <c r="D40" s="91"/>
      <c r="E40" s="91"/>
      <c r="F40" s="91"/>
      <c r="G40" s="91"/>
      <c r="H40" s="1349"/>
      <c r="I40" s="463" t="s">
        <v>511</v>
      </c>
      <c r="J40" s="192"/>
      <c r="K40" s="331"/>
      <c r="L40" s="331"/>
      <c r="M40" s="331"/>
      <c r="N40" s="331"/>
      <c r="O40" s="331"/>
      <c r="P40" s="694"/>
      <c r="Q40" s="331"/>
      <c r="R40" s="331"/>
      <c r="S40" s="331"/>
      <c r="T40" s="694"/>
      <c r="U40" s="2189"/>
      <c r="V40" s="2189"/>
      <c r="W40" s="2189"/>
      <c r="X40" s="2190"/>
      <c r="Y40" s="2189"/>
      <c r="Z40" s="2189"/>
      <c r="AA40" s="2189"/>
      <c r="AB40" s="2190"/>
      <c r="AC40" s="2189"/>
      <c r="AD40" s="2189"/>
      <c r="AE40" s="2189"/>
      <c r="AF40" s="2190"/>
      <c r="AG40" s="2192" t="e">
        <f t="shared" ref="AG40:BD40" si="78">+AG12-AG42</f>
        <v>#REF!</v>
      </c>
      <c r="AH40" s="2192" t="e">
        <f t="shared" si="78"/>
        <v>#REF!</v>
      </c>
      <c r="AI40" s="2192" t="e">
        <f t="shared" si="78"/>
        <v>#REF!</v>
      </c>
      <c r="AJ40" s="2193" t="e">
        <f t="shared" si="78"/>
        <v>#REF!</v>
      </c>
      <c r="AK40" s="2192" t="e">
        <f t="shared" si="78"/>
        <v>#REF!</v>
      </c>
      <c r="AL40" s="2192" t="e">
        <f t="shared" si="78"/>
        <v>#REF!</v>
      </c>
      <c r="AM40" s="2192" t="e">
        <f t="shared" si="78"/>
        <v>#REF!</v>
      </c>
      <c r="AN40" s="2193" t="e">
        <f t="shared" si="78"/>
        <v>#REF!</v>
      </c>
      <c r="AO40" s="2192" t="e">
        <f t="shared" si="78"/>
        <v>#REF!</v>
      </c>
      <c r="AP40" s="2192" t="e">
        <f t="shared" si="78"/>
        <v>#REF!</v>
      </c>
      <c r="AQ40" s="2192" t="e">
        <f t="shared" si="78"/>
        <v>#REF!</v>
      </c>
      <c r="AR40" s="2193" t="e">
        <f t="shared" ref="AR40" si="79">+AR12-AR42</f>
        <v>#REF!</v>
      </c>
      <c r="AS40" s="2192" t="e">
        <f t="shared" si="78"/>
        <v>#REF!</v>
      </c>
      <c r="AT40" s="2192" t="e">
        <f t="shared" si="78"/>
        <v>#REF!</v>
      </c>
      <c r="AU40" s="2192" t="e">
        <f t="shared" si="78"/>
        <v>#REF!</v>
      </c>
      <c r="AV40" s="2193" t="e">
        <f t="shared" si="78"/>
        <v>#REF!</v>
      </c>
      <c r="AW40" s="2191" t="e">
        <f t="shared" si="78"/>
        <v>#REF!</v>
      </c>
      <c r="AX40" s="2192" t="e">
        <f t="shared" si="78"/>
        <v>#REF!</v>
      </c>
      <c r="AY40" s="2192" t="e">
        <f t="shared" si="78"/>
        <v>#REF!</v>
      </c>
      <c r="AZ40" s="2193" t="e">
        <f t="shared" si="78"/>
        <v>#REF!</v>
      </c>
      <c r="BA40" s="2192" t="e">
        <f t="shared" si="78"/>
        <v>#REF!</v>
      </c>
      <c r="BB40" s="2192" t="e">
        <f t="shared" si="78"/>
        <v>#REF!</v>
      </c>
      <c r="BC40" s="2192" t="e">
        <f t="shared" si="78"/>
        <v>#REF!</v>
      </c>
      <c r="BD40" s="2193" t="e">
        <f t="shared" si="78"/>
        <v>#REF!</v>
      </c>
      <c r="BE40" s="2774"/>
      <c r="BF40" s="331"/>
      <c r="BG40" s="331"/>
      <c r="BH40" s="331"/>
      <c r="BI40" s="331"/>
      <c r="BJ40" s="331"/>
      <c r="BK40" s="331"/>
      <c r="BL40" s="331"/>
      <c r="BM40" s="694"/>
      <c r="BN40" s="658"/>
      <c r="BO40" s="108" t="e">
        <f>SUM(AG40:AJ40)</f>
        <v>#REF!</v>
      </c>
      <c r="BP40" s="108" t="e">
        <f>SUM(AK40:AN40)</f>
        <v>#REF!</v>
      </c>
      <c r="BQ40" s="108" t="e">
        <f>SUM(AO40:AR40)</f>
        <v>#REF!</v>
      </c>
      <c r="BR40" s="428" t="e">
        <f>SUM(AS40:AV40)</f>
        <v>#REF!</v>
      </c>
      <c r="BS40" s="428" t="e">
        <f>SUM(AW40:AZ40)</f>
        <v>#REF!</v>
      </c>
      <c r="BT40" s="428" t="e">
        <f>SUM(BA40:BD40)</f>
        <v>#REF!</v>
      </c>
      <c r="BU40" s="2093" t="e">
        <f>+BU12-BU42</f>
        <v>#REF!</v>
      </c>
      <c r="BV40" s="2093" t="e">
        <f>+BV12-BV42</f>
        <v>#REF!</v>
      </c>
      <c r="BW40" s="2093" t="e">
        <f>+BW12-BW42</f>
        <v>#REF!</v>
      </c>
      <c r="BX40" s="2093" t="e">
        <f>+BX12-BX42</f>
        <v>#REF!</v>
      </c>
      <c r="BY40" s="2094" t="e">
        <f>+BY12-BY42</f>
        <v>#REF!</v>
      </c>
      <c r="BZ40" s="274"/>
      <c r="CA40" s="98"/>
      <c r="CB40" s="205"/>
      <c r="CC40" s="205"/>
      <c r="CD40" s="205"/>
      <c r="CE40" s="205"/>
      <c r="CF40" s="205"/>
      <c r="CG40" s="205"/>
    </row>
    <row r="41" spans="1:98" ht="11.25" hidden="1" customHeight="1" outlineLevel="1">
      <c r="A41" s="86"/>
      <c r="B41" s="86"/>
      <c r="C41" s="86"/>
      <c r="D41" s="86"/>
      <c r="E41" s="86"/>
      <c r="F41" s="86"/>
      <c r="G41" s="86"/>
      <c r="H41" s="328"/>
      <c r="I41" s="770" t="s">
        <v>480</v>
      </c>
      <c r="J41" s="193"/>
      <c r="K41" s="67"/>
      <c r="L41" s="67"/>
      <c r="M41" s="67"/>
      <c r="N41" s="67"/>
      <c r="O41" s="67"/>
      <c r="P41" s="581"/>
      <c r="Q41" s="67"/>
      <c r="R41" s="67"/>
      <c r="S41" s="67"/>
      <c r="T41" s="581"/>
      <c r="U41" s="194"/>
      <c r="V41" s="194"/>
      <c r="W41" s="194"/>
      <c r="X41" s="753"/>
      <c r="Y41" s="194"/>
      <c r="Z41" s="194"/>
      <c r="AA41" s="194"/>
      <c r="AB41" s="753"/>
      <c r="AC41" s="194"/>
      <c r="AD41" s="194"/>
      <c r="AE41" s="194"/>
      <c r="AF41" s="753"/>
      <c r="AG41" s="976" t="e">
        <f>+AG40/AC12-1</f>
        <v>#REF!</v>
      </c>
      <c r="AH41" s="976" t="e">
        <f>+AH40/AD12-1</f>
        <v>#REF!</v>
      </c>
      <c r="AI41" s="976" t="e">
        <f>+AI40/AE12-1</f>
        <v>#REF!</v>
      </c>
      <c r="AJ41" s="1130" t="e">
        <f>+AJ40/AF12-1</f>
        <v>#REF!</v>
      </c>
      <c r="AK41" s="976" t="e">
        <f t="shared" ref="AK41:AR41" si="80">AK40/AG40-1</f>
        <v>#REF!</v>
      </c>
      <c r="AL41" s="976" t="e">
        <f t="shared" si="80"/>
        <v>#REF!</v>
      </c>
      <c r="AM41" s="976" t="e">
        <f t="shared" si="80"/>
        <v>#REF!</v>
      </c>
      <c r="AN41" s="1130" t="e">
        <f t="shared" si="80"/>
        <v>#REF!</v>
      </c>
      <c r="AO41" s="976" t="e">
        <f t="shared" si="80"/>
        <v>#REF!</v>
      </c>
      <c r="AP41" s="976" t="e">
        <f t="shared" si="80"/>
        <v>#REF!</v>
      </c>
      <c r="AQ41" s="976" t="e">
        <f t="shared" si="80"/>
        <v>#REF!</v>
      </c>
      <c r="AR41" s="1130" t="e">
        <f t="shared" si="80"/>
        <v>#REF!</v>
      </c>
      <c r="AS41" s="976" t="e">
        <f t="shared" ref="AS41:BD41" si="81">AS40/AO40-1</f>
        <v>#REF!</v>
      </c>
      <c r="AT41" s="976" t="e">
        <f t="shared" si="81"/>
        <v>#REF!</v>
      </c>
      <c r="AU41" s="976" t="e">
        <f t="shared" si="81"/>
        <v>#REF!</v>
      </c>
      <c r="AV41" s="1130" t="e">
        <f t="shared" si="81"/>
        <v>#REF!</v>
      </c>
      <c r="AW41" s="977" t="e">
        <f t="shared" si="81"/>
        <v>#REF!</v>
      </c>
      <c r="AX41" s="976" t="e">
        <f t="shared" si="81"/>
        <v>#REF!</v>
      </c>
      <c r="AY41" s="976" t="e">
        <f t="shared" si="81"/>
        <v>#REF!</v>
      </c>
      <c r="AZ41" s="1130" t="e">
        <f t="shared" si="81"/>
        <v>#REF!</v>
      </c>
      <c r="BA41" s="976" t="e">
        <f t="shared" si="81"/>
        <v>#REF!</v>
      </c>
      <c r="BB41" s="976" t="e">
        <f t="shared" si="81"/>
        <v>#REF!</v>
      </c>
      <c r="BC41" s="976" t="e">
        <f t="shared" si="81"/>
        <v>#REF!</v>
      </c>
      <c r="BD41" s="1130" t="e">
        <f t="shared" si="81"/>
        <v>#REF!</v>
      </c>
      <c r="BE41" s="2775"/>
      <c r="BF41" s="67"/>
      <c r="BG41" s="67"/>
      <c r="BH41" s="67"/>
      <c r="BI41" s="67"/>
      <c r="BJ41" s="67"/>
      <c r="BK41" s="67"/>
      <c r="BL41" s="67"/>
      <c r="BM41" s="581"/>
      <c r="BN41" s="631"/>
      <c r="BO41" s="2068" t="e">
        <f>BO40/BN12-1</f>
        <v>#REF!</v>
      </c>
      <c r="BP41" s="2068" t="e">
        <f>BP40/BO40-1</f>
        <v>#REF!</v>
      </c>
      <c r="BQ41" s="2068" t="e">
        <f>BQ40/BP40-1</f>
        <v>#REF!</v>
      </c>
      <c r="BR41" s="2068" t="e">
        <f t="shared" ref="BR41:BY41" si="82">BR40/BQ40-1</f>
        <v>#REF!</v>
      </c>
      <c r="BS41" s="2068" t="e">
        <f t="shared" si="82"/>
        <v>#REF!</v>
      </c>
      <c r="BT41" s="2068" t="e">
        <f t="shared" si="82"/>
        <v>#REF!</v>
      </c>
      <c r="BU41" s="2068" t="e">
        <f t="shared" si="82"/>
        <v>#REF!</v>
      </c>
      <c r="BV41" s="2068" t="e">
        <f t="shared" si="82"/>
        <v>#REF!</v>
      </c>
      <c r="BW41" s="2068" t="e">
        <f t="shared" si="82"/>
        <v>#REF!</v>
      </c>
      <c r="BX41" s="2068" t="e">
        <f t="shared" si="82"/>
        <v>#REF!</v>
      </c>
      <c r="BY41" s="2095" t="e">
        <f t="shared" si="82"/>
        <v>#REF!</v>
      </c>
      <c r="BZ41" s="266"/>
      <c r="CA41" s="80"/>
      <c r="CB41" s="88"/>
      <c r="CC41" s="88"/>
      <c r="CD41" s="88"/>
      <c r="CE41" s="88"/>
      <c r="CF41" s="88"/>
      <c r="CG41" s="88"/>
    </row>
    <row r="42" spans="1:98" ht="11.25" hidden="1" customHeight="1" outlineLevel="1">
      <c r="A42" s="86"/>
      <c r="B42" s="86"/>
      <c r="C42" s="86"/>
      <c r="D42" s="86"/>
      <c r="E42" s="86"/>
      <c r="F42" s="86"/>
      <c r="G42" s="86"/>
      <c r="H42" s="328"/>
      <c r="I42" s="770" t="s">
        <v>509</v>
      </c>
      <c r="J42" s="193"/>
      <c r="K42" s="67"/>
      <c r="L42" s="67"/>
      <c r="M42" s="67"/>
      <c r="N42" s="67"/>
      <c r="O42" s="67"/>
      <c r="P42" s="581"/>
      <c r="Q42" s="67"/>
      <c r="R42" s="67"/>
      <c r="S42" s="67"/>
      <c r="T42" s="581"/>
      <c r="U42" s="194"/>
      <c r="V42" s="194"/>
      <c r="W42" s="194"/>
      <c r="X42" s="753"/>
      <c r="Y42" s="194"/>
      <c r="Z42" s="194"/>
      <c r="AA42" s="194"/>
      <c r="AB42" s="753"/>
      <c r="AC42" s="194"/>
      <c r="AD42" s="194" t="e">
        <f>AH42/(1.73)</f>
        <v>#REF!</v>
      </c>
      <c r="AE42" s="194" t="e">
        <f>AI42/(1.73)</f>
        <v>#REF!</v>
      </c>
      <c r="AF42" s="753"/>
      <c r="AG42" s="1762" t="e">
        <f>#REF!</f>
        <v>#REF!</v>
      </c>
      <c r="AH42" s="1762" t="e">
        <f>#REF!</f>
        <v>#REF!</v>
      </c>
      <c r="AI42" s="1762" t="e">
        <f>#REF!</f>
        <v>#REF!</v>
      </c>
      <c r="AJ42" s="2229" t="e">
        <f>#REF!</f>
        <v>#REF!</v>
      </c>
      <c r="AK42" s="1762" t="e">
        <f>#REF!</f>
        <v>#REF!</v>
      </c>
      <c r="AL42" s="1762" t="e">
        <f>#REF!</f>
        <v>#REF!</v>
      </c>
      <c r="AM42" s="1762" t="e">
        <f>#REF!</f>
        <v>#REF!</v>
      </c>
      <c r="AN42" s="2229" t="e">
        <f>#REF!</f>
        <v>#REF!</v>
      </c>
      <c r="AO42" s="1762" t="e">
        <f>#REF!</f>
        <v>#REF!</v>
      </c>
      <c r="AP42" s="1762" t="e">
        <f>#REF!</f>
        <v>#REF!</v>
      </c>
      <c r="AQ42" s="1762" t="e">
        <f>#REF!</f>
        <v>#REF!</v>
      </c>
      <c r="AR42" s="2229" t="e">
        <f>#REF!</f>
        <v>#REF!</v>
      </c>
      <c r="AS42" s="1762" t="e">
        <f>#REF!</f>
        <v>#REF!</v>
      </c>
      <c r="AT42" s="1762" t="e">
        <f>#REF!</f>
        <v>#REF!</v>
      </c>
      <c r="AU42" s="1762" t="e">
        <f>#REF!</f>
        <v>#REF!</v>
      </c>
      <c r="AV42" s="2229" t="e">
        <f>#REF!</f>
        <v>#REF!</v>
      </c>
      <c r="AW42" s="2228" t="e">
        <f>#REF!</f>
        <v>#REF!</v>
      </c>
      <c r="AX42" s="1762" t="e">
        <f>#REF!</f>
        <v>#REF!</v>
      </c>
      <c r="AY42" s="1762" t="e">
        <f>#REF!</f>
        <v>#REF!</v>
      </c>
      <c r="AZ42" s="2229" t="e">
        <f>#REF!</f>
        <v>#REF!</v>
      </c>
      <c r="BA42" s="1762" t="e">
        <f>#REF!</f>
        <v>#REF!</v>
      </c>
      <c r="BB42" s="1762" t="e">
        <f>#REF!</f>
        <v>#REF!</v>
      </c>
      <c r="BC42" s="1762" t="e">
        <f>#REF!</f>
        <v>#REF!</v>
      </c>
      <c r="BD42" s="2229" t="e">
        <f>#REF!</f>
        <v>#REF!</v>
      </c>
      <c r="BE42" s="2775"/>
      <c r="BF42" s="67"/>
      <c r="BG42" s="67"/>
      <c r="BH42" s="67"/>
      <c r="BI42" s="67"/>
      <c r="BJ42" s="67"/>
      <c r="BK42" s="67"/>
      <c r="BL42" s="67"/>
      <c r="BM42" s="67"/>
      <c r="BN42" s="631"/>
      <c r="BO42" s="336" t="e">
        <f>SUM(AG42:AJ42)</f>
        <v>#REF!</v>
      </c>
      <c r="BP42" s="336" t="e">
        <f>SUM(AK42:AN42)</f>
        <v>#REF!</v>
      </c>
      <c r="BQ42" s="336" t="e">
        <f>SUM(AO42:AR42)</f>
        <v>#REF!</v>
      </c>
      <c r="BR42" s="110" t="e">
        <f>SUM(AS42:AV42)</f>
        <v>#REF!</v>
      </c>
      <c r="BS42" s="110" t="e">
        <f>SUM(AW42:AZ42)</f>
        <v>#REF!</v>
      </c>
      <c r="BT42" s="110" t="e">
        <f>SUM(BA42:BD42)</f>
        <v>#REF!</v>
      </c>
      <c r="BU42" s="2000" t="e">
        <f>#REF!</f>
        <v>#REF!</v>
      </c>
      <c r="BV42" s="2000" t="e">
        <f>#REF!</f>
        <v>#REF!</v>
      </c>
      <c r="BW42" s="2000" t="e">
        <f>#REF!</f>
        <v>#REF!</v>
      </c>
      <c r="BX42" s="2000" t="e">
        <f>#REF!</f>
        <v>#REF!</v>
      </c>
      <c r="BY42" s="2006" t="e">
        <f>#REF!</f>
        <v>#REF!</v>
      </c>
      <c r="BZ42" s="266"/>
      <c r="CA42" s="80"/>
      <c r="CB42" s="88"/>
      <c r="CC42" s="88"/>
      <c r="CD42" s="88"/>
      <c r="CE42" s="88"/>
      <c r="CF42" s="88"/>
      <c r="CG42" s="88"/>
    </row>
    <row r="43" spans="1:98" ht="11.25" hidden="1" customHeight="1" outlineLevel="1">
      <c r="A43" s="86"/>
      <c r="B43" s="86"/>
      <c r="C43" s="86"/>
      <c r="D43" s="86"/>
      <c r="E43" s="86"/>
      <c r="F43" s="86"/>
      <c r="G43" s="86"/>
      <c r="H43" s="328"/>
      <c r="I43" s="770"/>
      <c r="J43" s="193"/>
      <c r="K43" s="67"/>
      <c r="L43" s="67"/>
      <c r="M43" s="67"/>
      <c r="N43" s="67"/>
      <c r="O43" s="67"/>
      <c r="P43" s="581"/>
      <c r="Q43" s="67"/>
      <c r="R43" s="67"/>
      <c r="S43" s="67"/>
      <c r="T43" s="581"/>
      <c r="U43" s="194"/>
      <c r="V43" s="194"/>
      <c r="W43" s="194"/>
      <c r="X43" s="753"/>
      <c r="Y43" s="194"/>
      <c r="Z43" s="194"/>
      <c r="AA43" s="194"/>
      <c r="AB43" s="753"/>
      <c r="AC43" s="194"/>
      <c r="AD43" s="194"/>
      <c r="AE43" s="194"/>
      <c r="AF43" s="753"/>
      <c r="AI43" s="1763"/>
      <c r="AJ43" s="830"/>
      <c r="AK43" s="194"/>
      <c r="AL43" s="194"/>
      <c r="AM43" s="194"/>
      <c r="AN43" s="753"/>
      <c r="AO43" s="194"/>
      <c r="AP43" s="194"/>
      <c r="AQ43" s="194"/>
      <c r="AR43" s="753"/>
      <c r="AS43" s="194"/>
      <c r="AT43" s="194"/>
      <c r="AU43" s="194"/>
      <c r="AV43" s="753"/>
      <c r="AW43" s="194"/>
      <c r="AX43" s="194"/>
      <c r="AY43" s="194"/>
      <c r="AZ43" s="753"/>
      <c r="BA43" s="194"/>
      <c r="BB43" s="194"/>
      <c r="BC43" s="194"/>
      <c r="BD43" s="753"/>
      <c r="BE43" s="2775"/>
      <c r="BF43" s="67"/>
      <c r="BG43" s="67"/>
      <c r="BH43" s="67"/>
      <c r="BI43" s="67"/>
      <c r="BJ43" s="67"/>
      <c r="BK43" s="67"/>
      <c r="BL43" s="67"/>
      <c r="BM43" s="67"/>
      <c r="BN43" s="631"/>
      <c r="BO43" s="194"/>
      <c r="BP43" s="194"/>
      <c r="BQ43" s="194"/>
      <c r="BR43" s="194"/>
      <c r="BS43" s="194"/>
      <c r="BT43" s="194"/>
      <c r="BU43" s="194"/>
      <c r="BV43" s="194"/>
      <c r="BW43" s="194"/>
      <c r="BX43" s="194"/>
      <c r="BY43" s="753"/>
      <c r="BZ43" s="266"/>
      <c r="CA43" s="80"/>
      <c r="CB43" s="88"/>
      <c r="CC43" s="88"/>
      <c r="CD43" s="88"/>
      <c r="CE43" s="88"/>
      <c r="CF43" s="88"/>
      <c r="CG43" s="88"/>
    </row>
    <row r="44" spans="1:98" ht="11.25" hidden="1" customHeight="1" outlineLevel="1">
      <c r="A44" s="86"/>
      <c r="B44" s="86"/>
      <c r="C44" s="86"/>
      <c r="D44" s="86"/>
      <c r="E44" s="86"/>
      <c r="F44" s="86"/>
      <c r="G44" s="86"/>
      <c r="H44" s="328"/>
      <c r="I44" s="770"/>
      <c r="J44" s="193"/>
      <c r="K44" s="67"/>
      <c r="L44" s="67"/>
      <c r="M44" s="67"/>
      <c r="N44" s="67"/>
      <c r="O44" s="67"/>
      <c r="P44" s="581"/>
      <c r="Q44" s="67"/>
      <c r="R44" s="67"/>
      <c r="S44" s="67"/>
      <c r="T44" s="581"/>
      <c r="U44" s="194"/>
      <c r="V44" s="194"/>
      <c r="W44" s="194"/>
      <c r="X44" s="753"/>
      <c r="Y44" s="194"/>
      <c r="Z44" s="194"/>
      <c r="AA44" s="194"/>
      <c r="AB44" s="753"/>
      <c r="AC44" s="194"/>
      <c r="AD44" s="194"/>
      <c r="AE44" s="194"/>
      <c r="AF44" s="753"/>
      <c r="AI44" s="1763"/>
      <c r="AJ44" s="830"/>
      <c r="AK44" s="194"/>
      <c r="AL44" s="194"/>
      <c r="AM44" s="194"/>
      <c r="AN44" s="753"/>
      <c r="AO44" s="194"/>
      <c r="AP44" s="194"/>
      <c r="AQ44" s="194"/>
      <c r="AR44" s="753"/>
      <c r="AS44" s="194"/>
      <c r="AT44" s="194"/>
      <c r="AU44" s="194"/>
      <c r="AV44" s="753"/>
      <c r="AW44" s="194"/>
      <c r="AX44" s="194"/>
      <c r="AY44" s="194"/>
      <c r="AZ44" s="753"/>
      <c r="BA44" s="194"/>
      <c r="BB44" s="194"/>
      <c r="BC44" s="194"/>
      <c r="BD44" s="753"/>
      <c r="BE44" s="2775"/>
      <c r="BF44" s="67"/>
      <c r="BG44" s="67"/>
      <c r="BH44" s="67"/>
      <c r="BI44" s="67"/>
      <c r="BJ44" s="67"/>
      <c r="BK44" s="67"/>
      <c r="BL44" s="67"/>
      <c r="BM44" s="67"/>
      <c r="BN44" s="631"/>
      <c r="BO44" s="194"/>
      <c r="BP44" s="194"/>
      <c r="BQ44" s="194"/>
      <c r="BR44" s="194"/>
      <c r="BS44" s="194"/>
      <c r="BT44" s="194"/>
      <c r="BU44" s="194"/>
      <c r="BV44" s="194"/>
      <c r="BW44" s="194"/>
      <c r="BX44" s="194"/>
      <c r="BY44" s="753"/>
      <c r="BZ44" s="266"/>
      <c r="CA44" s="80"/>
      <c r="CB44" s="88"/>
      <c r="CC44" s="88"/>
      <c r="CD44" s="88"/>
      <c r="CE44" s="88"/>
      <c r="CF44" s="88"/>
      <c r="CG44" s="88"/>
    </row>
    <row r="45" spans="1:98" ht="11.25" hidden="1" customHeight="1" outlineLevel="1">
      <c r="A45" s="86"/>
      <c r="B45" s="86"/>
      <c r="C45" s="86"/>
      <c r="D45" s="86"/>
      <c r="E45" s="86"/>
      <c r="F45" s="86"/>
      <c r="G45" s="86"/>
      <c r="H45" s="328"/>
      <c r="I45" s="770"/>
      <c r="J45" s="193"/>
      <c r="K45" s="67"/>
      <c r="L45" s="67"/>
      <c r="M45" s="67"/>
      <c r="N45" s="67"/>
      <c r="O45" s="67"/>
      <c r="P45" s="581"/>
      <c r="Q45" s="67"/>
      <c r="R45" s="67"/>
      <c r="S45" s="67"/>
      <c r="T45" s="581"/>
      <c r="U45" s="194"/>
      <c r="V45" s="194"/>
      <c r="W45" s="194"/>
      <c r="X45" s="753"/>
      <c r="Y45" s="194"/>
      <c r="Z45" s="194"/>
      <c r="AA45" s="194"/>
      <c r="AB45" s="753"/>
      <c r="AC45" s="194"/>
      <c r="AD45" s="194"/>
      <c r="AE45" s="194"/>
      <c r="AF45" s="753"/>
      <c r="AI45" s="1763"/>
      <c r="AJ45" s="830"/>
      <c r="AK45" s="194"/>
      <c r="AL45" s="194"/>
      <c r="AM45" s="194"/>
      <c r="AN45" s="753"/>
      <c r="AO45" s="194"/>
      <c r="AP45" s="194"/>
      <c r="AQ45" s="194"/>
      <c r="AR45" s="753"/>
      <c r="AS45" s="194"/>
      <c r="AT45" s="194"/>
      <c r="AU45" s="194"/>
      <c r="AV45" s="753"/>
      <c r="AW45" s="194"/>
      <c r="AX45" s="194"/>
      <c r="AY45" s="194"/>
      <c r="AZ45" s="753"/>
      <c r="BA45" s="194"/>
      <c r="BB45" s="194"/>
      <c r="BC45" s="194"/>
      <c r="BD45" s="753"/>
      <c r="BE45" s="2775"/>
      <c r="BF45" s="67"/>
      <c r="BG45" s="67"/>
      <c r="BH45" s="67"/>
      <c r="BI45" s="67"/>
      <c r="BJ45" s="67"/>
      <c r="BK45" s="67"/>
      <c r="BL45" s="67"/>
      <c r="BM45" s="67"/>
      <c r="BN45" s="631"/>
      <c r="BO45" s="194"/>
      <c r="BP45" s="194"/>
      <c r="BQ45" s="194"/>
      <c r="BR45" s="194"/>
      <c r="BS45" s="194"/>
      <c r="BT45" s="194"/>
      <c r="BU45" s="194"/>
      <c r="BV45" s="194"/>
      <c r="BW45" s="194"/>
      <c r="BX45" s="194"/>
      <c r="BY45" s="753"/>
      <c r="BZ45" s="266"/>
      <c r="CA45" s="80"/>
      <c r="CB45" s="88"/>
      <c r="CC45" s="88"/>
      <c r="CD45" s="88"/>
      <c r="CE45" s="88"/>
      <c r="CF45" s="88"/>
      <c r="CG45" s="88"/>
    </row>
    <row r="46" spans="1:98" ht="11.25" customHeight="1" collapsed="1">
      <c r="A46" s="86"/>
      <c r="B46" s="86"/>
      <c r="C46" s="86"/>
      <c r="D46" s="86"/>
      <c r="E46" s="86"/>
      <c r="F46" s="86"/>
      <c r="G46" s="86"/>
      <c r="H46" s="328"/>
      <c r="I46" s="770"/>
      <c r="J46" s="193"/>
      <c r="K46" s="67"/>
      <c r="L46" s="67"/>
      <c r="M46" s="67"/>
      <c r="N46" s="67"/>
      <c r="O46" s="67"/>
      <c r="P46" s="581"/>
      <c r="Q46" s="67"/>
      <c r="R46" s="67"/>
      <c r="S46" s="67"/>
      <c r="T46" s="581"/>
      <c r="U46" s="194"/>
      <c r="V46" s="332"/>
      <c r="W46" s="332"/>
      <c r="X46" s="756"/>
      <c r="Y46" s="332"/>
      <c r="Z46" s="332"/>
      <c r="AA46" s="332"/>
      <c r="AB46" s="756"/>
      <c r="AC46" s="332"/>
      <c r="AD46" s="332"/>
      <c r="AE46" s="332"/>
      <c r="AF46" s="756"/>
      <c r="AG46" s="332"/>
      <c r="AH46" s="332"/>
      <c r="AI46" s="332"/>
      <c r="AJ46" s="756"/>
      <c r="AK46" s="332"/>
      <c r="AL46" s="332"/>
      <c r="AM46" s="332"/>
      <c r="AN46" s="756"/>
      <c r="AO46" s="332"/>
      <c r="AP46" s="332"/>
      <c r="AQ46" s="332"/>
      <c r="AR46" s="756"/>
      <c r="AS46" s="332"/>
      <c r="AT46" s="332"/>
      <c r="AU46" s="332"/>
      <c r="AV46" s="756"/>
      <c r="AW46" s="332"/>
      <c r="AX46" s="332"/>
      <c r="AY46" s="332"/>
      <c r="AZ46" s="756"/>
      <c r="BA46" s="332"/>
      <c r="BB46" s="332"/>
      <c r="BC46" s="332"/>
      <c r="BD46" s="756"/>
      <c r="BE46" s="2776"/>
      <c r="BF46" s="332"/>
      <c r="BG46" s="332"/>
      <c r="BH46" s="332"/>
      <c r="BI46" s="332"/>
      <c r="BJ46" s="332"/>
      <c r="BK46" s="332"/>
      <c r="BL46" s="332"/>
      <c r="BM46" s="332"/>
      <c r="BN46" s="755"/>
      <c r="BO46" s="332"/>
      <c r="BP46" s="332"/>
      <c r="BQ46" s="332"/>
      <c r="BR46" s="332"/>
      <c r="BS46" s="332"/>
      <c r="BT46" s="332"/>
      <c r="BU46" s="332"/>
      <c r="BV46" s="332"/>
      <c r="BW46" s="332"/>
      <c r="BX46" s="332"/>
      <c r="BY46" s="756"/>
      <c r="BZ46" s="276"/>
      <c r="CA46" s="80"/>
      <c r="CB46" s="88"/>
      <c r="CC46" s="88"/>
      <c r="CD46" s="88"/>
      <c r="CE46" s="88"/>
      <c r="CF46" s="88"/>
      <c r="CG46" s="88"/>
      <c r="CQ46" s="40" t="s">
        <v>650</v>
      </c>
      <c r="CT46" s="40" t="s">
        <v>651</v>
      </c>
    </row>
    <row r="47" spans="1:98" s="106" customFormat="1" ht="11.25" hidden="1" customHeight="1" outlineLevel="1">
      <c r="A47" s="86"/>
      <c r="B47" s="86"/>
      <c r="C47" s="86"/>
      <c r="D47" s="86"/>
      <c r="E47" s="86"/>
      <c r="F47" s="86"/>
      <c r="G47" s="86"/>
      <c r="H47" s="328"/>
      <c r="I47" s="771" t="s">
        <v>341</v>
      </c>
      <c r="J47" s="339"/>
      <c r="K47" s="339"/>
      <c r="L47" s="339"/>
      <c r="M47" s="339"/>
      <c r="N47" s="339"/>
      <c r="O47" s="339"/>
      <c r="P47" s="758"/>
      <c r="Q47" s="339"/>
      <c r="R47" s="339"/>
      <c r="S47" s="339"/>
      <c r="T47" s="758"/>
      <c r="U47" s="339"/>
      <c r="V47" s="339"/>
      <c r="W47" s="339"/>
      <c r="X47" s="758"/>
      <c r="Y47" s="339"/>
      <c r="Z47" s="339"/>
      <c r="AA47" s="339"/>
      <c r="AB47" s="758"/>
      <c r="AC47" s="339"/>
      <c r="AD47" s="339"/>
      <c r="AE47" s="339"/>
      <c r="AF47" s="758"/>
      <c r="AG47" s="339"/>
      <c r="AH47" s="339"/>
      <c r="AI47" s="339"/>
      <c r="AJ47" s="758"/>
      <c r="AK47" s="339"/>
      <c r="AL47" s="339"/>
      <c r="AM47" s="339"/>
      <c r="AN47" s="758"/>
      <c r="AO47" s="339"/>
      <c r="AP47" s="339"/>
      <c r="AQ47" s="339"/>
      <c r="AR47" s="758"/>
      <c r="AS47" s="339"/>
      <c r="AT47" s="339"/>
      <c r="AU47" s="339"/>
      <c r="AV47" s="758"/>
      <c r="AW47" s="339"/>
      <c r="AX47" s="339"/>
      <c r="AY47" s="339"/>
      <c r="AZ47" s="758"/>
      <c r="BA47" s="339"/>
      <c r="BB47" s="339"/>
      <c r="BC47" s="339"/>
      <c r="BD47" s="758"/>
      <c r="BE47" s="277"/>
      <c r="BF47" s="757"/>
      <c r="BG47" s="339"/>
      <c r="BH47" s="339"/>
      <c r="BI47" s="339"/>
      <c r="BJ47" s="339"/>
      <c r="BK47" s="339"/>
      <c r="BL47" s="339"/>
      <c r="BM47" s="339"/>
      <c r="BN47" s="1646"/>
      <c r="BO47" s="339"/>
      <c r="BP47" s="339"/>
      <c r="BQ47" s="339"/>
      <c r="BR47" s="339"/>
      <c r="BS47" s="339"/>
      <c r="BT47" s="339"/>
      <c r="BU47" s="339"/>
      <c r="BV47" s="339"/>
      <c r="BW47" s="339"/>
      <c r="BX47" s="339"/>
      <c r="BY47" s="758"/>
      <c r="BZ47" s="277"/>
      <c r="CA47" s="99"/>
      <c r="CB47" s="327"/>
      <c r="CC47" s="327"/>
      <c r="CD47" s="327"/>
      <c r="CE47" s="327"/>
      <c r="CF47" s="327"/>
      <c r="CG47" s="327"/>
      <c r="CQ47" s="106" t="s">
        <v>652</v>
      </c>
      <c r="CT47" s="1516" t="s">
        <v>653</v>
      </c>
    </row>
    <row r="48" spans="1:98" s="83" customFormat="1" ht="11.25" hidden="1" customHeight="1" outlineLevel="1">
      <c r="A48" s="328"/>
      <c r="B48" s="328"/>
      <c r="C48" s="328"/>
      <c r="D48" s="328"/>
      <c r="E48" s="328"/>
      <c r="F48" s="328"/>
      <c r="G48" s="328"/>
      <c r="H48" s="328"/>
      <c r="I48" s="772"/>
      <c r="J48" s="277"/>
      <c r="K48" s="277"/>
      <c r="L48" s="277"/>
      <c r="M48" s="277"/>
      <c r="N48" s="277"/>
      <c r="O48" s="277"/>
      <c r="P48" s="729"/>
      <c r="Q48" s="277"/>
      <c r="R48" s="277"/>
      <c r="S48" s="277"/>
      <c r="T48" s="729"/>
      <c r="U48" s="277"/>
      <c r="V48" s="277"/>
      <c r="W48" s="277"/>
      <c r="X48" s="729"/>
      <c r="Y48" s="277"/>
      <c r="Z48" s="277"/>
      <c r="AA48" s="277"/>
      <c r="AB48" s="729"/>
      <c r="AC48" s="277"/>
      <c r="AD48" s="277"/>
      <c r="AE48" s="277"/>
      <c r="AF48" s="729"/>
      <c r="AG48" s="277"/>
      <c r="AH48" s="277"/>
      <c r="AI48" s="277"/>
      <c r="AJ48" s="729"/>
      <c r="AK48" s="277"/>
      <c r="AL48" s="277"/>
      <c r="AM48" s="277"/>
      <c r="AN48" s="729"/>
      <c r="AO48" s="277"/>
      <c r="AP48" s="277"/>
      <c r="AQ48" s="277"/>
      <c r="AR48" s="729"/>
      <c r="AS48" s="277"/>
      <c r="AT48" s="277"/>
      <c r="AU48" s="277"/>
      <c r="AV48" s="729"/>
      <c r="AW48" s="277"/>
      <c r="AX48" s="277"/>
      <c r="AY48" s="277"/>
      <c r="AZ48" s="729"/>
      <c r="BA48" s="277"/>
      <c r="BB48" s="277"/>
      <c r="BC48" s="277"/>
      <c r="BD48" s="729"/>
      <c r="BE48" s="277"/>
      <c r="BF48" s="728"/>
      <c r="BG48" s="277"/>
      <c r="BH48" s="277"/>
      <c r="BI48" s="277"/>
      <c r="BJ48" s="277"/>
      <c r="BK48" s="277"/>
      <c r="BL48" s="277"/>
      <c r="BM48" s="277"/>
      <c r="BN48" s="728"/>
      <c r="BO48" s="277"/>
      <c r="BP48" s="277"/>
      <c r="BQ48" s="277"/>
      <c r="BR48" s="277"/>
      <c r="BS48" s="277"/>
      <c r="BT48" s="277"/>
      <c r="BU48" s="277"/>
      <c r="BV48" s="277"/>
      <c r="BW48" s="277"/>
      <c r="BX48" s="277"/>
      <c r="BY48" s="729"/>
      <c r="BZ48" s="277"/>
      <c r="CA48" s="320"/>
      <c r="CB48" s="329"/>
      <c r="CC48" s="329"/>
      <c r="CD48" s="329"/>
      <c r="CE48" s="329"/>
      <c r="CF48" s="329"/>
      <c r="CG48" s="329"/>
    </row>
    <row r="49" spans="1:99" s="106" customFormat="1" ht="11.25" hidden="1" customHeight="1" outlineLevel="1">
      <c r="A49" s="191"/>
      <c r="B49" s="191"/>
      <c r="C49" s="191"/>
      <c r="D49" s="191"/>
      <c r="E49" s="191"/>
      <c r="F49" s="191"/>
      <c r="G49" s="191"/>
      <c r="H49" s="1163"/>
      <c r="I49" s="622" t="s">
        <v>342</v>
      </c>
      <c r="J49" s="193"/>
      <c r="K49" s="67"/>
      <c r="L49" s="67"/>
      <c r="M49" s="67"/>
      <c r="N49" s="67"/>
      <c r="O49" s="67"/>
      <c r="P49" s="581"/>
      <c r="Q49" s="67"/>
      <c r="R49" s="67"/>
      <c r="S49" s="67"/>
      <c r="T49" s="581"/>
      <c r="U49" s="76"/>
      <c r="V49" s="76"/>
      <c r="W49" s="76"/>
      <c r="X49" s="614"/>
      <c r="Y49" s="76">
        <f t="shared" ref="Y49:BD49" si="83">Y12-Y57</f>
        <v>43.826350000000005</v>
      </c>
      <c r="Z49" s="76">
        <f t="shared" si="83"/>
        <v>52.271850000000001</v>
      </c>
      <c r="AA49" s="76">
        <f t="shared" si="83"/>
        <v>58.121949999999998</v>
      </c>
      <c r="AB49" s="614">
        <f t="shared" si="83"/>
        <v>68.036912999999998</v>
      </c>
      <c r="AC49" s="76">
        <f t="shared" si="83"/>
        <v>73.88556899999999</v>
      </c>
      <c r="AD49" s="76">
        <f t="shared" si="83"/>
        <v>86.123390000000001</v>
      </c>
      <c r="AE49" s="76">
        <f t="shared" si="83"/>
        <v>99.381349999999998</v>
      </c>
      <c r="AF49" s="614">
        <f t="shared" si="83"/>
        <v>106.59039</v>
      </c>
      <c r="AG49" s="76">
        <f t="shared" si="83"/>
        <v>108.6</v>
      </c>
      <c r="AH49" s="76">
        <f t="shared" si="83"/>
        <v>122.6</v>
      </c>
      <c r="AI49" s="76">
        <f t="shared" si="83"/>
        <v>131.69999999999999</v>
      </c>
      <c r="AJ49" s="614">
        <f t="shared" si="83"/>
        <v>143.69999999999999</v>
      </c>
      <c r="AK49" s="76">
        <f t="shared" si="83"/>
        <v>155.41300000000001</v>
      </c>
      <c r="AL49" s="76">
        <f t="shared" si="83"/>
        <v>169.72800000000001</v>
      </c>
      <c r="AM49" s="76">
        <f t="shared" si="83"/>
        <v>182.33199999999999</v>
      </c>
      <c r="AN49" s="614">
        <f t="shared" si="83"/>
        <v>190.89599999999999</v>
      </c>
      <c r="AO49" s="76">
        <f t="shared" si="83"/>
        <v>197.32300000000001</v>
      </c>
      <c r="AP49" s="76">
        <f t="shared" si="83"/>
        <v>208.864</v>
      </c>
      <c r="AQ49" s="76">
        <f t="shared" si="83"/>
        <v>222.38</v>
      </c>
      <c r="AR49" s="614">
        <f t="shared" ref="AR49" si="84">AR12-AR57</f>
        <v>218.24600000000001</v>
      </c>
      <c r="AS49" s="76">
        <f t="shared" si="83"/>
        <v>221.2</v>
      </c>
      <c r="AT49" s="76">
        <f t="shared" si="83"/>
        <v>231.4</v>
      </c>
      <c r="AU49" s="76">
        <f t="shared" si="83"/>
        <v>248</v>
      </c>
      <c r="AV49" s="614">
        <f t="shared" si="83"/>
        <v>259.39999999999998</v>
      </c>
      <c r="AW49" s="76">
        <f t="shared" si="83"/>
        <v>262.2</v>
      </c>
      <c r="AX49" s="76">
        <f t="shared" si="83"/>
        <v>271</v>
      </c>
      <c r="AY49" s="76">
        <f t="shared" si="83"/>
        <v>286.8</v>
      </c>
      <c r="AZ49" s="614">
        <f t="shared" si="83"/>
        <v>296.39999999999998</v>
      </c>
      <c r="BA49" s="76">
        <f t="shared" si="83"/>
        <v>298.39999999999998</v>
      </c>
      <c r="BB49" s="76">
        <f t="shared" si="83"/>
        <v>307.40000000000003</v>
      </c>
      <c r="BC49" s="76">
        <f t="shared" si="83"/>
        <v>322.8</v>
      </c>
      <c r="BD49" s="614">
        <f t="shared" si="83"/>
        <v>332</v>
      </c>
      <c r="BE49" s="74"/>
      <c r="BF49" s="627"/>
      <c r="BG49" s="76"/>
      <c r="BH49" s="76"/>
      <c r="BI49" s="76"/>
      <c r="BJ49" s="76"/>
      <c r="BK49" s="76"/>
      <c r="BL49" s="76"/>
      <c r="BM49" s="76">
        <f>SUM(Y49:AB49)</f>
        <v>222.25706299999999</v>
      </c>
      <c r="BN49" s="627">
        <f>SUM(AC49:AF49)</f>
        <v>365.98069900000002</v>
      </c>
      <c r="BO49" s="76">
        <f>SUM(AG49:AJ49)</f>
        <v>506.59999999999997</v>
      </c>
      <c r="BP49" s="428">
        <f>SUM(AK49:AN49)</f>
        <v>698.36900000000003</v>
      </c>
      <c r="BQ49" s="428">
        <f>SUM(AO49:AR49)</f>
        <v>846.81299999999999</v>
      </c>
      <c r="BR49" s="428">
        <f>SUM(AS49:AV49)</f>
        <v>960</v>
      </c>
      <c r="BS49" s="428">
        <f>SUM(AW49:AZ49)</f>
        <v>1116.4000000000001</v>
      </c>
      <c r="BT49" s="428">
        <f>SUM(BA49:BD49)</f>
        <v>1260.5999999999999</v>
      </c>
      <c r="BU49" s="322">
        <f>BU52*BU12</f>
        <v>1393.597</v>
      </c>
      <c r="BV49" s="322">
        <f>BV52*BV12</f>
        <v>1522.2239999999999</v>
      </c>
      <c r="BW49" s="322">
        <f>BW52*BW12</f>
        <v>1645.5409999999999</v>
      </c>
      <c r="BX49" s="322">
        <f>BX52*BX12</f>
        <v>1763.6079999999999</v>
      </c>
      <c r="BY49" s="734">
        <f>BY52*BY12</f>
        <v>1877.4599999999998</v>
      </c>
      <c r="BZ49" s="274"/>
      <c r="CA49" s="99"/>
      <c r="CB49" s="327"/>
      <c r="CC49" s="327"/>
      <c r="CD49" s="327"/>
      <c r="CE49" s="327"/>
      <c r="CF49" s="327"/>
      <c r="CG49" s="327"/>
      <c r="CQ49" s="2652" t="s">
        <v>659</v>
      </c>
      <c r="CR49" s="2651"/>
      <c r="CS49" s="2651"/>
      <c r="CT49" s="2651"/>
      <c r="CU49" s="2651"/>
    </row>
    <row r="50" spans="1:99" s="106" customFormat="1" ht="11.25" hidden="1" customHeight="1" outlineLevel="1">
      <c r="A50" s="191"/>
      <c r="B50" s="191"/>
      <c r="C50" s="191"/>
      <c r="D50" s="191"/>
      <c r="E50" s="191"/>
      <c r="F50" s="191"/>
      <c r="G50" s="191"/>
      <c r="H50" s="1163"/>
      <c r="I50" s="770" t="s">
        <v>132</v>
      </c>
      <c r="J50" s="193"/>
      <c r="K50" s="67"/>
      <c r="L50" s="67"/>
      <c r="M50" s="67"/>
      <c r="N50" s="67"/>
      <c r="O50" s="67"/>
      <c r="P50" s="581"/>
      <c r="Q50" s="67"/>
      <c r="R50" s="67"/>
      <c r="S50" s="67"/>
      <c r="T50" s="581"/>
      <c r="U50" s="198"/>
      <c r="V50" s="198"/>
      <c r="W50" s="198"/>
      <c r="X50" s="752"/>
      <c r="Y50" s="198"/>
      <c r="Z50" s="198" t="str">
        <f t="shared" ref="Z50:AF50" si="85">IF(ISERROR(Z49/V49-1),"NA",(IF(Z49&lt;=0,"NM",Z49/V49-1)))</f>
        <v>NA</v>
      </c>
      <c r="AA50" s="198" t="str">
        <f t="shared" si="85"/>
        <v>NA</v>
      </c>
      <c r="AB50" s="752" t="str">
        <f t="shared" si="85"/>
        <v>NA</v>
      </c>
      <c r="AC50" s="198">
        <f t="shared" si="85"/>
        <v>0.68587092011997308</v>
      </c>
      <c r="AD50" s="198">
        <f t="shared" si="85"/>
        <v>0.64760554677135018</v>
      </c>
      <c r="AE50" s="198">
        <f t="shared" si="85"/>
        <v>0.70987638921268137</v>
      </c>
      <c r="AF50" s="752">
        <f t="shared" si="85"/>
        <v>0.56665529489852084</v>
      </c>
      <c r="AG50" s="198">
        <f t="shared" ref="AG50:AO50" si="86">IF(ISERROR(AG49/AC49-1),"NA",(IF(AG49&lt;=0,"NM",AG49/AC49-1)))</f>
        <v>0.46984047723852562</v>
      </c>
      <c r="AH50" s="198">
        <f t="shared" si="86"/>
        <v>0.42353894801400638</v>
      </c>
      <c r="AI50" s="198">
        <f t="shared" si="86"/>
        <v>0.32519833952748667</v>
      </c>
      <c r="AJ50" s="752">
        <f t="shared" si="86"/>
        <v>0.34815155475085513</v>
      </c>
      <c r="AK50" s="198">
        <f t="shared" si="86"/>
        <v>0.43105893186003708</v>
      </c>
      <c r="AL50" s="198">
        <f t="shared" si="86"/>
        <v>0.38440456769983711</v>
      </c>
      <c r="AM50" s="198">
        <f t="shared" si="86"/>
        <v>0.38444950645406228</v>
      </c>
      <c r="AN50" s="752">
        <f t="shared" si="86"/>
        <v>0.32843423799582472</v>
      </c>
      <c r="AO50" s="198">
        <f t="shared" si="86"/>
        <v>0.26966856054512811</v>
      </c>
      <c r="AP50" s="198">
        <f t="shared" ref="AP50:AV50" si="87">IF(ISERROR(AP49/AL49-1),"NA",(IF(AP49&lt;=0,"NM",AP49/AL49-1)))</f>
        <v>0.230580693815988</v>
      </c>
      <c r="AQ50" s="198">
        <f t="shared" si="87"/>
        <v>0.21964328806792</v>
      </c>
      <c r="AR50" s="752">
        <f t="shared" si="87"/>
        <v>0.14327172910904373</v>
      </c>
      <c r="AS50" s="198">
        <f t="shared" si="87"/>
        <v>0.12100464720280946</v>
      </c>
      <c r="AT50" s="198">
        <f t="shared" si="87"/>
        <v>0.10789796231040305</v>
      </c>
      <c r="AU50" s="198">
        <f t="shared" si="87"/>
        <v>0.11520820217645467</v>
      </c>
      <c r="AV50" s="752">
        <f t="shared" si="87"/>
        <v>0.18856702986538121</v>
      </c>
      <c r="AW50" s="198">
        <f t="shared" ref="AW50:BD50" si="88">IF(ISERROR(AW49/AS49-1),"NA",(IF(AW49&lt;=0,"NM",AW49/AS49-1)))</f>
        <v>0.18535262206148273</v>
      </c>
      <c r="AX50" s="198">
        <f t="shared" si="88"/>
        <v>0.17113223854796877</v>
      </c>
      <c r="AY50" s="198">
        <f t="shared" si="88"/>
        <v>0.15645161290322585</v>
      </c>
      <c r="AZ50" s="752">
        <f t="shared" si="88"/>
        <v>0.14263685427910566</v>
      </c>
      <c r="BA50" s="198">
        <f t="shared" si="88"/>
        <v>0.13806254767353154</v>
      </c>
      <c r="BB50" s="198">
        <f t="shared" si="88"/>
        <v>0.13431734317343191</v>
      </c>
      <c r="BC50" s="198">
        <f t="shared" si="88"/>
        <v>0.12552301255230125</v>
      </c>
      <c r="BD50" s="752">
        <f t="shared" si="88"/>
        <v>0.12010796221322551</v>
      </c>
      <c r="BE50" s="1000"/>
      <c r="BF50" s="751"/>
      <c r="BG50" s="198"/>
      <c r="BH50" s="198"/>
      <c r="BI50" s="198"/>
      <c r="BJ50" s="198"/>
      <c r="BK50" s="198"/>
      <c r="BL50" s="198"/>
      <c r="BM50" s="198"/>
      <c r="BN50" s="751">
        <f t="shared" ref="BN50:BT50" si="89">IF(ISERROR(BN49/BM49-1),"NA",(IF(BN49&lt;=0,"NM",BN49/BM49-1)))</f>
        <v>0.64665497716938702</v>
      </c>
      <c r="BO50" s="198">
        <f t="shared" si="89"/>
        <v>0.38422600258490669</v>
      </c>
      <c r="BP50" s="198">
        <f t="shared" si="89"/>
        <v>0.37854125542834605</v>
      </c>
      <c r="BQ50" s="198">
        <f t="shared" si="89"/>
        <v>0.21255811755676435</v>
      </c>
      <c r="BR50" s="198">
        <f t="shared" si="89"/>
        <v>0.13366233158914653</v>
      </c>
      <c r="BS50" s="198">
        <f t="shared" si="89"/>
        <v>0.16291666666666682</v>
      </c>
      <c r="BT50" s="198">
        <f t="shared" si="89"/>
        <v>0.1291651737728412</v>
      </c>
      <c r="BU50" s="198">
        <f>IF(ISERROR(BU49/BT49-1),"NA",(IF(BU49&lt;=0,"NM",BU49/BT49-1)))</f>
        <v>0.10550293511026498</v>
      </c>
      <c r="BV50" s="198">
        <f>IF(ISERROR(BV49/BU49-1),"NA",(IF(BV49&lt;=0,"NM",BV49/BU49-1)))</f>
        <v>9.2298562640418913E-2</v>
      </c>
      <c r="BW50" s="198">
        <f>IF(ISERROR(BW49/BV49-1),"NA",(IF(BW49&lt;=0,"NM",BW49/BV49-1)))</f>
        <v>8.1011073271739287E-2</v>
      </c>
      <c r="BX50" s="198">
        <f>IF(ISERROR(BX49/BW49-1),"NA",(IF(BX49&lt;=0,"NM",BX49/BW49-1)))</f>
        <v>7.174965558439439E-2</v>
      </c>
      <c r="BY50" s="752">
        <f>IF(ISERROR(BY49/BX49-1),"NA",(IF(BY49&lt;=0,"NM",BY49/BX49-1)))</f>
        <v>6.4556295956924581E-2</v>
      </c>
      <c r="BZ50" s="264"/>
      <c r="CA50" s="99"/>
      <c r="CB50" s="327"/>
      <c r="CC50" s="327"/>
      <c r="CD50" s="327"/>
      <c r="CE50" s="327"/>
      <c r="CF50" s="327"/>
      <c r="CG50" s="327"/>
      <c r="CK50" s="106" t="s">
        <v>646</v>
      </c>
      <c r="CM50" s="2646">
        <v>37000000</v>
      </c>
      <c r="CN50" s="1248"/>
      <c r="CO50" s="2646">
        <v>2000000</v>
      </c>
      <c r="CQ50" s="231" t="s">
        <v>655</v>
      </c>
      <c r="CR50" s="231"/>
      <c r="CS50" s="231"/>
      <c r="CT50" s="231"/>
      <c r="CU50" s="2653" t="s">
        <v>665</v>
      </c>
    </row>
    <row r="51" spans="1:99" s="106" customFormat="1" ht="11.25" hidden="1" customHeight="1" outlineLevel="1">
      <c r="A51" s="191"/>
      <c r="B51" s="191"/>
      <c r="C51" s="191"/>
      <c r="D51" s="191"/>
      <c r="E51" s="191"/>
      <c r="F51" s="191"/>
      <c r="G51" s="191"/>
      <c r="H51" s="1163"/>
      <c r="I51" s="770" t="s">
        <v>146</v>
      </c>
      <c r="J51" s="193"/>
      <c r="K51" s="67"/>
      <c r="L51" s="67"/>
      <c r="M51" s="67"/>
      <c r="N51" s="67"/>
      <c r="O51" s="67"/>
      <c r="P51" s="581"/>
      <c r="Q51" s="67"/>
      <c r="R51" s="67"/>
      <c r="S51" s="67"/>
      <c r="T51" s="581"/>
      <c r="U51" s="198"/>
      <c r="V51" s="198"/>
      <c r="W51" s="198"/>
      <c r="X51" s="752"/>
      <c r="Y51" s="198"/>
      <c r="Z51" s="198">
        <f t="shared" ref="Z51:AJ51" si="90">IF(ISERROR(Z49/Y49-1),"NA",(IF(Z49&lt;=0,"NM",Z49/Y49-1)))</f>
        <v>0.1927037045065354</v>
      </c>
      <c r="AA51" s="198">
        <f t="shared" si="90"/>
        <v>0.11191683477818359</v>
      </c>
      <c r="AB51" s="752">
        <f t="shared" si="90"/>
        <v>0.17058895993682244</v>
      </c>
      <c r="AC51" s="198">
        <f t="shared" si="90"/>
        <v>8.5962983064795884E-2</v>
      </c>
      <c r="AD51" s="198">
        <f t="shared" si="90"/>
        <v>0.16563208709944455</v>
      </c>
      <c r="AE51" s="198">
        <f t="shared" si="90"/>
        <v>0.15394145539324455</v>
      </c>
      <c r="AF51" s="752">
        <f t="shared" si="90"/>
        <v>7.2539163535210616E-2</v>
      </c>
      <c r="AG51" s="198">
        <f t="shared" si="90"/>
        <v>1.8853575824236968E-2</v>
      </c>
      <c r="AH51" s="198">
        <f t="shared" si="90"/>
        <v>0.12891344383057102</v>
      </c>
      <c r="AI51" s="198">
        <f t="shared" si="90"/>
        <v>7.4225122349102834E-2</v>
      </c>
      <c r="AJ51" s="752">
        <f t="shared" si="90"/>
        <v>9.1116173120728838E-2</v>
      </c>
      <c r="AK51" s="198">
        <f t="shared" ref="AK51:AR51" si="91">IF(ISERROR(AK49/AJ49-1),"NA",(IF(AK49&lt;=0,"NM",AK49/AJ49-1)))</f>
        <v>8.1510090466249352E-2</v>
      </c>
      <c r="AL51" s="198">
        <f t="shared" si="91"/>
        <v>9.210941169657616E-2</v>
      </c>
      <c r="AM51" s="198">
        <f t="shared" si="91"/>
        <v>7.4259992458521884E-2</v>
      </c>
      <c r="AN51" s="752">
        <f t="shared" si="91"/>
        <v>4.6969264857512627E-2</v>
      </c>
      <c r="AO51" s="198">
        <f t="shared" si="91"/>
        <v>3.3667546727013775E-2</v>
      </c>
      <c r="AP51" s="198">
        <f t="shared" si="91"/>
        <v>5.8487860006182668E-2</v>
      </c>
      <c r="AQ51" s="198">
        <f t="shared" si="91"/>
        <v>6.4711965681017336E-2</v>
      </c>
      <c r="AR51" s="752">
        <f t="shared" si="91"/>
        <v>-1.8589801241118753E-2</v>
      </c>
      <c r="AS51" s="198">
        <f t="shared" ref="AS51:BD51" si="92">IF(ISERROR(AS49/AR49-1),"NA",(IF(AS49&lt;=0,"NM",AS49/AR49-1)))</f>
        <v>1.3535185066392952E-2</v>
      </c>
      <c r="AT51" s="198">
        <f t="shared" si="92"/>
        <v>4.6112115732368952E-2</v>
      </c>
      <c r="AU51" s="198">
        <f t="shared" si="92"/>
        <v>7.1737251512532296E-2</v>
      </c>
      <c r="AV51" s="752">
        <f t="shared" si="92"/>
        <v>4.5967741935483808E-2</v>
      </c>
      <c r="AW51" s="198">
        <f t="shared" si="92"/>
        <v>1.0794140323824308E-2</v>
      </c>
      <c r="AX51" s="198">
        <f t="shared" si="92"/>
        <v>3.3562166285278527E-2</v>
      </c>
      <c r="AY51" s="198">
        <f t="shared" si="92"/>
        <v>5.8302583025830357E-2</v>
      </c>
      <c r="AZ51" s="752">
        <f t="shared" si="92"/>
        <v>3.34728033472802E-2</v>
      </c>
      <c r="BA51" s="198">
        <f t="shared" si="92"/>
        <v>6.7476383265856477E-3</v>
      </c>
      <c r="BB51" s="198">
        <f t="shared" si="92"/>
        <v>3.0160857908847483E-2</v>
      </c>
      <c r="BC51" s="198">
        <f t="shared" si="92"/>
        <v>5.0097592713077344E-2</v>
      </c>
      <c r="BD51" s="752">
        <f t="shared" si="92"/>
        <v>2.8500619578686548E-2</v>
      </c>
      <c r="BE51" s="264"/>
      <c r="BF51" s="751"/>
      <c r="BG51" s="198"/>
      <c r="BH51" s="198"/>
      <c r="BI51" s="198"/>
      <c r="BJ51" s="198"/>
      <c r="BK51" s="198"/>
      <c r="BL51" s="198"/>
      <c r="BM51" s="198"/>
      <c r="BN51" s="751"/>
      <c r="BO51" s="198"/>
      <c r="BP51" s="198"/>
      <c r="BQ51" s="198"/>
      <c r="BR51" s="198"/>
      <c r="BS51" s="198"/>
      <c r="BT51" s="198"/>
      <c r="BU51" s="198"/>
      <c r="BV51" s="198"/>
      <c r="BW51" s="198"/>
      <c r="BX51" s="198"/>
      <c r="BY51" s="752"/>
      <c r="BZ51" s="264"/>
      <c r="CA51" s="99"/>
      <c r="CB51" s="327"/>
      <c r="CC51" s="327"/>
      <c r="CD51" s="327"/>
      <c r="CE51" s="327"/>
      <c r="CF51" s="327"/>
      <c r="CG51" s="327"/>
      <c r="CK51" s="106" t="s">
        <v>641</v>
      </c>
      <c r="CM51" s="1248">
        <v>409</v>
      </c>
      <c r="CN51" s="1248"/>
      <c r="CO51" s="1248">
        <f>+CM51</f>
        <v>409</v>
      </c>
      <c r="CQ51" s="106" t="s">
        <v>660</v>
      </c>
      <c r="CU51" s="2648" t="s">
        <v>661</v>
      </c>
    </row>
    <row r="52" spans="1:99" s="106" customFormat="1" ht="11.25" hidden="1" customHeight="1" outlineLevel="1">
      <c r="A52" s="191"/>
      <c r="B52" s="191"/>
      <c r="C52" s="191"/>
      <c r="D52" s="191"/>
      <c r="E52" s="191"/>
      <c r="F52" s="191"/>
      <c r="G52" s="191"/>
      <c r="H52" s="1163"/>
      <c r="I52" s="770" t="s">
        <v>57</v>
      </c>
      <c r="J52" s="192"/>
      <c r="K52" s="331"/>
      <c r="L52" s="331"/>
      <c r="M52" s="67"/>
      <c r="N52" s="67"/>
      <c r="O52" s="67"/>
      <c r="P52" s="581"/>
      <c r="Q52" s="67"/>
      <c r="R52" s="67"/>
      <c r="S52" s="67"/>
      <c r="T52" s="581"/>
      <c r="U52" s="186"/>
      <c r="V52" s="186"/>
      <c r="W52" s="186"/>
      <c r="X52" s="774"/>
      <c r="Y52" s="186"/>
      <c r="Z52" s="259">
        <f t="shared" ref="Z52:BD52" si="93">Z49/Z12</f>
        <v>0.95</v>
      </c>
      <c r="AA52" s="259">
        <f t="shared" si="93"/>
        <v>0.95000000000000007</v>
      </c>
      <c r="AB52" s="760">
        <f t="shared" si="93"/>
        <v>0.96300000000000008</v>
      </c>
      <c r="AC52" s="259">
        <f t="shared" si="93"/>
        <v>0.96699999999999986</v>
      </c>
      <c r="AD52" s="259">
        <f t="shared" si="93"/>
        <v>0.97</v>
      </c>
      <c r="AE52" s="259">
        <f t="shared" si="93"/>
        <v>0.97</v>
      </c>
      <c r="AF52" s="760">
        <f t="shared" si="93"/>
        <v>0.97</v>
      </c>
      <c r="AG52" s="259">
        <f t="shared" si="93"/>
        <v>0.9713774597495527</v>
      </c>
      <c r="AH52" s="259">
        <f t="shared" si="93"/>
        <v>0.97611464968152861</v>
      </c>
      <c r="AI52" s="259">
        <f t="shared" si="93"/>
        <v>0.97845468053491824</v>
      </c>
      <c r="AJ52" s="760">
        <f t="shared" si="93"/>
        <v>0.9795501022494888</v>
      </c>
      <c r="AK52" s="259">
        <f t="shared" si="93"/>
        <v>0.97982510891288865</v>
      </c>
      <c r="AL52" s="259">
        <f t="shared" si="93"/>
        <v>0.97866549807412884</v>
      </c>
      <c r="AM52" s="259">
        <f t="shared" si="93"/>
        <v>0.97905837879634006</v>
      </c>
      <c r="AN52" s="760">
        <f t="shared" si="93"/>
        <v>0.97997905501139648</v>
      </c>
      <c r="AO52" s="259">
        <f t="shared" si="93"/>
        <v>1</v>
      </c>
      <c r="AP52" s="259">
        <f t="shared" si="93"/>
        <v>1</v>
      </c>
      <c r="AQ52" s="259">
        <f t="shared" si="93"/>
        <v>1</v>
      </c>
      <c r="AR52" s="760">
        <f t="shared" ref="AR52" si="94">AR49/AR12</f>
        <v>1</v>
      </c>
      <c r="AS52" s="259">
        <f t="shared" si="93"/>
        <v>1</v>
      </c>
      <c r="AT52" s="259">
        <f t="shared" si="93"/>
        <v>1</v>
      </c>
      <c r="AU52" s="259">
        <f t="shared" si="93"/>
        <v>1</v>
      </c>
      <c r="AV52" s="760">
        <f t="shared" si="93"/>
        <v>1</v>
      </c>
      <c r="AW52" s="259">
        <f t="shared" si="93"/>
        <v>1</v>
      </c>
      <c r="AX52" s="259">
        <f t="shared" si="93"/>
        <v>1</v>
      </c>
      <c r="AY52" s="259">
        <f t="shared" si="93"/>
        <v>1</v>
      </c>
      <c r="AZ52" s="760">
        <f t="shared" si="93"/>
        <v>1</v>
      </c>
      <c r="BA52" s="259">
        <f t="shared" si="93"/>
        <v>1</v>
      </c>
      <c r="BB52" s="259">
        <f t="shared" si="93"/>
        <v>1</v>
      </c>
      <c r="BC52" s="259">
        <f t="shared" si="93"/>
        <v>1</v>
      </c>
      <c r="BD52" s="760">
        <f t="shared" si="93"/>
        <v>1</v>
      </c>
      <c r="BE52" s="261"/>
      <c r="BF52" s="767"/>
      <c r="BG52" s="186"/>
      <c r="BH52" s="186"/>
      <c r="BI52" s="186"/>
      <c r="BJ52" s="186"/>
      <c r="BK52" s="186"/>
      <c r="BL52" s="186"/>
      <c r="BM52" s="259"/>
      <c r="BN52" s="759">
        <f t="shared" ref="BN52:BT52" si="95">BN49/BN12</f>
        <v>0.96939284995338193</v>
      </c>
      <c r="BO52" s="259">
        <f t="shared" si="95"/>
        <v>0.97667245035666073</v>
      </c>
      <c r="BP52" s="259">
        <f t="shared" si="95"/>
        <v>0.97938488421176639</v>
      </c>
      <c r="BQ52" s="259">
        <f t="shared" si="95"/>
        <v>1</v>
      </c>
      <c r="BR52" s="259">
        <f t="shared" si="95"/>
        <v>1</v>
      </c>
      <c r="BS52" s="259">
        <f t="shared" si="95"/>
        <v>1</v>
      </c>
      <c r="BT52" s="259">
        <f t="shared" si="95"/>
        <v>1</v>
      </c>
      <c r="BU52" s="340">
        <f>BT52-0.005</f>
        <v>0.995</v>
      </c>
      <c r="BV52" s="340">
        <f>BU52-0.005</f>
        <v>0.99</v>
      </c>
      <c r="BW52" s="340">
        <f>BV52-0.005</f>
        <v>0.98499999999999999</v>
      </c>
      <c r="BX52" s="340">
        <f>BW52-0.005</f>
        <v>0.98</v>
      </c>
      <c r="BY52" s="761">
        <f>BX52-0.005</f>
        <v>0.97499999999999998</v>
      </c>
      <c r="BZ52" s="261"/>
      <c r="CA52" s="99"/>
      <c r="CB52" s="327"/>
      <c r="CC52" s="327"/>
      <c r="CD52" s="327"/>
      <c r="CE52" s="327"/>
      <c r="CF52" s="327"/>
      <c r="CG52" s="327"/>
      <c r="CK52" s="106" t="s">
        <v>642</v>
      </c>
      <c r="CM52" s="1248">
        <f>+CM51*12</f>
        <v>4908</v>
      </c>
      <c r="CN52" s="1248"/>
      <c r="CO52" s="1248">
        <f>+CO51*1.5</f>
        <v>613.5</v>
      </c>
      <c r="CQ52" s="106" t="s">
        <v>649</v>
      </c>
      <c r="CU52" s="2648" t="s">
        <v>662</v>
      </c>
    </row>
    <row r="53" spans="1:99" s="106" customFormat="1" ht="11.25" hidden="1" customHeight="1" outlineLevel="1">
      <c r="A53" s="191"/>
      <c r="B53" s="191"/>
      <c r="C53" s="191"/>
      <c r="D53" s="191"/>
      <c r="E53" s="191"/>
      <c r="F53" s="191"/>
      <c r="G53" s="191"/>
      <c r="H53" s="1163"/>
      <c r="I53" s="994" t="s">
        <v>380</v>
      </c>
      <c r="J53" s="192"/>
      <c r="K53" s="331"/>
      <c r="L53" s="331"/>
      <c r="M53" s="67"/>
      <c r="N53" s="67"/>
      <c r="O53" s="67"/>
      <c r="P53" s="581"/>
      <c r="Q53" s="67"/>
      <c r="R53" s="67"/>
      <c r="S53" s="67"/>
      <c r="T53" s="581"/>
      <c r="U53" s="186"/>
      <c r="V53" s="186"/>
      <c r="W53" s="186"/>
      <c r="X53" s="774"/>
      <c r="Y53" s="924">
        <f t="shared" ref="Y53:AJ53" si="96">Y49-U49</f>
        <v>43.826350000000005</v>
      </c>
      <c r="Z53" s="924">
        <f t="shared" si="96"/>
        <v>52.271850000000001</v>
      </c>
      <c r="AA53" s="924">
        <f t="shared" si="96"/>
        <v>58.121949999999998</v>
      </c>
      <c r="AB53" s="941">
        <f t="shared" si="96"/>
        <v>68.036912999999998</v>
      </c>
      <c r="AC53" s="924">
        <f t="shared" si="96"/>
        <v>30.059218999999985</v>
      </c>
      <c r="AD53" s="924">
        <f t="shared" si="96"/>
        <v>33.85154</v>
      </c>
      <c r="AE53" s="996">
        <f t="shared" si="96"/>
        <v>41.259399999999999</v>
      </c>
      <c r="AF53" s="997">
        <f t="shared" si="96"/>
        <v>38.553477000000001</v>
      </c>
      <c r="AG53" s="996">
        <f t="shared" si="96"/>
        <v>34.714431000000005</v>
      </c>
      <c r="AH53" s="996">
        <f t="shared" si="96"/>
        <v>36.476609999999994</v>
      </c>
      <c r="AI53" s="996">
        <f t="shared" si="96"/>
        <v>32.318649999999991</v>
      </c>
      <c r="AJ53" s="997">
        <f t="shared" si="96"/>
        <v>37.109609999999989</v>
      </c>
      <c r="AK53" s="996">
        <f t="shared" ref="AK53:AR53" si="97">AK49-AG49</f>
        <v>46.813000000000017</v>
      </c>
      <c r="AL53" s="996">
        <f t="shared" si="97"/>
        <v>47.128000000000014</v>
      </c>
      <c r="AM53" s="996">
        <f t="shared" si="97"/>
        <v>50.632000000000005</v>
      </c>
      <c r="AN53" s="997">
        <f t="shared" si="97"/>
        <v>47.195999999999998</v>
      </c>
      <c r="AO53" s="996">
        <f t="shared" si="97"/>
        <v>41.91</v>
      </c>
      <c r="AP53" s="996">
        <f t="shared" si="97"/>
        <v>39.135999999999996</v>
      </c>
      <c r="AQ53" s="996">
        <f t="shared" si="97"/>
        <v>40.048000000000002</v>
      </c>
      <c r="AR53" s="997">
        <f t="shared" si="97"/>
        <v>27.350000000000023</v>
      </c>
      <c r="AS53" s="996">
        <f t="shared" ref="AS53:BD53" si="98">AS49-AO49</f>
        <v>23.876999999999981</v>
      </c>
      <c r="AT53" s="996">
        <f t="shared" si="98"/>
        <v>22.536000000000001</v>
      </c>
      <c r="AU53" s="996">
        <f t="shared" si="98"/>
        <v>25.620000000000005</v>
      </c>
      <c r="AV53" s="997">
        <f t="shared" si="98"/>
        <v>41.153999999999968</v>
      </c>
      <c r="AW53" s="996">
        <f t="shared" si="98"/>
        <v>41</v>
      </c>
      <c r="AX53" s="996">
        <f t="shared" si="98"/>
        <v>39.599999999999994</v>
      </c>
      <c r="AY53" s="996">
        <f t="shared" si="98"/>
        <v>38.800000000000011</v>
      </c>
      <c r="AZ53" s="997">
        <f t="shared" si="98"/>
        <v>37</v>
      </c>
      <c r="BA53" s="996">
        <f t="shared" si="98"/>
        <v>36.199999999999989</v>
      </c>
      <c r="BB53" s="996">
        <f t="shared" si="98"/>
        <v>36.400000000000034</v>
      </c>
      <c r="BC53" s="996">
        <f t="shared" si="98"/>
        <v>36</v>
      </c>
      <c r="BD53" s="997">
        <f t="shared" si="98"/>
        <v>35.600000000000023</v>
      </c>
      <c r="BE53" s="1196"/>
      <c r="BF53" s="767"/>
      <c r="BG53" s="186"/>
      <c r="BH53" s="186"/>
      <c r="BI53" s="186"/>
      <c r="BJ53" s="186"/>
      <c r="BK53" s="186"/>
      <c r="BL53" s="186"/>
      <c r="BM53" s="259"/>
      <c r="BN53" s="998">
        <f t="shared" ref="BN53:BY53" si="99">BN49-BM49</f>
        <v>143.72363600000003</v>
      </c>
      <c r="BO53" s="996">
        <f t="shared" si="99"/>
        <v>140.61930099999995</v>
      </c>
      <c r="BP53" s="996">
        <f t="shared" si="99"/>
        <v>191.76900000000006</v>
      </c>
      <c r="BQ53" s="996">
        <f t="shared" si="99"/>
        <v>148.44399999999996</v>
      </c>
      <c r="BR53" s="996">
        <f t="shared" si="99"/>
        <v>113.18700000000001</v>
      </c>
      <c r="BS53" s="996">
        <f t="shared" si="99"/>
        <v>156.40000000000009</v>
      </c>
      <c r="BT53" s="996">
        <f t="shared" si="99"/>
        <v>144.19999999999982</v>
      </c>
      <c r="BU53" s="996">
        <f t="shared" si="99"/>
        <v>132.99700000000007</v>
      </c>
      <c r="BV53" s="996">
        <f t="shared" si="99"/>
        <v>128.62699999999995</v>
      </c>
      <c r="BW53" s="996">
        <f t="shared" si="99"/>
        <v>123.31700000000001</v>
      </c>
      <c r="BX53" s="996">
        <f t="shared" si="99"/>
        <v>118.06700000000001</v>
      </c>
      <c r="BY53" s="997">
        <f t="shared" si="99"/>
        <v>113.85199999999986</v>
      </c>
      <c r="BZ53" s="261"/>
      <c r="CA53" s="99"/>
      <c r="CB53" s="327"/>
      <c r="CC53" s="327"/>
      <c r="CD53" s="327"/>
      <c r="CE53" s="327"/>
      <c r="CF53" s="327"/>
      <c r="CG53" s="327"/>
      <c r="CK53" s="106" t="s">
        <v>643</v>
      </c>
      <c r="CM53" s="2647">
        <f>+CM50/CM52</f>
        <v>7538.7123064384677</v>
      </c>
      <c r="CN53" s="1992"/>
      <c r="CO53" s="2647">
        <f>+CO50/CO52</f>
        <v>3259.9837000814996</v>
      </c>
      <c r="CQ53" s="106" t="s">
        <v>654</v>
      </c>
      <c r="CU53" s="2649" t="s">
        <v>663</v>
      </c>
    </row>
    <row r="54" spans="1:99" s="106" customFormat="1" ht="11.25" hidden="1" customHeight="1" outlineLevel="1">
      <c r="A54" s="191"/>
      <c r="B54" s="191"/>
      <c r="C54" s="191"/>
      <c r="D54" s="191"/>
      <c r="E54" s="191"/>
      <c r="F54" s="191"/>
      <c r="G54" s="191"/>
      <c r="H54" s="1163"/>
      <c r="I54" s="994" t="s">
        <v>377</v>
      </c>
      <c r="J54" s="192"/>
      <c r="K54" s="331"/>
      <c r="L54" s="331"/>
      <c r="M54" s="67"/>
      <c r="N54" s="67"/>
      <c r="O54" s="67"/>
      <c r="P54" s="581"/>
      <c r="Q54" s="67"/>
      <c r="R54" s="67"/>
      <c r="S54" s="67"/>
      <c r="T54" s="581"/>
      <c r="U54" s="186"/>
      <c r="V54" s="186"/>
      <c r="W54" s="186"/>
      <c r="X54" s="774"/>
      <c r="Y54" s="186"/>
      <c r="Z54" s="259"/>
      <c r="AA54" s="924">
        <f t="shared" ref="AA54:AJ54" si="100">AA49-Z49</f>
        <v>5.8500999999999976</v>
      </c>
      <c r="AB54" s="941">
        <f t="shared" si="100"/>
        <v>9.9149630000000002</v>
      </c>
      <c r="AC54" s="924">
        <f t="shared" si="100"/>
        <v>5.8486559999999912</v>
      </c>
      <c r="AD54" s="924">
        <f t="shared" si="100"/>
        <v>12.237821000000011</v>
      </c>
      <c r="AE54" s="924">
        <f t="shared" si="100"/>
        <v>13.257959999999997</v>
      </c>
      <c r="AF54" s="941">
        <f t="shared" si="100"/>
        <v>7.2090400000000017</v>
      </c>
      <c r="AG54" s="924">
        <f t="shared" si="100"/>
        <v>2.009609999999995</v>
      </c>
      <c r="AH54" s="924">
        <f t="shared" si="100"/>
        <v>14</v>
      </c>
      <c r="AI54" s="924">
        <f t="shared" si="100"/>
        <v>9.0999999999999943</v>
      </c>
      <c r="AJ54" s="941">
        <f t="shared" si="100"/>
        <v>12</v>
      </c>
      <c r="AK54" s="924">
        <f t="shared" ref="AK54:AR54" si="101">AK49-AJ49</f>
        <v>11.713000000000022</v>
      </c>
      <c r="AL54" s="924">
        <f t="shared" si="101"/>
        <v>14.314999999999998</v>
      </c>
      <c r="AM54" s="924">
        <f t="shared" si="101"/>
        <v>12.603999999999985</v>
      </c>
      <c r="AN54" s="941">
        <f t="shared" si="101"/>
        <v>8.563999999999993</v>
      </c>
      <c r="AO54" s="924">
        <f t="shared" si="101"/>
        <v>6.4270000000000209</v>
      </c>
      <c r="AP54" s="924">
        <f t="shared" si="101"/>
        <v>11.540999999999997</v>
      </c>
      <c r="AQ54" s="924">
        <f t="shared" si="101"/>
        <v>13.515999999999991</v>
      </c>
      <c r="AR54" s="941">
        <f t="shared" si="101"/>
        <v>-4.1339999999999861</v>
      </c>
      <c r="AS54" s="924">
        <f t="shared" ref="AS54:BD54" si="102">AS49-AR49</f>
        <v>2.9539999999999793</v>
      </c>
      <c r="AT54" s="924">
        <f t="shared" si="102"/>
        <v>10.200000000000017</v>
      </c>
      <c r="AU54" s="924">
        <f t="shared" si="102"/>
        <v>16.599999999999994</v>
      </c>
      <c r="AV54" s="941">
        <f t="shared" si="102"/>
        <v>11.399999999999977</v>
      </c>
      <c r="AW54" s="924">
        <f t="shared" si="102"/>
        <v>2.8000000000000114</v>
      </c>
      <c r="AX54" s="924">
        <f t="shared" si="102"/>
        <v>8.8000000000000114</v>
      </c>
      <c r="AY54" s="924">
        <f t="shared" si="102"/>
        <v>15.800000000000011</v>
      </c>
      <c r="AZ54" s="941">
        <f t="shared" si="102"/>
        <v>9.5999999999999659</v>
      </c>
      <c r="BA54" s="924">
        <f t="shared" si="102"/>
        <v>2</v>
      </c>
      <c r="BB54" s="924">
        <f t="shared" si="102"/>
        <v>9.0000000000000568</v>
      </c>
      <c r="BC54" s="924">
        <f t="shared" si="102"/>
        <v>15.399999999999977</v>
      </c>
      <c r="BD54" s="941">
        <f t="shared" si="102"/>
        <v>9.1999999999999886</v>
      </c>
      <c r="BE54" s="955"/>
      <c r="BF54" s="767"/>
      <c r="BG54" s="186"/>
      <c r="BH54" s="186"/>
      <c r="BI54" s="186"/>
      <c r="BJ54" s="186"/>
      <c r="BK54" s="186"/>
      <c r="BL54" s="186"/>
      <c r="BM54" s="259"/>
      <c r="BN54" s="759"/>
      <c r="BO54" s="259"/>
      <c r="BP54" s="259"/>
      <c r="BQ54" s="259"/>
      <c r="BR54" s="259"/>
      <c r="BS54" s="259"/>
      <c r="BT54" s="259"/>
      <c r="BU54" s="259"/>
      <c r="BV54" s="259"/>
      <c r="BW54" s="259"/>
      <c r="BX54" s="259"/>
      <c r="BY54" s="760"/>
      <c r="BZ54" s="261"/>
      <c r="CA54" s="99"/>
      <c r="CB54" s="327"/>
      <c r="CC54" s="327"/>
      <c r="CD54" s="327"/>
      <c r="CE54" s="327"/>
      <c r="CF54" s="327"/>
      <c r="CG54" s="327"/>
      <c r="CM54" s="2656">
        <f>+CM53/1000</f>
        <v>7.5387123064384678</v>
      </c>
      <c r="CN54" s="1992"/>
      <c r="CO54" s="2647"/>
      <c r="CQ54" s="106" t="s">
        <v>656</v>
      </c>
      <c r="CU54" s="2648" t="s">
        <v>657</v>
      </c>
    </row>
    <row r="55" spans="1:99" s="106" customFormat="1" ht="11.25" hidden="1" customHeight="1" outlineLevel="1">
      <c r="A55" s="191"/>
      <c r="B55" s="191"/>
      <c r="C55" s="191"/>
      <c r="D55" s="191"/>
      <c r="E55" s="191"/>
      <c r="F55" s="191"/>
      <c r="G55" s="191"/>
      <c r="H55" s="1163"/>
      <c r="I55" s="770" t="s">
        <v>388</v>
      </c>
      <c r="J55" s="193"/>
      <c r="K55" s="67"/>
      <c r="L55" s="67"/>
      <c r="M55" s="67"/>
      <c r="N55" s="67"/>
      <c r="O55" s="67"/>
      <c r="P55" s="581"/>
      <c r="Q55" s="67"/>
      <c r="R55" s="67"/>
      <c r="S55" s="67"/>
      <c r="T55" s="581"/>
      <c r="U55" s="332"/>
      <c r="V55" s="332"/>
      <c r="W55" s="332"/>
      <c r="X55" s="756"/>
      <c r="Y55" s="332"/>
      <c r="Z55" s="332"/>
      <c r="AA55" s="332"/>
      <c r="AB55" s="756"/>
      <c r="AC55" s="332"/>
      <c r="AD55" s="332"/>
      <c r="AE55" s="332"/>
      <c r="AF55" s="756"/>
      <c r="AG55" s="332"/>
      <c r="AH55" s="332"/>
      <c r="AI55" s="332"/>
      <c r="AJ55" s="756"/>
      <c r="AK55" s="332"/>
      <c r="AL55" s="332"/>
      <c r="AM55" s="332"/>
      <c r="AN55" s="756"/>
      <c r="AO55" s="332"/>
      <c r="AP55" s="332"/>
      <c r="AQ55" s="332"/>
      <c r="AR55" s="756"/>
      <c r="AS55" s="332"/>
      <c r="AT55" s="332"/>
      <c r="AU55" s="332"/>
      <c r="AV55" s="756"/>
      <c r="AW55" s="332"/>
      <c r="AX55" s="332"/>
      <c r="AY55" s="332"/>
      <c r="AZ55" s="756"/>
      <c r="BA55" s="332"/>
      <c r="BB55" s="332"/>
      <c r="BC55" s="332"/>
      <c r="BD55" s="756"/>
      <c r="BE55" s="276"/>
      <c r="BF55" s="755"/>
      <c r="BG55" s="332"/>
      <c r="BH55" s="332"/>
      <c r="BI55" s="332"/>
      <c r="BJ55" s="332"/>
      <c r="BK55" s="332"/>
      <c r="BL55" s="332"/>
      <c r="BM55" s="332"/>
      <c r="BN55" s="755"/>
      <c r="BO55" s="332"/>
      <c r="BP55" s="332"/>
      <c r="BQ55" s="332"/>
      <c r="BR55" s="332"/>
      <c r="BS55" s="332"/>
      <c r="BT55" s="332"/>
      <c r="BU55" s="332"/>
      <c r="BV55" s="332"/>
      <c r="BW55" s="332"/>
      <c r="BX55" s="332"/>
      <c r="BY55" s="756"/>
      <c r="BZ55" s="276"/>
      <c r="CA55" s="99"/>
      <c r="CB55" s="327"/>
      <c r="CC55" s="327"/>
      <c r="CD55" s="327"/>
      <c r="CE55" s="327"/>
      <c r="CF55" s="327"/>
      <c r="CG55" s="327"/>
      <c r="CK55" s="106" t="s">
        <v>644</v>
      </c>
      <c r="CM55" s="2650">
        <f>+CM54/AN518</f>
        <v>5.4707636476331402E-2</v>
      </c>
      <c r="CN55" s="2646"/>
      <c r="CO55" s="2646"/>
      <c r="CQ55" s="2654" t="s">
        <v>658</v>
      </c>
      <c r="CR55" s="2654"/>
      <c r="CS55" s="2654"/>
      <c r="CT55" s="2654"/>
      <c r="CU55" s="2655" t="s">
        <v>664</v>
      </c>
    </row>
    <row r="56" spans="1:99" s="106" customFormat="1" ht="11.25" hidden="1" customHeight="1" outlineLevel="1">
      <c r="A56" s="191"/>
      <c r="B56" s="191"/>
      <c r="C56" s="191"/>
      <c r="D56" s="191"/>
      <c r="E56" s="191"/>
      <c r="F56" s="191"/>
      <c r="G56" s="191"/>
      <c r="H56" s="1163"/>
      <c r="I56" s="770"/>
      <c r="J56" s="193"/>
      <c r="K56" s="67"/>
      <c r="L56" s="67"/>
      <c r="M56" s="67"/>
      <c r="N56" s="67"/>
      <c r="O56" s="67"/>
      <c r="P56" s="581"/>
      <c r="Q56" s="67"/>
      <c r="R56" s="67"/>
      <c r="S56" s="67"/>
      <c r="T56" s="581"/>
      <c r="U56" s="332"/>
      <c r="V56" s="332"/>
      <c r="W56" s="332"/>
      <c r="X56" s="756"/>
      <c r="Y56" s="332"/>
      <c r="Z56" s="332"/>
      <c r="AA56" s="332"/>
      <c r="AB56" s="756"/>
      <c r="AC56" s="332"/>
      <c r="AD56" s="332"/>
      <c r="AE56" s="332"/>
      <c r="AF56" s="756"/>
      <c r="AG56" s="332"/>
      <c r="AH56" s="332"/>
      <c r="AI56" s="332"/>
      <c r="AJ56" s="756"/>
      <c r="AK56" s="332"/>
      <c r="AL56" s="332"/>
      <c r="AM56" s="332"/>
      <c r="AN56" s="756"/>
      <c r="AO56" s="332"/>
      <c r="AP56" s="332"/>
      <c r="AQ56" s="332"/>
      <c r="AR56" s="756"/>
      <c r="AS56" s="332"/>
      <c r="AT56" s="332"/>
      <c r="AU56" s="332"/>
      <c r="AV56" s="756"/>
      <c r="AW56" s="755"/>
      <c r="AX56" s="332"/>
      <c r="AY56" s="332"/>
      <c r="AZ56" s="756"/>
      <c r="BA56" s="332"/>
      <c r="BB56" s="332"/>
      <c r="BC56" s="332"/>
      <c r="BD56" s="756"/>
      <c r="BE56" s="276"/>
      <c r="BF56" s="755"/>
      <c r="BG56" s="332"/>
      <c r="BH56" s="332"/>
      <c r="BI56" s="332"/>
      <c r="BJ56" s="332"/>
      <c r="BK56" s="332"/>
      <c r="BL56" s="332"/>
      <c r="BM56" s="332"/>
      <c r="BN56" s="755"/>
      <c r="BO56" s="332"/>
      <c r="BP56" s="332"/>
      <c r="BQ56" s="332"/>
      <c r="BR56" s="332"/>
      <c r="BS56" s="332"/>
      <c r="BT56" s="332"/>
      <c r="BU56" s="332"/>
      <c r="BV56" s="332"/>
      <c r="BW56" s="332"/>
      <c r="BX56" s="332"/>
      <c r="BY56" s="756"/>
      <c r="BZ56" s="276"/>
      <c r="CA56" s="99"/>
      <c r="CB56" s="327"/>
      <c r="CC56" s="327"/>
      <c r="CD56" s="327"/>
      <c r="CE56" s="327"/>
      <c r="CF56" s="327"/>
      <c r="CG56" s="327"/>
    </row>
    <row r="57" spans="1:99" s="106" customFormat="1" ht="11.25" hidden="1" customHeight="1" outlineLevel="1">
      <c r="A57" s="191"/>
      <c r="B57" s="191"/>
      <c r="C57" s="191"/>
      <c r="D57" s="191"/>
      <c r="E57" s="191"/>
      <c r="F57" s="191"/>
      <c r="G57" s="191"/>
      <c r="H57" s="1163"/>
      <c r="I57" s="622" t="s">
        <v>343</v>
      </c>
      <c r="J57" s="193"/>
      <c r="K57" s="67"/>
      <c r="L57" s="67"/>
      <c r="M57" s="67"/>
      <c r="N57" s="67"/>
      <c r="O57" s="67"/>
      <c r="P57" s="581"/>
      <c r="Q57" s="67"/>
      <c r="R57" s="67"/>
      <c r="S57" s="67"/>
      <c r="T57" s="581"/>
      <c r="U57" s="76"/>
      <c r="V57" s="76"/>
      <c r="W57" s="76"/>
      <c r="X57" s="614"/>
      <c r="Y57" s="76">
        <f t="shared" ref="Y57:AF57" si="103">Y12*Y60</f>
        <v>2.3066500000000003</v>
      </c>
      <c r="Z57" s="76">
        <f t="shared" si="103"/>
        <v>2.7511500000000004</v>
      </c>
      <c r="AA57" s="76">
        <f t="shared" si="103"/>
        <v>3.05905</v>
      </c>
      <c r="AB57" s="614">
        <f t="shared" si="103"/>
        <v>2.6140869999999996</v>
      </c>
      <c r="AC57" s="76">
        <f t="shared" si="103"/>
        <v>2.5214310000000002</v>
      </c>
      <c r="AD57" s="76">
        <f t="shared" si="103"/>
        <v>2.6636100000000003</v>
      </c>
      <c r="AE57" s="76">
        <f t="shared" si="103"/>
        <v>3.0736499999999998</v>
      </c>
      <c r="AF57" s="614">
        <f t="shared" si="103"/>
        <v>3.2966099999999998</v>
      </c>
      <c r="AG57" s="377">
        <v>3.2</v>
      </c>
      <c r="AH57" s="377">
        <v>3</v>
      </c>
      <c r="AI57" s="1730">
        <v>2.9</v>
      </c>
      <c r="AJ57" s="2772">
        <v>3</v>
      </c>
      <c r="AK57" s="2467">
        <v>3.2</v>
      </c>
      <c r="AL57" s="2467">
        <v>3.7</v>
      </c>
      <c r="AM57" s="2467">
        <v>3.9</v>
      </c>
      <c r="AN57" s="2772">
        <v>3.9</v>
      </c>
      <c r="AO57" s="2467">
        <v>0</v>
      </c>
      <c r="AP57" s="76">
        <f t="shared" ref="AP57:BD57" si="104">AP12*AP60</f>
        <v>0</v>
      </c>
      <c r="AQ57" s="76">
        <f t="shared" si="104"/>
        <v>0</v>
      </c>
      <c r="AR57" s="2772">
        <v>0</v>
      </c>
      <c r="AS57" s="76">
        <f t="shared" si="104"/>
        <v>0</v>
      </c>
      <c r="AT57" s="76">
        <f t="shared" si="104"/>
        <v>0</v>
      </c>
      <c r="AU57" s="76">
        <f t="shared" si="104"/>
        <v>0</v>
      </c>
      <c r="AV57" s="614">
        <f t="shared" si="104"/>
        <v>0</v>
      </c>
      <c r="AW57" s="627">
        <f t="shared" si="104"/>
        <v>0</v>
      </c>
      <c r="AX57" s="76">
        <f t="shared" si="104"/>
        <v>0</v>
      </c>
      <c r="AY57" s="76">
        <f t="shared" si="104"/>
        <v>0</v>
      </c>
      <c r="AZ57" s="614">
        <f t="shared" si="104"/>
        <v>0</v>
      </c>
      <c r="BA57" s="76">
        <f t="shared" si="104"/>
        <v>0</v>
      </c>
      <c r="BB57" s="76">
        <f t="shared" si="104"/>
        <v>0</v>
      </c>
      <c r="BC57" s="76">
        <f t="shared" si="104"/>
        <v>0</v>
      </c>
      <c r="BD57" s="614">
        <f t="shared" si="104"/>
        <v>0</v>
      </c>
      <c r="BE57" s="74"/>
      <c r="BF57" s="627"/>
      <c r="BG57" s="76"/>
      <c r="BH57" s="76"/>
      <c r="BI57" s="76"/>
      <c r="BJ57" s="76"/>
      <c r="BK57" s="76"/>
      <c r="BL57" s="76"/>
      <c r="BM57" s="76">
        <f>SUM(Y57:AB57)</f>
        <v>10.730936999999999</v>
      </c>
      <c r="BN57" s="627">
        <f>SUM(AC57:AF57)</f>
        <v>11.555300999999998</v>
      </c>
      <c r="BO57" s="76">
        <f>SUM(AG57:AJ57)</f>
        <v>12.1</v>
      </c>
      <c r="BP57" s="428">
        <f>SUM(AK57:AN57)</f>
        <v>14.700000000000001</v>
      </c>
      <c r="BQ57" s="428">
        <f>SUM(AO57:AR57)</f>
        <v>0</v>
      </c>
      <c r="BR57" s="428">
        <f>SUM(AS57:AV57)</f>
        <v>0</v>
      </c>
      <c r="BS57" s="428">
        <f>SUM(AW57:AZ57)</f>
        <v>0</v>
      </c>
      <c r="BT57" s="428">
        <f>SUM(BA57:BD57)</f>
        <v>0</v>
      </c>
      <c r="BU57" s="322">
        <f>BU12*BU60</f>
        <v>28.012</v>
      </c>
      <c r="BV57" s="322">
        <f>BV12*BV60</f>
        <v>30.751999999999999</v>
      </c>
      <c r="BW57" s="322">
        <f>BW12*BW60</f>
        <v>33.411999999999999</v>
      </c>
      <c r="BX57" s="322">
        <f>BX12*BX60</f>
        <v>35.991999999999997</v>
      </c>
      <c r="BY57" s="734">
        <f>BY12*BY60</f>
        <v>38.512</v>
      </c>
      <c r="BZ57" s="274"/>
      <c r="CA57" s="99"/>
      <c r="CB57" s="327"/>
      <c r="CC57" s="327"/>
      <c r="CD57" s="327"/>
      <c r="CE57" s="327"/>
      <c r="CF57" s="327"/>
      <c r="CG57" s="327"/>
      <c r="CQ57" s="106" t="s">
        <v>643</v>
      </c>
      <c r="CS57" s="106" t="s">
        <v>645</v>
      </c>
    </row>
    <row r="58" spans="1:99" s="106" customFormat="1" ht="11.25" hidden="1" customHeight="1" outlineLevel="1">
      <c r="A58" s="191"/>
      <c r="B58" s="191"/>
      <c r="C58" s="191"/>
      <c r="D58" s="191"/>
      <c r="E58" s="191"/>
      <c r="F58" s="191"/>
      <c r="G58" s="191"/>
      <c r="H58" s="1163"/>
      <c r="I58" s="770" t="s">
        <v>132</v>
      </c>
      <c r="J58" s="193"/>
      <c r="K58" s="67"/>
      <c r="L58" s="67"/>
      <c r="M58" s="67"/>
      <c r="N58" s="67"/>
      <c r="O58" s="67"/>
      <c r="P58" s="581"/>
      <c r="Q58" s="67"/>
      <c r="R58" s="67"/>
      <c r="S58" s="67"/>
      <c r="T58" s="581"/>
      <c r="U58" s="198"/>
      <c r="V58" s="198"/>
      <c r="W58" s="198"/>
      <c r="X58" s="752"/>
      <c r="Y58" s="198"/>
      <c r="Z58" s="198" t="str">
        <f t="shared" ref="Z58:AJ58" si="105">IF(ISERROR(Z57/V57-1),"NA",(IF(Z57&lt;=0,"NM",Z57/V57-1)))</f>
        <v>NA</v>
      </c>
      <c r="AA58" s="198" t="str">
        <f t="shared" si="105"/>
        <v>NA</v>
      </c>
      <c r="AB58" s="752" t="str">
        <f t="shared" si="105"/>
        <v>NA</v>
      </c>
      <c r="AC58" s="198">
        <f t="shared" si="105"/>
        <v>9.3113823076756308E-2</v>
      </c>
      <c r="AD58" s="198">
        <f t="shared" si="105"/>
        <v>-3.1819420969412815E-2</v>
      </c>
      <c r="AE58" s="198">
        <f t="shared" si="105"/>
        <v>4.7727235579673177E-3</v>
      </c>
      <c r="AF58" s="752">
        <f t="shared" si="105"/>
        <v>0.26109421759872586</v>
      </c>
      <c r="AG58" s="198">
        <f t="shared" si="105"/>
        <v>0.26912059064872285</v>
      </c>
      <c r="AH58" s="198">
        <f t="shared" si="105"/>
        <v>0.12629101107144058</v>
      </c>
      <c r="AI58" s="198">
        <f t="shared" si="105"/>
        <v>-5.6496347990174556E-2</v>
      </c>
      <c r="AJ58" s="752">
        <f t="shared" si="105"/>
        <v>-8.9974246271169456E-2</v>
      </c>
      <c r="AK58" s="198">
        <f t="shared" ref="AK58:AR58" si="106">IF(ISERROR(AK57/AG57-1),"NA",(IF(AK57&lt;=0,"NM",AK57/AG57-1)))</f>
        <v>0</v>
      </c>
      <c r="AL58" s="198">
        <f t="shared" si="106"/>
        <v>0.23333333333333339</v>
      </c>
      <c r="AM58" s="198">
        <f t="shared" si="106"/>
        <v>0.34482758620689657</v>
      </c>
      <c r="AN58" s="752">
        <f t="shared" si="106"/>
        <v>0.30000000000000004</v>
      </c>
      <c r="AO58" s="198" t="str">
        <f t="shared" si="106"/>
        <v>NM</v>
      </c>
      <c r="AP58" s="198" t="str">
        <f t="shared" si="106"/>
        <v>NM</v>
      </c>
      <c r="AQ58" s="198" t="str">
        <f t="shared" si="106"/>
        <v>NM</v>
      </c>
      <c r="AR58" s="752" t="str">
        <f t="shared" si="106"/>
        <v>NM</v>
      </c>
      <c r="AS58" s="198" t="str">
        <f t="shared" ref="AS58:BD58" si="107">IF(ISERROR(AS57/AO57-1),"NA",(IF(AS57&lt;=0,"NM",AS57/AO57-1)))</f>
        <v>NA</v>
      </c>
      <c r="AT58" s="198" t="str">
        <f t="shared" si="107"/>
        <v>NA</v>
      </c>
      <c r="AU58" s="198" t="str">
        <f t="shared" si="107"/>
        <v>NA</v>
      </c>
      <c r="AV58" s="752" t="str">
        <f t="shared" si="107"/>
        <v>NA</v>
      </c>
      <c r="AW58" s="751" t="str">
        <f t="shared" si="107"/>
        <v>NA</v>
      </c>
      <c r="AX58" s="198" t="str">
        <f t="shared" si="107"/>
        <v>NA</v>
      </c>
      <c r="AY58" s="198" t="str">
        <f t="shared" si="107"/>
        <v>NA</v>
      </c>
      <c r="AZ58" s="752" t="str">
        <f t="shared" si="107"/>
        <v>NA</v>
      </c>
      <c r="BA58" s="198" t="str">
        <f t="shared" si="107"/>
        <v>NA</v>
      </c>
      <c r="BB58" s="198" t="str">
        <f t="shared" si="107"/>
        <v>NA</v>
      </c>
      <c r="BC58" s="198" t="str">
        <f t="shared" si="107"/>
        <v>NA</v>
      </c>
      <c r="BD58" s="752" t="str">
        <f t="shared" si="107"/>
        <v>NA</v>
      </c>
      <c r="BE58" s="264"/>
      <c r="BF58" s="751"/>
      <c r="BG58" s="198"/>
      <c r="BH58" s="198"/>
      <c r="BI58" s="198"/>
      <c r="BJ58" s="198"/>
      <c r="BK58" s="198"/>
      <c r="BL58" s="198"/>
      <c r="BM58" s="198"/>
      <c r="BN58" s="751">
        <f t="shared" ref="BN58:BY58" si="108">IF(ISERROR(BN57/BM57-1),"NA",(IF(BN57&lt;=0,"NM",BN57/BM57-1)))</f>
        <v>7.6821250558082532E-2</v>
      </c>
      <c r="BO58" s="198">
        <f t="shared" si="108"/>
        <v>4.7138451867242637E-2</v>
      </c>
      <c r="BP58" s="198">
        <f t="shared" si="108"/>
        <v>0.21487603305785141</v>
      </c>
      <c r="BQ58" s="198" t="str">
        <f t="shared" si="108"/>
        <v>NM</v>
      </c>
      <c r="BR58" s="198" t="str">
        <f t="shared" si="108"/>
        <v>NA</v>
      </c>
      <c r="BS58" s="198" t="str">
        <f t="shared" si="108"/>
        <v>NA</v>
      </c>
      <c r="BT58" s="198" t="str">
        <f t="shared" si="108"/>
        <v>NA</v>
      </c>
      <c r="BU58" s="198" t="str">
        <f>IF(ISERROR(BU57/BT57-1),"NA",(IF(BU57&lt;=0,"NM",BU57/BT57-1)))</f>
        <v>NA</v>
      </c>
      <c r="BV58" s="198">
        <f t="shared" si="108"/>
        <v>9.7815222047693773E-2</v>
      </c>
      <c r="BW58" s="198">
        <f t="shared" si="108"/>
        <v>8.6498439125910487E-2</v>
      </c>
      <c r="BX58" s="198">
        <f t="shared" si="108"/>
        <v>7.7217766072069871E-2</v>
      </c>
      <c r="BY58" s="752">
        <f t="shared" si="108"/>
        <v>7.0015559013114181E-2</v>
      </c>
      <c r="BZ58" s="264"/>
      <c r="CA58" s="99"/>
      <c r="CB58" s="327"/>
      <c r="CC58" s="327"/>
      <c r="CD58" s="327"/>
      <c r="CE58" s="327"/>
      <c r="CF58" s="327"/>
      <c r="CG58" s="327"/>
      <c r="CQ58" s="106" t="s">
        <v>647</v>
      </c>
      <c r="CS58" s="106" t="s">
        <v>648</v>
      </c>
    </row>
    <row r="59" spans="1:99" s="106" customFormat="1" ht="11.25" hidden="1" customHeight="1" outlineLevel="1">
      <c r="A59" s="191"/>
      <c r="B59" s="191"/>
      <c r="C59" s="191"/>
      <c r="D59" s="191"/>
      <c r="E59" s="191"/>
      <c r="F59" s="191"/>
      <c r="G59" s="191"/>
      <c r="H59" s="1163"/>
      <c r="I59" s="770" t="s">
        <v>146</v>
      </c>
      <c r="J59" s="193"/>
      <c r="K59" s="67"/>
      <c r="L59" s="67"/>
      <c r="M59" s="67"/>
      <c r="N59" s="67"/>
      <c r="O59" s="67"/>
      <c r="P59" s="581"/>
      <c r="Q59" s="67"/>
      <c r="R59" s="67"/>
      <c r="S59" s="67"/>
      <c r="T59" s="581"/>
      <c r="U59" s="198"/>
      <c r="V59" s="198"/>
      <c r="W59" s="198"/>
      <c r="X59" s="752"/>
      <c r="Y59" s="198"/>
      <c r="Z59" s="198">
        <f t="shared" ref="Z59:AJ59" si="109">IF(ISERROR(Z57/Y57-1),"NA",(IF(Z57&lt;=0,"NM",Z57/Y57-1)))</f>
        <v>0.1927037045065354</v>
      </c>
      <c r="AA59" s="198">
        <f t="shared" si="109"/>
        <v>0.11191683477818359</v>
      </c>
      <c r="AB59" s="752">
        <f t="shared" si="109"/>
        <v>-0.1454579035975222</v>
      </c>
      <c r="AC59" s="198">
        <f t="shared" si="109"/>
        <v>-3.5444879990604528E-2</v>
      </c>
      <c r="AD59" s="198">
        <f t="shared" si="109"/>
        <v>5.6388217643076555E-2</v>
      </c>
      <c r="AE59" s="198">
        <f t="shared" si="109"/>
        <v>0.15394145539324433</v>
      </c>
      <c r="AF59" s="752">
        <f t="shared" si="109"/>
        <v>7.2539163535210616E-2</v>
      </c>
      <c r="AG59" s="198">
        <f t="shared" si="109"/>
        <v>-2.9305862689247286E-2</v>
      </c>
      <c r="AH59" s="198">
        <f t="shared" si="109"/>
        <v>-6.25E-2</v>
      </c>
      <c r="AI59" s="198">
        <f t="shared" si="109"/>
        <v>-3.3333333333333326E-2</v>
      </c>
      <c r="AJ59" s="752">
        <f t="shared" si="109"/>
        <v>3.4482758620689724E-2</v>
      </c>
      <c r="AK59" s="198">
        <f t="shared" ref="AK59:AR59" si="110">IF(ISERROR(AK57/AJ57-1),"NA",(IF(AK57&lt;=0,"NM",AK57/AJ57-1)))</f>
        <v>6.6666666666666652E-2</v>
      </c>
      <c r="AL59" s="198">
        <f t="shared" si="110"/>
        <v>0.15625</v>
      </c>
      <c r="AM59" s="198">
        <f t="shared" si="110"/>
        <v>5.4054054054053946E-2</v>
      </c>
      <c r="AN59" s="752">
        <f t="shared" si="110"/>
        <v>0</v>
      </c>
      <c r="AO59" s="198" t="str">
        <f t="shared" si="110"/>
        <v>NM</v>
      </c>
      <c r="AP59" s="198" t="str">
        <f t="shared" si="110"/>
        <v>NA</v>
      </c>
      <c r="AQ59" s="198" t="str">
        <f t="shared" si="110"/>
        <v>NA</v>
      </c>
      <c r="AR59" s="752" t="str">
        <f t="shared" si="110"/>
        <v>NA</v>
      </c>
      <c r="AS59" s="198" t="str">
        <f t="shared" ref="AS59:BD59" si="111">IF(ISERROR(AS57/AR57-1),"NA",(IF(AS57&lt;=0,"NM",AS57/AR57-1)))</f>
        <v>NA</v>
      </c>
      <c r="AT59" s="198" t="str">
        <f t="shared" si="111"/>
        <v>NA</v>
      </c>
      <c r="AU59" s="198" t="str">
        <f t="shared" si="111"/>
        <v>NA</v>
      </c>
      <c r="AV59" s="752" t="str">
        <f t="shared" si="111"/>
        <v>NA</v>
      </c>
      <c r="AW59" s="751" t="str">
        <f t="shared" si="111"/>
        <v>NA</v>
      </c>
      <c r="AX59" s="198" t="str">
        <f t="shared" si="111"/>
        <v>NA</v>
      </c>
      <c r="AY59" s="198" t="str">
        <f t="shared" si="111"/>
        <v>NA</v>
      </c>
      <c r="AZ59" s="752" t="str">
        <f t="shared" si="111"/>
        <v>NA</v>
      </c>
      <c r="BA59" s="198" t="str">
        <f t="shared" si="111"/>
        <v>NA</v>
      </c>
      <c r="BB59" s="198" t="str">
        <f t="shared" si="111"/>
        <v>NA</v>
      </c>
      <c r="BC59" s="198" t="str">
        <f t="shared" si="111"/>
        <v>NA</v>
      </c>
      <c r="BD59" s="752" t="str">
        <f t="shared" si="111"/>
        <v>NA</v>
      </c>
      <c r="BE59" s="264"/>
      <c r="BF59" s="751"/>
      <c r="BG59" s="198"/>
      <c r="BH59" s="198"/>
      <c r="BI59" s="198"/>
      <c r="BJ59" s="198"/>
      <c r="BK59" s="198"/>
      <c r="BL59" s="198"/>
      <c r="BM59" s="198"/>
      <c r="BN59" s="751"/>
      <c r="BO59" s="198"/>
      <c r="BP59" s="198"/>
      <c r="BQ59" s="198"/>
      <c r="BR59" s="198"/>
      <c r="BS59" s="198"/>
      <c r="BT59" s="198"/>
      <c r="BU59" s="198"/>
      <c r="BV59" s="198"/>
      <c r="BW59" s="198"/>
      <c r="BX59" s="198"/>
      <c r="BY59" s="752"/>
      <c r="BZ59" s="264"/>
      <c r="CA59" s="99"/>
      <c r="CB59" s="327"/>
      <c r="CC59" s="327"/>
      <c r="CD59" s="327"/>
      <c r="CE59" s="327"/>
      <c r="CF59" s="327"/>
      <c r="CG59" s="327"/>
    </row>
    <row r="60" spans="1:99" s="106" customFormat="1" ht="11.25" hidden="1" customHeight="1" outlineLevel="1">
      <c r="A60" s="191"/>
      <c r="B60" s="191"/>
      <c r="C60" s="191"/>
      <c r="D60" s="191"/>
      <c r="E60" s="191"/>
      <c r="F60" s="191"/>
      <c r="G60" s="191"/>
      <c r="H60" s="1163"/>
      <c r="I60" s="773" t="s">
        <v>57</v>
      </c>
      <c r="J60" s="192"/>
      <c r="K60" s="331"/>
      <c r="L60" s="331"/>
      <c r="M60" s="67"/>
      <c r="N60" s="67"/>
      <c r="O60" s="67"/>
      <c r="P60" s="581"/>
      <c r="Q60" s="67"/>
      <c r="R60" s="67"/>
      <c r="S60" s="67"/>
      <c r="T60" s="581"/>
      <c r="U60" s="247"/>
      <c r="V60" s="247"/>
      <c r="W60" s="247"/>
      <c r="X60" s="775"/>
      <c r="Y60" s="341">
        <v>0.05</v>
      </c>
      <c r="Z60" s="341">
        <v>0.05</v>
      </c>
      <c r="AA60" s="341">
        <v>0.05</v>
      </c>
      <c r="AB60" s="807">
        <v>3.6999999999999998E-2</v>
      </c>
      <c r="AC60" s="341">
        <v>3.3000000000000002E-2</v>
      </c>
      <c r="AD60" s="341">
        <v>0.03</v>
      </c>
      <c r="AE60" s="341">
        <v>0.03</v>
      </c>
      <c r="AF60" s="807">
        <v>0.03</v>
      </c>
      <c r="AG60" s="1738">
        <f t="shared" ref="AG60:AO60" si="112">AG57/AG12</f>
        <v>2.8622540250447231E-2</v>
      </c>
      <c r="AH60" s="1738">
        <f t="shared" si="112"/>
        <v>2.3885350318471339E-2</v>
      </c>
      <c r="AI60" s="1738">
        <f t="shared" si="112"/>
        <v>2.1545319465081723E-2</v>
      </c>
      <c r="AJ60" s="2370">
        <f t="shared" si="112"/>
        <v>2.0449897750511249E-2</v>
      </c>
      <c r="AK60" s="1738">
        <f t="shared" si="112"/>
        <v>2.0174891087111398E-2</v>
      </c>
      <c r="AL60" s="1738">
        <f t="shared" si="112"/>
        <v>2.1334501925871257E-2</v>
      </c>
      <c r="AM60" s="1738">
        <f t="shared" si="112"/>
        <v>2.0941621203659951E-2</v>
      </c>
      <c r="AN60" s="2370">
        <f t="shared" si="112"/>
        <v>2.0020944988603462E-2</v>
      </c>
      <c r="AO60" s="1738">
        <f t="shared" si="112"/>
        <v>0</v>
      </c>
      <c r="AP60" s="340">
        <v>0</v>
      </c>
      <c r="AQ60" s="340">
        <v>0</v>
      </c>
      <c r="AR60" s="2370">
        <f t="shared" ref="AR60" si="113">AR57/AR12</f>
        <v>0</v>
      </c>
      <c r="AS60" s="340">
        <v>0</v>
      </c>
      <c r="AT60" s="340">
        <v>0</v>
      </c>
      <c r="AU60" s="340">
        <v>0</v>
      </c>
      <c r="AV60" s="761">
        <v>0</v>
      </c>
      <c r="AW60" s="1647">
        <v>0</v>
      </c>
      <c r="AX60" s="340">
        <v>0</v>
      </c>
      <c r="AY60" s="340">
        <v>0</v>
      </c>
      <c r="AZ60" s="761">
        <v>0</v>
      </c>
      <c r="BA60" s="340">
        <v>0</v>
      </c>
      <c r="BB60" s="340">
        <v>0</v>
      </c>
      <c r="BC60" s="340">
        <v>0</v>
      </c>
      <c r="BD60" s="761">
        <v>0</v>
      </c>
      <c r="BE60" s="289"/>
      <c r="BF60" s="768"/>
      <c r="BG60" s="247"/>
      <c r="BH60" s="247"/>
      <c r="BI60" s="247"/>
      <c r="BJ60" s="247"/>
      <c r="BK60" s="247"/>
      <c r="BL60" s="247"/>
      <c r="BM60" s="259"/>
      <c r="BN60" s="759">
        <f t="shared" ref="BN60:BT60" si="114">BN57/BN12</f>
        <v>3.0607150046618067E-2</v>
      </c>
      <c r="BO60" s="259">
        <f t="shared" si="114"/>
        <v>2.3327549643339114E-2</v>
      </c>
      <c r="BP60" s="259">
        <f t="shared" si="114"/>
        <v>2.061511578823368E-2</v>
      </c>
      <c r="BQ60" s="259">
        <f t="shared" si="114"/>
        <v>0</v>
      </c>
      <c r="BR60" s="259">
        <f t="shared" si="114"/>
        <v>0</v>
      </c>
      <c r="BS60" s="259">
        <f t="shared" si="114"/>
        <v>0</v>
      </c>
      <c r="BT60" s="259">
        <f t="shared" si="114"/>
        <v>0</v>
      </c>
      <c r="BU60" s="340">
        <v>0.02</v>
      </c>
      <c r="BV60" s="340">
        <v>0.02</v>
      </c>
      <c r="BW60" s="340">
        <v>0.02</v>
      </c>
      <c r="BX60" s="340">
        <v>0.02</v>
      </c>
      <c r="BY60" s="761">
        <v>0.02</v>
      </c>
      <c r="BZ60" s="260"/>
      <c r="CA60" s="99"/>
      <c r="CE60" s="327"/>
      <c r="CF60" s="327"/>
      <c r="CG60" s="327"/>
    </row>
    <row r="61" spans="1:99" s="106" customFormat="1" ht="11.25" hidden="1" customHeight="1" outlineLevel="1">
      <c r="A61" s="191"/>
      <c r="B61" s="191"/>
      <c r="C61" s="191"/>
      <c r="D61" s="191"/>
      <c r="E61" s="191"/>
      <c r="F61" s="191"/>
      <c r="G61" s="191"/>
      <c r="H61" s="1163"/>
      <c r="I61" s="994" t="s">
        <v>380</v>
      </c>
      <c r="J61" s="192"/>
      <c r="K61" s="331"/>
      <c r="L61" s="331"/>
      <c r="M61" s="67"/>
      <c r="N61" s="67"/>
      <c r="O61" s="67"/>
      <c r="P61" s="581"/>
      <c r="Q61" s="67"/>
      <c r="R61" s="67"/>
      <c r="S61" s="67"/>
      <c r="T61" s="581"/>
      <c r="U61" s="247"/>
      <c r="V61" s="247"/>
      <c r="W61" s="247"/>
      <c r="X61" s="775"/>
      <c r="Y61" s="247"/>
      <c r="Z61" s="341"/>
      <c r="AA61" s="995"/>
      <c r="AB61" s="2695"/>
      <c r="AC61" s="995"/>
      <c r="AD61" s="924">
        <f t="shared" ref="AD61:AJ61" si="115">AD57-Z57</f>
        <v>-8.7540000000000173E-2</v>
      </c>
      <c r="AE61" s="996">
        <f t="shared" si="115"/>
        <v>1.4599999999999724E-2</v>
      </c>
      <c r="AF61" s="997">
        <f t="shared" si="115"/>
        <v>0.68252300000000021</v>
      </c>
      <c r="AG61" s="996">
        <f t="shared" si="115"/>
        <v>0.67856899999999998</v>
      </c>
      <c r="AH61" s="996">
        <f t="shared" si="115"/>
        <v>0.33638999999999974</v>
      </c>
      <c r="AI61" s="996">
        <f t="shared" si="115"/>
        <v>-0.17364999999999986</v>
      </c>
      <c r="AJ61" s="997">
        <f t="shared" si="115"/>
        <v>-0.29660999999999982</v>
      </c>
      <c r="AK61" s="996">
        <f t="shared" ref="AK61:AR61" si="116">AK57-AG57</f>
        <v>0</v>
      </c>
      <c r="AL61" s="996">
        <f t="shared" si="116"/>
        <v>0.70000000000000018</v>
      </c>
      <c r="AM61" s="996">
        <f t="shared" si="116"/>
        <v>1</v>
      </c>
      <c r="AN61" s="997">
        <f t="shared" si="116"/>
        <v>0.89999999999999991</v>
      </c>
      <c r="AO61" s="996">
        <f t="shared" si="116"/>
        <v>-3.2</v>
      </c>
      <c r="AP61" s="996">
        <f t="shared" si="116"/>
        <v>-3.7</v>
      </c>
      <c r="AQ61" s="996">
        <f t="shared" si="116"/>
        <v>-3.9</v>
      </c>
      <c r="AR61" s="997">
        <f t="shared" si="116"/>
        <v>-3.9</v>
      </c>
      <c r="AS61" s="996">
        <f t="shared" ref="AS61:BD61" si="117">AS57-AO57</f>
        <v>0</v>
      </c>
      <c r="AT61" s="996">
        <f t="shared" si="117"/>
        <v>0</v>
      </c>
      <c r="AU61" s="996">
        <f t="shared" si="117"/>
        <v>0</v>
      </c>
      <c r="AV61" s="997">
        <f t="shared" si="117"/>
        <v>0</v>
      </c>
      <c r="AW61" s="998">
        <f t="shared" si="117"/>
        <v>0</v>
      </c>
      <c r="AX61" s="996">
        <f t="shared" si="117"/>
        <v>0</v>
      </c>
      <c r="AY61" s="996">
        <f t="shared" si="117"/>
        <v>0</v>
      </c>
      <c r="AZ61" s="997">
        <f t="shared" si="117"/>
        <v>0</v>
      </c>
      <c r="BA61" s="996">
        <f t="shared" si="117"/>
        <v>0</v>
      </c>
      <c r="BB61" s="996">
        <f t="shared" si="117"/>
        <v>0</v>
      </c>
      <c r="BC61" s="996">
        <f t="shared" si="117"/>
        <v>0</v>
      </c>
      <c r="BD61" s="997">
        <f t="shared" si="117"/>
        <v>0</v>
      </c>
      <c r="BE61" s="1196"/>
      <c r="BF61" s="768"/>
      <c r="BG61" s="247"/>
      <c r="BH61" s="247"/>
      <c r="BI61" s="247"/>
      <c r="BJ61" s="247"/>
      <c r="BK61" s="247"/>
      <c r="BL61" s="247"/>
      <c r="BM61" s="259"/>
      <c r="BN61" s="626">
        <f>BN57-BM57</f>
        <v>0.82436399999999921</v>
      </c>
      <c r="BO61" s="336">
        <f t="shared" ref="BO61:BY61" si="118">BO57-BN57</f>
        <v>0.54469900000000138</v>
      </c>
      <c r="BP61" s="336">
        <f t="shared" si="118"/>
        <v>2.6000000000000014</v>
      </c>
      <c r="BQ61" s="336">
        <f t="shared" si="118"/>
        <v>-14.700000000000001</v>
      </c>
      <c r="BR61" s="336">
        <f t="shared" si="118"/>
        <v>0</v>
      </c>
      <c r="BS61" s="336">
        <f t="shared" si="118"/>
        <v>0</v>
      </c>
      <c r="BT61" s="336">
        <f t="shared" si="118"/>
        <v>0</v>
      </c>
      <c r="BU61" s="336">
        <f>BU57-BT57</f>
        <v>28.012</v>
      </c>
      <c r="BV61" s="336">
        <f t="shared" si="118"/>
        <v>2.7399999999999984</v>
      </c>
      <c r="BW61" s="336">
        <f t="shared" si="118"/>
        <v>2.66</v>
      </c>
      <c r="BX61" s="336">
        <f t="shared" si="118"/>
        <v>2.5799999999999983</v>
      </c>
      <c r="BY61" s="613">
        <f t="shared" si="118"/>
        <v>2.5200000000000031</v>
      </c>
      <c r="BZ61" s="260"/>
      <c r="CE61" s="327"/>
      <c r="CF61" s="327"/>
      <c r="CG61" s="327"/>
    </row>
    <row r="62" spans="1:99" s="106" customFormat="1" ht="11.25" hidden="1" customHeight="1" outlineLevel="1">
      <c r="A62" s="191"/>
      <c r="B62" s="191"/>
      <c r="C62" s="191"/>
      <c r="D62" s="191"/>
      <c r="E62" s="191"/>
      <c r="F62" s="191"/>
      <c r="G62" s="191"/>
      <c r="H62" s="1163"/>
      <c r="I62" s="994" t="s">
        <v>377</v>
      </c>
      <c r="J62" s="192"/>
      <c r="K62" s="331"/>
      <c r="L62" s="331"/>
      <c r="M62" s="67"/>
      <c r="N62" s="67"/>
      <c r="O62" s="67"/>
      <c r="P62" s="581"/>
      <c r="Q62" s="67"/>
      <c r="R62" s="67"/>
      <c r="S62" s="67"/>
      <c r="T62" s="581"/>
      <c r="U62" s="247"/>
      <c r="V62" s="247"/>
      <c r="W62" s="247"/>
      <c r="X62" s="775"/>
      <c r="Y62" s="247"/>
      <c r="Z62" s="341"/>
      <c r="AA62" s="924">
        <f>AA57-Z57</f>
        <v>0.30789999999999962</v>
      </c>
      <c r="AB62" s="941">
        <f t="shared" ref="AB62:AJ62" si="119">AB57-AA57</f>
        <v>-0.44496300000000044</v>
      </c>
      <c r="AC62" s="924">
        <f t="shared" si="119"/>
        <v>-9.2655999999999406E-2</v>
      </c>
      <c r="AD62" s="924">
        <f t="shared" si="119"/>
        <v>0.14217900000000006</v>
      </c>
      <c r="AE62" s="924">
        <f t="shared" si="119"/>
        <v>0.41003999999999952</v>
      </c>
      <c r="AF62" s="941">
        <f t="shared" si="119"/>
        <v>0.22296000000000005</v>
      </c>
      <c r="AG62" s="924">
        <f t="shared" si="119"/>
        <v>-9.6609999999999641E-2</v>
      </c>
      <c r="AH62" s="924">
        <f t="shared" si="119"/>
        <v>-0.20000000000000018</v>
      </c>
      <c r="AI62" s="924">
        <f t="shared" si="119"/>
        <v>-0.10000000000000009</v>
      </c>
      <c r="AJ62" s="941">
        <f t="shared" si="119"/>
        <v>0.10000000000000009</v>
      </c>
      <c r="AK62" s="924">
        <f t="shared" ref="AK62:AR62" si="120">AK57-AJ57</f>
        <v>0.20000000000000018</v>
      </c>
      <c r="AL62" s="924">
        <f t="shared" si="120"/>
        <v>0.5</v>
      </c>
      <c r="AM62" s="924">
        <f t="shared" si="120"/>
        <v>0.19999999999999973</v>
      </c>
      <c r="AN62" s="941">
        <f t="shared" si="120"/>
        <v>0</v>
      </c>
      <c r="AO62" s="924">
        <f t="shared" si="120"/>
        <v>-3.9</v>
      </c>
      <c r="AP62" s="924">
        <f t="shared" si="120"/>
        <v>0</v>
      </c>
      <c r="AQ62" s="924">
        <f t="shared" si="120"/>
        <v>0</v>
      </c>
      <c r="AR62" s="941">
        <f t="shared" si="120"/>
        <v>0</v>
      </c>
      <c r="AS62" s="924">
        <f t="shared" ref="AS62:BD62" si="121">AS57-AR57</f>
        <v>0</v>
      </c>
      <c r="AT62" s="924">
        <f t="shared" si="121"/>
        <v>0</v>
      </c>
      <c r="AU62" s="924">
        <f t="shared" si="121"/>
        <v>0</v>
      </c>
      <c r="AV62" s="941">
        <f t="shared" si="121"/>
        <v>0</v>
      </c>
      <c r="AW62" s="940">
        <f t="shared" si="121"/>
        <v>0</v>
      </c>
      <c r="AX62" s="924">
        <f t="shared" si="121"/>
        <v>0</v>
      </c>
      <c r="AY62" s="924">
        <f t="shared" si="121"/>
        <v>0</v>
      </c>
      <c r="AZ62" s="941">
        <f t="shared" si="121"/>
        <v>0</v>
      </c>
      <c r="BA62" s="924">
        <f t="shared" si="121"/>
        <v>0</v>
      </c>
      <c r="BB62" s="924">
        <f t="shared" si="121"/>
        <v>0</v>
      </c>
      <c r="BC62" s="924">
        <f t="shared" si="121"/>
        <v>0</v>
      </c>
      <c r="BD62" s="941">
        <f t="shared" si="121"/>
        <v>0</v>
      </c>
      <c r="BE62" s="955"/>
      <c r="BF62" s="768"/>
      <c r="BG62" s="247"/>
      <c r="BH62" s="247"/>
      <c r="BI62" s="247"/>
      <c r="BJ62" s="247"/>
      <c r="BK62" s="247"/>
      <c r="BL62" s="247"/>
      <c r="BM62" s="259"/>
      <c r="BN62" s="759"/>
      <c r="BO62" s="259"/>
      <c r="BP62" s="1000"/>
      <c r="BQ62" s="1000"/>
      <c r="BR62" s="1000"/>
      <c r="BS62" s="1000"/>
      <c r="BT62" s="1000"/>
      <c r="BU62" s="1000"/>
      <c r="BV62" s="1000"/>
      <c r="BW62" s="1000"/>
      <c r="BX62" s="1000"/>
      <c r="BY62" s="999"/>
      <c r="BZ62" s="260"/>
      <c r="CA62" s="99"/>
      <c r="CE62" s="327"/>
      <c r="CF62" s="327"/>
      <c r="CG62" s="327"/>
    </row>
    <row r="63" spans="1:99" ht="11.25" customHeight="1" collapsed="1">
      <c r="A63" s="86"/>
      <c r="B63" s="86"/>
      <c r="C63" s="86"/>
      <c r="D63" s="86"/>
      <c r="E63" s="86"/>
      <c r="F63" s="86"/>
      <c r="G63" s="86"/>
      <c r="H63" s="328"/>
      <c r="I63" s="776"/>
      <c r="J63" s="777"/>
      <c r="K63" s="109"/>
      <c r="L63" s="109"/>
      <c r="M63" s="109"/>
      <c r="N63" s="109"/>
      <c r="O63" s="109"/>
      <c r="P63" s="2768"/>
      <c r="Q63" s="109"/>
      <c r="R63" s="109"/>
      <c r="S63" s="109"/>
      <c r="T63" s="2768"/>
      <c r="U63" s="778"/>
      <c r="V63" s="763"/>
      <c r="W63" s="763"/>
      <c r="X63" s="764"/>
      <c r="Y63" s="763"/>
      <c r="Z63" s="763"/>
      <c r="AA63" s="763"/>
      <c r="AB63" s="764"/>
      <c r="AC63" s="763"/>
      <c r="AD63" s="763"/>
      <c r="AE63" s="763"/>
      <c r="AF63" s="764"/>
      <c r="AG63" s="763"/>
      <c r="AH63" s="763"/>
      <c r="AI63" s="763"/>
      <c r="AJ63" s="764"/>
      <c r="AK63" s="763"/>
      <c r="AL63" s="763"/>
      <c r="AM63" s="763"/>
      <c r="AN63" s="764"/>
      <c r="AO63" s="763"/>
      <c r="AP63" s="763"/>
      <c r="AQ63" s="763"/>
      <c r="AR63" s="764"/>
      <c r="AS63" s="763"/>
      <c r="AT63" s="763"/>
      <c r="AU63" s="763"/>
      <c r="AV63" s="764"/>
      <c r="AW63" s="762"/>
      <c r="AX63" s="763"/>
      <c r="AY63" s="763"/>
      <c r="AZ63" s="764"/>
      <c r="BA63" s="763"/>
      <c r="BB63" s="763"/>
      <c r="BC63" s="763"/>
      <c r="BD63" s="764"/>
      <c r="BE63" s="276"/>
      <c r="BF63" s="762"/>
      <c r="BG63" s="763"/>
      <c r="BH63" s="763"/>
      <c r="BI63" s="763"/>
      <c r="BJ63" s="763"/>
      <c r="BK63" s="763"/>
      <c r="BL63" s="763"/>
      <c r="BM63" s="763"/>
      <c r="BN63" s="762"/>
      <c r="BO63" s="763"/>
      <c r="BP63" s="763"/>
      <c r="BQ63" s="763"/>
      <c r="BR63" s="763"/>
      <c r="BS63" s="763"/>
      <c r="BT63" s="763"/>
      <c r="BU63" s="763"/>
      <c r="BV63" s="763"/>
      <c r="BW63" s="763"/>
      <c r="BX63" s="763"/>
      <c r="BY63" s="764"/>
      <c r="BZ63" s="276"/>
      <c r="CA63" s="80"/>
      <c r="CE63" s="88"/>
      <c r="CF63" s="88"/>
      <c r="CG63" s="88"/>
    </row>
    <row r="64" spans="1:99" ht="11.25" customHeight="1">
      <c r="A64" s="86"/>
      <c r="B64" s="86"/>
      <c r="C64" s="86"/>
      <c r="D64" s="86"/>
      <c r="E64" s="86"/>
      <c r="F64" s="86"/>
      <c r="G64" s="86"/>
      <c r="H64" s="328"/>
      <c r="I64" s="100"/>
      <c r="J64" s="193"/>
      <c r="K64" s="67"/>
      <c r="L64" s="67"/>
      <c r="M64" s="67"/>
      <c r="N64" s="67"/>
      <c r="O64" s="67"/>
      <c r="P64" s="67"/>
      <c r="Q64" s="67"/>
      <c r="R64" s="67"/>
      <c r="S64" s="67"/>
      <c r="T64" s="581"/>
      <c r="U64" s="194"/>
      <c r="V64" s="332"/>
      <c r="W64" s="332"/>
      <c r="X64" s="756"/>
      <c r="Y64" s="332"/>
      <c r="Z64" s="332"/>
      <c r="AA64" s="332"/>
      <c r="AB64" s="756"/>
      <c r="AC64" s="332"/>
      <c r="AD64" s="332"/>
      <c r="AE64" s="332"/>
      <c r="AF64" s="756"/>
      <c r="AG64" s="332"/>
      <c r="AH64" s="332"/>
      <c r="AI64" s="332"/>
      <c r="AJ64" s="756"/>
      <c r="AK64" s="332"/>
      <c r="AL64" s="332"/>
      <c r="AM64" s="332"/>
      <c r="AN64" s="756"/>
      <c r="AO64" s="332"/>
      <c r="AP64" s="332"/>
      <c r="AQ64" s="332"/>
      <c r="AR64" s="756"/>
      <c r="AS64" s="332"/>
      <c r="AT64" s="332"/>
      <c r="AU64" s="332"/>
      <c r="AV64" s="332"/>
      <c r="AW64" s="332"/>
      <c r="AX64" s="332"/>
      <c r="AY64" s="332"/>
      <c r="AZ64" s="332"/>
      <c r="BA64" s="332"/>
      <c r="BB64" s="332"/>
      <c r="BC64" s="332"/>
      <c r="BD64" s="332"/>
      <c r="BE64" s="276"/>
      <c r="BF64" s="332"/>
      <c r="BG64" s="332"/>
      <c r="BH64" s="332"/>
      <c r="BI64" s="332"/>
      <c r="BJ64" s="332"/>
      <c r="BK64" s="332"/>
      <c r="BL64" s="332"/>
      <c r="BM64" s="332"/>
      <c r="BN64" s="332"/>
      <c r="BO64" s="332"/>
      <c r="BP64" s="332"/>
      <c r="BQ64" s="332"/>
      <c r="BR64" s="332"/>
      <c r="BS64" s="332"/>
      <c r="BT64" s="332"/>
      <c r="BU64" s="332"/>
      <c r="BV64" s="332"/>
      <c r="BW64" s="332"/>
      <c r="BX64" s="332"/>
      <c r="BY64" s="332"/>
      <c r="BZ64" s="276"/>
      <c r="CA64" s="80"/>
      <c r="CE64" s="88"/>
      <c r="CF64" s="88"/>
      <c r="CG64" s="88"/>
    </row>
    <row r="65" spans="1:85" s="106" customFormat="1" ht="11.25" customHeight="1">
      <c r="A65" s="54"/>
      <c r="B65" s="54"/>
      <c r="C65" s="54"/>
      <c r="D65" s="54"/>
      <c r="E65" s="54"/>
      <c r="F65" s="54"/>
      <c r="G65" s="54"/>
      <c r="H65" s="83"/>
      <c r="I65" s="769" t="s">
        <v>673</v>
      </c>
      <c r="J65" s="324"/>
      <c r="K65" s="324"/>
      <c r="L65" s="324"/>
      <c r="M65" s="325"/>
      <c r="N65" s="325"/>
      <c r="O65" s="325"/>
      <c r="P65" s="325"/>
      <c r="Q65" s="325"/>
      <c r="R65" s="325"/>
      <c r="S65" s="325"/>
      <c r="T65" s="1657"/>
      <c r="U65" s="326"/>
      <c r="V65" s="325"/>
      <c r="W65" s="325"/>
      <c r="X65" s="1657"/>
      <c r="Y65" s="325"/>
      <c r="Z65" s="325"/>
      <c r="AA65" s="325"/>
      <c r="AB65" s="1657"/>
      <c r="AC65" s="325"/>
      <c r="AD65" s="325"/>
      <c r="AE65" s="325"/>
      <c r="AF65" s="1657"/>
      <c r="AG65" s="325"/>
      <c r="AH65" s="325"/>
      <c r="AI65" s="325"/>
      <c r="AJ65" s="1657"/>
      <c r="AK65" s="325"/>
      <c r="AL65" s="325"/>
      <c r="AM65" s="325"/>
      <c r="AN65" s="1657"/>
      <c r="AO65" s="325"/>
      <c r="AP65" s="325"/>
      <c r="AQ65" s="325"/>
      <c r="AR65" s="1657"/>
      <c r="AS65" s="325"/>
      <c r="AT65" s="325"/>
      <c r="AU65" s="325"/>
      <c r="AV65" s="747"/>
      <c r="AW65" s="325"/>
      <c r="AX65" s="325"/>
      <c r="AY65" s="325"/>
      <c r="AZ65" s="747"/>
      <c r="BA65" s="325"/>
      <c r="BB65" s="325"/>
      <c r="BC65" s="325"/>
      <c r="BD65" s="747"/>
      <c r="BE65" s="335"/>
      <c r="BF65" s="1418"/>
      <c r="BG65" s="323"/>
      <c r="BH65" s="323"/>
      <c r="BI65" s="323"/>
      <c r="BJ65" s="323"/>
      <c r="BK65" s="323"/>
      <c r="BL65" s="323"/>
      <c r="BM65" s="323"/>
      <c r="BN65" s="1418"/>
      <c r="BO65" s="323"/>
      <c r="BP65" s="323"/>
      <c r="BQ65" s="323"/>
      <c r="BR65" s="323"/>
      <c r="BS65" s="323"/>
      <c r="BT65" s="323"/>
      <c r="BU65" s="323"/>
      <c r="BV65" s="323"/>
      <c r="BW65" s="323"/>
      <c r="BX65" s="323"/>
      <c r="BY65" s="782"/>
      <c r="BZ65" s="68"/>
      <c r="CA65" s="54"/>
      <c r="CE65" s="54"/>
      <c r="CF65" s="54"/>
      <c r="CG65" s="54"/>
    </row>
    <row r="66" spans="1:85" s="83" customFormat="1" ht="11.25" customHeight="1">
      <c r="I66" s="455"/>
      <c r="J66" s="334"/>
      <c r="K66" s="334"/>
      <c r="L66" s="334"/>
      <c r="M66" s="335"/>
      <c r="N66" s="335"/>
      <c r="O66" s="335"/>
      <c r="P66" s="335"/>
      <c r="Q66" s="335"/>
      <c r="R66" s="335"/>
      <c r="S66" s="335"/>
      <c r="T66" s="749"/>
      <c r="U66" s="1411"/>
      <c r="V66" s="335"/>
      <c r="W66" s="335"/>
      <c r="X66" s="749"/>
      <c r="Y66" s="335"/>
      <c r="Z66" s="335"/>
      <c r="AA66" s="335"/>
      <c r="AB66" s="749"/>
      <c r="AC66" s="335"/>
      <c r="AD66" s="335"/>
      <c r="AE66" s="335"/>
      <c r="AF66" s="749"/>
      <c r="AG66" s="335"/>
      <c r="AH66" s="335"/>
      <c r="AI66" s="335"/>
      <c r="AJ66" s="749"/>
      <c r="AK66" s="428"/>
      <c r="AL66" s="428"/>
      <c r="AM66" s="428"/>
      <c r="AN66" s="471"/>
      <c r="AO66" s="428"/>
      <c r="AP66" s="2684"/>
      <c r="AQ66" s="2684"/>
      <c r="AR66" s="471"/>
      <c r="AW66" s="2684"/>
      <c r="AX66" s="2684"/>
      <c r="AY66" s="2684"/>
      <c r="AZ66" s="2685"/>
      <c r="BA66" s="2684"/>
      <c r="BB66" s="2684"/>
      <c r="BC66" s="2684"/>
      <c r="BD66" s="2685"/>
      <c r="BE66" s="335"/>
      <c r="BF66" s="507"/>
      <c r="BG66" s="68"/>
      <c r="BH66" s="68"/>
      <c r="BI66" s="68"/>
      <c r="BJ66" s="68"/>
      <c r="BK66" s="68"/>
      <c r="BL66" s="68"/>
      <c r="BM66" s="68"/>
      <c r="BN66" s="507"/>
      <c r="BO66" s="68"/>
      <c r="BP66" s="68"/>
      <c r="BQ66" s="2015"/>
      <c r="BR66" s="68"/>
      <c r="BS66" s="68"/>
      <c r="BT66" s="68"/>
      <c r="BU66" s="68"/>
      <c r="BV66" s="68"/>
      <c r="BW66" s="68"/>
      <c r="BX66" s="68"/>
      <c r="BY66" s="475"/>
      <c r="BZ66" s="68"/>
    </row>
    <row r="67" spans="1:85" s="41" customFormat="1" ht="11.25" customHeight="1">
      <c r="A67" s="91"/>
      <c r="B67" s="91"/>
      <c r="C67" s="91"/>
      <c r="D67" s="91"/>
      <c r="E67" s="91"/>
      <c r="F67" s="91"/>
      <c r="G67" s="91"/>
      <c r="H67" s="1349"/>
      <c r="I67" s="783" t="s">
        <v>672</v>
      </c>
      <c r="J67" s="192"/>
      <c r="K67" s="331"/>
      <c r="L67" s="331"/>
      <c r="M67" s="431">
        <f>Model!M19</f>
        <v>7.0880000000000001</v>
      </c>
      <c r="N67" s="431">
        <f>Model!N19</f>
        <v>8.1519999999999992</v>
      </c>
      <c r="O67" s="431">
        <f>Model!O19</f>
        <v>8.8800000000000008</v>
      </c>
      <c r="P67" s="431">
        <f>Model!P19</f>
        <v>9.6389999999999993</v>
      </c>
      <c r="Q67" s="431">
        <f>Model!Q19</f>
        <v>11.222</v>
      </c>
      <c r="R67" s="431">
        <f>Model!R19</f>
        <v>13.356999999999999</v>
      </c>
      <c r="S67" s="431">
        <f>Model!S19</f>
        <v>15.746</v>
      </c>
      <c r="T67" s="730">
        <f>Model!T19</f>
        <v>18.148</v>
      </c>
      <c r="U67" s="431">
        <f>Model!U19</f>
        <v>21.472999999999999</v>
      </c>
      <c r="V67" s="431">
        <f>Model!V19</f>
        <v>25.254999999999999</v>
      </c>
      <c r="W67" s="431">
        <f>Model!W19</f>
        <v>28.484999999999999</v>
      </c>
      <c r="X67" s="730">
        <f>Model!X19</f>
        <v>33.945</v>
      </c>
      <c r="Y67" s="431">
        <f>Model!Y19</f>
        <v>38.866</v>
      </c>
      <c r="Z67" s="431">
        <f>Model!Z19</f>
        <v>44.8</v>
      </c>
      <c r="AA67" s="431">
        <f>Model!AA19</f>
        <v>51.167000000000002</v>
      </c>
      <c r="AB67" s="730">
        <f>Model!AB19</f>
        <v>58.052</v>
      </c>
      <c r="AC67" s="431">
        <f>Model!AC19</f>
        <v>65.2</v>
      </c>
      <c r="AD67" s="431">
        <f>Model!AD19</f>
        <v>75.685000000000002</v>
      </c>
      <c r="AE67" s="431">
        <f>Model!AE19</f>
        <v>85.132000000000005</v>
      </c>
      <c r="AF67" s="730">
        <f>Model!AF19</f>
        <v>93.1</v>
      </c>
      <c r="AG67" s="2642">
        <f>Model!AG24</f>
        <v>104.3</v>
      </c>
      <c r="AH67" s="2642">
        <f>Model!AH24</f>
        <v>113.5</v>
      </c>
      <c r="AI67" s="2642">
        <f>Model!AI24</f>
        <v>121.9</v>
      </c>
      <c r="AJ67" s="2643">
        <f>Model!AJ24</f>
        <v>131.69999999999999</v>
      </c>
      <c r="AK67" s="2642">
        <f>Model!AK24</f>
        <v>143</v>
      </c>
      <c r="AL67" s="2642">
        <f>Model!AL24</f>
        <v>156.69999999999999</v>
      </c>
      <c r="AM67" s="2642">
        <f>Model!AM24</f>
        <v>169</v>
      </c>
      <c r="AN67" s="2643">
        <f>Model!AN24</f>
        <v>176.5</v>
      </c>
      <c r="AO67" s="2642">
        <f>Model!AO24</f>
        <v>177</v>
      </c>
      <c r="AP67" s="2642">
        <f>Model!AP24</f>
        <v>186.6</v>
      </c>
      <c r="AQ67" s="2642">
        <f>Model!AQ24</f>
        <v>199.6</v>
      </c>
      <c r="AR67" s="2643">
        <f>Model!AR24</f>
        <v>208.4</v>
      </c>
      <c r="AS67" s="322">
        <f t="shared" ref="AS67:BD67" si="122">AO67+AS72</f>
        <v>212</v>
      </c>
      <c r="AT67" s="322">
        <f t="shared" si="122"/>
        <v>219.6</v>
      </c>
      <c r="AU67" s="322">
        <f t="shared" si="122"/>
        <v>233.6</v>
      </c>
      <c r="AV67" s="734">
        <f t="shared" si="122"/>
        <v>242.4</v>
      </c>
      <c r="AW67" s="322">
        <f t="shared" si="122"/>
        <v>244</v>
      </c>
      <c r="AX67" s="322">
        <f t="shared" si="122"/>
        <v>251.6</v>
      </c>
      <c r="AY67" s="322">
        <f t="shared" si="122"/>
        <v>266.10000000000002</v>
      </c>
      <c r="AZ67" s="734">
        <f t="shared" si="122"/>
        <v>274.39999999999998</v>
      </c>
      <c r="BA67" s="322">
        <f t="shared" si="122"/>
        <v>275</v>
      </c>
      <c r="BB67" s="322">
        <f t="shared" si="122"/>
        <v>282.60000000000002</v>
      </c>
      <c r="BC67" s="322">
        <f t="shared" si="122"/>
        <v>296.60000000000002</v>
      </c>
      <c r="BD67" s="734">
        <f t="shared" si="122"/>
        <v>304.39999999999998</v>
      </c>
      <c r="BE67" s="428"/>
      <c r="BF67" s="658"/>
      <c r="BG67" s="331"/>
      <c r="BH67" s="331"/>
      <c r="BI67" s="331"/>
      <c r="BJ67" s="331">
        <f>SUM(M67:P67)</f>
        <v>33.759</v>
      </c>
      <c r="BK67" s="331">
        <f>SUM(Q67:T67)</f>
        <v>58.472999999999999</v>
      </c>
      <c r="BL67" s="331">
        <f>SUM(U67:X67)</f>
        <v>109.15799999999999</v>
      </c>
      <c r="BM67" s="331">
        <f>SUM(Y67:AB67)</f>
        <v>192.88499999999999</v>
      </c>
      <c r="BN67" s="658">
        <f>SUM(AC67:AF67)</f>
        <v>319.11699999999996</v>
      </c>
      <c r="BO67" s="331">
        <f>SUM(AG67:AJ67)</f>
        <v>471.40000000000003</v>
      </c>
      <c r="BP67" s="428">
        <f>SUM(AK67:AN67)</f>
        <v>645.20000000000005</v>
      </c>
      <c r="BQ67" s="428">
        <f>SUM(AO67:AR67)</f>
        <v>771.6</v>
      </c>
      <c r="BR67" s="428">
        <f>SUM(AS67:AV67)</f>
        <v>907.6</v>
      </c>
      <c r="BS67" s="428">
        <f>SUM(AW67:AZ67)</f>
        <v>1036.0999999999999</v>
      </c>
      <c r="BT67" s="428">
        <f>SUM(BA67:BD67)</f>
        <v>1158.5999999999999</v>
      </c>
      <c r="BU67" s="322">
        <f>BT67+BU72</f>
        <v>1276.5999999999999</v>
      </c>
      <c r="BV67" s="322">
        <f>BU67+BV72</f>
        <v>1390.6</v>
      </c>
      <c r="BW67" s="322">
        <f>BV67+BW72</f>
        <v>1499.6</v>
      </c>
      <c r="BX67" s="322">
        <f>BW67+BX72</f>
        <v>1603.6</v>
      </c>
      <c r="BY67" s="734">
        <f>BX67+BY72</f>
        <v>1703.6</v>
      </c>
      <c r="BZ67" s="1389"/>
      <c r="CA67" s="95" t="str">
        <f>IF(ISERROR(RATE(5,,-BI67,BN67)),"NM",(RATE(5,,-BI67,BN67)))</f>
        <v>NM</v>
      </c>
      <c r="CB67" s="95">
        <f t="shared" ref="CB67:CG67" si="123">IF(ISERROR(RATE(3,,-BK67,BN67)),"NM",(RATE(3,,-BK67,BN67)))</f>
        <v>0.76061685332556961</v>
      </c>
      <c r="CC67" s="95">
        <f t="shared" si="123"/>
        <v>0.62846340223885633</v>
      </c>
      <c r="CD67" s="95">
        <f t="shared" si="123"/>
        <v>0.49554207030131131</v>
      </c>
      <c r="CE67" s="95">
        <f t="shared" si="123"/>
        <v>0.34219029060726874</v>
      </c>
      <c r="CF67" s="95">
        <f t="shared" si="123"/>
        <v>0.24404179057920686</v>
      </c>
      <c r="CG67" s="95">
        <f t="shared" si="123"/>
        <v>0.17103292240954615</v>
      </c>
    </row>
    <row r="68" spans="1:85" ht="11.25" customHeight="1">
      <c r="A68" s="86"/>
      <c r="B68" s="86"/>
      <c r="C68" s="86"/>
      <c r="D68" s="86"/>
      <c r="E68" s="86"/>
      <c r="F68" s="86"/>
      <c r="G68" s="86"/>
      <c r="H68" s="328"/>
      <c r="I68" s="770" t="s">
        <v>132</v>
      </c>
      <c r="J68" s="193"/>
      <c r="K68" s="67"/>
      <c r="L68" s="67"/>
      <c r="M68" s="264"/>
      <c r="N68" s="264"/>
      <c r="O68" s="264"/>
      <c r="P68" s="264"/>
      <c r="Q68" s="264"/>
      <c r="R68" s="264"/>
      <c r="S68" s="264"/>
      <c r="T68" s="264"/>
      <c r="U68" s="1373"/>
      <c r="V68" s="264"/>
      <c r="W68" s="264"/>
      <c r="X68" s="1242"/>
      <c r="Y68" s="751">
        <f t="shared" ref="Y68" si="124">IF(ISERROR(Y67/U67-1),"NA",(IF(Y67&lt;=0,"NM",Y67/U67-1)))</f>
        <v>0.80999394588553075</v>
      </c>
      <c r="Z68" s="198">
        <f t="shared" ref="Z68" si="125">IF(ISERROR(Z67/V67-1),"NA",(IF(Z67&lt;=0,"NM",Z67/V67-1)))</f>
        <v>0.77390615719659461</v>
      </c>
      <c r="AA68" s="198">
        <f t="shared" ref="AA68" si="126">IF(ISERROR(AA67/W67-1),"NA",(IF(AA67&lt;=0,"NM",AA67/W67-1)))</f>
        <v>0.7962787431981746</v>
      </c>
      <c r="AB68" s="752">
        <f t="shared" ref="AB68" si="127">IF(ISERROR(AB67/X67-1),"NA",(IF(AB67&lt;=0,"NM",AB67/X67-1)))</f>
        <v>0.71017822948887899</v>
      </c>
      <c r="AC68" s="264">
        <f t="shared" ref="AC68" si="128">IF(ISERROR(AC67/Y67-1),"NA",(IF(AC67&lt;=0,"NM",AC67/Y67-1)))</f>
        <v>0.67755879174599909</v>
      </c>
      <c r="AD68" s="264">
        <f t="shared" ref="AD68" si="129">IF(ISERROR(AD67/Z67-1),"NA",(IF(AD67&lt;=0,"NM",AD67/Z67-1)))</f>
        <v>0.68939732142857157</v>
      </c>
      <c r="AE68" s="264">
        <f t="shared" ref="AE68" si="130">IF(ISERROR(AE67/AA67-1),"NA",(IF(AE67&lt;=0,"NM",AE67/AA67-1)))</f>
        <v>0.66380675044462256</v>
      </c>
      <c r="AF68" s="264">
        <f t="shared" ref="AF68" si="131">IF(ISERROR(AF67/AB67-1),"NA",(IF(AF67&lt;=0,"NM",AF67/AB67-1)))</f>
        <v>0.60373458278784531</v>
      </c>
      <c r="AG68" s="751">
        <f t="shared" ref="AG68:BD68" si="132">IF(ISERROR(AG67/AC67-1),"NA",(IF(AG67&lt;=0,"NM",AG67/AC67-1)))</f>
        <v>0.59969325153374231</v>
      </c>
      <c r="AH68" s="198">
        <f t="shared" si="132"/>
        <v>0.49963665191253215</v>
      </c>
      <c r="AI68" s="198">
        <f t="shared" si="132"/>
        <v>0.43189399990602828</v>
      </c>
      <c r="AJ68" s="752">
        <f t="shared" si="132"/>
        <v>0.4146079484425349</v>
      </c>
      <c r="AK68" s="264">
        <f t="shared" si="132"/>
        <v>0.37104506232023016</v>
      </c>
      <c r="AL68" s="264">
        <f t="shared" si="132"/>
        <v>0.38061674008810553</v>
      </c>
      <c r="AM68" s="264">
        <f t="shared" si="132"/>
        <v>0.3863822805578343</v>
      </c>
      <c r="AN68" s="264">
        <f t="shared" si="132"/>
        <v>0.34016704631738803</v>
      </c>
      <c r="AO68" s="1373">
        <f t="shared" si="132"/>
        <v>0.2377622377622377</v>
      </c>
      <c r="AP68" s="264">
        <f t="shared" si="132"/>
        <v>0.19081046585832806</v>
      </c>
      <c r="AQ68" s="264">
        <f t="shared" si="132"/>
        <v>0.18106508875739635</v>
      </c>
      <c r="AR68" s="1242">
        <f t="shared" si="132"/>
        <v>0.18073654390934846</v>
      </c>
      <c r="AS68" s="264">
        <f t="shared" si="132"/>
        <v>0.19774011299435035</v>
      </c>
      <c r="AT68" s="198">
        <f t="shared" si="132"/>
        <v>0.17684887459807075</v>
      </c>
      <c r="AU68" s="198">
        <f t="shared" si="132"/>
        <v>0.17034068136272551</v>
      </c>
      <c r="AV68" s="752">
        <f t="shared" si="132"/>
        <v>0.16314779270633406</v>
      </c>
      <c r="AW68" s="264">
        <f t="shared" si="132"/>
        <v>0.15094339622641506</v>
      </c>
      <c r="AX68" s="198">
        <f t="shared" si="132"/>
        <v>0.14571948998178508</v>
      </c>
      <c r="AY68" s="198">
        <f t="shared" si="132"/>
        <v>0.13912671232876717</v>
      </c>
      <c r="AZ68" s="752">
        <f t="shared" si="132"/>
        <v>0.13201320132013183</v>
      </c>
      <c r="BA68" s="264">
        <f t="shared" si="132"/>
        <v>0.12704918032786883</v>
      </c>
      <c r="BB68" s="198">
        <f t="shared" si="132"/>
        <v>0.12321144674085871</v>
      </c>
      <c r="BC68" s="198">
        <f t="shared" si="132"/>
        <v>0.11461856444945506</v>
      </c>
      <c r="BD68" s="198">
        <f t="shared" si="132"/>
        <v>0.10932944606413986</v>
      </c>
      <c r="BE68" s="1242"/>
      <c r="BF68" s="751"/>
      <c r="BG68" s="198"/>
      <c r="BH68" s="198"/>
      <c r="BI68" s="198"/>
      <c r="BJ68" s="198" t="str">
        <f t="shared" ref="BJ68:BY68" si="133">IF(ISERROR(BJ67/BI67-1),"NA",(IF(BJ67&lt;=0,"NM",BJ67/BI67-1)))</f>
        <v>NA</v>
      </c>
      <c r="BK68" s="198">
        <f t="shared" si="133"/>
        <v>0.73207144761396958</v>
      </c>
      <c r="BL68" s="198">
        <f t="shared" si="133"/>
        <v>0.86681032271304681</v>
      </c>
      <c r="BM68" s="752">
        <f t="shared" si="133"/>
        <v>0.76702577914582548</v>
      </c>
      <c r="BN68" s="198">
        <f t="shared" si="133"/>
        <v>0.65444176581901115</v>
      </c>
      <c r="BO68" s="198">
        <f t="shared" si="133"/>
        <v>0.47720115192860324</v>
      </c>
      <c r="BP68" s="198">
        <f t="shared" si="133"/>
        <v>0.36868901145523969</v>
      </c>
      <c r="BQ68" s="198">
        <f t="shared" si="133"/>
        <v>0.19590824550526964</v>
      </c>
      <c r="BR68" s="198">
        <f t="shared" si="133"/>
        <v>0.17625712804561955</v>
      </c>
      <c r="BS68" s="198">
        <f t="shared" si="133"/>
        <v>0.14158219479947109</v>
      </c>
      <c r="BT68" s="198">
        <f t="shared" si="133"/>
        <v>0.11823183090435285</v>
      </c>
      <c r="BU68" s="198">
        <f t="shared" si="133"/>
        <v>0.1018470567926808</v>
      </c>
      <c r="BV68" s="198">
        <f t="shared" si="133"/>
        <v>8.9299702334325604E-2</v>
      </c>
      <c r="BW68" s="198">
        <f t="shared" si="133"/>
        <v>7.8383431612253807E-2</v>
      </c>
      <c r="BX68" s="198">
        <f t="shared" si="133"/>
        <v>6.9351827153907752E-2</v>
      </c>
      <c r="BY68" s="752">
        <f t="shared" si="133"/>
        <v>6.2359690695934056E-2</v>
      </c>
      <c r="BZ68" s="264"/>
      <c r="CA68" s="80"/>
      <c r="CB68" s="88"/>
      <c r="CC68" s="88"/>
      <c r="CD68" s="88"/>
      <c r="CE68" s="88"/>
      <c r="CF68" s="88"/>
      <c r="CG68" s="88"/>
    </row>
    <row r="69" spans="1:85" s="41" customFormat="1" ht="11.25" customHeight="1">
      <c r="A69" s="91"/>
      <c r="B69" s="91"/>
      <c r="C69" s="91"/>
      <c r="D69" s="91"/>
      <c r="E69" s="91"/>
      <c r="F69" s="91"/>
      <c r="G69" s="91"/>
      <c r="H69" s="1349"/>
      <c r="I69" s="773" t="s">
        <v>508</v>
      </c>
      <c r="J69" s="192"/>
      <c r="K69" s="331"/>
      <c r="L69" s="331"/>
      <c r="M69" s="289"/>
      <c r="N69" s="289"/>
      <c r="O69" s="289"/>
      <c r="P69" s="289"/>
      <c r="Q69" s="289"/>
      <c r="R69" s="289"/>
      <c r="S69" s="289"/>
      <c r="T69" s="1234"/>
      <c r="U69" s="289"/>
      <c r="V69" s="289"/>
      <c r="W69" s="289"/>
      <c r="X69" s="1234"/>
      <c r="Y69" s="359"/>
      <c r="Z69" s="359"/>
      <c r="AA69" s="359"/>
      <c r="AB69" s="843"/>
      <c r="AC69" s="359"/>
      <c r="AD69" s="359"/>
      <c r="AE69" s="359"/>
      <c r="AF69" s="843"/>
      <c r="AG69" s="359"/>
      <c r="AH69" s="359"/>
      <c r="AI69" s="359"/>
      <c r="AJ69" s="843"/>
      <c r="AK69" s="359"/>
      <c r="AL69" s="359"/>
      <c r="AM69" s="359"/>
      <c r="AN69" s="359"/>
      <c r="AO69" s="852">
        <f t="shared" ref="AO69:BD69" si="134">+AO68+AK68</f>
        <v>0.60880730008246786</v>
      </c>
      <c r="AP69" s="359">
        <f t="shared" si="134"/>
        <v>0.57142720594643359</v>
      </c>
      <c r="AQ69" s="359">
        <f t="shared" si="134"/>
        <v>0.56744736931523065</v>
      </c>
      <c r="AR69" s="843">
        <f t="shared" si="134"/>
        <v>0.52090359022673649</v>
      </c>
      <c r="AS69" s="359">
        <f t="shared" si="134"/>
        <v>0.43550235075658805</v>
      </c>
      <c r="AT69" s="359">
        <f t="shared" si="134"/>
        <v>0.36765934045639881</v>
      </c>
      <c r="AU69" s="359">
        <f t="shared" si="134"/>
        <v>0.35140577012012186</v>
      </c>
      <c r="AV69" s="843">
        <f t="shared" si="134"/>
        <v>0.34388433661568252</v>
      </c>
      <c r="AW69" s="359">
        <f t="shared" si="134"/>
        <v>0.34868350922076541</v>
      </c>
      <c r="AX69" s="359">
        <f t="shared" si="134"/>
        <v>0.32256836457985583</v>
      </c>
      <c r="AY69" s="359">
        <f t="shared" si="134"/>
        <v>0.30946739369149268</v>
      </c>
      <c r="AZ69" s="843">
        <f t="shared" si="134"/>
        <v>0.29516099402646589</v>
      </c>
      <c r="BA69" s="359">
        <f t="shared" si="134"/>
        <v>0.27799257655428389</v>
      </c>
      <c r="BB69" s="359">
        <f t="shared" si="134"/>
        <v>0.26893093672264379</v>
      </c>
      <c r="BC69" s="359">
        <f t="shared" si="134"/>
        <v>0.25374527677822223</v>
      </c>
      <c r="BD69" s="843">
        <f t="shared" si="134"/>
        <v>0.24134264738427169</v>
      </c>
      <c r="BE69" s="289"/>
      <c r="BF69" s="852"/>
      <c r="BG69" s="359"/>
      <c r="BH69" s="359"/>
      <c r="BI69" s="359"/>
      <c r="BJ69" s="359"/>
      <c r="BK69" s="359"/>
      <c r="BL69" s="359"/>
      <c r="BM69" s="359"/>
      <c r="BN69" s="852"/>
      <c r="BO69" s="359">
        <f t="shared" ref="BO69:BY69" si="135">+BO68+BN68</f>
        <v>1.1316429177476144</v>
      </c>
      <c r="BP69" s="359">
        <f t="shared" si="135"/>
        <v>0.84589016338384293</v>
      </c>
      <c r="BQ69" s="359">
        <f t="shared" si="135"/>
        <v>0.56459725696050933</v>
      </c>
      <c r="BR69" s="359">
        <f t="shared" si="135"/>
        <v>0.37216537355088919</v>
      </c>
      <c r="BS69" s="359">
        <f t="shared" si="135"/>
        <v>0.31783932284509064</v>
      </c>
      <c r="BT69" s="359">
        <f t="shared" si="135"/>
        <v>0.25981402570382395</v>
      </c>
      <c r="BU69" s="359">
        <f t="shared" si="135"/>
        <v>0.22007888769703365</v>
      </c>
      <c r="BV69" s="359">
        <f t="shared" si="135"/>
        <v>0.1911467591270064</v>
      </c>
      <c r="BW69" s="359">
        <f t="shared" si="135"/>
        <v>0.16768313394657941</v>
      </c>
      <c r="BX69" s="359">
        <f t="shared" si="135"/>
        <v>0.14773525876616156</v>
      </c>
      <c r="BY69" s="843">
        <f t="shared" si="135"/>
        <v>0.13171151784984181</v>
      </c>
      <c r="BZ69" s="289"/>
      <c r="CA69" s="98"/>
      <c r="CB69" s="205"/>
      <c r="CC69" s="205"/>
      <c r="CD69" s="205"/>
      <c r="CE69" s="205"/>
      <c r="CF69" s="205"/>
      <c r="CG69" s="205"/>
    </row>
    <row r="70" spans="1:85" ht="11.25" customHeight="1">
      <c r="A70" s="86"/>
      <c r="B70" s="86"/>
      <c r="C70" s="86"/>
      <c r="D70" s="86"/>
      <c r="E70" s="86"/>
      <c r="F70" s="86"/>
      <c r="G70" s="86"/>
      <c r="H70" s="328"/>
      <c r="I70" s="770" t="s">
        <v>146</v>
      </c>
      <c r="J70" s="193"/>
      <c r="K70" s="67"/>
      <c r="L70" s="67"/>
      <c r="M70" s="264"/>
      <c r="N70" s="264"/>
      <c r="O70" s="264"/>
      <c r="P70" s="264"/>
      <c r="Q70" s="264"/>
      <c r="R70" s="264"/>
      <c r="S70" s="264"/>
      <c r="T70" s="264"/>
      <c r="U70" s="1373"/>
      <c r="V70" s="264"/>
      <c r="W70" s="264"/>
      <c r="X70" s="1242"/>
      <c r="Y70" s="751">
        <f t="shared" ref="Y70" si="136">IF(ISERROR(Y67/X67-1),"NA",(IF(Y67&lt;=0,"NM",Y67/X67-1)))</f>
        <v>0.14496980409485927</v>
      </c>
      <c r="Z70" s="198">
        <f t="shared" ref="Z70" si="137">IF(ISERROR(Z67/Y67-1),"NA",(IF(Z67&lt;=0,"NM",Z67/Y67-1)))</f>
        <v>0.15267843359234279</v>
      </c>
      <c r="AA70" s="198">
        <f t="shared" ref="AA70" si="138">IF(ISERROR(AA67/Z67-1),"NA",(IF(AA67&lt;=0,"NM",AA67/Z67-1)))</f>
        <v>0.14212053571428584</v>
      </c>
      <c r="AB70" s="752">
        <f t="shared" ref="AB70" si="139">IF(ISERROR(AB67/AA67-1),"NA",(IF(AB67&lt;=0,"NM",AB67/AA67-1)))</f>
        <v>0.13455938397795442</v>
      </c>
      <c r="AC70" s="198">
        <f t="shared" ref="AC70" si="140">IF(ISERROR(AC67/AB67-1),"NA",(IF(AC67&lt;=0,"NM",AC67/AB67-1)))</f>
        <v>0.12313098601254047</v>
      </c>
      <c r="AD70" s="198">
        <f t="shared" ref="AD70" si="141">IF(ISERROR(AD67/AC67-1),"NA",(IF(AD67&lt;=0,"NM",AD67/AC67-1)))</f>
        <v>0.16081288343558287</v>
      </c>
      <c r="AE70" s="198">
        <f t="shared" ref="AE70" si="142">IF(ISERROR(AE67/AD67-1),"NA",(IF(AE67&lt;=0,"NM",AE67/AD67-1)))</f>
        <v>0.12481997753848195</v>
      </c>
      <c r="AF70" s="198">
        <f t="shared" ref="AF70" si="143">IF(ISERROR(AF67/AE67-1),"NA",(IF(AF67&lt;=0,"NM",AF67/AE67-1)))</f>
        <v>9.3595827655875485E-2</v>
      </c>
      <c r="AG70" s="751">
        <f t="shared" ref="AG70:BD70" si="144">IF(ISERROR(AG67/AF67-1),"NA",(IF(AG67&lt;=0,"NM",AG67/AF67-1)))</f>
        <v>0.12030075187969924</v>
      </c>
      <c r="AH70" s="198">
        <f t="shared" si="144"/>
        <v>8.8207094918504314E-2</v>
      </c>
      <c r="AI70" s="198">
        <f t="shared" si="144"/>
        <v>7.4008810572687267E-2</v>
      </c>
      <c r="AJ70" s="752">
        <f t="shared" si="144"/>
        <v>8.0393765381460147E-2</v>
      </c>
      <c r="AK70" s="198">
        <f t="shared" si="144"/>
        <v>8.5801063022019841E-2</v>
      </c>
      <c r="AL70" s="198">
        <f t="shared" si="144"/>
        <v>9.5804195804195746E-2</v>
      </c>
      <c r="AM70" s="198">
        <f t="shared" si="144"/>
        <v>7.8493937460115015E-2</v>
      </c>
      <c r="AN70" s="198">
        <f t="shared" si="144"/>
        <v>4.4378698224851965E-2</v>
      </c>
      <c r="AO70" s="751">
        <f t="shared" si="144"/>
        <v>2.8328611898016387E-3</v>
      </c>
      <c r="AP70" s="198">
        <f t="shared" si="144"/>
        <v>5.4237288135593253E-2</v>
      </c>
      <c r="AQ70" s="198">
        <f t="shared" si="144"/>
        <v>6.9667738478027763E-2</v>
      </c>
      <c r="AR70" s="752">
        <f t="shared" si="144"/>
        <v>4.4088176352705455E-2</v>
      </c>
      <c r="AS70" s="198">
        <f t="shared" si="144"/>
        <v>1.7274472168905985E-2</v>
      </c>
      <c r="AT70" s="198">
        <f t="shared" si="144"/>
        <v>3.5849056603773466E-2</v>
      </c>
      <c r="AU70" s="198">
        <f t="shared" si="144"/>
        <v>6.3752276867030888E-2</v>
      </c>
      <c r="AV70" s="752">
        <f t="shared" si="144"/>
        <v>3.7671232876712368E-2</v>
      </c>
      <c r="AW70" s="198">
        <f t="shared" si="144"/>
        <v>6.6006600660066805E-3</v>
      </c>
      <c r="AX70" s="198">
        <f t="shared" si="144"/>
        <v>3.1147540983606614E-2</v>
      </c>
      <c r="AY70" s="198">
        <f t="shared" si="144"/>
        <v>5.7631160572337192E-2</v>
      </c>
      <c r="AZ70" s="752">
        <f t="shared" si="144"/>
        <v>3.1191281473130328E-2</v>
      </c>
      <c r="BA70" s="198">
        <f t="shared" si="144"/>
        <v>2.1865889212828726E-3</v>
      </c>
      <c r="BB70" s="198">
        <f t="shared" si="144"/>
        <v>2.7636363636363681E-2</v>
      </c>
      <c r="BC70" s="198">
        <f t="shared" si="144"/>
        <v>4.9539985845718393E-2</v>
      </c>
      <c r="BD70" s="752">
        <f t="shared" si="144"/>
        <v>2.6298044504382778E-2</v>
      </c>
      <c r="BE70" s="264"/>
      <c r="BF70" s="631"/>
      <c r="BG70" s="67"/>
      <c r="BH70" s="67"/>
      <c r="BI70" s="67"/>
      <c r="BJ70" s="67"/>
      <c r="BK70" s="67"/>
      <c r="BL70" s="67"/>
      <c r="BM70" s="67"/>
      <c r="BN70" s="631"/>
      <c r="BO70" s="67"/>
      <c r="BP70" s="67"/>
      <c r="BQ70" s="194"/>
      <c r="BR70" s="194"/>
      <c r="BS70" s="194"/>
      <c r="BT70" s="194"/>
      <c r="BU70" s="194"/>
      <c r="BV70" s="194"/>
      <c r="BW70" s="194"/>
      <c r="BX70" s="194"/>
      <c r="BY70" s="753"/>
      <c r="BZ70" s="266"/>
      <c r="CA70" s="80"/>
      <c r="CB70" s="88"/>
      <c r="CC70" s="88"/>
      <c r="CD70" s="88"/>
      <c r="CE70" s="88"/>
      <c r="CF70" s="88"/>
      <c r="CG70" s="88"/>
    </row>
    <row r="71" spans="1:85" ht="11.25" customHeight="1">
      <c r="A71" s="86"/>
      <c r="B71" s="86"/>
      <c r="C71" s="86"/>
      <c r="D71" s="86"/>
      <c r="E71" s="86"/>
      <c r="F71" s="86"/>
      <c r="G71" s="86"/>
      <c r="H71" s="328"/>
      <c r="I71" s="770" t="s">
        <v>57</v>
      </c>
      <c r="J71" s="193"/>
      <c r="K71" s="67"/>
      <c r="L71" s="67"/>
      <c r="M71" s="264"/>
      <c r="N71" s="264"/>
      <c r="O71" s="264"/>
      <c r="P71" s="264"/>
      <c r="Q71" s="264"/>
      <c r="R71" s="264"/>
      <c r="S71" s="264"/>
      <c r="T71" s="264"/>
      <c r="U71" s="1373"/>
      <c r="V71" s="264"/>
      <c r="W71" s="264"/>
      <c r="X71" s="1242"/>
      <c r="Y71" s="751">
        <f t="shared" ref="Y71:AF71" si="145">Y67/Y$12</f>
        <v>0.84247718552879713</v>
      </c>
      <c r="Z71" s="198">
        <f t="shared" si="145"/>
        <v>0.81420496883121596</v>
      </c>
      <c r="AA71" s="198">
        <f t="shared" si="145"/>
        <v>0.83632173387162689</v>
      </c>
      <c r="AB71" s="752">
        <f t="shared" si="145"/>
        <v>0.82167272933150282</v>
      </c>
      <c r="AC71" s="198">
        <f t="shared" si="145"/>
        <v>0.85332495713743517</v>
      </c>
      <c r="AD71" s="198">
        <f t="shared" si="145"/>
        <v>0.85243335172941981</v>
      </c>
      <c r="AE71" s="198">
        <f t="shared" si="145"/>
        <v>0.83092089209897035</v>
      </c>
      <c r="AF71" s="198">
        <f t="shared" si="145"/>
        <v>0.84723397672154122</v>
      </c>
      <c r="AG71" s="751">
        <f t="shared" ref="AG71:BD71" si="146">AG67/AG$12</f>
        <v>0.93291592128801426</v>
      </c>
      <c r="AH71" s="198">
        <f t="shared" si="146"/>
        <v>0.9036624203821656</v>
      </c>
      <c r="AI71" s="198">
        <f t="shared" si="146"/>
        <v>0.90564635958395256</v>
      </c>
      <c r="AJ71" s="752">
        <f t="shared" si="146"/>
        <v>0.89775051124744376</v>
      </c>
      <c r="AK71" s="198">
        <f t="shared" si="146"/>
        <v>0.9015654454552906</v>
      </c>
      <c r="AL71" s="198">
        <f t="shared" si="146"/>
        <v>0.90354498696865548</v>
      </c>
      <c r="AM71" s="198">
        <f t="shared" si="146"/>
        <v>0.90747025215859789</v>
      </c>
      <c r="AN71" s="198">
        <f t="shared" si="146"/>
        <v>0.9060761001252593</v>
      </c>
      <c r="AO71" s="751">
        <f t="shared" si="146"/>
        <v>0.89700643108000588</v>
      </c>
      <c r="AP71" s="198">
        <f t="shared" si="146"/>
        <v>0.89340432051478469</v>
      </c>
      <c r="AQ71" s="198">
        <f t="shared" ref="AQ71:AR71" si="147">AQ67/AQ$12</f>
        <v>0.89756273046137247</v>
      </c>
      <c r="AR71" s="752">
        <f t="shared" si="147"/>
        <v>0.95488577110233408</v>
      </c>
      <c r="AS71" s="198">
        <f t="shared" si="146"/>
        <v>0.95840867992766732</v>
      </c>
      <c r="AT71" s="198">
        <f t="shared" si="146"/>
        <v>0.94900605012964556</v>
      </c>
      <c r="AU71" s="198">
        <f t="shared" si="146"/>
        <v>0.9419354838709677</v>
      </c>
      <c r="AV71" s="752">
        <f t="shared" si="146"/>
        <v>0.93446414803392452</v>
      </c>
      <c r="AW71" s="198">
        <f t="shared" si="146"/>
        <v>0.93058733790999237</v>
      </c>
      <c r="AX71" s="198">
        <f t="shared" si="146"/>
        <v>0.9284132841328413</v>
      </c>
      <c r="AY71" s="198">
        <f t="shared" si="146"/>
        <v>0.92782426778242677</v>
      </c>
      <c r="AZ71" s="752">
        <f t="shared" si="146"/>
        <v>0.92577597840755732</v>
      </c>
      <c r="BA71" s="198">
        <f t="shared" si="146"/>
        <v>0.92158176943699743</v>
      </c>
      <c r="BB71" s="198">
        <f t="shared" si="146"/>
        <v>0.91932335718932978</v>
      </c>
      <c r="BC71" s="198">
        <f t="shared" si="146"/>
        <v>0.9188351920693929</v>
      </c>
      <c r="BD71" s="752">
        <f t="shared" si="146"/>
        <v>0.91686746987951795</v>
      </c>
      <c r="BE71" s="1242"/>
      <c r="BF71" s="751"/>
      <c r="BG71" s="198"/>
      <c r="BH71" s="198"/>
      <c r="BI71" s="198"/>
      <c r="BJ71" s="198">
        <f t="shared" ref="BJ71:BY71" si="148">BJ67/BJ12</f>
        <v>0.70727619366868488</v>
      </c>
      <c r="BK71" s="198">
        <f t="shared" si="148"/>
        <v>0.70208320826079129</v>
      </c>
      <c r="BL71" s="198">
        <f t="shared" si="148"/>
        <v>0.79349548580317819</v>
      </c>
      <c r="BM71" s="752">
        <f t="shared" si="148"/>
        <v>0.82787525537795936</v>
      </c>
      <c r="BN71" s="198">
        <f t="shared" si="148"/>
        <v>0.84526243854890648</v>
      </c>
      <c r="BO71" s="198">
        <f t="shared" si="148"/>
        <v>0.90881048775785611</v>
      </c>
      <c r="BP71" s="198">
        <f t="shared" si="148"/>
        <v>0.90482127255567146</v>
      </c>
      <c r="BQ71" s="198">
        <f t="shared" si="148"/>
        <v>0.91118109901477662</v>
      </c>
      <c r="BR71" s="198">
        <f t="shared" si="148"/>
        <v>0.94541666666666668</v>
      </c>
      <c r="BS71" s="198">
        <f t="shared" si="148"/>
        <v>0.92807237549265476</v>
      </c>
      <c r="BT71" s="198">
        <f t="shared" si="148"/>
        <v>0.91908614945264155</v>
      </c>
      <c r="BU71" s="198">
        <f t="shared" si="148"/>
        <v>0.91146651435099246</v>
      </c>
      <c r="BV71" s="198">
        <f t="shared" si="148"/>
        <v>0.90439646201873047</v>
      </c>
      <c r="BW71" s="198">
        <f t="shared" si="148"/>
        <v>0.89764156590446542</v>
      </c>
      <c r="BX71" s="198">
        <f t="shared" si="148"/>
        <v>0.89108690820182257</v>
      </c>
      <c r="BY71" s="752">
        <f t="shared" si="148"/>
        <v>0.88471125882841706</v>
      </c>
      <c r="BZ71" s="264"/>
      <c r="CA71" s="80"/>
      <c r="CB71" s="88"/>
      <c r="CC71" s="88"/>
      <c r="CD71" s="88"/>
      <c r="CE71" s="88"/>
      <c r="CF71" s="88"/>
      <c r="CG71" s="88"/>
    </row>
    <row r="72" spans="1:85" s="41" customFormat="1" ht="11.25" customHeight="1">
      <c r="A72" s="91"/>
      <c r="B72" s="91"/>
      <c r="C72" s="91"/>
      <c r="D72" s="91"/>
      <c r="E72" s="91"/>
      <c r="F72" s="91"/>
      <c r="G72" s="91"/>
      <c r="H72" s="1349"/>
      <c r="I72" s="1059" t="s">
        <v>380</v>
      </c>
      <c r="J72" s="192"/>
      <c r="K72" s="331"/>
      <c r="L72" s="331"/>
      <c r="M72" s="289"/>
      <c r="N72" s="289"/>
      <c r="O72" s="289"/>
      <c r="P72" s="289"/>
      <c r="Q72" s="2296"/>
      <c r="R72" s="1251"/>
      <c r="S72" s="1251"/>
      <c r="T72" s="1251"/>
      <c r="U72" s="1936"/>
      <c r="V72" s="1251"/>
      <c r="W72" s="1251"/>
      <c r="X72" s="1258"/>
      <c r="Y72" s="2320"/>
      <c r="Z72" s="1736"/>
      <c r="AA72" s="1736"/>
      <c r="AB72" s="2321"/>
      <c r="AC72" s="2320">
        <f t="shared" ref="AC72" si="149">AC67-Y67</f>
        <v>26.334000000000003</v>
      </c>
      <c r="AD72" s="1736">
        <f t="shared" ref="AD72" si="150">AD67-Z67</f>
        <v>30.885000000000005</v>
      </c>
      <c r="AE72" s="1736">
        <f t="shared" ref="AE72" si="151">AE67-AA67</f>
        <v>33.965000000000003</v>
      </c>
      <c r="AF72" s="1736">
        <f t="shared" ref="AF72" si="152">AF67-AB67</f>
        <v>35.047999999999995</v>
      </c>
      <c r="AG72" s="2320">
        <f t="shared" ref="AG72" si="153">AG67-AC67</f>
        <v>39.099999999999994</v>
      </c>
      <c r="AH72" s="1736">
        <f t="shared" ref="AH72" si="154">AH67-AD67</f>
        <v>37.814999999999998</v>
      </c>
      <c r="AI72" s="1736">
        <f t="shared" ref="AI72" si="155">AI67-AE67</f>
        <v>36.768000000000001</v>
      </c>
      <c r="AJ72" s="1736">
        <f t="shared" ref="AJ72" si="156">AJ67-AF67</f>
        <v>38.599999999999994</v>
      </c>
      <c r="AK72" s="2320">
        <f t="shared" ref="AK72:AR72" si="157">AK67-AG67</f>
        <v>38.700000000000003</v>
      </c>
      <c r="AL72" s="1736">
        <f t="shared" si="157"/>
        <v>43.199999999999989</v>
      </c>
      <c r="AM72" s="1736">
        <f t="shared" si="157"/>
        <v>47.099999999999994</v>
      </c>
      <c r="AN72" s="1736">
        <f t="shared" si="157"/>
        <v>44.800000000000011</v>
      </c>
      <c r="AO72" s="2320">
        <f t="shared" si="157"/>
        <v>34</v>
      </c>
      <c r="AP72" s="1736">
        <f t="shared" si="157"/>
        <v>29.900000000000006</v>
      </c>
      <c r="AQ72" s="1736">
        <f t="shared" si="157"/>
        <v>30.599999999999994</v>
      </c>
      <c r="AR72" s="2446">
        <f t="shared" si="157"/>
        <v>31.900000000000006</v>
      </c>
      <c r="AS72" s="390">
        <v>35</v>
      </c>
      <c r="AT72" s="390">
        <v>33</v>
      </c>
      <c r="AU72" s="390">
        <v>34</v>
      </c>
      <c r="AV72" s="884">
        <v>34</v>
      </c>
      <c r="AW72" s="390">
        <v>32</v>
      </c>
      <c r="AX72" s="390">
        <v>32</v>
      </c>
      <c r="AY72" s="390">
        <v>32.5</v>
      </c>
      <c r="AZ72" s="884">
        <v>32</v>
      </c>
      <c r="BA72" s="390">
        <v>31</v>
      </c>
      <c r="BB72" s="390">
        <v>31</v>
      </c>
      <c r="BC72" s="390">
        <v>30.5</v>
      </c>
      <c r="BD72" s="884">
        <v>30</v>
      </c>
      <c r="BE72" s="2744"/>
      <c r="BF72" s="852"/>
      <c r="BG72" s="359"/>
      <c r="BH72" s="359"/>
      <c r="BI72" s="1736"/>
      <c r="BJ72" s="1736">
        <f t="shared" ref="BJ72:BT72" si="158">BJ67-BI67</f>
        <v>33.759</v>
      </c>
      <c r="BK72" s="1736">
        <f t="shared" si="158"/>
        <v>24.713999999999999</v>
      </c>
      <c r="BL72" s="1736">
        <f t="shared" si="158"/>
        <v>50.684999999999988</v>
      </c>
      <c r="BM72" s="2446">
        <f t="shared" si="158"/>
        <v>83.727000000000004</v>
      </c>
      <c r="BN72" s="1736">
        <f t="shared" si="158"/>
        <v>126.23199999999997</v>
      </c>
      <c r="BO72" s="1736">
        <f t="shared" si="158"/>
        <v>152.28300000000007</v>
      </c>
      <c r="BP72" s="1736">
        <f t="shared" si="158"/>
        <v>173.8</v>
      </c>
      <c r="BQ72" s="1736">
        <f t="shared" si="158"/>
        <v>126.39999999999998</v>
      </c>
      <c r="BR72" s="1736">
        <f t="shared" si="158"/>
        <v>136</v>
      </c>
      <c r="BS72" s="1736">
        <f t="shared" si="158"/>
        <v>128.49999999999989</v>
      </c>
      <c r="BT72" s="1736">
        <f t="shared" si="158"/>
        <v>122.5</v>
      </c>
      <c r="BU72" s="390">
        <v>118</v>
      </c>
      <c r="BV72" s="390">
        <v>114</v>
      </c>
      <c r="BW72" s="390">
        <v>109</v>
      </c>
      <c r="BX72" s="390">
        <v>104</v>
      </c>
      <c r="BY72" s="884">
        <v>100</v>
      </c>
      <c r="BZ72" s="289"/>
      <c r="CA72" s="98"/>
      <c r="CB72" s="205"/>
      <c r="CC72" s="205"/>
      <c r="CD72" s="205"/>
      <c r="CE72" s="205"/>
      <c r="CF72" s="205"/>
      <c r="CG72" s="205"/>
    </row>
    <row r="73" spans="1:85" ht="11.25" customHeight="1">
      <c r="A73" s="86"/>
      <c r="B73" s="86"/>
      <c r="C73" s="86"/>
      <c r="D73" s="86"/>
      <c r="E73" s="86"/>
      <c r="F73" s="86"/>
      <c r="G73" s="86"/>
      <c r="H73" s="328"/>
      <c r="I73" s="994" t="s">
        <v>377</v>
      </c>
      <c r="J73" s="193"/>
      <c r="K73" s="67"/>
      <c r="L73" s="67"/>
      <c r="M73" s="264"/>
      <c r="N73" s="1021"/>
      <c r="O73" s="901"/>
      <c r="P73" s="901"/>
      <c r="Q73" s="901"/>
      <c r="R73" s="901"/>
      <c r="S73" s="901"/>
      <c r="T73" s="901"/>
      <c r="U73" s="900"/>
      <c r="V73" s="901"/>
      <c r="W73" s="901"/>
      <c r="X73" s="902"/>
      <c r="Y73" s="912"/>
      <c r="Z73" s="911">
        <f t="shared" ref="Z73" si="159">Z67-Y67</f>
        <v>5.9339999999999975</v>
      </c>
      <c r="AA73" s="911">
        <f t="shared" ref="AA73" si="160">AA67-Z67</f>
        <v>6.3670000000000044</v>
      </c>
      <c r="AB73" s="913">
        <f t="shared" ref="AB73" si="161">AB67-AA67</f>
        <v>6.884999999999998</v>
      </c>
      <c r="AC73" s="911">
        <f t="shared" ref="AC73" si="162">AC67-AB67</f>
        <v>7.1480000000000032</v>
      </c>
      <c r="AD73" s="911">
        <f t="shared" ref="AD73" si="163">AD67-AC67</f>
        <v>10.484999999999999</v>
      </c>
      <c r="AE73" s="911">
        <f t="shared" ref="AE73" si="164">AE67-AD67</f>
        <v>9.4470000000000027</v>
      </c>
      <c r="AF73" s="913">
        <f t="shared" ref="AF73" si="165">AF67-AE67</f>
        <v>7.9679999999999893</v>
      </c>
      <c r="AG73" s="911">
        <f t="shared" ref="AG73:BD73" si="166">AG67-AF67</f>
        <v>11.200000000000003</v>
      </c>
      <c r="AH73" s="911">
        <f t="shared" si="166"/>
        <v>9.2000000000000028</v>
      </c>
      <c r="AI73" s="911">
        <f t="shared" si="166"/>
        <v>8.4000000000000057</v>
      </c>
      <c r="AJ73" s="913">
        <f t="shared" si="166"/>
        <v>9.7999999999999829</v>
      </c>
      <c r="AK73" s="911">
        <f t="shared" si="166"/>
        <v>11.300000000000011</v>
      </c>
      <c r="AL73" s="911">
        <f t="shared" si="166"/>
        <v>13.699999999999989</v>
      </c>
      <c r="AM73" s="911">
        <f t="shared" si="166"/>
        <v>12.300000000000011</v>
      </c>
      <c r="AN73" s="911">
        <f t="shared" si="166"/>
        <v>7.5</v>
      </c>
      <c r="AO73" s="912">
        <f t="shared" si="166"/>
        <v>0.5</v>
      </c>
      <c r="AP73" s="911">
        <f t="shared" si="166"/>
        <v>9.5999999999999943</v>
      </c>
      <c r="AQ73" s="911">
        <f t="shared" si="166"/>
        <v>13</v>
      </c>
      <c r="AR73" s="913">
        <f t="shared" si="166"/>
        <v>8.8000000000000114</v>
      </c>
      <c r="AS73" s="911">
        <f t="shared" si="166"/>
        <v>3.5999999999999943</v>
      </c>
      <c r="AT73" s="911">
        <f t="shared" si="166"/>
        <v>7.5999999999999943</v>
      </c>
      <c r="AU73" s="911">
        <f t="shared" si="166"/>
        <v>14</v>
      </c>
      <c r="AV73" s="913">
        <f t="shared" si="166"/>
        <v>8.8000000000000114</v>
      </c>
      <c r="AW73" s="911">
        <f t="shared" si="166"/>
        <v>1.5999999999999943</v>
      </c>
      <c r="AX73" s="911">
        <f t="shared" si="166"/>
        <v>7.5999999999999943</v>
      </c>
      <c r="AY73" s="911">
        <f t="shared" si="166"/>
        <v>14.500000000000028</v>
      </c>
      <c r="AZ73" s="913">
        <f t="shared" si="166"/>
        <v>8.2999999999999545</v>
      </c>
      <c r="BA73" s="911">
        <f t="shared" si="166"/>
        <v>0.60000000000002274</v>
      </c>
      <c r="BB73" s="911">
        <f t="shared" si="166"/>
        <v>7.6000000000000227</v>
      </c>
      <c r="BC73" s="911">
        <f t="shared" si="166"/>
        <v>14</v>
      </c>
      <c r="BD73" s="913">
        <f t="shared" si="166"/>
        <v>7.7999999999999545</v>
      </c>
      <c r="BE73" s="902"/>
      <c r="BF73" s="751"/>
      <c r="BG73" s="198"/>
      <c r="BH73" s="198"/>
      <c r="BI73" s="198"/>
      <c r="BJ73" s="198"/>
      <c r="BK73" s="198"/>
      <c r="BL73" s="198"/>
      <c r="BM73" s="752"/>
      <c r="BN73" s="198"/>
      <c r="BO73" s="198"/>
      <c r="BP73" s="1233"/>
      <c r="BQ73" s="1233"/>
      <c r="BR73" s="1233"/>
      <c r="BS73" s="1233"/>
      <c r="BT73" s="1233"/>
      <c r="BU73" s="1723"/>
      <c r="BV73" s="1723"/>
      <c r="BW73" s="1723"/>
      <c r="BX73" s="1723"/>
      <c r="BY73" s="2497"/>
      <c r="BZ73" s="264"/>
      <c r="CA73" s="80"/>
      <c r="CB73" s="88"/>
      <c r="CC73" s="88"/>
      <c r="CD73" s="88"/>
      <c r="CE73" s="88"/>
      <c r="CF73" s="88"/>
      <c r="CG73" s="88"/>
    </row>
    <row r="74" spans="1:85" ht="11.25" customHeight="1">
      <c r="A74" s="86"/>
      <c r="B74" s="86"/>
      <c r="C74" s="86"/>
      <c r="D74" s="86"/>
      <c r="E74" s="86"/>
      <c r="F74" s="86"/>
      <c r="G74" s="86"/>
      <c r="H74" s="328"/>
      <c r="I74" s="2886" t="s">
        <v>710</v>
      </c>
      <c r="J74" s="193"/>
      <c r="K74" s="67"/>
      <c r="L74" s="67"/>
      <c r="M74" s="264"/>
      <c r="N74" s="1021"/>
      <c r="O74" s="901"/>
      <c r="P74" s="901"/>
      <c r="Q74" s="901"/>
      <c r="R74" s="901"/>
      <c r="S74" s="901"/>
      <c r="T74" s="901"/>
      <c r="U74" s="901"/>
      <c r="V74" s="901"/>
      <c r="W74" s="901"/>
      <c r="X74" s="902"/>
      <c r="Y74" s="911"/>
      <c r="Z74" s="911"/>
      <c r="AA74" s="911"/>
      <c r="AB74" s="913"/>
      <c r="AC74" s="911"/>
      <c r="AD74" s="911"/>
      <c r="AE74" s="911"/>
      <c r="AF74" s="911"/>
      <c r="AG74" s="2882">
        <f t="shared" ref="AG74:AV74" si="167">AG243</f>
        <v>0.5704305701032466</v>
      </c>
      <c r="AH74" s="2882">
        <f t="shared" si="167"/>
        <v>0.4539160222810521</v>
      </c>
      <c r="AI74" s="2882">
        <f t="shared" si="167"/>
        <v>0.37426899747078535</v>
      </c>
      <c r="AJ74" s="2883">
        <f t="shared" si="167"/>
        <v>0.35077807759817636</v>
      </c>
      <c r="AK74" s="2882">
        <f t="shared" si="167"/>
        <v>0.31654389214104084</v>
      </c>
      <c r="AL74" s="2882">
        <f t="shared" si="167"/>
        <v>0.35109411797301426</v>
      </c>
      <c r="AM74" s="2882">
        <f t="shared" si="167"/>
        <v>0.35819661792895818</v>
      </c>
      <c r="AN74" s="2883">
        <f t="shared" si="167"/>
        <v>0.31449334811207419</v>
      </c>
      <c r="AO74" s="2882">
        <f t="shared" si="167"/>
        <v>0.21854730004794676</v>
      </c>
      <c r="AP74" s="2882">
        <f t="shared" si="167"/>
        <v>0.1601983716203248</v>
      </c>
      <c r="AQ74" s="2882">
        <f t="shared" si="167"/>
        <v>0.15502344607402985</v>
      </c>
      <c r="AR74" s="2883">
        <f t="shared" ref="AR74" si="168">AR243</f>
        <v>0.15767528328611902</v>
      </c>
      <c r="AS74" s="2882">
        <f t="shared" si="167"/>
        <v>0.18141933376392982</v>
      </c>
      <c r="AT74" s="2882">
        <f t="shared" si="167"/>
        <v>0.15945761820325943</v>
      </c>
      <c r="AU74" s="2882">
        <f t="shared" si="167"/>
        <v>0.15453671268265978</v>
      </c>
      <c r="AV74" s="2883">
        <f t="shared" si="167"/>
        <v>0.15086028247853123</v>
      </c>
      <c r="AW74" s="2884">
        <f t="shared" ref="AW74:BD74" si="169">AW243</f>
        <v>0.13803232804829935</v>
      </c>
      <c r="AX74" s="2884">
        <f t="shared" si="169"/>
        <v>0.13188619046849026</v>
      </c>
      <c r="AY74" s="2884">
        <f t="shared" si="169"/>
        <v>0.12449644634858181</v>
      </c>
      <c r="AZ74" s="2885">
        <f t="shared" si="169"/>
        <v>0.11639279441113115</v>
      </c>
      <c r="BA74" s="2884">
        <f t="shared" si="169"/>
        <v>0.11425492542632987</v>
      </c>
      <c r="BB74" s="2884">
        <f t="shared" si="169"/>
        <v>0.10973844036214953</v>
      </c>
      <c r="BC74" s="2884">
        <f t="shared" si="169"/>
        <v>0.10138472025604917</v>
      </c>
      <c r="BD74" s="2885">
        <f t="shared" si="169"/>
        <v>9.7141183039712642E-2</v>
      </c>
      <c r="BE74" s="902"/>
      <c r="BF74" s="751"/>
      <c r="BG74" s="198"/>
      <c r="BH74" s="198"/>
      <c r="BI74" s="198"/>
      <c r="BJ74" s="198"/>
      <c r="BK74" s="198"/>
      <c r="BL74" s="198"/>
      <c r="BM74" s="198"/>
      <c r="BN74" s="198"/>
      <c r="BO74" s="2884"/>
      <c r="BP74" s="2884">
        <f t="shared" ref="BP74:BY74" si="170">BP243</f>
        <v>0.33503567578226345</v>
      </c>
      <c r="BQ74" s="2884">
        <f t="shared" si="170"/>
        <v>0.17110245862654549</v>
      </c>
      <c r="BR74" s="2884">
        <f t="shared" si="170"/>
        <v>0.16094580297530658</v>
      </c>
      <c r="BS74" s="2884">
        <f t="shared" si="170"/>
        <v>0.12730447437486037</v>
      </c>
      <c r="BT74" s="2884">
        <f t="shared" si="170"/>
        <v>0.1053466724101666</v>
      </c>
      <c r="BU74" s="2884">
        <f t="shared" si="170"/>
        <v>7.8963630100693294E-2</v>
      </c>
      <c r="BV74" s="2884">
        <f t="shared" si="170"/>
        <v>6.8556188065510337E-2</v>
      </c>
      <c r="BW74" s="2884">
        <f t="shared" si="170"/>
        <v>6.0214898698583319E-2</v>
      </c>
      <c r="BX74" s="2884">
        <f t="shared" si="170"/>
        <v>5.4223436981632789E-2</v>
      </c>
      <c r="BY74" s="2885">
        <f t="shared" si="170"/>
        <v>5.0782697865338289E-2</v>
      </c>
      <c r="BZ74" s="264"/>
      <c r="CA74" s="80"/>
      <c r="CB74" s="88"/>
      <c r="CC74" s="88"/>
      <c r="CD74" s="88"/>
      <c r="CE74" s="88"/>
      <c r="CF74" s="88"/>
      <c r="CG74" s="88"/>
    </row>
    <row r="75" spans="1:85" ht="11.25" customHeight="1">
      <c r="A75" s="86"/>
      <c r="B75" s="86"/>
      <c r="C75" s="86"/>
      <c r="D75" s="86"/>
      <c r="E75" s="86"/>
      <c r="F75" s="86"/>
      <c r="G75" s="86"/>
      <c r="H75" s="328"/>
      <c r="I75" s="994"/>
      <c r="J75" s="193"/>
      <c r="K75" s="67"/>
      <c r="L75" s="67"/>
      <c r="M75" s="264"/>
      <c r="N75" s="1021"/>
      <c r="O75" s="901"/>
      <c r="P75" s="901"/>
      <c r="Q75" s="901"/>
      <c r="R75" s="901"/>
      <c r="S75" s="901"/>
      <c r="T75" s="902"/>
      <c r="U75" s="901"/>
      <c r="V75" s="901"/>
      <c r="W75" s="901"/>
      <c r="X75" s="902"/>
      <c r="Y75" s="901"/>
      <c r="Z75" s="425"/>
      <c r="AA75" s="264"/>
      <c r="AB75" s="1242"/>
      <c r="AC75" s="264"/>
      <c r="AD75" s="425"/>
      <c r="AE75" s="264"/>
      <c r="AF75" s="264"/>
      <c r="AG75" s="751"/>
      <c r="AH75" s="956"/>
      <c r="AI75" s="198"/>
      <c r="AJ75" s="913"/>
      <c r="AK75" s="911"/>
      <c r="AL75" s="911"/>
      <c r="AM75" s="911"/>
      <c r="AN75" s="911"/>
      <c r="AO75" s="912"/>
      <c r="AP75" s="911"/>
      <c r="AQ75" s="911"/>
      <c r="AR75" s="913"/>
      <c r="AS75" s="911"/>
      <c r="AT75" s="911"/>
      <c r="AU75" s="911"/>
      <c r="AV75" s="913"/>
      <c r="AW75" s="911"/>
      <c r="AX75" s="911"/>
      <c r="AY75" s="911"/>
      <c r="AZ75" s="911"/>
      <c r="BA75" s="912"/>
      <c r="BB75" s="911"/>
      <c r="BC75" s="911"/>
      <c r="BD75" s="913"/>
      <c r="BE75" s="902"/>
      <c r="BF75" s="751"/>
      <c r="BG75" s="198"/>
      <c r="BH75" s="198"/>
      <c r="BI75" s="198"/>
      <c r="BJ75" s="198"/>
      <c r="BK75" s="198"/>
      <c r="BL75" s="198"/>
      <c r="BM75" s="198"/>
      <c r="BN75" s="751"/>
      <c r="BO75" s="198"/>
      <c r="BP75" s="198"/>
      <c r="BQ75" s="198"/>
      <c r="BR75" s="198"/>
      <c r="BS75" s="198"/>
      <c r="BT75" s="198"/>
      <c r="BU75" s="198"/>
      <c r="BV75" s="198"/>
      <c r="BW75" s="198"/>
      <c r="BX75" s="198"/>
      <c r="BY75" s="752"/>
      <c r="BZ75" s="264"/>
      <c r="CA75" s="80"/>
      <c r="CB75" s="88"/>
      <c r="CC75" s="88"/>
      <c r="CD75" s="88"/>
      <c r="CE75" s="88"/>
      <c r="CF75" s="88"/>
      <c r="CG75" s="88"/>
    </row>
    <row r="76" spans="1:85" ht="11.25" customHeight="1">
      <c r="A76" s="86"/>
      <c r="B76" s="86"/>
      <c r="C76" s="86"/>
      <c r="D76" s="86"/>
      <c r="E76" s="86"/>
      <c r="F76" s="86"/>
      <c r="G76" s="86"/>
      <c r="H76" s="328"/>
      <c r="I76" s="138" t="s">
        <v>677</v>
      </c>
      <c r="J76" s="193"/>
      <c r="K76" s="67"/>
      <c r="L76" s="67"/>
      <c r="M76" s="409"/>
      <c r="N76" s="409"/>
      <c r="O76" s="409"/>
      <c r="P76" s="409"/>
      <c r="Q76" s="409"/>
      <c r="R76" s="409"/>
      <c r="S76" s="409"/>
      <c r="T76" s="466"/>
      <c r="U76" s="266"/>
      <c r="V76" s="266"/>
      <c r="W76" s="266"/>
      <c r="X76" s="731"/>
      <c r="Y76" s="2450"/>
      <c r="Z76" s="2450"/>
      <c r="AA76" s="2450"/>
      <c r="AB76" s="2451"/>
      <c r="AC76" s="2450"/>
      <c r="AD76" s="2450"/>
      <c r="AE76" s="2450"/>
      <c r="AF76" s="2450"/>
      <c r="AG76" s="792">
        <f t="shared" ref="AG76:BD76" si="171">AG67/AVERAGE(AF83,AG83)*1000/3</f>
        <v>390.63670411985021</v>
      </c>
      <c r="AH76" s="214">
        <f t="shared" si="171"/>
        <v>411.231884057971</v>
      </c>
      <c r="AI76" s="214">
        <f t="shared" si="171"/>
        <v>412.5211505922166</v>
      </c>
      <c r="AJ76" s="793">
        <f t="shared" si="171"/>
        <v>416.11374407582935</v>
      </c>
      <c r="AK76" s="214">
        <f t="shared" si="171"/>
        <v>418.12865497076018</v>
      </c>
      <c r="AL76" s="214">
        <f t="shared" si="171"/>
        <v>428.14207650273221</v>
      </c>
      <c r="AM76" s="214">
        <f t="shared" si="171"/>
        <v>438.39169909208817</v>
      </c>
      <c r="AN76" s="2450">
        <f t="shared" si="171"/>
        <v>440.69912609238446</v>
      </c>
      <c r="AO76" s="792">
        <f t="shared" si="171"/>
        <v>430.65693430656938</v>
      </c>
      <c r="AP76" s="214">
        <f t="shared" si="171"/>
        <v>434.20593368237343</v>
      </c>
      <c r="AQ76" s="214">
        <f t="shared" si="171"/>
        <v>439.88980716253445</v>
      </c>
      <c r="AR76" s="2451">
        <f t="shared" si="171"/>
        <v>436.89727463312369</v>
      </c>
      <c r="AS76" s="2450">
        <f t="shared" si="171"/>
        <v>426.98892245720043</v>
      </c>
      <c r="AT76" s="2450">
        <f t="shared" si="171"/>
        <v>429.32551319648087</v>
      </c>
      <c r="AU76" s="2450">
        <f t="shared" si="171"/>
        <v>441.17091595845136</v>
      </c>
      <c r="AV76" s="2451">
        <f t="shared" si="171"/>
        <v>440.32697547683921</v>
      </c>
      <c r="AW76" s="2450">
        <f t="shared" si="171"/>
        <v>429.76662263320122</v>
      </c>
      <c r="AX76" s="2450">
        <f t="shared" si="171"/>
        <v>432.8602150537634</v>
      </c>
      <c r="AY76" s="2450">
        <f t="shared" si="171"/>
        <v>445.39291990961596</v>
      </c>
      <c r="AZ76" s="2451">
        <f t="shared" si="171"/>
        <v>445.2015900056785</v>
      </c>
      <c r="BA76" s="2450">
        <f t="shared" si="171"/>
        <v>435.21266073194852</v>
      </c>
      <c r="BB76" s="2450">
        <f t="shared" si="171"/>
        <v>438.80284150459988</v>
      </c>
      <c r="BC76" s="2450">
        <f t="shared" si="171"/>
        <v>450.34580666712213</v>
      </c>
      <c r="BD76" s="2451">
        <f t="shared" si="171"/>
        <v>450.55245961087286</v>
      </c>
      <c r="BE76" s="731"/>
      <c r="BF76" s="631"/>
      <c r="BG76" s="67"/>
      <c r="BH76" s="67"/>
      <c r="BI76" s="67"/>
      <c r="BJ76" s="67"/>
      <c r="BK76" s="67"/>
      <c r="BL76" s="67"/>
      <c r="BM76" s="67"/>
      <c r="BN76" s="1232">
        <f t="shared" ref="BN76:BY76" si="172">BN67/AVERAGE(BM83,BN83)*1000/12</f>
        <v>260.71650326797385</v>
      </c>
      <c r="BO76" s="1233">
        <f t="shared" si="172"/>
        <v>372.35387045813587</v>
      </c>
      <c r="BP76" s="1233">
        <f t="shared" si="172"/>
        <v>440.71038251366122</v>
      </c>
      <c r="BQ76" s="1233">
        <f t="shared" si="172"/>
        <v>431.54362416107386</v>
      </c>
      <c r="BR76" s="1233">
        <f t="shared" si="172"/>
        <v>432.1904761904762</v>
      </c>
      <c r="BS76" s="1233">
        <f t="shared" si="172"/>
        <v>436.509942703067</v>
      </c>
      <c r="BT76" s="1880">
        <f t="shared" si="172"/>
        <v>442.24074752656651</v>
      </c>
      <c r="BU76" s="1880">
        <f t="shared" si="172"/>
        <v>449.27670884222726</v>
      </c>
      <c r="BV76" s="1880">
        <f t="shared" si="172"/>
        <v>457.29726203047602</v>
      </c>
      <c r="BW76" s="1880">
        <f t="shared" si="172"/>
        <v>465.65364083514879</v>
      </c>
      <c r="BX76" s="1880">
        <f t="shared" si="172"/>
        <v>474.16046855314539</v>
      </c>
      <c r="BY76" s="1881">
        <f t="shared" si="172"/>
        <v>482.96473693675529</v>
      </c>
      <c r="BZ76" s="266"/>
      <c r="CA76" s="80"/>
      <c r="CB76" s="88"/>
      <c r="CC76" s="88"/>
      <c r="CD76" s="88"/>
      <c r="CE76" s="88"/>
      <c r="CF76" s="88"/>
      <c r="CG76" s="88"/>
    </row>
    <row r="77" spans="1:85" s="41" customFormat="1" ht="11.25" customHeight="1">
      <c r="A77" s="91"/>
      <c r="B77" s="91"/>
      <c r="C77" s="91"/>
      <c r="D77" s="91"/>
      <c r="E77" s="91"/>
      <c r="F77" s="91"/>
      <c r="G77" s="91"/>
      <c r="H77" s="1349"/>
      <c r="I77" s="2398" t="s">
        <v>132</v>
      </c>
      <c r="J77" s="192"/>
      <c r="K77" s="331"/>
      <c r="L77" s="331"/>
      <c r="M77" s="431"/>
      <c r="N77" s="431"/>
      <c r="O77" s="431"/>
      <c r="P77" s="431"/>
      <c r="Q77" s="431"/>
      <c r="R77" s="431"/>
      <c r="S77" s="431"/>
      <c r="T77" s="730"/>
      <c r="U77" s="274"/>
      <c r="V77" s="274"/>
      <c r="W77" s="274"/>
      <c r="X77" s="2454"/>
      <c r="Y77" s="289"/>
      <c r="Z77" s="289"/>
      <c r="AA77" s="289"/>
      <c r="AB77" s="1234"/>
      <c r="AC77" s="289"/>
      <c r="AD77" s="289"/>
      <c r="AE77" s="289"/>
      <c r="AF77" s="289"/>
      <c r="AG77" s="852" t="str">
        <f t="shared" ref="AG77:BD77" si="173">IF(ISERROR(AG76/AC76-1),"NA",(IF(AG76&lt;=0,"NM",AG76/AC76-1)))</f>
        <v>NA</v>
      </c>
      <c r="AH77" s="289" t="str">
        <f t="shared" si="173"/>
        <v>NA</v>
      </c>
      <c r="AI77" s="289" t="str">
        <f t="shared" si="173"/>
        <v>NA</v>
      </c>
      <c r="AJ77" s="359" t="str">
        <f t="shared" si="173"/>
        <v>NA</v>
      </c>
      <c r="AK77" s="852">
        <f t="shared" si="173"/>
        <v>7.0377285495617947E-2</v>
      </c>
      <c r="AL77" s="359">
        <f t="shared" si="173"/>
        <v>4.1120820394309199E-2</v>
      </c>
      <c r="AM77" s="359">
        <f t="shared" si="173"/>
        <v>6.2713265641608285E-2</v>
      </c>
      <c r="AN77" s="289">
        <f t="shared" si="173"/>
        <v>5.9083321247074272E-2</v>
      </c>
      <c r="AO77" s="852">
        <f t="shared" si="173"/>
        <v>2.9962737991935384E-2</v>
      </c>
      <c r="AP77" s="359">
        <f t="shared" si="173"/>
        <v>1.4163189073061133E-2</v>
      </c>
      <c r="AQ77" s="359">
        <f t="shared" si="173"/>
        <v>3.4172820186806341E-3</v>
      </c>
      <c r="AR77" s="1234">
        <f t="shared" si="173"/>
        <v>-8.6268640761130166E-3</v>
      </c>
      <c r="AS77" s="289">
        <f t="shared" si="173"/>
        <v>-8.517247853619403E-3</v>
      </c>
      <c r="AT77" s="289">
        <f t="shared" si="173"/>
        <v>-1.1239875154406942E-2</v>
      </c>
      <c r="AU77" s="289">
        <f t="shared" si="173"/>
        <v>2.9123402612589722E-3</v>
      </c>
      <c r="AV77" s="1234">
        <f t="shared" si="173"/>
        <v>7.8501310098479937E-3</v>
      </c>
      <c r="AW77" s="289">
        <f t="shared" si="173"/>
        <v>6.5053214027566142E-3</v>
      </c>
      <c r="AX77" s="289">
        <f t="shared" si="173"/>
        <v>8.2331511839708327E-3</v>
      </c>
      <c r="AY77" s="289">
        <f t="shared" si="173"/>
        <v>9.5699961136201939E-3</v>
      </c>
      <c r="AZ77" s="1234">
        <f t="shared" si="173"/>
        <v>1.1070442649034673E-2</v>
      </c>
      <c r="BA77" s="289">
        <f t="shared" si="173"/>
        <v>1.2672082502310555E-2</v>
      </c>
      <c r="BB77" s="289">
        <f t="shared" si="173"/>
        <v>1.3728742545901174E-2</v>
      </c>
      <c r="BC77" s="289">
        <f t="shared" si="173"/>
        <v>1.1120263785314055E-2</v>
      </c>
      <c r="BD77" s="1234">
        <f t="shared" si="173"/>
        <v>1.2018981345340851E-2</v>
      </c>
      <c r="BE77" s="2454"/>
      <c r="BF77" s="658"/>
      <c r="BG77" s="331"/>
      <c r="BH77" s="331"/>
      <c r="BI77" s="331"/>
      <c r="BJ77" s="331"/>
      <c r="BK77" s="331"/>
      <c r="BL77" s="331"/>
      <c r="BM77" s="331"/>
      <c r="BN77" s="852"/>
      <c r="BO77" s="359">
        <f t="shared" ref="BO77:BY77" si="174">IF(ISERROR(BO76/BN76-1),"NA",(IF(BO76&lt;=0,"NM",BO76/BN76-1)))</f>
        <v>0.4281944786418721</v>
      </c>
      <c r="BP77" s="359">
        <f t="shared" si="174"/>
        <v>0.18357943203711313</v>
      </c>
      <c r="BQ77" s="359">
        <f t="shared" si="174"/>
        <v>-2.0799960056087863E-2</v>
      </c>
      <c r="BR77" s="359">
        <f t="shared" si="174"/>
        <v>1.498926164555936E-3</v>
      </c>
      <c r="BS77" s="359">
        <f t="shared" si="174"/>
        <v>9.9943583918473688E-3</v>
      </c>
      <c r="BT77" s="289">
        <f t="shared" si="174"/>
        <v>1.3128692528769914E-2</v>
      </c>
      <c r="BU77" s="289">
        <f t="shared" si="174"/>
        <v>1.5909798803056097E-2</v>
      </c>
      <c r="BV77" s="289">
        <f t="shared" si="174"/>
        <v>1.7852145527235352E-2</v>
      </c>
      <c r="BW77" s="289">
        <f t="shared" si="174"/>
        <v>1.8273406596770458E-2</v>
      </c>
      <c r="BX77" s="289">
        <f t="shared" si="174"/>
        <v>1.8268573403054766E-2</v>
      </c>
      <c r="BY77" s="1234">
        <f t="shared" si="174"/>
        <v>1.8568119798082927E-2</v>
      </c>
      <c r="BZ77" s="274"/>
      <c r="CA77" s="98"/>
      <c r="CB77" s="205"/>
      <c r="CC77" s="205"/>
      <c r="CD77" s="205"/>
      <c r="CE77" s="205"/>
      <c r="CF77" s="205"/>
      <c r="CG77" s="205"/>
    </row>
    <row r="78" spans="1:85" ht="11.25" customHeight="1">
      <c r="A78" s="86"/>
      <c r="B78" s="86"/>
      <c r="C78" s="86"/>
      <c r="D78" s="86"/>
      <c r="E78" s="86"/>
      <c r="F78" s="86"/>
      <c r="G78" s="86"/>
      <c r="H78" s="328"/>
      <c r="I78" s="770" t="s">
        <v>508</v>
      </c>
      <c r="J78" s="193"/>
      <c r="K78" s="67"/>
      <c r="L78" s="67"/>
      <c r="M78" s="264"/>
      <c r="N78" s="264"/>
      <c r="O78" s="264"/>
      <c r="P78" s="264"/>
      <c r="Q78" s="264"/>
      <c r="R78" s="264"/>
      <c r="S78" s="264"/>
      <c r="T78" s="1242"/>
      <c r="U78" s="264"/>
      <c r="V78" s="264"/>
      <c r="W78" s="264"/>
      <c r="X78" s="1242"/>
      <c r="Y78" s="264"/>
      <c r="Z78" s="264"/>
      <c r="AA78" s="264"/>
      <c r="AB78" s="1242"/>
      <c r="AC78" s="264"/>
      <c r="AD78" s="264"/>
      <c r="AE78" s="264"/>
      <c r="AF78" s="1242"/>
      <c r="AG78" s="264"/>
      <c r="AH78" s="264"/>
      <c r="AI78" s="264"/>
      <c r="AJ78" s="264"/>
      <c r="AK78" s="1373"/>
      <c r="AL78" s="264"/>
      <c r="AM78" s="264"/>
      <c r="AN78" s="264"/>
      <c r="AO78" s="1373">
        <f t="shared" ref="AO78:BD78" si="175">+AO77+AK77</f>
        <v>0.10034002348755333</v>
      </c>
      <c r="AP78" s="264">
        <f t="shared" si="175"/>
        <v>5.5284009467370332E-2</v>
      </c>
      <c r="AQ78" s="264">
        <f t="shared" si="175"/>
        <v>6.6130547660288919E-2</v>
      </c>
      <c r="AR78" s="1242"/>
      <c r="AS78" s="198">
        <f t="shared" si="175"/>
        <v>2.1445490138315981E-2</v>
      </c>
      <c r="AT78" s="198">
        <f t="shared" si="175"/>
        <v>2.9233139186541912E-3</v>
      </c>
      <c r="AU78" s="198">
        <f t="shared" si="175"/>
        <v>6.3296222799396062E-3</v>
      </c>
      <c r="AV78" s="752">
        <f t="shared" si="175"/>
        <v>-7.7673306626502292E-4</v>
      </c>
      <c r="AW78" s="198">
        <f t="shared" si="175"/>
        <v>-2.0119264508627888E-3</v>
      </c>
      <c r="AX78" s="198">
        <f t="shared" si="175"/>
        <v>-3.0067239704361093E-3</v>
      </c>
      <c r="AY78" s="198">
        <f t="shared" si="175"/>
        <v>1.2482336374879166E-2</v>
      </c>
      <c r="AZ78" s="752">
        <f t="shared" si="175"/>
        <v>1.8920573658882667E-2</v>
      </c>
      <c r="BA78" s="1740">
        <f t="shared" si="175"/>
        <v>1.917740390506717E-2</v>
      </c>
      <c r="BB78" s="198">
        <f t="shared" si="175"/>
        <v>2.1961893729872006E-2</v>
      </c>
      <c r="BC78" s="198">
        <f t="shared" si="175"/>
        <v>2.0690259898934249E-2</v>
      </c>
      <c r="BD78" s="752">
        <f t="shared" si="175"/>
        <v>2.3089423994375524E-2</v>
      </c>
      <c r="BE78" s="1242"/>
      <c r="BF78" s="751"/>
      <c r="BG78" s="198"/>
      <c r="BH78" s="198"/>
      <c r="BI78" s="198"/>
      <c r="BJ78" s="198"/>
      <c r="BK78" s="198"/>
      <c r="BL78" s="198"/>
      <c r="BM78" s="198"/>
      <c r="BN78" s="751"/>
      <c r="BO78" s="198"/>
      <c r="BP78" s="198"/>
      <c r="BQ78" s="198">
        <f t="shared" ref="BQ78:BY78" si="176">+BQ77+BP77</f>
        <v>0.16277947198102527</v>
      </c>
      <c r="BR78" s="198">
        <f t="shared" si="176"/>
        <v>-1.9301033891531927E-2</v>
      </c>
      <c r="BS78" s="198">
        <f t="shared" si="176"/>
        <v>1.1493284556403305E-2</v>
      </c>
      <c r="BT78" s="264">
        <f t="shared" si="176"/>
        <v>2.3123050920617283E-2</v>
      </c>
      <c r="BU78" s="264">
        <f t="shared" si="176"/>
        <v>2.9038491331826011E-2</v>
      </c>
      <c r="BV78" s="264">
        <f t="shared" si="176"/>
        <v>3.3761944330291449E-2</v>
      </c>
      <c r="BW78" s="264">
        <f t="shared" si="176"/>
        <v>3.6125552124005811E-2</v>
      </c>
      <c r="BX78" s="264">
        <f t="shared" si="176"/>
        <v>3.6541979999825225E-2</v>
      </c>
      <c r="BY78" s="1242">
        <f t="shared" si="176"/>
        <v>3.6836693201137694E-2</v>
      </c>
      <c r="BZ78" s="264"/>
      <c r="CA78" s="80"/>
      <c r="CB78" s="88"/>
      <c r="CC78" s="88"/>
      <c r="CD78" s="88"/>
      <c r="CE78" s="88"/>
      <c r="CF78" s="88"/>
      <c r="CG78" s="88"/>
    </row>
    <row r="79" spans="1:85" ht="11.25" customHeight="1">
      <c r="A79" s="86"/>
      <c r="B79" s="86"/>
      <c r="C79" s="86"/>
      <c r="D79" s="86"/>
      <c r="E79" s="86"/>
      <c r="F79" s="86"/>
      <c r="G79" s="86"/>
      <c r="H79" s="328"/>
      <c r="I79" s="653" t="s">
        <v>146</v>
      </c>
      <c r="J79" s="193"/>
      <c r="K79" s="67"/>
      <c r="L79" s="67"/>
      <c r="M79" s="409"/>
      <c r="N79" s="409"/>
      <c r="O79" s="409"/>
      <c r="P79" s="409"/>
      <c r="Q79" s="409"/>
      <c r="R79" s="409"/>
      <c r="S79" s="409"/>
      <c r="T79" s="466"/>
      <c r="U79" s="266"/>
      <c r="V79" s="266"/>
      <c r="W79" s="266"/>
      <c r="X79" s="731"/>
      <c r="Y79" s="264"/>
      <c r="Z79" s="264"/>
      <c r="AA79" s="264"/>
      <c r="AB79" s="1242"/>
      <c r="AC79" s="264"/>
      <c r="AD79" s="264"/>
      <c r="AE79" s="264"/>
      <c r="AF79" s="264"/>
      <c r="AG79" s="751" t="str">
        <f t="shared" ref="AG79:BD79" si="177">IF(ISERROR(AG76/AF76-1),"NA",(IF(AG76&lt;=0,"NM",AG76/AF76-1)))</f>
        <v>NA</v>
      </c>
      <c r="AH79" s="264">
        <f t="shared" si="177"/>
        <v>5.2722080953770289E-2</v>
      </c>
      <c r="AI79" s="264">
        <f t="shared" si="177"/>
        <v>3.1351327176367683E-3</v>
      </c>
      <c r="AJ79" s="198">
        <f t="shared" si="177"/>
        <v>8.7088709959604049E-3</v>
      </c>
      <c r="AK79" s="751">
        <f t="shared" si="177"/>
        <v>4.8422118317814622E-3</v>
      </c>
      <c r="AL79" s="198">
        <f t="shared" si="177"/>
        <v>2.3948182964576459E-2</v>
      </c>
      <c r="AM79" s="198">
        <f t="shared" si="177"/>
        <v>2.3939769417385293E-2</v>
      </c>
      <c r="AN79" s="198">
        <f t="shared" si="177"/>
        <v>5.2633911752320017E-3</v>
      </c>
      <c r="AO79" s="751">
        <f t="shared" si="177"/>
        <v>-2.278695643183537E-2</v>
      </c>
      <c r="AP79" s="198">
        <f t="shared" si="177"/>
        <v>8.240896855680635E-3</v>
      </c>
      <c r="AQ79" s="198">
        <f t="shared" si="177"/>
        <v>1.3090271318859648E-2</v>
      </c>
      <c r="AR79" s="752">
        <f t="shared" si="177"/>
        <v>-6.8029140041089287E-3</v>
      </c>
      <c r="AS79" s="198">
        <f t="shared" si="177"/>
        <v>-2.2678905892108414E-2</v>
      </c>
      <c r="AT79" s="198">
        <f t="shared" si="177"/>
        <v>5.4722514247771414E-3</v>
      </c>
      <c r="AU79" s="198">
        <f t="shared" si="177"/>
        <v>2.7590726378633468E-2</v>
      </c>
      <c r="AV79" s="752">
        <f t="shared" si="177"/>
        <v>-1.9129558433802485E-3</v>
      </c>
      <c r="AW79" s="198">
        <f t="shared" si="177"/>
        <v>-2.3982979539697635E-2</v>
      </c>
      <c r="AX79" s="198">
        <f t="shared" si="177"/>
        <v>7.1983077736645917E-3</v>
      </c>
      <c r="AY79" s="198">
        <f t="shared" si="177"/>
        <v>2.89532380662334E-2</v>
      </c>
      <c r="AZ79" s="752">
        <f t="shared" si="177"/>
        <v>-4.2957553967470918E-4</v>
      </c>
      <c r="BA79" s="1740">
        <f t="shared" si="177"/>
        <v>-2.2436867922242976E-2</v>
      </c>
      <c r="BB79" s="198">
        <f t="shared" si="177"/>
        <v>8.2492562753420096E-3</v>
      </c>
      <c r="BC79" s="198">
        <f t="shared" si="177"/>
        <v>2.6305584355249101E-2</v>
      </c>
      <c r="BD79" s="752">
        <f t="shared" si="177"/>
        <v>4.588761362742666E-4</v>
      </c>
      <c r="BE79" s="731"/>
      <c r="BF79" s="631"/>
      <c r="BG79" s="67"/>
      <c r="BH79" s="67"/>
      <c r="BI79" s="67"/>
      <c r="BJ79" s="67"/>
      <c r="BK79" s="67"/>
      <c r="BL79" s="67"/>
      <c r="BM79" s="67"/>
      <c r="BN79" s="754"/>
      <c r="BO79" s="194"/>
      <c r="BP79" s="194"/>
      <c r="BQ79" s="194"/>
      <c r="BR79" s="194"/>
      <c r="BS79" s="194"/>
      <c r="BT79" s="194"/>
      <c r="BU79" s="194"/>
      <c r="BV79" s="194"/>
      <c r="BW79" s="194"/>
      <c r="BX79" s="194"/>
      <c r="BY79" s="753"/>
      <c r="BZ79" s="266"/>
      <c r="CA79" s="80"/>
      <c r="CB79" s="88"/>
      <c r="CC79" s="88"/>
      <c r="CD79" s="88"/>
      <c r="CE79" s="88"/>
      <c r="CF79" s="88"/>
      <c r="CG79" s="88"/>
    </row>
    <row r="80" spans="1:85" ht="11.25" customHeight="1">
      <c r="A80" s="86"/>
      <c r="B80" s="86"/>
      <c r="C80" s="86"/>
      <c r="D80" s="86"/>
      <c r="E80" s="86"/>
      <c r="F80" s="86"/>
      <c r="G80" s="86"/>
      <c r="H80" s="328"/>
      <c r="I80" s="994" t="s">
        <v>380</v>
      </c>
      <c r="J80" s="193"/>
      <c r="K80" s="67"/>
      <c r="L80" s="67"/>
      <c r="M80" s="409"/>
      <c r="N80" s="409"/>
      <c r="O80" s="409"/>
      <c r="P80" s="409"/>
      <c r="Q80" s="409"/>
      <c r="R80" s="409"/>
      <c r="S80" s="409"/>
      <c r="T80" s="466"/>
      <c r="U80" s="266"/>
      <c r="V80" s="266"/>
      <c r="W80" s="266"/>
      <c r="X80" s="731"/>
      <c r="Y80" s="950"/>
      <c r="Z80" s="950"/>
      <c r="AA80" s="950"/>
      <c r="AB80" s="952"/>
      <c r="AC80" s="950"/>
      <c r="AD80" s="950"/>
      <c r="AE80" s="950"/>
      <c r="AF80" s="950"/>
      <c r="AG80" s="951">
        <f t="shared" ref="AG80:BD80" si="178">AG76-AC76</f>
        <v>390.63670411985021</v>
      </c>
      <c r="AH80" s="950">
        <f t="shared" si="178"/>
        <v>411.231884057971</v>
      </c>
      <c r="AI80" s="950">
        <f t="shared" si="178"/>
        <v>412.5211505922166</v>
      </c>
      <c r="AJ80" s="950">
        <f t="shared" si="178"/>
        <v>416.11374407582935</v>
      </c>
      <c r="AK80" s="951">
        <f t="shared" si="178"/>
        <v>27.491950850909973</v>
      </c>
      <c r="AL80" s="950">
        <f t="shared" si="178"/>
        <v>16.910192444761208</v>
      </c>
      <c r="AM80" s="950">
        <f t="shared" si="178"/>
        <v>25.870548499871575</v>
      </c>
      <c r="AN80" s="950">
        <f t="shared" si="178"/>
        <v>24.585382016555116</v>
      </c>
      <c r="AO80" s="951">
        <f t="shared" si="178"/>
        <v>12.528279335809202</v>
      </c>
      <c r="AP80" s="950">
        <f t="shared" si="178"/>
        <v>6.063857179641218</v>
      </c>
      <c r="AQ80" s="950">
        <f t="shared" si="178"/>
        <v>1.4981080704462784</v>
      </c>
      <c r="AR80" s="952">
        <f t="shared" si="178"/>
        <v>-3.8018514592607744</v>
      </c>
      <c r="AS80" s="950">
        <f t="shared" si="178"/>
        <v>-3.668011849368952</v>
      </c>
      <c r="AT80" s="950">
        <f t="shared" si="178"/>
        <v>-4.8804204858925573</v>
      </c>
      <c r="AU80" s="950">
        <f t="shared" si="178"/>
        <v>1.2811087959169072</v>
      </c>
      <c r="AV80" s="952">
        <f t="shared" si="178"/>
        <v>3.4297008437155228</v>
      </c>
      <c r="AW80" s="950">
        <f t="shared" si="178"/>
        <v>2.777700176000792</v>
      </c>
      <c r="AX80" s="950">
        <f t="shared" si="178"/>
        <v>3.5347018572825277</v>
      </c>
      <c r="AY80" s="950">
        <f t="shared" si="178"/>
        <v>4.222003951164595</v>
      </c>
      <c r="AZ80" s="952">
        <f t="shared" si="178"/>
        <v>4.8746145288392881</v>
      </c>
      <c r="BA80" s="950">
        <f t="shared" si="178"/>
        <v>5.4460380987472945</v>
      </c>
      <c r="BB80" s="950">
        <f t="shared" si="178"/>
        <v>5.9426264508364852</v>
      </c>
      <c r="BC80" s="950">
        <f t="shared" si="178"/>
        <v>4.9528867575061781</v>
      </c>
      <c r="BD80" s="952">
        <f t="shared" si="178"/>
        <v>5.3508696051943616</v>
      </c>
      <c r="BE80" s="266"/>
      <c r="BF80" s="631"/>
      <c r="BG80" s="67"/>
      <c r="BH80" s="67"/>
      <c r="BI80" s="67"/>
      <c r="BJ80" s="67"/>
      <c r="BK80" s="67"/>
      <c r="BL80" s="67"/>
      <c r="BM80" s="67"/>
      <c r="BN80" s="949">
        <f t="shared" ref="BN80:BY80" si="179">BN76-BM76</f>
        <v>260.71650326797385</v>
      </c>
      <c r="BO80" s="948">
        <f t="shared" si="179"/>
        <v>111.63736719016202</v>
      </c>
      <c r="BP80" s="948">
        <f t="shared" si="179"/>
        <v>68.356512055525343</v>
      </c>
      <c r="BQ80" s="948">
        <f t="shared" si="179"/>
        <v>-9.1667583525873511</v>
      </c>
      <c r="BR80" s="948">
        <f t="shared" si="179"/>
        <v>0.64685202940233921</v>
      </c>
      <c r="BS80" s="948">
        <f t="shared" si="179"/>
        <v>4.3194665125907932</v>
      </c>
      <c r="BT80" s="948">
        <f t="shared" si="179"/>
        <v>5.7308048234995113</v>
      </c>
      <c r="BU80" s="948">
        <f t="shared" si="179"/>
        <v>7.0359613156607566</v>
      </c>
      <c r="BV80" s="948">
        <f t="shared" si="179"/>
        <v>8.0205531882487549</v>
      </c>
      <c r="BW80" s="948">
        <f t="shared" si="179"/>
        <v>8.3563788046727723</v>
      </c>
      <c r="BX80" s="948">
        <f t="shared" si="179"/>
        <v>8.5068277179966003</v>
      </c>
      <c r="BY80" s="953">
        <f t="shared" si="179"/>
        <v>8.8042683836098945</v>
      </c>
      <c r="BZ80" s="266"/>
      <c r="CA80" s="80"/>
      <c r="CB80" s="88"/>
      <c r="CC80" s="88"/>
      <c r="CD80" s="88"/>
      <c r="CE80" s="88"/>
      <c r="CF80" s="88"/>
      <c r="CG80" s="88"/>
    </row>
    <row r="81" spans="1:85" ht="11.25" customHeight="1">
      <c r="A81" s="86"/>
      <c r="B81" s="86"/>
      <c r="C81" s="86"/>
      <c r="D81" s="86"/>
      <c r="E81" s="86"/>
      <c r="F81" s="86"/>
      <c r="G81" s="86"/>
      <c r="H81" s="328"/>
      <c r="I81" s="994" t="s">
        <v>377</v>
      </c>
      <c r="J81" s="193"/>
      <c r="K81" s="67"/>
      <c r="L81" s="67"/>
      <c r="M81" s="409"/>
      <c r="N81" s="409"/>
      <c r="O81" s="409"/>
      <c r="P81" s="409"/>
      <c r="Q81" s="409"/>
      <c r="R81" s="409"/>
      <c r="S81" s="409"/>
      <c r="T81" s="466"/>
      <c r="U81" s="266"/>
      <c r="V81" s="266"/>
      <c r="W81" s="266"/>
      <c r="X81" s="731"/>
      <c r="Y81" s="950"/>
      <c r="Z81" s="950"/>
      <c r="AA81" s="950"/>
      <c r="AB81" s="952"/>
      <c r="AC81" s="950"/>
      <c r="AD81" s="950"/>
      <c r="AE81" s="950"/>
      <c r="AF81" s="952"/>
      <c r="AG81" s="950">
        <f t="shared" ref="AG81:BD81" si="180">AG76-AF76</f>
        <v>390.63670411985021</v>
      </c>
      <c r="AH81" s="950">
        <f t="shared" si="180"/>
        <v>20.595179938120793</v>
      </c>
      <c r="AI81" s="950">
        <f t="shared" si="180"/>
        <v>1.2892665342455985</v>
      </c>
      <c r="AJ81" s="950">
        <f t="shared" si="180"/>
        <v>3.5925934836127453</v>
      </c>
      <c r="AK81" s="951">
        <f t="shared" si="180"/>
        <v>2.0149108949308356</v>
      </c>
      <c r="AL81" s="950">
        <f t="shared" si="180"/>
        <v>10.013421531972028</v>
      </c>
      <c r="AM81" s="950">
        <f t="shared" si="180"/>
        <v>10.249622589355965</v>
      </c>
      <c r="AN81" s="950">
        <f t="shared" si="180"/>
        <v>2.3074270002962862</v>
      </c>
      <c r="AO81" s="951">
        <f t="shared" si="180"/>
        <v>-10.042191785815078</v>
      </c>
      <c r="AP81" s="950">
        <f t="shared" si="180"/>
        <v>3.5489993758040441</v>
      </c>
      <c r="AQ81" s="950">
        <f t="shared" si="180"/>
        <v>5.6838734801610258</v>
      </c>
      <c r="AR81" s="952">
        <f t="shared" si="180"/>
        <v>-2.9925325294107665</v>
      </c>
      <c r="AS81" s="950">
        <f t="shared" si="180"/>
        <v>-9.9083521759232553</v>
      </c>
      <c r="AT81" s="950">
        <f t="shared" si="180"/>
        <v>2.3365907392804388</v>
      </c>
      <c r="AU81" s="950">
        <f t="shared" si="180"/>
        <v>11.84540276197049</v>
      </c>
      <c r="AV81" s="952">
        <f t="shared" si="180"/>
        <v>-0.84394048161215096</v>
      </c>
      <c r="AW81" s="950">
        <f t="shared" si="180"/>
        <v>-10.560352843637986</v>
      </c>
      <c r="AX81" s="950">
        <f t="shared" si="180"/>
        <v>3.0935924205621745</v>
      </c>
      <c r="AY81" s="950">
        <f t="shared" si="180"/>
        <v>12.532704855852558</v>
      </c>
      <c r="AZ81" s="952">
        <f t="shared" si="180"/>
        <v>-0.19132990393745786</v>
      </c>
      <c r="BA81" s="950">
        <f t="shared" si="180"/>
        <v>-9.9889292737299797</v>
      </c>
      <c r="BB81" s="950">
        <f t="shared" si="180"/>
        <v>3.5901807726513653</v>
      </c>
      <c r="BC81" s="950">
        <f t="shared" si="180"/>
        <v>11.54296516252225</v>
      </c>
      <c r="BD81" s="952">
        <f t="shared" si="180"/>
        <v>0.20665294375072563</v>
      </c>
      <c r="BE81" s="266"/>
      <c r="BF81" s="631"/>
      <c r="BG81" s="67"/>
      <c r="BH81" s="67"/>
      <c r="BI81" s="67"/>
      <c r="BJ81" s="67"/>
      <c r="BK81" s="67"/>
      <c r="BL81" s="67"/>
      <c r="BM81" s="67"/>
      <c r="BN81" s="754"/>
      <c r="BO81" s="194"/>
      <c r="BP81" s="194"/>
      <c r="BQ81" s="194"/>
      <c r="BR81" s="194"/>
      <c r="BS81" s="194"/>
      <c r="BT81" s="194"/>
      <c r="BU81" s="194"/>
      <c r="BV81" s="194"/>
      <c r="BW81" s="194"/>
      <c r="BX81" s="194"/>
      <c r="BY81" s="753"/>
      <c r="BZ81" s="266"/>
      <c r="CA81" s="80"/>
      <c r="CB81" s="88"/>
      <c r="CC81" s="88"/>
      <c r="CD81" s="88"/>
      <c r="CE81" s="88"/>
      <c r="CF81" s="88"/>
      <c r="CG81" s="88"/>
    </row>
    <row r="82" spans="1:85" ht="11.25" customHeight="1">
      <c r="A82" s="86"/>
      <c r="B82" s="86"/>
      <c r="C82" s="86"/>
      <c r="D82" s="86"/>
      <c r="E82" s="86"/>
      <c r="F82" s="86"/>
      <c r="G82" s="86"/>
      <c r="H82" s="328"/>
      <c r="I82" s="994"/>
      <c r="J82" s="193"/>
      <c r="K82" s="67"/>
      <c r="L82" s="67"/>
      <c r="M82" s="264"/>
      <c r="N82" s="1021"/>
      <c r="O82" s="901"/>
      <c r="P82" s="901"/>
      <c r="Q82" s="901"/>
      <c r="R82" s="901"/>
      <c r="S82" s="901"/>
      <c r="T82" s="902"/>
      <c r="U82" s="901"/>
      <c r="V82" s="901"/>
      <c r="W82" s="901"/>
      <c r="X82" s="902"/>
      <c r="Y82" s="901"/>
      <c r="Z82" s="1711"/>
      <c r="AA82" s="901"/>
      <c r="AB82" s="902"/>
      <c r="AC82" s="901"/>
      <c r="AD82" s="1711"/>
      <c r="AE82" s="901"/>
      <c r="AF82" s="901"/>
      <c r="AG82" s="2380"/>
      <c r="AH82" s="2293"/>
      <c r="AI82" s="2293"/>
      <c r="AJ82" s="2293"/>
      <c r="AK82" s="2380"/>
      <c r="AL82" s="2293"/>
      <c r="AM82" s="2293"/>
      <c r="AN82" s="911"/>
      <c r="AO82" s="2380"/>
      <c r="AP82" s="2293"/>
      <c r="AQ82" s="2293"/>
      <c r="AR82" s="913"/>
      <c r="AS82" s="911"/>
      <c r="AT82" s="911"/>
      <c r="AU82" s="911"/>
      <c r="AV82" s="913"/>
      <c r="AW82" s="911"/>
      <c r="AX82" s="911"/>
      <c r="AY82" s="911"/>
      <c r="AZ82" s="913"/>
      <c r="BA82" s="911"/>
      <c r="BB82" s="911"/>
      <c r="BC82" s="911"/>
      <c r="BD82" s="913"/>
      <c r="BE82" s="901"/>
      <c r="BF82" s="751"/>
      <c r="BG82" s="198"/>
      <c r="BH82" s="198"/>
      <c r="BI82" s="198"/>
      <c r="BJ82" s="198"/>
      <c r="BK82" s="198"/>
      <c r="BL82" s="198"/>
      <c r="BM82" s="198"/>
      <c r="BN82" s="751"/>
      <c r="BO82" s="198"/>
      <c r="BP82" s="198"/>
      <c r="BQ82" s="198"/>
      <c r="BR82" s="198"/>
      <c r="BS82" s="198"/>
      <c r="BT82" s="198"/>
      <c r="BU82" s="198"/>
      <c r="BV82" s="198"/>
      <c r="BW82" s="198"/>
      <c r="BX82" s="198"/>
      <c r="BY82" s="752"/>
      <c r="BZ82" s="264"/>
      <c r="CA82" s="80"/>
      <c r="CB82" s="88"/>
      <c r="CC82" s="88"/>
      <c r="CD82" s="88"/>
      <c r="CE82" s="88"/>
      <c r="CF82" s="88"/>
      <c r="CG82" s="88"/>
    </row>
    <row r="83" spans="1:85" s="41" customFormat="1" ht="11.25" customHeight="1">
      <c r="H83" s="90"/>
      <c r="I83" s="832" t="s">
        <v>678</v>
      </c>
      <c r="J83" s="231"/>
      <c r="K83" s="231"/>
      <c r="L83" s="231"/>
      <c r="M83" s="289"/>
      <c r="N83" s="289"/>
      <c r="O83" s="289"/>
      <c r="P83" s="289"/>
      <c r="Q83" s="289"/>
      <c r="R83" s="289"/>
      <c r="S83" s="289"/>
      <c r="T83" s="1234"/>
      <c r="U83" s="289"/>
      <c r="V83" s="289"/>
      <c r="W83" s="289"/>
      <c r="X83" s="2668"/>
      <c r="Y83" s="2669"/>
      <c r="Z83" s="2669"/>
      <c r="AA83" s="2669"/>
      <c r="AB83" s="2670"/>
      <c r="AC83" s="2669"/>
      <c r="AD83" s="2669"/>
      <c r="AE83" s="2669"/>
      <c r="AF83" s="2670"/>
      <c r="AG83" s="2676">
        <v>89</v>
      </c>
      <c r="AH83" s="2676">
        <v>95</v>
      </c>
      <c r="AI83" s="2676">
        <v>102</v>
      </c>
      <c r="AJ83" s="2677">
        <v>109</v>
      </c>
      <c r="AK83" s="2676">
        <v>119</v>
      </c>
      <c r="AL83" s="2676">
        <v>125</v>
      </c>
      <c r="AM83" s="2676">
        <v>132</v>
      </c>
      <c r="AN83" s="2677">
        <v>135</v>
      </c>
      <c r="AO83" s="2676">
        <v>139</v>
      </c>
      <c r="AP83" s="2676">
        <v>147.5</v>
      </c>
      <c r="AQ83" s="2676">
        <v>155</v>
      </c>
      <c r="AR83" s="2677">
        <v>163</v>
      </c>
      <c r="AS83" s="1880">
        <f t="shared" ref="AS83:BD83" si="181">AR83+AS84</f>
        <v>168</v>
      </c>
      <c r="AT83" s="1880">
        <f t="shared" si="181"/>
        <v>173</v>
      </c>
      <c r="AU83" s="1880">
        <f t="shared" si="181"/>
        <v>180</v>
      </c>
      <c r="AV83" s="1881">
        <f t="shared" si="181"/>
        <v>187</v>
      </c>
      <c r="AW83" s="1880">
        <f t="shared" si="181"/>
        <v>191.5</v>
      </c>
      <c r="AX83" s="1880">
        <f t="shared" si="181"/>
        <v>196</v>
      </c>
      <c r="AY83" s="1880">
        <f t="shared" si="181"/>
        <v>202.3</v>
      </c>
      <c r="AZ83" s="1881">
        <f t="shared" si="181"/>
        <v>208.60000000000002</v>
      </c>
      <c r="BA83" s="1880">
        <f t="shared" si="181"/>
        <v>212.65000000000003</v>
      </c>
      <c r="BB83" s="1880">
        <f t="shared" si="181"/>
        <v>216.70000000000005</v>
      </c>
      <c r="BC83" s="1880">
        <f t="shared" si="181"/>
        <v>222.37000000000003</v>
      </c>
      <c r="BD83" s="1881">
        <f t="shared" si="181"/>
        <v>228.04000000000002</v>
      </c>
      <c r="BE83" s="1234"/>
      <c r="BF83" s="231"/>
      <c r="BG83" s="231"/>
      <c r="BH83" s="359"/>
      <c r="BI83" s="359"/>
      <c r="BJ83" s="359"/>
      <c r="BK83" s="359"/>
      <c r="BL83" s="1991">
        <f>X83</f>
        <v>0</v>
      </c>
      <c r="BM83" s="2495"/>
      <c r="BN83" s="1233">
        <f>AI83</f>
        <v>102</v>
      </c>
      <c r="BO83" s="1233">
        <f>AJ83</f>
        <v>109</v>
      </c>
      <c r="BP83" s="1233">
        <f>AN83</f>
        <v>135</v>
      </c>
      <c r="BQ83" s="1233">
        <f>AR83</f>
        <v>163</v>
      </c>
      <c r="BR83" s="1233">
        <f>AV83</f>
        <v>187</v>
      </c>
      <c r="BS83" s="1233">
        <f>AZ83</f>
        <v>208.60000000000002</v>
      </c>
      <c r="BT83" s="1233">
        <f>BD83</f>
        <v>228.04000000000002</v>
      </c>
      <c r="BU83" s="1233">
        <f>+BT83+BU85</f>
        <v>245.53600000000003</v>
      </c>
      <c r="BV83" s="1233">
        <f>+BU83+BV85</f>
        <v>261.28240000000005</v>
      </c>
      <c r="BW83" s="1233">
        <f>+BV83+BW85</f>
        <v>275.45416000000006</v>
      </c>
      <c r="BX83" s="1233">
        <f>+BW83+BX85</f>
        <v>288.20874400000008</v>
      </c>
      <c r="BY83" s="2495">
        <f>+BX83+BY85</f>
        <v>299.68786960000006</v>
      </c>
      <c r="BZ83" s="281"/>
      <c r="CA83" s="1346"/>
    </row>
    <row r="84" spans="1:85" ht="11.25" customHeight="1">
      <c r="I84" s="653" t="s">
        <v>377</v>
      </c>
      <c r="J84" s="106"/>
      <c r="M84" s="42"/>
      <c r="N84" s="42"/>
      <c r="O84" s="42"/>
      <c r="P84" s="42"/>
      <c r="Q84" s="42"/>
      <c r="R84" s="42"/>
      <c r="S84" s="42"/>
      <c r="T84" s="883"/>
      <c r="U84" s="83"/>
      <c r="V84" s="83"/>
      <c r="W84" s="83"/>
      <c r="X84" s="883"/>
      <c r="Y84" s="2671"/>
      <c r="Z84" s="2671"/>
      <c r="AA84" s="2671"/>
      <c r="AB84" s="2672"/>
      <c r="AC84" s="2665"/>
      <c r="AD84" s="2665"/>
      <c r="AE84" s="2665"/>
      <c r="AF84" s="2672"/>
      <c r="AG84" s="1183">
        <f t="shared" ref="AG84:AR84" si="182">AG83-AF83</f>
        <v>89</v>
      </c>
      <c r="AH84" s="1183">
        <f t="shared" si="182"/>
        <v>6</v>
      </c>
      <c r="AI84" s="1183">
        <f t="shared" si="182"/>
        <v>7</v>
      </c>
      <c r="AJ84" s="1187">
        <f t="shared" si="182"/>
        <v>7</v>
      </c>
      <c r="AK84" s="1183">
        <f t="shared" si="182"/>
        <v>10</v>
      </c>
      <c r="AL84" s="1183">
        <f t="shared" si="182"/>
        <v>6</v>
      </c>
      <c r="AM84" s="1183">
        <f t="shared" si="182"/>
        <v>7</v>
      </c>
      <c r="AN84" s="1183">
        <f t="shared" si="182"/>
        <v>3</v>
      </c>
      <c r="AO84" s="1184">
        <f t="shared" si="182"/>
        <v>4</v>
      </c>
      <c r="AP84" s="1183">
        <f t="shared" si="182"/>
        <v>8.5</v>
      </c>
      <c r="AQ84" s="1183">
        <f t="shared" si="182"/>
        <v>7.5</v>
      </c>
      <c r="AR84" s="1187">
        <f t="shared" si="182"/>
        <v>8</v>
      </c>
      <c r="AS84" s="390">
        <v>5</v>
      </c>
      <c r="AT84" s="390">
        <v>5</v>
      </c>
      <c r="AU84" s="390">
        <v>7</v>
      </c>
      <c r="AV84" s="884">
        <v>7</v>
      </c>
      <c r="AW84" s="390">
        <f t="shared" ref="AW84:BD84" si="183">+AS84*0.9</f>
        <v>4.5</v>
      </c>
      <c r="AX84" s="390">
        <f t="shared" si="183"/>
        <v>4.5</v>
      </c>
      <c r="AY84" s="390">
        <f t="shared" si="183"/>
        <v>6.3</v>
      </c>
      <c r="AZ84" s="884">
        <f t="shared" si="183"/>
        <v>6.3</v>
      </c>
      <c r="BA84" s="390">
        <f t="shared" si="183"/>
        <v>4.05</v>
      </c>
      <c r="BB84" s="390">
        <f t="shared" si="183"/>
        <v>4.05</v>
      </c>
      <c r="BC84" s="390">
        <f t="shared" si="183"/>
        <v>5.67</v>
      </c>
      <c r="BD84" s="884">
        <f t="shared" si="183"/>
        <v>5.67</v>
      </c>
      <c r="BE84" s="1242"/>
      <c r="BF84" s="106"/>
      <c r="BG84" s="106"/>
      <c r="BH84" s="198"/>
      <c r="BI84" s="198"/>
      <c r="BJ84" s="198"/>
      <c r="BK84" s="198"/>
      <c r="BL84" s="198"/>
      <c r="BM84" s="752"/>
      <c r="BN84" s="198"/>
      <c r="BO84" s="198"/>
      <c r="BP84" s="1227"/>
      <c r="BQ84" s="1227"/>
      <c r="BR84" s="1227"/>
      <c r="BS84" s="1227"/>
      <c r="BT84" s="1227"/>
      <c r="BU84" s="1227"/>
      <c r="BV84" s="1227"/>
      <c r="BW84" s="1227"/>
      <c r="BX84" s="1227"/>
      <c r="BY84" s="1229"/>
      <c r="BZ84" s="1228"/>
    </row>
    <row r="85" spans="1:85" s="41" customFormat="1" ht="11.25" customHeight="1">
      <c r="H85" s="90"/>
      <c r="I85" s="994" t="s">
        <v>380</v>
      </c>
      <c r="J85" s="231"/>
      <c r="M85" s="90"/>
      <c r="N85" s="90"/>
      <c r="O85" s="90"/>
      <c r="P85" s="90"/>
      <c r="Q85" s="90"/>
      <c r="R85" s="90"/>
      <c r="S85" s="90"/>
      <c r="T85" s="2354"/>
      <c r="U85" s="226"/>
      <c r="V85" s="226"/>
      <c r="W85" s="226"/>
      <c r="X85" s="2354"/>
      <c r="Y85" s="42"/>
      <c r="Z85" s="42"/>
      <c r="AA85" s="42"/>
      <c r="AB85" s="883"/>
      <c r="AC85" s="2665"/>
      <c r="AD85" s="2665"/>
      <c r="AE85" s="2665"/>
      <c r="AF85" s="2672"/>
      <c r="AG85" s="1183">
        <f t="shared" ref="AG85:BD85" si="184">AG83-AC83</f>
        <v>89</v>
      </c>
      <c r="AH85" s="1183">
        <f t="shared" si="184"/>
        <v>95</v>
      </c>
      <c r="AI85" s="1183">
        <f t="shared" si="184"/>
        <v>102</v>
      </c>
      <c r="AJ85" s="1187">
        <f t="shared" si="184"/>
        <v>109</v>
      </c>
      <c r="AK85" s="1183">
        <f t="shared" si="184"/>
        <v>30</v>
      </c>
      <c r="AL85" s="1183">
        <f t="shared" si="184"/>
        <v>30</v>
      </c>
      <c r="AM85" s="1183">
        <f t="shared" si="184"/>
        <v>30</v>
      </c>
      <c r="AN85" s="1183">
        <f t="shared" si="184"/>
        <v>26</v>
      </c>
      <c r="AO85" s="1184">
        <f t="shared" si="184"/>
        <v>20</v>
      </c>
      <c r="AP85" s="1183">
        <f t="shared" si="184"/>
        <v>22.5</v>
      </c>
      <c r="AQ85" s="1183">
        <f t="shared" si="184"/>
        <v>23</v>
      </c>
      <c r="AR85" s="1187">
        <f t="shared" si="184"/>
        <v>28</v>
      </c>
      <c r="AS85" s="1183">
        <f t="shared" si="184"/>
        <v>29</v>
      </c>
      <c r="AT85" s="1183">
        <f t="shared" si="184"/>
        <v>25.5</v>
      </c>
      <c r="AU85" s="1183">
        <f t="shared" si="184"/>
        <v>25</v>
      </c>
      <c r="AV85" s="1187">
        <f t="shared" si="184"/>
        <v>24</v>
      </c>
      <c r="AW85" s="1183">
        <f t="shared" si="184"/>
        <v>23.5</v>
      </c>
      <c r="AX85" s="1183">
        <f t="shared" si="184"/>
        <v>23</v>
      </c>
      <c r="AY85" s="1183">
        <f t="shared" si="184"/>
        <v>22.300000000000011</v>
      </c>
      <c r="AZ85" s="1187">
        <f t="shared" si="184"/>
        <v>21.600000000000023</v>
      </c>
      <c r="BA85" s="1183">
        <f t="shared" si="184"/>
        <v>21.150000000000034</v>
      </c>
      <c r="BB85" s="1183">
        <f t="shared" si="184"/>
        <v>20.700000000000045</v>
      </c>
      <c r="BC85" s="1183">
        <f t="shared" si="184"/>
        <v>20.070000000000022</v>
      </c>
      <c r="BD85" s="1187">
        <f t="shared" si="184"/>
        <v>19.439999999999998</v>
      </c>
      <c r="BE85" s="1234"/>
      <c r="BF85" s="231"/>
      <c r="BG85" s="231"/>
      <c r="BH85" s="359"/>
      <c r="BI85" s="359"/>
      <c r="BJ85" s="359"/>
      <c r="BK85" s="359"/>
      <c r="BL85" s="359"/>
      <c r="BM85" s="843"/>
      <c r="BN85" s="2014">
        <f t="shared" ref="BN85:BT85" si="185">BN83-BM83</f>
        <v>102</v>
      </c>
      <c r="BO85" s="2014">
        <f t="shared" si="185"/>
        <v>7</v>
      </c>
      <c r="BP85" s="2102">
        <f t="shared" si="185"/>
        <v>26</v>
      </c>
      <c r="BQ85" s="2102">
        <f t="shared" si="185"/>
        <v>28</v>
      </c>
      <c r="BR85" s="2102">
        <f t="shared" si="185"/>
        <v>24</v>
      </c>
      <c r="BS85" s="2102">
        <f t="shared" si="185"/>
        <v>21.600000000000023</v>
      </c>
      <c r="BT85" s="2102">
        <f t="shared" si="185"/>
        <v>19.439999999999998</v>
      </c>
      <c r="BU85" s="2452">
        <f>+BT85*0.9</f>
        <v>17.495999999999999</v>
      </c>
      <c r="BV85" s="2452">
        <f>+BU85*0.9</f>
        <v>15.7464</v>
      </c>
      <c r="BW85" s="2452">
        <f>+BV85*0.9</f>
        <v>14.171759999999999</v>
      </c>
      <c r="BX85" s="2452">
        <f>+BW85*0.9</f>
        <v>12.754583999999999</v>
      </c>
      <c r="BY85" s="2496">
        <f>+BX85*0.9</f>
        <v>11.4791256</v>
      </c>
      <c r="BZ85" s="281"/>
    </row>
    <row r="86" spans="1:85" s="41" customFormat="1" ht="11.25" customHeight="1">
      <c r="H86" s="90"/>
      <c r="I86" s="770" t="s">
        <v>132</v>
      </c>
      <c r="J86" s="231"/>
      <c r="K86" s="231"/>
      <c r="L86" s="231"/>
      <c r="M86" s="289"/>
      <c r="N86" s="289"/>
      <c r="O86" s="289"/>
      <c r="P86" s="289"/>
      <c r="Q86" s="289"/>
      <c r="R86" s="289"/>
      <c r="S86" s="289"/>
      <c r="T86" s="1234"/>
      <c r="U86" s="289"/>
      <c r="V86" s="289"/>
      <c r="W86" s="289"/>
      <c r="X86" s="1234"/>
      <c r="Y86" s="264"/>
      <c r="Z86" s="264"/>
      <c r="AA86" s="264"/>
      <c r="AB86" s="1242"/>
      <c r="AC86" s="1128"/>
      <c r="AD86" s="1128"/>
      <c r="AE86" s="1128"/>
      <c r="AF86" s="1129"/>
      <c r="AG86" s="976"/>
      <c r="AH86" s="976"/>
      <c r="AI86" s="976"/>
      <c r="AJ86" s="1130"/>
      <c r="AK86" s="976">
        <f t="shared" ref="AK86:BD86" si="186">AK83/AG83-1</f>
        <v>0.33707865168539319</v>
      </c>
      <c r="AL86" s="976">
        <f t="shared" si="186"/>
        <v>0.31578947368421062</v>
      </c>
      <c r="AM86" s="976">
        <f t="shared" si="186"/>
        <v>0.29411764705882359</v>
      </c>
      <c r="AN86" s="976">
        <f t="shared" si="186"/>
        <v>0.23853211009174302</v>
      </c>
      <c r="AO86" s="977">
        <f t="shared" si="186"/>
        <v>0.16806722689075637</v>
      </c>
      <c r="AP86" s="976">
        <f t="shared" si="186"/>
        <v>0.17999999999999994</v>
      </c>
      <c r="AQ86" s="976">
        <f t="shared" si="186"/>
        <v>0.17424242424242431</v>
      </c>
      <c r="AR86" s="1130">
        <f t="shared" si="186"/>
        <v>0.20740740740740748</v>
      </c>
      <c r="AS86" s="976">
        <f t="shared" si="186"/>
        <v>0.20863309352517989</v>
      </c>
      <c r="AT86" s="976">
        <f t="shared" si="186"/>
        <v>0.17288135593220333</v>
      </c>
      <c r="AU86" s="976">
        <f t="shared" si="186"/>
        <v>0.16129032258064524</v>
      </c>
      <c r="AV86" s="1130">
        <f t="shared" si="186"/>
        <v>0.14723926380368102</v>
      </c>
      <c r="AW86" s="976">
        <f t="shared" si="186"/>
        <v>0.13988095238095233</v>
      </c>
      <c r="AX86" s="976">
        <f t="shared" si="186"/>
        <v>0.13294797687861282</v>
      </c>
      <c r="AY86" s="976">
        <f t="shared" si="186"/>
        <v>0.12388888888888894</v>
      </c>
      <c r="AZ86" s="1130">
        <f t="shared" si="186"/>
        <v>0.11550802139037453</v>
      </c>
      <c r="BA86" s="976">
        <f t="shared" si="186"/>
        <v>0.11044386422976515</v>
      </c>
      <c r="BB86" s="976">
        <f t="shared" si="186"/>
        <v>0.10561224489795951</v>
      </c>
      <c r="BC86" s="976">
        <f t="shared" si="186"/>
        <v>9.9209095402867042E-2</v>
      </c>
      <c r="BD86" s="1130">
        <f t="shared" si="186"/>
        <v>9.3192713326941456E-2</v>
      </c>
      <c r="BE86" s="1234"/>
      <c r="BF86" s="231"/>
      <c r="BG86" s="231"/>
      <c r="BH86" s="359"/>
      <c r="BI86" s="359"/>
      <c r="BJ86" s="359"/>
      <c r="BK86" s="359"/>
      <c r="BL86" s="359"/>
      <c r="BM86" s="843"/>
      <c r="BN86" s="198"/>
      <c r="BO86" s="198"/>
      <c r="BP86" s="264">
        <f t="shared" ref="BP86:BY86" si="187">BP83/BO83-1</f>
        <v>0.23853211009174302</v>
      </c>
      <c r="BQ86" s="264">
        <f t="shared" si="187"/>
        <v>0.20740740740740748</v>
      </c>
      <c r="BR86" s="264">
        <f t="shared" si="187"/>
        <v>0.14723926380368102</v>
      </c>
      <c r="BS86" s="264">
        <f t="shared" si="187"/>
        <v>0.11550802139037453</v>
      </c>
      <c r="BT86" s="264">
        <f t="shared" si="187"/>
        <v>9.3192713326941456E-2</v>
      </c>
      <c r="BU86" s="198">
        <f t="shared" si="187"/>
        <v>7.6723381862831008E-2</v>
      </c>
      <c r="BV86" s="198">
        <f t="shared" si="187"/>
        <v>6.4130718102437312E-2</v>
      </c>
      <c r="BW86" s="198">
        <f t="shared" si="187"/>
        <v>5.423924458746554E-2</v>
      </c>
      <c r="BX86" s="198">
        <f t="shared" si="187"/>
        <v>4.6303835091835222E-2</v>
      </c>
      <c r="BY86" s="752">
        <f t="shared" si="187"/>
        <v>3.9829206569804709E-2</v>
      </c>
      <c r="BZ86" s="281"/>
    </row>
    <row r="87" spans="1:85" s="54" customFormat="1" ht="11.25" customHeight="1">
      <c r="H87" s="83"/>
      <c r="I87" s="770" t="s">
        <v>146</v>
      </c>
      <c r="J87" s="231"/>
      <c r="K87" s="231"/>
      <c r="L87" s="231"/>
      <c r="M87" s="289"/>
      <c r="N87" s="289"/>
      <c r="O87" s="289"/>
      <c r="P87" s="289"/>
      <c r="Q87" s="289"/>
      <c r="R87" s="289"/>
      <c r="S87" s="289"/>
      <c r="T87" s="1234"/>
      <c r="U87" s="289"/>
      <c r="V87" s="289"/>
      <c r="W87" s="289"/>
      <c r="X87" s="1234"/>
      <c r="Y87" s="264"/>
      <c r="Z87" s="264"/>
      <c r="AA87" s="264"/>
      <c r="AB87" s="1242"/>
      <c r="AC87" s="264"/>
      <c r="AD87" s="264"/>
      <c r="AE87" s="264"/>
      <c r="AF87" s="1242"/>
      <c r="AG87" s="198"/>
      <c r="AH87" s="198">
        <f t="shared" ref="AH87:BD87" si="188">IF(ISERROR(AH83/AG83-1),"NA",(IF(AH83&lt;=0,"NM",AH83/AG83-1)))</f>
        <v>6.7415730337078594E-2</v>
      </c>
      <c r="AI87" s="198">
        <f t="shared" si="188"/>
        <v>7.3684210526315796E-2</v>
      </c>
      <c r="AJ87" s="752">
        <f t="shared" si="188"/>
        <v>6.8627450980392135E-2</v>
      </c>
      <c r="AK87" s="198">
        <f t="shared" si="188"/>
        <v>9.174311926605494E-2</v>
      </c>
      <c r="AL87" s="198">
        <f t="shared" si="188"/>
        <v>5.0420168067226934E-2</v>
      </c>
      <c r="AM87" s="198">
        <f t="shared" si="188"/>
        <v>5.600000000000005E-2</v>
      </c>
      <c r="AN87" s="198">
        <f t="shared" si="188"/>
        <v>2.2727272727272707E-2</v>
      </c>
      <c r="AO87" s="751">
        <f t="shared" si="188"/>
        <v>2.9629629629629672E-2</v>
      </c>
      <c r="AP87" s="198">
        <f t="shared" si="188"/>
        <v>6.1151079136690711E-2</v>
      </c>
      <c r="AQ87" s="198">
        <f t="shared" si="188"/>
        <v>5.0847457627118731E-2</v>
      </c>
      <c r="AR87" s="752">
        <f t="shared" si="188"/>
        <v>5.1612903225806361E-2</v>
      </c>
      <c r="AS87" s="198">
        <f t="shared" si="188"/>
        <v>3.0674846625766916E-2</v>
      </c>
      <c r="AT87" s="198">
        <f t="shared" si="188"/>
        <v>2.9761904761904656E-2</v>
      </c>
      <c r="AU87" s="198">
        <f t="shared" si="188"/>
        <v>4.0462427745664664E-2</v>
      </c>
      <c r="AV87" s="752">
        <f t="shared" si="188"/>
        <v>3.8888888888888973E-2</v>
      </c>
      <c r="AW87" s="198">
        <f t="shared" si="188"/>
        <v>2.4064171122994749E-2</v>
      </c>
      <c r="AX87" s="198">
        <f t="shared" si="188"/>
        <v>2.3498694516971286E-2</v>
      </c>
      <c r="AY87" s="198">
        <f t="shared" si="188"/>
        <v>3.2142857142857251E-2</v>
      </c>
      <c r="AZ87" s="752">
        <f t="shared" si="188"/>
        <v>3.114186851211076E-2</v>
      </c>
      <c r="BA87" s="198">
        <f t="shared" si="188"/>
        <v>1.9415148609779553E-2</v>
      </c>
      <c r="BB87" s="198">
        <f t="shared" si="188"/>
        <v>1.904537973195386E-2</v>
      </c>
      <c r="BC87" s="198">
        <f t="shared" si="188"/>
        <v>2.616520535302258E-2</v>
      </c>
      <c r="BD87" s="752">
        <f t="shared" si="188"/>
        <v>2.5498043800872283E-2</v>
      </c>
      <c r="BE87" s="952"/>
      <c r="BI87" s="99"/>
      <c r="BJ87" s="99"/>
      <c r="BK87" s="99"/>
      <c r="BM87" s="619"/>
      <c r="BN87" s="1233"/>
      <c r="BO87" s="1233"/>
      <c r="BP87" s="265"/>
      <c r="BQ87" s="265"/>
      <c r="BR87" s="199"/>
      <c r="BS87" s="199"/>
      <c r="BT87" s="199"/>
      <c r="BU87" s="1723"/>
      <c r="BV87" s="1723"/>
      <c r="BW87" s="1723"/>
      <c r="BX87" s="1723"/>
      <c r="BY87" s="2497"/>
      <c r="BZ87" s="265"/>
    </row>
    <row r="88" spans="1:85" s="233" customFormat="1" ht="11.25" customHeight="1">
      <c r="H88" s="226"/>
      <c r="I88" s="773" t="s">
        <v>360</v>
      </c>
      <c r="J88" s="231"/>
      <c r="K88" s="231"/>
      <c r="L88" s="231"/>
      <c r="M88" s="289"/>
      <c r="N88" s="289"/>
      <c r="O88" s="289"/>
      <c r="P88" s="289"/>
      <c r="Q88" s="289"/>
      <c r="R88" s="289"/>
      <c r="S88" s="289"/>
      <c r="T88" s="1234"/>
      <c r="U88" s="289"/>
      <c r="V88" s="289"/>
      <c r="W88" s="289"/>
      <c r="X88" s="1234"/>
      <c r="Y88" s="289"/>
      <c r="Z88" s="289"/>
      <c r="AA88" s="289"/>
      <c r="AB88" s="1234"/>
      <c r="AC88" s="289"/>
      <c r="AD88" s="289"/>
      <c r="AE88" s="289"/>
      <c r="AF88" s="1234"/>
      <c r="AG88" s="359">
        <f t="shared" ref="AG88:BD88" si="189">AG83/1000/AG416</f>
        <v>4.0583675330597355E-2</v>
      </c>
      <c r="AH88" s="359">
        <f t="shared" si="189"/>
        <v>4.0442741592166875E-2</v>
      </c>
      <c r="AI88" s="359">
        <f t="shared" si="189"/>
        <v>4.0751098681582096E-2</v>
      </c>
      <c r="AJ88" s="843">
        <f t="shared" si="189"/>
        <v>4.1163141993957701E-2</v>
      </c>
      <c r="AK88" s="359">
        <f t="shared" si="189"/>
        <v>4.1990119971771343E-2</v>
      </c>
      <c r="AL88" s="359">
        <f t="shared" si="189"/>
        <v>4.1528239202657809E-2</v>
      </c>
      <c r="AM88" s="359">
        <f t="shared" si="189"/>
        <v>4.1353383458646614E-2</v>
      </c>
      <c r="AN88" s="359">
        <f t="shared" si="189"/>
        <v>4.0142729705619988E-2</v>
      </c>
      <c r="AO88" s="852">
        <f t="shared" si="189"/>
        <v>3.9055914582747965E-2</v>
      </c>
      <c r="AP88" s="359">
        <f>AP83/1000/AP416</f>
        <v>3.9301891819877428E-2</v>
      </c>
      <c r="AQ88" s="359">
        <f>AQ83/1000/AQ416</f>
        <v>3.8993710691823898E-2</v>
      </c>
      <c r="AR88" s="843">
        <f t="shared" ref="AR88" si="190">AR83/1000/AR416</f>
        <v>3.8911434709954645E-2</v>
      </c>
      <c r="AS88" s="359">
        <f t="shared" si="189"/>
        <v>3.9179104477611942E-2</v>
      </c>
      <c r="AT88" s="359">
        <f t="shared" si="189"/>
        <v>3.9434693412354678E-2</v>
      </c>
      <c r="AU88" s="359">
        <f t="shared" si="189"/>
        <v>4.066877541798463E-2</v>
      </c>
      <c r="AV88" s="843">
        <f t="shared" si="189"/>
        <v>4.1825095057034217E-2</v>
      </c>
      <c r="AW88" s="359">
        <f t="shared" si="189"/>
        <v>4.1903719912472645E-2</v>
      </c>
      <c r="AX88" s="359">
        <f t="shared" si="189"/>
        <v>4.1979010494752618E-2</v>
      </c>
      <c r="AY88" s="359">
        <f t="shared" si="189"/>
        <v>4.2969413763806287E-2</v>
      </c>
      <c r="AZ88" s="843">
        <f t="shared" si="189"/>
        <v>4.3888070692194407E-2</v>
      </c>
      <c r="BA88" s="359">
        <f t="shared" si="189"/>
        <v>4.3827287716405608E-2</v>
      </c>
      <c r="BB88" s="359">
        <f t="shared" si="189"/>
        <v>4.3768935568572011E-2</v>
      </c>
      <c r="BC88" s="359">
        <f t="shared" si="189"/>
        <v>4.4563126252505018E-2</v>
      </c>
      <c r="BD88" s="843">
        <f t="shared" si="189"/>
        <v>4.5290963257199605E-2</v>
      </c>
      <c r="BE88" s="2490"/>
      <c r="BI88" s="359"/>
      <c r="BJ88" s="359"/>
      <c r="BK88" s="359"/>
      <c r="BL88" s="359"/>
      <c r="BM88" s="843" t="e">
        <f>BM83/1000/BM131</f>
        <v>#DIV/0!</v>
      </c>
      <c r="BN88" s="359">
        <f t="shared" ref="BN88:BY88" si="191">BN83/1000/BN416</f>
        <v>5.0271069492360765E-2</v>
      </c>
      <c r="BO88" s="359">
        <f t="shared" si="191"/>
        <v>4.1163141993957701E-2</v>
      </c>
      <c r="BP88" s="289">
        <f t="shared" si="191"/>
        <v>4.0142729705619988E-2</v>
      </c>
      <c r="BQ88" s="289">
        <f t="shared" si="191"/>
        <v>3.8911434709954645E-2</v>
      </c>
      <c r="BR88" s="359">
        <f t="shared" si="191"/>
        <v>4.1825095057034217E-2</v>
      </c>
      <c r="BS88" s="359">
        <f t="shared" si="191"/>
        <v>4.3888070692194407E-2</v>
      </c>
      <c r="BT88" s="359">
        <f t="shared" si="191"/>
        <v>4.5290963257199605E-2</v>
      </c>
      <c r="BU88" s="359">
        <f t="shared" si="191"/>
        <v>4.6179424487492952E-2</v>
      </c>
      <c r="BV88" s="359">
        <f t="shared" si="191"/>
        <v>4.6665904625826045E-2</v>
      </c>
      <c r="BW88" s="359">
        <f t="shared" si="191"/>
        <v>4.6837979935385146E-2</v>
      </c>
      <c r="BX88" s="359">
        <f t="shared" si="191"/>
        <v>4.6764358916112296E-2</v>
      </c>
      <c r="BY88" s="843">
        <f t="shared" si="191"/>
        <v>4.6499281551590388E-2</v>
      </c>
      <c r="BZ88" s="2070"/>
    </row>
    <row r="89" spans="1:85" ht="11.25" customHeight="1">
      <c r="I89" s="814" t="s">
        <v>549</v>
      </c>
      <c r="J89" s="106"/>
      <c r="M89" s="42"/>
      <c r="N89" s="42"/>
      <c r="O89" s="42"/>
      <c r="P89" s="42"/>
      <c r="Q89" s="42"/>
      <c r="R89" s="42"/>
      <c r="S89" s="42"/>
      <c r="T89" s="883"/>
      <c r="U89" s="42"/>
      <c r="V89" s="42"/>
      <c r="W89" s="42"/>
      <c r="X89" s="883"/>
      <c r="Y89" s="2103"/>
      <c r="Z89" s="2103"/>
      <c r="AA89" s="2103"/>
      <c r="AB89" s="2673"/>
      <c r="AC89" s="2103"/>
      <c r="AD89" s="2103"/>
      <c r="AE89" s="2103"/>
      <c r="AF89" s="2673"/>
      <c r="AG89" s="2101"/>
      <c r="AH89" s="2101"/>
      <c r="AI89" s="2101"/>
      <c r="AJ89" s="2161"/>
      <c r="AK89" s="2101">
        <f t="shared" ref="AK89:BD89" si="192">+(AK88-AG88)*10000</f>
        <v>14.064446411739887</v>
      </c>
      <c r="AL89" s="2101">
        <f t="shared" si="192"/>
        <v>10.854976104909333</v>
      </c>
      <c r="AM89" s="2101">
        <f t="shared" si="192"/>
        <v>6.0228477706451846</v>
      </c>
      <c r="AN89" s="2590">
        <f t="shared" si="192"/>
        <v>-10.204122883377131</v>
      </c>
      <c r="AO89" s="2627">
        <f t="shared" si="192"/>
        <v>-29.342053890233782</v>
      </c>
      <c r="AP89" s="2101">
        <f t="shared" si="192"/>
        <v>-22.263473827803804</v>
      </c>
      <c r="AQ89" s="2101">
        <f t="shared" si="192"/>
        <v>-23.596727668227167</v>
      </c>
      <c r="AR89" s="2161">
        <f t="shared" si="192"/>
        <v>-12.312949956653426</v>
      </c>
      <c r="AS89" s="2101">
        <f t="shared" si="192"/>
        <v>1.2318989486397731</v>
      </c>
      <c r="AT89" s="2101">
        <f t="shared" si="192"/>
        <v>1.3280159247724965</v>
      </c>
      <c r="AU89" s="2101">
        <f t="shared" si="192"/>
        <v>16.750647261607327</v>
      </c>
      <c r="AV89" s="2161">
        <f t="shared" si="192"/>
        <v>29.13660347079572</v>
      </c>
      <c r="AW89" s="2101">
        <f t="shared" si="192"/>
        <v>27.246154348607028</v>
      </c>
      <c r="AX89" s="2101">
        <f t="shared" si="192"/>
        <v>25.443170823979401</v>
      </c>
      <c r="AY89" s="2101">
        <f t="shared" si="192"/>
        <v>23.006383458216568</v>
      </c>
      <c r="AZ89" s="2161">
        <f t="shared" si="192"/>
        <v>20.629756351601898</v>
      </c>
      <c r="BA89" s="2101">
        <f t="shared" si="192"/>
        <v>19.235678039329628</v>
      </c>
      <c r="BB89" s="2101">
        <f t="shared" si="192"/>
        <v>17.899250738193928</v>
      </c>
      <c r="BC89" s="2590">
        <f t="shared" si="192"/>
        <v>15.937124886987315</v>
      </c>
      <c r="BD89" s="2161">
        <f t="shared" si="192"/>
        <v>14.028925650051981</v>
      </c>
      <c r="BE89" s="883"/>
      <c r="BM89" s="830"/>
      <c r="BN89" s="2101"/>
      <c r="BO89" s="2101">
        <f t="shared" ref="BO89:BY89" si="193">+(BO88-BN88)*10000</f>
        <v>-91.079274984030633</v>
      </c>
      <c r="BP89" s="2103">
        <f t="shared" si="193"/>
        <v>-10.204122883377131</v>
      </c>
      <c r="BQ89" s="2103">
        <f t="shared" si="193"/>
        <v>-12.312949956653426</v>
      </c>
      <c r="BR89" s="2101">
        <f t="shared" si="193"/>
        <v>29.13660347079572</v>
      </c>
      <c r="BS89" s="2101">
        <f t="shared" si="193"/>
        <v>20.629756351601898</v>
      </c>
      <c r="BT89" s="2101">
        <f t="shared" si="193"/>
        <v>14.028925650051981</v>
      </c>
      <c r="BU89" s="2101">
        <f t="shared" si="193"/>
        <v>8.8846123029334692</v>
      </c>
      <c r="BV89" s="2101">
        <f t="shared" si="193"/>
        <v>4.8648013833309243</v>
      </c>
      <c r="BW89" s="2101">
        <f t="shared" si="193"/>
        <v>1.7207530955910126</v>
      </c>
      <c r="BX89" s="2101">
        <f t="shared" si="193"/>
        <v>-0.73621019272850086</v>
      </c>
      <c r="BY89" s="2161">
        <f t="shared" si="193"/>
        <v>-2.6507736452190818</v>
      </c>
    </row>
    <row r="90" spans="1:85" ht="11.25" customHeight="1">
      <c r="A90" s="86"/>
      <c r="B90" s="86"/>
      <c r="C90" s="86"/>
      <c r="D90" s="86"/>
      <c r="E90" s="86"/>
      <c r="F90" s="86"/>
      <c r="G90" s="86"/>
      <c r="H90" s="328"/>
      <c r="I90" s="994"/>
      <c r="J90" s="193"/>
      <c r="K90" s="67"/>
      <c r="L90" s="67"/>
      <c r="M90" s="264"/>
      <c r="N90" s="1021"/>
      <c r="O90" s="901"/>
      <c r="P90" s="901"/>
      <c r="Q90" s="901"/>
      <c r="R90" s="901"/>
      <c r="S90" s="901"/>
      <c r="T90" s="902"/>
      <c r="U90" s="901"/>
      <c r="V90" s="901"/>
      <c r="W90" s="901"/>
      <c r="X90" s="902"/>
      <c r="Y90" s="901"/>
      <c r="Z90" s="901"/>
      <c r="AA90" s="901"/>
      <c r="AB90" s="902"/>
      <c r="AC90" s="1711"/>
      <c r="AD90" s="1711"/>
      <c r="AE90" s="1711"/>
      <c r="AF90" s="1711"/>
      <c r="AG90" s="2380"/>
      <c r="AH90" s="2293"/>
      <c r="AI90" s="2293"/>
      <c r="AJ90" s="2293"/>
      <c r="AK90" s="2380"/>
      <c r="AL90" s="2293"/>
      <c r="AM90" s="2293"/>
      <c r="AN90" s="2293"/>
      <c r="AO90" s="2380"/>
      <c r="AP90" s="2293"/>
      <c r="AQ90" s="2293"/>
      <c r="AR90" s="2358"/>
      <c r="AS90" s="911"/>
      <c r="AT90" s="911"/>
      <c r="AU90" s="911"/>
      <c r="AV90" s="913"/>
      <c r="AW90" s="911"/>
      <c r="AX90" s="911"/>
      <c r="AY90" s="911"/>
      <c r="AZ90" s="913"/>
      <c r="BA90" s="911"/>
      <c r="BB90" s="911"/>
      <c r="BC90" s="911"/>
      <c r="BD90" s="913"/>
      <c r="BE90" s="2786"/>
      <c r="BF90" s="751"/>
      <c r="BG90" s="198"/>
      <c r="BH90" s="198"/>
      <c r="BI90" s="198"/>
      <c r="BJ90" s="198"/>
      <c r="BK90" s="198"/>
      <c r="BL90" s="198"/>
      <c r="BM90" s="752"/>
      <c r="BN90" s="198"/>
      <c r="BO90" s="198"/>
      <c r="BP90" s="198"/>
      <c r="BQ90" s="198"/>
      <c r="BR90" s="198"/>
      <c r="BS90" s="198"/>
      <c r="BT90" s="198"/>
      <c r="BU90" s="198"/>
      <c r="BV90" s="198"/>
      <c r="BW90" s="198"/>
      <c r="BX90" s="198"/>
      <c r="BY90" s="752"/>
      <c r="BZ90" s="264"/>
      <c r="CA90" s="80"/>
      <c r="CB90" s="88"/>
      <c r="CC90" s="88"/>
      <c r="CD90" s="88"/>
      <c r="CE90" s="88"/>
      <c r="CF90" s="88"/>
      <c r="CG90" s="88"/>
    </row>
    <row r="91" spans="1:85" s="1992" customFormat="1" ht="11.25" customHeight="1">
      <c r="I91" s="1993" t="s">
        <v>465</v>
      </c>
      <c r="J91" s="1994"/>
      <c r="K91" s="1994"/>
      <c r="L91" s="1994"/>
      <c r="M91" s="2660"/>
      <c r="N91" s="2660"/>
      <c r="O91" s="2660"/>
      <c r="P91" s="2660"/>
      <c r="Q91" s="2660"/>
      <c r="R91" s="2660"/>
      <c r="S91" s="2661"/>
      <c r="T91" s="2662"/>
      <c r="U91" s="2664">
        <v>533.33333333333337</v>
      </c>
      <c r="V91" s="2664">
        <v>566.66666666666663</v>
      </c>
      <c r="W91" s="2664">
        <v>686.27450980392155</v>
      </c>
      <c r="X91" s="2680">
        <v>769.23076923076928</v>
      </c>
      <c r="Y91" s="2664">
        <v>800</v>
      </c>
      <c r="Z91" s="2664">
        <v>850</v>
      </c>
      <c r="AA91" s="2664">
        <v>1050</v>
      </c>
      <c r="AB91" s="2021">
        <v>1100</v>
      </c>
      <c r="AC91" s="2664">
        <v>1250</v>
      </c>
      <c r="AD91" s="2664">
        <v>1350</v>
      </c>
      <c r="AE91" s="2664">
        <v>1550</v>
      </c>
      <c r="AF91" s="2381">
        <v>1550</v>
      </c>
      <c r="AG91" s="2678">
        <v>1600</v>
      </c>
      <c r="AH91" s="2679">
        <v>1750</v>
      </c>
      <c r="AI91" s="2679">
        <v>2100</v>
      </c>
      <c r="AJ91" s="2679">
        <v>2200</v>
      </c>
      <c r="AK91" s="2678">
        <v>2300</v>
      </c>
      <c r="AL91" s="2679">
        <v>2400</v>
      </c>
      <c r="AM91" s="2679">
        <v>2500</v>
      </c>
      <c r="AN91" s="2679">
        <v>2450</v>
      </c>
      <c r="AO91" s="2678">
        <v>2550</v>
      </c>
      <c r="AP91" s="2679">
        <v>2750</v>
      </c>
      <c r="AQ91" s="2679">
        <v>3050</v>
      </c>
      <c r="AR91" s="2894">
        <v>3300</v>
      </c>
      <c r="AS91" s="2009">
        <f t="shared" ref="AS91:BD91" si="194">AR91+AS92</f>
        <v>3350</v>
      </c>
      <c r="AT91" s="2009">
        <f t="shared" si="194"/>
        <v>3400</v>
      </c>
      <c r="AU91" s="2009">
        <f t="shared" si="194"/>
        <v>3475</v>
      </c>
      <c r="AV91" s="2017">
        <f t="shared" si="194"/>
        <v>3550</v>
      </c>
      <c r="AW91" s="2009">
        <f t="shared" si="194"/>
        <v>3650</v>
      </c>
      <c r="AX91" s="2009">
        <f t="shared" si="194"/>
        <v>3750</v>
      </c>
      <c r="AY91" s="2009">
        <f t="shared" si="194"/>
        <v>3825</v>
      </c>
      <c r="AZ91" s="2017">
        <f t="shared" si="194"/>
        <v>3875</v>
      </c>
      <c r="BA91" s="2009">
        <f t="shared" si="194"/>
        <v>3955</v>
      </c>
      <c r="BB91" s="2009">
        <f t="shared" si="194"/>
        <v>4035</v>
      </c>
      <c r="BC91" s="2009">
        <f t="shared" si="194"/>
        <v>4085</v>
      </c>
      <c r="BD91" s="2017">
        <f t="shared" si="194"/>
        <v>4125</v>
      </c>
      <c r="BE91" s="2787"/>
      <c r="BF91" s="1995"/>
      <c r="BG91" s="1994"/>
      <c r="BH91" s="1994"/>
      <c r="BI91" s="1994"/>
      <c r="BJ91" s="1994"/>
      <c r="BK91" s="1994"/>
      <c r="BL91" s="2010">
        <f>X91</f>
        <v>769.23076923076928</v>
      </c>
      <c r="BM91" s="2011">
        <f>AB91</f>
        <v>1100</v>
      </c>
      <c r="BN91" s="2010">
        <f>AF91</f>
        <v>1550</v>
      </c>
      <c r="BO91" s="2010">
        <f>AJ91</f>
        <v>2200</v>
      </c>
      <c r="BP91" s="2010">
        <f>AN91</f>
        <v>2450</v>
      </c>
      <c r="BQ91" s="2010">
        <f>AR91</f>
        <v>3300</v>
      </c>
      <c r="BR91" s="2010">
        <f>AV91</f>
        <v>3550</v>
      </c>
      <c r="BS91" s="2010">
        <f>AZ91</f>
        <v>3875</v>
      </c>
      <c r="BT91" s="2010">
        <f>BD91</f>
        <v>4125</v>
      </c>
      <c r="BU91" s="2010">
        <f>+BT91+BU92</f>
        <v>4312.5</v>
      </c>
      <c r="BV91" s="2010">
        <f>+BU91+BV92</f>
        <v>4443.75</v>
      </c>
      <c r="BW91" s="2010">
        <f>+BV91+BW92</f>
        <v>4535.625</v>
      </c>
      <c r="BX91" s="2010">
        <f>+BW91+BX92</f>
        <v>4599.9375</v>
      </c>
      <c r="BY91" s="2011">
        <f>+BX91+BY92</f>
        <v>4644.9562500000002</v>
      </c>
    </row>
    <row r="92" spans="1:85" s="1992" customFormat="1" ht="11.25" customHeight="1">
      <c r="I92" s="1998" t="s">
        <v>584</v>
      </c>
      <c r="J92" s="1994"/>
      <c r="K92" s="1994"/>
      <c r="L92" s="1994"/>
      <c r="M92" s="2660"/>
      <c r="N92" s="2660"/>
      <c r="O92" s="2660"/>
      <c r="P92" s="2660"/>
      <c r="Q92" s="2660"/>
      <c r="R92" s="2660"/>
      <c r="S92" s="2661"/>
      <c r="T92" s="2662"/>
      <c r="U92" s="1248">
        <f t="shared" ref="U92:AR92" si="195">U91-T91</f>
        <v>533.33333333333337</v>
      </c>
      <c r="V92" s="1248">
        <f t="shared" si="195"/>
        <v>33.333333333333258</v>
      </c>
      <c r="W92" s="1248">
        <f t="shared" si="195"/>
        <v>119.60784313725492</v>
      </c>
      <c r="X92" s="1250">
        <f t="shared" si="195"/>
        <v>82.956259426847737</v>
      </c>
      <c r="Y92" s="1248">
        <f t="shared" si="195"/>
        <v>30.769230769230717</v>
      </c>
      <c r="Z92" s="1248">
        <f t="shared" si="195"/>
        <v>50</v>
      </c>
      <c r="AA92" s="1248">
        <f t="shared" si="195"/>
        <v>200</v>
      </c>
      <c r="AB92" s="1250">
        <f t="shared" si="195"/>
        <v>50</v>
      </c>
      <c r="AC92" s="1248">
        <f t="shared" si="195"/>
        <v>150</v>
      </c>
      <c r="AD92" s="1248">
        <f t="shared" si="195"/>
        <v>100</v>
      </c>
      <c r="AE92" s="1248">
        <f t="shared" si="195"/>
        <v>200</v>
      </c>
      <c r="AF92" s="1250">
        <f t="shared" si="195"/>
        <v>0</v>
      </c>
      <c r="AG92" s="1248">
        <f t="shared" si="195"/>
        <v>50</v>
      </c>
      <c r="AH92" s="1248">
        <f t="shared" si="195"/>
        <v>150</v>
      </c>
      <c r="AI92" s="2663">
        <f t="shared" si="195"/>
        <v>350</v>
      </c>
      <c r="AJ92" s="1250">
        <f t="shared" si="195"/>
        <v>100</v>
      </c>
      <c r="AK92" s="1248">
        <f t="shared" si="195"/>
        <v>100</v>
      </c>
      <c r="AL92" s="1248">
        <f t="shared" si="195"/>
        <v>100</v>
      </c>
      <c r="AM92" s="1248">
        <f t="shared" si="195"/>
        <v>100</v>
      </c>
      <c r="AN92" s="1248">
        <f t="shared" si="195"/>
        <v>-50</v>
      </c>
      <c r="AO92" s="1249">
        <f t="shared" si="195"/>
        <v>100</v>
      </c>
      <c r="AP92" s="1248">
        <f t="shared" si="195"/>
        <v>200</v>
      </c>
      <c r="AQ92" s="1248">
        <f t="shared" si="195"/>
        <v>300</v>
      </c>
      <c r="AR92" s="1250">
        <f t="shared" si="195"/>
        <v>250</v>
      </c>
      <c r="AS92" s="1999">
        <v>50</v>
      </c>
      <c r="AT92" s="1999">
        <v>50</v>
      </c>
      <c r="AU92" s="1999">
        <v>75</v>
      </c>
      <c r="AV92" s="2004">
        <v>75</v>
      </c>
      <c r="AW92" s="1999">
        <v>100</v>
      </c>
      <c r="AX92" s="1999">
        <v>100</v>
      </c>
      <c r="AY92" s="1999">
        <v>75</v>
      </c>
      <c r="AZ92" s="2004">
        <v>50</v>
      </c>
      <c r="BA92" s="1999">
        <v>80</v>
      </c>
      <c r="BB92" s="1999">
        <v>80</v>
      </c>
      <c r="BC92" s="1999">
        <v>50</v>
      </c>
      <c r="BD92" s="2004">
        <f>AZ92-10</f>
        <v>40</v>
      </c>
      <c r="BE92" s="2787"/>
      <c r="BF92" s="1995"/>
      <c r="BG92" s="976"/>
      <c r="BH92" s="1994"/>
      <c r="BI92" s="1994"/>
      <c r="BJ92" s="1994"/>
      <c r="BK92" s="1994"/>
      <c r="BL92" s="1994"/>
      <c r="BM92" s="2747">
        <f t="shared" ref="BM92:BT92" si="196">+BM91-BL91</f>
        <v>330.76923076923072</v>
      </c>
      <c r="BN92" s="1994">
        <f t="shared" si="196"/>
        <v>450</v>
      </c>
      <c r="BO92" s="1994">
        <f t="shared" si="196"/>
        <v>650</v>
      </c>
      <c r="BP92" s="1994">
        <f t="shared" si="196"/>
        <v>250</v>
      </c>
      <c r="BQ92" s="1994">
        <f t="shared" si="196"/>
        <v>850</v>
      </c>
      <c r="BR92" s="1994">
        <f t="shared" si="196"/>
        <v>250</v>
      </c>
      <c r="BS92" s="1994">
        <f t="shared" si="196"/>
        <v>325</v>
      </c>
      <c r="BT92" s="1994">
        <f t="shared" si="196"/>
        <v>250</v>
      </c>
      <c r="BU92" s="2012">
        <f>+BT92*0.75</f>
        <v>187.5</v>
      </c>
      <c r="BV92" s="2012">
        <f>+BU92*0.7</f>
        <v>131.25</v>
      </c>
      <c r="BW92" s="2012">
        <f>+BV92*0.7</f>
        <v>91.875</v>
      </c>
      <c r="BX92" s="2012">
        <f>+BW92*0.7</f>
        <v>64.3125</v>
      </c>
      <c r="BY92" s="2494">
        <f>+BX92*0.7</f>
        <v>45.018749999999997</v>
      </c>
    </row>
    <row r="93" spans="1:85" ht="11.25" customHeight="1">
      <c r="H93" s="40"/>
      <c r="I93" s="796" t="s">
        <v>132</v>
      </c>
      <c r="J93" s="106"/>
      <c r="K93" s="106"/>
      <c r="L93" s="1183"/>
      <c r="M93" s="2665"/>
      <c r="N93" s="2665"/>
      <c r="O93" s="2665"/>
      <c r="P93" s="2665"/>
      <c r="Q93" s="2665"/>
      <c r="R93" s="2665"/>
      <c r="S93" s="2666"/>
      <c r="T93" s="2667"/>
      <c r="U93" s="1735"/>
      <c r="V93" s="1735"/>
      <c r="W93" s="1735"/>
      <c r="X93" s="1797"/>
      <c r="Y93" s="1735">
        <f t="shared" ref="Y93:AF93" si="197">Y91/U91-1</f>
        <v>0.5</v>
      </c>
      <c r="Z93" s="1735">
        <f t="shared" si="197"/>
        <v>0.5</v>
      </c>
      <c r="AA93" s="1735">
        <f t="shared" si="197"/>
        <v>0.53</v>
      </c>
      <c r="AB93" s="1797">
        <f t="shared" si="197"/>
        <v>0.42999999999999994</v>
      </c>
      <c r="AC93" s="1735">
        <f t="shared" si="197"/>
        <v>0.5625</v>
      </c>
      <c r="AD93" s="1735">
        <f t="shared" si="197"/>
        <v>0.58823529411764697</v>
      </c>
      <c r="AE93" s="1735">
        <f t="shared" si="197"/>
        <v>0.47619047619047628</v>
      </c>
      <c r="AF93" s="1797">
        <f t="shared" si="197"/>
        <v>0.40909090909090917</v>
      </c>
      <c r="AG93" s="1735">
        <f>+AG91/AC91-1</f>
        <v>0.28000000000000003</v>
      </c>
      <c r="AH93" s="1735">
        <f t="shared" ref="AH93:BD93" si="198">AH91/AD91-1</f>
        <v>0.29629629629629628</v>
      </c>
      <c r="AI93" s="1735">
        <f t="shared" si="198"/>
        <v>0.35483870967741926</v>
      </c>
      <c r="AJ93" s="1797">
        <f t="shared" si="198"/>
        <v>0.41935483870967749</v>
      </c>
      <c r="AK93" s="1735">
        <f t="shared" si="198"/>
        <v>0.4375</v>
      </c>
      <c r="AL93" s="1735">
        <f t="shared" si="198"/>
        <v>0.37142857142857144</v>
      </c>
      <c r="AM93" s="1735">
        <f t="shared" si="198"/>
        <v>0.19047619047619047</v>
      </c>
      <c r="AN93" s="1735">
        <f t="shared" si="198"/>
        <v>0.11363636363636354</v>
      </c>
      <c r="AO93" s="2625">
        <f t="shared" si="198"/>
        <v>0.10869565217391308</v>
      </c>
      <c r="AP93" s="1735">
        <f t="shared" si="198"/>
        <v>0.14583333333333326</v>
      </c>
      <c r="AQ93" s="1735">
        <f t="shared" si="198"/>
        <v>0.21999999999999997</v>
      </c>
      <c r="AR93" s="1797">
        <f t="shared" si="198"/>
        <v>0.34693877551020402</v>
      </c>
      <c r="AS93" s="1982">
        <f t="shared" si="198"/>
        <v>0.31372549019607843</v>
      </c>
      <c r="AT93" s="1982">
        <f t="shared" si="198"/>
        <v>0.23636363636363633</v>
      </c>
      <c r="AU93" s="1982">
        <f t="shared" si="198"/>
        <v>0.13934426229508201</v>
      </c>
      <c r="AV93" s="2005">
        <f t="shared" si="198"/>
        <v>7.575757575757569E-2</v>
      </c>
      <c r="AW93" s="1982">
        <f t="shared" si="198"/>
        <v>8.9552238805970186E-2</v>
      </c>
      <c r="AX93" s="1982">
        <f t="shared" si="198"/>
        <v>0.10294117647058831</v>
      </c>
      <c r="AY93" s="1982">
        <f t="shared" si="198"/>
        <v>0.10071942446043169</v>
      </c>
      <c r="AZ93" s="2005">
        <f t="shared" si="198"/>
        <v>9.1549295774647987E-2</v>
      </c>
      <c r="BA93" s="1982">
        <f t="shared" si="198"/>
        <v>8.3561643835616373E-2</v>
      </c>
      <c r="BB93" s="1982">
        <f t="shared" si="198"/>
        <v>7.6000000000000068E-2</v>
      </c>
      <c r="BC93" s="1982">
        <f t="shared" si="198"/>
        <v>6.7973856209150307E-2</v>
      </c>
      <c r="BD93" s="2005">
        <f t="shared" si="198"/>
        <v>6.4516129032258007E-2</v>
      </c>
      <c r="BE93" s="2788"/>
      <c r="BF93" s="1184"/>
      <c r="BG93" s="1183"/>
      <c r="BH93" s="1183"/>
      <c r="BI93" s="1183"/>
      <c r="BJ93" s="1183"/>
      <c r="BK93" s="1183"/>
      <c r="BL93" s="1183"/>
      <c r="BM93" s="1130">
        <f t="shared" ref="BM93:BY93" si="199">BM91/BL91-1</f>
        <v>0.42999999999999994</v>
      </c>
      <c r="BN93" s="976">
        <f t="shared" si="199"/>
        <v>0.40909090909090917</v>
      </c>
      <c r="BO93" s="976">
        <f t="shared" si="199"/>
        <v>0.41935483870967749</v>
      </c>
      <c r="BP93" s="1128">
        <f t="shared" si="199"/>
        <v>0.11363636363636354</v>
      </c>
      <c r="BQ93" s="1128">
        <f t="shared" si="199"/>
        <v>0.34693877551020402</v>
      </c>
      <c r="BR93" s="1128">
        <f t="shared" si="199"/>
        <v>7.575757575757569E-2</v>
      </c>
      <c r="BS93" s="1128">
        <f t="shared" si="199"/>
        <v>9.1549295774647987E-2</v>
      </c>
      <c r="BT93" s="1128">
        <f t="shared" si="199"/>
        <v>6.4516129032258007E-2</v>
      </c>
      <c r="BU93" s="1128">
        <f t="shared" si="199"/>
        <v>4.5454545454545414E-2</v>
      </c>
      <c r="BV93" s="1128">
        <f t="shared" si="199"/>
        <v>3.0434782608695699E-2</v>
      </c>
      <c r="BW93" s="1128">
        <f t="shared" si="199"/>
        <v>2.0675105485232104E-2</v>
      </c>
      <c r="BX93" s="1128">
        <f t="shared" si="199"/>
        <v>1.4179412980570572E-2</v>
      </c>
      <c r="BY93" s="1129">
        <f t="shared" si="199"/>
        <v>9.786817755676136E-3</v>
      </c>
      <c r="BZ93" s="1188"/>
      <c r="CA93" s="1188"/>
    </row>
    <row r="94" spans="1:85" ht="11.25" customHeight="1">
      <c r="H94" s="40"/>
      <c r="I94" s="796" t="s">
        <v>146</v>
      </c>
      <c r="J94" s="106"/>
      <c r="K94" s="106"/>
      <c r="L94" s="106"/>
      <c r="M94" s="83"/>
      <c r="N94" s="83"/>
      <c r="O94" s="83"/>
      <c r="P94" s="83"/>
      <c r="Q94" s="265"/>
      <c r="R94" s="265"/>
      <c r="S94" s="265"/>
      <c r="T94" s="1785"/>
      <c r="U94" s="199"/>
      <c r="V94" s="199">
        <f t="shared" ref="V94:BD94" si="200">V91/U91-1</f>
        <v>6.2499999999999778E-2</v>
      </c>
      <c r="W94" s="199">
        <f t="shared" si="200"/>
        <v>0.21107266435986172</v>
      </c>
      <c r="X94" s="620">
        <f t="shared" si="200"/>
        <v>0.12087912087912089</v>
      </c>
      <c r="Y94" s="199">
        <f t="shared" si="200"/>
        <v>4.0000000000000036E-2</v>
      </c>
      <c r="Z94" s="199">
        <f t="shared" si="200"/>
        <v>6.25E-2</v>
      </c>
      <c r="AA94" s="199">
        <f t="shared" si="200"/>
        <v>0.23529411764705888</v>
      </c>
      <c r="AB94" s="620">
        <f t="shared" si="200"/>
        <v>4.7619047619047672E-2</v>
      </c>
      <c r="AC94" s="199">
        <f t="shared" si="200"/>
        <v>0.13636363636363646</v>
      </c>
      <c r="AD94" s="199">
        <f t="shared" si="200"/>
        <v>8.0000000000000071E-2</v>
      </c>
      <c r="AE94" s="199">
        <f t="shared" si="200"/>
        <v>0.14814814814814814</v>
      </c>
      <c r="AF94" s="620">
        <f t="shared" si="200"/>
        <v>0</v>
      </c>
      <c r="AG94" s="199">
        <f t="shared" si="200"/>
        <v>3.2258064516129004E-2</v>
      </c>
      <c r="AH94" s="199">
        <f t="shared" si="200"/>
        <v>9.375E-2</v>
      </c>
      <c r="AI94" s="199">
        <f t="shared" si="200"/>
        <v>0.19999999999999996</v>
      </c>
      <c r="AJ94" s="620">
        <f t="shared" si="200"/>
        <v>4.7619047619047672E-2</v>
      </c>
      <c r="AK94" s="199">
        <f t="shared" si="200"/>
        <v>4.5454545454545414E-2</v>
      </c>
      <c r="AL94" s="199">
        <f t="shared" si="200"/>
        <v>4.3478260869565188E-2</v>
      </c>
      <c r="AM94" s="199">
        <f t="shared" si="200"/>
        <v>4.1666666666666741E-2</v>
      </c>
      <c r="AN94" s="199">
        <f t="shared" si="200"/>
        <v>-2.0000000000000018E-2</v>
      </c>
      <c r="AO94" s="449">
        <f t="shared" si="200"/>
        <v>4.081632653061229E-2</v>
      </c>
      <c r="AP94" s="199">
        <f t="shared" si="200"/>
        <v>7.8431372549019551E-2</v>
      </c>
      <c r="AQ94" s="199">
        <f t="shared" si="200"/>
        <v>0.10909090909090913</v>
      </c>
      <c r="AR94" s="620">
        <f t="shared" si="200"/>
        <v>8.1967213114754189E-2</v>
      </c>
      <c r="AS94" s="199">
        <f t="shared" si="200"/>
        <v>1.5151515151515138E-2</v>
      </c>
      <c r="AT94" s="199">
        <f t="shared" si="200"/>
        <v>1.4925373134328401E-2</v>
      </c>
      <c r="AU94" s="199">
        <f t="shared" si="200"/>
        <v>2.2058823529411686E-2</v>
      </c>
      <c r="AV94" s="620">
        <f t="shared" si="200"/>
        <v>2.1582733812949728E-2</v>
      </c>
      <c r="AW94" s="199">
        <f t="shared" si="200"/>
        <v>2.8169014084507005E-2</v>
      </c>
      <c r="AX94" s="199">
        <f t="shared" si="200"/>
        <v>2.7397260273972712E-2</v>
      </c>
      <c r="AY94" s="199">
        <f t="shared" si="200"/>
        <v>2.0000000000000018E-2</v>
      </c>
      <c r="AZ94" s="620">
        <f t="shared" si="200"/>
        <v>1.3071895424836555E-2</v>
      </c>
      <c r="BA94" s="199">
        <f t="shared" si="200"/>
        <v>2.0645161290322678E-2</v>
      </c>
      <c r="BB94" s="199">
        <f t="shared" si="200"/>
        <v>2.0227560050568805E-2</v>
      </c>
      <c r="BC94" s="199">
        <f t="shared" si="200"/>
        <v>1.2391573729863659E-2</v>
      </c>
      <c r="BD94" s="620">
        <f t="shared" si="200"/>
        <v>9.7919216646267238E-3</v>
      </c>
      <c r="BE94" s="1222"/>
      <c r="BF94" s="814"/>
      <c r="BG94" s="106"/>
      <c r="BH94" s="106"/>
      <c r="BI94" s="106"/>
      <c r="BJ94" s="106"/>
      <c r="BK94" s="199"/>
      <c r="BL94" s="199"/>
      <c r="BM94" s="620"/>
      <c r="BN94" s="199"/>
      <c r="BO94" s="199"/>
      <c r="BP94" s="199"/>
      <c r="BQ94" s="2148"/>
      <c r="BR94" s="199"/>
      <c r="BS94" s="199"/>
      <c r="BT94" s="199"/>
      <c r="BU94" s="199"/>
      <c r="BV94" s="199"/>
      <c r="BW94" s="199"/>
      <c r="BX94" s="199"/>
      <c r="BY94" s="620"/>
      <c r="BZ94" s="40"/>
    </row>
    <row r="95" spans="1:85" s="54" customFormat="1" ht="11.25" customHeight="1">
      <c r="H95" s="83"/>
      <c r="I95" s="773"/>
      <c r="J95" s="231"/>
      <c r="K95" s="231"/>
      <c r="L95" s="231"/>
      <c r="M95" s="289"/>
      <c r="N95" s="289"/>
      <c r="O95" s="289"/>
      <c r="P95" s="289"/>
      <c r="Q95" s="289"/>
      <c r="R95" s="289"/>
      <c r="S95" s="289"/>
      <c r="T95" s="1234"/>
      <c r="U95" s="289"/>
      <c r="V95" s="289"/>
      <c r="W95" s="289"/>
      <c r="X95" s="1234"/>
      <c r="Y95" s="264"/>
      <c r="Z95" s="264"/>
      <c r="AA95" s="901"/>
      <c r="AB95" s="902"/>
      <c r="AC95" s="901"/>
      <c r="AD95" s="901"/>
      <c r="AE95" s="901"/>
      <c r="AF95" s="902"/>
      <c r="AG95" s="911"/>
      <c r="AH95" s="911"/>
      <c r="AI95" s="911"/>
      <c r="AJ95" s="913"/>
      <c r="AK95" s="911"/>
      <c r="AL95" s="911"/>
      <c r="AM95" s="911"/>
      <c r="AN95" s="198"/>
      <c r="AO95" s="912"/>
      <c r="AP95" s="911"/>
      <c r="AQ95" s="911"/>
      <c r="AR95" s="752"/>
      <c r="AS95" s="198"/>
      <c r="AT95" s="2148"/>
      <c r="AU95" s="198"/>
      <c r="AV95" s="752"/>
      <c r="AW95" s="198"/>
      <c r="AX95" s="2148"/>
      <c r="AY95" s="198"/>
      <c r="AZ95" s="752"/>
      <c r="BA95" s="1740"/>
      <c r="BB95" s="2148"/>
      <c r="BC95" s="198"/>
      <c r="BD95" s="752"/>
      <c r="BE95" s="2789"/>
      <c r="BF95" s="633"/>
      <c r="BI95" s="198"/>
      <c r="BJ95" s="198"/>
      <c r="BK95" s="198"/>
      <c r="BL95" s="198"/>
      <c r="BM95" s="752"/>
      <c r="BN95" s="198"/>
      <c r="BO95" s="198"/>
      <c r="BP95" s="198"/>
      <c r="BQ95" s="198"/>
      <c r="BR95" s="198"/>
      <c r="BS95" s="198"/>
      <c r="BT95" s="198"/>
      <c r="BU95" s="198"/>
      <c r="BV95" s="198"/>
      <c r="BW95" s="198"/>
      <c r="BX95" s="198"/>
      <c r="BY95" s="752"/>
      <c r="BZ95" s="265"/>
    </row>
    <row r="96" spans="1:85" s="1989" customFormat="1" ht="11.25" customHeight="1">
      <c r="I96" s="1987" t="s">
        <v>679</v>
      </c>
      <c r="J96" s="1988"/>
      <c r="K96" s="1988"/>
      <c r="L96" s="1988"/>
      <c r="M96" s="1979"/>
      <c r="N96" s="1979"/>
      <c r="O96" s="1979"/>
      <c r="P96" s="1979"/>
      <c r="Q96" s="1979"/>
      <c r="R96" s="1979"/>
      <c r="S96" s="1979"/>
      <c r="T96" s="1981"/>
      <c r="U96" s="1979"/>
      <c r="V96" s="1979"/>
      <c r="W96" s="1979"/>
      <c r="X96" s="1981"/>
      <c r="Y96" s="1979"/>
      <c r="Z96" s="1979"/>
      <c r="AA96" s="1979"/>
      <c r="AB96" s="1981"/>
      <c r="AC96" s="1979"/>
      <c r="AD96" s="1979"/>
      <c r="AE96" s="1979"/>
      <c r="AF96" s="1981"/>
      <c r="AG96" s="1979">
        <f t="shared" ref="AG96:BD96" si="201">+AG84*1000/AE91</f>
        <v>57.41935483870968</v>
      </c>
      <c r="AH96" s="1979">
        <f t="shared" si="201"/>
        <v>3.870967741935484</v>
      </c>
      <c r="AI96" s="1979">
        <f t="shared" si="201"/>
        <v>4.375</v>
      </c>
      <c r="AJ96" s="1981">
        <f t="shared" si="201"/>
        <v>4</v>
      </c>
      <c r="AK96" s="1979">
        <f t="shared" si="201"/>
        <v>4.7619047619047619</v>
      </c>
      <c r="AL96" s="1979">
        <f t="shared" si="201"/>
        <v>2.7272727272727271</v>
      </c>
      <c r="AM96" s="1979">
        <f t="shared" si="201"/>
        <v>3.0434782608695654</v>
      </c>
      <c r="AN96" s="1979">
        <f t="shared" si="201"/>
        <v>1.25</v>
      </c>
      <c r="AO96" s="1980">
        <f t="shared" si="201"/>
        <v>1.6</v>
      </c>
      <c r="AP96" s="1979">
        <f t="shared" si="201"/>
        <v>3.4693877551020407</v>
      </c>
      <c r="AQ96" s="1979">
        <f t="shared" si="201"/>
        <v>2.9411764705882355</v>
      </c>
      <c r="AR96" s="1981">
        <f t="shared" si="201"/>
        <v>2.9090909090909092</v>
      </c>
      <c r="AS96" s="1979">
        <f t="shared" si="201"/>
        <v>1.639344262295082</v>
      </c>
      <c r="AT96" s="1979">
        <f t="shared" si="201"/>
        <v>1.5151515151515151</v>
      </c>
      <c r="AU96" s="1979">
        <f t="shared" si="201"/>
        <v>2.08955223880597</v>
      </c>
      <c r="AV96" s="1981">
        <f t="shared" si="201"/>
        <v>2.0588235294117645</v>
      </c>
      <c r="AW96" s="1979">
        <f t="shared" si="201"/>
        <v>1.2949640287769784</v>
      </c>
      <c r="AX96" s="1979">
        <f t="shared" si="201"/>
        <v>1.267605633802817</v>
      </c>
      <c r="AY96" s="1979">
        <f t="shared" si="201"/>
        <v>1.726027397260274</v>
      </c>
      <c r="AZ96" s="1981">
        <f t="shared" si="201"/>
        <v>1.68</v>
      </c>
      <c r="BA96" s="1979">
        <f t="shared" si="201"/>
        <v>1.0588235294117647</v>
      </c>
      <c r="BB96" s="1979">
        <f t="shared" si="201"/>
        <v>1.0451612903225806</v>
      </c>
      <c r="BC96" s="1979">
        <f t="shared" si="201"/>
        <v>1.4336283185840708</v>
      </c>
      <c r="BD96" s="1981">
        <f t="shared" si="201"/>
        <v>1.4052044609665428</v>
      </c>
      <c r="BE96" s="2790"/>
      <c r="BF96" s="1980"/>
      <c r="BG96" s="1979"/>
      <c r="BH96" s="1979"/>
      <c r="BI96" s="1979"/>
      <c r="BJ96" s="1979"/>
      <c r="BK96" s="1979"/>
      <c r="BL96" s="1979" t="s">
        <v>140</v>
      </c>
      <c r="BM96" s="1981" t="s">
        <v>140</v>
      </c>
      <c r="BN96" s="1979"/>
      <c r="BO96" s="1979"/>
      <c r="BP96" s="1979"/>
      <c r="BQ96" s="1979"/>
      <c r="BR96" s="1979"/>
      <c r="BS96" s="1979"/>
      <c r="BT96" s="1979"/>
      <c r="BU96" s="1979"/>
      <c r="BV96" s="1979"/>
      <c r="BW96" s="1979"/>
      <c r="BX96" s="1979"/>
      <c r="BY96" s="1981"/>
      <c r="BZ96" s="1979"/>
    </row>
    <row r="97" spans="1:85" s="1990" customFormat="1" ht="11.25" customHeight="1">
      <c r="I97" s="2019" t="s">
        <v>543</v>
      </c>
      <c r="J97" s="1986"/>
      <c r="K97" s="1986"/>
      <c r="L97" s="1986"/>
      <c r="M97" s="1970"/>
      <c r="N97" s="1970"/>
      <c r="O97" s="1970"/>
      <c r="P97" s="1970"/>
      <c r="Q97" s="1970"/>
      <c r="R97" s="1970"/>
      <c r="S97" s="1970"/>
      <c r="T97" s="1972"/>
      <c r="U97" s="1970"/>
      <c r="V97" s="1970"/>
      <c r="W97" s="1970"/>
      <c r="X97" s="1972"/>
      <c r="Y97" s="1970"/>
      <c r="Z97" s="1970"/>
      <c r="AA97" s="1970"/>
      <c r="AB97" s="1972"/>
      <c r="AC97" s="403"/>
      <c r="AD97" s="403"/>
      <c r="AE97" s="403"/>
      <c r="AF97" s="1261"/>
      <c r="AG97" s="403"/>
      <c r="AH97" s="403"/>
      <c r="AI97" s="403"/>
      <c r="AJ97" s="1261"/>
      <c r="AK97" s="403">
        <f t="shared" ref="AK97:BD97" si="202">+AK96/AG96-1</f>
        <v>-0.91706795077581593</v>
      </c>
      <c r="AL97" s="403">
        <f t="shared" si="202"/>
        <v>-0.29545454545454553</v>
      </c>
      <c r="AM97" s="403">
        <f t="shared" si="202"/>
        <v>-0.30434782608695643</v>
      </c>
      <c r="AN97" s="2195">
        <f t="shared" si="202"/>
        <v>-0.6875</v>
      </c>
      <c r="AO97" s="1260">
        <f t="shared" si="202"/>
        <v>-0.66399999999999992</v>
      </c>
      <c r="AP97" s="403">
        <f t="shared" si="202"/>
        <v>0.27210884353741505</v>
      </c>
      <c r="AQ97" s="403">
        <f t="shared" si="202"/>
        <v>-3.3613445378151252E-2</v>
      </c>
      <c r="AR97" s="1521">
        <f t="shared" si="202"/>
        <v>1.3272727272727272</v>
      </c>
      <c r="AS97" s="264">
        <f t="shared" si="202"/>
        <v>2.4590163934426146E-2</v>
      </c>
      <c r="AT97" s="264">
        <f t="shared" si="202"/>
        <v>-0.56327985739750441</v>
      </c>
      <c r="AU97" s="264">
        <f t="shared" si="202"/>
        <v>-0.28955223880597025</v>
      </c>
      <c r="AV97" s="1242">
        <f t="shared" si="202"/>
        <v>-0.29227941176470595</v>
      </c>
      <c r="AW97" s="264">
        <f t="shared" si="202"/>
        <v>-0.21007194244604321</v>
      </c>
      <c r="AX97" s="264">
        <f t="shared" si="202"/>
        <v>-0.16338028169014074</v>
      </c>
      <c r="AY97" s="264">
        <f t="shared" si="202"/>
        <v>-0.17397260273972592</v>
      </c>
      <c r="AZ97" s="1242">
        <f t="shared" si="202"/>
        <v>-0.18399999999999994</v>
      </c>
      <c r="BA97" s="264">
        <f t="shared" si="202"/>
        <v>-0.1823529411764705</v>
      </c>
      <c r="BB97" s="264">
        <f t="shared" si="202"/>
        <v>-0.17548387096774198</v>
      </c>
      <c r="BC97" s="264">
        <f t="shared" si="202"/>
        <v>-0.16940581542351452</v>
      </c>
      <c r="BD97" s="1242">
        <f t="shared" si="202"/>
        <v>-0.16356877323420072</v>
      </c>
      <c r="BE97" s="2791"/>
      <c r="BF97" s="1260"/>
      <c r="BG97" s="1970"/>
      <c r="BH97" s="1970"/>
      <c r="BI97" s="1970"/>
      <c r="BJ97" s="1970"/>
      <c r="BK97" s="1970"/>
      <c r="BL97" s="1970"/>
      <c r="BM97" s="1972"/>
      <c r="BN97" s="1970"/>
      <c r="BO97" s="1970"/>
      <c r="BP97" s="1970"/>
      <c r="BQ97" s="1970"/>
      <c r="BR97" s="1970"/>
      <c r="BS97" s="1970"/>
      <c r="BT97" s="1970"/>
      <c r="BU97" s="1970"/>
      <c r="BV97" s="1970"/>
      <c r="BW97" s="1970"/>
      <c r="BX97" s="1970"/>
      <c r="BY97" s="1972"/>
      <c r="BZ97" s="1970"/>
    </row>
    <row r="98" spans="1:85" s="1990" customFormat="1" ht="11.25" customHeight="1">
      <c r="I98" s="2019" t="s">
        <v>546</v>
      </c>
      <c r="J98" s="1986"/>
      <c r="K98" s="1986"/>
      <c r="L98" s="1986"/>
      <c r="M98" s="1970"/>
      <c r="N98" s="1970"/>
      <c r="O98" s="1970"/>
      <c r="P98" s="1970"/>
      <c r="Q98" s="1970"/>
      <c r="R98" s="1970"/>
      <c r="S98" s="1970"/>
      <c r="T98" s="1972"/>
      <c r="U98" s="1970"/>
      <c r="V98" s="1970"/>
      <c r="W98" s="1970"/>
      <c r="X98" s="1972"/>
      <c r="Y98" s="1970"/>
      <c r="Z98" s="1970"/>
      <c r="AA98" s="1970"/>
      <c r="AB98" s="1972"/>
      <c r="AC98" s="403"/>
      <c r="AD98" s="403"/>
      <c r="AE98" s="403"/>
      <c r="AF98" s="1261"/>
      <c r="AG98" s="403"/>
      <c r="AH98" s="403"/>
      <c r="AI98" s="403"/>
      <c r="AJ98" s="1261"/>
      <c r="AK98" s="403"/>
      <c r="AL98" s="403"/>
      <c r="AM98" s="403"/>
      <c r="AN98" s="403"/>
      <c r="AO98" s="1260">
        <f t="shared" ref="AO98:BD98" si="203">AO97+AK97</f>
        <v>-1.5810679507758159</v>
      </c>
      <c r="AP98" s="403">
        <f t="shared" si="203"/>
        <v>-2.3345701917130479E-2</v>
      </c>
      <c r="AQ98" s="403">
        <f t="shared" si="203"/>
        <v>-0.33796127146510768</v>
      </c>
      <c r="AR98" s="1261"/>
      <c r="AS98" s="403">
        <f t="shared" si="203"/>
        <v>-0.63940983606557378</v>
      </c>
      <c r="AT98" s="403">
        <f t="shared" si="203"/>
        <v>-0.29117101386008937</v>
      </c>
      <c r="AU98" s="403">
        <f t="shared" si="203"/>
        <v>-0.3231656841841215</v>
      </c>
      <c r="AV98" s="1261">
        <f t="shared" si="203"/>
        <v>1.0349933155080211</v>
      </c>
      <c r="AW98" s="403">
        <f t="shared" si="203"/>
        <v>-0.18548177851161707</v>
      </c>
      <c r="AX98" s="403">
        <f t="shared" si="203"/>
        <v>-0.72666013908764515</v>
      </c>
      <c r="AY98" s="403">
        <f t="shared" si="203"/>
        <v>-0.46352484154569618</v>
      </c>
      <c r="AZ98" s="1261">
        <f t="shared" si="203"/>
        <v>-0.4762794117647059</v>
      </c>
      <c r="BA98" s="403">
        <f t="shared" si="203"/>
        <v>-0.39242488362251371</v>
      </c>
      <c r="BB98" s="403">
        <f t="shared" si="203"/>
        <v>-0.33886415265788272</v>
      </c>
      <c r="BC98" s="403">
        <f t="shared" si="203"/>
        <v>-0.34337841816324044</v>
      </c>
      <c r="BD98" s="1261">
        <f t="shared" si="203"/>
        <v>-0.34756877323420066</v>
      </c>
      <c r="BE98" s="2791"/>
      <c r="BF98" s="1971"/>
      <c r="BG98" s="1970"/>
      <c r="BH98" s="1970"/>
      <c r="BI98" s="1970"/>
      <c r="BJ98" s="1970"/>
      <c r="BK98" s="1970"/>
      <c r="BL98" s="1970"/>
      <c r="BM98" s="1972"/>
      <c r="BN98" s="1970"/>
      <c r="BO98" s="1970"/>
      <c r="BP98" s="1970"/>
      <c r="BQ98" s="1970"/>
      <c r="BR98" s="1970"/>
      <c r="BS98" s="1970"/>
      <c r="BT98" s="1970"/>
      <c r="BU98" s="1970"/>
      <c r="BV98" s="1970"/>
      <c r="BW98" s="1970"/>
      <c r="BX98" s="1970"/>
      <c r="BY98" s="1972"/>
      <c r="BZ98" s="1970"/>
    </row>
    <row r="99" spans="1:85" s="1973" customFormat="1" ht="11.25" customHeight="1">
      <c r="A99" s="1964"/>
      <c r="B99" s="1964"/>
      <c r="C99" s="1964"/>
      <c r="D99" s="1964"/>
      <c r="E99" s="1964"/>
      <c r="F99" s="1964"/>
      <c r="G99" s="1964"/>
      <c r="H99" s="1965"/>
      <c r="I99" s="2018" t="s">
        <v>499</v>
      </c>
      <c r="J99" s="1966"/>
      <c r="K99" s="1966"/>
      <c r="L99" s="1966"/>
      <c r="M99" s="1970"/>
      <c r="N99" s="1970"/>
      <c r="O99" s="1970"/>
      <c r="P99" s="1970"/>
      <c r="Q99" s="1970"/>
      <c r="R99" s="1970"/>
      <c r="S99" s="1970"/>
      <c r="T99" s="1972"/>
      <c r="U99" s="1970"/>
      <c r="V99" s="1970"/>
      <c r="W99" s="1970"/>
      <c r="X99" s="1972"/>
      <c r="Y99" s="1970"/>
      <c r="Z99" s="1970"/>
      <c r="AA99" s="1970"/>
      <c r="AB99" s="1972"/>
      <c r="AC99" s="1433"/>
      <c r="AD99" s="1433"/>
      <c r="AE99" s="1433"/>
      <c r="AF99" s="1460"/>
      <c r="AG99" s="1743">
        <f t="shared" ref="AG99:BD99" si="204">+AG96-AC96</f>
        <v>57.41935483870968</v>
      </c>
      <c r="AH99" s="1743">
        <f t="shared" si="204"/>
        <v>3.870967741935484</v>
      </c>
      <c r="AI99" s="1743">
        <f t="shared" si="204"/>
        <v>4.375</v>
      </c>
      <c r="AJ99" s="2003">
        <f t="shared" si="204"/>
        <v>4</v>
      </c>
      <c r="AK99" s="1743">
        <f t="shared" si="204"/>
        <v>-52.657450076804921</v>
      </c>
      <c r="AL99" s="1743">
        <f t="shared" si="204"/>
        <v>-1.1436950146627569</v>
      </c>
      <c r="AM99" s="1743">
        <f t="shared" si="204"/>
        <v>-1.3315217391304346</v>
      </c>
      <c r="AN99" s="1743">
        <f t="shared" si="204"/>
        <v>-2.75</v>
      </c>
      <c r="AO99" s="2317">
        <f t="shared" si="204"/>
        <v>-3.1619047619047618</v>
      </c>
      <c r="AP99" s="1743">
        <f t="shared" si="204"/>
        <v>0.7421150278293136</v>
      </c>
      <c r="AQ99" s="1743">
        <f t="shared" si="204"/>
        <v>-0.10230179028132991</v>
      </c>
      <c r="AR99" s="2003">
        <f t="shared" si="204"/>
        <v>1.6590909090909092</v>
      </c>
      <c r="AS99" s="1743">
        <f t="shared" si="204"/>
        <v>3.9344262295081922E-2</v>
      </c>
      <c r="AT99" s="1743">
        <f t="shared" si="204"/>
        <v>-1.9542362399505255</v>
      </c>
      <c r="AU99" s="1743">
        <f t="shared" si="204"/>
        <v>-0.85162423178226554</v>
      </c>
      <c r="AV99" s="2003">
        <f t="shared" si="204"/>
        <v>-0.85026737967914467</v>
      </c>
      <c r="AW99" s="1743">
        <f t="shared" si="204"/>
        <v>-0.34438023351810365</v>
      </c>
      <c r="AX99" s="1743">
        <f t="shared" si="204"/>
        <v>-0.24754588134869815</v>
      </c>
      <c r="AY99" s="1743">
        <f t="shared" si="204"/>
        <v>-0.36352484154569598</v>
      </c>
      <c r="AZ99" s="2003">
        <f t="shared" si="204"/>
        <v>-0.37882352941176456</v>
      </c>
      <c r="BA99" s="1743">
        <f t="shared" si="204"/>
        <v>-0.23614049936521364</v>
      </c>
      <c r="BB99" s="1743">
        <f t="shared" si="204"/>
        <v>-0.22244434348023634</v>
      </c>
      <c r="BC99" s="1743">
        <f t="shared" si="204"/>
        <v>-0.29239907867620318</v>
      </c>
      <c r="BD99" s="2003">
        <f t="shared" si="204"/>
        <v>-0.2747955390334571</v>
      </c>
      <c r="BE99" s="2791"/>
      <c r="BF99" s="1969"/>
      <c r="BG99" s="1967"/>
      <c r="BH99" s="1967"/>
      <c r="BI99" s="1967"/>
      <c r="BJ99" s="1967"/>
      <c r="BK99" s="1967"/>
      <c r="BL99" s="1970" t="str">
        <f t="shared" ref="BL99:BM99" si="205">IF(ISERROR(BL96-BK96),"NA",(IF(BL96&lt;=0,"NM",BL96-BK96)))</f>
        <v>NA</v>
      </c>
      <c r="BM99" s="1972" t="str">
        <f t="shared" si="205"/>
        <v>NA</v>
      </c>
      <c r="BN99" s="1970"/>
      <c r="BO99" s="1970"/>
      <c r="BP99" s="198"/>
      <c r="BQ99" s="198"/>
      <c r="BR99" s="198"/>
      <c r="BS99" s="198"/>
      <c r="BT99" s="198"/>
      <c r="BU99" s="198"/>
      <c r="BV99" s="198"/>
      <c r="BW99" s="198"/>
      <c r="BX99" s="198"/>
      <c r="BY99" s="752"/>
      <c r="BZ99" s="1970"/>
      <c r="CA99" s="1964"/>
      <c r="CB99" s="1964"/>
      <c r="CC99" s="1964"/>
      <c r="CD99" s="1964"/>
      <c r="CE99" s="1964"/>
      <c r="CF99" s="1964"/>
      <c r="CG99" s="1964"/>
    </row>
    <row r="100" spans="1:85" s="1973" customFormat="1" ht="11.25" customHeight="1">
      <c r="A100" s="1964"/>
      <c r="B100" s="1964"/>
      <c r="C100" s="1964"/>
      <c r="D100" s="1964"/>
      <c r="E100" s="1964"/>
      <c r="F100" s="1964"/>
      <c r="G100" s="1964"/>
      <c r="H100" s="1965"/>
      <c r="I100" s="2018" t="s">
        <v>544</v>
      </c>
      <c r="J100" s="1966"/>
      <c r="K100" s="1966"/>
      <c r="L100" s="1966"/>
      <c r="M100" s="1970"/>
      <c r="N100" s="1970"/>
      <c r="O100" s="1970"/>
      <c r="P100" s="1970"/>
      <c r="Q100" s="1970"/>
      <c r="R100" s="1970"/>
      <c r="S100" s="1970"/>
      <c r="T100" s="1972"/>
      <c r="U100" s="1970"/>
      <c r="V100" s="1970"/>
      <c r="W100" s="1970"/>
      <c r="X100" s="1972"/>
      <c r="Y100" s="1970"/>
      <c r="Z100" s="1970"/>
      <c r="AA100" s="1970"/>
      <c r="AB100" s="1972"/>
      <c r="AC100" s="1970"/>
      <c r="AD100" s="1970"/>
      <c r="AE100" s="1970"/>
      <c r="AF100" s="1972"/>
      <c r="AG100" s="1970">
        <f t="shared" ref="AG100:BD100" si="206">+AG96-AF96</f>
        <v>57.41935483870968</v>
      </c>
      <c r="AH100" s="1970">
        <f t="shared" si="206"/>
        <v>-53.548387096774192</v>
      </c>
      <c r="AI100" s="1970">
        <f t="shared" si="206"/>
        <v>0.50403225806451601</v>
      </c>
      <c r="AJ100" s="1972">
        <f t="shared" si="206"/>
        <v>-0.375</v>
      </c>
      <c r="AK100" s="1970">
        <f t="shared" si="206"/>
        <v>0.76190476190476186</v>
      </c>
      <c r="AL100" s="1970">
        <f t="shared" si="206"/>
        <v>-2.0346320346320348</v>
      </c>
      <c r="AM100" s="1970">
        <f t="shared" si="206"/>
        <v>0.31620553359683834</v>
      </c>
      <c r="AN100" s="1970">
        <f t="shared" si="206"/>
        <v>-1.7934782608695654</v>
      </c>
      <c r="AO100" s="1971">
        <f t="shared" si="206"/>
        <v>0.35000000000000009</v>
      </c>
      <c r="AP100" s="1970">
        <f t="shared" si="206"/>
        <v>1.8693877551020406</v>
      </c>
      <c r="AQ100" s="1970">
        <f t="shared" si="206"/>
        <v>-0.52821128451380517</v>
      </c>
      <c r="AR100" s="1972">
        <f t="shared" si="206"/>
        <v>-3.2085561497326331E-2</v>
      </c>
      <c r="AS100" s="1970">
        <f t="shared" si="206"/>
        <v>-1.2697466467958272</v>
      </c>
      <c r="AT100" s="1970">
        <f t="shared" si="206"/>
        <v>-0.12419274714356687</v>
      </c>
      <c r="AU100" s="1970">
        <f t="shared" si="206"/>
        <v>0.57440072365445483</v>
      </c>
      <c r="AV100" s="1972">
        <f t="shared" si="206"/>
        <v>-3.0728709394205467E-2</v>
      </c>
      <c r="AW100" s="1970">
        <f t="shared" si="206"/>
        <v>-0.76385950063478614</v>
      </c>
      <c r="AX100" s="1970">
        <f t="shared" si="206"/>
        <v>-2.7358394974161371E-2</v>
      </c>
      <c r="AY100" s="1970">
        <f t="shared" si="206"/>
        <v>0.458421763457457</v>
      </c>
      <c r="AZ100" s="1972">
        <f t="shared" si="206"/>
        <v>-4.602739726027405E-2</v>
      </c>
      <c r="BA100" s="1970">
        <f t="shared" si="206"/>
        <v>-0.62117647058823522</v>
      </c>
      <c r="BB100" s="1970">
        <f t="shared" si="206"/>
        <v>-1.3662239089184069E-2</v>
      </c>
      <c r="BC100" s="1970">
        <f t="shared" si="206"/>
        <v>0.38846702826149015</v>
      </c>
      <c r="BD100" s="1972">
        <f t="shared" si="206"/>
        <v>-2.842385761752797E-2</v>
      </c>
      <c r="BE100" s="2791"/>
      <c r="BF100" s="1969"/>
      <c r="BG100" s="1967"/>
      <c r="BH100" s="1967"/>
      <c r="BI100" s="1970"/>
      <c r="BJ100" s="1970"/>
      <c r="BK100" s="1970"/>
      <c r="BL100" s="1970"/>
      <c r="BM100" s="1972"/>
      <c r="BN100" s="1970"/>
      <c r="BO100" s="1970"/>
      <c r="BP100" s="1970"/>
      <c r="BQ100" s="1970"/>
      <c r="BR100" s="1970"/>
      <c r="BS100" s="1970"/>
      <c r="BT100" s="1970"/>
      <c r="BU100" s="1970"/>
      <c r="BV100" s="1970"/>
      <c r="BW100" s="1970"/>
      <c r="BX100" s="1970"/>
      <c r="BY100" s="1972"/>
      <c r="BZ100" s="1970"/>
      <c r="CA100" s="1964"/>
      <c r="CB100" s="1964"/>
      <c r="CC100" s="1964"/>
      <c r="CD100" s="1964"/>
      <c r="CE100" s="1964"/>
      <c r="CF100" s="1964"/>
      <c r="CG100" s="1964"/>
    </row>
    <row r="101" spans="1:85" s="1973" customFormat="1" ht="11.25" customHeight="1">
      <c r="A101" s="1964"/>
      <c r="B101" s="1964"/>
      <c r="C101" s="1964"/>
      <c r="D101" s="1964"/>
      <c r="E101" s="1964"/>
      <c r="F101" s="1964"/>
      <c r="G101" s="1964"/>
      <c r="H101" s="1965"/>
      <c r="I101" s="2018" t="s">
        <v>146</v>
      </c>
      <c r="J101" s="1966"/>
      <c r="K101" s="1966"/>
      <c r="L101" s="1966"/>
      <c r="M101" s="1970"/>
      <c r="N101" s="1970"/>
      <c r="O101" s="1970"/>
      <c r="P101" s="1970"/>
      <c r="Q101" s="1970"/>
      <c r="R101" s="1970"/>
      <c r="S101" s="1970"/>
      <c r="T101" s="1972"/>
      <c r="U101" s="1970"/>
      <c r="V101" s="1970"/>
      <c r="W101" s="1970"/>
      <c r="X101" s="1972"/>
      <c r="Y101" s="1970"/>
      <c r="Z101" s="1970"/>
      <c r="AA101" s="403"/>
      <c r="AB101" s="1261"/>
      <c r="AC101" s="403"/>
      <c r="AD101" s="403"/>
      <c r="AE101" s="403"/>
      <c r="AF101" s="1261"/>
      <c r="AG101" s="403"/>
      <c r="AH101" s="403">
        <f t="shared" ref="AH101:BD101" si="207">+AH96/AG96-1</f>
        <v>-0.93258426966292141</v>
      </c>
      <c r="AI101" s="403">
        <f t="shared" si="207"/>
        <v>0.13020833333333326</v>
      </c>
      <c r="AJ101" s="1261">
        <f t="shared" si="207"/>
        <v>-8.5714285714285743E-2</v>
      </c>
      <c r="AK101" s="403">
        <f t="shared" si="207"/>
        <v>0.19047619047619047</v>
      </c>
      <c r="AL101" s="403">
        <f t="shared" si="207"/>
        <v>-0.42727272727272736</v>
      </c>
      <c r="AM101" s="403">
        <f t="shared" si="207"/>
        <v>0.11594202898550732</v>
      </c>
      <c r="AN101" s="403">
        <f t="shared" si="207"/>
        <v>-0.5892857142857143</v>
      </c>
      <c r="AO101" s="1260">
        <f t="shared" si="207"/>
        <v>0.28000000000000003</v>
      </c>
      <c r="AP101" s="403">
        <f t="shared" si="207"/>
        <v>1.1683673469387754</v>
      </c>
      <c r="AQ101" s="403">
        <f t="shared" si="207"/>
        <v>-0.15224913494809678</v>
      </c>
      <c r="AR101" s="1261">
        <f t="shared" si="207"/>
        <v>-1.0909090909090979E-2</v>
      </c>
      <c r="AS101" s="403">
        <f t="shared" si="207"/>
        <v>-0.43647540983606559</v>
      </c>
      <c r="AT101" s="403">
        <f t="shared" si="207"/>
        <v>-7.5757575757575801E-2</v>
      </c>
      <c r="AU101" s="403">
        <f t="shared" si="207"/>
        <v>0.3791044776119401</v>
      </c>
      <c r="AV101" s="1261">
        <f t="shared" si="207"/>
        <v>-1.4705882352941235E-2</v>
      </c>
      <c r="AW101" s="403">
        <f t="shared" si="207"/>
        <v>-0.37101747173689614</v>
      </c>
      <c r="AX101" s="403">
        <f t="shared" si="207"/>
        <v>-2.1126760563380143E-2</v>
      </c>
      <c r="AY101" s="403">
        <f t="shared" si="207"/>
        <v>0.3616438356164382</v>
      </c>
      <c r="AZ101" s="1261">
        <f t="shared" si="207"/>
        <v>-2.6666666666666727E-2</v>
      </c>
      <c r="BA101" s="403">
        <f t="shared" si="207"/>
        <v>-0.36974789915966388</v>
      </c>
      <c r="BB101" s="403">
        <f t="shared" si="207"/>
        <v>-1.2903225806451646E-2</v>
      </c>
      <c r="BC101" s="403">
        <f t="shared" si="207"/>
        <v>0.37168141592920345</v>
      </c>
      <c r="BD101" s="1261">
        <f t="shared" si="207"/>
        <v>-1.9826517967781898E-2</v>
      </c>
      <c r="BE101" s="2489"/>
      <c r="BF101" s="1967"/>
      <c r="BG101" s="1967"/>
      <c r="BH101" s="1967"/>
      <c r="BI101" s="1970"/>
      <c r="BJ101" s="1970"/>
      <c r="BK101" s="1970"/>
      <c r="BL101" s="1970"/>
      <c r="BM101" s="1972"/>
      <c r="BN101" s="1970"/>
      <c r="BO101" s="1970"/>
      <c r="BP101" s="1970"/>
      <c r="BQ101" s="1970"/>
      <c r="BR101" s="1970"/>
      <c r="BS101" s="1970"/>
      <c r="BT101" s="1970"/>
      <c r="BU101" s="1970"/>
      <c r="BV101" s="1970"/>
      <c r="BW101" s="1970"/>
      <c r="BX101" s="1970"/>
      <c r="BY101" s="1972"/>
      <c r="BZ101" s="1970"/>
      <c r="CA101" s="1964"/>
      <c r="CB101" s="1964"/>
      <c r="CC101" s="1964"/>
      <c r="CD101" s="1964"/>
      <c r="CE101" s="1964"/>
      <c r="CF101" s="1964"/>
      <c r="CG101" s="1964"/>
    </row>
    <row r="102" spans="1:85" ht="11.25" customHeight="1">
      <c r="I102" s="814"/>
      <c r="J102" s="106"/>
      <c r="M102" s="42"/>
      <c r="N102" s="42"/>
      <c r="O102" s="42"/>
      <c r="P102" s="42"/>
      <c r="Q102" s="42"/>
      <c r="R102" s="42"/>
      <c r="S102" s="42"/>
      <c r="T102" s="883"/>
      <c r="U102" s="42"/>
      <c r="V102" s="42"/>
      <c r="W102" s="42"/>
      <c r="X102" s="883"/>
      <c r="Y102" s="42"/>
      <c r="Z102" s="42"/>
      <c r="AA102" s="42"/>
      <c r="AB102" s="883"/>
      <c r="AC102" s="42"/>
      <c r="AD102" s="42"/>
      <c r="AE102" s="42"/>
      <c r="AF102" s="883"/>
      <c r="AJ102" s="830"/>
      <c r="AL102" s="40"/>
      <c r="AN102" s="106"/>
      <c r="AO102" s="814"/>
      <c r="AR102" s="830"/>
      <c r="AS102" s="2455"/>
      <c r="AT102" s="2455"/>
      <c r="AU102" s="2455"/>
      <c r="AV102" s="2456"/>
      <c r="AW102" s="2455"/>
      <c r="AX102" s="2455"/>
      <c r="AY102" s="2455"/>
      <c r="AZ102" s="2456"/>
      <c r="BA102" s="2455">
        <f>BV85</f>
        <v>15.7464</v>
      </c>
      <c r="BB102" s="2455">
        <f>BW85</f>
        <v>14.171759999999999</v>
      </c>
      <c r="BC102" s="2014">
        <f>BX85</f>
        <v>12.754583999999999</v>
      </c>
      <c r="BD102" s="830"/>
      <c r="BE102" s="883"/>
      <c r="BM102" s="830"/>
      <c r="BY102" s="830"/>
    </row>
    <row r="103" spans="1:85" s="1990" customFormat="1" ht="11.25" customHeight="1">
      <c r="I103" s="2019"/>
      <c r="J103" s="1986"/>
      <c r="K103" s="1986"/>
      <c r="L103" s="1986"/>
      <c r="M103" s="1970"/>
      <c r="N103" s="1970"/>
      <c r="O103" s="1970"/>
      <c r="P103" s="1970"/>
      <c r="Q103" s="1970"/>
      <c r="R103" s="1970"/>
      <c r="S103" s="1970"/>
      <c r="T103" s="1972"/>
      <c r="U103" s="1970"/>
      <c r="V103" s="1970"/>
      <c r="W103" s="1970"/>
      <c r="X103" s="1970"/>
      <c r="Y103" s="1971"/>
      <c r="Z103" s="1970"/>
      <c r="AA103" s="1970"/>
      <c r="AB103" s="1972"/>
      <c r="AC103" s="403"/>
      <c r="AD103" s="403"/>
      <c r="AE103" s="403"/>
      <c r="AF103" s="1261"/>
      <c r="AG103" s="403"/>
      <c r="AH103" s="403"/>
      <c r="AI103" s="403"/>
      <c r="AJ103" s="1261"/>
      <c r="AK103" s="403"/>
      <c r="AL103" s="403"/>
      <c r="AM103" s="901"/>
      <c r="AN103" s="901"/>
      <c r="AO103" s="1260"/>
      <c r="AP103" s="901"/>
      <c r="AQ103" s="901"/>
      <c r="AR103" s="902"/>
      <c r="AS103" s="901"/>
      <c r="AT103" s="901"/>
      <c r="AU103" s="901"/>
      <c r="AV103" s="902"/>
      <c r="AW103" s="901"/>
      <c r="AX103" s="901"/>
      <c r="AY103" s="901"/>
      <c r="AZ103" s="902"/>
      <c r="BA103" s="901"/>
      <c r="BB103" s="901"/>
      <c r="BC103" s="901"/>
      <c r="BD103" s="902"/>
      <c r="BE103" s="2489"/>
      <c r="BF103" s="1970"/>
      <c r="BG103" s="1970"/>
      <c r="BH103" s="1970"/>
      <c r="BI103" s="1970"/>
      <c r="BJ103" s="1970"/>
      <c r="BK103" s="1970"/>
      <c r="BL103" s="1970"/>
      <c r="BM103" s="1972"/>
      <c r="BN103" s="1970"/>
      <c r="BO103" s="1970"/>
      <c r="BP103" s="1970"/>
      <c r="BQ103" s="1970"/>
      <c r="BR103" s="1970"/>
      <c r="BS103" s="1970"/>
      <c r="BT103" s="1970"/>
      <c r="BU103" s="1970"/>
      <c r="BV103" s="1970"/>
      <c r="BW103" s="1970"/>
      <c r="BX103" s="1970"/>
      <c r="BY103" s="1972"/>
      <c r="BZ103" s="1970"/>
    </row>
    <row r="104" spans="1:85" s="83" customFormat="1" ht="11.25" customHeight="1">
      <c r="A104" s="1163"/>
      <c r="B104" s="1163"/>
      <c r="C104" s="1163"/>
      <c r="D104" s="1163"/>
      <c r="E104" s="1163"/>
      <c r="F104" s="1163"/>
      <c r="G104" s="1163"/>
      <c r="H104" s="1163"/>
      <c r="I104" s="2688"/>
      <c r="J104" s="2689"/>
      <c r="K104" s="2690"/>
      <c r="L104" s="2690"/>
      <c r="M104" s="2691"/>
      <c r="N104" s="2690"/>
      <c r="O104" s="2690"/>
      <c r="P104" s="2690"/>
      <c r="Q104" s="2692"/>
      <c r="R104" s="2692"/>
      <c r="S104" s="2692"/>
      <c r="T104" s="2274"/>
      <c r="U104" s="2692"/>
      <c r="V104" s="2692"/>
      <c r="W104" s="2692"/>
      <c r="X104" s="2274"/>
      <c r="Y104" s="2692"/>
      <c r="Z104" s="2692"/>
      <c r="AA104" s="2692"/>
      <c r="AB104" s="2692"/>
      <c r="AC104" s="2693"/>
      <c r="AD104" s="2692"/>
      <c r="AE104" s="2692"/>
      <c r="AF104" s="2274"/>
      <c r="AG104" s="2692"/>
      <c r="AH104" s="2692"/>
      <c r="AI104" s="2694"/>
      <c r="AJ104" s="2274"/>
      <c r="AK104" s="2692"/>
      <c r="AL104" s="2692"/>
      <c r="AM104" s="2692"/>
      <c r="AN104" s="2692"/>
      <c r="AO104" s="2693"/>
      <c r="AP104" s="2842"/>
      <c r="AQ104" s="2842"/>
      <c r="AR104" s="2274"/>
      <c r="AS104" s="2692"/>
      <c r="AT104" s="2692"/>
      <c r="AU104" s="2692"/>
      <c r="AV104" s="2274"/>
      <c r="AW104" s="2692"/>
      <c r="AX104" s="2692"/>
      <c r="AY104" s="2692"/>
      <c r="AZ104" s="2274"/>
      <c r="BA104" s="2692"/>
      <c r="BB104" s="2692"/>
      <c r="BC104" s="2692"/>
      <c r="BD104" s="2274"/>
      <c r="BE104" s="1167"/>
      <c r="BF104" s="2745"/>
      <c r="BG104" s="2690"/>
      <c r="BH104" s="2690"/>
      <c r="BI104" s="2690"/>
      <c r="BJ104" s="2746"/>
      <c r="BK104" s="2692"/>
      <c r="BL104" s="2692"/>
      <c r="BM104" s="2274"/>
      <c r="BN104" s="2692"/>
      <c r="BO104" s="2692"/>
      <c r="BP104" s="2692"/>
      <c r="BQ104" s="2692"/>
      <c r="BR104" s="2692"/>
      <c r="BS104" s="2692"/>
      <c r="BT104" s="2692"/>
      <c r="BU104" s="2692"/>
      <c r="BV104" s="2692"/>
      <c r="BW104" s="2692"/>
      <c r="BX104" s="2692"/>
      <c r="BY104" s="2274"/>
      <c r="BZ104" s="268"/>
      <c r="CA104" s="404"/>
      <c r="CB104" s="264"/>
      <c r="CC104" s="264"/>
      <c r="CD104" s="264"/>
      <c r="CE104" s="264"/>
      <c r="CF104" s="264"/>
      <c r="CG104" s="264"/>
    </row>
    <row r="105" spans="1:85" ht="11.25" customHeight="1">
      <c r="A105" s="86"/>
      <c r="B105" s="86"/>
      <c r="C105" s="86"/>
      <c r="D105" s="86"/>
      <c r="E105" s="86"/>
      <c r="F105" s="86"/>
      <c r="G105" s="86"/>
      <c r="H105" s="328"/>
      <c r="I105" s="100"/>
      <c r="J105" s="193"/>
      <c r="K105" s="67"/>
      <c r="L105" s="67"/>
      <c r="M105" s="409"/>
      <c r="N105" s="409"/>
      <c r="O105" s="409"/>
      <c r="P105" s="409"/>
      <c r="Q105" s="409"/>
      <c r="R105" s="409"/>
      <c r="S105" s="409"/>
      <c r="T105" s="409"/>
      <c r="U105" s="266"/>
      <c r="V105" s="276"/>
      <c r="W105" s="276"/>
      <c r="X105" s="276"/>
      <c r="Y105" s="276"/>
      <c r="Z105" s="276"/>
      <c r="AA105" s="276"/>
      <c r="AB105" s="276"/>
      <c r="AC105" s="276"/>
      <c r="AD105" s="276"/>
      <c r="AE105" s="276"/>
      <c r="AF105" s="276"/>
      <c r="AG105" s="332"/>
      <c r="AH105" s="332"/>
      <c r="AI105" s="332"/>
      <c r="AJ105" s="332"/>
      <c r="AK105" s="332"/>
      <c r="AL105" s="332"/>
      <c r="AM105" s="332"/>
      <c r="AN105" s="332"/>
      <c r="AO105" s="755"/>
      <c r="AP105" s="332"/>
      <c r="AQ105" s="332"/>
      <c r="AR105" s="756"/>
      <c r="AS105" s="332"/>
      <c r="AT105" s="332"/>
      <c r="AU105" s="332"/>
      <c r="AV105" s="332"/>
      <c r="AW105" s="332"/>
      <c r="AX105" s="332"/>
      <c r="AY105" s="332"/>
      <c r="AZ105" s="332"/>
      <c r="BA105" s="332"/>
      <c r="BB105" s="332"/>
      <c r="BC105" s="332"/>
      <c r="BD105" s="332"/>
      <c r="BE105" s="276"/>
      <c r="BF105" s="332"/>
      <c r="BG105" s="332"/>
      <c r="BH105" s="332"/>
      <c r="BI105" s="332"/>
      <c r="BJ105" s="332"/>
      <c r="BK105" s="332"/>
      <c r="BL105" s="332"/>
      <c r="BM105" s="332"/>
      <c r="BN105" s="332"/>
      <c r="BO105" s="332"/>
      <c r="BP105" s="332"/>
      <c r="BQ105" s="332"/>
      <c r="BR105" s="332"/>
      <c r="BS105" s="332"/>
      <c r="BT105" s="332"/>
      <c r="BU105" s="332"/>
      <c r="BV105" s="332"/>
      <c r="BW105" s="332"/>
      <c r="BX105" s="332"/>
      <c r="BY105" s="332"/>
      <c r="BZ105" s="276"/>
      <c r="CA105" s="80"/>
      <c r="CE105" s="88"/>
      <c r="CF105" s="88"/>
      <c r="CG105" s="88"/>
    </row>
    <row r="106" spans="1:85" s="106" customFormat="1" ht="11.25" customHeight="1">
      <c r="A106" s="54"/>
      <c r="B106" s="54"/>
      <c r="C106" s="54"/>
      <c r="D106" s="54"/>
      <c r="E106" s="54"/>
      <c r="F106" s="54"/>
      <c r="G106" s="54"/>
      <c r="H106" s="83"/>
      <c r="I106" s="769" t="s">
        <v>680</v>
      </c>
      <c r="J106" s="324"/>
      <c r="K106" s="324"/>
      <c r="L106" s="324"/>
      <c r="M106" s="325"/>
      <c r="N106" s="325"/>
      <c r="O106" s="325"/>
      <c r="P106" s="325"/>
      <c r="Q106" s="325"/>
      <c r="R106" s="325"/>
      <c r="S106" s="325"/>
      <c r="T106" s="325"/>
      <c r="U106" s="788"/>
      <c r="V106" s="325"/>
      <c r="W106" s="325"/>
      <c r="X106" s="747"/>
      <c r="Y106" s="325"/>
      <c r="Z106" s="325"/>
      <c r="AA106" s="325"/>
      <c r="AB106" s="325"/>
      <c r="AC106" s="746"/>
      <c r="AD106" s="325"/>
      <c r="AE106" s="325"/>
      <c r="AF106" s="747"/>
      <c r="AG106" s="325"/>
      <c r="AH106" s="325"/>
      <c r="AI106" s="325"/>
      <c r="AJ106" s="747"/>
      <c r="AK106" s="325"/>
      <c r="AL106" s="325"/>
      <c r="AM106" s="325"/>
      <c r="AN106" s="747"/>
      <c r="AO106" s="325"/>
      <c r="AP106" s="325"/>
      <c r="AQ106" s="325"/>
      <c r="AR106" s="1657"/>
      <c r="AS106" s="325"/>
      <c r="AT106" s="325"/>
      <c r="AU106" s="325"/>
      <c r="AV106" s="747"/>
      <c r="AW106" s="325"/>
      <c r="AX106" s="325"/>
      <c r="AY106" s="325"/>
      <c r="AZ106" s="747"/>
      <c r="BA106" s="325"/>
      <c r="BB106" s="325"/>
      <c r="BC106" s="325"/>
      <c r="BD106" s="747"/>
      <c r="BE106" s="335"/>
      <c r="BF106" s="781"/>
      <c r="BG106" s="323"/>
      <c r="BH106" s="323"/>
      <c r="BI106" s="323"/>
      <c r="BJ106" s="323"/>
      <c r="BK106" s="323"/>
      <c r="BL106" s="323"/>
      <c r="BM106" s="782"/>
      <c r="BN106" s="1418"/>
      <c r="BO106" s="323"/>
      <c r="BP106" s="323"/>
      <c r="BQ106" s="323"/>
      <c r="BR106" s="323"/>
      <c r="BS106" s="323"/>
      <c r="BT106" s="323"/>
      <c r="BU106" s="323"/>
      <c r="BV106" s="323"/>
      <c r="BW106" s="323"/>
      <c r="BX106" s="323"/>
      <c r="BY106" s="782"/>
      <c r="BZ106" s="68"/>
      <c r="CA106" s="54"/>
      <c r="CB106" s="54"/>
      <c r="CC106" s="54"/>
      <c r="CD106" s="54"/>
      <c r="CE106" s="54"/>
      <c r="CF106" s="54"/>
      <c r="CG106" s="54"/>
    </row>
    <row r="107" spans="1:85" s="42" customFormat="1" ht="11.25" hidden="1" customHeight="1" outlineLevel="1">
      <c r="I107" s="463" t="s">
        <v>618</v>
      </c>
      <c r="J107" s="321"/>
      <c r="K107" s="321"/>
      <c r="L107" s="321"/>
      <c r="M107" s="68"/>
      <c r="N107" s="68"/>
      <c r="O107" s="68"/>
      <c r="P107" s="68"/>
      <c r="Q107" s="68"/>
      <c r="R107" s="68"/>
      <c r="S107" s="68"/>
      <c r="T107" s="68"/>
      <c r="U107" s="507"/>
      <c r="V107" s="68"/>
      <c r="W107" s="68"/>
      <c r="X107" s="475"/>
      <c r="Y107" s="68"/>
      <c r="Z107" s="68"/>
      <c r="AA107" s="68"/>
      <c r="AB107" s="68"/>
      <c r="AC107" s="507"/>
      <c r="AD107" s="68"/>
      <c r="AE107" s="68"/>
      <c r="AF107" s="475"/>
      <c r="AG107" s="2294">
        <f>Model!AG21</f>
        <v>13.311</v>
      </c>
      <c r="AH107" s="2294">
        <f>Model!AH21</f>
        <v>17.728000000000002</v>
      </c>
      <c r="AI107" s="2294">
        <f>Model!AI21</f>
        <v>18.649000000000001</v>
      </c>
      <c r="AJ107" s="2295">
        <f>Model!AJ21</f>
        <v>20.775000000000002</v>
      </c>
      <c r="AK107" s="2294">
        <f>Model!AK21</f>
        <v>20.497</v>
      </c>
      <c r="AL107" s="2294">
        <f>Model!AL21</f>
        <v>21.548999999999999</v>
      </c>
      <c r="AM107" s="2294">
        <f>Model!AM21</f>
        <v>22.7</v>
      </c>
      <c r="AN107" s="2295">
        <f>Model!AN21</f>
        <v>23.700000000000003</v>
      </c>
      <c r="AO107" s="2294">
        <f>Model!AO21</f>
        <v>20.3</v>
      </c>
      <c r="AP107" s="2294" t="e">
        <f>Model!AP21</f>
        <v>#REF!</v>
      </c>
      <c r="AQ107" s="2294" t="e">
        <f>Model!AQ21</f>
        <v>#REF!</v>
      </c>
      <c r="AR107" s="2295" t="e">
        <f>Model!AR21</f>
        <v>#REF!</v>
      </c>
      <c r="AS107" s="2294" t="e">
        <f>Model!AS21</f>
        <v>#REF!</v>
      </c>
      <c r="AT107" s="2294" t="e">
        <f>Model!AT21</f>
        <v>#REF!</v>
      </c>
      <c r="AU107" s="2294" t="e">
        <f>Model!AU21</f>
        <v>#REF!</v>
      </c>
      <c r="AV107" s="2295" t="e">
        <f>Model!AV21</f>
        <v>#REF!</v>
      </c>
      <c r="AW107" s="2294" t="e">
        <f>Model!AW21</f>
        <v>#REF!</v>
      </c>
      <c r="AX107" s="2294" t="e">
        <f>Model!AX21</f>
        <v>#REF!</v>
      </c>
      <c r="AY107" s="2294" t="e">
        <f>Model!AY21</f>
        <v>#REF!</v>
      </c>
      <c r="AZ107" s="2295" t="e">
        <f>Model!AZ21</f>
        <v>#REF!</v>
      </c>
      <c r="BA107" s="2294" t="e">
        <f>Model!BA21</f>
        <v>#REF!</v>
      </c>
      <c r="BB107" s="2294" t="e">
        <f>Model!BB21</f>
        <v>#REF!</v>
      </c>
      <c r="BC107" s="2294" t="e">
        <f>Model!BC21</f>
        <v>#REF!</v>
      </c>
      <c r="BD107" s="2295" t="e">
        <f>Model!BD21</f>
        <v>#REF!</v>
      </c>
      <c r="BE107" s="2484"/>
      <c r="BF107" s="507"/>
      <c r="BG107" s="68"/>
      <c r="BH107" s="68"/>
      <c r="BI107" s="68"/>
      <c r="BJ107" s="68"/>
      <c r="BK107" s="68"/>
      <c r="BL107" s="68"/>
      <c r="BM107" s="475"/>
      <c r="BN107" s="428">
        <f>Model!BO21</f>
        <v>23.902000000000001</v>
      </c>
      <c r="BO107" s="428">
        <f>Model!BP21</f>
        <v>70.463000000000008</v>
      </c>
      <c r="BP107" s="428">
        <f>Model!BQ21</f>
        <v>88.445999999999998</v>
      </c>
      <c r="BQ107" s="428" t="e">
        <f>Model!BR21</f>
        <v>#REF!</v>
      </c>
      <c r="BR107" s="428" t="e">
        <f>Model!BS21</f>
        <v>#REF!</v>
      </c>
      <c r="BS107" s="428" t="e">
        <f>Model!BT21</f>
        <v>#REF!</v>
      </c>
      <c r="BT107" s="428" t="e">
        <f>Model!BU21</f>
        <v>#REF!</v>
      </c>
      <c r="BU107" s="428">
        <f>Model!BV21</f>
        <v>0</v>
      </c>
      <c r="BV107" s="428">
        <f>Model!BW21</f>
        <v>0</v>
      </c>
      <c r="BW107" s="428">
        <f>Model!BX21</f>
        <v>0</v>
      </c>
      <c r="BX107" s="428">
        <f>Model!BY21</f>
        <v>0</v>
      </c>
      <c r="BY107" s="471">
        <f>Model!BZ21</f>
        <v>0</v>
      </c>
      <c r="BZ107" s="2294"/>
    </row>
    <row r="108" spans="1:85" s="42" customFormat="1" ht="11.25" hidden="1" customHeight="1" outlineLevel="1">
      <c r="I108" s="463"/>
      <c r="J108" s="321"/>
      <c r="K108" s="321"/>
      <c r="L108" s="321"/>
      <c r="M108" s="68"/>
      <c r="N108" s="68"/>
      <c r="O108" s="68"/>
      <c r="P108" s="68"/>
      <c r="Q108" s="68"/>
      <c r="R108" s="68"/>
      <c r="S108" s="68"/>
      <c r="T108" s="68"/>
      <c r="U108" s="507"/>
      <c r="V108" s="68"/>
      <c r="W108" s="68"/>
      <c r="X108" s="475"/>
      <c r="Y108" s="68"/>
      <c r="Z108" s="68"/>
      <c r="AA108" s="68"/>
      <c r="AB108" s="68"/>
      <c r="AC108" s="507"/>
      <c r="AD108" s="68"/>
      <c r="AE108" s="68"/>
      <c r="AF108" s="475"/>
      <c r="AG108" s="68"/>
      <c r="AH108" s="68"/>
      <c r="AI108" s="68"/>
      <c r="AJ108" s="475"/>
      <c r="AK108" s="68"/>
      <c r="AL108" s="68"/>
      <c r="AM108" s="68"/>
      <c r="AN108" s="475"/>
      <c r="AO108" s="68"/>
      <c r="AR108" s="475"/>
      <c r="AS108" s="68"/>
      <c r="AT108" s="68"/>
      <c r="AU108" s="68"/>
      <c r="AV108" s="475"/>
      <c r="AW108" s="68"/>
      <c r="AX108" s="1162"/>
      <c r="AY108" s="1162"/>
      <c r="AZ108" s="475"/>
      <c r="BA108" s="68"/>
      <c r="BB108" s="68"/>
      <c r="BC108" s="68"/>
      <c r="BD108" s="475"/>
      <c r="BE108" s="68"/>
      <c r="BF108" s="507"/>
      <c r="BG108" s="68"/>
      <c r="BH108" s="68"/>
      <c r="BI108" s="68"/>
      <c r="BJ108" s="68"/>
      <c r="BK108" s="68"/>
      <c r="BL108" s="68"/>
      <c r="BM108" s="475"/>
      <c r="BN108" s="507"/>
      <c r="BO108" s="292"/>
      <c r="BP108" s="68"/>
      <c r="BQ108" s="68"/>
      <c r="BR108" s="68"/>
      <c r="BS108" s="68"/>
      <c r="BT108" s="68"/>
      <c r="BU108" s="68"/>
      <c r="BV108" s="68"/>
      <c r="BW108" s="68"/>
      <c r="BX108" s="68"/>
      <c r="BY108" s="475"/>
      <c r="BZ108" s="292"/>
    </row>
    <row r="109" spans="1:85" s="41" customFormat="1" ht="11.25" hidden="1" customHeight="1" outlineLevel="1">
      <c r="A109" s="91"/>
      <c r="B109" s="91"/>
      <c r="C109" s="91"/>
      <c r="D109" s="91"/>
      <c r="E109" s="91"/>
      <c r="F109" s="91"/>
      <c r="G109" s="91"/>
      <c r="H109" s="1349"/>
      <c r="I109" s="783" t="s">
        <v>628</v>
      </c>
      <c r="J109" s="343"/>
      <c r="K109" s="331"/>
      <c r="L109" s="331"/>
      <c r="M109" s="910">
        <f>Model!M21</f>
        <v>0.113</v>
      </c>
      <c r="N109" s="910">
        <f>Model!N21</f>
        <v>0.113</v>
      </c>
      <c r="O109" s="910">
        <f>Model!O21</f>
        <v>0.51900000000000002</v>
      </c>
      <c r="P109" s="910">
        <f>Model!P21</f>
        <v>1.181</v>
      </c>
      <c r="Q109" s="910">
        <f>Model!Q21</f>
        <v>1.6950000000000001</v>
      </c>
      <c r="R109" s="910">
        <f>Model!R21</f>
        <v>1.75</v>
      </c>
      <c r="S109" s="910">
        <f>Model!S21</f>
        <v>1.9570000000000001</v>
      </c>
      <c r="T109" s="910">
        <f>Model!T21</f>
        <v>1.724</v>
      </c>
      <c r="U109" s="915">
        <f>Model!U21</f>
        <v>1.9179999999999999</v>
      </c>
      <c r="V109" s="910">
        <f>Model!V21</f>
        <v>1.6950000000000001</v>
      </c>
      <c r="W109" s="910">
        <f>Model!W21</f>
        <v>2</v>
      </c>
      <c r="X109" s="916">
        <f>Model!X21</f>
        <v>2.2149999999999999</v>
      </c>
      <c r="Y109" s="910">
        <f>Model!Y21</f>
        <v>2.5</v>
      </c>
      <c r="Z109" s="910">
        <f>Model!Z21</f>
        <v>3.17</v>
      </c>
      <c r="AA109" s="910">
        <f>Model!AA21</f>
        <v>3.1040000000000001</v>
      </c>
      <c r="AB109" s="910">
        <f>Model!AB21</f>
        <v>3.355</v>
      </c>
      <c r="AC109" s="915">
        <f>Model!AC21</f>
        <v>3.75</v>
      </c>
      <c r="AD109" s="910">
        <f>Model!AD21</f>
        <v>4.0469999999999997</v>
      </c>
      <c r="AE109" s="910">
        <f>Model!AE21</f>
        <v>8.0050000000000008</v>
      </c>
      <c r="AF109" s="916">
        <f>Model!AF21</f>
        <v>8.1</v>
      </c>
      <c r="AG109" s="915" t="e">
        <f t="shared" ref="AG109:AO109" si="208">AG107-AG144</f>
        <v>#REF!</v>
      </c>
      <c r="AH109" s="910" t="e">
        <f t="shared" si="208"/>
        <v>#REF!</v>
      </c>
      <c r="AI109" s="910" t="e">
        <f t="shared" si="208"/>
        <v>#REF!</v>
      </c>
      <c r="AJ109" s="916" t="e">
        <f t="shared" si="208"/>
        <v>#REF!</v>
      </c>
      <c r="AK109" s="2296" t="e">
        <f t="shared" si="208"/>
        <v>#REF!</v>
      </c>
      <c r="AL109" s="2296" t="e">
        <f t="shared" si="208"/>
        <v>#REF!</v>
      </c>
      <c r="AM109" s="2296" t="e">
        <f t="shared" si="208"/>
        <v>#REF!</v>
      </c>
      <c r="AN109" s="2566" t="e">
        <f t="shared" si="208"/>
        <v>#REF!</v>
      </c>
      <c r="AO109" s="2645" t="e">
        <f t="shared" si="208"/>
        <v>#REF!</v>
      </c>
      <c r="AP109" s="918" t="e">
        <f>AO109+AP110</f>
        <v>#REF!</v>
      </c>
      <c r="AQ109" s="918" t="e">
        <f>AP109+AQ110</f>
        <v>#REF!</v>
      </c>
      <c r="AR109" s="918" t="e">
        <f>AQ109+AR110</f>
        <v>#REF!</v>
      </c>
      <c r="AS109" s="918" t="e">
        <f t="shared" ref="AS109:BD109" si="209">AR109+AS110</f>
        <v>#REF!</v>
      </c>
      <c r="AT109" s="918" t="e">
        <f t="shared" si="209"/>
        <v>#REF!</v>
      </c>
      <c r="AU109" s="918" t="e">
        <f t="shared" si="209"/>
        <v>#REF!</v>
      </c>
      <c r="AV109" s="917" t="e">
        <f t="shared" si="209"/>
        <v>#REF!</v>
      </c>
      <c r="AW109" s="918" t="e">
        <f t="shared" si="209"/>
        <v>#REF!</v>
      </c>
      <c r="AX109" s="918" t="e">
        <f t="shared" si="209"/>
        <v>#REF!</v>
      </c>
      <c r="AY109" s="918" t="e">
        <f t="shared" si="209"/>
        <v>#REF!</v>
      </c>
      <c r="AZ109" s="917" t="e">
        <f t="shared" si="209"/>
        <v>#REF!</v>
      </c>
      <c r="BA109" s="918" t="e">
        <f t="shared" si="209"/>
        <v>#REF!</v>
      </c>
      <c r="BB109" s="918" t="e">
        <f t="shared" si="209"/>
        <v>#REF!</v>
      </c>
      <c r="BC109" s="918" t="e">
        <f t="shared" si="209"/>
        <v>#REF!</v>
      </c>
      <c r="BD109" s="917" t="e">
        <f t="shared" si="209"/>
        <v>#REF!</v>
      </c>
      <c r="BE109" s="1209"/>
      <c r="BF109" s="658"/>
      <c r="BG109" s="331"/>
      <c r="BH109" s="331">
        <f>Model!BI21</f>
        <v>0.127</v>
      </c>
      <c r="BI109" s="331">
        <f>Model!BJ21</f>
        <v>0.318</v>
      </c>
      <c r="BJ109" s="331">
        <f>SUM(M109:P109)</f>
        <v>1.9260000000000002</v>
      </c>
      <c r="BK109" s="331">
        <f>SUM(Q109:T109)</f>
        <v>7.1260000000000003</v>
      </c>
      <c r="BL109" s="331">
        <f>SUM(U109:X109)</f>
        <v>7.8279999999999994</v>
      </c>
      <c r="BM109" s="694">
        <f>SUM(Y109:AB109)</f>
        <v>12.129000000000001</v>
      </c>
      <c r="BN109" s="658">
        <f>SUM(AC109:AF109)</f>
        <v>23.902000000000001</v>
      </c>
      <c r="BO109" s="331" t="e">
        <f>SUM(AG109:AJ109)</f>
        <v>#REF!</v>
      </c>
      <c r="BP109" s="428" t="e">
        <f>SUM(AK109:AN109)</f>
        <v>#REF!</v>
      </c>
      <c r="BQ109" s="428" t="e">
        <f>SUM(AO109:AR109)</f>
        <v>#REF!</v>
      </c>
      <c r="BR109" s="428" t="e">
        <f>SUM(AS109:AV109)</f>
        <v>#REF!</v>
      </c>
      <c r="BS109" s="428" t="e">
        <f>SUM(AW109:AZ109)</f>
        <v>#REF!</v>
      </c>
      <c r="BT109" s="428" t="e">
        <f>SUM(BA109:BD109)</f>
        <v>#REF!</v>
      </c>
      <c r="BU109" s="322" t="e">
        <f>BT109+BU111</f>
        <v>#REF!</v>
      </c>
      <c r="BV109" s="322" t="e">
        <f>BU109+BV111</f>
        <v>#REF!</v>
      </c>
      <c r="BW109" s="322" t="e">
        <f>BV109+BW111</f>
        <v>#REF!</v>
      </c>
      <c r="BX109" s="322" t="e">
        <f>BW109+BX111</f>
        <v>#REF!</v>
      </c>
      <c r="BY109" s="734" t="e">
        <f>BX109+BY111</f>
        <v>#REF!</v>
      </c>
      <c r="BZ109" s="270"/>
      <c r="CA109" s="95">
        <f>IF(ISERROR(RATE(5,,-BI109,BN109)),"NM",(RATE(5,,-BI109,BN109)))</f>
        <v>1.3724737964216749</v>
      </c>
      <c r="CB109" s="95">
        <f t="shared" ref="CB109:CG109" si="210">IF(ISERROR(RATE(3,,-BK109,BN109)),"NM",(RATE(3,,-BK109,BN109)))</f>
        <v>0.49691155683306293</v>
      </c>
      <c r="CC109" s="95" t="str">
        <f t="shared" si="210"/>
        <v>NM</v>
      </c>
      <c r="CD109" s="95" t="str">
        <f t="shared" si="210"/>
        <v>NM</v>
      </c>
      <c r="CE109" s="95" t="str">
        <f t="shared" si="210"/>
        <v>NM</v>
      </c>
      <c r="CF109" s="95" t="str">
        <f t="shared" si="210"/>
        <v>NM</v>
      </c>
      <c r="CG109" s="95" t="str">
        <f t="shared" si="210"/>
        <v>NM</v>
      </c>
    </row>
    <row r="110" spans="1:85" ht="11.25" hidden="1" customHeight="1" outlineLevel="1">
      <c r="A110" s="86"/>
      <c r="B110" s="86"/>
      <c r="C110" s="86"/>
      <c r="D110" s="86"/>
      <c r="E110" s="86"/>
      <c r="F110" s="86"/>
      <c r="G110" s="86"/>
      <c r="H110" s="328"/>
      <c r="I110" s="785" t="s">
        <v>370</v>
      </c>
      <c r="J110" s="193"/>
      <c r="K110" s="67"/>
      <c r="L110" s="67"/>
      <c r="M110" s="911"/>
      <c r="N110" s="919">
        <f t="shared" ref="N110:AB110" si="211">N109-M109</f>
        <v>0</v>
      </c>
      <c r="O110" s="919">
        <f t="shared" si="211"/>
        <v>0.40600000000000003</v>
      </c>
      <c r="P110" s="919">
        <f t="shared" si="211"/>
        <v>0.66200000000000003</v>
      </c>
      <c r="Q110" s="919">
        <f t="shared" si="211"/>
        <v>0.51400000000000001</v>
      </c>
      <c r="R110" s="919">
        <f t="shared" si="211"/>
        <v>5.4999999999999938E-2</v>
      </c>
      <c r="S110" s="919">
        <f t="shared" si="211"/>
        <v>0.20700000000000007</v>
      </c>
      <c r="T110" s="919">
        <f t="shared" si="211"/>
        <v>-0.2330000000000001</v>
      </c>
      <c r="U110" s="920">
        <f t="shared" si="211"/>
        <v>0.19399999999999995</v>
      </c>
      <c r="V110" s="919">
        <f t="shared" si="211"/>
        <v>-0.22299999999999986</v>
      </c>
      <c r="W110" s="919">
        <f t="shared" si="211"/>
        <v>0.30499999999999994</v>
      </c>
      <c r="X110" s="921">
        <f t="shared" si="211"/>
        <v>0.21499999999999986</v>
      </c>
      <c r="Y110" s="919">
        <f t="shared" si="211"/>
        <v>0.28500000000000014</v>
      </c>
      <c r="Z110" s="919">
        <f t="shared" si="211"/>
        <v>0.66999999999999993</v>
      </c>
      <c r="AA110" s="919">
        <f t="shared" si="211"/>
        <v>-6.5999999999999837E-2</v>
      </c>
      <c r="AB110" s="919">
        <f t="shared" si="211"/>
        <v>0.25099999999999989</v>
      </c>
      <c r="AC110" s="920">
        <f t="shared" ref="AC110:AO110" si="212">AC109-AB109</f>
        <v>0.39500000000000002</v>
      </c>
      <c r="AD110" s="919">
        <f t="shared" si="212"/>
        <v>0.29699999999999971</v>
      </c>
      <c r="AE110" s="919">
        <f t="shared" si="212"/>
        <v>3.9580000000000011</v>
      </c>
      <c r="AF110" s="921">
        <f t="shared" si="212"/>
        <v>9.4999999999998863E-2</v>
      </c>
      <c r="AG110" s="920" t="e">
        <f t="shared" si="212"/>
        <v>#REF!</v>
      </c>
      <c r="AH110" s="919" t="e">
        <f t="shared" si="212"/>
        <v>#REF!</v>
      </c>
      <c r="AI110" s="919" t="e">
        <f t="shared" si="212"/>
        <v>#REF!</v>
      </c>
      <c r="AJ110" s="921" t="e">
        <f t="shared" si="212"/>
        <v>#REF!</v>
      </c>
      <c r="AK110" s="2297" t="e">
        <f t="shared" si="212"/>
        <v>#REF!</v>
      </c>
      <c r="AL110" s="2297" t="e">
        <f t="shared" si="212"/>
        <v>#REF!</v>
      </c>
      <c r="AM110" s="2297" t="e">
        <f t="shared" si="212"/>
        <v>#REF!</v>
      </c>
      <c r="AN110" s="2567" t="e">
        <f t="shared" si="212"/>
        <v>#REF!</v>
      </c>
      <c r="AO110" s="2297" t="e">
        <f t="shared" si="212"/>
        <v>#REF!</v>
      </c>
      <c r="AP110" s="923">
        <v>1</v>
      </c>
      <c r="AQ110" s="923">
        <v>1</v>
      </c>
      <c r="AR110" s="923">
        <v>1</v>
      </c>
      <c r="AS110" s="923">
        <v>0.1</v>
      </c>
      <c r="AT110" s="923">
        <v>0.1</v>
      </c>
      <c r="AU110" s="923">
        <v>0.1</v>
      </c>
      <c r="AV110" s="923">
        <v>0.1</v>
      </c>
      <c r="AW110" s="923">
        <v>0.1</v>
      </c>
      <c r="AX110" s="923">
        <v>0.1</v>
      </c>
      <c r="AY110" s="923">
        <v>0.1</v>
      </c>
      <c r="AZ110" s="923">
        <v>0.1</v>
      </c>
      <c r="BA110" s="923">
        <v>0.1</v>
      </c>
      <c r="BB110" s="923">
        <v>0.1</v>
      </c>
      <c r="BC110" s="923">
        <v>0.1</v>
      </c>
      <c r="BD110" s="923">
        <v>0.1</v>
      </c>
      <c r="BE110" s="1208"/>
      <c r="BF110" s="790"/>
      <c r="BG110" s="330"/>
      <c r="BH110" s="330"/>
      <c r="BI110" s="336"/>
      <c r="BJ110" s="336"/>
      <c r="BK110" s="336"/>
      <c r="BL110" s="336"/>
      <c r="BM110" s="613"/>
      <c r="BN110" s="626"/>
      <c r="BO110" s="336"/>
      <c r="BP110" s="106"/>
      <c r="BQ110" s="106"/>
      <c r="BR110" s="106"/>
      <c r="BS110" s="106"/>
      <c r="BT110" s="106"/>
      <c r="BV110" s="106"/>
      <c r="BW110" s="106"/>
      <c r="BX110" s="106"/>
      <c r="BY110" s="830"/>
      <c r="BZ110" s="275"/>
      <c r="CA110" s="80"/>
      <c r="CB110" s="88"/>
      <c r="CC110" s="88"/>
      <c r="CD110" s="88"/>
      <c r="CE110" s="88"/>
      <c r="CF110" s="88"/>
      <c r="CG110" s="88"/>
    </row>
    <row r="111" spans="1:85" ht="11.25" hidden="1" customHeight="1" outlineLevel="1">
      <c r="A111" s="86"/>
      <c r="B111" s="86"/>
      <c r="C111" s="86"/>
      <c r="D111" s="86"/>
      <c r="E111" s="86"/>
      <c r="F111" s="86"/>
      <c r="G111" s="86"/>
      <c r="H111" s="328"/>
      <c r="I111" s="994" t="s">
        <v>380</v>
      </c>
      <c r="J111" s="342"/>
      <c r="K111" s="336"/>
      <c r="L111" s="336"/>
      <c r="M111" s="911"/>
      <c r="N111" s="924"/>
      <c r="O111" s="924"/>
      <c r="P111" s="924"/>
      <c r="Q111" s="914">
        <f t="shared" ref="Q111:AO111" si="213">Q109-M109</f>
        <v>1.5820000000000001</v>
      </c>
      <c r="R111" s="911">
        <f t="shared" si="213"/>
        <v>1.637</v>
      </c>
      <c r="S111" s="911">
        <f t="shared" si="213"/>
        <v>1.4380000000000002</v>
      </c>
      <c r="T111" s="911">
        <f t="shared" si="213"/>
        <v>0.54299999999999993</v>
      </c>
      <c r="U111" s="912">
        <f t="shared" si="213"/>
        <v>0.22299999999999986</v>
      </c>
      <c r="V111" s="911">
        <f t="shared" si="213"/>
        <v>-5.4999999999999938E-2</v>
      </c>
      <c r="W111" s="911">
        <f t="shared" si="213"/>
        <v>4.2999999999999927E-2</v>
      </c>
      <c r="X111" s="913">
        <f t="shared" si="213"/>
        <v>0.49099999999999988</v>
      </c>
      <c r="Y111" s="911">
        <f t="shared" si="213"/>
        <v>0.58200000000000007</v>
      </c>
      <c r="Z111" s="911">
        <f t="shared" si="213"/>
        <v>1.4749999999999999</v>
      </c>
      <c r="AA111" s="911">
        <f t="shared" si="213"/>
        <v>1.1040000000000001</v>
      </c>
      <c r="AB111" s="911">
        <f t="shared" si="213"/>
        <v>1.1400000000000001</v>
      </c>
      <c r="AC111" s="912">
        <f t="shared" si="213"/>
        <v>1.25</v>
      </c>
      <c r="AD111" s="911">
        <f t="shared" si="213"/>
        <v>0.87699999999999978</v>
      </c>
      <c r="AE111" s="911">
        <f t="shared" si="213"/>
        <v>4.9010000000000007</v>
      </c>
      <c r="AF111" s="913">
        <f t="shared" si="213"/>
        <v>4.7449999999999992</v>
      </c>
      <c r="AG111" s="912" t="e">
        <f t="shared" si="213"/>
        <v>#REF!</v>
      </c>
      <c r="AH111" s="911" t="e">
        <f t="shared" si="213"/>
        <v>#REF!</v>
      </c>
      <c r="AI111" s="911" t="e">
        <f t="shared" si="213"/>
        <v>#REF!</v>
      </c>
      <c r="AJ111" s="913" t="e">
        <f t="shared" si="213"/>
        <v>#REF!</v>
      </c>
      <c r="AK111" s="901" t="e">
        <f t="shared" si="213"/>
        <v>#REF!</v>
      </c>
      <c r="AL111" s="901" t="e">
        <f t="shared" si="213"/>
        <v>#REF!</v>
      </c>
      <c r="AM111" s="901" t="e">
        <f t="shared" si="213"/>
        <v>#REF!</v>
      </c>
      <c r="AN111" s="902" t="e">
        <f t="shared" si="213"/>
        <v>#REF!</v>
      </c>
      <c r="AO111" s="901" t="e">
        <f t="shared" si="213"/>
        <v>#REF!</v>
      </c>
      <c r="AP111" s="911" t="e">
        <f>AP109-AL109</f>
        <v>#REF!</v>
      </c>
      <c r="AQ111" s="911" t="e">
        <f>AQ109-AM109</f>
        <v>#REF!</v>
      </c>
      <c r="AR111" s="902" t="e">
        <f t="shared" ref="AR111" si="214">AR109-AN109</f>
        <v>#REF!</v>
      </c>
      <c r="AS111" s="911" t="e">
        <f t="shared" ref="AS111:BD111" si="215">AS109-AO109</f>
        <v>#REF!</v>
      </c>
      <c r="AT111" s="911" t="e">
        <f t="shared" si="215"/>
        <v>#REF!</v>
      </c>
      <c r="AU111" s="911" t="e">
        <f t="shared" si="215"/>
        <v>#REF!</v>
      </c>
      <c r="AV111" s="913" t="e">
        <f t="shared" si="215"/>
        <v>#REF!</v>
      </c>
      <c r="AW111" s="911" t="e">
        <f t="shared" si="215"/>
        <v>#REF!</v>
      </c>
      <c r="AX111" s="911" t="e">
        <f t="shared" si="215"/>
        <v>#REF!</v>
      </c>
      <c r="AY111" s="911" t="e">
        <f t="shared" si="215"/>
        <v>#REF!</v>
      </c>
      <c r="AZ111" s="913" t="e">
        <f t="shared" si="215"/>
        <v>#REF!</v>
      </c>
      <c r="BA111" s="911" t="e">
        <f t="shared" si="215"/>
        <v>#REF!</v>
      </c>
      <c r="BB111" s="911" t="e">
        <f t="shared" si="215"/>
        <v>#REF!</v>
      </c>
      <c r="BC111" s="911" t="e">
        <f t="shared" si="215"/>
        <v>#REF!</v>
      </c>
      <c r="BD111" s="913" t="e">
        <f t="shared" si="215"/>
        <v>#REF!</v>
      </c>
      <c r="BE111" s="901"/>
      <c r="BF111" s="790"/>
      <c r="BG111" s="336">
        <f>BG109-BF109</f>
        <v>0</v>
      </c>
      <c r="BH111" s="336">
        <f t="shared" ref="BH111:BR111" si="216">BH109-BG109</f>
        <v>0.127</v>
      </c>
      <c r="BI111" s="336">
        <f t="shared" si="216"/>
        <v>0.191</v>
      </c>
      <c r="BJ111" s="336">
        <f t="shared" si="216"/>
        <v>1.6080000000000001</v>
      </c>
      <c r="BK111" s="336">
        <f t="shared" si="216"/>
        <v>5.2</v>
      </c>
      <c r="BL111" s="336">
        <f t="shared" si="216"/>
        <v>0.70199999999999907</v>
      </c>
      <c r="BM111" s="613">
        <f t="shared" si="216"/>
        <v>4.3010000000000019</v>
      </c>
      <c r="BN111" s="626">
        <f t="shared" si="216"/>
        <v>11.773</v>
      </c>
      <c r="BO111" s="336" t="e">
        <f t="shared" si="216"/>
        <v>#REF!</v>
      </c>
      <c r="BP111" s="336" t="e">
        <f t="shared" si="216"/>
        <v>#REF!</v>
      </c>
      <c r="BQ111" s="336" t="e">
        <f t="shared" si="216"/>
        <v>#REF!</v>
      </c>
      <c r="BR111" s="336" t="e">
        <f t="shared" si="216"/>
        <v>#REF!</v>
      </c>
      <c r="BS111" s="336" t="e">
        <f>BS109-BR109</f>
        <v>#REF!</v>
      </c>
      <c r="BT111" s="336" t="e">
        <f>BT109-BS109</f>
        <v>#REF!</v>
      </c>
      <c r="BU111" s="368">
        <v>2</v>
      </c>
      <c r="BV111" s="368">
        <v>2</v>
      </c>
      <c r="BW111" s="368">
        <v>2</v>
      </c>
      <c r="BX111" s="368">
        <v>2</v>
      </c>
      <c r="BY111" s="786">
        <v>2</v>
      </c>
      <c r="BZ111" s="275"/>
      <c r="CA111" s="80"/>
      <c r="CB111" s="88"/>
      <c r="CC111" s="88"/>
      <c r="CD111" s="88"/>
      <c r="CE111" s="88"/>
      <c r="CF111" s="88"/>
      <c r="CG111" s="88"/>
    </row>
    <row r="112" spans="1:85" ht="11.25" hidden="1" customHeight="1" outlineLevel="1">
      <c r="A112" s="86"/>
      <c r="B112" s="86"/>
      <c r="C112" s="86"/>
      <c r="D112" s="86"/>
      <c r="E112" s="86"/>
      <c r="F112" s="86"/>
      <c r="G112" s="86"/>
      <c r="H112" s="328"/>
      <c r="I112" s="770" t="s">
        <v>132</v>
      </c>
      <c r="J112" s="347"/>
      <c r="K112" s="67"/>
      <c r="L112" s="67"/>
      <c r="M112" s="198" t="str">
        <f>IF(ISERROR(M109/I109-1),"NA",(IF(M109&lt;=0,"NM",M109/I109-1)))</f>
        <v>NA</v>
      </c>
      <c r="N112" s="198" t="str">
        <f>IF(ISERROR(N109/J109-1),"NA",(IF(N109&lt;=0,"NM",N109/J109-1)))</f>
        <v>NA</v>
      </c>
      <c r="O112" s="198" t="str">
        <f>IF(ISERROR(O109/K109-1),"NA",(IF(O109&lt;=0,"NM",O109/K109-1)))</f>
        <v>NA</v>
      </c>
      <c r="P112" s="198" t="str">
        <f>IF(ISERROR(P109/L109-1),"NA",(IF(P109&lt;=0,"NM",P109/L109-1)))</f>
        <v>NA</v>
      </c>
      <c r="Q112" s="198">
        <f>IF(ISERROR(Q109/M109-1),"NA",(IF(Q109&lt;=0,"NM",Q109/M109-1)))</f>
        <v>14</v>
      </c>
      <c r="R112" s="198">
        <f t="shared" ref="R112:AB112" si="217">IF(ISERROR(R109/N109-1),"NA",(IF(R109&lt;=0,"NM",R109/N109-1)))</f>
        <v>14.486725663716813</v>
      </c>
      <c r="S112" s="198">
        <f t="shared" si="217"/>
        <v>2.7707129094412331</v>
      </c>
      <c r="T112" s="198">
        <f t="shared" si="217"/>
        <v>0.45977984758679069</v>
      </c>
      <c r="U112" s="751">
        <f t="shared" si="217"/>
        <v>0.13156342182890857</v>
      </c>
      <c r="V112" s="198">
        <f t="shared" si="217"/>
        <v>-3.1428571428571361E-2</v>
      </c>
      <c r="W112" s="198">
        <f t="shared" si="217"/>
        <v>2.197240674501777E-2</v>
      </c>
      <c r="X112" s="752">
        <f t="shared" si="217"/>
        <v>0.28480278422273786</v>
      </c>
      <c r="Y112" s="198">
        <f t="shared" si="217"/>
        <v>0.30344108446298224</v>
      </c>
      <c r="Z112" s="198">
        <f t="shared" si="217"/>
        <v>0.87020648967551617</v>
      </c>
      <c r="AA112" s="198">
        <f t="shared" si="217"/>
        <v>0.55200000000000005</v>
      </c>
      <c r="AB112" s="198">
        <f t="shared" si="217"/>
        <v>0.51467268623024842</v>
      </c>
      <c r="AC112" s="751">
        <f t="shared" ref="AC112:AO112" si="218">IF(ISERROR(AC109/Y109-1),"NA",(IF(AC109&lt;=0,"NM",AC109/Y109-1)))</f>
        <v>0.5</v>
      </c>
      <c r="AD112" s="198">
        <f t="shared" si="218"/>
        <v>0.27665615141955824</v>
      </c>
      <c r="AE112" s="198">
        <f t="shared" si="218"/>
        <v>1.5789304123711343</v>
      </c>
      <c r="AF112" s="752">
        <f t="shared" si="218"/>
        <v>1.4143070044709387</v>
      </c>
      <c r="AG112" s="751" t="str">
        <f t="shared" si="218"/>
        <v>NA</v>
      </c>
      <c r="AH112" s="198" t="str">
        <f t="shared" si="218"/>
        <v>NA</v>
      </c>
      <c r="AI112" s="198" t="str">
        <f t="shared" si="218"/>
        <v>NA</v>
      </c>
      <c r="AJ112" s="752" t="str">
        <f t="shared" si="218"/>
        <v>NA</v>
      </c>
      <c r="AK112" s="264" t="str">
        <f t="shared" si="218"/>
        <v>NA</v>
      </c>
      <c r="AL112" s="264" t="str">
        <f t="shared" si="218"/>
        <v>NA</v>
      </c>
      <c r="AM112" s="264" t="str">
        <f t="shared" si="218"/>
        <v>NA</v>
      </c>
      <c r="AN112" s="1242" t="str">
        <f t="shared" si="218"/>
        <v>NA</v>
      </c>
      <c r="AO112" s="264" t="str">
        <f t="shared" si="218"/>
        <v>NA</v>
      </c>
      <c r="AP112" s="198" t="str">
        <f>IF(ISERROR(AP109/AL109-1),"NA",(IF(AP109&lt;=0,"NM",AP109/AL109-1)))</f>
        <v>NA</v>
      </c>
      <c r="AQ112" s="198" t="str">
        <f>IF(ISERROR(AQ109/AM109-1),"NA",(IF(AQ109&lt;=0,"NM",AQ109/AM109-1)))</f>
        <v>NA</v>
      </c>
      <c r="AR112" s="1242" t="str">
        <f t="shared" ref="AR112" si="219">IF(ISERROR(AR109/AN109-1),"NA",(IF(AR109&lt;=0,"NM",AR109/AN109-1)))</f>
        <v>NA</v>
      </c>
      <c r="AS112" s="198" t="str">
        <f t="shared" ref="AS112:BD112" si="220">IF(ISERROR(AS109/AO109-1),"NA",(IF(AS109&lt;=0,"NM",AS109/AO109-1)))</f>
        <v>NA</v>
      </c>
      <c r="AT112" s="198" t="str">
        <f t="shared" si="220"/>
        <v>NA</v>
      </c>
      <c r="AU112" s="198" t="str">
        <f t="shared" si="220"/>
        <v>NA</v>
      </c>
      <c r="AV112" s="752" t="str">
        <f t="shared" si="220"/>
        <v>NA</v>
      </c>
      <c r="AW112" s="198" t="str">
        <f t="shared" si="220"/>
        <v>NA</v>
      </c>
      <c r="AX112" s="198" t="str">
        <f t="shared" si="220"/>
        <v>NA</v>
      </c>
      <c r="AY112" s="198" t="str">
        <f t="shared" si="220"/>
        <v>NA</v>
      </c>
      <c r="AZ112" s="752" t="str">
        <f t="shared" si="220"/>
        <v>NA</v>
      </c>
      <c r="BA112" s="198" t="str">
        <f t="shared" si="220"/>
        <v>NA</v>
      </c>
      <c r="BB112" s="198" t="str">
        <f t="shared" si="220"/>
        <v>NA</v>
      </c>
      <c r="BC112" s="198" t="str">
        <f t="shared" si="220"/>
        <v>NA</v>
      </c>
      <c r="BD112" s="752" t="str">
        <f t="shared" si="220"/>
        <v>NA</v>
      </c>
      <c r="BE112" s="264"/>
      <c r="BF112" s="449"/>
      <c r="BG112" s="199"/>
      <c r="BH112" s="199" t="str">
        <f t="shared" ref="BH112:BT112" si="221">IF(ISERROR(BH109/BG109-1),"NA",(IF(BH109&lt;=0,"NM",BH109/BG109-1)))</f>
        <v>NA</v>
      </c>
      <c r="BI112" s="199">
        <f t="shared" si="221"/>
        <v>1.5039370078740157</v>
      </c>
      <c r="BJ112" s="199">
        <f t="shared" si="221"/>
        <v>5.0566037735849063</v>
      </c>
      <c r="BK112" s="199">
        <f t="shared" si="221"/>
        <v>2.6998961578400831</v>
      </c>
      <c r="BL112" s="199">
        <f t="shared" si="221"/>
        <v>9.8512489475161225E-2</v>
      </c>
      <c r="BM112" s="620">
        <f t="shared" si="221"/>
        <v>0.54943791517629048</v>
      </c>
      <c r="BN112" s="449">
        <f t="shared" si="221"/>
        <v>0.97064885810866497</v>
      </c>
      <c r="BO112" s="199" t="str">
        <f t="shared" si="221"/>
        <v>NA</v>
      </c>
      <c r="BP112" s="199" t="str">
        <f t="shared" si="221"/>
        <v>NA</v>
      </c>
      <c r="BQ112" s="199" t="str">
        <f>IF(ISERROR(BQ109/BP109-1),"NA",(IF(BQ109&lt;=0,"NM",BQ109/BP109-1)))</f>
        <v>NA</v>
      </c>
      <c r="BR112" s="199" t="str">
        <f>IF(ISERROR(BR109/BQ109-1),"NA",(IF(BR109&lt;=0,"NM",BR109/BQ109-1)))</f>
        <v>NA</v>
      </c>
      <c r="BS112" s="199" t="str">
        <f t="shared" si="221"/>
        <v>NA</v>
      </c>
      <c r="BT112" s="199" t="str">
        <f t="shared" si="221"/>
        <v>NA</v>
      </c>
      <c r="BU112" s="199" t="str">
        <f>IF(ISERROR(BU109/BT109-1),"NA",(IF(BU109&lt;=0,"NM",BU109/BT109-1)))</f>
        <v>NA</v>
      </c>
      <c r="BV112" s="199" t="str">
        <f>IF(ISERROR(BV109/BU109-1),"NA",(IF(BV109&lt;=0,"NM",BV109/BU109-1)))</f>
        <v>NA</v>
      </c>
      <c r="BW112" s="199" t="str">
        <f>IF(ISERROR(BW109/BV109-1),"NA",(IF(BW109&lt;=0,"NM",BW109/BV109-1)))</f>
        <v>NA</v>
      </c>
      <c r="BX112" s="199" t="str">
        <f>IF(ISERROR(BX109/BW109-1),"NA",(IF(BX109&lt;=0,"NM",BX109/BW109-1)))</f>
        <v>NA</v>
      </c>
      <c r="BY112" s="620" t="str">
        <f>IF(ISERROR(BY109/BX109-1),"NA",(IF(BY109&lt;=0,"NM",BY109/BX109-1)))</f>
        <v>NA</v>
      </c>
      <c r="BZ112" s="265"/>
      <c r="CA112" s="80"/>
      <c r="CB112" s="88"/>
      <c r="CC112" s="88"/>
      <c r="CD112" s="88"/>
      <c r="CE112" s="88"/>
      <c r="CF112" s="88"/>
      <c r="CG112" s="88"/>
    </row>
    <row r="113" spans="1:85" ht="11.25" hidden="1" customHeight="1" outlineLevel="1">
      <c r="A113" s="86"/>
      <c r="B113" s="86"/>
      <c r="C113" s="86"/>
      <c r="D113" s="86"/>
      <c r="E113" s="86"/>
      <c r="F113" s="86"/>
      <c r="G113" s="86"/>
      <c r="H113" s="328"/>
      <c r="I113" s="770" t="s">
        <v>146</v>
      </c>
      <c r="J113" s="347"/>
      <c r="K113" s="67"/>
      <c r="L113" s="67"/>
      <c r="M113" s="198" t="str">
        <f t="shared" ref="M113:BD113" si="222">IF(ISERROR(M109/L109-1),"NA",(IF(M109&lt;=0,"NM",M109/L109-1)))</f>
        <v>NA</v>
      </c>
      <c r="N113" s="198">
        <f t="shared" si="222"/>
        <v>0</v>
      </c>
      <c r="O113" s="198">
        <f t="shared" si="222"/>
        <v>3.5929203539823007</v>
      </c>
      <c r="P113" s="198">
        <f t="shared" si="222"/>
        <v>1.2755298651252409</v>
      </c>
      <c r="Q113" s="198">
        <f t="shared" si="222"/>
        <v>0.43522438611346326</v>
      </c>
      <c r="R113" s="198">
        <f t="shared" si="222"/>
        <v>3.2448377581120846E-2</v>
      </c>
      <c r="S113" s="198">
        <f t="shared" si="222"/>
        <v>0.11828571428571433</v>
      </c>
      <c r="T113" s="198">
        <f t="shared" si="222"/>
        <v>-0.11905978538579465</v>
      </c>
      <c r="U113" s="751">
        <f t="shared" si="222"/>
        <v>0.11252900232018548</v>
      </c>
      <c r="V113" s="198">
        <f t="shared" si="222"/>
        <v>-0.11626694473409793</v>
      </c>
      <c r="W113" s="198">
        <f t="shared" si="222"/>
        <v>0.17994100294985249</v>
      </c>
      <c r="X113" s="752">
        <f t="shared" si="222"/>
        <v>0.10749999999999993</v>
      </c>
      <c r="Y113" s="198">
        <f t="shared" si="222"/>
        <v>0.12866817155756216</v>
      </c>
      <c r="Z113" s="198">
        <f t="shared" si="222"/>
        <v>0.26800000000000002</v>
      </c>
      <c r="AA113" s="198">
        <f t="shared" si="222"/>
        <v>-2.0820189274447953E-2</v>
      </c>
      <c r="AB113" s="198">
        <f t="shared" si="222"/>
        <v>8.0863402061855716E-2</v>
      </c>
      <c r="AC113" s="751">
        <f t="shared" si="222"/>
        <v>0.11773472429210141</v>
      </c>
      <c r="AD113" s="198">
        <f t="shared" si="222"/>
        <v>7.9199999999999937E-2</v>
      </c>
      <c r="AE113" s="198">
        <f t="shared" si="222"/>
        <v>0.97800840128490263</v>
      </c>
      <c r="AF113" s="752">
        <f t="shared" si="222"/>
        <v>1.1867582760774376E-2</v>
      </c>
      <c r="AG113" s="751" t="str">
        <f t="shared" si="222"/>
        <v>NA</v>
      </c>
      <c r="AH113" s="198" t="str">
        <f t="shared" si="222"/>
        <v>NA</v>
      </c>
      <c r="AI113" s="198" t="str">
        <f t="shared" si="222"/>
        <v>NA</v>
      </c>
      <c r="AJ113" s="752" t="str">
        <f t="shared" si="222"/>
        <v>NA</v>
      </c>
      <c r="AK113" s="264" t="str">
        <f t="shared" si="222"/>
        <v>NA</v>
      </c>
      <c r="AL113" s="264" t="str">
        <f t="shared" si="222"/>
        <v>NA</v>
      </c>
      <c r="AM113" s="264" t="str">
        <f t="shared" si="222"/>
        <v>NA</v>
      </c>
      <c r="AN113" s="1242" t="str">
        <f t="shared" si="222"/>
        <v>NA</v>
      </c>
      <c r="AO113" s="264" t="str">
        <f t="shared" si="222"/>
        <v>NA</v>
      </c>
      <c r="AP113" s="198" t="str">
        <f t="shared" si="222"/>
        <v>NA</v>
      </c>
      <c r="AQ113" s="198" t="str">
        <f t="shared" si="222"/>
        <v>NA</v>
      </c>
      <c r="AR113" s="1242" t="str">
        <f t="shared" si="222"/>
        <v>NA</v>
      </c>
      <c r="AS113" s="198" t="str">
        <f t="shared" si="222"/>
        <v>NA</v>
      </c>
      <c r="AT113" s="198" t="str">
        <f t="shared" si="222"/>
        <v>NA</v>
      </c>
      <c r="AU113" s="198" t="str">
        <f t="shared" si="222"/>
        <v>NA</v>
      </c>
      <c r="AV113" s="752" t="str">
        <f t="shared" si="222"/>
        <v>NA</v>
      </c>
      <c r="AW113" s="198" t="str">
        <f t="shared" si="222"/>
        <v>NA</v>
      </c>
      <c r="AX113" s="198" t="str">
        <f t="shared" si="222"/>
        <v>NA</v>
      </c>
      <c r="AY113" s="198" t="str">
        <f t="shared" si="222"/>
        <v>NA</v>
      </c>
      <c r="AZ113" s="752" t="str">
        <f t="shared" si="222"/>
        <v>NA</v>
      </c>
      <c r="BA113" s="198" t="str">
        <f t="shared" si="222"/>
        <v>NA</v>
      </c>
      <c r="BB113" s="198" t="str">
        <f t="shared" si="222"/>
        <v>NA</v>
      </c>
      <c r="BC113" s="198" t="str">
        <f t="shared" si="222"/>
        <v>NA</v>
      </c>
      <c r="BD113" s="752" t="str">
        <f t="shared" si="222"/>
        <v>NA</v>
      </c>
      <c r="BE113" s="264"/>
      <c r="BF113" s="631"/>
      <c r="BG113" s="67"/>
      <c r="BH113" s="67"/>
      <c r="BI113" s="67"/>
      <c r="BJ113" s="67"/>
      <c r="BK113" s="67"/>
      <c r="BL113" s="67"/>
      <c r="BM113" s="581"/>
      <c r="BN113" s="631"/>
      <c r="BO113" s="67"/>
      <c r="BP113" s="67"/>
      <c r="BQ113" s="351"/>
      <c r="BR113" s="351"/>
      <c r="BS113" s="351"/>
      <c r="BT113" s="351"/>
      <c r="BU113" s="351"/>
      <c r="BV113" s="351"/>
      <c r="BW113" s="351"/>
      <c r="BX113" s="351"/>
      <c r="BY113" s="809"/>
      <c r="BZ113" s="280"/>
      <c r="CA113" s="80"/>
      <c r="CB113" s="88"/>
      <c r="CC113" s="88"/>
      <c r="CD113" s="88"/>
      <c r="CE113" s="88"/>
      <c r="CF113" s="88"/>
      <c r="CG113" s="88"/>
    </row>
    <row r="114" spans="1:85" ht="11.25" hidden="1" customHeight="1" outlineLevel="1">
      <c r="A114" s="86"/>
      <c r="B114" s="86"/>
      <c r="C114" s="86"/>
      <c r="D114" s="86"/>
      <c r="E114" s="86"/>
      <c r="F114" s="86"/>
      <c r="G114" s="86"/>
      <c r="H114" s="328"/>
      <c r="I114" s="770" t="s">
        <v>57</v>
      </c>
      <c r="J114" s="347"/>
      <c r="K114" s="67"/>
      <c r="L114" s="67"/>
      <c r="M114" s="198">
        <f t="shared" ref="M114:BD114" si="223">M109/M$12</f>
        <v>1.2368651488616465E-2</v>
      </c>
      <c r="N114" s="198">
        <f t="shared" si="223"/>
        <v>1.0534166122867531E-2</v>
      </c>
      <c r="O114" s="198">
        <f t="shared" si="223"/>
        <v>4.121010004764173E-2</v>
      </c>
      <c r="P114" s="198">
        <f t="shared" si="223"/>
        <v>7.7320937540919205E-2</v>
      </c>
      <c r="Q114" s="198">
        <f t="shared" si="223"/>
        <v>0.10272727272727274</v>
      </c>
      <c r="R114" s="198">
        <f t="shared" si="223"/>
        <v>8.9386045561344371E-2</v>
      </c>
      <c r="S114" s="198">
        <f t="shared" si="223"/>
        <v>8.7749977580486055E-2</v>
      </c>
      <c r="T114" s="198">
        <f t="shared" si="223"/>
        <v>6.9223047580807065E-2</v>
      </c>
      <c r="U114" s="751">
        <f t="shared" si="223"/>
        <v>7.003834215811576E-2</v>
      </c>
      <c r="V114" s="198">
        <f t="shared" si="223"/>
        <v>5.1909472330260623E-2</v>
      </c>
      <c r="W114" s="198">
        <f t="shared" si="223"/>
        <v>5.498886475488713E-2</v>
      </c>
      <c r="X114" s="752">
        <f t="shared" si="223"/>
        <v>5.3818305513035451E-2</v>
      </c>
      <c r="Y114" s="198">
        <f t="shared" si="223"/>
        <v>5.4191142999588146E-2</v>
      </c>
      <c r="Z114" s="198">
        <f t="shared" si="223"/>
        <v>5.7612271232030235E-2</v>
      </c>
      <c r="AA114" s="198">
        <f t="shared" si="223"/>
        <v>5.0734705218940523E-2</v>
      </c>
      <c r="AB114" s="198">
        <f t="shared" si="223"/>
        <v>4.7486942859973673E-2</v>
      </c>
      <c r="AC114" s="751">
        <f t="shared" si="223"/>
        <v>4.9079272841493583E-2</v>
      </c>
      <c r="AD114" s="198">
        <f t="shared" si="223"/>
        <v>4.5580997218061199E-2</v>
      </c>
      <c r="AE114" s="198">
        <f t="shared" si="223"/>
        <v>7.8131862769020552E-2</v>
      </c>
      <c r="AF114" s="752">
        <f t="shared" si="223"/>
        <v>7.3712086052035275E-2</v>
      </c>
      <c r="AG114" s="751" t="e">
        <f t="shared" si="223"/>
        <v>#REF!</v>
      </c>
      <c r="AH114" s="198" t="e">
        <f t="shared" si="223"/>
        <v>#REF!</v>
      </c>
      <c r="AI114" s="198" t="e">
        <f t="shared" si="223"/>
        <v>#REF!</v>
      </c>
      <c r="AJ114" s="752" t="e">
        <f t="shared" si="223"/>
        <v>#REF!</v>
      </c>
      <c r="AK114" s="264" t="e">
        <f t="shared" si="223"/>
        <v>#REF!</v>
      </c>
      <c r="AL114" s="264" t="e">
        <f t="shared" si="223"/>
        <v>#REF!</v>
      </c>
      <c r="AM114" s="264" t="e">
        <f t="shared" si="223"/>
        <v>#REF!</v>
      </c>
      <c r="AN114" s="1242" t="e">
        <f t="shared" si="223"/>
        <v>#REF!</v>
      </c>
      <c r="AO114" s="264" t="e">
        <f t="shared" si="223"/>
        <v>#REF!</v>
      </c>
      <c r="AP114" s="198" t="e">
        <f t="shared" si="223"/>
        <v>#REF!</v>
      </c>
      <c r="AQ114" s="198" t="e">
        <f t="shared" ref="AQ114:AR114" si="224">AQ109/AQ$12</f>
        <v>#REF!</v>
      </c>
      <c r="AR114" s="1242" t="e">
        <f t="shared" si="224"/>
        <v>#REF!</v>
      </c>
      <c r="AS114" s="198" t="e">
        <f t="shared" si="223"/>
        <v>#REF!</v>
      </c>
      <c r="AT114" s="198" t="e">
        <f t="shared" si="223"/>
        <v>#REF!</v>
      </c>
      <c r="AU114" s="198" t="e">
        <f t="shared" si="223"/>
        <v>#REF!</v>
      </c>
      <c r="AV114" s="752" t="e">
        <f t="shared" si="223"/>
        <v>#REF!</v>
      </c>
      <c r="AW114" s="198" t="e">
        <f t="shared" si="223"/>
        <v>#REF!</v>
      </c>
      <c r="AX114" s="198" t="e">
        <f t="shared" si="223"/>
        <v>#REF!</v>
      </c>
      <c r="AY114" s="198" t="e">
        <f t="shared" si="223"/>
        <v>#REF!</v>
      </c>
      <c r="AZ114" s="752" t="e">
        <f t="shared" si="223"/>
        <v>#REF!</v>
      </c>
      <c r="BA114" s="198" t="e">
        <f t="shared" si="223"/>
        <v>#REF!</v>
      </c>
      <c r="BB114" s="198" t="e">
        <f t="shared" si="223"/>
        <v>#REF!</v>
      </c>
      <c r="BC114" s="198" t="e">
        <f t="shared" si="223"/>
        <v>#REF!</v>
      </c>
      <c r="BD114" s="752" t="e">
        <f t="shared" si="223"/>
        <v>#REF!</v>
      </c>
      <c r="BE114" s="264"/>
      <c r="BF114" s="449"/>
      <c r="BG114" s="199"/>
      <c r="BH114" s="198">
        <f t="shared" ref="BH114:BY114" si="225">BH109/BH$12</f>
        <v>1.0462146799571628E-2</v>
      </c>
      <c r="BI114" s="198">
        <f t="shared" si="225"/>
        <v>1.2321760694358337E-2</v>
      </c>
      <c r="BJ114" s="198">
        <f t="shared" si="225"/>
        <v>4.0351134482830869E-2</v>
      </c>
      <c r="BK114" s="198">
        <f t="shared" si="225"/>
        <v>8.5561625742930913E-2</v>
      </c>
      <c r="BL114" s="198">
        <f t="shared" si="225"/>
        <v>5.6903595365133834E-2</v>
      </c>
      <c r="BM114" s="752">
        <f t="shared" si="225"/>
        <v>5.2058475114598185E-2</v>
      </c>
      <c r="BN114" s="751">
        <f t="shared" si="225"/>
        <v>6.331051873198848E-2</v>
      </c>
      <c r="BO114" s="198" t="e">
        <f t="shared" si="225"/>
        <v>#REF!</v>
      </c>
      <c r="BP114" s="198" t="e">
        <f t="shared" si="225"/>
        <v>#REF!</v>
      </c>
      <c r="BQ114" s="198" t="e">
        <f t="shared" si="225"/>
        <v>#REF!</v>
      </c>
      <c r="BR114" s="198" t="e">
        <f t="shared" si="225"/>
        <v>#REF!</v>
      </c>
      <c r="BS114" s="198" t="e">
        <f t="shared" si="225"/>
        <v>#REF!</v>
      </c>
      <c r="BT114" s="198" t="e">
        <f t="shared" si="225"/>
        <v>#REF!</v>
      </c>
      <c r="BU114" s="198" t="e">
        <f t="shared" si="225"/>
        <v>#REF!</v>
      </c>
      <c r="BV114" s="198" t="e">
        <f t="shared" si="225"/>
        <v>#REF!</v>
      </c>
      <c r="BW114" s="198" t="e">
        <f t="shared" si="225"/>
        <v>#REF!</v>
      </c>
      <c r="BX114" s="198" t="e">
        <f t="shared" si="225"/>
        <v>#REF!</v>
      </c>
      <c r="BY114" s="752" t="e">
        <f t="shared" si="225"/>
        <v>#REF!</v>
      </c>
      <c r="BZ114" s="264"/>
      <c r="CA114" s="80"/>
      <c r="CB114" s="88"/>
      <c r="CC114" s="88"/>
      <c r="CD114" s="88"/>
      <c r="CE114" s="88"/>
      <c r="CF114" s="88"/>
      <c r="CG114" s="88"/>
    </row>
    <row r="115" spans="1:85" ht="11.25" hidden="1" customHeight="1" outlineLevel="1">
      <c r="A115" s="86"/>
      <c r="B115" s="86"/>
      <c r="C115" s="86"/>
      <c r="D115" s="86"/>
      <c r="E115" s="86"/>
      <c r="F115" s="86"/>
      <c r="G115" s="86"/>
      <c r="H115" s="328"/>
      <c r="I115" s="770"/>
      <c r="J115" s="347"/>
      <c r="K115" s="67"/>
      <c r="L115" s="67"/>
      <c r="M115" s="198"/>
      <c r="N115" s="198"/>
      <c r="O115" s="198"/>
      <c r="P115" s="198"/>
      <c r="Q115" s="198"/>
      <c r="R115" s="198"/>
      <c r="S115" s="198"/>
      <c r="T115" s="198"/>
      <c r="U115" s="751"/>
      <c r="V115" s="198"/>
      <c r="W115" s="198"/>
      <c r="X115" s="752"/>
      <c r="Y115" s="198"/>
      <c r="Z115" s="198"/>
      <c r="AA115" s="198"/>
      <c r="AB115" s="198"/>
      <c r="AC115" s="751"/>
      <c r="AD115" s="198"/>
      <c r="AE115" s="198"/>
      <c r="AF115" s="752"/>
      <c r="AG115" s="198"/>
      <c r="AH115" s="198"/>
      <c r="AI115" s="198"/>
      <c r="AJ115" s="752"/>
      <c r="AK115" s="264"/>
      <c r="AL115" s="264"/>
      <c r="AM115" s="264"/>
      <c r="AN115" s="752"/>
      <c r="AO115" s="198"/>
      <c r="AP115" s="198"/>
      <c r="AQ115" s="198"/>
      <c r="AR115" s="752"/>
      <c r="AS115" s="198"/>
      <c r="AT115" s="198"/>
      <c r="AU115" s="198"/>
      <c r="AV115" s="752"/>
      <c r="AW115" s="198"/>
      <c r="AX115" s="198"/>
      <c r="AY115" s="198"/>
      <c r="AZ115" s="752"/>
      <c r="BA115" s="198"/>
      <c r="BB115" s="198"/>
      <c r="BC115" s="198"/>
      <c r="BD115" s="752"/>
      <c r="BE115" s="264"/>
      <c r="BF115" s="449"/>
      <c r="BG115" s="199"/>
      <c r="BH115" s="198"/>
      <c r="BI115" s="198"/>
      <c r="BJ115" s="198"/>
      <c r="BK115" s="198"/>
      <c r="BL115" s="198"/>
      <c r="BM115" s="752"/>
      <c r="BN115" s="751"/>
      <c r="BO115" s="198"/>
      <c r="BP115" s="198"/>
      <c r="BQ115" s="198"/>
      <c r="BR115" s="198"/>
      <c r="BS115" s="198"/>
      <c r="BT115" s="198"/>
      <c r="BU115" s="198"/>
      <c r="BV115" s="198"/>
      <c r="BW115" s="198"/>
      <c r="BX115" s="198"/>
      <c r="BY115" s="752"/>
      <c r="BZ115" s="264"/>
      <c r="CA115" s="80"/>
      <c r="CB115" s="88"/>
      <c r="CC115" s="88"/>
      <c r="CD115" s="88"/>
      <c r="CE115" s="88"/>
      <c r="CF115" s="88"/>
      <c r="CG115" s="88"/>
    </row>
    <row r="116" spans="1:85" ht="11.25" customHeight="1" collapsed="1">
      <c r="A116" s="86"/>
      <c r="B116" s="86"/>
      <c r="C116" s="86"/>
      <c r="D116" s="86"/>
      <c r="E116" s="86"/>
      <c r="F116" s="86"/>
      <c r="G116" s="86"/>
      <c r="H116" s="328"/>
      <c r="I116" s="2427"/>
      <c r="J116" s="347"/>
      <c r="K116" s="67"/>
      <c r="L116" s="67"/>
      <c r="M116" s="198"/>
      <c r="N116" s="198"/>
      <c r="O116" s="198"/>
      <c r="P116" s="198"/>
      <c r="Q116" s="198"/>
      <c r="R116" s="198"/>
      <c r="S116" s="198"/>
      <c r="T116" s="198"/>
      <c r="U116" s="751"/>
      <c r="V116" s="198"/>
      <c r="W116" s="198"/>
      <c r="X116" s="752"/>
      <c r="Y116" s="198"/>
      <c r="Z116" s="198"/>
      <c r="AA116" s="198"/>
      <c r="AB116" s="198"/>
      <c r="AC116" s="751"/>
      <c r="AD116" s="198"/>
      <c r="AE116" s="198"/>
      <c r="AF116" s="752"/>
      <c r="AG116" s="198"/>
      <c r="AH116" s="198"/>
      <c r="AI116" s="198"/>
      <c r="AJ116" s="198"/>
      <c r="AK116" s="1373"/>
      <c r="AL116" s="264"/>
      <c r="AM116" s="264"/>
      <c r="AN116" s="1258"/>
      <c r="AO116" s="198"/>
      <c r="AP116" s="2681"/>
      <c r="AQ116" s="2681"/>
      <c r="AR116" s="1258"/>
      <c r="AS116" s="2681"/>
      <c r="AT116" s="2681"/>
      <c r="AU116" s="2681"/>
      <c r="AV116" s="2682"/>
      <c r="AW116" s="2681"/>
      <c r="AX116" s="2681"/>
      <c r="AY116" s="2681"/>
      <c r="AZ116" s="2682"/>
      <c r="BA116" s="2681"/>
      <c r="BB116" s="2681"/>
      <c r="BC116" s="2681"/>
      <c r="BD116" s="2682"/>
      <c r="BE116" s="264"/>
      <c r="BF116" s="449"/>
      <c r="BG116" s="199"/>
      <c r="BH116" s="198"/>
      <c r="BI116" s="198"/>
      <c r="BJ116" s="198"/>
      <c r="BK116" s="198"/>
      <c r="BL116" s="198"/>
      <c r="BM116" s="752"/>
      <c r="BN116" s="751"/>
      <c r="BO116" s="198"/>
      <c r="BP116" s="198"/>
      <c r="BQ116" s="198"/>
      <c r="BR116" s="198"/>
      <c r="BS116" s="198"/>
      <c r="BT116" s="198"/>
      <c r="BU116" s="2696"/>
      <c r="BV116" s="2696"/>
      <c r="BW116" s="2696"/>
      <c r="BX116" s="2696"/>
      <c r="BY116" s="2697"/>
      <c r="BZ116" s="264"/>
      <c r="CA116" s="80"/>
      <c r="CB116" s="88"/>
      <c r="CC116" s="88"/>
      <c r="CD116" s="88"/>
      <c r="CE116" s="88"/>
      <c r="CF116" s="88"/>
      <c r="CG116" s="88"/>
    </row>
    <row r="117" spans="1:85" s="41" customFormat="1" ht="11.25" customHeight="1">
      <c r="A117" s="98"/>
      <c r="B117" s="98"/>
      <c r="C117" s="98"/>
      <c r="D117" s="98"/>
      <c r="E117" s="98"/>
      <c r="F117" s="98"/>
      <c r="G117" s="98"/>
      <c r="H117" s="1350"/>
      <c r="I117" s="2726" t="s">
        <v>671</v>
      </c>
      <c r="J117" s="2700"/>
      <c r="K117" s="322"/>
      <c r="L117" s="322"/>
      <c r="M117" s="108"/>
      <c r="N117" s="108"/>
      <c r="O117" s="108"/>
      <c r="P117" s="108"/>
      <c r="Q117" s="108"/>
      <c r="R117" s="108"/>
      <c r="S117" s="108"/>
      <c r="T117" s="108"/>
      <c r="U117" s="709"/>
      <c r="V117" s="108"/>
      <c r="W117" s="108"/>
      <c r="X117" s="1055"/>
      <c r="Y117" s="108"/>
      <c r="Z117" s="108"/>
      <c r="AA117" s="108"/>
      <c r="AB117" s="108"/>
      <c r="AC117" s="709"/>
      <c r="AD117" s="108"/>
      <c r="AE117" s="2642">
        <v>1.3380000000000001</v>
      </c>
      <c r="AF117" s="2642">
        <v>1.4169999999999998</v>
      </c>
      <c r="AG117" s="2642">
        <v>6.6</v>
      </c>
      <c r="AH117" s="2642">
        <v>11.3</v>
      </c>
      <c r="AI117" s="2642">
        <v>12</v>
      </c>
      <c r="AJ117" s="2642">
        <v>14</v>
      </c>
      <c r="AK117" s="2641">
        <v>14.5</v>
      </c>
      <c r="AL117" s="2642">
        <v>15.5</v>
      </c>
      <c r="AM117" s="2642">
        <v>15.9</v>
      </c>
      <c r="AN117" s="2643">
        <v>16.600000000000001</v>
      </c>
      <c r="AO117" s="2641">
        <v>18.100000000000001</v>
      </c>
      <c r="AP117" s="2642">
        <v>18.399999999999999</v>
      </c>
      <c r="AQ117" s="2642">
        <v>18.5</v>
      </c>
      <c r="AR117" s="2643">
        <v>5.2</v>
      </c>
      <c r="AS117" s="108">
        <f t="shared" ref="AS117" si="226">AR117+AS118</f>
        <v>4</v>
      </c>
      <c r="AT117" s="108">
        <f t="shared" ref="AT117" si="227">AS117+AT118</f>
        <v>6</v>
      </c>
      <c r="AU117" s="108">
        <f t="shared" ref="AU117" si="228">AT117+AU118</f>
        <v>8</v>
      </c>
      <c r="AV117" s="1055">
        <f t="shared" ref="AV117" si="229">AU117+AV118</f>
        <v>10</v>
      </c>
      <c r="AW117" s="108">
        <f t="shared" ref="AW117" si="230">AV117+AW118</f>
        <v>10.6</v>
      </c>
      <c r="AX117" s="108">
        <f t="shared" ref="AX117" si="231">AW117+AX118</f>
        <v>11.2</v>
      </c>
      <c r="AY117" s="108">
        <f t="shared" ref="AY117" si="232">AX117+AY118</f>
        <v>11.899999999999999</v>
      </c>
      <c r="AZ117" s="1055">
        <f t="shared" ref="AZ117" si="233">AY117+AZ118</f>
        <v>12.599999999999998</v>
      </c>
      <c r="BA117" s="108">
        <f t="shared" ref="BA117" si="234">AZ117+BA118</f>
        <v>13.399999999999999</v>
      </c>
      <c r="BB117" s="108">
        <f t="shared" ref="BB117" si="235">BA117+BB118</f>
        <v>14.2</v>
      </c>
      <c r="BC117" s="108">
        <f t="shared" ref="BC117" si="236">BB117+BC118</f>
        <v>15</v>
      </c>
      <c r="BD117" s="1055">
        <f t="shared" ref="BD117" si="237">BC117+BD118</f>
        <v>15.8</v>
      </c>
      <c r="BE117" s="428"/>
      <c r="BF117" s="709"/>
      <c r="BG117" s="108"/>
      <c r="BH117" s="108"/>
      <c r="BI117" s="108"/>
      <c r="BJ117" s="108"/>
      <c r="BK117" s="108"/>
      <c r="BL117" s="108"/>
      <c r="BM117" s="1055"/>
      <c r="BN117" s="709"/>
      <c r="BO117" s="331">
        <f>SUM(AG117:AJ117)</f>
        <v>43.9</v>
      </c>
      <c r="BP117" s="428">
        <f>SUM(AK117:AN117)</f>
        <v>62.5</v>
      </c>
      <c r="BQ117" s="428">
        <f>SUM(AO117:AR117)</f>
        <v>60.2</v>
      </c>
      <c r="BR117" s="428">
        <f>SUM(AS117:AV117)</f>
        <v>28</v>
      </c>
      <c r="BS117" s="428">
        <f>SUM(AW117:AZ117)</f>
        <v>46.3</v>
      </c>
      <c r="BT117" s="428">
        <f>SUM(BA117:BD117)</f>
        <v>58.399999999999991</v>
      </c>
      <c r="BU117" s="322">
        <f>BT117+BU119</f>
        <v>70.399999999999991</v>
      </c>
      <c r="BV117" s="322">
        <f>BU117+BV119</f>
        <v>82.399999999999991</v>
      </c>
      <c r="BW117" s="322">
        <f>BV117+BW119</f>
        <v>94.399999999999991</v>
      </c>
      <c r="BX117" s="322">
        <f>BW117+BX119</f>
        <v>106.39999999999999</v>
      </c>
      <c r="BY117" s="734">
        <f>BX117+BY119</f>
        <v>118.39999999999999</v>
      </c>
      <c r="BZ117" s="428"/>
      <c r="CA117" s="98"/>
      <c r="CB117" s="205"/>
      <c r="CC117" s="205"/>
      <c r="CD117" s="205"/>
      <c r="CE117" s="205"/>
      <c r="CF117" s="205"/>
      <c r="CG117" s="205"/>
    </row>
    <row r="118" spans="1:85" s="41" customFormat="1" ht="11.25" customHeight="1">
      <c r="A118" s="98"/>
      <c r="B118" s="98"/>
      <c r="C118" s="98"/>
      <c r="D118" s="98"/>
      <c r="E118" s="98"/>
      <c r="F118" s="98"/>
      <c r="G118" s="98"/>
      <c r="H118" s="1350"/>
      <c r="I118" s="2399" t="s">
        <v>377</v>
      </c>
      <c r="J118" s="1592"/>
      <c r="K118" s="108"/>
      <c r="L118" s="108"/>
      <c r="M118" s="108"/>
      <c r="N118" s="108"/>
      <c r="O118" s="108"/>
      <c r="P118" s="108"/>
      <c r="Q118" s="108"/>
      <c r="R118" s="108"/>
      <c r="S118" s="108"/>
      <c r="T118" s="108"/>
      <c r="U118" s="709"/>
      <c r="V118" s="108"/>
      <c r="W118" s="108"/>
      <c r="X118" s="1055"/>
      <c r="Y118" s="108"/>
      <c r="Z118" s="108"/>
      <c r="AA118" s="108"/>
      <c r="AB118" s="108"/>
      <c r="AC118" s="709"/>
      <c r="AD118" s="108"/>
      <c r="AE118" s="108"/>
      <c r="AF118" s="613">
        <f t="shared" ref="AF118:AQ118" si="238">AF117-AE117</f>
        <v>7.8999999999999737E-2</v>
      </c>
      <c r="AG118" s="336">
        <f t="shared" si="238"/>
        <v>5.1829999999999998</v>
      </c>
      <c r="AH118" s="336">
        <f t="shared" si="238"/>
        <v>4.7000000000000011</v>
      </c>
      <c r="AI118" s="336">
        <f t="shared" si="238"/>
        <v>0.69999999999999929</v>
      </c>
      <c r="AJ118" s="336">
        <f t="shared" si="238"/>
        <v>2</v>
      </c>
      <c r="AK118" s="626">
        <f t="shared" si="238"/>
        <v>0.5</v>
      </c>
      <c r="AL118" s="336">
        <f t="shared" si="238"/>
        <v>1</v>
      </c>
      <c r="AM118" s="336">
        <f t="shared" si="238"/>
        <v>0.40000000000000036</v>
      </c>
      <c r="AN118" s="613">
        <f t="shared" ref="AN118:AR118" si="239">AN117-AM117</f>
        <v>0.70000000000000107</v>
      </c>
      <c r="AO118" s="626">
        <f t="shared" si="238"/>
        <v>1.5</v>
      </c>
      <c r="AP118" s="336">
        <f t="shared" si="238"/>
        <v>0.29999999999999716</v>
      </c>
      <c r="AQ118" s="336">
        <f t="shared" si="238"/>
        <v>0.10000000000000142</v>
      </c>
      <c r="AR118" s="613">
        <f t="shared" si="239"/>
        <v>-13.3</v>
      </c>
      <c r="AS118" s="378">
        <v>-1.2</v>
      </c>
      <c r="AT118" s="378">
        <v>2</v>
      </c>
      <c r="AU118" s="378">
        <v>2</v>
      </c>
      <c r="AV118" s="458">
        <v>2</v>
      </c>
      <c r="AW118" s="378">
        <v>0.6</v>
      </c>
      <c r="AX118" s="378">
        <v>0.6</v>
      </c>
      <c r="AY118" s="378">
        <v>0.7</v>
      </c>
      <c r="AZ118" s="458">
        <v>0.7</v>
      </c>
      <c r="BA118" s="378">
        <v>0.8</v>
      </c>
      <c r="BB118" s="378">
        <v>0.8</v>
      </c>
      <c r="BC118" s="378">
        <v>0.8</v>
      </c>
      <c r="BD118" s="458">
        <v>0.8</v>
      </c>
      <c r="BE118" s="428"/>
      <c r="BF118" s="709"/>
      <c r="BG118" s="108"/>
      <c r="BH118" s="108"/>
      <c r="BI118" s="108"/>
      <c r="BJ118" s="108"/>
      <c r="BK118" s="108"/>
      <c r="BL118" s="108"/>
      <c r="BM118" s="1055"/>
      <c r="BN118" s="709"/>
      <c r="BO118" s="327"/>
      <c r="BP118" s="327"/>
      <c r="BQ118" s="327"/>
      <c r="BR118" s="327"/>
      <c r="BS118" s="327"/>
      <c r="BT118" s="327"/>
      <c r="BU118" s="327"/>
      <c r="BV118" s="327"/>
      <c r="BW118" s="327"/>
      <c r="BX118" s="327"/>
      <c r="BY118" s="612"/>
      <c r="BZ118" s="428"/>
      <c r="CA118" s="98"/>
      <c r="CB118" s="205"/>
      <c r="CC118" s="205"/>
      <c r="CD118" s="205"/>
      <c r="CE118" s="205"/>
      <c r="CF118" s="205"/>
      <c r="CG118" s="205"/>
    </row>
    <row r="119" spans="1:85" s="41" customFormat="1" ht="11.25" customHeight="1">
      <c r="A119" s="98"/>
      <c r="B119" s="98"/>
      <c r="C119" s="98"/>
      <c r="D119" s="98"/>
      <c r="E119" s="98"/>
      <c r="F119" s="98"/>
      <c r="G119" s="98"/>
      <c r="H119" s="1350"/>
      <c r="I119" s="1012" t="s">
        <v>380</v>
      </c>
      <c r="J119" s="1592"/>
      <c r="K119" s="108"/>
      <c r="L119" s="108"/>
      <c r="M119" s="108"/>
      <c r="N119" s="108"/>
      <c r="O119" s="108"/>
      <c r="P119" s="108"/>
      <c r="Q119" s="108"/>
      <c r="R119" s="108"/>
      <c r="S119" s="108"/>
      <c r="T119" s="108"/>
      <c r="U119" s="709"/>
      <c r="V119" s="108"/>
      <c r="W119" s="108"/>
      <c r="X119" s="1055"/>
      <c r="Y119" s="108"/>
      <c r="Z119" s="108"/>
      <c r="AA119" s="108"/>
      <c r="AB119" s="108"/>
      <c r="AC119" s="709"/>
      <c r="AD119" s="108"/>
      <c r="AE119" s="108"/>
      <c r="AF119" s="613"/>
      <c r="AG119" s="336"/>
      <c r="AH119" s="336"/>
      <c r="AI119" s="336">
        <f t="shared" ref="AI119:AR119" si="240">AI117-AE117</f>
        <v>10.661999999999999</v>
      </c>
      <c r="AJ119" s="336">
        <f t="shared" si="240"/>
        <v>12.583</v>
      </c>
      <c r="AK119" s="626">
        <f t="shared" si="240"/>
        <v>7.9</v>
      </c>
      <c r="AL119" s="336">
        <f t="shared" si="240"/>
        <v>4.1999999999999993</v>
      </c>
      <c r="AM119" s="336">
        <f t="shared" si="240"/>
        <v>3.9000000000000004</v>
      </c>
      <c r="AN119" s="613">
        <f t="shared" si="240"/>
        <v>2.6000000000000014</v>
      </c>
      <c r="AO119" s="626">
        <f t="shared" si="240"/>
        <v>3.6000000000000014</v>
      </c>
      <c r="AP119" s="336">
        <f t="shared" si="240"/>
        <v>2.8999999999999986</v>
      </c>
      <c r="AQ119" s="336">
        <f t="shared" si="240"/>
        <v>2.5999999999999996</v>
      </c>
      <c r="AR119" s="613">
        <f t="shared" si="240"/>
        <v>-11.400000000000002</v>
      </c>
      <c r="AS119" s="336">
        <f t="shared" ref="AS119:AV119" si="241">AS117-AO117</f>
        <v>-14.100000000000001</v>
      </c>
      <c r="AT119" s="336">
        <f t="shared" si="241"/>
        <v>-12.399999999999999</v>
      </c>
      <c r="AU119" s="336">
        <f t="shared" si="241"/>
        <v>-10.5</v>
      </c>
      <c r="AV119" s="613">
        <f t="shared" si="241"/>
        <v>4.8</v>
      </c>
      <c r="AW119" s="336">
        <f t="shared" ref="AW119" si="242">AW117-AS117</f>
        <v>6.6</v>
      </c>
      <c r="AX119" s="336">
        <f t="shared" ref="AX119" si="243">AX117-AT117</f>
        <v>5.1999999999999993</v>
      </c>
      <c r="AY119" s="336">
        <f t="shared" ref="AY119" si="244">AY117-AU117</f>
        <v>3.8999999999999986</v>
      </c>
      <c r="AZ119" s="613">
        <f t="shared" ref="AZ119" si="245">AZ117-AV117</f>
        <v>2.5999999999999979</v>
      </c>
      <c r="BA119" s="336">
        <f t="shared" ref="BA119" si="246">BA117-AW117</f>
        <v>2.7999999999999989</v>
      </c>
      <c r="BB119" s="336">
        <f t="shared" ref="BB119" si="247">BB117-AX117</f>
        <v>3</v>
      </c>
      <c r="BC119" s="336">
        <f t="shared" ref="BC119" si="248">BC117-AY117</f>
        <v>3.1000000000000014</v>
      </c>
      <c r="BD119" s="613">
        <f t="shared" ref="BD119" si="249">BD117-AZ117</f>
        <v>3.2000000000000028</v>
      </c>
      <c r="BE119" s="428"/>
      <c r="BF119" s="709"/>
      <c r="BG119" s="108"/>
      <c r="BH119" s="108"/>
      <c r="BI119" s="108"/>
      <c r="BJ119" s="108"/>
      <c r="BK119" s="108"/>
      <c r="BL119" s="108"/>
      <c r="BM119" s="1055"/>
      <c r="BN119" s="709"/>
      <c r="BO119" s="108"/>
      <c r="BP119" s="2278">
        <f>BP117-BO117</f>
        <v>18.600000000000001</v>
      </c>
      <c r="BQ119" s="2278">
        <f>BQ117-BP117</f>
        <v>-2.2999999999999972</v>
      </c>
      <c r="BR119" s="2278">
        <f>BR117-BQ117</f>
        <v>-32.200000000000003</v>
      </c>
      <c r="BS119" s="2278">
        <f>BS117-BR117</f>
        <v>18.299999999999997</v>
      </c>
      <c r="BT119" s="2278">
        <f>BT117-BS117</f>
        <v>12.099999999999994</v>
      </c>
      <c r="BU119" s="2443">
        <v>12</v>
      </c>
      <c r="BV119" s="2443">
        <f>BU119</f>
        <v>12</v>
      </c>
      <c r="BW119" s="2443">
        <f t="shared" ref="BW119:BY119" si="250">BV119</f>
        <v>12</v>
      </c>
      <c r="BX119" s="2443">
        <f t="shared" si="250"/>
        <v>12</v>
      </c>
      <c r="BY119" s="2444">
        <f t="shared" si="250"/>
        <v>12</v>
      </c>
      <c r="BZ119" s="428"/>
      <c r="CA119" s="98"/>
      <c r="CB119" s="205"/>
      <c r="CC119" s="205"/>
      <c r="CD119" s="205"/>
      <c r="CE119" s="205"/>
      <c r="CF119" s="205"/>
      <c r="CG119" s="205"/>
    </row>
    <row r="120" spans="1:85" s="231" customFormat="1" ht="11.25" customHeight="1">
      <c r="A120" s="104"/>
      <c r="B120" s="104"/>
      <c r="C120" s="104"/>
      <c r="D120" s="104"/>
      <c r="E120" s="104"/>
      <c r="F120" s="104"/>
      <c r="G120" s="104"/>
      <c r="H120" s="433"/>
      <c r="I120" s="2399" t="s">
        <v>132</v>
      </c>
      <c r="J120" s="1592"/>
      <c r="K120" s="108"/>
      <c r="L120" s="108"/>
      <c r="M120" s="108"/>
      <c r="N120" s="108"/>
      <c r="O120" s="108"/>
      <c r="P120" s="108"/>
      <c r="Q120" s="108"/>
      <c r="R120" s="108"/>
      <c r="S120" s="108"/>
      <c r="T120" s="108"/>
      <c r="U120" s="709"/>
      <c r="V120" s="108"/>
      <c r="W120" s="108"/>
      <c r="X120" s="1055"/>
      <c r="Y120" s="108"/>
      <c r="Z120" s="108"/>
      <c r="AA120" s="108"/>
      <c r="AB120" s="108"/>
      <c r="AC120" s="709"/>
      <c r="AD120" s="108"/>
      <c r="AE120" s="108"/>
      <c r="AF120" s="1055"/>
      <c r="AG120" s="108"/>
      <c r="AH120" s="108"/>
      <c r="AI120" s="108"/>
      <c r="AJ120" s="108"/>
      <c r="AK120" s="2422">
        <f t="shared" ref="AK120:AR120" si="251">AK117/AG117-1</f>
        <v>1.1969696969696972</v>
      </c>
      <c r="AL120" s="2421">
        <f t="shared" si="251"/>
        <v>0.37168141592920345</v>
      </c>
      <c r="AM120" s="2421">
        <f t="shared" si="251"/>
        <v>0.32499999999999996</v>
      </c>
      <c r="AN120" s="2421">
        <f t="shared" si="251"/>
        <v>0.18571428571428572</v>
      </c>
      <c r="AO120" s="2687">
        <f t="shared" si="251"/>
        <v>0.24827586206896557</v>
      </c>
      <c r="AP120" s="2421">
        <f t="shared" si="251"/>
        <v>0.18709677419354831</v>
      </c>
      <c r="AQ120" s="2421">
        <f t="shared" si="251"/>
        <v>0.16352201257861632</v>
      </c>
      <c r="AR120" s="2423">
        <f t="shared" si="251"/>
        <v>-0.68674698795180722</v>
      </c>
      <c r="AS120" s="2743">
        <f t="shared" ref="AS120" si="252">AS117/AO117-1</f>
        <v>-0.77900552486187846</v>
      </c>
      <c r="AT120" s="2743">
        <f t="shared" ref="AT120" si="253">AT117/AP117-1</f>
        <v>-0.67391304347826086</v>
      </c>
      <c r="AU120" s="2743">
        <f t="shared" ref="AU120" si="254">AU117/AQ117-1</f>
        <v>-0.56756756756756754</v>
      </c>
      <c r="AV120" s="2869">
        <f t="shared" ref="AV120" si="255">AV117/AR117-1</f>
        <v>0.92307692307692291</v>
      </c>
      <c r="AW120" s="2743">
        <f t="shared" ref="AW120" si="256">AW117/AS117-1</f>
        <v>1.65</v>
      </c>
      <c r="AX120" s="2743">
        <f t="shared" ref="AX120" si="257">AX117/AT117-1</f>
        <v>0.86666666666666647</v>
      </c>
      <c r="AY120" s="2743">
        <f t="shared" ref="AY120" si="258">AY117/AU117-1</f>
        <v>0.48749999999999982</v>
      </c>
      <c r="AZ120" s="2869">
        <f t="shared" ref="AZ120" si="259">AZ117/AV117-1</f>
        <v>0.25999999999999979</v>
      </c>
      <c r="BA120" s="2743">
        <f t="shared" ref="BA120" si="260">BA117/AW117-1</f>
        <v>0.26415094339622636</v>
      </c>
      <c r="BB120" s="2743">
        <f t="shared" ref="BB120" si="261">BB117/AX117-1</f>
        <v>0.26785714285714279</v>
      </c>
      <c r="BC120" s="2743">
        <f t="shared" ref="BC120" si="262">BC117/AY117-1</f>
        <v>0.26050420168067245</v>
      </c>
      <c r="BD120" s="2869">
        <f t="shared" ref="BD120" si="263">BD117/AZ117-1</f>
        <v>0.25396825396825418</v>
      </c>
      <c r="BE120" s="428"/>
      <c r="BF120" s="709"/>
      <c r="BG120" s="108"/>
      <c r="BH120" s="108"/>
      <c r="BI120" s="108"/>
      <c r="BJ120" s="108"/>
      <c r="BK120" s="108"/>
      <c r="BL120" s="108"/>
      <c r="BM120" s="1055"/>
      <c r="BN120" s="709"/>
      <c r="BO120" s="108"/>
      <c r="BP120" s="2068">
        <f t="shared" ref="BP120" si="264">BP117/BO117-1</f>
        <v>0.42369020501138954</v>
      </c>
      <c r="BQ120" s="2068">
        <f t="shared" ref="BQ120" si="265">BQ117/BP117-1</f>
        <v>-3.6799999999999944E-2</v>
      </c>
      <c r="BR120" s="2068">
        <f t="shared" ref="BR120" si="266">BR117/BQ117-1</f>
        <v>-0.53488372093023262</v>
      </c>
      <c r="BS120" s="2068">
        <f t="shared" ref="BS120" si="267">BS117/BR117-1</f>
        <v>0.65357142857142847</v>
      </c>
      <c r="BT120" s="2068">
        <f t="shared" ref="BT120" si="268">BT117/BS117-1</f>
        <v>0.26133909287257007</v>
      </c>
      <c r="BU120" s="2068">
        <f t="shared" ref="BU120" si="269">BU117/BT117-1</f>
        <v>0.20547945205479445</v>
      </c>
      <c r="BV120" s="2068">
        <f t="shared" ref="BV120" si="270">BV117/BU117-1</f>
        <v>0.17045454545454541</v>
      </c>
      <c r="BW120" s="2068">
        <f t="shared" ref="BW120" si="271">BW117/BV117-1</f>
        <v>0.14563106796116498</v>
      </c>
      <c r="BX120" s="2068">
        <f t="shared" ref="BX120" si="272">BX117/BW117-1</f>
        <v>0.12711864406779672</v>
      </c>
      <c r="BY120" s="2095">
        <f t="shared" ref="BY120" si="273">BY117/BX117-1</f>
        <v>0.11278195488721798</v>
      </c>
      <c r="BZ120" s="428"/>
      <c r="CA120" s="104"/>
      <c r="CB120" s="1085"/>
      <c r="CC120" s="1085"/>
      <c r="CD120" s="1085"/>
      <c r="CE120" s="1085"/>
      <c r="CF120" s="1085"/>
      <c r="CG120" s="1085"/>
    </row>
    <row r="121" spans="1:85" s="41" customFormat="1" ht="11.25" customHeight="1">
      <c r="A121" s="98"/>
      <c r="B121" s="98"/>
      <c r="C121" s="98"/>
      <c r="D121" s="98"/>
      <c r="E121" s="98"/>
      <c r="F121" s="98"/>
      <c r="G121" s="98"/>
      <c r="H121" s="1350"/>
      <c r="I121" s="2399" t="s">
        <v>146</v>
      </c>
      <c r="J121" s="1592"/>
      <c r="K121" s="108"/>
      <c r="L121" s="108"/>
      <c r="M121" s="108"/>
      <c r="N121" s="108"/>
      <c r="O121" s="108"/>
      <c r="P121" s="108"/>
      <c r="Q121" s="108"/>
      <c r="R121" s="108"/>
      <c r="S121" s="108"/>
      <c r="T121" s="108"/>
      <c r="U121" s="709"/>
      <c r="V121" s="108"/>
      <c r="W121" s="108"/>
      <c r="X121" s="1055"/>
      <c r="Y121" s="108"/>
      <c r="Z121" s="108"/>
      <c r="AA121" s="108"/>
      <c r="AB121" s="108"/>
      <c r="AC121" s="709"/>
      <c r="AD121" s="108"/>
      <c r="AE121" s="108"/>
      <c r="AF121" s="2095">
        <f t="shared" ref="AF121:AK121" si="274">AF117/AE117-1</f>
        <v>5.9043348281016206E-2</v>
      </c>
      <c r="AG121" s="2068">
        <f t="shared" si="274"/>
        <v>3.6577275935074107</v>
      </c>
      <c r="AH121" s="2068">
        <f t="shared" si="274"/>
        <v>0.71212121212121238</v>
      </c>
      <c r="AI121" s="2068">
        <f t="shared" si="274"/>
        <v>6.1946902654867131E-2</v>
      </c>
      <c r="AJ121" s="2068">
        <f t="shared" si="274"/>
        <v>0.16666666666666674</v>
      </c>
      <c r="AK121" s="2394">
        <f t="shared" si="274"/>
        <v>3.5714285714285809E-2</v>
      </c>
      <c r="AL121" s="2068">
        <f t="shared" ref="AL121:AR121" si="275">AL117/AK117-1</f>
        <v>6.8965517241379226E-2</v>
      </c>
      <c r="AM121" s="2068">
        <f t="shared" si="275"/>
        <v>2.5806451612903292E-2</v>
      </c>
      <c r="AN121" s="2095">
        <f t="shared" si="275"/>
        <v>4.4025157232704393E-2</v>
      </c>
      <c r="AO121" s="2394">
        <f t="shared" si="275"/>
        <v>9.0361445783132543E-2</v>
      </c>
      <c r="AP121" s="2068">
        <f t="shared" si="275"/>
        <v>1.6574585635358963E-2</v>
      </c>
      <c r="AQ121" s="2068">
        <f t="shared" si="275"/>
        <v>5.4347826086957873E-3</v>
      </c>
      <c r="AR121" s="2095">
        <f t="shared" si="275"/>
        <v>-0.7189189189189189</v>
      </c>
      <c r="AS121" s="2068">
        <f t="shared" ref="AS121:AV121" si="276">AS117/AR117-1</f>
        <v>-0.23076923076923084</v>
      </c>
      <c r="AT121" s="2068">
        <f t="shared" si="276"/>
        <v>0.5</v>
      </c>
      <c r="AU121" s="2068">
        <f t="shared" si="276"/>
        <v>0.33333333333333326</v>
      </c>
      <c r="AV121" s="2095">
        <f t="shared" si="276"/>
        <v>0.25</v>
      </c>
      <c r="AW121" s="2068">
        <f t="shared" ref="AW121" si="277">AW117/AV117-1</f>
        <v>6.0000000000000053E-2</v>
      </c>
      <c r="AX121" s="2068">
        <f t="shared" ref="AX121" si="278">AX117/AW117-1</f>
        <v>5.6603773584905648E-2</v>
      </c>
      <c r="AY121" s="2068">
        <f t="shared" ref="AY121" si="279">AY117/AX117-1</f>
        <v>6.25E-2</v>
      </c>
      <c r="AZ121" s="2095">
        <f t="shared" ref="AZ121" si="280">AZ117/AY117-1</f>
        <v>5.8823529411764719E-2</v>
      </c>
      <c r="BA121" s="2068">
        <f t="shared" ref="BA121" si="281">BA117/AZ117-1</f>
        <v>6.3492063492063489E-2</v>
      </c>
      <c r="BB121" s="2068">
        <f t="shared" ref="BB121" si="282">BB117/BA117-1</f>
        <v>5.9701492537313383E-2</v>
      </c>
      <c r="BC121" s="2068">
        <f t="shared" ref="BC121" si="283">BC117/BB117-1</f>
        <v>5.6338028169014231E-2</v>
      </c>
      <c r="BD121" s="2095">
        <f t="shared" ref="BD121" si="284">BD117/BC117-1</f>
        <v>5.3333333333333455E-2</v>
      </c>
      <c r="BE121" s="428"/>
      <c r="BF121" s="709"/>
      <c r="BG121" s="108"/>
      <c r="BH121" s="108"/>
      <c r="BI121" s="108"/>
      <c r="BJ121" s="108"/>
      <c r="BK121" s="108"/>
      <c r="BL121" s="108"/>
      <c r="BM121" s="1055"/>
      <c r="BN121" s="709"/>
      <c r="BO121" s="327"/>
      <c r="BP121" s="327"/>
      <c r="BQ121" s="327"/>
      <c r="BR121" s="327"/>
      <c r="BS121" s="327"/>
      <c r="BT121" s="327"/>
      <c r="BU121" s="327"/>
      <c r="BV121" s="327"/>
      <c r="BW121" s="327"/>
      <c r="BX121" s="327"/>
      <c r="BY121" s="612"/>
      <c r="BZ121" s="428"/>
      <c r="CA121" s="98"/>
      <c r="CB121" s="205"/>
      <c r="CC121" s="205"/>
      <c r="CD121" s="205"/>
      <c r="CE121" s="205"/>
      <c r="CF121" s="205"/>
      <c r="CG121" s="205"/>
    </row>
    <row r="122" spans="1:85" s="41" customFormat="1" ht="11.25" customHeight="1">
      <c r="A122" s="98"/>
      <c r="B122" s="98"/>
      <c r="C122" s="98"/>
      <c r="D122" s="98"/>
      <c r="E122" s="98"/>
      <c r="F122" s="98"/>
      <c r="G122" s="98"/>
      <c r="H122" s="1350"/>
      <c r="I122" s="2399" t="s">
        <v>57</v>
      </c>
      <c r="J122" s="1592"/>
      <c r="K122" s="108"/>
      <c r="L122" s="108"/>
      <c r="M122" s="108"/>
      <c r="N122" s="108"/>
      <c r="O122" s="108"/>
      <c r="P122" s="108"/>
      <c r="Q122" s="108"/>
      <c r="R122" s="108"/>
      <c r="S122" s="108"/>
      <c r="T122" s="108"/>
      <c r="U122" s="709"/>
      <c r="V122" s="108"/>
      <c r="W122" s="108"/>
      <c r="X122" s="1055"/>
      <c r="Y122" s="108"/>
      <c r="Z122" s="108"/>
      <c r="AA122" s="108"/>
      <c r="AB122" s="108"/>
      <c r="AC122" s="709"/>
      <c r="AD122" s="108"/>
      <c r="AE122" s="108"/>
      <c r="AF122" s="1055"/>
      <c r="AG122" s="108"/>
      <c r="AH122" s="108"/>
      <c r="AI122" s="108"/>
      <c r="AJ122" s="108"/>
      <c r="AK122" s="709"/>
      <c r="AL122" s="108"/>
      <c r="AM122" s="108"/>
      <c r="AN122" s="1055"/>
      <c r="AO122" s="108"/>
      <c r="AP122" s="108"/>
      <c r="AQ122" s="108"/>
      <c r="AR122" s="1055"/>
      <c r="AS122" s="108"/>
      <c r="AT122" s="108"/>
      <c r="AU122" s="108"/>
      <c r="AV122" s="1055"/>
      <c r="AW122" s="108"/>
      <c r="AX122" s="108"/>
      <c r="AY122" s="108"/>
      <c r="AZ122" s="1055"/>
      <c r="BA122" s="108"/>
      <c r="BB122" s="108"/>
      <c r="BC122" s="108"/>
      <c r="BD122" s="1055"/>
      <c r="BE122" s="428"/>
      <c r="BF122" s="709"/>
      <c r="BG122" s="108"/>
      <c r="BH122" s="108"/>
      <c r="BI122" s="108"/>
      <c r="BJ122" s="108"/>
      <c r="BK122" s="108"/>
      <c r="BL122" s="108"/>
      <c r="BM122" s="1055"/>
      <c r="BN122" s="709"/>
      <c r="BO122" s="108"/>
      <c r="BP122" s="108"/>
      <c r="BQ122" s="108"/>
      <c r="BR122" s="108"/>
      <c r="BS122" s="108"/>
      <c r="BT122" s="108"/>
      <c r="BU122" s="108"/>
      <c r="BV122" s="108"/>
      <c r="BW122" s="108"/>
      <c r="BX122" s="108"/>
      <c r="BY122" s="1055"/>
      <c r="BZ122" s="428"/>
      <c r="CA122" s="98"/>
      <c r="CB122" s="205"/>
      <c r="CC122" s="205"/>
      <c r="CD122" s="205"/>
      <c r="CE122" s="205"/>
      <c r="CF122" s="205"/>
      <c r="CG122" s="205"/>
    </row>
    <row r="123" spans="1:85" s="41" customFormat="1" ht="11.25" customHeight="1">
      <c r="A123" s="98"/>
      <c r="B123" s="98"/>
      <c r="C123" s="98"/>
      <c r="D123" s="98"/>
      <c r="E123" s="98"/>
      <c r="F123" s="98"/>
      <c r="G123" s="98"/>
      <c r="H123" s="1350"/>
      <c r="I123" s="2399"/>
      <c r="J123" s="1592"/>
      <c r="K123" s="108"/>
      <c r="L123" s="108"/>
      <c r="M123" s="108"/>
      <c r="N123" s="108"/>
      <c r="O123" s="108"/>
      <c r="P123" s="108"/>
      <c r="Q123" s="108"/>
      <c r="R123" s="108"/>
      <c r="S123" s="108"/>
      <c r="T123" s="108"/>
      <c r="U123" s="709"/>
      <c r="V123" s="108"/>
      <c r="W123" s="108"/>
      <c r="X123" s="1055"/>
      <c r="Y123" s="108"/>
      <c r="Z123" s="108"/>
      <c r="AA123" s="108"/>
      <c r="AB123" s="108"/>
      <c r="AC123" s="709"/>
      <c r="AD123" s="108"/>
      <c r="AE123" s="108"/>
      <c r="AF123" s="1055"/>
      <c r="AG123" s="108"/>
      <c r="AH123" s="108"/>
      <c r="AI123" s="108"/>
      <c r="AJ123" s="108"/>
      <c r="AK123" s="709"/>
      <c r="AL123" s="108"/>
      <c r="AM123" s="108"/>
      <c r="AN123" s="1055"/>
      <c r="AO123" s="108"/>
      <c r="AP123" s="108"/>
      <c r="AQ123" s="108"/>
      <c r="AR123" s="1055"/>
      <c r="AS123" s="108"/>
      <c r="AT123" s="108"/>
      <c r="AU123" s="108"/>
      <c r="AV123" s="1055"/>
      <c r="AW123" s="108"/>
      <c r="AX123" s="108"/>
      <c r="AY123" s="108"/>
      <c r="AZ123" s="1055"/>
      <c r="BA123" s="108"/>
      <c r="BB123" s="108"/>
      <c r="BC123" s="108"/>
      <c r="BD123" s="1055"/>
      <c r="BE123" s="428"/>
      <c r="BF123" s="709"/>
      <c r="BG123" s="108"/>
      <c r="BH123" s="108"/>
      <c r="BI123" s="108"/>
      <c r="BJ123" s="108"/>
      <c r="BK123" s="108"/>
      <c r="BL123" s="108"/>
      <c r="BM123" s="1055"/>
      <c r="BN123" s="709"/>
      <c r="BO123" s="108"/>
      <c r="BP123" s="108"/>
      <c r="BQ123" s="108"/>
      <c r="BR123" s="108"/>
      <c r="BS123" s="108"/>
      <c r="BT123" s="108"/>
      <c r="BU123" s="108"/>
      <c r="BV123" s="108"/>
      <c r="BW123" s="108"/>
      <c r="BX123" s="108"/>
      <c r="BY123" s="1055"/>
      <c r="BZ123" s="428"/>
      <c r="CA123" s="98"/>
      <c r="CB123" s="205"/>
      <c r="CC123" s="205"/>
      <c r="CD123" s="205"/>
      <c r="CE123" s="205"/>
      <c r="CF123" s="205"/>
      <c r="CG123" s="205"/>
    </row>
    <row r="124" spans="1:85" s="41" customFormat="1" ht="11.25" hidden="1" customHeight="1" outlineLevel="1">
      <c r="A124" s="98"/>
      <c r="B124" s="98"/>
      <c r="C124" s="98"/>
      <c r="D124" s="98"/>
      <c r="E124" s="98"/>
      <c r="F124" s="98"/>
      <c r="G124" s="98"/>
      <c r="H124" s="1350"/>
      <c r="I124" s="2778" t="s">
        <v>633</v>
      </c>
      <c r="J124" s="1592"/>
      <c r="K124" s="108"/>
      <c r="L124" s="108"/>
      <c r="M124" s="108"/>
      <c r="N124" s="108"/>
      <c r="O124" s="108"/>
      <c r="P124" s="108"/>
      <c r="Q124" s="108"/>
      <c r="R124" s="108"/>
      <c r="S124" s="108"/>
      <c r="T124" s="108"/>
      <c r="U124" s="709"/>
      <c r="V124" s="108"/>
      <c r="W124" s="108"/>
      <c r="X124" s="1055"/>
      <c r="Y124" s="108"/>
      <c r="Z124" s="108"/>
      <c r="AA124" s="108"/>
      <c r="AB124" s="108"/>
      <c r="AC124" s="709"/>
      <c r="AD124" s="108"/>
      <c r="AE124" s="108"/>
      <c r="AF124" s="1055"/>
      <c r="AG124" s="108">
        <f>AK124/(1+AK127)</f>
        <v>2.1977674976711876</v>
      </c>
      <c r="AH124" s="108">
        <f>AL124/(1+AL127)</f>
        <v>4.026845637583893</v>
      </c>
      <c r="AI124" s="322">
        <f>AI117/AI130</f>
        <v>4.3629092121010133</v>
      </c>
      <c r="AJ124" s="734">
        <f>AJ117/AJ130</f>
        <v>5.1952871323870493</v>
      </c>
      <c r="AK124" s="322">
        <f>AK117/AK130</f>
        <v>5.4944187441779686</v>
      </c>
      <c r="AL124" s="377">
        <v>6</v>
      </c>
      <c r="AM124" s="108">
        <f>AI124*(1+AM127)</f>
        <v>6.0644438048204092</v>
      </c>
      <c r="AN124" s="1055">
        <f t="shared" ref="AN124:BD124" si="285">AJ124*(1+AN127)</f>
        <v>6.7538732721031645</v>
      </c>
      <c r="AO124" s="108">
        <f t="shared" si="285"/>
        <v>8.241628116266952</v>
      </c>
      <c r="AP124" s="108">
        <f t="shared" si="285"/>
        <v>8.94</v>
      </c>
      <c r="AQ124" s="108">
        <f t="shared" si="285"/>
        <v>8.4902213267485731</v>
      </c>
      <c r="AR124" s="1055">
        <f t="shared" si="285"/>
        <v>8.7800352537341144</v>
      </c>
      <c r="AS124" s="108">
        <f t="shared" si="285"/>
        <v>11.538279362773732</v>
      </c>
      <c r="AT124" s="108">
        <f t="shared" si="285"/>
        <v>12.515999999999998</v>
      </c>
      <c r="AU124" s="108">
        <f t="shared" si="285"/>
        <v>11.886309857448001</v>
      </c>
      <c r="AV124" s="1055">
        <f t="shared" si="285"/>
        <v>12.292049355227759</v>
      </c>
      <c r="AW124" s="108">
        <f t="shared" si="285"/>
        <v>14.999763171605853</v>
      </c>
      <c r="AX124" s="108">
        <f t="shared" si="285"/>
        <v>16.270799999999998</v>
      </c>
      <c r="AY124" s="108">
        <f t="shared" si="285"/>
        <v>15.452202814682401</v>
      </c>
      <c r="AZ124" s="1055">
        <f t="shared" si="285"/>
        <v>15.979664161796087</v>
      </c>
      <c r="BA124" s="108">
        <f t="shared" si="285"/>
        <v>17.999715805927021</v>
      </c>
      <c r="BB124" s="108">
        <f t="shared" si="285"/>
        <v>19.524959999999997</v>
      </c>
      <c r="BC124" s="108">
        <f t="shared" si="285"/>
        <v>18.54264337761888</v>
      </c>
      <c r="BD124" s="1055">
        <f t="shared" si="285"/>
        <v>19.175596994155303</v>
      </c>
      <c r="BE124" s="428"/>
      <c r="BF124" s="709"/>
      <c r="BG124" s="108"/>
      <c r="BH124" s="108"/>
      <c r="BI124" s="108"/>
      <c r="BJ124" s="108"/>
      <c r="BK124" s="108"/>
      <c r="BL124" s="108"/>
      <c r="BM124" s="1055"/>
      <c r="BN124" s="709"/>
      <c r="BO124" s="331">
        <f>SUM(AG124:AJ124)</f>
        <v>15.782809479743143</v>
      </c>
      <c r="BP124" s="428">
        <f>SUM(AK124:AN124)</f>
        <v>24.312735821101541</v>
      </c>
      <c r="BQ124" s="428">
        <f>SUM(AO124:AR124)</f>
        <v>34.451884696749637</v>
      </c>
      <c r="BR124" s="428">
        <f>SUM(AS124:AV124)</f>
        <v>48.232638575449492</v>
      </c>
      <c r="BS124" s="428">
        <f>SUM(AW124:AZ124)</f>
        <v>62.702430148084339</v>
      </c>
      <c r="BT124" s="428">
        <f>SUM(BA124:BD124)</f>
        <v>75.242916177701204</v>
      </c>
      <c r="BU124" s="322">
        <f>BT124*(1+BU127)</f>
        <v>89.539070251464423</v>
      </c>
      <c r="BV124" s="322">
        <f>BU124*(1+BV127)</f>
        <v>105.65610289672802</v>
      </c>
      <c r="BW124" s="322">
        <f>BV124*(1+BW127)</f>
        <v>123.61764038917177</v>
      </c>
      <c r="BX124" s="322">
        <f>BW124*(1+BX127)</f>
        <v>143.39646285143925</v>
      </c>
      <c r="BY124" s="734">
        <f>BX124*(1+BY127)</f>
        <v>164.90593227915514</v>
      </c>
      <c r="BZ124" s="428"/>
      <c r="CA124" s="98"/>
      <c r="CB124" s="205"/>
      <c r="CC124" s="205"/>
      <c r="CD124" s="205"/>
      <c r="CE124" s="205"/>
      <c r="CF124" s="205"/>
      <c r="CG124" s="205"/>
    </row>
    <row r="125" spans="1:85" s="41" customFormat="1" ht="11.25" hidden="1" customHeight="1" outlineLevel="1">
      <c r="A125" s="98"/>
      <c r="B125" s="98"/>
      <c r="C125" s="98"/>
      <c r="D125" s="98"/>
      <c r="E125" s="98"/>
      <c r="F125" s="98"/>
      <c r="G125" s="98"/>
      <c r="H125" s="1350"/>
      <c r="I125" s="2779" t="s">
        <v>377</v>
      </c>
      <c r="J125" s="1592"/>
      <c r="K125" s="108"/>
      <c r="L125" s="108"/>
      <c r="M125" s="108"/>
      <c r="N125" s="108"/>
      <c r="O125" s="108"/>
      <c r="P125" s="108"/>
      <c r="Q125" s="108"/>
      <c r="R125" s="108"/>
      <c r="S125" s="108"/>
      <c r="T125" s="108"/>
      <c r="U125" s="709"/>
      <c r="V125" s="108"/>
      <c r="W125" s="108"/>
      <c r="X125" s="1055"/>
      <c r="Y125" s="108"/>
      <c r="Z125" s="108"/>
      <c r="AA125" s="108"/>
      <c r="AB125" s="108"/>
      <c r="AC125" s="709"/>
      <c r="AD125" s="108"/>
      <c r="AE125" s="108"/>
      <c r="AF125" s="1055"/>
      <c r="AG125" s="108"/>
      <c r="AH125" s="1518">
        <f t="shared" ref="AH125:AM125" si="286">AH124-AG124</f>
        <v>1.8290781399127054</v>
      </c>
      <c r="AI125" s="1518">
        <f t="shared" si="286"/>
        <v>0.33606357451712032</v>
      </c>
      <c r="AJ125" s="2432">
        <f t="shared" si="286"/>
        <v>0.83237792028603597</v>
      </c>
      <c r="AK125" s="1518">
        <f t="shared" si="286"/>
        <v>0.29913161179091929</v>
      </c>
      <c r="AL125" s="1518">
        <f t="shared" si="286"/>
        <v>0.50558125582203139</v>
      </c>
      <c r="AM125" s="1518">
        <f t="shared" si="286"/>
        <v>6.4443804820409234E-2</v>
      </c>
      <c r="AN125" s="2432">
        <f t="shared" ref="AN125:BD125" si="287">AN124-AM124</f>
        <v>0.68942946728275523</v>
      </c>
      <c r="AO125" s="1518">
        <f t="shared" si="287"/>
        <v>1.4877548441637876</v>
      </c>
      <c r="AP125" s="1518">
        <f t="shared" si="287"/>
        <v>0.69837188373304748</v>
      </c>
      <c r="AQ125" s="1518">
        <f t="shared" si="287"/>
        <v>-0.4497786732514264</v>
      </c>
      <c r="AR125" s="2432">
        <f t="shared" si="287"/>
        <v>0.28981392698554131</v>
      </c>
      <c r="AS125" s="1518">
        <f t="shared" si="287"/>
        <v>2.7582441090396177</v>
      </c>
      <c r="AT125" s="1518">
        <f t="shared" si="287"/>
        <v>0.97772063722626612</v>
      </c>
      <c r="AU125" s="1518">
        <f t="shared" si="287"/>
        <v>-0.62969014255199696</v>
      </c>
      <c r="AV125" s="2432">
        <f t="shared" si="287"/>
        <v>0.40573949777975749</v>
      </c>
      <c r="AW125" s="1518">
        <f t="shared" si="287"/>
        <v>2.7077138163780941</v>
      </c>
      <c r="AX125" s="1518">
        <f t="shared" si="287"/>
        <v>1.2710368283941449</v>
      </c>
      <c r="AY125" s="1518">
        <f t="shared" si="287"/>
        <v>-0.8185971853175964</v>
      </c>
      <c r="AZ125" s="2432">
        <f t="shared" si="287"/>
        <v>0.52746134711368597</v>
      </c>
      <c r="BA125" s="1518">
        <f t="shared" si="287"/>
        <v>2.020051644130934</v>
      </c>
      <c r="BB125" s="1518">
        <f t="shared" si="287"/>
        <v>1.5252441940729753</v>
      </c>
      <c r="BC125" s="1518">
        <f t="shared" si="287"/>
        <v>-0.98231662238111639</v>
      </c>
      <c r="BD125" s="2432">
        <f t="shared" si="287"/>
        <v>0.63295361653642246</v>
      </c>
      <c r="BE125" s="428"/>
      <c r="BF125" s="709"/>
      <c r="BG125" s="108"/>
      <c r="BH125" s="108"/>
      <c r="BI125" s="108"/>
      <c r="BJ125" s="108"/>
      <c r="BK125" s="108"/>
      <c r="BL125" s="108"/>
      <c r="BM125" s="1055"/>
      <c r="BN125" s="709"/>
      <c r="BO125" s="327" t="s">
        <v>515</v>
      </c>
      <c r="BP125" s="327" t="s">
        <v>515</v>
      </c>
      <c r="BQ125" s="327" t="s">
        <v>515</v>
      </c>
      <c r="BR125" s="327" t="s">
        <v>515</v>
      </c>
      <c r="BS125" s="327" t="s">
        <v>515</v>
      </c>
      <c r="BT125" s="327" t="s">
        <v>515</v>
      </c>
      <c r="BU125" s="327" t="s">
        <v>515</v>
      </c>
      <c r="BV125" s="327" t="s">
        <v>515</v>
      </c>
      <c r="BW125" s="327" t="s">
        <v>515</v>
      </c>
      <c r="BX125" s="327" t="s">
        <v>515</v>
      </c>
      <c r="BY125" s="612" t="s">
        <v>515</v>
      </c>
      <c r="BZ125" s="428"/>
      <c r="CA125" s="98"/>
      <c r="CB125" s="205"/>
      <c r="CC125" s="205"/>
      <c r="CD125" s="205"/>
      <c r="CE125" s="205"/>
      <c r="CF125" s="205"/>
      <c r="CG125" s="205"/>
    </row>
    <row r="126" spans="1:85" s="41" customFormat="1" ht="11.25" hidden="1" customHeight="1" outlineLevel="1">
      <c r="A126" s="98"/>
      <c r="B126" s="98"/>
      <c r="C126" s="98"/>
      <c r="D126" s="98"/>
      <c r="E126" s="98"/>
      <c r="F126" s="98"/>
      <c r="G126" s="98"/>
      <c r="H126" s="1350"/>
      <c r="I126" s="2780" t="s">
        <v>380</v>
      </c>
      <c r="J126" s="1592"/>
      <c r="K126" s="108"/>
      <c r="L126" s="108"/>
      <c r="M126" s="108"/>
      <c r="N126" s="108"/>
      <c r="O126" s="108"/>
      <c r="P126" s="108"/>
      <c r="Q126" s="108"/>
      <c r="R126" s="108"/>
      <c r="S126" s="108"/>
      <c r="T126" s="108"/>
      <c r="U126" s="709"/>
      <c r="V126" s="108"/>
      <c r="W126" s="108"/>
      <c r="X126" s="1055"/>
      <c r="Y126" s="108"/>
      <c r="Z126" s="108"/>
      <c r="AA126" s="108"/>
      <c r="AB126" s="108"/>
      <c r="AC126" s="709"/>
      <c r="AD126" s="108"/>
      <c r="AE126" s="108"/>
      <c r="AF126" s="1055"/>
      <c r="AG126" s="108"/>
      <c r="AH126" s="108"/>
      <c r="AI126" s="108"/>
      <c r="AJ126" s="1055"/>
      <c r="AK126" s="336">
        <f>AK124-AG124</f>
        <v>3.296651246506781</v>
      </c>
      <c r="AL126" s="336">
        <f>AL124-AH124</f>
        <v>1.973154362416107</v>
      </c>
      <c r="AM126" s="336">
        <f>AM124-AI124</f>
        <v>1.7015345927193959</v>
      </c>
      <c r="AN126" s="613">
        <f t="shared" ref="AN126:BD126" si="288">AN124-AJ124</f>
        <v>1.5585861397161151</v>
      </c>
      <c r="AO126" s="336">
        <f t="shared" si="288"/>
        <v>2.7472093720889834</v>
      </c>
      <c r="AP126" s="336">
        <f t="shared" si="288"/>
        <v>2.9399999999999995</v>
      </c>
      <c r="AQ126" s="336">
        <f t="shared" si="288"/>
        <v>2.4257775219281639</v>
      </c>
      <c r="AR126" s="613">
        <f t="shared" si="288"/>
        <v>2.02616198163095</v>
      </c>
      <c r="AS126" s="336">
        <f t="shared" si="288"/>
        <v>3.2966512465067801</v>
      </c>
      <c r="AT126" s="336">
        <f t="shared" si="288"/>
        <v>3.5759999999999987</v>
      </c>
      <c r="AU126" s="336">
        <f t="shared" si="288"/>
        <v>3.3960885306994282</v>
      </c>
      <c r="AV126" s="613">
        <f t="shared" si="288"/>
        <v>3.5120141014936443</v>
      </c>
      <c r="AW126" s="336">
        <f t="shared" si="288"/>
        <v>3.4614838088321207</v>
      </c>
      <c r="AX126" s="336">
        <f t="shared" si="288"/>
        <v>3.7547999999999995</v>
      </c>
      <c r="AY126" s="336">
        <f t="shared" si="288"/>
        <v>3.5658929572344</v>
      </c>
      <c r="AZ126" s="613">
        <f t="shared" si="288"/>
        <v>3.6876148065683285</v>
      </c>
      <c r="BA126" s="336">
        <f t="shared" si="288"/>
        <v>2.9999526343211684</v>
      </c>
      <c r="BB126" s="336">
        <f t="shared" si="288"/>
        <v>3.2541599999999988</v>
      </c>
      <c r="BC126" s="336">
        <f t="shared" si="288"/>
        <v>3.0904405629364788</v>
      </c>
      <c r="BD126" s="613">
        <f t="shared" si="288"/>
        <v>3.1959328323592153</v>
      </c>
      <c r="BE126" s="428"/>
      <c r="BF126" s="709"/>
      <c r="BG126" s="108"/>
      <c r="BH126" s="108"/>
      <c r="BI126" s="108"/>
      <c r="BJ126" s="108"/>
      <c r="BK126" s="108"/>
      <c r="BL126" s="108"/>
      <c r="BM126" s="1055"/>
      <c r="BN126" s="709"/>
      <c r="BO126" s="108"/>
      <c r="BP126" s="336">
        <f t="shared" ref="BP126:BY126" si="289">BP124-BO124</f>
        <v>8.5299263413583972</v>
      </c>
      <c r="BQ126" s="336">
        <f t="shared" si="289"/>
        <v>10.139148875648097</v>
      </c>
      <c r="BR126" s="336">
        <f t="shared" si="289"/>
        <v>13.780753878699855</v>
      </c>
      <c r="BS126" s="336">
        <f t="shared" si="289"/>
        <v>14.469791572634847</v>
      </c>
      <c r="BT126" s="336">
        <f t="shared" si="289"/>
        <v>12.540486029616865</v>
      </c>
      <c r="BU126" s="336">
        <f t="shared" si="289"/>
        <v>14.296154073763219</v>
      </c>
      <c r="BV126" s="336">
        <f t="shared" si="289"/>
        <v>16.117032645263592</v>
      </c>
      <c r="BW126" s="336">
        <f t="shared" si="289"/>
        <v>17.961537492443753</v>
      </c>
      <c r="BX126" s="336">
        <f t="shared" si="289"/>
        <v>19.778822462267485</v>
      </c>
      <c r="BY126" s="613">
        <f t="shared" si="289"/>
        <v>21.509469427715885</v>
      </c>
      <c r="BZ126" s="428"/>
      <c r="CA126" s="98"/>
      <c r="CB126" s="205"/>
      <c r="CC126" s="205"/>
      <c r="CD126" s="205"/>
      <c r="CE126" s="205"/>
      <c r="CF126" s="205"/>
      <c r="CG126" s="205"/>
    </row>
    <row r="127" spans="1:85" s="41" customFormat="1" ht="11.25" hidden="1" customHeight="1" outlineLevel="1">
      <c r="A127" s="98"/>
      <c r="B127" s="98"/>
      <c r="C127" s="98"/>
      <c r="D127" s="98"/>
      <c r="E127" s="98"/>
      <c r="F127" s="98"/>
      <c r="G127" s="98"/>
      <c r="H127" s="1350"/>
      <c r="I127" s="2779" t="s">
        <v>132</v>
      </c>
      <c r="J127" s="1592"/>
      <c r="K127" s="108"/>
      <c r="L127" s="108"/>
      <c r="M127" s="108"/>
      <c r="N127" s="108"/>
      <c r="O127" s="108"/>
      <c r="P127" s="108"/>
      <c r="Q127" s="108"/>
      <c r="R127" s="108"/>
      <c r="S127" s="108"/>
      <c r="T127" s="108"/>
      <c r="U127" s="709"/>
      <c r="V127" s="108"/>
      <c r="W127" s="108"/>
      <c r="X127" s="1055"/>
      <c r="Y127" s="108"/>
      <c r="Z127" s="108"/>
      <c r="AA127" s="108"/>
      <c r="AB127" s="108"/>
      <c r="AC127" s="709"/>
      <c r="AD127" s="108"/>
      <c r="AE127" s="108"/>
      <c r="AF127" s="1055"/>
      <c r="AG127" s="108"/>
      <c r="AH127" s="108"/>
      <c r="AI127" s="108"/>
      <c r="AJ127" s="108"/>
      <c r="AK127" s="2429">
        <v>1.5</v>
      </c>
      <c r="AL127" s="2428">
        <v>0.49</v>
      </c>
      <c r="AM127" s="2428">
        <v>0.39</v>
      </c>
      <c r="AN127" s="2698">
        <v>0.3</v>
      </c>
      <c r="AO127" s="2699">
        <v>0.5</v>
      </c>
      <c r="AP127" s="2699">
        <v>0.49</v>
      </c>
      <c r="AQ127" s="2699">
        <v>0.4</v>
      </c>
      <c r="AR127" s="2698">
        <v>0.3</v>
      </c>
      <c r="AS127" s="2439">
        <v>0.4</v>
      </c>
      <c r="AT127" s="2439">
        <v>0.4</v>
      </c>
      <c r="AU127" s="2439">
        <v>0.4</v>
      </c>
      <c r="AV127" s="2440">
        <v>0.4</v>
      </c>
      <c r="AW127" s="2439">
        <v>0.3</v>
      </c>
      <c r="AX127" s="2439">
        <v>0.3</v>
      </c>
      <c r="AY127" s="2439">
        <v>0.3</v>
      </c>
      <c r="AZ127" s="2440">
        <v>0.3</v>
      </c>
      <c r="BA127" s="2439">
        <v>0.2</v>
      </c>
      <c r="BB127" s="2439">
        <v>0.2</v>
      </c>
      <c r="BC127" s="2439">
        <v>0.2</v>
      </c>
      <c r="BD127" s="2440">
        <v>0.2</v>
      </c>
      <c r="BE127" s="428"/>
      <c r="BF127" s="709"/>
      <c r="BG127" s="108"/>
      <c r="BH127" s="108"/>
      <c r="BI127" s="108"/>
      <c r="BJ127" s="108"/>
      <c r="BK127" s="108"/>
      <c r="BL127" s="108"/>
      <c r="BM127" s="1055"/>
      <c r="BN127" s="709"/>
      <c r="BO127" s="327"/>
      <c r="BP127" s="2445">
        <f>BP124/BO124-1</f>
        <v>0.54045677686893145</v>
      </c>
      <c r="BQ127" s="2445">
        <f>BQ124/BP124-1</f>
        <v>0.41703035603455674</v>
      </c>
      <c r="BR127" s="2445">
        <f>BR124/BQ124-1</f>
        <v>0.39999999999999991</v>
      </c>
      <c r="BS127" s="2445">
        <f>BS124/BR124-1</f>
        <v>0.30000000000000004</v>
      </c>
      <c r="BT127" s="2445">
        <f>BT124/BS124-1</f>
        <v>0.19999999999999996</v>
      </c>
      <c r="BU127" s="2441">
        <f>BT127-0.01</f>
        <v>0.18999999999999995</v>
      </c>
      <c r="BV127" s="2441">
        <f>BU127-0.01</f>
        <v>0.17999999999999994</v>
      </c>
      <c r="BW127" s="2441">
        <f>BV127-0.01</f>
        <v>0.16999999999999993</v>
      </c>
      <c r="BX127" s="2441">
        <f>BW127-0.01</f>
        <v>0.15999999999999992</v>
      </c>
      <c r="BY127" s="2442">
        <f>BX127-0.01</f>
        <v>0.14999999999999991</v>
      </c>
      <c r="BZ127" s="428"/>
      <c r="CA127" s="98"/>
      <c r="CB127" s="205"/>
      <c r="CC127" s="205"/>
      <c r="CD127" s="205"/>
      <c r="CE127" s="205"/>
      <c r="CF127" s="205"/>
      <c r="CG127" s="205"/>
    </row>
    <row r="128" spans="1:85" s="41" customFormat="1" ht="11.25" hidden="1" customHeight="1" outlineLevel="1">
      <c r="A128" s="98"/>
      <c r="B128" s="98"/>
      <c r="C128" s="98"/>
      <c r="D128" s="98"/>
      <c r="E128" s="98"/>
      <c r="F128" s="98"/>
      <c r="G128" s="98"/>
      <c r="H128" s="1350"/>
      <c r="I128" s="2779" t="s">
        <v>146</v>
      </c>
      <c r="J128" s="1592"/>
      <c r="K128" s="108"/>
      <c r="L128" s="108"/>
      <c r="M128" s="108"/>
      <c r="N128" s="108"/>
      <c r="O128" s="108"/>
      <c r="P128" s="108"/>
      <c r="Q128" s="108"/>
      <c r="R128" s="108"/>
      <c r="S128" s="108"/>
      <c r="T128" s="108"/>
      <c r="U128" s="709"/>
      <c r="V128" s="108"/>
      <c r="W128" s="108"/>
      <c r="X128" s="1055"/>
      <c r="Y128" s="108"/>
      <c r="Z128" s="108"/>
      <c r="AA128" s="108"/>
      <c r="AB128" s="108"/>
      <c r="AC128" s="709"/>
      <c r="AD128" s="108"/>
      <c r="AE128" s="108"/>
      <c r="AF128" s="1055"/>
      <c r="AG128" s="108"/>
      <c r="AH128" s="2068">
        <f t="shared" ref="AH128:AM128" si="290">AH124/AG124-1</f>
        <v>0.83224369358944683</v>
      </c>
      <c r="AI128" s="2068">
        <f t="shared" si="290"/>
        <v>8.3455787671751436E-2</v>
      </c>
      <c r="AJ128" s="2095">
        <f t="shared" si="290"/>
        <v>0.1907850656111163</v>
      </c>
      <c r="AK128" s="2068">
        <f t="shared" si="290"/>
        <v>5.7577493633827137E-2</v>
      </c>
      <c r="AL128" s="2068">
        <f t="shared" si="290"/>
        <v>9.2017241379310333E-2</v>
      </c>
      <c r="AM128" s="2068">
        <f t="shared" si="290"/>
        <v>1.0740634136734872E-2</v>
      </c>
      <c r="AN128" s="2095">
        <f t="shared" ref="AN128:BD128" si="291">AN124/AM124-1</f>
        <v>0.11368387431255478</v>
      </c>
      <c r="AO128" s="2068">
        <f t="shared" si="291"/>
        <v>0.22028172342364649</v>
      </c>
      <c r="AP128" s="2068">
        <f t="shared" si="291"/>
        <v>8.4737126436781773E-2</v>
      </c>
      <c r="AQ128" s="2068">
        <f t="shared" si="291"/>
        <v>-5.0310813562799428E-2</v>
      </c>
      <c r="AR128" s="2095">
        <f t="shared" si="291"/>
        <v>3.4135026147372294E-2</v>
      </c>
      <c r="AS128" s="2068">
        <f t="shared" si="291"/>
        <v>0.31414954830238839</v>
      </c>
      <c r="AT128" s="2068">
        <f t="shared" si="291"/>
        <v>8.4737126436781551E-2</v>
      </c>
      <c r="AU128" s="2068">
        <f t="shared" si="291"/>
        <v>-5.0310813562799428E-2</v>
      </c>
      <c r="AV128" s="2095">
        <f t="shared" si="291"/>
        <v>3.4135026147372294E-2</v>
      </c>
      <c r="AW128" s="2068">
        <f t="shared" si="291"/>
        <v>0.22028172342364649</v>
      </c>
      <c r="AX128" s="2068">
        <f t="shared" si="291"/>
        <v>8.4737126436781551E-2</v>
      </c>
      <c r="AY128" s="2068">
        <f t="shared" si="291"/>
        <v>-5.0310813562799428E-2</v>
      </c>
      <c r="AZ128" s="2095">
        <f t="shared" si="291"/>
        <v>3.4135026147372516E-2</v>
      </c>
      <c r="BA128" s="2068">
        <f t="shared" si="291"/>
        <v>0.12641389854490437</v>
      </c>
      <c r="BB128" s="2068">
        <f t="shared" si="291"/>
        <v>8.4737126436781551E-2</v>
      </c>
      <c r="BC128" s="2068">
        <f t="shared" si="291"/>
        <v>-5.0310813562799428E-2</v>
      </c>
      <c r="BD128" s="2095">
        <f t="shared" si="291"/>
        <v>3.4135026147372516E-2</v>
      </c>
      <c r="BE128" s="428"/>
      <c r="BF128" s="709"/>
      <c r="BG128" s="108"/>
      <c r="BH128" s="108"/>
      <c r="BI128" s="108"/>
      <c r="BJ128" s="108"/>
      <c r="BK128" s="108"/>
      <c r="BL128" s="108"/>
      <c r="BM128" s="1055"/>
      <c r="BN128" s="709"/>
      <c r="BO128" s="327" t="s">
        <v>515</v>
      </c>
      <c r="BP128" s="327" t="s">
        <v>515</v>
      </c>
      <c r="BQ128" s="327" t="s">
        <v>515</v>
      </c>
      <c r="BR128" s="327" t="s">
        <v>515</v>
      </c>
      <c r="BS128" s="327" t="s">
        <v>515</v>
      </c>
      <c r="BT128" s="327" t="s">
        <v>515</v>
      </c>
      <c r="BU128" s="327" t="s">
        <v>515</v>
      </c>
      <c r="BV128" s="327" t="s">
        <v>515</v>
      </c>
      <c r="BW128" s="327" t="s">
        <v>515</v>
      </c>
      <c r="BX128" s="327" t="s">
        <v>515</v>
      </c>
      <c r="BY128" s="612" t="s">
        <v>515</v>
      </c>
      <c r="BZ128" s="428"/>
      <c r="CA128" s="98"/>
      <c r="CB128" s="205"/>
      <c r="CC128" s="205"/>
      <c r="CD128" s="205"/>
      <c r="CE128" s="205"/>
      <c r="CF128" s="205"/>
      <c r="CG128" s="205"/>
    </row>
    <row r="129" spans="1:85" s="41" customFormat="1" ht="11.25" hidden="1" customHeight="1" outlineLevel="1">
      <c r="A129" s="98"/>
      <c r="B129" s="98"/>
      <c r="C129" s="98"/>
      <c r="D129" s="98"/>
      <c r="E129" s="98"/>
      <c r="F129" s="98"/>
      <c r="G129" s="98"/>
      <c r="H129" s="1350"/>
      <c r="I129" s="2779"/>
      <c r="J129" s="1592"/>
      <c r="K129" s="108"/>
      <c r="L129" s="108"/>
      <c r="M129" s="108"/>
      <c r="N129" s="108"/>
      <c r="O129" s="108"/>
      <c r="P129" s="108"/>
      <c r="Q129" s="108"/>
      <c r="R129" s="108"/>
      <c r="S129" s="108"/>
      <c r="T129" s="108"/>
      <c r="U129" s="709"/>
      <c r="V129" s="108"/>
      <c r="W129" s="108"/>
      <c r="X129" s="1055"/>
      <c r="Y129" s="108"/>
      <c r="Z129" s="108"/>
      <c r="AA129" s="108"/>
      <c r="AB129" s="108"/>
      <c r="AC129" s="709"/>
      <c r="AD129" s="108"/>
      <c r="AE129" s="108"/>
      <c r="AF129" s="1055"/>
      <c r="AG129" s="108"/>
      <c r="AH129" s="108"/>
      <c r="AI129" s="108"/>
      <c r="AJ129" s="108"/>
      <c r="AK129" s="709"/>
      <c r="AL129" s="108"/>
      <c r="AM129" s="108"/>
      <c r="AN129" s="1055"/>
      <c r="AO129" s="108"/>
      <c r="AP129" s="108"/>
      <c r="AQ129" s="108"/>
      <c r="AR129" s="1055"/>
      <c r="AS129" s="108"/>
      <c r="AT129" s="108"/>
      <c r="AU129" s="108"/>
      <c r="AV129" s="1055"/>
      <c r="AW129" s="108"/>
      <c r="AX129" s="108"/>
      <c r="AY129" s="108"/>
      <c r="AZ129" s="1055"/>
      <c r="BA129" s="108"/>
      <c r="BB129" s="108"/>
      <c r="BC129" s="108"/>
      <c r="BD129" s="1055"/>
      <c r="BE129" s="428"/>
      <c r="BF129" s="709"/>
      <c r="BG129" s="108"/>
      <c r="BH129" s="108"/>
      <c r="BI129" s="108"/>
      <c r="BJ129" s="108"/>
      <c r="BK129" s="108"/>
      <c r="BL129" s="108"/>
      <c r="BM129" s="1055"/>
      <c r="BN129" s="709"/>
      <c r="BO129" s="108"/>
      <c r="BP129" s="108"/>
      <c r="BQ129" s="108"/>
      <c r="BR129" s="108"/>
      <c r="BS129" s="108"/>
      <c r="BT129" s="108"/>
      <c r="BU129" s="108"/>
      <c r="BV129" s="108"/>
      <c r="BW129" s="108"/>
      <c r="BX129" s="108"/>
      <c r="BY129" s="1055"/>
      <c r="BZ129" s="428"/>
      <c r="CA129" s="98"/>
      <c r="CB129" s="205"/>
      <c r="CC129" s="205"/>
      <c r="CD129" s="205"/>
      <c r="CE129" s="205"/>
      <c r="CF129" s="205"/>
      <c r="CG129" s="205"/>
    </row>
    <row r="130" spans="1:85" s="41" customFormat="1" ht="11.25" hidden="1" customHeight="1" outlineLevel="1">
      <c r="A130" s="98"/>
      <c r="B130" s="98"/>
      <c r="C130" s="98"/>
      <c r="D130" s="98"/>
      <c r="E130" s="98"/>
      <c r="F130" s="98"/>
      <c r="G130" s="98"/>
      <c r="H130" s="1350"/>
      <c r="I130" s="2778" t="s">
        <v>629</v>
      </c>
      <c r="J130" s="1592"/>
      <c r="K130" s="108"/>
      <c r="L130" s="108"/>
      <c r="M130" s="108"/>
      <c r="N130" s="108"/>
      <c r="O130" s="108"/>
      <c r="P130" s="108"/>
      <c r="Q130" s="108"/>
      <c r="R130" s="108"/>
      <c r="S130" s="108"/>
      <c r="T130" s="108"/>
      <c r="U130" s="709"/>
      <c r="V130" s="108"/>
      <c r="W130" s="108"/>
      <c r="X130" s="1055"/>
      <c r="Y130" s="108"/>
      <c r="Z130" s="108"/>
      <c r="AA130" s="108"/>
      <c r="AB130" s="108"/>
      <c r="AC130" s="709"/>
      <c r="AD130" s="108"/>
      <c r="AE130" s="108"/>
      <c r="AF130" s="1055"/>
      <c r="AG130" s="2430">
        <f>AG117/AG124</f>
        <v>3.0030474137931029</v>
      </c>
      <c r="AH130" s="2430">
        <f>AH117/AH124</f>
        <v>2.8061666666666665</v>
      </c>
      <c r="AI130" s="2431">
        <f>AH130-(($AH$130-$AL$130)/4)</f>
        <v>2.7504583333333334</v>
      </c>
      <c r="AJ130" s="2437">
        <f>AI130-(($AH$130-$AL$130)/4)</f>
        <v>2.69475</v>
      </c>
      <c r="AK130" s="2431">
        <f>AJ130-(($AH$130-$AL$130)/4)</f>
        <v>2.6390416666666665</v>
      </c>
      <c r="AL130" s="2430">
        <f>AL117/AL124</f>
        <v>2.5833333333333335</v>
      </c>
      <c r="AM130" s="2430">
        <f>AM117/AM124</f>
        <v>2.6218397781774581</v>
      </c>
      <c r="AN130" s="230">
        <f t="shared" ref="AN130:BC130" si="292">AN117/AN124</f>
        <v>2.4578489010989011</v>
      </c>
      <c r="AO130" s="2430">
        <f t="shared" si="292"/>
        <v>2.1961680076628358</v>
      </c>
      <c r="AP130" s="2430">
        <f>AP117/AP124</f>
        <v>2.058165548098434</v>
      </c>
      <c r="AQ130" s="2430">
        <f>AQ117/AQ124</f>
        <v>2.1789773538312205</v>
      </c>
      <c r="AR130" s="230">
        <f t="shared" ref="AR130" si="293">AR117/AR124</f>
        <v>0.59225274725274712</v>
      </c>
      <c r="AS130" s="2430">
        <f t="shared" si="292"/>
        <v>0.34667214012041603</v>
      </c>
      <c r="AT130" s="2430">
        <f t="shared" si="292"/>
        <v>0.47938638542665396</v>
      </c>
      <c r="AU130" s="2430">
        <f t="shared" si="292"/>
        <v>0.67304319809458557</v>
      </c>
      <c r="AV130" s="230">
        <f>AV117/AV124</f>
        <v>0.81353399347904831</v>
      </c>
      <c r="AW130" s="2430">
        <f t="shared" si="292"/>
        <v>0.70667782409161728</v>
      </c>
      <c r="AX130" s="2430">
        <f t="shared" si="292"/>
        <v>0.68834968163827226</v>
      </c>
      <c r="AY130" s="2430">
        <f t="shared" si="292"/>
        <v>0.7701167362813045</v>
      </c>
      <c r="AZ130" s="230">
        <f>AZ117/AZ124</f>
        <v>0.7885021782950774</v>
      </c>
      <c r="BA130" s="2430">
        <f t="shared" si="292"/>
        <v>0.7444561983355088</v>
      </c>
      <c r="BB130" s="2430">
        <f t="shared" si="292"/>
        <v>0.72727421720710317</v>
      </c>
      <c r="BC130" s="2430">
        <f t="shared" si="292"/>
        <v>0.80894615155599237</v>
      </c>
      <c r="BD130" s="230">
        <f>BD117/BD124</f>
        <v>0.82396391647236955</v>
      </c>
      <c r="BE130" s="428"/>
      <c r="BF130" s="709"/>
      <c r="BG130" s="108"/>
      <c r="BH130" s="108"/>
      <c r="BI130" s="108"/>
      <c r="BJ130" s="108"/>
      <c r="BK130" s="108"/>
      <c r="BL130" s="108"/>
      <c r="BM130" s="1055"/>
      <c r="BN130" s="709"/>
      <c r="BO130" s="2430">
        <f t="shared" ref="BO130:BY130" si="294">BO117/BO124</f>
        <v>2.7815073137862174</v>
      </c>
      <c r="BP130" s="2430">
        <f t="shared" si="294"/>
        <v>2.570669152985857</v>
      </c>
      <c r="BQ130" s="2430">
        <f t="shared" si="294"/>
        <v>1.7473644919541824</v>
      </c>
      <c r="BR130" s="2430">
        <f t="shared" si="294"/>
        <v>0.58051976476883138</v>
      </c>
      <c r="BS130" s="2430">
        <f t="shared" si="294"/>
        <v>0.73840838210980464</v>
      </c>
      <c r="BT130" s="2430">
        <f t="shared" si="294"/>
        <v>0.77615279904990264</v>
      </c>
      <c r="BU130" s="2430">
        <f t="shared" si="294"/>
        <v>0.78624895034409392</v>
      </c>
      <c r="BV130" s="2430">
        <f t="shared" si="294"/>
        <v>0.77988869304161867</v>
      </c>
      <c r="BW130" s="2430">
        <f t="shared" si="294"/>
        <v>0.76364505666675808</v>
      </c>
      <c r="BX130" s="2430">
        <f t="shared" si="294"/>
        <v>0.74199877656837243</v>
      </c>
      <c r="BY130" s="230">
        <f t="shared" si="294"/>
        <v>0.71798508618580659</v>
      </c>
      <c r="BZ130" s="428"/>
      <c r="CA130" s="98"/>
      <c r="CB130" s="205"/>
      <c r="CC130" s="205"/>
      <c r="CD130" s="205"/>
      <c r="CE130" s="205"/>
      <c r="CF130" s="205"/>
      <c r="CG130" s="205"/>
    </row>
    <row r="131" spans="1:85" s="41" customFormat="1" ht="11.25" hidden="1" customHeight="1" outlineLevel="1">
      <c r="A131" s="98"/>
      <c r="B131" s="98"/>
      <c r="C131" s="98"/>
      <c r="D131" s="98"/>
      <c r="E131" s="98"/>
      <c r="F131" s="98"/>
      <c r="G131" s="98"/>
      <c r="H131" s="1350"/>
      <c r="I131" s="2779" t="s">
        <v>377</v>
      </c>
      <c r="J131" s="1592"/>
      <c r="K131" s="108"/>
      <c r="L131" s="108"/>
      <c r="M131" s="108"/>
      <c r="N131" s="108"/>
      <c r="O131" s="108"/>
      <c r="P131" s="108"/>
      <c r="Q131" s="108"/>
      <c r="R131" s="108"/>
      <c r="S131" s="108"/>
      <c r="T131" s="108"/>
      <c r="U131" s="709"/>
      <c r="V131" s="108"/>
      <c r="W131" s="108"/>
      <c r="X131" s="1055"/>
      <c r="Y131" s="108"/>
      <c r="Z131" s="108"/>
      <c r="AA131" s="108"/>
      <c r="AB131" s="108"/>
      <c r="AC131" s="709"/>
      <c r="AD131" s="108"/>
      <c r="AE131" s="108"/>
      <c r="AF131" s="1055"/>
      <c r="AG131" s="2435"/>
      <c r="AH131" s="2433">
        <f t="shared" ref="AH131:BD131" si="295">AH130-AG130</f>
        <v>-0.19688074712643644</v>
      </c>
      <c r="AI131" s="2433">
        <f t="shared" si="295"/>
        <v>-5.5708333333333027E-2</v>
      </c>
      <c r="AJ131" s="2434">
        <f t="shared" si="295"/>
        <v>-5.5708333333333471E-2</v>
      </c>
      <c r="AK131" s="2433">
        <f t="shared" si="295"/>
        <v>-5.5708333333333471E-2</v>
      </c>
      <c r="AL131" s="2433">
        <f t="shared" si="295"/>
        <v>-5.5708333333333027E-2</v>
      </c>
      <c r="AM131" s="2433">
        <f t="shared" si="295"/>
        <v>3.8506444844124577E-2</v>
      </c>
      <c r="AN131" s="2434">
        <f t="shared" si="295"/>
        <v>-0.16399087707855697</v>
      </c>
      <c r="AO131" s="2433">
        <f t="shared" si="295"/>
        <v>-0.26168089343606526</v>
      </c>
      <c r="AP131" s="2433">
        <f t="shared" si="295"/>
        <v>-0.13800245956440182</v>
      </c>
      <c r="AQ131" s="2433">
        <f t="shared" si="295"/>
        <v>0.12081180573278649</v>
      </c>
      <c r="AR131" s="2434">
        <f t="shared" si="295"/>
        <v>-1.5867246065784735</v>
      </c>
      <c r="AS131" s="2433">
        <f t="shared" si="295"/>
        <v>-0.2455806071323311</v>
      </c>
      <c r="AT131" s="2433">
        <f t="shared" si="295"/>
        <v>0.13271424530623793</v>
      </c>
      <c r="AU131" s="2433">
        <f t="shared" si="295"/>
        <v>0.19365681266793161</v>
      </c>
      <c r="AV131" s="2434">
        <f t="shared" si="295"/>
        <v>0.14049079538446274</v>
      </c>
      <c r="AW131" s="2433">
        <f t="shared" si="295"/>
        <v>-0.10685616938743103</v>
      </c>
      <c r="AX131" s="2433">
        <f t="shared" si="295"/>
        <v>-1.832814245334502E-2</v>
      </c>
      <c r="AY131" s="2433">
        <f t="shared" si="295"/>
        <v>8.1767054643032244E-2</v>
      </c>
      <c r="AZ131" s="2434">
        <f t="shared" si="295"/>
        <v>1.8385442013772901E-2</v>
      </c>
      <c r="BA131" s="2433">
        <f t="shared" si="295"/>
        <v>-4.4045979959568604E-2</v>
      </c>
      <c r="BB131" s="2433">
        <f t="shared" si="295"/>
        <v>-1.7181981128405632E-2</v>
      </c>
      <c r="BC131" s="2433">
        <f t="shared" si="295"/>
        <v>8.1671934348889197E-2</v>
      </c>
      <c r="BD131" s="2434">
        <f t="shared" si="295"/>
        <v>1.5017764916377185E-2</v>
      </c>
      <c r="BE131" s="428"/>
      <c r="BF131" s="709"/>
      <c r="BG131" s="108"/>
      <c r="BH131" s="108"/>
      <c r="BI131" s="108"/>
      <c r="BJ131" s="108"/>
      <c r="BK131" s="108"/>
      <c r="BL131" s="108"/>
      <c r="BM131" s="1055"/>
      <c r="BN131" s="709"/>
      <c r="BO131" s="327" t="s">
        <v>515</v>
      </c>
      <c r="BP131" s="327" t="s">
        <v>515</v>
      </c>
      <c r="BQ131" s="327" t="s">
        <v>515</v>
      </c>
      <c r="BR131" s="327" t="s">
        <v>515</v>
      </c>
      <c r="BS131" s="327" t="s">
        <v>515</v>
      </c>
      <c r="BT131" s="327" t="s">
        <v>515</v>
      </c>
      <c r="BU131" s="327" t="s">
        <v>515</v>
      </c>
      <c r="BV131" s="327" t="s">
        <v>515</v>
      </c>
      <c r="BW131" s="327" t="s">
        <v>515</v>
      </c>
      <c r="BX131" s="327" t="s">
        <v>515</v>
      </c>
      <c r="BY131" s="612" t="s">
        <v>515</v>
      </c>
      <c r="BZ131" s="428"/>
      <c r="CA131" s="98"/>
      <c r="CB131" s="205"/>
      <c r="CC131" s="205"/>
      <c r="CD131" s="205"/>
      <c r="CE131" s="205"/>
      <c r="CF131" s="205"/>
      <c r="CG131" s="205"/>
    </row>
    <row r="132" spans="1:85" s="41" customFormat="1" ht="11.25" hidden="1" customHeight="1" outlineLevel="1">
      <c r="A132" s="98"/>
      <c r="B132" s="98"/>
      <c r="C132" s="98"/>
      <c r="D132" s="98"/>
      <c r="E132" s="98"/>
      <c r="F132" s="98"/>
      <c r="G132" s="98"/>
      <c r="H132" s="1350"/>
      <c r="I132" s="2780" t="s">
        <v>380</v>
      </c>
      <c r="J132" s="1592"/>
      <c r="K132" s="108"/>
      <c r="L132" s="108"/>
      <c r="M132" s="108"/>
      <c r="N132" s="108"/>
      <c r="O132" s="108"/>
      <c r="P132" s="108"/>
      <c r="Q132" s="108"/>
      <c r="R132" s="108"/>
      <c r="S132" s="108"/>
      <c r="T132" s="108"/>
      <c r="U132" s="709"/>
      <c r="V132" s="108"/>
      <c r="W132" s="108"/>
      <c r="X132" s="1055"/>
      <c r="Y132" s="108"/>
      <c r="Z132" s="108"/>
      <c r="AA132" s="108"/>
      <c r="AB132" s="108"/>
      <c r="AC132" s="709"/>
      <c r="AD132" s="108"/>
      <c r="AE132" s="108"/>
      <c r="AF132" s="1055"/>
      <c r="AG132" s="108"/>
      <c r="AH132" s="108"/>
      <c r="AI132" s="108"/>
      <c r="AJ132" s="1055"/>
      <c r="AK132" s="2436">
        <f>AK130-AG130</f>
        <v>-0.36400574712643641</v>
      </c>
      <c r="AL132" s="2436">
        <f>AL130-AH130</f>
        <v>-0.22283333333333299</v>
      </c>
      <c r="AM132" s="2436">
        <f>AM130-AI130</f>
        <v>-0.12861855515587539</v>
      </c>
      <c r="AN132" s="2438">
        <f t="shared" ref="AN132:BD132" si="296">AN130-AJ130</f>
        <v>-0.23690109890109889</v>
      </c>
      <c r="AO132" s="2436">
        <f t="shared" si="296"/>
        <v>-0.44287365900383069</v>
      </c>
      <c r="AP132" s="2436">
        <f>AP130-AL130</f>
        <v>-0.52516778523489949</v>
      </c>
      <c r="AQ132" s="2436">
        <f>AQ130-AM130</f>
        <v>-0.44286242434623757</v>
      </c>
      <c r="AR132" s="2438">
        <f t="shared" si="296"/>
        <v>-1.8655961538461541</v>
      </c>
      <c r="AS132" s="2436">
        <f t="shared" si="296"/>
        <v>-1.8494958675424198</v>
      </c>
      <c r="AT132" s="2436">
        <f t="shared" si="296"/>
        <v>-1.57877916267178</v>
      </c>
      <c r="AU132" s="2436">
        <f t="shared" si="296"/>
        <v>-1.505934155736635</v>
      </c>
      <c r="AV132" s="2438">
        <f t="shared" si="296"/>
        <v>0.22128124622630119</v>
      </c>
      <c r="AW132" s="2436">
        <f t="shared" si="296"/>
        <v>0.36000568397120125</v>
      </c>
      <c r="AX132" s="2436">
        <f t="shared" si="296"/>
        <v>0.2089632962116183</v>
      </c>
      <c r="AY132" s="2436">
        <f t="shared" si="296"/>
        <v>9.7073538186718933E-2</v>
      </c>
      <c r="AZ132" s="2438">
        <f t="shared" si="296"/>
        <v>-2.5031815183970907E-2</v>
      </c>
      <c r="BA132" s="2436">
        <f t="shared" si="296"/>
        <v>3.7778374243891522E-2</v>
      </c>
      <c r="BB132" s="2436">
        <f t="shared" si="296"/>
        <v>3.8924535568830909E-2</v>
      </c>
      <c r="BC132" s="2436">
        <f t="shared" si="296"/>
        <v>3.8829415274687862E-2</v>
      </c>
      <c r="BD132" s="2438">
        <f t="shared" si="296"/>
        <v>3.5461738177292146E-2</v>
      </c>
      <c r="BE132" s="428"/>
      <c r="BF132" s="709"/>
      <c r="BG132" s="108"/>
      <c r="BH132" s="108"/>
      <c r="BI132" s="108"/>
      <c r="BJ132" s="108"/>
      <c r="BK132" s="108"/>
      <c r="BL132" s="108"/>
      <c r="BM132" s="1055"/>
      <c r="BN132" s="709"/>
      <c r="BO132" s="108"/>
      <c r="BP132" s="336">
        <f>BP130-BO130</f>
        <v>-0.21083816080036044</v>
      </c>
      <c r="BQ132" s="336">
        <f t="shared" ref="BQ132:BY132" si="297">BQ130-BP130</f>
        <v>-0.82330466103167455</v>
      </c>
      <c r="BR132" s="336">
        <f t="shared" si="297"/>
        <v>-1.166844727185351</v>
      </c>
      <c r="BS132" s="336">
        <f t="shared" si="297"/>
        <v>0.15788861734097326</v>
      </c>
      <c r="BT132" s="336">
        <f t="shared" si="297"/>
        <v>3.7744416940098002E-2</v>
      </c>
      <c r="BU132" s="336">
        <f t="shared" si="297"/>
        <v>1.009615129419128E-2</v>
      </c>
      <c r="BV132" s="336">
        <f t="shared" si="297"/>
        <v>-6.3602573024752473E-3</v>
      </c>
      <c r="BW132" s="336">
        <f t="shared" si="297"/>
        <v>-1.6243636374860593E-2</v>
      </c>
      <c r="BX132" s="336">
        <f t="shared" si="297"/>
        <v>-2.1646280098385651E-2</v>
      </c>
      <c r="BY132" s="613">
        <f t="shared" si="297"/>
        <v>-2.4013690382565844E-2</v>
      </c>
      <c r="BZ132" s="428"/>
      <c r="CA132" s="98"/>
      <c r="CB132" s="205"/>
      <c r="CC132" s="205"/>
      <c r="CD132" s="205"/>
      <c r="CE132" s="205"/>
      <c r="CF132" s="205"/>
      <c r="CG132" s="205"/>
    </row>
    <row r="133" spans="1:85" s="41" customFormat="1" ht="11.25" hidden="1" customHeight="1" outlineLevel="1">
      <c r="A133" s="98"/>
      <c r="B133" s="98"/>
      <c r="C133" s="98"/>
      <c r="D133" s="98"/>
      <c r="E133" s="98"/>
      <c r="F133" s="98"/>
      <c r="G133" s="98"/>
      <c r="H133" s="1350"/>
      <c r="I133" s="2779" t="s">
        <v>132</v>
      </c>
      <c r="J133" s="1592"/>
      <c r="K133" s="108"/>
      <c r="L133" s="108"/>
      <c r="M133" s="108"/>
      <c r="N133" s="108"/>
      <c r="O133" s="108"/>
      <c r="P133" s="108"/>
      <c r="Q133" s="108"/>
      <c r="R133" s="108"/>
      <c r="S133" s="108"/>
      <c r="T133" s="108"/>
      <c r="U133" s="709"/>
      <c r="V133" s="108"/>
      <c r="W133" s="108"/>
      <c r="X133" s="1055"/>
      <c r="Y133" s="108"/>
      <c r="Z133" s="108"/>
      <c r="AA133" s="108"/>
      <c r="AB133" s="108"/>
      <c r="AC133" s="709"/>
      <c r="AD133" s="108"/>
      <c r="AE133" s="108"/>
      <c r="AF133" s="1055"/>
      <c r="AG133" s="108"/>
      <c r="AH133" s="108"/>
      <c r="AI133" s="108"/>
      <c r="AJ133" s="1055"/>
      <c r="AK133" s="2068">
        <f>AK130/AG130-1</f>
        <v>-0.1212121212121211</v>
      </c>
      <c r="AL133" s="2068">
        <f>AL130/AH130-1</f>
        <v>-7.9408445685098195E-2</v>
      </c>
      <c r="AM133" s="2068">
        <f>AM130/AI130-1</f>
        <v>-4.6762589928057596E-2</v>
      </c>
      <c r="AN133" s="2095">
        <f t="shared" ref="AN133:BD133" si="298">AN130/AJ130-1</f>
        <v>-8.7912087912087933E-2</v>
      </c>
      <c r="AO133" s="2068">
        <f t="shared" si="298"/>
        <v>-0.16781609195402269</v>
      </c>
      <c r="AP133" s="2068">
        <f>AP130/AL130-1</f>
        <v>-0.20329075557479981</v>
      </c>
      <c r="AQ133" s="2068">
        <f>AQ130/AM130-1</f>
        <v>-0.16891284815813123</v>
      </c>
      <c r="AR133" s="2095">
        <f t="shared" si="298"/>
        <v>-0.75903614457831337</v>
      </c>
      <c r="AS133" s="2068">
        <f t="shared" si="298"/>
        <v>-0.84214680347277038</v>
      </c>
      <c r="AT133" s="2068">
        <f t="shared" si="298"/>
        <v>-0.76708074534161486</v>
      </c>
      <c r="AU133" s="2068">
        <f t="shared" si="298"/>
        <v>-0.69111969111969107</v>
      </c>
      <c r="AV133" s="2095">
        <f t="shared" si="298"/>
        <v>0.37362637362637363</v>
      </c>
      <c r="AW133" s="2068">
        <f t="shared" si="298"/>
        <v>1.0384615384615383</v>
      </c>
      <c r="AX133" s="2068">
        <f t="shared" si="298"/>
        <v>0.43589743589743568</v>
      </c>
      <c r="AY133" s="2068">
        <f t="shared" si="298"/>
        <v>0.14423076923076894</v>
      </c>
      <c r="AZ133" s="2095">
        <f t="shared" si="298"/>
        <v>-3.0769230769230993E-2</v>
      </c>
      <c r="BA133" s="2068">
        <f t="shared" si="298"/>
        <v>5.3459119496855445E-2</v>
      </c>
      <c r="BB133" s="2068">
        <f t="shared" si="298"/>
        <v>5.6547619047619069E-2</v>
      </c>
      <c r="BC133" s="2068">
        <f t="shared" si="298"/>
        <v>5.0420168067227156E-2</v>
      </c>
      <c r="BD133" s="2095">
        <f t="shared" si="298"/>
        <v>4.4973544973545332E-2</v>
      </c>
      <c r="BE133" s="428"/>
      <c r="BF133" s="709"/>
      <c r="BG133" s="108"/>
      <c r="BH133" s="108"/>
      <c r="BI133" s="108"/>
      <c r="BJ133" s="108"/>
      <c r="BK133" s="108"/>
      <c r="BL133" s="108"/>
      <c r="BM133" s="1055"/>
      <c r="BN133" s="709"/>
      <c r="BO133" s="108"/>
      <c r="BP133" s="2293">
        <f>BP130/BO130-1</f>
        <v>-7.5799966354704762E-2</v>
      </c>
      <c r="BQ133" s="2293">
        <f t="shared" ref="BQ133:BY133" si="299">BQ130/BP130-1</f>
        <v>-0.32026861958311448</v>
      </c>
      <c r="BR133" s="2293">
        <f t="shared" si="299"/>
        <v>-0.66777408637873759</v>
      </c>
      <c r="BS133" s="2293">
        <f t="shared" si="299"/>
        <v>0.27197802197802168</v>
      </c>
      <c r="BT133" s="2293">
        <f t="shared" si="299"/>
        <v>5.1115910727141722E-2</v>
      </c>
      <c r="BU133" s="2293">
        <f t="shared" si="299"/>
        <v>1.3007942903188852E-2</v>
      </c>
      <c r="BV133" s="2293">
        <f t="shared" si="299"/>
        <v>-8.0893682588596416E-3</v>
      </c>
      <c r="BW133" s="2293">
        <f t="shared" si="299"/>
        <v>-2.0828147041739187E-2</v>
      </c>
      <c r="BX133" s="2293">
        <f t="shared" si="299"/>
        <v>-2.8345996493278847E-2</v>
      </c>
      <c r="BY133" s="2358">
        <f t="shared" si="299"/>
        <v>-3.2363517489375604E-2</v>
      </c>
      <c r="BZ133" s="428"/>
      <c r="CA133" s="98"/>
      <c r="CB133" s="205"/>
      <c r="CC133" s="205"/>
      <c r="CD133" s="205"/>
      <c r="CE133" s="205"/>
      <c r="CF133" s="205"/>
      <c r="CG133" s="205"/>
    </row>
    <row r="134" spans="1:85" s="41" customFormat="1" ht="11.25" hidden="1" customHeight="1" outlineLevel="1">
      <c r="A134" s="98"/>
      <c r="B134" s="98"/>
      <c r="C134" s="98"/>
      <c r="D134" s="98"/>
      <c r="E134" s="98"/>
      <c r="F134" s="98"/>
      <c r="G134" s="98"/>
      <c r="H134" s="1350"/>
      <c r="I134" s="2779" t="s">
        <v>146</v>
      </c>
      <c r="J134" s="1592"/>
      <c r="K134" s="108"/>
      <c r="L134" s="108"/>
      <c r="M134" s="108"/>
      <c r="N134" s="108"/>
      <c r="O134" s="108"/>
      <c r="P134" s="108"/>
      <c r="Q134" s="108"/>
      <c r="R134" s="108"/>
      <c r="S134" s="108"/>
      <c r="T134" s="108"/>
      <c r="U134" s="709"/>
      <c r="V134" s="108"/>
      <c r="W134" s="108"/>
      <c r="X134" s="1055"/>
      <c r="Y134" s="108"/>
      <c r="Z134" s="108"/>
      <c r="AA134" s="108"/>
      <c r="AB134" s="108"/>
      <c r="AC134" s="709"/>
      <c r="AD134" s="108"/>
      <c r="AE134" s="108"/>
      <c r="AF134" s="1055"/>
      <c r="AG134" s="108"/>
      <c r="AH134" s="2068">
        <f t="shared" ref="AH134:AM134" si="300">AH130/AG130-1</f>
        <v>-6.5560319235106412E-2</v>
      </c>
      <c r="AI134" s="2068">
        <f t="shared" si="300"/>
        <v>-1.9852111421274521E-2</v>
      </c>
      <c r="AJ134" s="2095">
        <f t="shared" si="300"/>
        <v>-2.0254200057566174E-2</v>
      </c>
      <c r="AK134" s="2068">
        <f t="shared" si="300"/>
        <v>-2.0672913380956892E-2</v>
      </c>
      <c r="AL134" s="2068">
        <f t="shared" si="300"/>
        <v>-2.1109304198177914E-2</v>
      </c>
      <c r="AM134" s="2068">
        <f t="shared" si="300"/>
        <v>1.4905720584822424E-2</v>
      </c>
      <c r="AN134" s="2095">
        <f t="shared" ref="AN134:BC134" si="301">AN130/AM130-1</f>
        <v>-6.2548016260762229E-2</v>
      </c>
      <c r="AO134" s="2068">
        <f t="shared" si="301"/>
        <v>-0.10646744530107932</v>
      </c>
      <c r="AP134" s="2068">
        <f t="shared" si="301"/>
        <v>-6.2837842588948423E-2</v>
      </c>
      <c r="AQ134" s="2068">
        <f t="shared" si="301"/>
        <v>5.8698779524516853E-2</v>
      </c>
      <c r="AR134" s="2095">
        <f t="shared" si="301"/>
        <v>-0.72819692402428615</v>
      </c>
      <c r="AS134" s="2068">
        <f t="shared" si="301"/>
        <v>-0.41465507466447971</v>
      </c>
      <c r="AT134" s="2068">
        <f t="shared" si="301"/>
        <v>0.38282350944076393</v>
      </c>
      <c r="AU134" s="2068">
        <f t="shared" si="301"/>
        <v>0.40396811122530529</v>
      </c>
      <c r="AV134" s="2095">
        <f>AV130/AU130-1</f>
        <v>0.20873964075738116</v>
      </c>
      <c r="AW134" s="2068">
        <f t="shared" si="301"/>
        <v>-0.13134813080208796</v>
      </c>
      <c r="AX134" s="2068">
        <f t="shared" si="301"/>
        <v>-2.5935641148644328E-2</v>
      </c>
      <c r="AY134" s="2068">
        <f t="shared" si="301"/>
        <v>0.11878708863266518</v>
      </c>
      <c r="AZ134" s="2095">
        <f>AZ130/AY130-1</f>
        <v>2.3873578053311029E-2</v>
      </c>
      <c r="BA134" s="2068">
        <f t="shared" si="301"/>
        <v>-5.5860314875484707E-2</v>
      </c>
      <c r="BB134" s="2068">
        <f t="shared" si="301"/>
        <v>-2.3079908753291245E-2</v>
      </c>
      <c r="BC134" s="2068">
        <f t="shared" si="301"/>
        <v>0.11229867966793572</v>
      </c>
      <c r="BD134" s="2095">
        <f>BD130/BC130-1</f>
        <v>1.8564603944886571E-2</v>
      </c>
      <c r="BE134" s="428"/>
      <c r="BF134" s="709"/>
      <c r="BG134" s="108"/>
      <c r="BH134" s="108"/>
      <c r="BI134" s="108"/>
      <c r="BJ134" s="108"/>
      <c r="BK134" s="108"/>
      <c r="BL134" s="108"/>
      <c r="BM134" s="1055"/>
      <c r="BN134" s="709"/>
      <c r="BO134" s="327" t="s">
        <v>515</v>
      </c>
      <c r="BP134" s="327" t="s">
        <v>515</v>
      </c>
      <c r="BQ134" s="327" t="s">
        <v>515</v>
      </c>
      <c r="BR134" s="327" t="s">
        <v>515</v>
      </c>
      <c r="BS134" s="327" t="s">
        <v>515</v>
      </c>
      <c r="BT134" s="327" t="s">
        <v>515</v>
      </c>
      <c r="BU134" s="327" t="s">
        <v>515</v>
      </c>
      <c r="BV134" s="327" t="s">
        <v>515</v>
      </c>
      <c r="BW134" s="327" t="s">
        <v>515</v>
      </c>
      <c r="BX134" s="327" t="s">
        <v>515</v>
      </c>
      <c r="BY134" s="612" t="s">
        <v>515</v>
      </c>
      <c r="BZ134" s="428"/>
      <c r="CA134" s="98"/>
      <c r="CB134" s="205"/>
      <c r="CC134" s="205"/>
      <c r="CD134" s="205"/>
      <c r="CE134" s="205"/>
      <c r="CF134" s="205"/>
      <c r="CG134" s="205"/>
    </row>
    <row r="135" spans="1:85" s="41" customFormat="1" ht="11.25" customHeight="1" collapsed="1">
      <c r="A135" s="98"/>
      <c r="B135" s="98"/>
      <c r="C135" s="98"/>
      <c r="D135" s="98"/>
      <c r="E135" s="98"/>
      <c r="F135" s="98"/>
      <c r="G135" s="98"/>
      <c r="H135" s="1350"/>
      <c r="I135" s="2399"/>
      <c r="J135" s="1592"/>
      <c r="K135" s="108"/>
      <c r="L135" s="108"/>
      <c r="M135" s="108"/>
      <c r="N135" s="108"/>
      <c r="O135" s="108"/>
      <c r="P135" s="108"/>
      <c r="Q135" s="108"/>
      <c r="R135" s="108"/>
      <c r="S135" s="108"/>
      <c r="T135" s="108"/>
      <c r="U135" s="709"/>
      <c r="V135" s="108"/>
      <c r="W135" s="108"/>
      <c r="X135" s="1055"/>
      <c r="Y135" s="108"/>
      <c r="Z135" s="108"/>
      <c r="AA135" s="108"/>
      <c r="AB135" s="108"/>
      <c r="AC135" s="709"/>
      <c r="AD135" s="108"/>
      <c r="AE135" s="108"/>
      <c r="AF135" s="1055"/>
      <c r="AG135" s="108"/>
      <c r="AH135" s="108"/>
      <c r="AI135" s="108"/>
      <c r="AJ135" s="1055"/>
      <c r="AK135" s="2426"/>
      <c r="AL135" s="2426"/>
      <c r="AM135" s="2426"/>
      <c r="AN135" s="1055"/>
      <c r="AO135" s="108"/>
      <c r="AP135" s="2683"/>
      <c r="AQ135" s="2683"/>
      <c r="AR135" s="1055"/>
      <c r="AS135" s="2683"/>
      <c r="AT135" s="2683"/>
      <c r="AU135" s="2683"/>
      <c r="AV135" s="2777"/>
      <c r="AW135" s="2683"/>
      <c r="AX135" s="2683"/>
      <c r="AY135" s="2683"/>
      <c r="AZ135" s="2777"/>
      <c r="BA135" s="2683"/>
      <c r="BB135" s="2683"/>
      <c r="BC135" s="2683"/>
      <c r="BD135" s="2777"/>
      <c r="BE135" s="428"/>
      <c r="BF135" s="709"/>
      <c r="BG135" s="108"/>
      <c r="BH135" s="108"/>
      <c r="BI135" s="108"/>
      <c r="BJ135" s="108"/>
      <c r="BK135" s="108"/>
      <c r="BL135" s="108"/>
      <c r="BM135" s="1055"/>
      <c r="BN135" s="709"/>
      <c r="BO135" s="108"/>
      <c r="BP135" s="108"/>
      <c r="BQ135" s="108"/>
      <c r="BR135" s="108"/>
      <c r="BS135" s="108"/>
      <c r="BT135" s="108"/>
      <c r="BU135" s="108"/>
      <c r="BV135" s="108"/>
      <c r="BW135" s="108"/>
      <c r="BX135" s="108"/>
      <c r="BY135" s="1055"/>
      <c r="BZ135" s="428"/>
      <c r="CA135" s="98"/>
      <c r="CB135" s="205"/>
      <c r="CC135" s="205"/>
      <c r="CD135" s="205"/>
      <c r="CE135" s="205"/>
      <c r="CF135" s="205"/>
      <c r="CG135" s="205"/>
    </row>
    <row r="136" spans="1:85" s="41" customFormat="1" ht="11.25" customHeight="1">
      <c r="A136" s="98"/>
      <c r="B136" s="98"/>
      <c r="C136" s="98"/>
      <c r="D136" s="98"/>
      <c r="E136" s="98"/>
      <c r="F136" s="98"/>
      <c r="G136" s="98"/>
      <c r="H136" s="1350"/>
      <c r="I136" s="2726" t="s">
        <v>627</v>
      </c>
      <c r="J136" s="2700"/>
      <c r="K136" s="322"/>
      <c r="L136" s="322"/>
      <c r="M136" s="108"/>
      <c r="N136" s="108"/>
      <c r="O136" s="108"/>
      <c r="P136" s="108"/>
      <c r="Q136" s="108"/>
      <c r="R136" s="108"/>
      <c r="S136" s="108"/>
      <c r="T136" s="108"/>
      <c r="U136" s="709"/>
      <c r="V136" s="108"/>
      <c r="W136" s="108"/>
      <c r="X136" s="1055"/>
      <c r="Y136" s="108"/>
      <c r="Z136" s="108"/>
      <c r="AA136" s="108"/>
      <c r="AB136" s="108"/>
      <c r="AC136" s="709"/>
      <c r="AD136" s="108"/>
      <c r="AE136" s="2424"/>
      <c r="AF136" s="2425"/>
      <c r="AG136" s="2642">
        <v>0.9</v>
      </c>
      <c r="AH136" s="2642">
        <v>0.8</v>
      </c>
      <c r="AI136" s="2642">
        <v>0.7</v>
      </c>
      <c r="AJ136" s="2643">
        <v>1</v>
      </c>
      <c r="AK136" s="2642">
        <v>1.1000000000000001</v>
      </c>
      <c r="AL136" s="2642">
        <v>1.2</v>
      </c>
      <c r="AM136" s="2642">
        <v>1.4</v>
      </c>
      <c r="AN136" s="2643">
        <v>1.7</v>
      </c>
      <c r="AO136" s="2642">
        <v>2.2000000000000002</v>
      </c>
      <c r="AP136" s="2642">
        <v>3.8</v>
      </c>
      <c r="AQ136" s="2642">
        <v>4.3</v>
      </c>
      <c r="AR136" s="2643">
        <v>4.5999999999999996</v>
      </c>
      <c r="AS136" s="108">
        <f t="shared" ref="AS136:BD136" si="302">AR136+AS137</f>
        <v>5.1999999999999993</v>
      </c>
      <c r="AT136" s="108">
        <f t="shared" si="302"/>
        <v>5.7999999999999989</v>
      </c>
      <c r="AU136" s="108">
        <f t="shared" si="302"/>
        <v>6.3999999999999986</v>
      </c>
      <c r="AV136" s="1055">
        <f t="shared" si="302"/>
        <v>6.9999999999999982</v>
      </c>
      <c r="AW136" s="108">
        <f t="shared" si="302"/>
        <v>7.5999999999999979</v>
      </c>
      <c r="AX136" s="108">
        <f t="shared" si="302"/>
        <v>8.1999999999999975</v>
      </c>
      <c r="AY136" s="108">
        <f t="shared" si="302"/>
        <v>8.7999999999999972</v>
      </c>
      <c r="AZ136" s="1055">
        <f t="shared" si="302"/>
        <v>9.3999999999999968</v>
      </c>
      <c r="BA136" s="108">
        <f t="shared" si="302"/>
        <v>9.9999999999999964</v>
      </c>
      <c r="BB136" s="108">
        <f t="shared" si="302"/>
        <v>10.599999999999996</v>
      </c>
      <c r="BC136" s="108">
        <f t="shared" si="302"/>
        <v>11.199999999999996</v>
      </c>
      <c r="BD136" s="1055">
        <f t="shared" si="302"/>
        <v>11.799999999999995</v>
      </c>
      <c r="BE136" s="428"/>
      <c r="BF136" s="709"/>
      <c r="BG136" s="108"/>
      <c r="BH136" s="108"/>
      <c r="BI136" s="108"/>
      <c r="BJ136" s="108"/>
      <c r="BK136" s="108"/>
      <c r="BL136" s="108"/>
      <c r="BM136" s="1055"/>
      <c r="BN136" s="709"/>
      <c r="BO136" s="331">
        <f>SUM(AG136:AJ136)</f>
        <v>3.4000000000000004</v>
      </c>
      <c r="BP136" s="428">
        <f>SUM(AK136:AN136)</f>
        <v>5.3999999999999995</v>
      </c>
      <c r="BQ136" s="428">
        <f>SUM(AO136:AR136)</f>
        <v>14.9</v>
      </c>
      <c r="BR136" s="428">
        <f>SUM(AS136:AV136)</f>
        <v>24.4</v>
      </c>
      <c r="BS136" s="428">
        <f>SUM(AW136:AZ136)</f>
        <v>33.999999999999993</v>
      </c>
      <c r="BT136" s="428">
        <f>SUM(BA136:BD136)</f>
        <v>43.599999999999987</v>
      </c>
      <c r="BU136" s="322">
        <f>BT136+BU138</f>
        <v>53.599999999999987</v>
      </c>
      <c r="BV136" s="322">
        <f>BU136+BV138</f>
        <v>64.599999999999994</v>
      </c>
      <c r="BW136" s="322">
        <f>BV136+BW138</f>
        <v>76.599999999999994</v>
      </c>
      <c r="BX136" s="322">
        <f>BW136+BX138</f>
        <v>89.6</v>
      </c>
      <c r="BY136" s="734">
        <f>BX136+BY138</f>
        <v>103.6</v>
      </c>
      <c r="BZ136" s="428"/>
      <c r="CA136" s="98"/>
      <c r="CB136" s="205"/>
      <c r="CC136" s="205"/>
      <c r="CD136" s="205"/>
      <c r="CE136" s="205"/>
      <c r="CF136" s="205"/>
      <c r="CG136" s="205"/>
    </row>
    <row r="137" spans="1:85" ht="11.25" customHeight="1">
      <c r="A137" s="80"/>
      <c r="B137" s="80"/>
      <c r="C137" s="80"/>
      <c r="D137" s="80"/>
      <c r="E137" s="80"/>
      <c r="F137" s="80"/>
      <c r="G137" s="80"/>
      <c r="H137" s="1917"/>
      <c r="I137" s="2399" t="s">
        <v>377</v>
      </c>
      <c r="J137" s="342"/>
      <c r="K137" s="336"/>
      <c r="L137" s="336"/>
      <c r="M137" s="336"/>
      <c r="N137" s="336"/>
      <c r="O137" s="336"/>
      <c r="P137" s="336"/>
      <c r="Q137" s="336"/>
      <c r="R137" s="336"/>
      <c r="S137" s="336"/>
      <c r="T137" s="336"/>
      <c r="U137" s="626"/>
      <c r="V137" s="336"/>
      <c r="W137" s="336"/>
      <c r="X137" s="613"/>
      <c r="Y137" s="336"/>
      <c r="Z137" s="336"/>
      <c r="AA137" s="336"/>
      <c r="AB137" s="336"/>
      <c r="AC137" s="626"/>
      <c r="AD137" s="336"/>
      <c r="AE137" s="336"/>
      <c r="AF137" s="613"/>
      <c r="AG137" s="336"/>
      <c r="AH137" s="336">
        <f t="shared" ref="AH137:AR137" si="303">AH136-AG136</f>
        <v>-9.9999999999999978E-2</v>
      </c>
      <c r="AI137" s="336">
        <f t="shared" si="303"/>
        <v>-0.10000000000000009</v>
      </c>
      <c r="AJ137" s="336">
        <f t="shared" si="303"/>
        <v>0.30000000000000004</v>
      </c>
      <c r="AK137" s="626">
        <f t="shared" si="303"/>
        <v>0.10000000000000009</v>
      </c>
      <c r="AL137" s="336">
        <f t="shared" si="303"/>
        <v>9.9999999999999867E-2</v>
      </c>
      <c r="AM137" s="336">
        <f t="shared" si="303"/>
        <v>0.19999999999999996</v>
      </c>
      <c r="AN137" s="613">
        <f t="shared" si="303"/>
        <v>0.30000000000000004</v>
      </c>
      <c r="AO137" s="626">
        <f t="shared" si="303"/>
        <v>0.50000000000000022</v>
      </c>
      <c r="AP137" s="336">
        <f t="shared" si="303"/>
        <v>1.5999999999999996</v>
      </c>
      <c r="AQ137" s="336">
        <f t="shared" si="303"/>
        <v>0.5</v>
      </c>
      <c r="AR137" s="613">
        <f t="shared" si="303"/>
        <v>0.29999999999999982</v>
      </c>
      <c r="AS137" s="499">
        <v>0.6</v>
      </c>
      <c r="AT137" s="378">
        <v>0.6</v>
      </c>
      <c r="AU137" s="378">
        <v>0.6</v>
      </c>
      <c r="AV137" s="458">
        <v>0.6</v>
      </c>
      <c r="AW137" s="499">
        <v>0.6</v>
      </c>
      <c r="AX137" s="378">
        <v>0.6</v>
      </c>
      <c r="AY137" s="378">
        <v>0.6</v>
      </c>
      <c r="AZ137" s="458">
        <v>0.6</v>
      </c>
      <c r="BA137" s="499">
        <v>0.6</v>
      </c>
      <c r="BB137" s="378">
        <v>0.6</v>
      </c>
      <c r="BC137" s="378">
        <v>0.6</v>
      </c>
      <c r="BD137" s="458">
        <v>0.6</v>
      </c>
      <c r="BE137" s="110"/>
      <c r="BF137" s="626"/>
      <c r="BG137" s="336"/>
      <c r="BH137" s="336"/>
      <c r="BI137" s="336"/>
      <c r="BJ137" s="336"/>
      <c r="BK137" s="336"/>
      <c r="BL137" s="336"/>
      <c r="BM137" s="613"/>
      <c r="BN137" s="626"/>
      <c r="BO137" s="327"/>
      <c r="BP137" s="327"/>
      <c r="BQ137" s="327"/>
      <c r="BR137" s="327"/>
      <c r="BS137" s="327"/>
      <c r="BT137" s="327"/>
      <c r="BU137" s="327"/>
      <c r="BV137" s="327"/>
      <c r="BW137" s="327"/>
      <c r="BX137" s="327"/>
      <c r="BY137" s="612"/>
      <c r="BZ137" s="110"/>
      <c r="CA137" s="80"/>
      <c r="CB137" s="88"/>
      <c r="CC137" s="88"/>
      <c r="CD137" s="88"/>
      <c r="CE137" s="88"/>
      <c r="CF137" s="88"/>
      <c r="CG137" s="88"/>
    </row>
    <row r="138" spans="1:85" ht="11.25" customHeight="1">
      <c r="A138" s="80"/>
      <c r="B138" s="80"/>
      <c r="C138" s="80"/>
      <c r="D138" s="80"/>
      <c r="E138" s="80"/>
      <c r="F138" s="80"/>
      <c r="G138" s="80"/>
      <c r="H138" s="1917"/>
      <c r="I138" s="1012" t="s">
        <v>380</v>
      </c>
      <c r="J138" s="342"/>
      <c r="K138" s="336"/>
      <c r="L138" s="336"/>
      <c r="M138" s="336"/>
      <c r="N138" s="336"/>
      <c r="O138" s="336"/>
      <c r="P138" s="336"/>
      <c r="Q138" s="336"/>
      <c r="R138" s="336"/>
      <c r="S138" s="336"/>
      <c r="T138" s="336"/>
      <c r="U138" s="626"/>
      <c r="V138" s="336"/>
      <c r="W138" s="336"/>
      <c r="X138" s="613"/>
      <c r="Y138" s="336"/>
      <c r="Z138" s="336"/>
      <c r="AA138" s="336"/>
      <c r="AB138" s="336"/>
      <c r="AC138" s="626"/>
      <c r="AD138" s="336"/>
      <c r="AE138" s="336"/>
      <c r="AF138" s="613"/>
      <c r="AG138" s="336"/>
      <c r="AH138" s="336"/>
      <c r="AI138" s="336">
        <f t="shared" ref="AI138:BD138" si="304">AI136-AE136</f>
        <v>0.7</v>
      </c>
      <c r="AJ138" s="336">
        <f t="shared" si="304"/>
        <v>1</v>
      </c>
      <c r="AK138" s="626">
        <f t="shared" si="304"/>
        <v>0.20000000000000007</v>
      </c>
      <c r="AL138" s="336">
        <f t="shared" si="304"/>
        <v>0.39999999999999991</v>
      </c>
      <c r="AM138" s="336">
        <f t="shared" si="304"/>
        <v>0.7</v>
      </c>
      <c r="AN138" s="613">
        <f t="shared" si="304"/>
        <v>0.7</v>
      </c>
      <c r="AO138" s="626">
        <f t="shared" si="304"/>
        <v>1.1000000000000001</v>
      </c>
      <c r="AP138" s="336">
        <f t="shared" si="304"/>
        <v>2.5999999999999996</v>
      </c>
      <c r="AQ138" s="336">
        <f t="shared" si="304"/>
        <v>2.9</v>
      </c>
      <c r="AR138" s="613">
        <f t="shared" si="304"/>
        <v>2.8999999999999995</v>
      </c>
      <c r="AS138" s="336">
        <f t="shared" si="304"/>
        <v>2.9999999999999991</v>
      </c>
      <c r="AT138" s="336">
        <f t="shared" si="304"/>
        <v>1.9999999999999991</v>
      </c>
      <c r="AU138" s="336">
        <f t="shared" si="304"/>
        <v>2.0999999999999988</v>
      </c>
      <c r="AV138" s="613">
        <f t="shared" si="304"/>
        <v>2.3999999999999986</v>
      </c>
      <c r="AW138" s="336">
        <f t="shared" si="304"/>
        <v>2.3999999999999986</v>
      </c>
      <c r="AX138" s="336">
        <f t="shared" si="304"/>
        <v>2.3999999999999986</v>
      </c>
      <c r="AY138" s="336">
        <f t="shared" si="304"/>
        <v>2.3999999999999986</v>
      </c>
      <c r="AZ138" s="613">
        <f t="shared" si="304"/>
        <v>2.3999999999999986</v>
      </c>
      <c r="BA138" s="336">
        <f t="shared" si="304"/>
        <v>2.3999999999999986</v>
      </c>
      <c r="BB138" s="336">
        <f t="shared" si="304"/>
        <v>2.3999999999999986</v>
      </c>
      <c r="BC138" s="336">
        <f t="shared" si="304"/>
        <v>2.3999999999999986</v>
      </c>
      <c r="BD138" s="613">
        <f t="shared" si="304"/>
        <v>2.3999999999999986</v>
      </c>
      <c r="BE138" s="110"/>
      <c r="BF138" s="626"/>
      <c r="BG138" s="336"/>
      <c r="BH138" s="336"/>
      <c r="BI138" s="336"/>
      <c r="BJ138" s="336"/>
      <c r="BK138" s="336"/>
      <c r="BL138" s="336"/>
      <c r="BM138" s="613"/>
      <c r="BN138" s="626"/>
      <c r="BO138" s="108"/>
      <c r="BP138" s="2278">
        <f>BP136-BO136</f>
        <v>1.9999999999999991</v>
      </c>
      <c r="BQ138" s="2278">
        <f>BQ136-BP136</f>
        <v>9.5</v>
      </c>
      <c r="BR138" s="2278">
        <f>BR136-BQ136</f>
        <v>9.4999999999999982</v>
      </c>
      <c r="BS138" s="2278">
        <f>BS136-BR136</f>
        <v>9.5999999999999943</v>
      </c>
      <c r="BT138" s="2278">
        <f>BT136-BS136</f>
        <v>9.5999999999999943</v>
      </c>
      <c r="BU138" s="2443">
        <v>10</v>
      </c>
      <c r="BV138" s="2443">
        <v>11</v>
      </c>
      <c r="BW138" s="2443">
        <v>12</v>
      </c>
      <c r="BX138" s="2443">
        <v>13</v>
      </c>
      <c r="BY138" s="2444">
        <v>14</v>
      </c>
      <c r="BZ138" s="110"/>
      <c r="CA138" s="80"/>
      <c r="CB138" s="88"/>
      <c r="CC138" s="88"/>
      <c r="CD138" s="88"/>
      <c r="CE138" s="88"/>
      <c r="CF138" s="88"/>
      <c r="CG138" s="88"/>
    </row>
    <row r="139" spans="1:85" ht="11.25" customHeight="1">
      <c r="A139" s="80"/>
      <c r="B139" s="80"/>
      <c r="C139" s="80"/>
      <c r="D139" s="80"/>
      <c r="E139" s="80"/>
      <c r="F139" s="80"/>
      <c r="G139" s="80"/>
      <c r="H139" s="1917"/>
      <c r="I139" s="2399" t="s">
        <v>132</v>
      </c>
      <c r="J139" s="342"/>
      <c r="K139" s="336"/>
      <c r="L139" s="336"/>
      <c r="M139" s="336"/>
      <c r="N139" s="336"/>
      <c r="O139" s="336"/>
      <c r="P139" s="336"/>
      <c r="Q139" s="336"/>
      <c r="R139" s="336"/>
      <c r="S139" s="336"/>
      <c r="T139" s="336"/>
      <c r="U139" s="626"/>
      <c r="V139" s="336"/>
      <c r="W139" s="336"/>
      <c r="X139" s="613"/>
      <c r="Y139" s="336"/>
      <c r="Z139" s="336"/>
      <c r="AA139" s="336"/>
      <c r="AB139" s="336"/>
      <c r="AC139" s="626"/>
      <c r="AD139" s="336"/>
      <c r="AE139" s="336"/>
      <c r="AF139" s="613"/>
      <c r="AG139" s="336"/>
      <c r="AH139" s="336"/>
      <c r="AI139" s="2068"/>
      <c r="AJ139" s="2068"/>
      <c r="AK139" s="2394">
        <f t="shared" ref="AK139:BD139" si="305">AK136/AG136-1</f>
        <v>0.22222222222222232</v>
      </c>
      <c r="AL139" s="2068">
        <f t="shared" si="305"/>
        <v>0.49999999999999978</v>
      </c>
      <c r="AM139" s="2068">
        <f t="shared" si="305"/>
        <v>1</v>
      </c>
      <c r="AN139" s="2095">
        <f t="shared" si="305"/>
        <v>0.7</v>
      </c>
      <c r="AO139" s="2686">
        <f t="shared" si="305"/>
        <v>1</v>
      </c>
      <c r="AP139" s="2068">
        <f t="shared" si="305"/>
        <v>2.1666666666666665</v>
      </c>
      <c r="AQ139" s="2068">
        <f t="shared" si="305"/>
        <v>2.0714285714285716</v>
      </c>
      <c r="AR139" s="2095">
        <f t="shared" si="305"/>
        <v>1.7058823529411762</v>
      </c>
      <c r="AS139" s="2068">
        <f t="shared" si="305"/>
        <v>1.3636363636363633</v>
      </c>
      <c r="AT139" s="2068">
        <f t="shared" si="305"/>
        <v>0.52631578947368407</v>
      </c>
      <c r="AU139" s="2068">
        <f t="shared" si="305"/>
        <v>0.48837209302325557</v>
      </c>
      <c r="AV139" s="2095">
        <f t="shared" si="305"/>
        <v>0.52173913043478226</v>
      </c>
      <c r="AW139" s="2068">
        <f t="shared" si="305"/>
        <v>0.46153846153846123</v>
      </c>
      <c r="AX139" s="2068">
        <f t="shared" si="305"/>
        <v>0.4137931034482758</v>
      </c>
      <c r="AY139" s="2068">
        <f t="shared" si="305"/>
        <v>0.37499999999999978</v>
      </c>
      <c r="AZ139" s="2095">
        <f t="shared" si="305"/>
        <v>0.34285714285714275</v>
      </c>
      <c r="BA139" s="2068">
        <f t="shared" si="305"/>
        <v>0.3157894736842104</v>
      </c>
      <c r="BB139" s="2068">
        <f t="shared" si="305"/>
        <v>0.29268292682926811</v>
      </c>
      <c r="BC139" s="2068">
        <f t="shared" si="305"/>
        <v>0.27272727272727271</v>
      </c>
      <c r="BD139" s="2095">
        <f t="shared" si="305"/>
        <v>0.25531914893617014</v>
      </c>
      <c r="BE139" s="110"/>
      <c r="BF139" s="626"/>
      <c r="BG139" s="336"/>
      <c r="BH139" s="336"/>
      <c r="BI139" s="336"/>
      <c r="BJ139" s="336"/>
      <c r="BK139" s="336"/>
      <c r="BL139" s="336"/>
      <c r="BM139" s="613"/>
      <c r="BN139" s="626"/>
      <c r="BO139" s="108"/>
      <c r="BP139" s="2068">
        <f t="shared" ref="BP139:BY139" si="306">BP136/BO136-1</f>
        <v>0.58823529411764675</v>
      </c>
      <c r="BQ139" s="2068">
        <f t="shared" si="306"/>
        <v>1.7592592592592595</v>
      </c>
      <c r="BR139" s="2068">
        <f t="shared" si="306"/>
        <v>0.63758389261744952</v>
      </c>
      <c r="BS139" s="2068">
        <f t="shared" si="306"/>
        <v>0.39344262295081944</v>
      </c>
      <c r="BT139" s="2068">
        <f t="shared" si="306"/>
        <v>0.28235294117647047</v>
      </c>
      <c r="BU139" s="2068">
        <f t="shared" si="306"/>
        <v>0.22935779816513757</v>
      </c>
      <c r="BV139" s="2068">
        <f t="shared" si="306"/>
        <v>0.20522388059701502</v>
      </c>
      <c r="BW139" s="2068">
        <f t="shared" si="306"/>
        <v>0.18575851393188847</v>
      </c>
      <c r="BX139" s="2068">
        <f t="shared" si="306"/>
        <v>0.16971279373368153</v>
      </c>
      <c r="BY139" s="2095">
        <f t="shared" si="306"/>
        <v>0.15625</v>
      </c>
      <c r="BZ139" s="110"/>
      <c r="CA139" s="80"/>
      <c r="CB139" s="88"/>
      <c r="CC139" s="88"/>
      <c r="CD139" s="88"/>
      <c r="CE139" s="88"/>
      <c r="CF139" s="88"/>
      <c r="CG139" s="88"/>
    </row>
    <row r="140" spans="1:85" ht="11.25" customHeight="1">
      <c r="A140" s="80"/>
      <c r="B140" s="80"/>
      <c r="C140" s="80"/>
      <c r="D140" s="80"/>
      <c r="E140" s="80"/>
      <c r="F140" s="80"/>
      <c r="G140" s="80"/>
      <c r="H140" s="1917"/>
      <c r="I140" s="2399" t="s">
        <v>146</v>
      </c>
      <c r="J140" s="342"/>
      <c r="K140" s="336"/>
      <c r="L140" s="336"/>
      <c r="M140" s="336"/>
      <c r="N140" s="336"/>
      <c r="O140" s="336"/>
      <c r="P140" s="336"/>
      <c r="Q140" s="336"/>
      <c r="R140" s="336"/>
      <c r="S140" s="336"/>
      <c r="T140" s="336"/>
      <c r="U140" s="626"/>
      <c r="V140" s="336"/>
      <c r="W140" s="336"/>
      <c r="X140" s="613"/>
      <c r="Y140" s="336"/>
      <c r="Z140" s="336"/>
      <c r="AA140" s="336"/>
      <c r="AB140" s="336"/>
      <c r="AC140" s="626"/>
      <c r="AD140" s="336"/>
      <c r="AE140" s="336"/>
      <c r="AF140" s="2095"/>
      <c r="AG140" s="2068"/>
      <c r="AH140" s="2068">
        <f t="shared" ref="AH140:BD140" si="307">AH136/AG136-1</f>
        <v>-0.11111111111111105</v>
      </c>
      <c r="AI140" s="2068">
        <f t="shared" si="307"/>
        <v>-0.12500000000000011</v>
      </c>
      <c r="AJ140" s="2068">
        <f t="shared" si="307"/>
        <v>0.4285714285714286</v>
      </c>
      <c r="AK140" s="2394">
        <f t="shared" si="307"/>
        <v>0.10000000000000009</v>
      </c>
      <c r="AL140" s="2068">
        <f t="shared" si="307"/>
        <v>9.0909090909090828E-2</v>
      </c>
      <c r="AM140" s="2068">
        <f t="shared" si="307"/>
        <v>0.16666666666666674</v>
      </c>
      <c r="AN140" s="2095">
        <f t="shared" si="307"/>
        <v>0.21428571428571441</v>
      </c>
      <c r="AO140" s="2394">
        <f t="shared" si="307"/>
        <v>0.29411764705882359</v>
      </c>
      <c r="AP140" s="2068">
        <f t="shared" si="307"/>
        <v>0.72727272727272707</v>
      </c>
      <c r="AQ140" s="2068">
        <f t="shared" si="307"/>
        <v>0.13157894736842102</v>
      </c>
      <c r="AR140" s="2095">
        <f t="shared" si="307"/>
        <v>6.9767441860465018E-2</v>
      </c>
      <c r="AS140" s="2068">
        <f t="shared" si="307"/>
        <v>0.13043478260869557</v>
      </c>
      <c r="AT140" s="2068">
        <f t="shared" si="307"/>
        <v>0.11538461538461542</v>
      </c>
      <c r="AU140" s="2068">
        <f t="shared" si="307"/>
        <v>0.10344827586206895</v>
      </c>
      <c r="AV140" s="2095">
        <f t="shared" si="307"/>
        <v>9.375E-2</v>
      </c>
      <c r="AW140" s="2068">
        <f t="shared" si="307"/>
        <v>8.5714285714285632E-2</v>
      </c>
      <c r="AX140" s="2068">
        <f t="shared" si="307"/>
        <v>7.8947368421052655E-2</v>
      </c>
      <c r="AY140" s="2068">
        <f t="shared" si="307"/>
        <v>7.3170731707317138E-2</v>
      </c>
      <c r="AZ140" s="2095">
        <f t="shared" si="307"/>
        <v>6.8181818181818121E-2</v>
      </c>
      <c r="BA140" s="2068">
        <f t="shared" si="307"/>
        <v>6.3829787234042534E-2</v>
      </c>
      <c r="BB140" s="2068">
        <f t="shared" si="307"/>
        <v>6.0000000000000053E-2</v>
      </c>
      <c r="BC140" s="2068">
        <f t="shared" si="307"/>
        <v>5.6603773584905648E-2</v>
      </c>
      <c r="BD140" s="2095">
        <f t="shared" si="307"/>
        <v>5.3571428571428603E-2</v>
      </c>
      <c r="BE140" s="110"/>
      <c r="BF140" s="626"/>
      <c r="BG140" s="336"/>
      <c r="BH140" s="336"/>
      <c r="BI140" s="336"/>
      <c r="BJ140" s="336"/>
      <c r="BK140" s="336"/>
      <c r="BL140" s="336"/>
      <c r="BM140" s="613"/>
      <c r="BN140" s="626"/>
      <c r="BO140" s="327"/>
      <c r="BP140" s="327"/>
      <c r="BQ140" s="327"/>
      <c r="BR140" s="327"/>
      <c r="BS140" s="327"/>
      <c r="BT140" s="327"/>
      <c r="BU140" s="327"/>
      <c r="BV140" s="327"/>
      <c r="BW140" s="327"/>
      <c r="BX140" s="327"/>
      <c r="BY140" s="612"/>
      <c r="BZ140" s="110"/>
      <c r="CA140" s="80"/>
      <c r="CB140" s="88"/>
      <c r="CC140" s="88"/>
      <c r="CD140" s="88"/>
      <c r="CE140" s="88"/>
      <c r="CF140" s="88"/>
      <c r="CG140" s="88"/>
    </row>
    <row r="141" spans="1:85" ht="11.25" customHeight="1">
      <c r="A141" s="80"/>
      <c r="B141" s="80"/>
      <c r="C141" s="80"/>
      <c r="D141" s="80"/>
      <c r="E141" s="80"/>
      <c r="F141" s="80"/>
      <c r="G141" s="80"/>
      <c r="H141" s="1917"/>
      <c r="I141" s="2399" t="s">
        <v>57</v>
      </c>
      <c r="J141" s="342"/>
      <c r="K141" s="336"/>
      <c r="L141" s="336"/>
      <c r="M141" s="336"/>
      <c r="N141" s="336"/>
      <c r="O141" s="336"/>
      <c r="P141" s="336"/>
      <c r="Q141" s="336"/>
      <c r="R141" s="336"/>
      <c r="S141" s="336"/>
      <c r="T141" s="336"/>
      <c r="U141" s="626"/>
      <c r="V141" s="336"/>
      <c r="W141" s="336"/>
      <c r="X141" s="613"/>
      <c r="Y141" s="336"/>
      <c r="Z141" s="336"/>
      <c r="AA141" s="336"/>
      <c r="AB141" s="336"/>
      <c r="AC141" s="626"/>
      <c r="AD141" s="336"/>
      <c r="AE141" s="336"/>
      <c r="AF141" s="613"/>
      <c r="AG141" s="336"/>
      <c r="AH141" s="336"/>
      <c r="AI141" s="336"/>
      <c r="AJ141" s="336"/>
      <c r="AK141" s="626"/>
      <c r="AL141" s="336"/>
      <c r="AM141" s="336"/>
      <c r="AN141" s="613"/>
      <c r="AO141" s="336"/>
      <c r="AP141" s="336"/>
      <c r="AQ141" s="336"/>
      <c r="AR141" s="613"/>
      <c r="AS141" s="336"/>
      <c r="AT141" s="336"/>
      <c r="AU141" s="336"/>
      <c r="AV141" s="613"/>
      <c r="AW141" s="336"/>
      <c r="AX141" s="336"/>
      <c r="AY141" s="336"/>
      <c r="AZ141" s="613"/>
      <c r="BA141" s="336"/>
      <c r="BB141" s="336"/>
      <c r="BC141" s="336"/>
      <c r="BD141" s="613"/>
      <c r="BE141" s="110"/>
      <c r="BF141" s="626"/>
      <c r="BG141" s="336"/>
      <c r="BH141" s="336"/>
      <c r="BI141" s="336"/>
      <c r="BJ141" s="336"/>
      <c r="BK141" s="336"/>
      <c r="BL141" s="336"/>
      <c r="BM141" s="613"/>
      <c r="BN141" s="626"/>
      <c r="BO141" s="336"/>
      <c r="BP141" s="336"/>
      <c r="BQ141" s="336"/>
      <c r="BR141" s="336"/>
      <c r="BS141" s="336"/>
      <c r="BT141" s="336"/>
      <c r="BU141" s="336"/>
      <c r="BV141" s="336"/>
      <c r="BW141" s="336"/>
      <c r="BX141" s="336"/>
      <c r="BY141" s="613"/>
      <c r="BZ141" s="110"/>
      <c r="CA141" s="80"/>
      <c r="CB141" s="88"/>
      <c r="CC141" s="88"/>
      <c r="CD141" s="88"/>
      <c r="CE141" s="88"/>
      <c r="CF141" s="88"/>
      <c r="CG141" s="88"/>
    </row>
    <row r="142" spans="1:85" s="41" customFormat="1" ht="11.25" customHeight="1">
      <c r="A142" s="98"/>
      <c r="B142" s="98"/>
      <c r="C142" s="98"/>
      <c r="D142" s="98"/>
      <c r="E142" s="98"/>
      <c r="F142" s="98"/>
      <c r="G142" s="98"/>
      <c r="H142" s="1350"/>
      <c r="I142" s="2399"/>
      <c r="J142" s="1592"/>
      <c r="K142" s="108"/>
      <c r="L142" s="108"/>
      <c r="M142" s="108"/>
      <c r="N142" s="108"/>
      <c r="O142" s="108"/>
      <c r="P142" s="108"/>
      <c r="Q142" s="108"/>
      <c r="R142" s="108"/>
      <c r="S142" s="108"/>
      <c r="T142" s="108"/>
      <c r="U142" s="709"/>
      <c r="V142" s="108"/>
      <c r="W142" s="108"/>
      <c r="X142" s="1055"/>
      <c r="Y142" s="108"/>
      <c r="Z142" s="108"/>
      <c r="AA142" s="108"/>
      <c r="AB142" s="108"/>
      <c r="AC142" s="709"/>
      <c r="AD142" s="108"/>
      <c r="AE142" s="108"/>
      <c r="AF142" s="1055"/>
      <c r="AG142" s="108"/>
      <c r="AH142" s="108"/>
      <c r="AI142" s="108"/>
      <c r="AJ142" s="1055"/>
      <c r="AK142" s="428"/>
      <c r="AL142" s="428"/>
      <c r="AM142" s="428"/>
      <c r="AN142" s="523"/>
      <c r="AO142" s="108"/>
      <c r="AP142" s="108"/>
      <c r="AQ142" s="108"/>
      <c r="AR142" s="523"/>
      <c r="AS142" s="108"/>
      <c r="AT142" s="108"/>
      <c r="AU142" s="108"/>
      <c r="AV142" s="1055"/>
      <c r="AW142" s="108"/>
      <c r="AX142" s="108"/>
      <c r="AY142" s="108"/>
      <c r="AZ142" s="1055"/>
      <c r="BA142" s="108"/>
      <c r="BB142" s="108"/>
      <c r="BC142" s="108"/>
      <c r="BD142" s="1055"/>
      <c r="BE142" s="428"/>
      <c r="BF142" s="709"/>
      <c r="BG142" s="108"/>
      <c r="BH142" s="108"/>
      <c r="BI142" s="108"/>
      <c r="BJ142" s="108"/>
      <c r="BK142" s="108"/>
      <c r="BL142" s="108"/>
      <c r="BM142" s="1055"/>
      <c r="BN142" s="709"/>
      <c r="BO142" s="108"/>
      <c r="BP142" s="108"/>
      <c r="BQ142" s="108"/>
      <c r="BR142" s="108"/>
      <c r="BS142" s="108"/>
      <c r="BT142" s="108"/>
      <c r="BU142" s="108"/>
      <c r="BV142" s="108"/>
      <c r="BW142" s="108"/>
      <c r="BX142" s="108"/>
      <c r="BY142" s="1055"/>
      <c r="BZ142" s="428"/>
      <c r="CA142" s="98"/>
      <c r="CB142" s="205"/>
      <c r="CC142" s="205"/>
      <c r="CD142" s="205"/>
      <c r="CE142" s="205"/>
      <c r="CF142" s="205"/>
      <c r="CG142" s="205"/>
    </row>
    <row r="143" spans="1:85" s="106" customFormat="1" ht="11.25" hidden="1" customHeight="1" outlineLevel="1">
      <c r="A143" s="99"/>
      <c r="B143" s="99"/>
      <c r="C143" s="99"/>
      <c r="D143" s="99"/>
      <c r="E143" s="99"/>
      <c r="F143" s="99"/>
      <c r="G143" s="99"/>
      <c r="H143" s="320"/>
      <c r="I143" s="2781"/>
      <c r="J143" s="342"/>
      <c r="K143" s="336"/>
      <c r="L143" s="336"/>
      <c r="M143" s="336"/>
      <c r="N143" s="336"/>
      <c r="O143" s="336"/>
      <c r="P143" s="336"/>
      <c r="Q143" s="336"/>
      <c r="R143" s="336"/>
      <c r="S143" s="336"/>
      <c r="T143" s="336"/>
      <c r="U143" s="626"/>
      <c r="V143" s="336"/>
      <c r="W143" s="336"/>
      <c r="X143" s="613"/>
      <c r="Y143" s="336"/>
      <c r="Z143" s="336"/>
      <c r="AA143" s="336"/>
      <c r="AB143" s="336"/>
      <c r="AC143" s="626"/>
      <c r="AD143" s="336"/>
      <c r="AE143" s="336"/>
      <c r="AF143" s="613"/>
      <c r="AG143" s="336"/>
      <c r="AH143" s="2421"/>
      <c r="AI143" s="2421"/>
      <c r="AJ143" s="2421"/>
      <c r="AK143" s="2422"/>
      <c r="AL143" s="2421"/>
      <c r="AM143" s="2421"/>
      <c r="AN143" s="2423"/>
      <c r="AO143" s="2421"/>
      <c r="AP143" s="2421"/>
      <c r="AQ143" s="2421"/>
      <c r="AR143" s="2423"/>
      <c r="AS143" s="2421"/>
      <c r="AT143" s="2421"/>
      <c r="AU143" s="2421"/>
      <c r="AV143" s="2423"/>
      <c r="AW143" s="2421"/>
      <c r="AX143" s="2421"/>
      <c r="AY143" s="2421"/>
      <c r="AZ143" s="2423"/>
      <c r="BA143" s="2421"/>
      <c r="BB143" s="2421"/>
      <c r="BC143" s="2421"/>
      <c r="BD143" s="2423"/>
      <c r="BE143" s="110"/>
      <c r="BF143" s="626"/>
      <c r="BG143" s="336"/>
      <c r="BH143" s="336"/>
      <c r="BI143" s="336"/>
      <c r="BJ143" s="336"/>
      <c r="BK143" s="336"/>
      <c r="BL143" s="336"/>
      <c r="BM143" s="613"/>
      <c r="BN143" s="626"/>
      <c r="BO143" s="336"/>
      <c r="BP143" s="336"/>
      <c r="BQ143" s="336"/>
      <c r="BR143" s="336"/>
      <c r="BS143" s="336"/>
      <c r="BT143" s="336"/>
      <c r="BU143" s="336"/>
      <c r="BV143" s="336"/>
      <c r="BW143" s="336"/>
      <c r="BX143" s="336"/>
      <c r="BY143" s="613"/>
      <c r="BZ143" s="110"/>
      <c r="CA143" s="99"/>
      <c r="CB143" s="327"/>
      <c r="CC143" s="327"/>
      <c r="CD143" s="327"/>
      <c r="CE143" s="327"/>
      <c r="CF143" s="327"/>
      <c r="CG143" s="327"/>
    </row>
    <row r="144" spans="1:85" s="2703" customFormat="1" ht="11.25" hidden="1" customHeight="1" outlineLevel="1">
      <c r="A144" s="991"/>
      <c r="B144" s="991"/>
      <c r="C144" s="991"/>
      <c r="D144" s="991"/>
      <c r="E144" s="991"/>
      <c r="F144" s="991"/>
      <c r="G144" s="991"/>
      <c r="H144" s="991"/>
      <c r="I144" s="2782" t="s">
        <v>631</v>
      </c>
      <c r="J144" s="2700"/>
      <c r="K144" s="322"/>
      <c r="L144" s="322"/>
      <c r="M144" s="322"/>
      <c r="N144" s="322"/>
      <c r="O144" s="322"/>
      <c r="P144" s="322"/>
      <c r="Q144" s="322"/>
      <c r="R144" s="322"/>
      <c r="S144" s="322"/>
      <c r="T144" s="322"/>
      <c r="U144" s="750"/>
      <c r="V144" s="322"/>
      <c r="W144" s="322"/>
      <c r="X144" s="734"/>
      <c r="Y144" s="322"/>
      <c r="Z144" s="322"/>
      <c r="AA144" s="322"/>
      <c r="AB144" s="322"/>
      <c r="AC144" s="750"/>
      <c r="AD144" s="322"/>
      <c r="AE144" s="378"/>
      <c r="AF144" s="458"/>
      <c r="AG144" s="2795" t="e">
        <f>#REF!</f>
        <v>#REF!</v>
      </c>
      <c r="AH144" s="2639" t="e">
        <f>#REF!</f>
        <v>#REF!</v>
      </c>
      <c r="AI144" s="2639" t="e">
        <f>#REF!</f>
        <v>#REF!</v>
      </c>
      <c r="AJ144" s="2640" t="e">
        <f>#REF!</f>
        <v>#REF!</v>
      </c>
      <c r="AK144" s="2701" t="e">
        <f>+AJ144*1.2-1.1</f>
        <v>#REF!</v>
      </c>
      <c r="AL144" s="322" t="e">
        <f>AH144*(1+AL147)</f>
        <v>#REF!</v>
      </c>
      <c r="AM144" s="322" t="e">
        <f>AI144*(1+AM147)</f>
        <v>#REF!</v>
      </c>
      <c r="AN144" s="734" t="e">
        <f>AJ144*(1+AN147)</f>
        <v>#REF!</v>
      </c>
      <c r="AO144" s="322" t="e">
        <f t="shared" ref="AO144:BD144" si="308">AK144*(1+AO147)</f>
        <v>#REF!</v>
      </c>
      <c r="AP144" s="322" t="e">
        <f t="shared" si="308"/>
        <v>#REF!</v>
      </c>
      <c r="AQ144" s="322" t="e">
        <f t="shared" si="308"/>
        <v>#REF!</v>
      </c>
      <c r="AR144" s="734" t="e">
        <f>AN144*(1+AR147)</f>
        <v>#REF!</v>
      </c>
      <c r="AS144" s="322" t="e">
        <f t="shared" si="308"/>
        <v>#REF!</v>
      </c>
      <c r="AT144" s="322" t="e">
        <f t="shared" si="308"/>
        <v>#REF!</v>
      </c>
      <c r="AU144" s="322" t="e">
        <f t="shared" si="308"/>
        <v>#REF!</v>
      </c>
      <c r="AV144" s="734" t="e">
        <f t="shared" si="308"/>
        <v>#REF!</v>
      </c>
      <c r="AW144" s="322" t="e">
        <f t="shared" si="308"/>
        <v>#REF!</v>
      </c>
      <c r="AX144" s="322" t="e">
        <f t="shared" si="308"/>
        <v>#REF!</v>
      </c>
      <c r="AY144" s="322" t="e">
        <f t="shared" si="308"/>
        <v>#REF!</v>
      </c>
      <c r="AZ144" s="734" t="e">
        <f t="shared" si="308"/>
        <v>#REF!</v>
      </c>
      <c r="BA144" s="322" t="e">
        <f t="shared" si="308"/>
        <v>#REF!</v>
      </c>
      <c r="BB144" s="322" t="e">
        <f t="shared" si="308"/>
        <v>#REF!</v>
      </c>
      <c r="BC144" s="322" t="e">
        <f t="shared" si="308"/>
        <v>#REF!</v>
      </c>
      <c r="BD144" s="734" t="e">
        <f t="shared" si="308"/>
        <v>#REF!</v>
      </c>
      <c r="BE144" s="322"/>
      <c r="BF144" s="750"/>
      <c r="BG144" s="322"/>
      <c r="BH144" s="322"/>
      <c r="BI144" s="322"/>
      <c r="BJ144" s="322"/>
      <c r="BK144" s="322"/>
      <c r="BL144" s="322"/>
      <c r="BM144" s="734"/>
      <c r="BN144" s="750"/>
      <c r="BO144" s="322" t="e">
        <f>+SUM(AG144:AJ144)</f>
        <v>#REF!</v>
      </c>
      <c r="BP144" s="322" t="e">
        <f>+SUM(AK144:AN144)</f>
        <v>#REF!</v>
      </c>
      <c r="BQ144" s="322" t="e">
        <f>SUM(AO144:AR144)</f>
        <v>#REF!</v>
      </c>
      <c r="BR144" s="322" t="e">
        <f>SUM(AS144:AV144)</f>
        <v>#REF!</v>
      </c>
      <c r="BS144" s="322" t="e">
        <f>SUM(AW144:AZ144)</f>
        <v>#REF!</v>
      </c>
      <c r="BT144" s="322" t="e">
        <f>SUM(BA144:BD144)</f>
        <v>#REF!</v>
      </c>
      <c r="BU144" s="322" t="e">
        <f>+BT144*(1+BU147)</f>
        <v>#REF!</v>
      </c>
      <c r="BV144" s="322" t="e">
        <f>+BU144*(1+BV147)</f>
        <v>#REF!</v>
      </c>
      <c r="BW144" s="322" t="e">
        <f>+BV144*(1+BW147)</f>
        <v>#REF!</v>
      </c>
      <c r="BX144" s="322" t="e">
        <f>+BW144*(1+BX147)</f>
        <v>#REF!</v>
      </c>
      <c r="BY144" s="734" t="e">
        <f>+BX144*(1+BY147)</f>
        <v>#REF!</v>
      </c>
      <c r="BZ144" s="322"/>
      <c r="CA144" s="991"/>
      <c r="CB144" s="2702"/>
      <c r="CC144" s="2702"/>
      <c r="CD144" s="2702"/>
      <c r="CE144" s="2702"/>
      <c r="CF144" s="2702"/>
      <c r="CG144" s="2702"/>
    </row>
    <row r="145" spans="1:85" s="2703" customFormat="1" ht="11.25" hidden="1" customHeight="1" outlineLevel="1">
      <c r="A145" s="991"/>
      <c r="B145" s="991"/>
      <c r="C145" s="991"/>
      <c r="D145" s="991"/>
      <c r="E145" s="991"/>
      <c r="F145" s="991"/>
      <c r="G145" s="991"/>
      <c r="H145" s="991"/>
      <c r="I145" s="2783" t="s">
        <v>377</v>
      </c>
      <c r="J145" s="2700"/>
      <c r="K145" s="322"/>
      <c r="L145" s="322"/>
      <c r="M145" s="322"/>
      <c r="N145" s="322"/>
      <c r="O145" s="322"/>
      <c r="P145" s="322"/>
      <c r="Q145" s="322"/>
      <c r="R145" s="322"/>
      <c r="S145" s="322"/>
      <c r="T145" s="322"/>
      <c r="U145" s="750"/>
      <c r="V145" s="322"/>
      <c r="W145" s="322"/>
      <c r="X145" s="734"/>
      <c r="Y145" s="322"/>
      <c r="Z145" s="322"/>
      <c r="AA145" s="322"/>
      <c r="AB145" s="322"/>
      <c r="AC145" s="750"/>
      <c r="AD145" s="322"/>
      <c r="AE145" s="322"/>
      <c r="AF145" s="734"/>
      <c r="AG145" s="322"/>
      <c r="AH145" s="439" t="e">
        <f t="shared" ref="AH145:AN145" si="309">AH144-AG144</f>
        <v>#REF!</v>
      </c>
      <c r="AI145" s="439" t="e">
        <f t="shared" si="309"/>
        <v>#REF!</v>
      </c>
      <c r="AJ145" s="461" t="e">
        <f t="shared" si="309"/>
        <v>#REF!</v>
      </c>
      <c r="AK145" s="2704" t="e">
        <f t="shared" si="309"/>
        <v>#REF!</v>
      </c>
      <c r="AL145" s="439" t="e">
        <f t="shared" si="309"/>
        <v>#REF!</v>
      </c>
      <c r="AM145" s="439" t="e">
        <f t="shared" si="309"/>
        <v>#REF!</v>
      </c>
      <c r="AN145" s="461" t="e">
        <f t="shared" si="309"/>
        <v>#REF!</v>
      </c>
      <c r="AO145" s="439">
        <v>0.93499999999999872</v>
      </c>
      <c r="AP145" s="439">
        <v>1.3649999999999984</v>
      </c>
      <c r="AQ145" s="439">
        <v>1.3649999999999984</v>
      </c>
      <c r="AR145" s="461" t="e">
        <f t="shared" ref="AR145" si="310">AR144-AQ144</f>
        <v>#REF!</v>
      </c>
      <c r="AS145" s="439">
        <v>0.40859999999999985</v>
      </c>
      <c r="AT145" s="439">
        <v>1.5833999999999975</v>
      </c>
      <c r="AU145" s="439">
        <v>1.0051500000000004</v>
      </c>
      <c r="AV145" s="461">
        <v>-0.56354999999999578</v>
      </c>
      <c r="AW145" s="439">
        <v>0.6645179999999975</v>
      </c>
      <c r="AX145" s="439">
        <v>1.7892419999999944</v>
      </c>
      <c r="AY145" s="439">
        <v>0.9030480000000054</v>
      </c>
      <c r="AZ145" s="461">
        <v>-1.312583999999994</v>
      </c>
      <c r="BA145" s="439">
        <v>1.4256681599999972</v>
      </c>
      <c r="BB145" s="439">
        <v>2.0039510399999934</v>
      </c>
      <c r="BC145" s="439">
        <v>0.75070968000000704</v>
      </c>
      <c r="BD145" s="461">
        <v>-2.1997029599999962</v>
      </c>
      <c r="BE145" s="322"/>
      <c r="BF145" s="750"/>
      <c r="BG145" s="322"/>
      <c r="BH145" s="322"/>
      <c r="BI145" s="322"/>
      <c r="BJ145" s="322"/>
      <c r="BK145" s="322"/>
      <c r="BL145" s="322"/>
      <c r="BM145" s="734"/>
      <c r="BN145" s="750"/>
      <c r="BO145" s="584" t="s">
        <v>515</v>
      </c>
      <c r="BP145" s="584" t="s">
        <v>515</v>
      </c>
      <c r="BQ145" s="584" t="s">
        <v>515</v>
      </c>
      <c r="BR145" s="584" t="s">
        <v>515</v>
      </c>
      <c r="BS145" s="584" t="s">
        <v>515</v>
      </c>
      <c r="BT145" s="584" t="s">
        <v>515</v>
      </c>
      <c r="BU145" s="584" t="s">
        <v>515</v>
      </c>
      <c r="BV145" s="584" t="s">
        <v>515</v>
      </c>
      <c r="BW145" s="584" t="s">
        <v>515</v>
      </c>
      <c r="BX145" s="584" t="s">
        <v>515</v>
      </c>
      <c r="BY145" s="616" t="s">
        <v>515</v>
      </c>
      <c r="BZ145" s="322"/>
      <c r="CA145" s="991"/>
      <c r="CB145" s="2702"/>
      <c r="CC145" s="2702"/>
      <c r="CD145" s="2702"/>
      <c r="CE145" s="2702"/>
      <c r="CF145" s="2702"/>
      <c r="CG145" s="2702"/>
    </row>
    <row r="146" spans="1:85" s="2703" customFormat="1" ht="11.25" hidden="1" customHeight="1" outlineLevel="1">
      <c r="A146" s="991"/>
      <c r="B146" s="991"/>
      <c r="C146" s="991"/>
      <c r="D146" s="991"/>
      <c r="E146" s="991"/>
      <c r="F146" s="991"/>
      <c r="G146" s="991"/>
      <c r="H146" s="991"/>
      <c r="I146" s="2784" t="s">
        <v>380</v>
      </c>
      <c r="J146" s="2700"/>
      <c r="K146" s="322"/>
      <c r="L146" s="322"/>
      <c r="M146" s="322"/>
      <c r="N146" s="322"/>
      <c r="O146" s="322"/>
      <c r="P146" s="322"/>
      <c r="Q146" s="322"/>
      <c r="R146" s="322"/>
      <c r="S146" s="322"/>
      <c r="T146" s="322"/>
      <c r="U146" s="750"/>
      <c r="V146" s="322"/>
      <c r="W146" s="322"/>
      <c r="X146" s="734"/>
      <c r="Y146" s="322"/>
      <c r="Z146" s="322"/>
      <c r="AA146" s="322"/>
      <c r="AB146" s="322"/>
      <c r="AC146" s="750"/>
      <c r="AD146" s="322"/>
      <c r="AE146" s="322"/>
      <c r="AF146" s="734"/>
      <c r="AG146" s="322"/>
      <c r="AH146" s="322"/>
      <c r="AI146" s="322"/>
      <c r="AJ146" s="322"/>
      <c r="AK146" s="2705"/>
      <c r="AL146" s="439" t="e">
        <f>AL144-AH144</f>
        <v>#REF!</v>
      </c>
      <c r="AM146" s="439" t="e">
        <f>AM144-AI144</f>
        <v>#REF!</v>
      </c>
      <c r="AN146" s="461" t="e">
        <f>AN144-AJ144</f>
        <v>#REF!</v>
      </c>
      <c r="AO146" s="439">
        <v>3.3350000000000009</v>
      </c>
      <c r="AP146" s="439">
        <v>3.1999999999999993</v>
      </c>
      <c r="AQ146" s="439">
        <v>3.1999999999999993</v>
      </c>
      <c r="AR146" s="461" t="e">
        <f>AR144-AN144</f>
        <v>#REF!</v>
      </c>
      <c r="AS146" s="439">
        <v>2.8536000000000001</v>
      </c>
      <c r="AT146" s="439">
        <v>3.0719999999999992</v>
      </c>
      <c r="AU146" s="439">
        <v>3.0361499999999992</v>
      </c>
      <c r="AV146" s="461">
        <v>2.433600000000002</v>
      </c>
      <c r="AW146" s="439">
        <v>2.6895179999999996</v>
      </c>
      <c r="AX146" s="439">
        <v>2.8953599999999966</v>
      </c>
      <c r="AY146" s="439">
        <v>2.7932580000000016</v>
      </c>
      <c r="AZ146" s="461">
        <v>2.0442240000000034</v>
      </c>
      <c r="BA146" s="439">
        <v>2.8053741600000031</v>
      </c>
      <c r="BB146" s="439">
        <v>3.020083200000002</v>
      </c>
      <c r="BC146" s="439">
        <v>2.8677448800000036</v>
      </c>
      <c r="BD146" s="461">
        <v>1.9806259200000014</v>
      </c>
      <c r="BE146" s="322"/>
      <c r="BF146" s="750"/>
      <c r="BG146" s="322"/>
      <c r="BH146" s="322"/>
      <c r="BI146" s="322"/>
      <c r="BJ146" s="322"/>
      <c r="BK146" s="322"/>
      <c r="BL146" s="322"/>
      <c r="BM146" s="734"/>
      <c r="BN146" s="750"/>
      <c r="BO146" s="322"/>
      <c r="BP146" s="439" t="e">
        <f>BP144-BO144</f>
        <v>#REF!</v>
      </c>
      <c r="BQ146" s="439" t="e">
        <f t="shared" ref="BQ146:BY146" si="311">BQ144-BP144</f>
        <v>#REF!</v>
      </c>
      <c r="BR146" s="439" t="e">
        <f t="shared" si="311"/>
        <v>#REF!</v>
      </c>
      <c r="BS146" s="439" t="e">
        <f t="shared" si="311"/>
        <v>#REF!</v>
      </c>
      <c r="BT146" s="439" t="e">
        <f t="shared" si="311"/>
        <v>#REF!</v>
      </c>
      <c r="BU146" s="439" t="e">
        <f t="shared" si="311"/>
        <v>#REF!</v>
      </c>
      <c r="BV146" s="439" t="e">
        <f t="shared" si="311"/>
        <v>#REF!</v>
      </c>
      <c r="BW146" s="439" t="e">
        <f t="shared" si="311"/>
        <v>#REF!</v>
      </c>
      <c r="BX146" s="439" t="e">
        <f t="shared" si="311"/>
        <v>#REF!</v>
      </c>
      <c r="BY146" s="461" t="e">
        <f t="shared" si="311"/>
        <v>#REF!</v>
      </c>
      <c r="BZ146" s="322"/>
      <c r="CA146" s="991"/>
      <c r="CB146" s="2702"/>
      <c r="CC146" s="2702"/>
      <c r="CD146" s="2702"/>
      <c r="CE146" s="2702"/>
      <c r="CF146" s="2702"/>
      <c r="CG146" s="2702"/>
    </row>
    <row r="147" spans="1:85" s="2703" customFormat="1" ht="11.25" hidden="1" customHeight="1" outlineLevel="1">
      <c r="A147" s="991"/>
      <c r="B147" s="991"/>
      <c r="C147" s="991"/>
      <c r="D147" s="991"/>
      <c r="E147" s="991"/>
      <c r="F147" s="991"/>
      <c r="G147" s="991"/>
      <c r="H147" s="991"/>
      <c r="I147" s="2783" t="s">
        <v>132</v>
      </c>
      <c r="J147" s="2700"/>
      <c r="K147" s="322"/>
      <c r="L147" s="322"/>
      <c r="M147" s="322"/>
      <c r="N147" s="322"/>
      <c r="O147" s="322"/>
      <c r="P147" s="322"/>
      <c r="Q147" s="322"/>
      <c r="R147" s="322"/>
      <c r="S147" s="322"/>
      <c r="T147" s="322"/>
      <c r="U147" s="750"/>
      <c r="V147" s="322"/>
      <c r="W147" s="322"/>
      <c r="X147" s="734"/>
      <c r="Y147" s="322"/>
      <c r="Z147" s="322"/>
      <c r="AA147" s="322"/>
      <c r="AB147" s="322"/>
      <c r="AC147" s="750"/>
      <c r="AD147" s="322"/>
      <c r="AE147" s="322"/>
      <c r="AF147" s="734"/>
      <c r="AG147" s="322"/>
      <c r="AH147" s="322"/>
      <c r="AI147" s="322"/>
      <c r="AJ147" s="322"/>
      <c r="AK147" s="2706" t="e">
        <f>+AK144/AG144-1</f>
        <v>#REF!</v>
      </c>
      <c r="AL147" s="2707">
        <v>0.6</v>
      </c>
      <c r="AM147" s="2707">
        <v>0.5</v>
      </c>
      <c r="AN147" s="2708">
        <v>0.3</v>
      </c>
      <c r="AO147" s="2707">
        <v>0.23</v>
      </c>
      <c r="AP147" s="2707">
        <v>0.2</v>
      </c>
      <c r="AQ147" s="2707">
        <v>0.2</v>
      </c>
      <c r="AR147" s="2708">
        <v>0.3</v>
      </c>
      <c r="AS147" s="2709">
        <v>0.16</v>
      </c>
      <c r="AT147" s="2707">
        <v>0.16</v>
      </c>
      <c r="AU147" s="2707">
        <v>0.15</v>
      </c>
      <c r="AV147" s="2708">
        <v>0.12</v>
      </c>
      <c r="AW147" s="2707">
        <v>0.13</v>
      </c>
      <c r="AX147" s="2707">
        <v>0.13</v>
      </c>
      <c r="AY147" s="2707">
        <v>0.12</v>
      </c>
      <c r="AZ147" s="2708">
        <v>0.09</v>
      </c>
      <c r="BA147" s="2707">
        <v>0.12000000000000001</v>
      </c>
      <c r="BB147" s="2707">
        <v>0.12000000000000001</v>
      </c>
      <c r="BC147" s="2707">
        <v>0.11</v>
      </c>
      <c r="BD147" s="2708">
        <v>0.08</v>
      </c>
      <c r="BE147" s="322"/>
      <c r="BF147" s="750"/>
      <c r="BG147" s="322"/>
      <c r="BH147" s="322"/>
      <c r="BI147" s="322"/>
      <c r="BJ147" s="322"/>
      <c r="BK147" s="322"/>
      <c r="BL147" s="322"/>
      <c r="BM147" s="734"/>
      <c r="BN147" s="750"/>
      <c r="BO147" s="322"/>
      <c r="BP147" s="2710" t="e">
        <f>+BP144/BO144-1</f>
        <v>#REF!</v>
      </c>
      <c r="BQ147" s="2710" t="e">
        <f>+BQ144/BP144-1</f>
        <v>#REF!</v>
      </c>
      <c r="BR147" s="2710" t="e">
        <f>+BR144/BQ144-1</f>
        <v>#REF!</v>
      </c>
      <c r="BS147" s="2710" t="e">
        <f>+BS144/BR144-1</f>
        <v>#REF!</v>
      </c>
      <c r="BT147" s="2710" t="e">
        <f>+BT144/BS144-1</f>
        <v>#REF!</v>
      </c>
      <c r="BU147" s="2707">
        <f>BD147-0.01</f>
        <v>7.0000000000000007E-2</v>
      </c>
      <c r="BV147" s="2707">
        <f>BU147-0.005</f>
        <v>6.5000000000000002E-2</v>
      </c>
      <c r="BW147" s="2707">
        <f>BV147-0.005</f>
        <v>6.0000000000000005E-2</v>
      </c>
      <c r="BX147" s="2707">
        <f>BW147-0.005</f>
        <v>5.5000000000000007E-2</v>
      </c>
      <c r="BY147" s="2708">
        <f>BX147-0.005</f>
        <v>5.000000000000001E-2</v>
      </c>
      <c r="BZ147" s="322"/>
      <c r="CA147" s="991"/>
      <c r="CB147" s="2702"/>
      <c r="CC147" s="2702"/>
      <c r="CD147" s="2702"/>
      <c r="CE147" s="2702"/>
      <c r="CF147" s="2702"/>
      <c r="CG147" s="2702"/>
    </row>
    <row r="148" spans="1:85" s="1517" customFormat="1" ht="11.25" hidden="1" customHeight="1" outlineLevel="1">
      <c r="A148" s="739"/>
      <c r="B148" s="739"/>
      <c r="C148" s="739"/>
      <c r="D148" s="739"/>
      <c r="E148" s="739"/>
      <c r="F148" s="739"/>
      <c r="G148" s="739"/>
      <c r="H148" s="739"/>
      <c r="I148" s="2783" t="s">
        <v>146</v>
      </c>
      <c r="J148" s="2711"/>
      <c r="K148" s="439"/>
      <c r="L148" s="439"/>
      <c r="M148" s="439"/>
      <c r="N148" s="439"/>
      <c r="O148" s="439"/>
      <c r="P148" s="439"/>
      <c r="Q148" s="439"/>
      <c r="R148" s="439"/>
      <c r="S148" s="439"/>
      <c r="T148" s="439"/>
      <c r="U148" s="501"/>
      <c r="V148" s="439"/>
      <c r="W148" s="439"/>
      <c r="X148" s="461"/>
      <c r="Y148" s="439"/>
      <c r="Z148" s="439"/>
      <c r="AA148" s="439"/>
      <c r="AB148" s="439"/>
      <c r="AC148" s="501"/>
      <c r="AD148" s="439"/>
      <c r="AE148" s="439"/>
      <c r="AF148" s="461"/>
      <c r="AG148" s="439"/>
      <c r="AH148" s="2712" t="e">
        <f t="shared" ref="AH148:AN148" si="312">+AH144/AG144-1</f>
        <v>#REF!</v>
      </c>
      <c r="AI148" s="2712" t="e">
        <f t="shared" si="312"/>
        <v>#REF!</v>
      </c>
      <c r="AJ148" s="2712" t="e">
        <f t="shared" si="312"/>
        <v>#REF!</v>
      </c>
      <c r="AK148" s="2713" t="e">
        <f t="shared" si="312"/>
        <v>#REF!</v>
      </c>
      <c r="AL148" s="2712" t="e">
        <f t="shared" si="312"/>
        <v>#REF!</v>
      </c>
      <c r="AM148" s="2712" t="e">
        <f t="shared" si="312"/>
        <v>#REF!</v>
      </c>
      <c r="AN148" s="2714" t="e">
        <f t="shared" si="312"/>
        <v>#REF!</v>
      </c>
      <c r="AO148" s="2712">
        <v>5.532544378698212E-2</v>
      </c>
      <c r="AP148" s="2712">
        <v>7.653490328006729E-2</v>
      </c>
      <c r="AQ148" s="2712">
        <v>7.653490328006729E-2</v>
      </c>
      <c r="AR148" s="2714" t="e">
        <f t="shared" ref="AR148" si="313">+AR144/AQ144-1</f>
        <v>#REF!</v>
      </c>
      <c r="AS148" s="2712">
        <v>2.0147928994082909E-2</v>
      </c>
      <c r="AT148" s="2712">
        <v>7.6534903280067068E-2</v>
      </c>
      <c r="AU148" s="2712">
        <v>4.5130657327586254E-2</v>
      </c>
      <c r="AV148" s="2714">
        <v>-2.4210438133534185E-2</v>
      </c>
      <c r="AW148" s="2712">
        <v>2.9256392645815588E-2</v>
      </c>
      <c r="AX148" s="2712">
        <v>7.6534903280067068E-2</v>
      </c>
      <c r="AY148" s="2712">
        <v>3.5881713457430742E-2</v>
      </c>
      <c r="AZ148" s="2714">
        <v>-5.034765854067158E-2</v>
      </c>
      <c r="BA148" s="2712">
        <v>5.7584550241571941E-2</v>
      </c>
      <c r="BB148" s="2712">
        <v>7.6534903280067068E-2</v>
      </c>
      <c r="BC148" s="2712">
        <v>2.6632769587275229E-2</v>
      </c>
      <c r="BD148" s="2714">
        <v>-7.601393803957246E-2</v>
      </c>
      <c r="BE148" s="439"/>
      <c r="BF148" s="501"/>
      <c r="BG148" s="439"/>
      <c r="BH148" s="439"/>
      <c r="BI148" s="439"/>
      <c r="BJ148" s="439"/>
      <c r="BK148" s="439"/>
      <c r="BL148" s="439"/>
      <c r="BM148" s="461"/>
      <c r="BN148" s="501"/>
      <c r="BO148" s="439"/>
      <c r="BP148" s="439" t="e">
        <f>+BP144-BO144</f>
        <v>#REF!</v>
      </c>
      <c r="BQ148" s="439" t="e">
        <f>+BQ144-BP144</f>
        <v>#REF!</v>
      </c>
      <c r="BR148" s="439" t="e">
        <f>+BR144-BQ144</f>
        <v>#REF!</v>
      </c>
      <c r="BS148" s="439" t="e">
        <f>+BS144-BR144</f>
        <v>#REF!</v>
      </c>
      <c r="BT148" s="439" t="e">
        <f>+BT144-BS144</f>
        <v>#REF!</v>
      </c>
      <c r="BU148" s="439"/>
      <c r="BV148" s="439"/>
      <c r="BW148" s="439"/>
      <c r="BX148" s="439"/>
      <c r="BY148" s="461"/>
      <c r="BZ148" s="439"/>
      <c r="CA148" s="739"/>
      <c r="CB148" s="584"/>
      <c r="CC148" s="584"/>
      <c r="CD148" s="584"/>
      <c r="CE148" s="584"/>
      <c r="CF148" s="584"/>
      <c r="CG148" s="584"/>
    </row>
    <row r="149" spans="1:85" s="1517" customFormat="1" ht="11.25" hidden="1" customHeight="1" outlineLevel="1">
      <c r="A149" s="739"/>
      <c r="B149" s="739"/>
      <c r="C149" s="739"/>
      <c r="D149" s="739"/>
      <c r="E149" s="739"/>
      <c r="F149" s="739"/>
      <c r="G149" s="739"/>
      <c r="H149" s="739"/>
      <c r="I149" s="2783"/>
      <c r="J149" s="2711"/>
      <c r="K149" s="439"/>
      <c r="L149" s="439"/>
      <c r="M149" s="439"/>
      <c r="N149" s="439"/>
      <c r="O149" s="439"/>
      <c r="P149" s="439"/>
      <c r="Q149" s="439"/>
      <c r="R149" s="439"/>
      <c r="S149" s="439"/>
      <c r="T149" s="439"/>
      <c r="U149" s="501"/>
      <c r="V149" s="439"/>
      <c r="W149" s="439"/>
      <c r="X149" s="461"/>
      <c r="Y149" s="439"/>
      <c r="Z149" s="439"/>
      <c r="AA149" s="439"/>
      <c r="AB149" s="439"/>
      <c r="AC149" s="501"/>
      <c r="AD149" s="439"/>
      <c r="AE149" s="439"/>
      <c r="AF149" s="461"/>
      <c r="AG149" s="439"/>
      <c r="AH149" s="2712"/>
      <c r="AI149" s="2712"/>
      <c r="AJ149" s="2712"/>
      <c r="AK149" s="2713"/>
      <c r="AL149" s="2712"/>
      <c r="AM149" s="2712"/>
      <c r="AN149" s="2714"/>
      <c r="AO149" s="2712"/>
      <c r="AP149" s="2712"/>
      <c r="AQ149" s="2712"/>
      <c r="AR149" s="2714"/>
      <c r="AS149" s="2712"/>
      <c r="AT149" s="2712"/>
      <c r="AU149" s="2712"/>
      <c r="AV149" s="2714"/>
      <c r="AW149" s="2712"/>
      <c r="AX149" s="2712"/>
      <c r="AY149" s="2712"/>
      <c r="AZ149" s="2714"/>
      <c r="BA149" s="2712"/>
      <c r="BB149" s="2712"/>
      <c r="BC149" s="2712"/>
      <c r="BD149" s="2714"/>
      <c r="BE149" s="439"/>
      <c r="BF149" s="501"/>
      <c r="BG149" s="439"/>
      <c r="BH149" s="439"/>
      <c r="BI149" s="439"/>
      <c r="BJ149" s="439"/>
      <c r="BK149" s="439"/>
      <c r="BL149" s="439"/>
      <c r="BM149" s="461"/>
      <c r="BN149" s="501"/>
      <c r="BO149" s="439"/>
      <c r="BP149" s="439"/>
      <c r="BQ149" s="439"/>
      <c r="BR149" s="439"/>
      <c r="BS149" s="439"/>
      <c r="BT149" s="439"/>
      <c r="BU149" s="439"/>
      <c r="BV149" s="439"/>
      <c r="BW149" s="439"/>
      <c r="BX149" s="439"/>
      <c r="BY149" s="461"/>
      <c r="BZ149" s="439"/>
      <c r="CA149" s="739"/>
      <c r="CB149" s="584"/>
      <c r="CC149" s="584"/>
      <c r="CD149" s="584"/>
      <c r="CE149" s="584"/>
      <c r="CF149" s="584"/>
      <c r="CG149" s="584"/>
    </row>
    <row r="150" spans="1:85" s="2718" customFormat="1" ht="11.25" hidden="1" customHeight="1" outlineLevel="1">
      <c r="A150" s="2715"/>
      <c r="B150" s="2715"/>
      <c r="C150" s="2715"/>
      <c r="D150" s="2715"/>
      <c r="E150" s="2715"/>
      <c r="F150" s="2715"/>
      <c r="G150" s="2715"/>
      <c r="H150" s="2715"/>
      <c r="I150" s="2782" t="s">
        <v>630</v>
      </c>
      <c r="J150" s="2700"/>
      <c r="K150" s="322"/>
      <c r="L150" s="322"/>
      <c r="M150" s="322"/>
      <c r="N150" s="322"/>
      <c r="O150" s="322"/>
      <c r="P150" s="322"/>
      <c r="Q150" s="322"/>
      <c r="R150" s="322"/>
      <c r="S150" s="322"/>
      <c r="T150" s="322"/>
      <c r="U150" s="750"/>
      <c r="V150" s="322"/>
      <c r="W150" s="322"/>
      <c r="X150" s="734"/>
      <c r="Y150" s="322"/>
      <c r="Z150" s="322"/>
      <c r="AA150" s="322"/>
      <c r="AB150" s="322"/>
      <c r="AC150" s="750"/>
      <c r="AD150" s="322"/>
      <c r="AE150" s="322">
        <f t="shared" ref="AE150:AN150" si="314">AE117-AE144</f>
        <v>1.3380000000000001</v>
      </c>
      <c r="AF150" s="734">
        <f t="shared" si="314"/>
        <v>1.4169999999999998</v>
      </c>
      <c r="AG150" s="322" t="e">
        <f t="shared" si="314"/>
        <v>#REF!</v>
      </c>
      <c r="AH150" s="322" t="e">
        <f t="shared" si="314"/>
        <v>#REF!</v>
      </c>
      <c r="AI150" s="322" t="e">
        <f t="shared" si="314"/>
        <v>#REF!</v>
      </c>
      <c r="AJ150" s="322" t="e">
        <f t="shared" si="314"/>
        <v>#REF!</v>
      </c>
      <c r="AK150" s="750">
        <v>0</v>
      </c>
      <c r="AL150" s="322" t="e">
        <f t="shared" si="314"/>
        <v>#REF!</v>
      </c>
      <c r="AM150" s="322" t="e">
        <f t="shared" si="314"/>
        <v>#REF!</v>
      </c>
      <c r="AN150" s="734" t="e">
        <f t="shared" si="314"/>
        <v>#REF!</v>
      </c>
      <c r="AO150" s="322" t="e">
        <f>AO117-AO144</f>
        <v>#REF!</v>
      </c>
      <c r="AP150" s="322" t="e">
        <f t="shared" ref="AP150:BD150" si="315">AP117-AP144</f>
        <v>#REF!</v>
      </c>
      <c r="AQ150" s="322" t="e">
        <f t="shared" ref="AQ150:AR150" si="316">AQ117-AQ144</f>
        <v>#REF!</v>
      </c>
      <c r="AR150" s="734" t="e">
        <f t="shared" si="316"/>
        <v>#REF!</v>
      </c>
      <c r="AS150" s="322" t="e">
        <f t="shared" si="315"/>
        <v>#REF!</v>
      </c>
      <c r="AT150" s="322" t="e">
        <f t="shared" si="315"/>
        <v>#REF!</v>
      </c>
      <c r="AU150" s="322" t="e">
        <f t="shared" si="315"/>
        <v>#REF!</v>
      </c>
      <c r="AV150" s="734" t="e">
        <f t="shared" si="315"/>
        <v>#REF!</v>
      </c>
      <c r="AW150" s="322" t="e">
        <f t="shared" si="315"/>
        <v>#REF!</v>
      </c>
      <c r="AX150" s="322" t="e">
        <f t="shared" si="315"/>
        <v>#REF!</v>
      </c>
      <c r="AY150" s="322" t="e">
        <f t="shared" si="315"/>
        <v>#REF!</v>
      </c>
      <c r="AZ150" s="734" t="e">
        <f t="shared" si="315"/>
        <v>#REF!</v>
      </c>
      <c r="BA150" s="322" t="e">
        <f t="shared" si="315"/>
        <v>#REF!</v>
      </c>
      <c r="BB150" s="322" t="e">
        <f t="shared" si="315"/>
        <v>#REF!</v>
      </c>
      <c r="BC150" s="322" t="e">
        <f t="shared" si="315"/>
        <v>#REF!</v>
      </c>
      <c r="BD150" s="734" t="e">
        <f t="shared" si="315"/>
        <v>#REF!</v>
      </c>
      <c r="BE150" s="322"/>
      <c r="BF150" s="750"/>
      <c r="BG150" s="322"/>
      <c r="BH150" s="322"/>
      <c r="BI150" s="322"/>
      <c r="BJ150" s="322"/>
      <c r="BK150" s="322"/>
      <c r="BL150" s="322"/>
      <c r="BM150" s="734"/>
      <c r="BN150" s="750"/>
      <c r="BO150" s="2716" t="e">
        <f>SUM(AG150:AJ150)</f>
        <v>#REF!</v>
      </c>
      <c r="BP150" s="322" t="e">
        <f>SUM(AK150:AN150)</f>
        <v>#REF!</v>
      </c>
      <c r="BQ150" s="322" t="e">
        <f>SUM(AO150:AR150)</f>
        <v>#REF!</v>
      </c>
      <c r="BR150" s="322" t="e">
        <f>SUM(AS150:AV150)</f>
        <v>#REF!</v>
      </c>
      <c r="BS150" s="322" t="e">
        <f>SUM(AW150:AZ150)</f>
        <v>#REF!</v>
      </c>
      <c r="BT150" s="322" t="e">
        <f>SUM(BA150:BD150)</f>
        <v>#REF!</v>
      </c>
      <c r="BU150" s="322" t="e">
        <f>BU109-BU157</f>
        <v>#REF!</v>
      </c>
      <c r="BV150" s="322" t="e">
        <f>BV109-BV157</f>
        <v>#REF!</v>
      </c>
      <c r="BW150" s="322" t="e">
        <f>BW109-BW157</f>
        <v>#REF!</v>
      </c>
      <c r="BX150" s="322" t="e">
        <f>BX109-BX157</f>
        <v>#REF!</v>
      </c>
      <c r="BY150" s="734" t="e">
        <f>BY109-BY157</f>
        <v>#REF!</v>
      </c>
      <c r="BZ150" s="322"/>
      <c r="CA150" s="2715"/>
      <c r="CB150" s="2717"/>
      <c r="CC150" s="2717"/>
      <c r="CD150" s="2717"/>
      <c r="CE150" s="2717"/>
      <c r="CF150" s="2717"/>
      <c r="CG150" s="2717"/>
    </row>
    <row r="151" spans="1:85" s="2718" customFormat="1" ht="11.25" hidden="1" customHeight="1" outlineLevel="1">
      <c r="A151" s="2715"/>
      <c r="B151" s="2715"/>
      <c r="C151" s="2715"/>
      <c r="D151" s="2715"/>
      <c r="E151" s="2715"/>
      <c r="F151" s="2715"/>
      <c r="G151" s="2715"/>
      <c r="H151" s="2715"/>
      <c r="I151" s="2783" t="s">
        <v>377</v>
      </c>
      <c r="J151" s="2700"/>
      <c r="K151" s="322"/>
      <c r="L151" s="322"/>
      <c r="M151" s="322"/>
      <c r="N151" s="322"/>
      <c r="O151" s="322"/>
      <c r="P151" s="322"/>
      <c r="Q151" s="322"/>
      <c r="R151" s="322"/>
      <c r="S151" s="322"/>
      <c r="T151" s="322"/>
      <c r="U151" s="750"/>
      <c r="V151" s="322"/>
      <c r="W151" s="322"/>
      <c r="X151" s="734"/>
      <c r="Y151" s="322"/>
      <c r="Z151" s="322"/>
      <c r="AA151" s="322"/>
      <c r="AB151" s="322"/>
      <c r="AC151" s="750"/>
      <c r="AD151" s="322"/>
      <c r="AE151" s="322"/>
      <c r="AF151" s="461">
        <f t="shared" ref="AF151:AN151" si="317">AF150-AE150</f>
        <v>7.8999999999999737E-2</v>
      </c>
      <c r="AG151" s="439" t="e">
        <f t="shared" si="317"/>
        <v>#REF!</v>
      </c>
      <c r="AH151" s="439" t="e">
        <f t="shared" si="317"/>
        <v>#REF!</v>
      </c>
      <c r="AI151" s="439" t="e">
        <f t="shared" si="317"/>
        <v>#REF!</v>
      </c>
      <c r="AJ151" s="439" t="e">
        <f t="shared" si="317"/>
        <v>#REF!</v>
      </c>
      <c r="AK151" s="2719" t="e">
        <f t="shared" si="317"/>
        <v>#REF!</v>
      </c>
      <c r="AL151" s="439" t="e">
        <f t="shared" si="317"/>
        <v>#REF!</v>
      </c>
      <c r="AM151" s="439" t="e">
        <f t="shared" si="317"/>
        <v>#REF!</v>
      </c>
      <c r="AN151" s="461" t="e">
        <f t="shared" si="317"/>
        <v>#REF!</v>
      </c>
      <c r="AO151" s="439">
        <v>0.56499999999999861</v>
      </c>
      <c r="AP151" s="439">
        <v>1</v>
      </c>
      <c r="AQ151" s="439">
        <v>1</v>
      </c>
      <c r="AR151" s="461" t="e">
        <f t="shared" ref="AR151" si="318">AR150-AQ150</f>
        <v>#REF!</v>
      </c>
      <c r="AS151" s="439">
        <v>9.9999999999999645E-2</v>
      </c>
      <c r="AT151" s="439">
        <v>9.9999999999999645E-2</v>
      </c>
      <c r="AU151" s="439">
        <v>9.9999999999999645E-2</v>
      </c>
      <c r="AV151" s="461">
        <v>9.9999999999999645E-2</v>
      </c>
      <c r="AW151" s="439">
        <v>9.9999999999999645E-2</v>
      </c>
      <c r="AX151" s="439">
        <v>9.9999999999999645E-2</v>
      </c>
      <c r="AY151" s="439">
        <v>9.9999999999999645E-2</v>
      </c>
      <c r="AZ151" s="461">
        <v>9.9999999999999645E-2</v>
      </c>
      <c r="BA151" s="439">
        <v>9.9999999999999645E-2</v>
      </c>
      <c r="BB151" s="439">
        <v>9.9999999999999645E-2</v>
      </c>
      <c r="BC151" s="439">
        <v>9.9999999999999645E-2</v>
      </c>
      <c r="BD151" s="461">
        <v>9.9999999999999645E-2</v>
      </c>
      <c r="BE151" s="322"/>
      <c r="BF151" s="750"/>
      <c r="BG151" s="322"/>
      <c r="BH151" s="322"/>
      <c r="BI151" s="322"/>
      <c r="BJ151" s="322"/>
      <c r="BK151" s="322"/>
      <c r="BL151" s="322"/>
      <c r="BM151" s="734"/>
      <c r="BN151" s="750"/>
      <c r="BO151" s="584" t="s">
        <v>515</v>
      </c>
      <c r="BP151" s="584" t="s">
        <v>515</v>
      </c>
      <c r="BQ151" s="584" t="s">
        <v>515</v>
      </c>
      <c r="BR151" s="584" t="s">
        <v>515</v>
      </c>
      <c r="BS151" s="584" t="s">
        <v>515</v>
      </c>
      <c r="BT151" s="584" t="s">
        <v>515</v>
      </c>
      <c r="BU151" s="584" t="s">
        <v>515</v>
      </c>
      <c r="BV151" s="584" t="s">
        <v>515</v>
      </c>
      <c r="BW151" s="584" t="s">
        <v>515</v>
      </c>
      <c r="BX151" s="584" t="s">
        <v>515</v>
      </c>
      <c r="BY151" s="616" t="s">
        <v>515</v>
      </c>
      <c r="BZ151" s="322"/>
      <c r="CA151" s="2715"/>
      <c r="CB151" s="2717"/>
      <c r="CC151" s="2717"/>
      <c r="CD151" s="2717"/>
      <c r="CE151" s="2717"/>
      <c r="CF151" s="2717"/>
      <c r="CG151" s="2717"/>
    </row>
    <row r="152" spans="1:85" s="2718" customFormat="1" ht="11.25" hidden="1" customHeight="1" outlineLevel="1">
      <c r="A152" s="2715"/>
      <c r="B152" s="2715"/>
      <c r="C152" s="2715"/>
      <c r="D152" s="2715"/>
      <c r="E152" s="2715"/>
      <c r="F152" s="2715"/>
      <c r="G152" s="2715"/>
      <c r="H152" s="2715"/>
      <c r="I152" s="2784" t="s">
        <v>380</v>
      </c>
      <c r="J152" s="2700"/>
      <c r="K152" s="322"/>
      <c r="L152" s="322"/>
      <c r="M152" s="322"/>
      <c r="N152" s="322"/>
      <c r="O152" s="322"/>
      <c r="P152" s="322"/>
      <c r="Q152" s="322"/>
      <c r="R152" s="322"/>
      <c r="S152" s="322"/>
      <c r="T152" s="322"/>
      <c r="U152" s="750"/>
      <c r="V152" s="322"/>
      <c r="W152" s="322"/>
      <c r="X152" s="734"/>
      <c r="Y152" s="322"/>
      <c r="Z152" s="322"/>
      <c r="AA152" s="322"/>
      <c r="AB152" s="322"/>
      <c r="AC152" s="750"/>
      <c r="AD152" s="322"/>
      <c r="AE152" s="322"/>
      <c r="AF152" s="734"/>
      <c r="AG152" s="322"/>
      <c r="AH152" s="322"/>
      <c r="AI152" s="322"/>
      <c r="AJ152" s="322"/>
      <c r="AK152" s="2705"/>
      <c r="AL152" s="439" t="e">
        <f>AL150-AH150</f>
        <v>#REF!</v>
      </c>
      <c r="AM152" s="439" t="e">
        <f>AM150-AI150</f>
        <v>#REF!</v>
      </c>
      <c r="AN152" s="461" t="e">
        <f>AN150-AJ150</f>
        <v>#REF!</v>
      </c>
      <c r="AO152" s="439">
        <v>0.26599999999999913</v>
      </c>
      <c r="AP152" s="439">
        <v>1.746999999999999</v>
      </c>
      <c r="AQ152" s="439">
        <v>1.746999999999999</v>
      </c>
      <c r="AR152" s="461" t="e">
        <f>AR150-AN150</f>
        <v>#REF!</v>
      </c>
      <c r="AS152" s="439">
        <v>3.05</v>
      </c>
      <c r="AT152" s="439">
        <v>2.1499999999999995</v>
      </c>
      <c r="AU152" s="439">
        <v>0.99999999999999911</v>
      </c>
      <c r="AV152" s="461">
        <v>0.39999999999999858</v>
      </c>
      <c r="AW152" s="439">
        <v>0.39999999999999858</v>
      </c>
      <c r="AX152" s="439">
        <v>0.39999999999999858</v>
      </c>
      <c r="AY152" s="439">
        <v>0.39999999999999858</v>
      </c>
      <c r="AZ152" s="461">
        <v>0.39999999999999858</v>
      </c>
      <c r="BA152" s="439">
        <v>0.39999999999999858</v>
      </c>
      <c r="BB152" s="439">
        <v>0.39999999999999858</v>
      </c>
      <c r="BC152" s="439">
        <v>0.39999999999999858</v>
      </c>
      <c r="BD152" s="461">
        <v>0.39999999999999858</v>
      </c>
      <c r="BE152" s="322"/>
      <c r="BF152" s="750"/>
      <c r="BG152" s="322"/>
      <c r="BH152" s="322"/>
      <c r="BI152" s="322"/>
      <c r="BJ152" s="322"/>
      <c r="BK152" s="322"/>
      <c r="BL152" s="322"/>
      <c r="BM152" s="734"/>
      <c r="BN152" s="750"/>
      <c r="BO152" s="322"/>
      <c r="BP152" s="2720" t="e">
        <f>BP150-BO150</f>
        <v>#REF!</v>
      </c>
      <c r="BQ152" s="2720" t="e">
        <f t="shared" ref="BQ152:BY152" si="319">BQ150-BP150</f>
        <v>#REF!</v>
      </c>
      <c r="BR152" s="2720" t="e">
        <f t="shared" si="319"/>
        <v>#REF!</v>
      </c>
      <c r="BS152" s="2720" t="e">
        <f t="shared" si="319"/>
        <v>#REF!</v>
      </c>
      <c r="BT152" s="2720" t="e">
        <f t="shared" si="319"/>
        <v>#REF!</v>
      </c>
      <c r="BU152" s="2720" t="e">
        <f t="shared" si="319"/>
        <v>#REF!</v>
      </c>
      <c r="BV152" s="2720" t="e">
        <f t="shared" si="319"/>
        <v>#REF!</v>
      </c>
      <c r="BW152" s="2720" t="e">
        <f t="shared" si="319"/>
        <v>#REF!</v>
      </c>
      <c r="BX152" s="2720" t="e">
        <f t="shared" si="319"/>
        <v>#REF!</v>
      </c>
      <c r="BY152" s="740" t="e">
        <f t="shared" si="319"/>
        <v>#REF!</v>
      </c>
      <c r="BZ152" s="322"/>
      <c r="CA152" s="2715"/>
      <c r="CB152" s="2717"/>
      <c r="CC152" s="2717"/>
      <c r="CD152" s="2717"/>
      <c r="CE152" s="2717"/>
      <c r="CF152" s="2717"/>
      <c r="CG152" s="2717"/>
    </row>
    <row r="153" spans="1:85" s="2718" customFormat="1" ht="11.25" hidden="1" customHeight="1" outlineLevel="1">
      <c r="A153" s="2715"/>
      <c r="B153" s="2715"/>
      <c r="C153" s="2715"/>
      <c r="D153" s="2715"/>
      <c r="E153" s="2715"/>
      <c r="F153" s="2715"/>
      <c r="G153" s="2715"/>
      <c r="H153" s="2715"/>
      <c r="I153" s="2783" t="s">
        <v>132</v>
      </c>
      <c r="J153" s="2700"/>
      <c r="K153" s="322"/>
      <c r="L153" s="322"/>
      <c r="M153" s="322"/>
      <c r="N153" s="322"/>
      <c r="O153" s="322"/>
      <c r="P153" s="322"/>
      <c r="Q153" s="322"/>
      <c r="R153" s="322"/>
      <c r="S153" s="322"/>
      <c r="T153" s="322"/>
      <c r="U153" s="750"/>
      <c r="V153" s="322"/>
      <c r="W153" s="322"/>
      <c r="X153" s="734"/>
      <c r="Y153" s="322"/>
      <c r="Z153" s="322"/>
      <c r="AA153" s="322"/>
      <c r="AB153" s="322"/>
      <c r="AC153" s="750"/>
      <c r="AD153" s="322"/>
      <c r="AE153" s="322"/>
      <c r="AF153" s="734"/>
      <c r="AG153" s="322"/>
      <c r="AH153" s="322"/>
      <c r="AI153" s="322"/>
      <c r="AJ153" s="322"/>
      <c r="AK153" s="2713" t="e">
        <f t="shared" ref="AK153:AR153" si="320">AK150/AG150-1</f>
        <v>#REF!</v>
      </c>
      <c r="AL153" s="2712" t="e">
        <f t="shared" si="320"/>
        <v>#REF!</v>
      </c>
      <c r="AM153" s="2712" t="e">
        <f t="shared" si="320"/>
        <v>#REF!</v>
      </c>
      <c r="AN153" s="2712" t="e">
        <f t="shared" si="320"/>
        <v>#REF!</v>
      </c>
      <c r="AO153" s="2794"/>
      <c r="AP153" s="2712" t="e">
        <f t="shared" si="320"/>
        <v>#REF!</v>
      </c>
      <c r="AQ153" s="2712" t="e">
        <f t="shared" si="320"/>
        <v>#REF!</v>
      </c>
      <c r="AR153" s="2712" t="e">
        <f t="shared" si="320"/>
        <v>#REF!</v>
      </c>
      <c r="AS153" s="2793">
        <v>11.509433962264165</v>
      </c>
      <c r="AT153" s="2793">
        <v>1.6996047430830039</v>
      </c>
      <c r="AU153" s="2793">
        <v>0.3976143141153079</v>
      </c>
      <c r="AV153" s="2792">
        <v>0.12441679626749558</v>
      </c>
      <c r="AW153" s="2793">
        <v>0.12066365007541435</v>
      </c>
      <c r="AX153" s="2793">
        <v>0.11713030746705666</v>
      </c>
      <c r="AY153" s="2793">
        <v>0.11379800853485023</v>
      </c>
      <c r="AZ153" s="2792">
        <v>0.11065006915629283</v>
      </c>
      <c r="BA153" s="2793">
        <v>0.10767160161507361</v>
      </c>
      <c r="BB153" s="2793">
        <v>0.10484927916120546</v>
      </c>
      <c r="BC153" s="2793">
        <v>0.10217113665389488</v>
      </c>
      <c r="BD153" s="2792">
        <v>9.9626400996263742E-2</v>
      </c>
      <c r="BE153" s="322"/>
      <c r="BF153" s="750"/>
      <c r="BG153" s="322"/>
      <c r="BH153" s="322"/>
      <c r="BI153" s="322"/>
      <c r="BJ153" s="322"/>
      <c r="BK153" s="322"/>
      <c r="BL153" s="322"/>
      <c r="BM153" s="734"/>
      <c r="BN153" s="750"/>
      <c r="BO153" s="322"/>
      <c r="BP153" s="2722" t="e">
        <f t="shared" ref="BP153:BY153" si="321">BP150/BO150-1</f>
        <v>#REF!</v>
      </c>
      <c r="BQ153" s="2722" t="e">
        <f t="shared" si="321"/>
        <v>#REF!</v>
      </c>
      <c r="BR153" s="2722" t="e">
        <f t="shared" si="321"/>
        <v>#REF!</v>
      </c>
      <c r="BS153" s="2722" t="e">
        <f t="shared" si="321"/>
        <v>#REF!</v>
      </c>
      <c r="BT153" s="2722" t="e">
        <f t="shared" si="321"/>
        <v>#REF!</v>
      </c>
      <c r="BU153" s="2722" t="e">
        <f t="shared" si="321"/>
        <v>#REF!</v>
      </c>
      <c r="BV153" s="2722" t="e">
        <f t="shared" si="321"/>
        <v>#REF!</v>
      </c>
      <c r="BW153" s="2722" t="e">
        <f t="shared" si="321"/>
        <v>#REF!</v>
      </c>
      <c r="BX153" s="2722" t="e">
        <f t="shared" si="321"/>
        <v>#REF!</v>
      </c>
      <c r="BY153" s="2721" t="e">
        <f t="shared" si="321"/>
        <v>#REF!</v>
      </c>
      <c r="BZ153" s="322"/>
      <c r="CA153" s="2715"/>
      <c r="CB153" s="2717"/>
      <c r="CC153" s="2717"/>
      <c r="CD153" s="2717"/>
      <c r="CE153" s="2717"/>
      <c r="CF153" s="2717"/>
      <c r="CG153" s="2717"/>
    </row>
    <row r="154" spans="1:85" s="2718" customFormat="1" ht="11.25" hidden="1" customHeight="1" outlineLevel="1">
      <c r="A154" s="2715"/>
      <c r="B154" s="2715"/>
      <c r="C154" s="2715"/>
      <c r="D154" s="2715"/>
      <c r="E154" s="2715"/>
      <c r="F154" s="2715"/>
      <c r="G154" s="2715"/>
      <c r="H154" s="2715"/>
      <c r="I154" s="2783" t="s">
        <v>146</v>
      </c>
      <c r="J154" s="2700"/>
      <c r="K154" s="322"/>
      <c r="L154" s="322"/>
      <c r="M154" s="322"/>
      <c r="N154" s="322"/>
      <c r="O154" s="322"/>
      <c r="P154" s="322"/>
      <c r="Q154" s="322"/>
      <c r="R154" s="322"/>
      <c r="S154" s="322"/>
      <c r="T154" s="322"/>
      <c r="U154" s="750"/>
      <c r="V154" s="322"/>
      <c r="W154" s="322"/>
      <c r="X154" s="734"/>
      <c r="Y154" s="322"/>
      <c r="Z154" s="322"/>
      <c r="AA154" s="322"/>
      <c r="AB154" s="322"/>
      <c r="AC154" s="750"/>
      <c r="AD154" s="322"/>
      <c r="AE154" s="322"/>
      <c r="AF154" s="2723">
        <f t="shared" ref="AF154:AM154" si="322">+AF150/AE150-1</f>
        <v>5.9043348281016206E-2</v>
      </c>
      <c r="AG154" s="2724" t="e">
        <f t="shared" si="322"/>
        <v>#REF!</v>
      </c>
      <c r="AH154" s="2712" t="e">
        <f t="shared" si="322"/>
        <v>#REF!</v>
      </c>
      <c r="AI154" s="2712" t="e">
        <f t="shared" si="322"/>
        <v>#REF!</v>
      </c>
      <c r="AJ154" s="2712" t="e">
        <f t="shared" si="322"/>
        <v>#REF!</v>
      </c>
      <c r="AK154" s="2713" t="e">
        <f t="shared" si="322"/>
        <v>#REF!</v>
      </c>
      <c r="AL154" s="2712"/>
      <c r="AM154" s="2712" t="e">
        <f t="shared" si="322"/>
        <v>#REF!</v>
      </c>
      <c r="AN154" s="2714" t="e">
        <f t="shared" ref="AN154:BD154" si="323">+AN150/AM150-1</f>
        <v>#REF!</v>
      </c>
      <c r="AO154" s="2712" t="e">
        <f t="shared" si="323"/>
        <v>#REF!</v>
      </c>
      <c r="AP154" s="2712" t="e">
        <f t="shared" si="323"/>
        <v>#REF!</v>
      </c>
      <c r="AQ154" s="2712" t="e">
        <f t="shared" si="323"/>
        <v>#REF!</v>
      </c>
      <c r="AR154" s="2714" t="e">
        <f t="shared" si="323"/>
        <v>#REF!</v>
      </c>
      <c r="AS154" s="2712" t="e">
        <f t="shared" si="323"/>
        <v>#REF!</v>
      </c>
      <c r="AT154" s="2712" t="e">
        <f t="shared" si="323"/>
        <v>#REF!</v>
      </c>
      <c r="AU154" s="2712" t="e">
        <f t="shared" si="323"/>
        <v>#REF!</v>
      </c>
      <c r="AV154" s="2714" t="e">
        <f t="shared" si="323"/>
        <v>#REF!</v>
      </c>
      <c r="AW154" s="2712" t="e">
        <f t="shared" si="323"/>
        <v>#REF!</v>
      </c>
      <c r="AX154" s="2712" t="e">
        <f t="shared" si="323"/>
        <v>#REF!</v>
      </c>
      <c r="AY154" s="2712" t="e">
        <f t="shared" si="323"/>
        <v>#REF!</v>
      </c>
      <c r="AZ154" s="2714" t="e">
        <f t="shared" si="323"/>
        <v>#REF!</v>
      </c>
      <c r="BA154" s="2712" t="e">
        <f t="shared" si="323"/>
        <v>#REF!</v>
      </c>
      <c r="BB154" s="2712" t="e">
        <f t="shared" si="323"/>
        <v>#REF!</v>
      </c>
      <c r="BC154" s="2712" t="e">
        <f t="shared" si="323"/>
        <v>#REF!</v>
      </c>
      <c r="BD154" s="2714" t="e">
        <f t="shared" si="323"/>
        <v>#REF!</v>
      </c>
      <c r="BE154" s="322"/>
      <c r="BF154" s="750"/>
      <c r="BG154" s="322"/>
      <c r="BH154" s="322"/>
      <c r="BI154" s="322"/>
      <c r="BJ154" s="322"/>
      <c r="BK154" s="322"/>
      <c r="BL154" s="322"/>
      <c r="BM154" s="734"/>
      <c r="BN154" s="750"/>
      <c r="BO154" s="584" t="s">
        <v>515</v>
      </c>
      <c r="BP154" s="584" t="s">
        <v>515</v>
      </c>
      <c r="BQ154" s="584" t="s">
        <v>515</v>
      </c>
      <c r="BR154" s="584" t="s">
        <v>515</v>
      </c>
      <c r="BS154" s="584" t="s">
        <v>515</v>
      </c>
      <c r="BT154" s="584" t="s">
        <v>515</v>
      </c>
      <c r="BU154" s="584" t="s">
        <v>515</v>
      </c>
      <c r="BV154" s="584" t="s">
        <v>515</v>
      </c>
      <c r="BW154" s="584" t="s">
        <v>515</v>
      </c>
      <c r="BX154" s="584" t="s">
        <v>515</v>
      </c>
      <c r="BY154" s="616" t="s">
        <v>515</v>
      </c>
      <c r="BZ154" s="322"/>
      <c r="CA154" s="2715"/>
      <c r="CB154" s="2717"/>
      <c r="CC154" s="2717"/>
      <c r="CD154" s="2717"/>
      <c r="CE154" s="2717"/>
      <c r="CF154" s="2717"/>
      <c r="CG154" s="2717"/>
    </row>
    <row r="155" spans="1:85" s="2718" customFormat="1" ht="11.25" hidden="1" customHeight="1" outlineLevel="1">
      <c r="A155" s="2715"/>
      <c r="B155" s="2715"/>
      <c r="C155" s="2715"/>
      <c r="D155" s="2715"/>
      <c r="E155" s="2715"/>
      <c r="F155" s="2715"/>
      <c r="G155" s="2715"/>
      <c r="H155" s="2715"/>
      <c r="I155" s="2725"/>
      <c r="J155" s="2700"/>
      <c r="K155" s="322"/>
      <c r="L155" s="322"/>
      <c r="M155" s="322"/>
      <c r="N155" s="322"/>
      <c r="O155" s="322"/>
      <c r="P155" s="322"/>
      <c r="Q155" s="322"/>
      <c r="R155" s="322"/>
      <c r="S155" s="322"/>
      <c r="T155" s="322"/>
      <c r="U155" s="750"/>
      <c r="V155" s="322"/>
      <c r="W155" s="322"/>
      <c r="X155" s="734"/>
      <c r="Y155" s="322"/>
      <c r="Z155" s="322"/>
      <c r="AA155" s="322"/>
      <c r="AB155" s="322"/>
      <c r="AC155" s="750"/>
      <c r="AD155" s="322"/>
      <c r="AE155" s="322"/>
      <c r="AF155" s="734"/>
      <c r="AG155" s="322"/>
      <c r="AH155" s="322"/>
      <c r="AI155" s="322"/>
      <c r="AJ155" s="322"/>
      <c r="AK155" s="750"/>
      <c r="AL155" s="322"/>
      <c r="AM155" s="322"/>
      <c r="AN155" s="734"/>
      <c r="AO155" s="322"/>
      <c r="AP155" s="322"/>
      <c r="AQ155" s="322"/>
      <c r="AR155" s="734"/>
      <c r="AS155" s="322"/>
      <c r="AT155" s="322"/>
      <c r="AU155" s="322"/>
      <c r="AV155" s="734"/>
      <c r="AW155" s="322"/>
      <c r="AX155" s="322"/>
      <c r="AY155" s="322"/>
      <c r="AZ155" s="734"/>
      <c r="BA155" s="322"/>
      <c r="BB155" s="322"/>
      <c r="BC155" s="322"/>
      <c r="BD155" s="734"/>
      <c r="BE155" s="322"/>
      <c r="BF155" s="750"/>
      <c r="BG155" s="322"/>
      <c r="BH155" s="322"/>
      <c r="BI155" s="322"/>
      <c r="BJ155" s="322"/>
      <c r="BK155" s="322"/>
      <c r="BL155" s="322"/>
      <c r="BM155" s="734"/>
      <c r="BN155" s="750"/>
      <c r="BO155" s="322"/>
      <c r="BP155" s="322"/>
      <c r="BQ155" s="322"/>
      <c r="BR155" s="322"/>
      <c r="BS155" s="322"/>
      <c r="BT155" s="322"/>
      <c r="BU155" s="322"/>
      <c r="BV155" s="322"/>
      <c r="BW155" s="322"/>
      <c r="BX155" s="322"/>
      <c r="BY155" s="734"/>
      <c r="BZ155" s="322"/>
      <c r="CA155" s="2715"/>
      <c r="CB155" s="2717"/>
      <c r="CC155" s="2717"/>
      <c r="CD155" s="2717"/>
      <c r="CE155" s="2717"/>
      <c r="CF155" s="2717"/>
      <c r="CG155" s="2717"/>
    </row>
    <row r="156" spans="1:85" s="2718" customFormat="1" ht="11.25" hidden="1" customHeight="1" outlineLevel="1">
      <c r="A156" s="2715"/>
      <c r="B156" s="2715"/>
      <c r="C156" s="2715"/>
      <c r="D156" s="2715"/>
      <c r="E156" s="2715"/>
      <c r="F156" s="2715"/>
      <c r="G156" s="2715"/>
      <c r="H156" s="2715"/>
      <c r="I156" s="2725"/>
      <c r="J156" s="2700"/>
      <c r="K156" s="322"/>
      <c r="L156" s="322"/>
      <c r="M156" s="322"/>
      <c r="N156" s="322"/>
      <c r="O156" s="322"/>
      <c r="P156" s="322"/>
      <c r="Q156" s="322"/>
      <c r="R156" s="322"/>
      <c r="S156" s="322"/>
      <c r="T156" s="322"/>
      <c r="U156" s="750"/>
      <c r="V156" s="322"/>
      <c r="W156" s="322"/>
      <c r="X156" s="734"/>
      <c r="Y156" s="322"/>
      <c r="Z156" s="322"/>
      <c r="AA156" s="322"/>
      <c r="AB156" s="322"/>
      <c r="AC156" s="750"/>
      <c r="AD156" s="322"/>
      <c r="AE156" s="322"/>
      <c r="AF156" s="734"/>
      <c r="AG156" s="322" t="e">
        <f>AG157-AG150</f>
        <v>#REF!</v>
      </c>
      <c r="AH156" s="322" t="e">
        <f>AH157-AH150</f>
        <v>#REF!</v>
      </c>
      <c r="AI156" s="322" t="e">
        <f>AI157-AI150</f>
        <v>#REF!</v>
      </c>
      <c r="AJ156" s="322" t="e">
        <f>AJ157-AJ150</f>
        <v>#REF!</v>
      </c>
      <c r="AK156" s="750"/>
      <c r="AL156" s="322"/>
      <c r="AM156" s="322"/>
      <c r="AN156" s="734"/>
      <c r="AO156" s="322"/>
      <c r="AP156" s="322"/>
      <c r="AQ156" s="322"/>
      <c r="AR156" s="734"/>
      <c r="AS156" s="322"/>
      <c r="AT156" s="322"/>
      <c r="AU156" s="322"/>
      <c r="AV156" s="734"/>
      <c r="AW156" s="322"/>
      <c r="AX156" s="322"/>
      <c r="AY156" s="322"/>
      <c r="AZ156" s="734"/>
      <c r="BA156" s="322"/>
      <c r="BB156" s="322"/>
      <c r="BC156" s="322"/>
      <c r="BD156" s="734"/>
      <c r="BE156" s="322"/>
      <c r="BF156" s="750"/>
      <c r="BG156" s="322"/>
      <c r="BH156" s="322"/>
      <c r="BI156" s="322"/>
      <c r="BJ156" s="322"/>
      <c r="BK156" s="322"/>
      <c r="BL156" s="322"/>
      <c r="BM156" s="734"/>
      <c r="BN156" s="750"/>
      <c r="BO156" s="322"/>
      <c r="BP156" s="322"/>
      <c r="BQ156" s="322"/>
      <c r="BR156" s="322"/>
      <c r="BS156" s="322"/>
      <c r="BT156" s="322"/>
      <c r="BU156" s="322"/>
      <c r="BV156" s="322"/>
      <c r="BW156" s="322"/>
      <c r="BX156" s="322"/>
      <c r="BY156" s="734"/>
      <c r="BZ156" s="322"/>
      <c r="CA156" s="2715"/>
      <c r="CB156" s="2717"/>
      <c r="CC156" s="2717"/>
      <c r="CD156" s="2717"/>
      <c r="CE156" s="2717"/>
      <c r="CF156" s="2717"/>
      <c r="CG156" s="2717"/>
    </row>
    <row r="157" spans="1:85" s="2718" customFormat="1" ht="11.25" hidden="1" customHeight="1" outlineLevel="1">
      <c r="A157" s="2715"/>
      <c r="B157" s="2715"/>
      <c r="C157" s="2715"/>
      <c r="D157" s="2715"/>
      <c r="E157" s="2715"/>
      <c r="F157" s="2715"/>
      <c r="G157" s="2715"/>
      <c r="H157" s="2715"/>
      <c r="I157" s="2726" t="s">
        <v>632</v>
      </c>
      <c r="J157" s="2700"/>
      <c r="K157" s="322"/>
      <c r="L157" s="322"/>
      <c r="M157" s="322"/>
      <c r="N157" s="322"/>
      <c r="O157" s="322"/>
      <c r="P157" s="322"/>
      <c r="Q157" s="322"/>
      <c r="R157" s="322"/>
      <c r="S157" s="322"/>
      <c r="T157" s="322"/>
      <c r="U157" s="750"/>
      <c r="V157" s="322"/>
      <c r="W157" s="322"/>
      <c r="X157" s="734"/>
      <c r="Y157" s="322"/>
      <c r="Z157" s="322"/>
      <c r="AA157" s="322"/>
      <c r="AB157" s="322"/>
      <c r="AC157" s="750"/>
      <c r="AD157" s="322"/>
      <c r="AE157" s="2727">
        <v>6.6669999999999998</v>
      </c>
      <c r="AF157" s="2728">
        <v>6.6910000000000025</v>
      </c>
      <c r="AG157" s="2727">
        <v>6.7050000000000001</v>
      </c>
      <c r="AH157" s="2729">
        <v>6.4240000000000004</v>
      </c>
      <c r="AI157" s="2729">
        <v>6.6760000000000002</v>
      </c>
      <c r="AJ157" s="2729">
        <v>6.804000000000002</v>
      </c>
      <c r="AK157" s="2730">
        <v>5.9980000000000002</v>
      </c>
      <c r="AL157" s="2727">
        <v>6.0309999999999997</v>
      </c>
      <c r="AM157" s="2727">
        <v>6.8</v>
      </c>
      <c r="AN157" s="2728">
        <v>7.1</v>
      </c>
      <c r="AO157" s="2730">
        <v>2.2000000000000002</v>
      </c>
      <c r="AP157" s="322">
        <f t="shared" ref="AP157:BD157" si="324">AO157+AP158</f>
        <v>2.2000000000000002</v>
      </c>
      <c r="AQ157" s="322">
        <f t="shared" si="324"/>
        <v>2.2000000000000002</v>
      </c>
      <c r="AR157" s="2728">
        <v>0</v>
      </c>
      <c r="AS157" s="322">
        <f t="shared" si="324"/>
        <v>0</v>
      </c>
      <c r="AT157" s="322">
        <f t="shared" si="324"/>
        <v>0</v>
      </c>
      <c r="AU157" s="322">
        <f t="shared" si="324"/>
        <v>0</v>
      </c>
      <c r="AV157" s="734">
        <f t="shared" si="324"/>
        <v>0</v>
      </c>
      <c r="AW157" s="322">
        <f t="shared" si="324"/>
        <v>0</v>
      </c>
      <c r="AX157" s="322">
        <f t="shared" si="324"/>
        <v>0</v>
      </c>
      <c r="AY157" s="322">
        <f t="shared" si="324"/>
        <v>0</v>
      </c>
      <c r="AZ157" s="734">
        <f t="shared" si="324"/>
        <v>0</v>
      </c>
      <c r="BA157" s="322">
        <f t="shared" si="324"/>
        <v>0</v>
      </c>
      <c r="BB157" s="322">
        <f t="shared" si="324"/>
        <v>0</v>
      </c>
      <c r="BC157" s="322">
        <f t="shared" si="324"/>
        <v>0</v>
      </c>
      <c r="BD157" s="734">
        <f t="shared" si="324"/>
        <v>0</v>
      </c>
      <c r="BE157" s="322"/>
      <c r="BF157" s="750"/>
      <c r="BG157" s="322"/>
      <c r="BH157" s="322"/>
      <c r="BI157" s="322"/>
      <c r="BJ157" s="322"/>
      <c r="BK157" s="322"/>
      <c r="BL157" s="322"/>
      <c r="BM157" s="734"/>
      <c r="BN157" s="750"/>
      <c r="BO157" s="2716">
        <f>SUM(AG157:AJ157)</f>
        <v>26.609000000000002</v>
      </c>
      <c r="BP157" s="322">
        <f>SUM(AK157:AN157)</f>
        <v>25.929000000000002</v>
      </c>
      <c r="BQ157" s="322">
        <f>SUM(AO157:AR157)</f>
        <v>6.6000000000000005</v>
      </c>
      <c r="BR157" s="322">
        <f>SUM(AS157:AV157)</f>
        <v>0</v>
      </c>
      <c r="BS157" s="322">
        <f>SUM(AW157:AZ157)</f>
        <v>0</v>
      </c>
      <c r="BT157" s="322">
        <f>SUM(BA157:BD157)</f>
        <v>0</v>
      </c>
      <c r="BU157" s="322">
        <f>BT157+BU159</f>
        <v>0</v>
      </c>
      <c r="BV157" s="322">
        <f>BU157+BV159</f>
        <v>0</v>
      </c>
      <c r="BW157" s="322">
        <f>BV157+BW159</f>
        <v>0</v>
      </c>
      <c r="BX157" s="322">
        <f>BW157+BX159</f>
        <v>0</v>
      </c>
      <c r="BY157" s="734">
        <f>BX157+BY159</f>
        <v>0</v>
      </c>
      <c r="BZ157" s="322"/>
      <c r="CA157" s="2715"/>
      <c r="CB157" s="2717"/>
      <c r="CC157" s="2717"/>
      <c r="CD157" s="2717"/>
      <c r="CE157" s="2717"/>
      <c r="CF157" s="2717"/>
      <c r="CG157" s="2717"/>
    </row>
    <row r="158" spans="1:85" s="2732" customFormat="1" ht="11.25" hidden="1" customHeight="1" outlineLevel="1">
      <c r="A158" s="2720"/>
      <c r="B158" s="2720"/>
      <c r="C158" s="2720"/>
      <c r="D158" s="2720"/>
      <c r="E158" s="2720"/>
      <c r="F158" s="2720"/>
      <c r="G158" s="2720"/>
      <c r="H158" s="2720"/>
      <c r="I158" s="2725" t="s">
        <v>377</v>
      </c>
      <c r="J158" s="2711"/>
      <c r="K158" s="439"/>
      <c r="L158" s="439"/>
      <c r="M158" s="439"/>
      <c r="N158" s="439"/>
      <c r="O158" s="439"/>
      <c r="P158" s="439"/>
      <c r="Q158" s="439"/>
      <c r="R158" s="439"/>
      <c r="S158" s="439"/>
      <c r="T158" s="439"/>
      <c r="U158" s="501"/>
      <c r="V158" s="439"/>
      <c r="W158" s="439"/>
      <c r="X158" s="461"/>
      <c r="Y158" s="439"/>
      <c r="Z158" s="439"/>
      <c r="AA158" s="439"/>
      <c r="AB158" s="439"/>
      <c r="AC158" s="501"/>
      <c r="AD158" s="439"/>
      <c r="AE158" s="439"/>
      <c r="AF158" s="461">
        <f t="shared" ref="AF158:AK158" si="325">AF157-AE157</f>
        <v>2.4000000000002686E-2</v>
      </c>
      <c r="AG158" s="439">
        <f t="shared" si="325"/>
        <v>1.399999999999757E-2</v>
      </c>
      <c r="AH158" s="439">
        <f t="shared" si="325"/>
        <v>-0.28099999999999969</v>
      </c>
      <c r="AI158" s="439">
        <f t="shared" si="325"/>
        <v>0.25199999999999978</v>
      </c>
      <c r="AJ158" s="439">
        <f t="shared" si="325"/>
        <v>0.12800000000000189</v>
      </c>
      <c r="AK158" s="501">
        <f t="shared" si="325"/>
        <v>-0.80600000000000183</v>
      </c>
      <c r="AL158" s="439">
        <f>AL157-AK157</f>
        <v>3.2999999999999474E-2</v>
      </c>
      <c r="AM158" s="439">
        <f>AM157-AL157</f>
        <v>0.76900000000000013</v>
      </c>
      <c r="AN158" s="461">
        <f>AN157-AM157</f>
        <v>0.29999999999999982</v>
      </c>
      <c r="AO158" s="501">
        <f>AO157-AN157</f>
        <v>-4.8999999999999995</v>
      </c>
      <c r="AP158" s="378">
        <v>0</v>
      </c>
      <c r="AQ158" s="378">
        <v>0</v>
      </c>
      <c r="AR158" s="461">
        <f>AR157-AQ157</f>
        <v>-2.2000000000000002</v>
      </c>
      <c r="AS158" s="378">
        <v>0</v>
      </c>
      <c r="AT158" s="378">
        <v>0</v>
      </c>
      <c r="AU158" s="378">
        <v>0</v>
      </c>
      <c r="AV158" s="458">
        <v>0</v>
      </c>
      <c r="AW158" s="378">
        <v>0</v>
      </c>
      <c r="AX158" s="378">
        <v>0</v>
      </c>
      <c r="AY158" s="378">
        <v>0</v>
      </c>
      <c r="AZ158" s="458">
        <v>0</v>
      </c>
      <c r="BA158" s="378">
        <v>0</v>
      </c>
      <c r="BB158" s="378">
        <v>0</v>
      </c>
      <c r="BC158" s="378">
        <v>0</v>
      </c>
      <c r="BD158" s="458">
        <v>0</v>
      </c>
      <c r="BE158" s="439"/>
      <c r="BF158" s="501"/>
      <c r="BG158" s="439"/>
      <c r="BH158" s="439"/>
      <c r="BI158" s="439"/>
      <c r="BJ158" s="439"/>
      <c r="BK158" s="439"/>
      <c r="BL158" s="439"/>
      <c r="BM158" s="461"/>
      <c r="BN158" s="501"/>
      <c r="BO158" s="584" t="s">
        <v>515</v>
      </c>
      <c r="BP158" s="584" t="s">
        <v>515</v>
      </c>
      <c r="BQ158" s="584" t="s">
        <v>515</v>
      </c>
      <c r="BR158" s="584" t="s">
        <v>515</v>
      </c>
      <c r="BS158" s="584" t="s">
        <v>515</v>
      </c>
      <c r="BT158" s="584" t="s">
        <v>515</v>
      </c>
      <c r="BU158" s="584" t="s">
        <v>515</v>
      </c>
      <c r="BV158" s="584" t="s">
        <v>515</v>
      </c>
      <c r="BW158" s="584" t="s">
        <v>515</v>
      </c>
      <c r="BX158" s="584" t="s">
        <v>515</v>
      </c>
      <c r="BY158" s="616" t="s">
        <v>515</v>
      </c>
      <c r="BZ158" s="439"/>
      <c r="CA158" s="2720"/>
      <c r="CB158" s="2731"/>
      <c r="CC158" s="2731"/>
      <c r="CD158" s="2731"/>
      <c r="CE158" s="2731"/>
      <c r="CF158" s="2731"/>
      <c r="CG158" s="2731"/>
    </row>
    <row r="159" spans="1:85" s="2732" customFormat="1" ht="11.25" hidden="1" customHeight="1" outlineLevel="1">
      <c r="A159" s="2720"/>
      <c r="B159" s="2720"/>
      <c r="C159" s="2720"/>
      <c r="D159" s="2720"/>
      <c r="E159" s="2720"/>
      <c r="F159" s="2720"/>
      <c r="G159" s="2720"/>
      <c r="H159" s="2720"/>
      <c r="I159" s="2733" t="s">
        <v>380</v>
      </c>
      <c r="J159" s="2711"/>
      <c r="K159" s="439"/>
      <c r="L159" s="439"/>
      <c r="M159" s="439"/>
      <c r="N159" s="439"/>
      <c r="O159" s="439"/>
      <c r="P159" s="439"/>
      <c r="Q159" s="439"/>
      <c r="R159" s="439"/>
      <c r="S159" s="439"/>
      <c r="T159" s="439"/>
      <c r="U159" s="501"/>
      <c r="V159" s="439"/>
      <c r="W159" s="439"/>
      <c r="X159" s="461"/>
      <c r="Y159" s="439"/>
      <c r="Z159" s="439"/>
      <c r="AA159" s="439"/>
      <c r="AB159" s="439"/>
      <c r="AC159" s="501"/>
      <c r="AD159" s="439"/>
      <c r="AE159" s="439"/>
      <c r="AF159" s="461"/>
      <c r="AG159" s="439"/>
      <c r="AH159" s="439"/>
      <c r="AI159" s="439">
        <f t="shared" ref="AI159:AO159" si="326">AI157-AE157</f>
        <v>9.0000000000003411E-3</v>
      </c>
      <c r="AJ159" s="439">
        <f t="shared" si="326"/>
        <v>0.11299999999999955</v>
      </c>
      <c r="AK159" s="501">
        <f t="shared" si="326"/>
        <v>-0.70699999999999985</v>
      </c>
      <c r="AL159" s="439">
        <f t="shared" si="326"/>
        <v>-0.39300000000000068</v>
      </c>
      <c r="AM159" s="439">
        <f t="shared" si="326"/>
        <v>0.12399999999999967</v>
      </c>
      <c r="AN159" s="461">
        <f t="shared" si="326"/>
        <v>0.2959999999999976</v>
      </c>
      <c r="AO159" s="501">
        <f t="shared" si="326"/>
        <v>-3.798</v>
      </c>
      <c r="AP159" s="439">
        <f t="shared" ref="AP159:BD159" si="327">AP157-AL157</f>
        <v>-3.8309999999999995</v>
      </c>
      <c r="AQ159" s="439">
        <f t="shared" si="327"/>
        <v>-4.5999999999999996</v>
      </c>
      <c r="AR159" s="461">
        <f t="shared" si="327"/>
        <v>-7.1</v>
      </c>
      <c r="AS159" s="439">
        <f t="shared" si="327"/>
        <v>-2.2000000000000002</v>
      </c>
      <c r="AT159" s="439">
        <f t="shared" si="327"/>
        <v>-2.2000000000000002</v>
      </c>
      <c r="AU159" s="439">
        <f t="shared" si="327"/>
        <v>-2.2000000000000002</v>
      </c>
      <c r="AV159" s="461">
        <f t="shared" si="327"/>
        <v>0</v>
      </c>
      <c r="AW159" s="439">
        <f t="shared" si="327"/>
        <v>0</v>
      </c>
      <c r="AX159" s="439">
        <f t="shared" si="327"/>
        <v>0</v>
      </c>
      <c r="AY159" s="439">
        <f t="shared" si="327"/>
        <v>0</v>
      </c>
      <c r="AZ159" s="461">
        <f t="shared" si="327"/>
        <v>0</v>
      </c>
      <c r="BA159" s="439">
        <f t="shared" si="327"/>
        <v>0</v>
      </c>
      <c r="BB159" s="439">
        <f t="shared" si="327"/>
        <v>0</v>
      </c>
      <c r="BC159" s="439">
        <f t="shared" si="327"/>
        <v>0</v>
      </c>
      <c r="BD159" s="461">
        <f t="shared" si="327"/>
        <v>0</v>
      </c>
      <c r="BE159" s="439"/>
      <c r="BF159" s="501"/>
      <c r="BG159" s="439"/>
      <c r="BH159" s="439"/>
      <c r="BI159" s="439"/>
      <c r="BJ159" s="439"/>
      <c r="BK159" s="439"/>
      <c r="BL159" s="439"/>
      <c r="BM159" s="461"/>
      <c r="BN159" s="501"/>
      <c r="BO159" s="322"/>
      <c r="BP159" s="2715">
        <f>BP157-BO157</f>
        <v>-0.67999999999999972</v>
      </c>
      <c r="BQ159" s="2715">
        <f>BQ157-BP157</f>
        <v>-19.329000000000001</v>
      </c>
      <c r="BR159" s="2715">
        <f>BR157-BQ157</f>
        <v>-6.6000000000000005</v>
      </c>
      <c r="BS159" s="2715">
        <f>BS157-BR157</f>
        <v>0</v>
      </c>
      <c r="BT159" s="2715">
        <f>BT157-BS157</f>
        <v>0</v>
      </c>
      <c r="BU159" s="2443">
        <v>0</v>
      </c>
      <c r="BV159" s="2443">
        <v>0</v>
      </c>
      <c r="BW159" s="2443">
        <v>0</v>
      </c>
      <c r="BX159" s="2443">
        <v>0</v>
      </c>
      <c r="BY159" s="2444">
        <v>0</v>
      </c>
      <c r="BZ159" s="439"/>
      <c r="CA159" s="2720"/>
      <c r="CB159" s="2731"/>
      <c r="CC159" s="2731"/>
      <c r="CD159" s="2731"/>
      <c r="CE159" s="2731"/>
      <c r="CF159" s="2731"/>
      <c r="CG159" s="2731"/>
    </row>
    <row r="160" spans="1:85" s="2732" customFormat="1" ht="11.25" hidden="1" customHeight="1" outlineLevel="1">
      <c r="A160" s="2720"/>
      <c r="B160" s="2720"/>
      <c r="C160" s="2720"/>
      <c r="D160" s="2720"/>
      <c r="E160" s="2720"/>
      <c r="F160" s="2720"/>
      <c r="G160" s="2720"/>
      <c r="H160" s="2720"/>
      <c r="I160" s="2725" t="s">
        <v>132</v>
      </c>
      <c r="J160" s="2711"/>
      <c r="K160" s="439"/>
      <c r="L160" s="439"/>
      <c r="M160" s="439"/>
      <c r="N160" s="439"/>
      <c r="O160" s="439"/>
      <c r="P160" s="439"/>
      <c r="Q160" s="439"/>
      <c r="R160" s="439"/>
      <c r="S160" s="439"/>
      <c r="T160" s="439"/>
      <c r="U160" s="501"/>
      <c r="V160" s="439"/>
      <c r="W160" s="439"/>
      <c r="X160" s="461"/>
      <c r="Y160" s="439"/>
      <c r="Z160" s="439"/>
      <c r="AA160" s="439"/>
      <c r="AB160" s="439"/>
      <c r="AC160" s="501"/>
      <c r="AD160" s="439"/>
      <c r="AE160" s="439"/>
      <c r="AF160" s="461"/>
      <c r="AG160" s="439"/>
      <c r="AH160" s="439"/>
      <c r="AI160" s="2722">
        <f t="shared" ref="AI160:AR160" si="328">AI157/AE157-1</f>
        <v>1.3499325033747844E-3</v>
      </c>
      <c r="AJ160" s="2722">
        <f t="shared" si="328"/>
        <v>1.6888357495142614E-2</v>
      </c>
      <c r="AK160" s="2734">
        <f t="shared" si="328"/>
        <v>-0.10544369873228931</v>
      </c>
      <c r="AL160" s="2722">
        <f t="shared" si="328"/>
        <v>-6.1176836861768447E-2</v>
      </c>
      <c r="AM160" s="2722">
        <f t="shared" si="328"/>
        <v>1.8573996405032878E-2</v>
      </c>
      <c r="AN160" s="2721">
        <f t="shared" si="328"/>
        <v>4.3503821281598798E-2</v>
      </c>
      <c r="AO160" s="2734">
        <f t="shared" si="328"/>
        <v>-0.63321107035678559</v>
      </c>
      <c r="AP160" s="2722">
        <f t="shared" si="328"/>
        <v>-0.63521804012601546</v>
      </c>
      <c r="AQ160" s="2722">
        <f t="shared" si="328"/>
        <v>-0.67647058823529416</v>
      </c>
      <c r="AR160" s="2721">
        <f t="shared" si="328"/>
        <v>-1</v>
      </c>
      <c r="AS160" s="2722">
        <f t="shared" ref="AS160:BD160" si="329">AS157/AO157-1</f>
        <v>-1</v>
      </c>
      <c r="AT160" s="2722">
        <f t="shared" si="329"/>
        <v>-1</v>
      </c>
      <c r="AU160" s="2722">
        <f t="shared" si="329"/>
        <v>-1</v>
      </c>
      <c r="AV160" s="2721" t="e">
        <f t="shared" si="329"/>
        <v>#DIV/0!</v>
      </c>
      <c r="AW160" s="2722" t="e">
        <f t="shared" si="329"/>
        <v>#DIV/0!</v>
      </c>
      <c r="AX160" s="2722" t="e">
        <f t="shared" si="329"/>
        <v>#DIV/0!</v>
      </c>
      <c r="AY160" s="2722" t="e">
        <f t="shared" si="329"/>
        <v>#DIV/0!</v>
      </c>
      <c r="AZ160" s="2721" t="e">
        <f t="shared" si="329"/>
        <v>#DIV/0!</v>
      </c>
      <c r="BA160" s="2722" t="e">
        <f t="shared" si="329"/>
        <v>#DIV/0!</v>
      </c>
      <c r="BB160" s="2722" t="e">
        <f t="shared" si="329"/>
        <v>#DIV/0!</v>
      </c>
      <c r="BC160" s="2722" t="e">
        <f t="shared" si="329"/>
        <v>#DIV/0!</v>
      </c>
      <c r="BD160" s="2721" t="e">
        <f t="shared" si="329"/>
        <v>#DIV/0!</v>
      </c>
      <c r="BE160" s="439"/>
      <c r="BF160" s="501"/>
      <c r="BG160" s="439"/>
      <c r="BH160" s="439"/>
      <c r="BI160" s="439"/>
      <c r="BJ160" s="439"/>
      <c r="BK160" s="439"/>
      <c r="BL160" s="439"/>
      <c r="BM160" s="461"/>
      <c r="BN160" s="501"/>
      <c r="BO160" s="322"/>
      <c r="BP160" s="2722">
        <f t="shared" ref="BP160:BY160" si="330">BP157/BO157-1</f>
        <v>-2.5555263256792804E-2</v>
      </c>
      <c r="BQ160" s="2722">
        <f t="shared" si="330"/>
        <v>-0.74545875274788842</v>
      </c>
      <c r="BR160" s="2722">
        <f t="shared" si="330"/>
        <v>-1</v>
      </c>
      <c r="BS160" s="2722" t="e">
        <f t="shared" si="330"/>
        <v>#DIV/0!</v>
      </c>
      <c r="BT160" s="2722" t="e">
        <f t="shared" si="330"/>
        <v>#DIV/0!</v>
      </c>
      <c r="BU160" s="2722" t="e">
        <f t="shared" si="330"/>
        <v>#DIV/0!</v>
      </c>
      <c r="BV160" s="2722" t="e">
        <f t="shared" si="330"/>
        <v>#DIV/0!</v>
      </c>
      <c r="BW160" s="2722" t="e">
        <f t="shared" si="330"/>
        <v>#DIV/0!</v>
      </c>
      <c r="BX160" s="2722" t="e">
        <f t="shared" si="330"/>
        <v>#DIV/0!</v>
      </c>
      <c r="BY160" s="2721" t="e">
        <f t="shared" si="330"/>
        <v>#DIV/0!</v>
      </c>
      <c r="BZ160" s="439"/>
      <c r="CA160" s="2720"/>
      <c r="CB160" s="2731"/>
      <c r="CC160" s="2731"/>
      <c r="CD160" s="2731"/>
      <c r="CE160" s="2731"/>
      <c r="CF160" s="2731"/>
      <c r="CG160" s="2731"/>
    </row>
    <row r="161" spans="1:85" s="2732" customFormat="1" ht="11.25" hidden="1" customHeight="1" outlineLevel="1">
      <c r="A161" s="2720"/>
      <c r="B161" s="2720"/>
      <c r="C161" s="2720"/>
      <c r="D161" s="2720"/>
      <c r="E161" s="2720"/>
      <c r="F161" s="2720"/>
      <c r="G161" s="2720"/>
      <c r="H161" s="2720"/>
      <c r="I161" s="2725" t="s">
        <v>146</v>
      </c>
      <c r="J161" s="2711"/>
      <c r="K161" s="439"/>
      <c r="L161" s="439"/>
      <c r="M161" s="439"/>
      <c r="N161" s="439"/>
      <c r="O161" s="439"/>
      <c r="P161" s="439"/>
      <c r="Q161" s="439"/>
      <c r="R161" s="439"/>
      <c r="S161" s="439"/>
      <c r="T161" s="439"/>
      <c r="U161" s="501"/>
      <c r="V161" s="439"/>
      <c r="W161" s="439"/>
      <c r="X161" s="461"/>
      <c r="Y161" s="439"/>
      <c r="Z161" s="439"/>
      <c r="AA161" s="439"/>
      <c r="AB161" s="439"/>
      <c r="AC161" s="501"/>
      <c r="AD161" s="439"/>
      <c r="AE161" s="439"/>
      <c r="AF161" s="2721">
        <f t="shared" ref="AF161:AK161" si="331">AF157/AE157-1</f>
        <v>3.5998200089999433E-3</v>
      </c>
      <c r="AG161" s="2722">
        <f t="shared" si="331"/>
        <v>2.0923628755040724E-3</v>
      </c>
      <c r="AH161" s="2722">
        <f t="shared" si="331"/>
        <v>-4.1909023117076782E-2</v>
      </c>
      <c r="AI161" s="2722">
        <f t="shared" si="331"/>
        <v>3.9227895392278889E-2</v>
      </c>
      <c r="AJ161" s="2722">
        <f t="shared" si="331"/>
        <v>1.91731575793892E-2</v>
      </c>
      <c r="AK161" s="2734">
        <f t="shared" si="331"/>
        <v>-0.11845972957084094</v>
      </c>
      <c r="AL161" s="2722">
        <f>AL157/AK157-1</f>
        <v>5.5018339446482045E-3</v>
      </c>
      <c r="AM161" s="2722">
        <f>AM157/AL157-1</f>
        <v>0.12750787597413371</v>
      </c>
      <c r="AN161" s="2721">
        <f>AN157/AM157-1</f>
        <v>4.4117647058823595E-2</v>
      </c>
      <c r="AO161" s="2734">
        <f>AO157/AN157-1</f>
        <v>-0.6901408450704225</v>
      </c>
      <c r="AP161" s="2722">
        <f t="shared" ref="AP161:BD161" si="332">AP157/AO157-1</f>
        <v>0</v>
      </c>
      <c r="AQ161" s="2722">
        <f t="shared" si="332"/>
        <v>0</v>
      </c>
      <c r="AR161" s="2721">
        <f>AR157/AQ157-1</f>
        <v>-1</v>
      </c>
      <c r="AS161" s="2722" t="e">
        <f t="shared" si="332"/>
        <v>#DIV/0!</v>
      </c>
      <c r="AT161" s="2722" t="e">
        <f t="shared" si="332"/>
        <v>#DIV/0!</v>
      </c>
      <c r="AU161" s="2722" t="e">
        <f t="shared" si="332"/>
        <v>#DIV/0!</v>
      </c>
      <c r="AV161" s="2721" t="e">
        <f t="shared" si="332"/>
        <v>#DIV/0!</v>
      </c>
      <c r="AW161" s="2722" t="e">
        <f t="shared" si="332"/>
        <v>#DIV/0!</v>
      </c>
      <c r="AX161" s="2722" t="e">
        <f t="shared" si="332"/>
        <v>#DIV/0!</v>
      </c>
      <c r="AY161" s="2722" t="e">
        <f t="shared" si="332"/>
        <v>#DIV/0!</v>
      </c>
      <c r="AZ161" s="2721" t="e">
        <f t="shared" si="332"/>
        <v>#DIV/0!</v>
      </c>
      <c r="BA161" s="2722" t="e">
        <f t="shared" si="332"/>
        <v>#DIV/0!</v>
      </c>
      <c r="BB161" s="2722" t="e">
        <f t="shared" si="332"/>
        <v>#DIV/0!</v>
      </c>
      <c r="BC161" s="2722" t="e">
        <f t="shared" si="332"/>
        <v>#DIV/0!</v>
      </c>
      <c r="BD161" s="2721" t="e">
        <f t="shared" si="332"/>
        <v>#DIV/0!</v>
      </c>
      <c r="BE161" s="439"/>
      <c r="BF161" s="501"/>
      <c r="BG161" s="439"/>
      <c r="BH161" s="439"/>
      <c r="BI161" s="439"/>
      <c r="BJ161" s="439"/>
      <c r="BK161" s="439"/>
      <c r="BL161" s="439"/>
      <c r="BM161" s="461"/>
      <c r="BN161" s="501"/>
      <c r="BO161" s="584" t="s">
        <v>515</v>
      </c>
      <c r="BP161" s="584" t="s">
        <v>515</v>
      </c>
      <c r="BQ161" s="584" t="s">
        <v>515</v>
      </c>
      <c r="BR161" s="584" t="s">
        <v>515</v>
      </c>
      <c r="BS161" s="584" t="s">
        <v>515</v>
      </c>
      <c r="BT161" s="584" t="s">
        <v>515</v>
      </c>
      <c r="BU161" s="584" t="s">
        <v>515</v>
      </c>
      <c r="BV161" s="584" t="s">
        <v>515</v>
      </c>
      <c r="BW161" s="584" t="s">
        <v>515</v>
      </c>
      <c r="BX161" s="584" t="s">
        <v>515</v>
      </c>
      <c r="BY161" s="616" t="s">
        <v>515</v>
      </c>
      <c r="BZ161" s="439"/>
      <c r="CA161" s="2720"/>
      <c r="CB161" s="2731"/>
      <c r="CC161" s="2731"/>
      <c r="CD161" s="2731"/>
      <c r="CE161" s="2731"/>
      <c r="CF161" s="2731"/>
      <c r="CG161" s="2731"/>
    </row>
    <row r="162" spans="1:85" s="2732" customFormat="1" ht="11.25" hidden="1" customHeight="1" outlineLevel="1">
      <c r="A162" s="2720"/>
      <c r="B162" s="2720"/>
      <c r="C162" s="2720"/>
      <c r="D162" s="2720"/>
      <c r="E162" s="2720"/>
      <c r="F162" s="2720"/>
      <c r="G162" s="2720"/>
      <c r="H162" s="2720"/>
      <c r="I162" s="2725" t="s">
        <v>57</v>
      </c>
      <c r="J162" s="2711"/>
      <c r="K162" s="439"/>
      <c r="L162" s="439"/>
      <c r="M162" s="439"/>
      <c r="N162" s="439"/>
      <c r="O162" s="439"/>
      <c r="P162" s="439"/>
      <c r="Q162" s="439"/>
      <c r="R162" s="439"/>
      <c r="S162" s="439"/>
      <c r="T162" s="439"/>
      <c r="U162" s="501"/>
      <c r="V162" s="439"/>
      <c r="W162" s="439"/>
      <c r="X162" s="461"/>
      <c r="Y162" s="439"/>
      <c r="Z162" s="439"/>
      <c r="AA162" s="439"/>
      <c r="AB162" s="439"/>
      <c r="AC162" s="501"/>
      <c r="AD162" s="439"/>
      <c r="AE162" s="439"/>
      <c r="AF162" s="461"/>
      <c r="AG162" s="439"/>
      <c r="AH162" s="439"/>
      <c r="AI162" s="439"/>
      <c r="AJ162" s="439"/>
      <c r="AK162" s="501"/>
      <c r="AL162" s="439"/>
      <c r="AM162" s="439"/>
      <c r="AN162" s="461"/>
      <c r="AO162" s="439"/>
      <c r="AP162" s="439"/>
      <c r="AQ162" s="439"/>
      <c r="AR162" s="461"/>
      <c r="AS162" s="439"/>
      <c r="AT162" s="439"/>
      <c r="AU162" s="439"/>
      <c r="AV162" s="461"/>
      <c r="AW162" s="439"/>
      <c r="AX162" s="439"/>
      <c r="AY162" s="439"/>
      <c r="AZ162" s="461"/>
      <c r="BA162" s="439"/>
      <c r="BB162" s="439"/>
      <c r="BC162" s="439"/>
      <c r="BD162" s="461"/>
      <c r="BE162" s="439"/>
      <c r="BF162" s="501"/>
      <c r="BG162" s="439"/>
      <c r="BH162" s="439"/>
      <c r="BI162" s="439"/>
      <c r="BJ162" s="439"/>
      <c r="BK162" s="439"/>
      <c r="BL162" s="439"/>
      <c r="BM162" s="461"/>
      <c r="BN162" s="501"/>
      <c r="BO162" s="439"/>
      <c r="BP162" s="439"/>
      <c r="BQ162" s="439"/>
      <c r="BR162" s="439"/>
      <c r="BS162" s="439"/>
      <c r="BT162" s="439"/>
      <c r="BU162" s="439"/>
      <c r="BV162" s="439"/>
      <c r="BW162" s="439"/>
      <c r="BX162" s="439"/>
      <c r="BY162" s="461"/>
      <c r="BZ162" s="439"/>
      <c r="CA162" s="2720"/>
      <c r="CB162" s="2731"/>
      <c r="CC162" s="2731"/>
      <c r="CD162" s="2731"/>
      <c r="CE162" s="2731"/>
      <c r="CF162" s="2731"/>
      <c r="CG162" s="2731"/>
    </row>
    <row r="163" spans="1:85" s="41" customFormat="1" ht="11.25" customHeight="1" collapsed="1">
      <c r="A163" s="98"/>
      <c r="B163" s="98"/>
      <c r="C163" s="98"/>
      <c r="D163" s="98"/>
      <c r="E163" s="98"/>
      <c r="F163" s="98"/>
      <c r="G163" s="98"/>
      <c r="H163" s="1350"/>
      <c r="I163" s="770"/>
      <c r="J163" s="1592"/>
      <c r="K163" s="108"/>
      <c r="L163" s="108"/>
      <c r="M163" s="108"/>
      <c r="N163" s="108"/>
      <c r="O163" s="108"/>
      <c r="P163" s="108"/>
      <c r="Q163" s="108"/>
      <c r="R163" s="108"/>
      <c r="S163" s="108"/>
      <c r="T163" s="108"/>
      <c r="U163" s="709"/>
      <c r="V163" s="108"/>
      <c r="W163" s="108"/>
      <c r="X163" s="1055"/>
      <c r="Y163" s="108"/>
      <c r="Z163" s="108"/>
      <c r="AA163" s="108"/>
      <c r="AB163" s="108"/>
      <c r="AC163" s="709"/>
      <c r="AD163" s="108"/>
      <c r="AE163" s="108"/>
      <c r="AF163" s="1055"/>
      <c r="AG163" s="108"/>
      <c r="AH163" s="108"/>
      <c r="AI163" s="108"/>
      <c r="AJ163" s="108"/>
      <c r="AK163" s="709"/>
      <c r="AL163" s="108"/>
      <c r="AM163" s="108"/>
      <c r="AN163" s="1055"/>
      <c r="AO163" s="108"/>
      <c r="AP163" s="108"/>
      <c r="AQ163" s="108"/>
      <c r="AR163" s="1055"/>
      <c r="AS163" s="108"/>
      <c r="AT163" s="108"/>
      <c r="AU163" s="108"/>
      <c r="AV163" s="1055"/>
      <c r="AW163" s="108"/>
      <c r="AX163" s="108"/>
      <c r="AY163" s="108"/>
      <c r="AZ163" s="1055"/>
      <c r="BA163" s="108"/>
      <c r="BB163" s="108"/>
      <c r="BC163" s="108"/>
      <c r="BD163" s="1055"/>
      <c r="BE163" s="428"/>
      <c r="BF163" s="709"/>
      <c r="BG163" s="108"/>
      <c r="BH163" s="108"/>
      <c r="BI163" s="108"/>
      <c r="BJ163" s="108"/>
      <c r="BK163" s="108"/>
      <c r="BL163" s="108"/>
      <c r="BM163" s="1055"/>
      <c r="BN163" s="709"/>
      <c r="BO163" s="108"/>
      <c r="BP163" s="108"/>
      <c r="BQ163" s="108"/>
      <c r="BR163" s="108"/>
      <c r="BS163" s="108"/>
      <c r="BT163" s="108"/>
      <c r="BU163" s="108"/>
      <c r="BV163" s="108"/>
      <c r="BW163" s="108"/>
      <c r="BX163" s="108"/>
      <c r="BY163" s="1055"/>
      <c r="BZ163" s="428"/>
      <c r="CA163" s="98"/>
      <c r="CB163" s="205"/>
      <c r="CC163" s="205"/>
      <c r="CD163" s="205"/>
      <c r="CE163" s="205"/>
      <c r="CF163" s="205"/>
      <c r="CG163" s="205"/>
    </row>
    <row r="164" spans="1:85" s="2072" customFormat="1" ht="11.25" hidden="1" customHeight="1" outlineLevel="1">
      <c r="I164" s="2073" t="s">
        <v>459</v>
      </c>
      <c r="M164" s="2074"/>
      <c r="N164" s="2075"/>
      <c r="O164" s="2076"/>
      <c r="P164" s="2076"/>
      <c r="Q164" s="2076"/>
      <c r="R164" s="2076"/>
      <c r="S164" s="2076"/>
      <c r="T164" s="2076"/>
      <c r="U164" s="2077"/>
      <c r="V164" s="2076"/>
      <c r="W164" s="2076"/>
      <c r="X164" s="2076"/>
      <c r="Y164" s="2078">
        <f t="shared" ref="Y164:BD164" si="333">Y562-Y518</f>
        <v>10.100000000000001</v>
      </c>
      <c r="Z164" s="2079">
        <f t="shared" si="333"/>
        <v>10.699999999999996</v>
      </c>
      <c r="AA164" s="2079">
        <f t="shared" si="333"/>
        <v>10.800000000000004</v>
      </c>
      <c r="AB164" s="2079">
        <f t="shared" si="333"/>
        <v>12.800000000000004</v>
      </c>
      <c r="AC164" s="2078">
        <f t="shared" si="333"/>
        <v>10.5</v>
      </c>
      <c r="AD164" s="2079">
        <f t="shared" si="333"/>
        <v>10.5</v>
      </c>
      <c r="AE164" s="2079">
        <f t="shared" si="333"/>
        <v>9.3000000000000114</v>
      </c>
      <c r="AF164" s="2080">
        <f t="shared" si="333"/>
        <v>9.7000000000000028</v>
      </c>
      <c r="AG164" s="2078">
        <f t="shared" si="333"/>
        <v>9.5</v>
      </c>
      <c r="AH164" s="2079">
        <f t="shared" si="333"/>
        <v>8.6000000000000085</v>
      </c>
      <c r="AI164" s="2079">
        <f t="shared" si="333"/>
        <v>8.5</v>
      </c>
      <c r="AJ164" s="2079">
        <f t="shared" si="333"/>
        <v>10.700000000000003</v>
      </c>
      <c r="AK164" s="2078">
        <f t="shared" si="333"/>
        <v>9.6999999999999886</v>
      </c>
      <c r="AL164" s="2079">
        <f t="shared" si="333"/>
        <v>11.299999999999983</v>
      </c>
      <c r="AM164" s="2079">
        <f t="shared" si="333"/>
        <v>13.699999999999989</v>
      </c>
      <c r="AN164" s="2080">
        <f t="shared" si="333"/>
        <v>19.899999999999977</v>
      </c>
      <c r="AO164" s="2079">
        <f t="shared" si="333"/>
        <v>23.699999999999989</v>
      </c>
      <c r="AP164" s="2079">
        <f t="shared" si="333"/>
        <v>26.699999999999989</v>
      </c>
      <c r="AQ164" s="2079">
        <f t="shared" ref="AQ164:AR164" si="334">AQ562-AQ518</f>
        <v>29.699999999999989</v>
      </c>
      <c r="AR164" s="2080">
        <f t="shared" si="334"/>
        <v>32.699999999999989</v>
      </c>
      <c r="AS164" s="2079">
        <f t="shared" si="333"/>
        <v>36.699999999999989</v>
      </c>
      <c r="AT164" s="2079">
        <f t="shared" si="333"/>
        <v>40.699999999999989</v>
      </c>
      <c r="AU164" s="2079">
        <f t="shared" si="333"/>
        <v>44.699999999999989</v>
      </c>
      <c r="AV164" s="2080">
        <f t="shared" si="333"/>
        <v>48.699999999999989</v>
      </c>
      <c r="AW164" s="2079">
        <f t="shared" si="333"/>
        <v>53.199999999999989</v>
      </c>
      <c r="AX164" s="2079">
        <f t="shared" si="333"/>
        <v>57.699999999999989</v>
      </c>
      <c r="AY164" s="2079">
        <f t="shared" si="333"/>
        <v>62.199999999999989</v>
      </c>
      <c r="AZ164" s="2080">
        <f t="shared" si="333"/>
        <v>66.699999999999989</v>
      </c>
      <c r="BA164" s="2079">
        <f t="shared" si="333"/>
        <v>71.649999999999977</v>
      </c>
      <c r="BB164" s="2079">
        <f t="shared" si="333"/>
        <v>76.599999999999966</v>
      </c>
      <c r="BC164" s="2079">
        <f t="shared" si="333"/>
        <v>81.549999999999955</v>
      </c>
      <c r="BD164" s="2080">
        <f t="shared" si="333"/>
        <v>86.499999999999943</v>
      </c>
      <c r="BE164" s="2076"/>
      <c r="BF164" s="2081"/>
      <c r="BI164" s="2082"/>
      <c r="BJ164" s="2082"/>
      <c r="BK164" s="2082"/>
      <c r="BL164" s="2079">
        <f t="shared" ref="BL164:BY164" si="335">BL562-BL518</f>
        <v>7.5809523809523824</v>
      </c>
      <c r="BM164" s="2080">
        <f t="shared" si="335"/>
        <v>12.800000000000004</v>
      </c>
      <c r="BN164" s="2078">
        <f t="shared" si="335"/>
        <v>9.7000000000000028</v>
      </c>
      <c r="BO164" s="2079">
        <f t="shared" si="335"/>
        <v>10.700000000000003</v>
      </c>
      <c r="BP164" s="2079">
        <f t="shared" si="335"/>
        <v>-137.80000000000001</v>
      </c>
      <c r="BQ164" s="2079">
        <f t="shared" si="335"/>
        <v>-161</v>
      </c>
      <c r="BR164" s="2079">
        <f t="shared" si="335"/>
        <v>-181</v>
      </c>
      <c r="BS164" s="2079">
        <f t="shared" si="335"/>
        <v>-199</v>
      </c>
      <c r="BT164" s="2079">
        <f t="shared" si="335"/>
        <v>-215.20000000000005</v>
      </c>
      <c r="BU164" s="2079">
        <f t="shared" si="335"/>
        <v>-229.78000000000009</v>
      </c>
      <c r="BV164" s="2079">
        <f t="shared" si="335"/>
        <v>-242.90200000000013</v>
      </c>
      <c r="BW164" s="2079">
        <f t="shared" si="335"/>
        <v>-254.71180000000015</v>
      </c>
      <c r="BX164" s="2079">
        <f t="shared" si="335"/>
        <v>-265.34062000000017</v>
      </c>
      <c r="BY164" s="2080">
        <f t="shared" si="335"/>
        <v>-274.90655800000019</v>
      </c>
      <c r="BZ164" s="2083"/>
    </row>
    <row r="165" spans="1:85" s="2072" customFormat="1" ht="11.25" hidden="1" customHeight="1" outlineLevel="1">
      <c r="I165" s="2084" t="s">
        <v>132</v>
      </c>
      <c r="M165" s="2074"/>
      <c r="N165" s="2075"/>
      <c r="O165" s="2076"/>
      <c r="P165" s="2076"/>
      <c r="Q165" s="2076"/>
      <c r="R165" s="2076"/>
      <c r="S165" s="2076"/>
      <c r="T165" s="2076"/>
      <c r="U165" s="2077"/>
      <c r="V165" s="2076"/>
      <c r="W165" s="2076"/>
      <c r="X165" s="2085"/>
      <c r="Y165" s="2076"/>
      <c r="Z165" s="2076"/>
      <c r="AA165" s="2076"/>
      <c r="AB165" s="2076"/>
      <c r="AC165" s="2086">
        <f>IF(ISERROR(AC164/Y164-1),"NA",(IF(AC164&lt;=0,"NM",AC164/Y164-1)))</f>
        <v>3.9603960396039417E-2</v>
      </c>
      <c r="AD165" s="2074">
        <f>IF(ISERROR(AD164/Z164-1),"NA",(IF(AD164&lt;=0,"NM",AD164/Z164-1)))</f>
        <v>-1.8691588785046287E-2</v>
      </c>
      <c r="AE165" s="2074">
        <f>IF(ISERROR(AE164/AA164-1),"NA",(IF(AE164&lt;=0,"NM",AE164/AA164-1)))</f>
        <v>-0.13888888888888817</v>
      </c>
      <c r="AF165" s="2087">
        <f>IF(ISERROR(AF164/AB164-1),"NA",(IF(AF164&lt;=0,"NM",AF164/AB164-1)))</f>
        <v>-0.2421875</v>
      </c>
      <c r="AG165" s="2086">
        <f t="shared" ref="AG165:AN165" si="336">IF(ISERROR(AG164/AC164-1),"NA",(IF(AG164&lt;=0,"NM",AG164/AC164-1)))</f>
        <v>-9.5238095238095233E-2</v>
      </c>
      <c r="AH165" s="2074">
        <f t="shared" si="336"/>
        <v>-0.18095238095238009</v>
      </c>
      <c r="AI165" s="2074">
        <f t="shared" si="336"/>
        <v>-8.6021505376345231E-2</v>
      </c>
      <c r="AJ165" s="2074">
        <f t="shared" si="336"/>
        <v>0.10309278350515472</v>
      </c>
      <c r="AK165" s="2086">
        <f t="shared" si="336"/>
        <v>2.1052631578946102E-2</v>
      </c>
      <c r="AL165" s="2074">
        <f t="shared" si="336"/>
        <v>0.31395348837208981</v>
      </c>
      <c r="AM165" s="2074">
        <f t="shared" si="336"/>
        <v>0.61176470588235166</v>
      </c>
      <c r="AN165" s="2087">
        <f t="shared" si="336"/>
        <v>0.85981308411214696</v>
      </c>
      <c r="AO165" s="2074">
        <f t="shared" ref="AO165:AV165" si="337">IF(ISERROR(AO164/AK164-1),"NA",(IF(AO164&lt;=0,"NM",AO164/AK164-1)))</f>
        <v>1.4432989690721665</v>
      </c>
      <c r="AP165" s="2074">
        <f t="shared" si="337"/>
        <v>1.3628318584070822</v>
      </c>
      <c r="AQ165" s="2074">
        <f t="shared" si="337"/>
        <v>1.1678832116788329</v>
      </c>
      <c r="AR165" s="2087">
        <f t="shared" si="337"/>
        <v>0.64321608040201128</v>
      </c>
      <c r="AS165" s="2074">
        <f t="shared" si="337"/>
        <v>0.54852320675105504</v>
      </c>
      <c r="AT165" s="2074">
        <f t="shared" si="337"/>
        <v>0.52434456928838968</v>
      </c>
      <c r="AU165" s="2074">
        <f t="shared" si="337"/>
        <v>0.50505050505050519</v>
      </c>
      <c r="AV165" s="2087">
        <f t="shared" si="337"/>
        <v>0.48929663608562701</v>
      </c>
      <c r="AW165" s="2074">
        <f t="shared" ref="AW165:BD165" si="338">IF(ISERROR(AW164/AS164-1),"NA",(IF(AW164&lt;=0,"NM",AW164/AS164-1)))</f>
        <v>0.44959128065395104</v>
      </c>
      <c r="AX165" s="2074">
        <f t="shared" si="338"/>
        <v>0.4176904176904177</v>
      </c>
      <c r="AY165" s="2074">
        <f t="shared" si="338"/>
        <v>0.39149888143176748</v>
      </c>
      <c r="AZ165" s="2087">
        <f t="shared" si="338"/>
        <v>0.36960985626283382</v>
      </c>
      <c r="BA165" s="2074">
        <f t="shared" si="338"/>
        <v>0.34680451127819545</v>
      </c>
      <c r="BB165" s="2074">
        <f t="shared" si="338"/>
        <v>0.32755632582322325</v>
      </c>
      <c r="BC165" s="2074">
        <f t="shared" si="338"/>
        <v>0.31109324758842405</v>
      </c>
      <c r="BD165" s="2087">
        <f t="shared" si="338"/>
        <v>0.29685157421289299</v>
      </c>
      <c r="BE165" s="2076"/>
      <c r="BF165" s="2081"/>
      <c r="BI165" s="2082"/>
      <c r="BJ165" s="2082"/>
      <c r="BK165" s="2082"/>
      <c r="BM165" s="2087">
        <f t="shared" ref="BM165:BY165" si="339">+BM164/BL164-1</f>
        <v>0.68844221105527659</v>
      </c>
      <c r="BN165" s="2086">
        <f t="shared" si="339"/>
        <v>-0.2421875</v>
      </c>
      <c r="BO165" s="2074">
        <f t="shared" si="339"/>
        <v>0.10309278350515472</v>
      </c>
      <c r="BP165" s="2074">
        <f t="shared" si="339"/>
        <v>-13.878504672897193</v>
      </c>
      <c r="BQ165" s="2074">
        <f t="shared" si="339"/>
        <v>0.1683599419448476</v>
      </c>
      <c r="BR165" s="2074">
        <f t="shared" si="339"/>
        <v>0.12422360248447206</v>
      </c>
      <c r="BS165" s="2074">
        <f t="shared" si="339"/>
        <v>9.9447513812154664E-2</v>
      </c>
      <c r="BT165" s="2074">
        <f t="shared" si="339"/>
        <v>8.140703517587955E-2</v>
      </c>
      <c r="BU165" s="2074">
        <f t="shared" si="339"/>
        <v>6.7750929368029844E-2</v>
      </c>
      <c r="BV165" s="2074">
        <f t="shared" si="339"/>
        <v>5.7106797806597775E-2</v>
      </c>
      <c r="BW165" s="2074">
        <f t="shared" si="339"/>
        <v>4.8619607907715912E-2</v>
      </c>
      <c r="BX165" s="2074">
        <f t="shared" si="339"/>
        <v>4.1728808794881056E-2</v>
      </c>
      <c r="BY165" s="2087">
        <f t="shared" si="339"/>
        <v>3.6051540092127743E-2</v>
      </c>
      <c r="BZ165" s="2083"/>
    </row>
    <row r="166" spans="1:85" s="54" customFormat="1" ht="11.25" customHeight="1" collapsed="1">
      <c r="H166" s="83"/>
      <c r="I166" s="1614"/>
      <c r="J166" s="1615"/>
      <c r="K166" s="1615"/>
      <c r="L166" s="1615"/>
      <c r="M166" s="1616"/>
      <c r="N166" s="1617"/>
      <c r="O166" s="1618"/>
      <c r="P166" s="1618"/>
      <c r="Q166" s="1618"/>
      <c r="R166" s="1618"/>
      <c r="S166" s="1618"/>
      <c r="T166" s="1618"/>
      <c r="U166" s="1619"/>
      <c r="V166" s="1618"/>
      <c r="W166" s="1618"/>
      <c r="X166" s="1620"/>
      <c r="Y166" s="1618"/>
      <c r="Z166" s="1616"/>
      <c r="AA166" s="1616"/>
      <c r="AB166" s="1616"/>
      <c r="AC166" s="1621"/>
      <c r="AD166" s="1616"/>
      <c r="AE166" s="1616"/>
      <c r="AF166" s="1622"/>
      <c r="AG166" s="1623"/>
      <c r="AH166" s="1624"/>
      <c r="AI166" s="1624"/>
      <c r="AJ166" s="1624"/>
      <c r="AK166" s="1623"/>
      <c r="AL166" s="1624"/>
      <c r="AM166" s="1624"/>
      <c r="AN166" s="1625"/>
      <c r="AO166" s="1624"/>
      <c r="AP166" s="1624"/>
      <c r="AQ166" s="1624"/>
      <c r="AR166" s="1625"/>
      <c r="AS166" s="1624"/>
      <c r="AT166" s="1624"/>
      <c r="AU166" s="1624"/>
      <c r="AV166" s="1625"/>
      <c r="AW166" s="1624"/>
      <c r="AX166" s="1624"/>
      <c r="AY166" s="1624"/>
      <c r="AZ166" s="1625"/>
      <c r="BA166" s="1624"/>
      <c r="BB166" s="1624"/>
      <c r="BC166" s="1624"/>
      <c r="BD166" s="1625"/>
      <c r="BE166" s="950"/>
      <c r="BF166" s="1626"/>
      <c r="BG166" s="1615"/>
      <c r="BH166" s="1615"/>
      <c r="BI166" s="1627"/>
      <c r="BJ166" s="1627"/>
      <c r="BK166" s="1627"/>
      <c r="BL166" s="1615"/>
      <c r="BM166" s="1628"/>
      <c r="BN166" s="1626"/>
      <c r="BO166" s="1629"/>
      <c r="BP166" s="1629"/>
      <c r="BQ166" s="1629"/>
      <c r="BR166" s="1629"/>
      <c r="BS166" s="1629"/>
      <c r="BT166" s="1629"/>
      <c r="BU166" s="1629"/>
      <c r="BV166" s="1629"/>
      <c r="BW166" s="1629"/>
      <c r="BX166" s="1629"/>
      <c r="BY166" s="1630"/>
      <c r="BZ166" s="265"/>
    </row>
    <row r="167" spans="1:85" ht="11.25" customHeight="1">
      <c r="A167" s="86"/>
      <c r="B167" s="86"/>
      <c r="C167" s="86"/>
      <c r="D167" s="86"/>
      <c r="E167" s="86"/>
      <c r="F167" s="86"/>
      <c r="G167" s="86"/>
      <c r="H167" s="328"/>
      <c r="I167" s="100"/>
      <c r="J167" s="193"/>
      <c r="K167" s="67"/>
      <c r="L167" s="67"/>
      <c r="M167" s="67"/>
      <c r="N167" s="67"/>
      <c r="O167" s="67"/>
      <c r="P167" s="67"/>
      <c r="Q167" s="67"/>
      <c r="R167" s="67"/>
      <c r="S167" s="67"/>
      <c r="T167" s="67"/>
      <c r="U167" s="194"/>
      <c r="V167" s="332"/>
      <c r="W167" s="332"/>
      <c r="X167" s="332"/>
      <c r="Y167" s="332"/>
      <c r="Z167" s="332"/>
      <c r="AA167" s="332"/>
      <c r="AB167" s="332"/>
      <c r="AC167" s="332"/>
      <c r="AD167" s="332"/>
      <c r="AE167" s="332"/>
      <c r="AF167" s="332"/>
      <c r="AG167" s="332"/>
      <c r="AH167" s="332"/>
      <c r="AI167" s="332"/>
      <c r="AJ167" s="332"/>
      <c r="AK167" s="332"/>
      <c r="AL167" s="332"/>
      <c r="AM167" s="332"/>
      <c r="AN167" s="332"/>
      <c r="AO167" s="755"/>
      <c r="AP167" s="332"/>
      <c r="AQ167" s="332"/>
      <c r="AR167" s="756"/>
      <c r="AS167" s="332"/>
      <c r="AT167" s="332"/>
      <c r="AU167" s="332"/>
      <c r="AV167" s="332"/>
      <c r="AW167" s="332"/>
      <c r="AX167" s="332"/>
      <c r="AY167" s="332"/>
      <c r="AZ167" s="332"/>
      <c r="BA167" s="332"/>
      <c r="BB167" s="332"/>
      <c r="BC167" s="332"/>
      <c r="BD167" s="332"/>
      <c r="BE167" s="276"/>
      <c r="BF167" s="332"/>
      <c r="BG167" s="332"/>
      <c r="BH167" s="332"/>
      <c r="BI167" s="332"/>
      <c r="BJ167" s="332"/>
      <c r="BK167" s="332"/>
      <c r="BL167" s="332"/>
      <c r="BM167" s="332"/>
      <c r="BN167" s="332"/>
      <c r="BO167" s="332"/>
      <c r="BP167" s="332"/>
      <c r="BQ167" s="332"/>
      <c r="BR167" s="332"/>
      <c r="BS167" s="332"/>
      <c r="BT167" s="332"/>
      <c r="BU167" s="332"/>
      <c r="BV167" s="332"/>
      <c r="BW167" s="332"/>
      <c r="BX167" s="332"/>
      <c r="BY167" s="332"/>
      <c r="BZ167" s="276"/>
      <c r="CA167" s="80"/>
      <c r="CE167" s="88"/>
      <c r="CF167" s="88"/>
      <c r="CG167" s="88"/>
    </row>
    <row r="168" spans="1:85" s="90" customFormat="1" ht="11.25" customHeight="1">
      <c r="I168" s="984" t="s">
        <v>681</v>
      </c>
      <c r="J168" s="1284"/>
      <c r="K168" s="1284"/>
      <c r="L168" s="1284"/>
      <c r="M168" s="1285"/>
      <c r="N168" s="1285"/>
      <c r="O168" s="1285"/>
      <c r="P168" s="1285"/>
      <c r="Q168" s="1285"/>
      <c r="R168" s="1285"/>
      <c r="S168" s="1285"/>
      <c r="T168" s="1287"/>
      <c r="U168" s="1285"/>
      <c r="V168" s="1285"/>
      <c r="W168" s="1285"/>
      <c r="X168" s="1285"/>
      <c r="Y168" s="1286"/>
      <c r="Z168" s="1285"/>
      <c r="AA168" s="1285"/>
      <c r="AB168" s="1287"/>
      <c r="AC168" s="1288"/>
      <c r="AD168" s="1289">
        <f>+AD174*0.1</f>
        <v>5821.923076923078</v>
      </c>
      <c r="AE168" s="1288"/>
      <c r="AF168" s="1288"/>
      <c r="AG168" s="1348"/>
      <c r="AH168" s="1289"/>
      <c r="AI168" s="1289"/>
      <c r="AJ168" s="1291"/>
      <c r="AK168" s="1289"/>
      <c r="AL168" s="1289"/>
      <c r="AM168" s="1289"/>
      <c r="AN168" s="1289"/>
      <c r="AO168" s="1348"/>
      <c r="AP168" s="1289"/>
      <c r="AQ168" s="1289"/>
      <c r="AR168" s="1289"/>
      <c r="AS168" s="1289"/>
      <c r="AT168" s="1289"/>
      <c r="AU168" s="1289"/>
      <c r="AV168" s="1291"/>
      <c r="AW168" s="1289"/>
      <c r="AX168" s="1289"/>
      <c r="AY168" s="1289"/>
      <c r="AZ168" s="1291"/>
      <c r="BA168" s="1289"/>
      <c r="BB168" s="1289"/>
      <c r="BC168" s="1289"/>
      <c r="BD168" s="1291"/>
      <c r="BE168" s="2354"/>
      <c r="BF168" s="1286"/>
      <c r="BG168" s="1285"/>
      <c r="BH168" s="1285"/>
      <c r="BI168" s="1285"/>
      <c r="BJ168" s="1285"/>
      <c r="BK168" s="1285"/>
      <c r="BL168" s="1292"/>
      <c r="BM168" s="1293"/>
      <c r="BN168" s="1348"/>
      <c r="BO168" s="1293"/>
      <c r="BP168" s="1293"/>
      <c r="BQ168" s="1294"/>
      <c r="BR168" s="1294"/>
      <c r="BS168" s="1294"/>
      <c r="BT168" s="1294"/>
      <c r="BU168" s="1294"/>
      <c r="BV168" s="1294"/>
      <c r="BW168" s="1294"/>
      <c r="BX168" s="1294"/>
      <c r="BY168" s="1295"/>
      <c r="BZ168" s="1238"/>
    </row>
    <row r="169" spans="1:85" s="234" customFormat="1" ht="11.25" customHeight="1">
      <c r="A169" s="1954"/>
      <c r="B169" s="1954"/>
      <c r="C169" s="1954"/>
      <c r="D169" s="1954"/>
      <c r="E169" s="1954"/>
      <c r="F169" s="1954"/>
      <c r="G169" s="1954"/>
      <c r="H169" s="1955"/>
      <c r="I169" s="138" t="s">
        <v>465</v>
      </c>
      <c r="J169" s="1956"/>
      <c r="K169" s="1956"/>
      <c r="L169" s="1956"/>
      <c r="M169" s="1957"/>
      <c r="N169" s="1957"/>
      <c r="O169" s="1957"/>
      <c r="P169" s="1957"/>
      <c r="Q169" s="1957"/>
      <c r="R169" s="1957"/>
      <c r="S169" s="1957"/>
      <c r="T169" s="1282"/>
      <c r="U169" s="1277">
        <f>U91</f>
        <v>533.33333333333337</v>
      </c>
      <c r="V169" s="1957">
        <f t="shared" ref="V169:BD169" si="340">V91</f>
        <v>566.66666666666663</v>
      </c>
      <c r="W169" s="1957">
        <f t="shared" si="340"/>
        <v>686.27450980392155</v>
      </c>
      <c r="X169" s="1957">
        <f t="shared" si="340"/>
        <v>769.23076923076928</v>
      </c>
      <c r="Y169" s="1957">
        <f t="shared" si="340"/>
        <v>800</v>
      </c>
      <c r="Z169" s="1957">
        <f t="shared" si="340"/>
        <v>850</v>
      </c>
      <c r="AA169" s="1957">
        <f t="shared" si="340"/>
        <v>1050</v>
      </c>
      <c r="AB169" s="1957">
        <f t="shared" si="340"/>
        <v>1100</v>
      </c>
      <c r="AC169" s="1957">
        <f t="shared" si="340"/>
        <v>1250</v>
      </c>
      <c r="AD169" s="1957">
        <f t="shared" si="340"/>
        <v>1350</v>
      </c>
      <c r="AE169" s="1957">
        <f t="shared" si="340"/>
        <v>1550</v>
      </c>
      <c r="AF169" s="1957">
        <f t="shared" si="340"/>
        <v>1550</v>
      </c>
      <c r="AG169" s="1957">
        <f t="shared" si="340"/>
        <v>1600</v>
      </c>
      <c r="AH169" s="1957">
        <f t="shared" si="340"/>
        <v>1750</v>
      </c>
      <c r="AI169" s="1957">
        <f t="shared" si="340"/>
        <v>2100</v>
      </c>
      <c r="AJ169" s="1957">
        <f t="shared" si="340"/>
        <v>2200</v>
      </c>
      <c r="AK169" s="1957">
        <f t="shared" si="340"/>
        <v>2300</v>
      </c>
      <c r="AL169" s="1957">
        <f t="shared" si="340"/>
        <v>2400</v>
      </c>
      <c r="AM169" s="1957">
        <f t="shared" si="340"/>
        <v>2500</v>
      </c>
      <c r="AN169" s="1958">
        <f t="shared" si="340"/>
        <v>2450</v>
      </c>
      <c r="AO169" s="1957">
        <f t="shared" si="340"/>
        <v>2550</v>
      </c>
      <c r="AP169" s="1957">
        <f t="shared" si="340"/>
        <v>2750</v>
      </c>
      <c r="AQ169" s="1957">
        <f t="shared" ref="AQ169:AR169" si="341">AQ91</f>
        <v>3050</v>
      </c>
      <c r="AR169" s="1958">
        <f t="shared" si="341"/>
        <v>3300</v>
      </c>
      <c r="AS169" s="1957">
        <f t="shared" si="340"/>
        <v>3350</v>
      </c>
      <c r="AT169" s="1957">
        <f t="shared" si="340"/>
        <v>3400</v>
      </c>
      <c r="AU169" s="1957">
        <f t="shared" si="340"/>
        <v>3475</v>
      </c>
      <c r="AV169" s="1958">
        <f t="shared" si="340"/>
        <v>3550</v>
      </c>
      <c r="AW169" s="1957">
        <f t="shared" si="340"/>
        <v>3650</v>
      </c>
      <c r="AX169" s="1957">
        <f t="shared" si="340"/>
        <v>3750</v>
      </c>
      <c r="AY169" s="1957">
        <f t="shared" si="340"/>
        <v>3825</v>
      </c>
      <c r="AZ169" s="1958">
        <f t="shared" si="340"/>
        <v>3875</v>
      </c>
      <c r="BA169" s="1957">
        <f t="shared" si="340"/>
        <v>3955</v>
      </c>
      <c r="BB169" s="1957">
        <f t="shared" si="340"/>
        <v>4035</v>
      </c>
      <c r="BC169" s="1957">
        <f t="shared" si="340"/>
        <v>4085</v>
      </c>
      <c r="BD169" s="1958">
        <f t="shared" si="340"/>
        <v>4125</v>
      </c>
      <c r="BE169" s="2119"/>
      <c r="BF169" s="1959">
        <f>'Revenue drivers'!BF143</f>
        <v>0</v>
      </c>
      <c r="BG169" s="1957">
        <f>'Revenue drivers'!BG143</f>
        <v>0</v>
      </c>
      <c r="BH169" s="1957">
        <f>'Revenue drivers'!BH143</f>
        <v>0</v>
      </c>
      <c r="BI169" s="1957">
        <f>'Revenue drivers'!BI143</f>
        <v>0</v>
      </c>
      <c r="BJ169" s="1957">
        <f>'Revenue drivers'!BJ143</f>
        <v>0</v>
      </c>
      <c r="BK169" s="1960">
        <f>'Revenue drivers'!BK143</f>
        <v>0</v>
      </c>
      <c r="BL169" s="1277">
        <f>'Revenue drivers'!BL143</f>
        <v>0</v>
      </c>
      <c r="BM169" s="1277">
        <f>'Revenue drivers'!BM143</f>
        <v>0</v>
      </c>
      <c r="BN169" s="1281">
        <f t="shared" ref="BN169:BY169" si="342">BN91</f>
        <v>1550</v>
      </c>
      <c r="BO169" s="1277">
        <f t="shared" si="342"/>
        <v>2200</v>
      </c>
      <c r="BP169" s="1277">
        <f t="shared" si="342"/>
        <v>2450</v>
      </c>
      <c r="BQ169" s="1277">
        <f t="shared" si="342"/>
        <v>3300</v>
      </c>
      <c r="BR169" s="1277">
        <f t="shared" si="342"/>
        <v>3550</v>
      </c>
      <c r="BS169" s="1277">
        <f t="shared" si="342"/>
        <v>3875</v>
      </c>
      <c r="BT169" s="1277">
        <f t="shared" si="342"/>
        <v>4125</v>
      </c>
      <c r="BU169" s="1277">
        <f t="shared" si="342"/>
        <v>4312.5</v>
      </c>
      <c r="BV169" s="1277">
        <f t="shared" si="342"/>
        <v>4443.75</v>
      </c>
      <c r="BW169" s="1277">
        <f t="shared" si="342"/>
        <v>4535.625</v>
      </c>
      <c r="BX169" s="1277">
        <f t="shared" si="342"/>
        <v>4599.9375</v>
      </c>
      <c r="BY169" s="1282">
        <f t="shared" si="342"/>
        <v>4644.9562500000002</v>
      </c>
      <c r="BZ169" s="1277"/>
      <c r="CA169" s="1954"/>
      <c r="CB169" s="1954"/>
      <c r="CC169" s="1954"/>
      <c r="CD169" s="1954"/>
      <c r="CE169" s="1954"/>
      <c r="CF169" s="1954"/>
      <c r="CG169" s="1954"/>
    </row>
    <row r="170" spans="1:85" ht="11.25" customHeight="1">
      <c r="A170" s="36"/>
      <c r="B170" s="36"/>
      <c r="C170" s="36"/>
      <c r="D170" s="36"/>
      <c r="E170" s="36"/>
      <c r="F170" s="36"/>
      <c r="G170" s="36"/>
      <c r="I170" s="1274"/>
      <c r="J170" s="50"/>
      <c r="K170" s="50"/>
      <c r="L170" s="50"/>
      <c r="M170" s="78"/>
      <c r="N170" s="78"/>
      <c r="O170" s="78"/>
      <c r="P170" s="78"/>
      <c r="Q170" s="78"/>
      <c r="R170" s="78"/>
      <c r="S170" s="78"/>
      <c r="T170" s="2121"/>
      <c r="U170" s="295"/>
      <c r="V170" s="78"/>
      <c r="W170" s="78"/>
      <c r="X170" s="78"/>
      <c r="Y170" s="873"/>
      <c r="Z170" s="78"/>
      <c r="AA170" s="78"/>
      <c r="AB170" s="874"/>
      <c r="AC170" s="1296"/>
      <c r="AD170" s="1297"/>
      <c r="AE170" s="1297"/>
      <c r="AF170" s="1297"/>
      <c r="AG170" s="1296"/>
      <c r="AH170" s="1297"/>
      <c r="AI170" s="1297"/>
      <c r="AJ170" s="1297"/>
      <c r="AK170" s="1296"/>
      <c r="AL170" s="1297"/>
      <c r="AM170" s="1297"/>
      <c r="AN170" s="1297"/>
      <c r="AO170" s="1296"/>
      <c r="AP170" s="1297"/>
      <c r="AQ170" s="1297"/>
      <c r="AR170" s="1298"/>
      <c r="AS170" s="1297"/>
      <c r="AT170" s="1297"/>
      <c r="AU170" s="1297"/>
      <c r="AV170" s="1298"/>
      <c r="AW170" s="1297"/>
      <c r="AX170" s="1297"/>
      <c r="AY170" s="1297"/>
      <c r="AZ170" s="1298"/>
      <c r="BA170" s="1297"/>
      <c r="BB170" s="1297"/>
      <c r="BC170" s="1297"/>
      <c r="BD170" s="1298"/>
      <c r="BE170" s="883"/>
      <c r="BF170" s="873"/>
      <c r="BG170" s="78"/>
      <c r="BH170" s="78"/>
      <c r="BI170" s="78"/>
      <c r="BJ170" s="78"/>
      <c r="BK170" s="78"/>
      <c r="BL170" s="403"/>
      <c r="BM170" s="1412"/>
      <c r="BN170" s="1458"/>
      <c r="BO170" s="1412"/>
      <c r="BP170" s="1949"/>
      <c r="BQ170" s="1412"/>
      <c r="BR170" s="1412"/>
      <c r="BS170" s="1412"/>
      <c r="BT170" s="1412"/>
      <c r="BU170" s="1412"/>
      <c r="BV170" s="1412"/>
      <c r="BW170" s="1412"/>
      <c r="BX170" s="1412"/>
      <c r="BY170" s="1634"/>
      <c r="BZ170" s="295"/>
      <c r="CA170" s="36"/>
      <c r="CB170" s="36"/>
      <c r="CC170" s="36"/>
      <c r="CD170" s="36"/>
      <c r="CE170" s="36"/>
      <c r="CF170" s="36"/>
      <c r="CG170" s="36"/>
    </row>
    <row r="171" spans="1:85" ht="11.25" customHeight="1">
      <c r="A171" s="36"/>
      <c r="B171" s="36"/>
      <c r="C171" s="36"/>
      <c r="D171" s="36"/>
      <c r="E171" s="36"/>
      <c r="F171" s="36"/>
      <c r="G171" s="36"/>
      <c r="I171" s="138" t="s">
        <v>682</v>
      </c>
      <c r="J171" s="50"/>
      <c r="K171" s="50"/>
      <c r="L171" s="50"/>
      <c r="M171" s="78"/>
      <c r="N171" s="78"/>
      <c r="O171" s="78"/>
      <c r="P171" s="78"/>
      <c r="Q171" s="78"/>
      <c r="R171" s="78"/>
      <c r="S171" s="78"/>
      <c r="T171" s="2121"/>
      <c r="U171" s="2735">
        <f>Model!U19</f>
        <v>21.472999999999999</v>
      </c>
      <c r="V171" s="2735">
        <f>Model!V19</f>
        <v>25.254999999999999</v>
      </c>
      <c r="W171" s="2735">
        <f>Model!W19</f>
        <v>28.484999999999999</v>
      </c>
      <c r="X171" s="2735">
        <f>Model!X19</f>
        <v>33.945</v>
      </c>
      <c r="Y171" s="2735">
        <f>Model!Y19</f>
        <v>38.866</v>
      </c>
      <c r="Z171" s="2735">
        <f>Model!Z19</f>
        <v>44.8</v>
      </c>
      <c r="AA171" s="2735">
        <f>Model!AA19</f>
        <v>51.167000000000002</v>
      </c>
      <c r="AB171" s="2735">
        <f>Model!AB19</f>
        <v>58.052</v>
      </c>
      <c r="AC171" s="2735">
        <f>Model!AC19</f>
        <v>65.2</v>
      </c>
      <c r="AD171" s="2735">
        <f>Model!AD19</f>
        <v>75.685000000000002</v>
      </c>
      <c r="AE171" s="2735">
        <f>Model!AE19</f>
        <v>85.132000000000005</v>
      </c>
      <c r="AF171" s="2735">
        <f>Model!AF19</f>
        <v>93.1</v>
      </c>
      <c r="AG171" s="1279">
        <f>AG67</f>
        <v>104.3</v>
      </c>
      <c r="AH171" s="1278">
        <f t="shared" ref="AH171:BD171" si="343">AH67</f>
        <v>113.5</v>
      </c>
      <c r="AI171" s="1278">
        <f t="shared" si="343"/>
        <v>121.9</v>
      </c>
      <c r="AJ171" s="1278">
        <f t="shared" si="343"/>
        <v>131.69999999999999</v>
      </c>
      <c r="AK171" s="1278">
        <f t="shared" si="343"/>
        <v>143</v>
      </c>
      <c r="AL171" s="1278">
        <f t="shared" si="343"/>
        <v>156.69999999999999</v>
      </c>
      <c r="AM171" s="1278">
        <f t="shared" si="343"/>
        <v>169</v>
      </c>
      <c r="AN171" s="1280">
        <f t="shared" si="343"/>
        <v>176.5</v>
      </c>
      <c r="AO171" s="1278">
        <f t="shared" si="343"/>
        <v>177</v>
      </c>
      <c r="AP171" s="1278">
        <f t="shared" si="343"/>
        <v>186.6</v>
      </c>
      <c r="AQ171" s="1278">
        <f t="shared" ref="AQ171:AR171" si="344">AQ67</f>
        <v>199.6</v>
      </c>
      <c r="AR171" s="1280">
        <f t="shared" si="344"/>
        <v>208.4</v>
      </c>
      <c r="AS171" s="1278">
        <f t="shared" si="343"/>
        <v>212</v>
      </c>
      <c r="AT171" s="1278">
        <f t="shared" si="343"/>
        <v>219.6</v>
      </c>
      <c r="AU171" s="1278">
        <f t="shared" si="343"/>
        <v>233.6</v>
      </c>
      <c r="AV171" s="1280">
        <f t="shared" si="343"/>
        <v>242.4</v>
      </c>
      <c r="AW171" s="1278">
        <f t="shared" si="343"/>
        <v>244</v>
      </c>
      <c r="AX171" s="1278">
        <f t="shared" si="343"/>
        <v>251.6</v>
      </c>
      <c r="AY171" s="1278">
        <f t="shared" si="343"/>
        <v>266.10000000000002</v>
      </c>
      <c r="AZ171" s="1280">
        <f t="shared" si="343"/>
        <v>274.39999999999998</v>
      </c>
      <c r="BA171" s="1278">
        <f t="shared" si="343"/>
        <v>275</v>
      </c>
      <c r="BB171" s="1278">
        <f t="shared" si="343"/>
        <v>282.60000000000002</v>
      </c>
      <c r="BC171" s="1278">
        <f t="shared" si="343"/>
        <v>296.60000000000002</v>
      </c>
      <c r="BD171" s="1280">
        <f t="shared" si="343"/>
        <v>304.39999999999998</v>
      </c>
      <c r="BE171" s="883"/>
      <c r="BF171" s="873"/>
      <c r="BG171" s="78"/>
      <c r="BH171" s="78"/>
      <c r="BI171" s="901"/>
      <c r="BJ171" s="901"/>
      <c r="BK171" s="901"/>
      <c r="BL171" s="1278">
        <f>+'Revenue drivers'!BL127</f>
        <v>0</v>
      </c>
      <c r="BM171" s="1278">
        <f>+'Revenue drivers'!BM127</f>
        <v>0</v>
      </c>
      <c r="BN171" s="1279">
        <f t="shared" ref="BN171:BY171" si="345">BN67</f>
        <v>319.11699999999996</v>
      </c>
      <c r="BO171" s="1278">
        <f t="shared" si="345"/>
        <v>471.40000000000003</v>
      </c>
      <c r="BP171" s="1278">
        <f t="shared" si="345"/>
        <v>645.20000000000005</v>
      </c>
      <c r="BQ171" s="1278">
        <f t="shared" si="345"/>
        <v>771.6</v>
      </c>
      <c r="BR171" s="1278">
        <f t="shared" si="345"/>
        <v>907.6</v>
      </c>
      <c r="BS171" s="1278">
        <f t="shared" si="345"/>
        <v>1036.0999999999999</v>
      </c>
      <c r="BT171" s="1278">
        <f t="shared" si="345"/>
        <v>1158.5999999999999</v>
      </c>
      <c r="BU171" s="1278">
        <f t="shared" si="345"/>
        <v>1276.5999999999999</v>
      </c>
      <c r="BV171" s="1278">
        <f t="shared" si="345"/>
        <v>1390.6</v>
      </c>
      <c r="BW171" s="1278">
        <f t="shared" si="345"/>
        <v>1499.6</v>
      </c>
      <c r="BX171" s="1278">
        <f t="shared" si="345"/>
        <v>1603.6</v>
      </c>
      <c r="BY171" s="1280">
        <f t="shared" si="345"/>
        <v>1703.6</v>
      </c>
      <c r="BZ171" s="295"/>
      <c r="CA171" s="36"/>
      <c r="CB171" s="36"/>
      <c r="CC171" s="36"/>
      <c r="CD171" s="36"/>
      <c r="CE171" s="36"/>
      <c r="CF171" s="36"/>
      <c r="CG171" s="36"/>
    </row>
    <row r="172" spans="1:85" ht="11.25" customHeight="1">
      <c r="A172" s="36"/>
      <c r="B172" s="36"/>
      <c r="C172" s="36"/>
      <c r="D172" s="36"/>
      <c r="E172" s="36"/>
      <c r="F172" s="36"/>
      <c r="G172" s="36"/>
      <c r="I172" s="1274" t="s">
        <v>146</v>
      </c>
      <c r="J172" s="5"/>
      <c r="K172" s="5"/>
      <c r="L172" s="5"/>
      <c r="M172" s="1263"/>
      <c r="N172" s="1263"/>
      <c r="O172" s="1263"/>
      <c r="P172" s="1263"/>
      <c r="Q172" s="1263"/>
      <c r="R172" s="1263"/>
      <c r="S172" s="1263"/>
      <c r="T172" s="2107"/>
      <c r="U172" s="1275"/>
      <c r="V172" s="1711">
        <f t="shared" ref="V172:BD172" si="346">V171/U171-1</f>
        <v>0.17612816094630457</v>
      </c>
      <c r="W172" s="1711">
        <f t="shared" si="346"/>
        <v>0.12789546624430814</v>
      </c>
      <c r="X172" s="1711">
        <f t="shared" si="346"/>
        <v>0.19167983149025813</v>
      </c>
      <c r="Y172" s="1712">
        <f t="shared" si="346"/>
        <v>0.14496980409485927</v>
      </c>
      <c r="Z172" s="1711">
        <f t="shared" si="346"/>
        <v>0.15267843359234279</v>
      </c>
      <c r="AA172" s="1711">
        <f t="shared" si="346"/>
        <v>0.14212053571428584</v>
      </c>
      <c r="AB172" s="1711">
        <f t="shared" si="346"/>
        <v>0.13455938397795442</v>
      </c>
      <c r="AC172" s="1712">
        <f t="shared" si="346"/>
        <v>0.12313098601254047</v>
      </c>
      <c r="AD172" s="1711">
        <f t="shared" si="346"/>
        <v>0.16081288343558287</v>
      </c>
      <c r="AE172" s="1711">
        <f t="shared" si="346"/>
        <v>0.12481997753848195</v>
      </c>
      <c r="AF172" s="1711">
        <f t="shared" si="346"/>
        <v>9.3595827655875485E-2</v>
      </c>
      <c r="AG172" s="1712">
        <f t="shared" si="346"/>
        <v>0.12030075187969924</v>
      </c>
      <c r="AH172" s="1711">
        <f t="shared" si="346"/>
        <v>8.8207094918504314E-2</v>
      </c>
      <c r="AI172" s="1711">
        <f t="shared" si="346"/>
        <v>7.4008810572687267E-2</v>
      </c>
      <c r="AJ172" s="1711">
        <f t="shared" si="346"/>
        <v>8.0393765381460147E-2</v>
      </c>
      <c r="AK172" s="1712">
        <f t="shared" si="346"/>
        <v>8.5801063022019841E-2</v>
      </c>
      <c r="AL172" s="1711">
        <f t="shared" si="346"/>
        <v>9.5804195804195746E-2</v>
      </c>
      <c r="AM172" s="1711">
        <f t="shared" si="346"/>
        <v>7.8493937460115015E-2</v>
      </c>
      <c r="AN172" s="1711">
        <f t="shared" si="346"/>
        <v>4.4378698224851965E-2</v>
      </c>
      <c r="AO172" s="1712">
        <f t="shared" si="346"/>
        <v>2.8328611898016387E-3</v>
      </c>
      <c r="AP172" s="1711">
        <f t="shared" si="346"/>
        <v>5.4237288135593253E-2</v>
      </c>
      <c r="AQ172" s="1711">
        <f t="shared" si="346"/>
        <v>6.9667738478027763E-2</v>
      </c>
      <c r="AR172" s="2355">
        <f t="shared" si="346"/>
        <v>4.4088176352705455E-2</v>
      </c>
      <c r="AS172" s="1711">
        <f t="shared" si="346"/>
        <v>1.7274472168905985E-2</v>
      </c>
      <c r="AT172" s="1711">
        <f t="shared" si="346"/>
        <v>3.5849056603773466E-2</v>
      </c>
      <c r="AU172" s="1711">
        <f t="shared" si="346"/>
        <v>6.3752276867030888E-2</v>
      </c>
      <c r="AV172" s="2355">
        <f t="shared" si="346"/>
        <v>3.7671232876712368E-2</v>
      </c>
      <c r="AW172" s="1711">
        <f t="shared" si="346"/>
        <v>6.6006600660066805E-3</v>
      </c>
      <c r="AX172" s="1711">
        <f t="shared" si="346"/>
        <v>3.1147540983606614E-2</v>
      </c>
      <c r="AY172" s="1711">
        <f t="shared" si="346"/>
        <v>5.7631160572337192E-2</v>
      </c>
      <c r="AZ172" s="2355">
        <f t="shared" si="346"/>
        <v>3.1191281473130328E-2</v>
      </c>
      <c r="BA172" s="1711">
        <f t="shared" si="346"/>
        <v>2.1865889212828726E-3</v>
      </c>
      <c r="BB172" s="1711">
        <f t="shared" si="346"/>
        <v>2.7636363636363681E-2</v>
      </c>
      <c r="BC172" s="1711">
        <f t="shared" si="346"/>
        <v>4.9539985845718393E-2</v>
      </c>
      <c r="BD172" s="2355">
        <f t="shared" si="346"/>
        <v>2.6298044504382778E-2</v>
      </c>
      <c r="BE172" s="883"/>
      <c r="BF172" s="1264"/>
      <c r="BG172" s="1263"/>
      <c r="BH172" s="1263"/>
      <c r="BI172" s="901"/>
      <c r="BJ172" s="901"/>
      <c r="BK172" s="901"/>
      <c r="BL172" s="901"/>
      <c r="BM172" s="403"/>
      <c r="BN172" s="403"/>
      <c r="BO172" s="403"/>
      <c r="BP172" s="403"/>
      <c r="BQ172" s="403"/>
      <c r="BR172" s="403"/>
      <c r="BS172" s="403"/>
      <c r="BT172" s="403"/>
      <c r="BU172" s="403"/>
      <c r="BV172" s="403"/>
      <c r="BW172" s="403"/>
      <c r="BX172" s="403"/>
      <c r="BY172" s="1261"/>
      <c r="BZ172" s="1268"/>
      <c r="CA172" s="36"/>
      <c r="CB172" s="36"/>
      <c r="CC172" s="36"/>
      <c r="CD172" s="36"/>
      <c r="CE172" s="36"/>
      <c r="CF172" s="36"/>
      <c r="CG172" s="36"/>
    </row>
    <row r="173" spans="1:85" ht="11.25" customHeight="1">
      <c r="A173" s="36"/>
      <c r="B173" s="36"/>
      <c r="C173" s="36"/>
      <c r="D173" s="36"/>
      <c r="E173" s="36"/>
      <c r="F173" s="36"/>
      <c r="G173" s="36"/>
      <c r="I173" s="1274" t="s">
        <v>510</v>
      </c>
      <c r="J173" s="5"/>
      <c r="K173" s="5"/>
      <c r="L173" s="5"/>
      <c r="M173" s="1263"/>
      <c r="N173" s="1263"/>
      <c r="O173" s="1263"/>
      <c r="P173" s="1263"/>
      <c r="Q173" s="1263"/>
      <c r="R173" s="1263"/>
      <c r="S173" s="1263"/>
      <c r="T173" s="2107"/>
      <c r="U173" s="1268"/>
      <c r="V173" s="1713">
        <f t="shared" ref="V173:BD173" si="347">V171-U171</f>
        <v>3.782</v>
      </c>
      <c r="W173" s="1713">
        <f t="shared" si="347"/>
        <v>3.2300000000000004</v>
      </c>
      <c r="X173" s="1713">
        <f t="shared" si="347"/>
        <v>5.4600000000000009</v>
      </c>
      <c r="Y173" s="1714">
        <f t="shared" si="347"/>
        <v>4.9209999999999994</v>
      </c>
      <c r="Z173" s="1713">
        <f t="shared" si="347"/>
        <v>5.9339999999999975</v>
      </c>
      <c r="AA173" s="1713">
        <f t="shared" si="347"/>
        <v>6.3670000000000044</v>
      </c>
      <c r="AB173" s="1713">
        <f t="shared" si="347"/>
        <v>6.884999999999998</v>
      </c>
      <c r="AC173" s="1714">
        <f t="shared" si="347"/>
        <v>7.1480000000000032</v>
      </c>
      <c r="AD173" s="1713">
        <f t="shared" si="347"/>
        <v>10.484999999999999</v>
      </c>
      <c r="AE173" s="1713">
        <f t="shared" si="347"/>
        <v>9.4470000000000027</v>
      </c>
      <c r="AF173" s="1713">
        <f t="shared" si="347"/>
        <v>7.9679999999999893</v>
      </c>
      <c r="AG173" s="1714">
        <f t="shared" si="347"/>
        <v>11.200000000000003</v>
      </c>
      <c r="AH173" s="1713">
        <f t="shared" si="347"/>
        <v>9.2000000000000028</v>
      </c>
      <c r="AI173" s="1713">
        <f t="shared" si="347"/>
        <v>8.4000000000000057</v>
      </c>
      <c r="AJ173" s="1713">
        <f t="shared" si="347"/>
        <v>9.7999999999999829</v>
      </c>
      <c r="AK173" s="1714">
        <f t="shared" si="347"/>
        <v>11.300000000000011</v>
      </c>
      <c r="AL173" s="1713">
        <f t="shared" si="347"/>
        <v>13.699999999999989</v>
      </c>
      <c r="AM173" s="1713">
        <f t="shared" si="347"/>
        <v>12.300000000000011</v>
      </c>
      <c r="AN173" s="1713">
        <f t="shared" si="347"/>
        <v>7.5</v>
      </c>
      <c r="AO173" s="1714">
        <f t="shared" si="347"/>
        <v>0.5</v>
      </c>
      <c r="AP173" s="1713">
        <f t="shared" si="347"/>
        <v>9.5999999999999943</v>
      </c>
      <c r="AQ173" s="1713">
        <f t="shared" si="347"/>
        <v>13</v>
      </c>
      <c r="AR173" s="2356">
        <f t="shared" si="347"/>
        <v>8.8000000000000114</v>
      </c>
      <c r="AS173" s="1713">
        <f t="shared" si="347"/>
        <v>3.5999999999999943</v>
      </c>
      <c r="AT173" s="1713">
        <f t="shared" si="347"/>
        <v>7.5999999999999943</v>
      </c>
      <c r="AU173" s="1713">
        <f t="shared" si="347"/>
        <v>14</v>
      </c>
      <c r="AV173" s="2356">
        <f t="shared" si="347"/>
        <v>8.8000000000000114</v>
      </c>
      <c r="AW173" s="1713">
        <f t="shared" si="347"/>
        <v>1.5999999999999943</v>
      </c>
      <c r="AX173" s="1713">
        <f t="shared" si="347"/>
        <v>7.5999999999999943</v>
      </c>
      <c r="AY173" s="1713">
        <f t="shared" si="347"/>
        <v>14.500000000000028</v>
      </c>
      <c r="AZ173" s="2356">
        <f t="shared" si="347"/>
        <v>8.2999999999999545</v>
      </c>
      <c r="BA173" s="1713">
        <f t="shared" si="347"/>
        <v>0.60000000000002274</v>
      </c>
      <c r="BB173" s="1713">
        <f t="shared" si="347"/>
        <v>7.6000000000000227</v>
      </c>
      <c r="BC173" s="1713">
        <f t="shared" si="347"/>
        <v>14</v>
      </c>
      <c r="BD173" s="2356">
        <f t="shared" si="347"/>
        <v>7.7999999999999545</v>
      </c>
      <c r="BE173" s="883"/>
      <c r="BF173" s="1264"/>
      <c r="BG173" s="1263"/>
      <c r="BH173" s="1263"/>
      <c r="BI173" s="1263"/>
      <c r="BJ173" s="1263"/>
      <c r="BK173" s="1263"/>
      <c r="BL173" s="1263"/>
      <c r="BM173" s="1442"/>
      <c r="BN173" s="1650"/>
      <c r="BO173" s="1442"/>
      <c r="BP173" s="1442"/>
      <c r="BQ173" s="1442"/>
      <c r="BR173" s="1442"/>
      <c r="BS173" s="1442"/>
      <c r="BT173" s="1442"/>
      <c r="BU173" s="1442"/>
      <c r="BV173" s="1442"/>
      <c r="BW173" s="1442"/>
      <c r="BX173" s="1442"/>
      <c r="BY173" s="1443"/>
      <c r="BZ173" s="1268"/>
      <c r="CA173" s="36"/>
      <c r="CB173" s="36"/>
      <c r="CC173" s="36"/>
      <c r="CD173" s="36"/>
      <c r="CE173" s="36"/>
      <c r="CF173" s="36"/>
      <c r="CG173" s="36"/>
    </row>
    <row r="174" spans="1:85" s="1455" customFormat="1" ht="11.25" customHeight="1">
      <c r="A174" s="1444"/>
      <c r="B174" s="1444"/>
      <c r="C174" s="1444"/>
      <c r="D174" s="1444"/>
      <c r="E174" s="1444"/>
      <c r="F174" s="1444"/>
      <c r="G174" s="1444"/>
      <c r="H174" s="1445"/>
      <c r="I174" s="1446" t="s">
        <v>683</v>
      </c>
      <c r="J174" s="1447"/>
      <c r="K174" s="1447"/>
      <c r="L174" s="1447"/>
      <c r="M174" s="1448"/>
      <c r="N174" s="1448"/>
      <c r="O174" s="1448"/>
      <c r="P174" s="1448"/>
      <c r="Q174" s="1448"/>
      <c r="R174" s="1448"/>
      <c r="S174" s="1448"/>
      <c r="T174" s="2785"/>
      <c r="U174" s="1303">
        <f>(U171/AVERAGE(U169)*1000000)</f>
        <v>40261.874999999993</v>
      </c>
      <c r="V174" s="1303">
        <f t="shared" ref="V174:BD174" si="348">(V171/AVERAGE(U169,V169)*1000000)</f>
        <v>45918.181818181816</v>
      </c>
      <c r="W174" s="1303">
        <f t="shared" si="348"/>
        <v>45469.014084507042</v>
      </c>
      <c r="X174" s="1303">
        <f t="shared" si="348"/>
        <v>46643.595854922285</v>
      </c>
      <c r="Y174" s="1408">
        <f t="shared" si="348"/>
        <v>49535.098039215685</v>
      </c>
      <c r="Z174" s="1303">
        <f t="shared" si="348"/>
        <v>54303.030303030297</v>
      </c>
      <c r="AA174" s="1303">
        <f t="shared" si="348"/>
        <v>53860.000000000007</v>
      </c>
      <c r="AB174" s="1303">
        <f t="shared" si="348"/>
        <v>54001.860465116275</v>
      </c>
      <c r="AC174" s="1408">
        <f t="shared" si="348"/>
        <v>55489.361702127666</v>
      </c>
      <c r="AD174" s="1303">
        <f t="shared" si="348"/>
        <v>58219.230769230773</v>
      </c>
      <c r="AE174" s="1303">
        <f t="shared" si="348"/>
        <v>58711.724137931036</v>
      </c>
      <c r="AF174" s="1351">
        <f t="shared" si="348"/>
        <v>60064.516129032258</v>
      </c>
      <c r="AG174" s="1408">
        <f t="shared" si="348"/>
        <v>66222.222222222219</v>
      </c>
      <c r="AH174" s="1303">
        <f t="shared" si="348"/>
        <v>67761.19402985074</v>
      </c>
      <c r="AI174" s="1303">
        <f t="shared" si="348"/>
        <v>63324.675324675329</v>
      </c>
      <c r="AJ174" s="1303">
        <f t="shared" si="348"/>
        <v>61255.813953488367</v>
      </c>
      <c r="AK174" s="1408">
        <f t="shared" si="348"/>
        <v>63555.555555555562</v>
      </c>
      <c r="AL174" s="1303">
        <f t="shared" si="348"/>
        <v>66680.851063829788</v>
      </c>
      <c r="AM174" s="1303">
        <f t="shared" si="348"/>
        <v>68979.591836734689</v>
      </c>
      <c r="AN174" s="1303">
        <f t="shared" si="348"/>
        <v>71313.131313131307</v>
      </c>
      <c r="AO174" s="1408">
        <f t="shared" si="348"/>
        <v>70800</v>
      </c>
      <c r="AP174" s="1303">
        <f t="shared" si="348"/>
        <v>70415.094339622636</v>
      </c>
      <c r="AQ174" s="1303">
        <f t="shared" si="348"/>
        <v>68827.586206896551</v>
      </c>
      <c r="AR174" s="1351">
        <f t="shared" si="348"/>
        <v>65637.795275590543</v>
      </c>
      <c r="AS174" s="1303">
        <f t="shared" si="348"/>
        <v>63759.398496240596</v>
      </c>
      <c r="AT174" s="1303">
        <f t="shared" si="348"/>
        <v>65066.666666666664</v>
      </c>
      <c r="AU174" s="1303">
        <f t="shared" si="348"/>
        <v>67956.363636363632</v>
      </c>
      <c r="AV174" s="1351">
        <f t="shared" si="348"/>
        <v>69010.676156583635</v>
      </c>
      <c r="AW174" s="1303">
        <f t="shared" si="348"/>
        <v>67777.777777777781</v>
      </c>
      <c r="AX174" s="1303">
        <f t="shared" si="348"/>
        <v>68000</v>
      </c>
      <c r="AY174" s="1303">
        <f t="shared" si="348"/>
        <v>70257.425742574269</v>
      </c>
      <c r="AZ174" s="1351">
        <f t="shared" si="348"/>
        <v>71272.727272727265</v>
      </c>
      <c r="BA174" s="1303">
        <f t="shared" si="348"/>
        <v>70242.656449553004</v>
      </c>
      <c r="BB174" s="1303">
        <f t="shared" si="348"/>
        <v>70738.423028785983</v>
      </c>
      <c r="BC174" s="1303">
        <f t="shared" si="348"/>
        <v>73054.187192118232</v>
      </c>
      <c r="BD174" s="1351">
        <f t="shared" si="348"/>
        <v>74153.471376370275</v>
      </c>
      <c r="BE174" s="2588"/>
      <c r="BF174" s="1450"/>
      <c r="BG174" s="1448"/>
      <c r="BH174" s="1448"/>
      <c r="BI174" s="1451"/>
      <c r="BJ174" s="1451"/>
      <c r="BK174" s="1451"/>
      <c r="BL174" s="1961" t="e">
        <f>(BL171/AVERAGE(BL169)*1000000)</f>
        <v>#DIV/0!</v>
      </c>
      <c r="BM174" s="1452" t="e">
        <f t="shared" ref="BM174:BY174" si="349">(BM171/AVERAGE(BL169,BM169)*1000000)</f>
        <v>#DIV/0!</v>
      </c>
      <c r="BN174" s="2748">
        <f t="shared" si="349"/>
        <v>411763.87096774188</v>
      </c>
      <c r="BO174" s="2749">
        <f t="shared" si="349"/>
        <v>251413.33333333337</v>
      </c>
      <c r="BP174" s="2749">
        <f t="shared" si="349"/>
        <v>277505.37634408608</v>
      </c>
      <c r="BQ174" s="2749">
        <f t="shared" si="349"/>
        <v>268382.60869565216</v>
      </c>
      <c r="BR174" s="2749">
        <f t="shared" si="349"/>
        <v>264992.70072992705</v>
      </c>
      <c r="BS174" s="2749">
        <f t="shared" si="349"/>
        <v>279084.17508417502</v>
      </c>
      <c r="BT174" s="2749">
        <f t="shared" si="349"/>
        <v>289649.99999999994</v>
      </c>
      <c r="BU174" s="2749">
        <f t="shared" si="349"/>
        <v>302601.48148148146</v>
      </c>
      <c r="BV174" s="2749">
        <f t="shared" si="349"/>
        <v>317624.5538900785</v>
      </c>
      <c r="BW174" s="2749">
        <f t="shared" si="349"/>
        <v>334009.88376139762</v>
      </c>
      <c r="BX174" s="2749">
        <f t="shared" si="349"/>
        <v>351067.59983306989</v>
      </c>
      <c r="BY174" s="2750">
        <f t="shared" si="349"/>
        <v>368549.39517287584</v>
      </c>
      <c r="BZ174" s="1454"/>
      <c r="CA174" s="1444"/>
      <c r="CB174" s="1444"/>
      <c r="CC174" s="1444"/>
      <c r="CD174" s="1444"/>
      <c r="CE174" s="1444"/>
      <c r="CF174" s="1444"/>
      <c r="CG174" s="1444"/>
    </row>
    <row r="175" spans="1:85" s="528" customFormat="1" ht="11.25" customHeight="1">
      <c r="I175" s="1716" t="s">
        <v>132</v>
      </c>
      <c r="J175" s="1717"/>
      <c r="K175" s="1717"/>
      <c r="L175" s="1717"/>
      <c r="M175" s="1718"/>
      <c r="N175" s="1718"/>
      <c r="O175" s="1718"/>
      <c r="P175" s="1718"/>
      <c r="Q175" s="1718"/>
      <c r="R175" s="1718"/>
      <c r="S175" s="1718"/>
      <c r="T175" s="2107"/>
      <c r="U175" s="1275"/>
      <c r="V175" s="1723"/>
      <c r="W175" s="1723"/>
      <c r="X175" s="1723"/>
      <c r="Y175" s="1724"/>
      <c r="Z175" s="1725">
        <f t="shared" ref="Z175:BD175" si="350">Z174/V174-1</f>
        <v>0.18260410479772982</v>
      </c>
      <c r="AA175" s="1725">
        <f t="shared" si="350"/>
        <v>0.18454294830096352</v>
      </c>
      <c r="AB175" s="1726">
        <f t="shared" si="350"/>
        <v>0.15775508888896006</v>
      </c>
      <c r="AC175" s="1724">
        <f t="shared" si="350"/>
        <v>0.12020292476655925</v>
      </c>
      <c r="AD175" s="1725">
        <f t="shared" si="350"/>
        <v>7.2117530906593563E-2</v>
      </c>
      <c r="AE175" s="1725">
        <f t="shared" si="350"/>
        <v>9.0080284774062935E-2</v>
      </c>
      <c r="AF175" s="1726">
        <f t="shared" si="350"/>
        <v>0.11226753322382832</v>
      </c>
      <c r="AG175" s="1978">
        <f t="shared" si="350"/>
        <v>0.19342194955691872</v>
      </c>
      <c r="AH175" s="1725">
        <f t="shared" si="350"/>
        <v>0.16389710297689053</v>
      </c>
      <c r="AI175" s="1725">
        <f t="shared" si="350"/>
        <v>7.8569506422722535E-2</v>
      </c>
      <c r="AJ175" s="1725">
        <f t="shared" si="350"/>
        <v>1.9833637249269342E-2</v>
      </c>
      <c r="AK175" s="1724">
        <f t="shared" si="350"/>
        <v>-4.0268456375838757E-2</v>
      </c>
      <c r="AL175" s="403">
        <f t="shared" si="350"/>
        <v>-1.5943387384009688E-2</v>
      </c>
      <c r="AM175" s="403">
        <f t="shared" si="350"/>
        <v>8.9300363295440999E-2</v>
      </c>
      <c r="AN175" s="1725">
        <f t="shared" si="350"/>
        <v>0.16418551498278156</v>
      </c>
      <c r="AO175" s="1724">
        <f t="shared" si="350"/>
        <v>0.11398601398601382</v>
      </c>
      <c r="AP175" s="1725">
        <f t="shared" si="350"/>
        <v>5.6001733874366355E-2</v>
      </c>
      <c r="AQ175" s="1725">
        <f t="shared" si="350"/>
        <v>-2.2036319118546865E-3</v>
      </c>
      <c r="AR175" s="1726">
        <f t="shared" si="350"/>
        <v>-7.9583324039169345E-2</v>
      </c>
      <c r="AS175" s="1725">
        <f t="shared" si="350"/>
        <v>-9.9443524064398381E-2</v>
      </c>
      <c r="AT175" s="1725">
        <f t="shared" si="350"/>
        <v>-7.5955698463736954E-2</v>
      </c>
      <c r="AU175" s="1725">
        <f t="shared" si="350"/>
        <v>-1.2658043359446203E-2</v>
      </c>
      <c r="AV175" s="1726">
        <f t="shared" si="350"/>
        <v>5.1386261022807522E-2</v>
      </c>
      <c r="AW175" s="1725">
        <f t="shared" si="350"/>
        <v>6.3024109014675256E-2</v>
      </c>
      <c r="AX175" s="1725">
        <f t="shared" si="350"/>
        <v>4.508196721311486E-2</v>
      </c>
      <c r="AY175" s="1725">
        <f t="shared" si="350"/>
        <v>3.3860877526109112E-2</v>
      </c>
      <c r="AZ175" s="1726">
        <f t="shared" si="350"/>
        <v>3.2778277827782532E-2</v>
      </c>
      <c r="BA175" s="1725">
        <f t="shared" si="350"/>
        <v>3.6367062370454173E-2</v>
      </c>
      <c r="BB175" s="1725">
        <f t="shared" si="350"/>
        <v>4.027092689391143E-2</v>
      </c>
      <c r="BC175" s="1725">
        <f t="shared" si="350"/>
        <v>3.9807343067071566E-2</v>
      </c>
      <c r="BD175" s="1726">
        <f t="shared" si="350"/>
        <v>4.0418603494991157E-2</v>
      </c>
      <c r="BE175" s="2589"/>
      <c r="BF175" s="1721"/>
      <c r="BG175" s="1718"/>
      <c r="BH175" s="1718"/>
      <c r="BI175" s="1302"/>
      <c r="BJ175" s="1302"/>
      <c r="BK175" s="1302"/>
      <c r="BL175" s="1302"/>
      <c r="BM175" s="1725" t="e">
        <f>BM174/BL174-1</f>
        <v>#DIV/0!</v>
      </c>
      <c r="BN175" s="1724"/>
      <c r="BO175" s="1725">
        <f t="shared" ref="BO175:BY175" si="351">BO174/BN174-1</f>
        <v>-0.38942352386951062</v>
      </c>
      <c r="BP175" s="1725">
        <f t="shared" si="351"/>
        <v>0.10378146085099993</v>
      </c>
      <c r="BQ175" s="1725">
        <f t="shared" si="351"/>
        <v>-3.2874201460956098E-2</v>
      </c>
      <c r="BR175" s="1725">
        <f t="shared" si="351"/>
        <v>-1.2630877917910399E-2</v>
      </c>
      <c r="BS175" s="1725">
        <f t="shared" si="351"/>
        <v>5.3176839646649654E-2</v>
      </c>
      <c r="BT175" s="1725">
        <f t="shared" si="351"/>
        <v>3.7858918058102597E-2</v>
      </c>
      <c r="BU175" s="1725">
        <f t="shared" si="351"/>
        <v>4.4714246440467953E-2</v>
      </c>
      <c r="BV175" s="1725">
        <f t="shared" si="351"/>
        <v>4.9646394112305092E-2</v>
      </c>
      <c r="BW175" s="1725">
        <f t="shared" si="351"/>
        <v>5.1587100778706318E-2</v>
      </c>
      <c r="BX175" s="1725">
        <f t="shared" si="351"/>
        <v>5.1069494949010474E-2</v>
      </c>
      <c r="BY175" s="1726">
        <f t="shared" si="351"/>
        <v>4.9796094393553814E-2</v>
      </c>
      <c r="BZ175" s="1718"/>
    </row>
    <row r="176" spans="1:85" s="528" customFormat="1" ht="11.25" customHeight="1">
      <c r="I176" s="1716" t="s">
        <v>498</v>
      </c>
      <c r="J176" s="1717"/>
      <c r="K176" s="1717"/>
      <c r="L176" s="1717"/>
      <c r="M176" s="1718"/>
      <c r="N176" s="1718"/>
      <c r="O176" s="1718"/>
      <c r="P176" s="1718"/>
      <c r="Q176" s="1718"/>
      <c r="R176" s="1718"/>
      <c r="S176" s="1718"/>
      <c r="T176" s="1719"/>
      <c r="U176" s="1722"/>
      <c r="V176" s="1723"/>
      <c r="W176" s="1723"/>
      <c r="X176" s="1723"/>
      <c r="Y176" s="1724"/>
      <c r="Z176" s="1725"/>
      <c r="AA176" s="1725"/>
      <c r="AB176" s="1725"/>
      <c r="AC176" s="1724">
        <f t="shared" ref="AC176:BD176" si="352">+AC175+Y175</f>
        <v>0.12020292476655925</v>
      </c>
      <c r="AD176" s="1725">
        <f t="shared" si="352"/>
        <v>0.25472163570432338</v>
      </c>
      <c r="AE176" s="1725">
        <f t="shared" si="352"/>
        <v>0.27462323307502645</v>
      </c>
      <c r="AF176" s="1725">
        <f t="shared" si="352"/>
        <v>0.27002262211278838</v>
      </c>
      <c r="AG176" s="1724">
        <f t="shared" si="352"/>
        <v>0.31362487432347796</v>
      </c>
      <c r="AH176" s="1725">
        <f t="shared" si="352"/>
        <v>0.23601463388348409</v>
      </c>
      <c r="AI176" s="1725">
        <f t="shared" si="352"/>
        <v>0.16864979119678547</v>
      </c>
      <c r="AJ176" s="1725">
        <f t="shared" si="352"/>
        <v>0.13210117047309766</v>
      </c>
      <c r="AK176" s="1724">
        <f t="shared" si="352"/>
        <v>0.15315349318107996</v>
      </c>
      <c r="AL176" s="1725">
        <f t="shared" si="352"/>
        <v>0.14795371559288084</v>
      </c>
      <c r="AM176" s="1725">
        <f t="shared" si="352"/>
        <v>0.16786986971816353</v>
      </c>
      <c r="AN176" s="1725">
        <f t="shared" si="352"/>
        <v>0.1840191522320509</v>
      </c>
      <c r="AO176" s="1724">
        <f t="shared" si="352"/>
        <v>7.3717557610175066E-2</v>
      </c>
      <c r="AP176" s="1725">
        <f t="shared" si="352"/>
        <v>4.0058346490356667E-2</v>
      </c>
      <c r="AQ176" s="1725">
        <f t="shared" si="352"/>
        <v>8.7096731383586312E-2</v>
      </c>
      <c r="AR176" s="1726">
        <f t="shared" si="352"/>
        <v>8.460219094361221E-2</v>
      </c>
      <c r="AS176" s="1725">
        <f t="shared" si="352"/>
        <v>1.4542489921615442E-2</v>
      </c>
      <c r="AT176" s="1725">
        <f t="shared" si="352"/>
        <v>-1.9953964589370599E-2</v>
      </c>
      <c r="AU176" s="1725">
        <f t="shared" si="352"/>
        <v>-1.4861675271300889E-2</v>
      </c>
      <c r="AV176" s="1726">
        <f t="shared" si="352"/>
        <v>-2.8197063016361823E-2</v>
      </c>
      <c r="AW176" s="1725">
        <f t="shared" si="352"/>
        <v>-3.6419415049723125E-2</v>
      </c>
      <c r="AX176" s="1725">
        <f t="shared" si="352"/>
        <v>-3.0873731250622094E-2</v>
      </c>
      <c r="AY176" s="1725">
        <f t="shared" si="352"/>
        <v>2.1202834166662909E-2</v>
      </c>
      <c r="AZ176" s="1726">
        <f t="shared" si="352"/>
        <v>8.4164538850590054E-2</v>
      </c>
      <c r="BA176" s="1725">
        <f t="shared" si="352"/>
        <v>9.9391171385129429E-2</v>
      </c>
      <c r="BB176" s="1725">
        <f t="shared" si="352"/>
        <v>8.5352894107026289E-2</v>
      </c>
      <c r="BC176" s="1725">
        <f t="shared" si="352"/>
        <v>7.3668220593180678E-2</v>
      </c>
      <c r="BD176" s="1725">
        <f t="shared" si="352"/>
        <v>7.3196881322773688E-2</v>
      </c>
      <c r="BE176" s="1720"/>
      <c r="BF176" s="1721"/>
      <c r="BG176" s="1718"/>
      <c r="BH176" s="1718"/>
      <c r="BI176" s="1302"/>
      <c r="BJ176" s="1302"/>
      <c r="BK176" s="1302"/>
      <c r="BL176" s="1302"/>
      <c r="BM176" s="1725"/>
      <c r="BN176" s="1725"/>
      <c r="BO176" s="1725"/>
      <c r="BP176" s="1725">
        <f t="shared" ref="BP176:BY176" si="353">+BP175+BO175</f>
        <v>-0.28564206301851069</v>
      </c>
      <c r="BQ176" s="1725">
        <f t="shared" si="353"/>
        <v>7.0907259390043831E-2</v>
      </c>
      <c r="BR176" s="1725">
        <f t="shared" si="353"/>
        <v>-4.5505079378866498E-2</v>
      </c>
      <c r="BS176" s="1725">
        <f t="shared" si="353"/>
        <v>4.0545961728739255E-2</v>
      </c>
      <c r="BT176" s="1725">
        <f t="shared" si="353"/>
        <v>9.1035757704752251E-2</v>
      </c>
      <c r="BU176" s="1725">
        <f t="shared" si="353"/>
        <v>8.257316449857055E-2</v>
      </c>
      <c r="BV176" s="1725">
        <f t="shared" si="353"/>
        <v>9.4360640552773045E-2</v>
      </c>
      <c r="BW176" s="1725">
        <f t="shared" si="353"/>
        <v>0.10123349489101141</v>
      </c>
      <c r="BX176" s="1725">
        <f t="shared" si="353"/>
        <v>0.10265659572771679</v>
      </c>
      <c r="BY176" s="1726">
        <f t="shared" si="353"/>
        <v>0.10086558934256429</v>
      </c>
      <c r="BZ176" s="1718"/>
    </row>
    <row r="177" spans="1:85" ht="11.25" customHeight="1">
      <c r="A177" s="36"/>
      <c r="B177" s="36"/>
      <c r="C177" s="36"/>
      <c r="D177" s="36"/>
      <c r="E177" s="36"/>
      <c r="F177" s="36"/>
      <c r="G177" s="36"/>
      <c r="I177" s="1274" t="s">
        <v>146</v>
      </c>
      <c r="J177" s="5"/>
      <c r="K177" s="5"/>
      <c r="L177" s="5"/>
      <c r="M177" s="1263"/>
      <c r="N177" s="1263"/>
      <c r="O177" s="1263"/>
      <c r="P177" s="1263"/>
      <c r="Q177" s="1263"/>
      <c r="R177" s="1263"/>
      <c r="S177" s="1263"/>
      <c r="T177" s="1265"/>
      <c r="U177" s="1275"/>
      <c r="V177" s="1711">
        <f t="shared" ref="V177:BD177" si="354">V174/U174-1</f>
        <v>0.14048791364490154</v>
      </c>
      <c r="W177" s="1711">
        <f t="shared" si="354"/>
        <v>-9.7819146118046651E-3</v>
      </c>
      <c r="X177" s="1711">
        <f t="shared" si="354"/>
        <v>2.5832576185448097E-2</v>
      </c>
      <c r="Y177" s="1712">
        <f t="shared" si="354"/>
        <v>6.1991408065685372E-2</v>
      </c>
      <c r="Z177" s="1711">
        <f t="shared" si="354"/>
        <v>9.625361516474551E-2</v>
      </c>
      <c r="AA177" s="1711">
        <f t="shared" si="354"/>
        <v>-8.1584821428568599E-3</v>
      </c>
      <c r="AB177" s="1711">
        <f t="shared" si="354"/>
        <v>2.6338742130758153E-3</v>
      </c>
      <c r="AC177" s="1712">
        <f t="shared" si="354"/>
        <v>2.7545370181686124E-2</v>
      </c>
      <c r="AD177" s="1711">
        <f t="shared" si="354"/>
        <v>4.919626002831512E-2</v>
      </c>
      <c r="AE177" s="1711">
        <f t="shared" si="354"/>
        <v>8.4592902069147158E-3</v>
      </c>
      <c r="AF177" s="1711">
        <f t="shared" si="354"/>
        <v>2.3041258129689934E-2</v>
      </c>
      <c r="AG177" s="1712">
        <f t="shared" si="354"/>
        <v>0.10251820026256109</v>
      </c>
      <c r="AH177" s="1711">
        <f t="shared" si="354"/>
        <v>2.3239507162175599E-2</v>
      </c>
      <c r="AI177" s="1711">
        <f t="shared" si="354"/>
        <v>-6.5472853138051179E-2</v>
      </c>
      <c r="AJ177" s="1711">
        <f t="shared" si="354"/>
        <v>-3.267069843753001E-2</v>
      </c>
      <c r="AK177" s="1712">
        <f t="shared" si="354"/>
        <v>3.7543237998818979E-2</v>
      </c>
      <c r="AL177" s="1711">
        <f t="shared" si="354"/>
        <v>4.9174230025293753E-2</v>
      </c>
      <c r="AM177" s="1711">
        <f t="shared" si="354"/>
        <v>3.4473776747456997E-2</v>
      </c>
      <c r="AN177" s="1711">
        <f t="shared" si="354"/>
        <v>3.3829418444803139E-2</v>
      </c>
      <c r="AO177" s="1712">
        <f t="shared" si="354"/>
        <v>-7.1954674220962023E-3</v>
      </c>
      <c r="AP177" s="1711">
        <f t="shared" si="354"/>
        <v>-5.4365206267988908E-3</v>
      </c>
      <c r="AQ177" s="1711">
        <f t="shared" si="354"/>
        <v>-2.2544997597664151E-2</v>
      </c>
      <c r="AR177" s="2355">
        <f t="shared" si="354"/>
        <v>-4.6344657819576307E-2</v>
      </c>
      <c r="AS177" s="1711">
        <f t="shared" si="354"/>
        <v>-2.861760928232282E-2</v>
      </c>
      <c r="AT177" s="1711">
        <f t="shared" si="354"/>
        <v>2.0503144654088201E-2</v>
      </c>
      <c r="AU177" s="1711">
        <f t="shared" si="354"/>
        <v>4.4411326378539506E-2</v>
      </c>
      <c r="AV177" s="2355">
        <f t="shared" si="354"/>
        <v>1.5514551747672245E-2</v>
      </c>
      <c r="AW177" s="1711">
        <f t="shared" si="354"/>
        <v>-1.7865328199486608E-2</v>
      </c>
      <c r="AX177" s="1711">
        <f t="shared" si="354"/>
        <v>3.2786885245901232E-3</v>
      </c>
      <c r="AY177" s="1711">
        <f t="shared" si="354"/>
        <v>3.3197437390798168E-2</v>
      </c>
      <c r="AZ177" s="2355">
        <f t="shared" si="354"/>
        <v>1.4451163267397593E-2</v>
      </c>
      <c r="BA177" s="1711">
        <f t="shared" si="354"/>
        <v>-1.4452524304740866E-2</v>
      </c>
      <c r="BB177" s="1711">
        <f t="shared" si="354"/>
        <v>7.0579133007167005E-3</v>
      </c>
      <c r="BC177" s="1711">
        <f t="shared" si="354"/>
        <v>3.2737005776759753E-2</v>
      </c>
      <c r="BD177" s="1711">
        <f t="shared" si="354"/>
        <v>1.5047517828938872E-2</v>
      </c>
      <c r="BE177" s="1222"/>
      <c r="BF177" s="1264"/>
      <c r="BG177" s="1263"/>
      <c r="BH177" s="1263"/>
      <c r="BI177" s="901"/>
      <c r="BJ177" s="901"/>
      <c r="BK177" s="901"/>
      <c r="BL177" s="901"/>
      <c r="BM177" s="403"/>
      <c r="BN177" s="403"/>
      <c r="BO177" s="403"/>
      <c r="BP177" s="403"/>
      <c r="BQ177" s="403"/>
      <c r="BR177" s="403"/>
      <c r="BS177" s="403"/>
      <c r="BT177" s="403"/>
      <c r="BU177" s="403"/>
      <c r="BV177" s="403"/>
      <c r="BW177" s="403"/>
      <c r="BX177" s="403"/>
      <c r="BY177" s="1261"/>
      <c r="BZ177" s="1268"/>
      <c r="CA177" s="36"/>
      <c r="CB177" s="36"/>
      <c r="CC177" s="36"/>
      <c r="CD177" s="36"/>
      <c r="CE177" s="36"/>
      <c r="CF177" s="36"/>
      <c r="CG177" s="36"/>
    </row>
    <row r="178" spans="1:85" ht="11.25" customHeight="1">
      <c r="A178" s="36"/>
      <c r="B178" s="36"/>
      <c r="C178" s="36"/>
      <c r="D178" s="36"/>
      <c r="E178" s="36"/>
      <c r="F178" s="36"/>
      <c r="G178" s="36"/>
      <c r="I178" s="1274" t="s">
        <v>470</v>
      </c>
      <c r="J178" s="5"/>
      <c r="K178" s="5"/>
      <c r="L178" s="5"/>
      <c r="M178" s="1263"/>
      <c r="N178" s="1263"/>
      <c r="O178" s="1263"/>
      <c r="P178" s="1263"/>
      <c r="Q178" s="1263"/>
      <c r="R178" s="1263"/>
      <c r="S178" s="1263"/>
      <c r="T178" s="1265"/>
      <c r="U178" s="1263"/>
      <c r="V178" s="1263"/>
      <c r="W178" s="1263"/>
      <c r="X178" s="1263"/>
      <c r="Y178" s="1456">
        <f t="shared" ref="Y178:BD178" si="355">+Y174-U174</f>
        <v>9273.2230392156926</v>
      </c>
      <c r="Z178" s="1457">
        <f t="shared" si="355"/>
        <v>8384.8484848484804</v>
      </c>
      <c r="AA178" s="1457">
        <f t="shared" si="355"/>
        <v>8390.9859154929654</v>
      </c>
      <c r="AB178" s="1457">
        <f t="shared" si="355"/>
        <v>7358.2646101939899</v>
      </c>
      <c r="AC178" s="1456">
        <f t="shared" si="355"/>
        <v>5954.2636629119806</v>
      </c>
      <c r="AD178" s="1457">
        <f t="shared" si="355"/>
        <v>3916.2004662004765</v>
      </c>
      <c r="AE178" s="1457">
        <f t="shared" si="355"/>
        <v>4851.724137931029</v>
      </c>
      <c r="AF178" s="1457">
        <f t="shared" si="355"/>
        <v>6062.6556639159826</v>
      </c>
      <c r="AG178" s="1456">
        <f t="shared" si="355"/>
        <v>10732.860520094553</v>
      </c>
      <c r="AH178" s="1457">
        <f t="shared" si="355"/>
        <v>9541.9632606199666</v>
      </c>
      <c r="AI178" s="1457">
        <f t="shared" si="355"/>
        <v>4612.9511867442925</v>
      </c>
      <c r="AJ178" s="1457">
        <f t="shared" si="355"/>
        <v>1191.2978244561091</v>
      </c>
      <c r="AK178" s="1456">
        <f t="shared" si="355"/>
        <v>-2666.666666666657</v>
      </c>
      <c r="AL178" s="1457">
        <f t="shared" si="355"/>
        <v>-1080.3429660209513</v>
      </c>
      <c r="AM178" s="1457">
        <f t="shared" si="355"/>
        <v>5654.9165120593607</v>
      </c>
      <c r="AN178" s="1457">
        <f t="shared" si="355"/>
        <v>10057.317359642941</v>
      </c>
      <c r="AO178" s="1456">
        <f t="shared" si="355"/>
        <v>7244.444444444438</v>
      </c>
      <c r="AP178" s="1457">
        <f t="shared" si="355"/>
        <v>3734.2432757928473</v>
      </c>
      <c r="AQ178" s="1457">
        <f t="shared" si="355"/>
        <v>-152.0056298381387</v>
      </c>
      <c r="AR178" s="2357">
        <f t="shared" si="355"/>
        <v>-5675.3360375407647</v>
      </c>
      <c r="AS178" s="1457">
        <f t="shared" si="355"/>
        <v>-7040.6015037594043</v>
      </c>
      <c r="AT178" s="1457">
        <f t="shared" si="355"/>
        <v>-5348.4276729559715</v>
      </c>
      <c r="AU178" s="1457">
        <f t="shared" si="355"/>
        <v>-871.22257053291833</v>
      </c>
      <c r="AV178" s="2357">
        <f t="shared" si="355"/>
        <v>3372.8808809930924</v>
      </c>
      <c r="AW178" s="1457">
        <f t="shared" si="355"/>
        <v>4018.3792815371853</v>
      </c>
      <c r="AX178" s="1457">
        <f t="shared" si="355"/>
        <v>2933.3333333333358</v>
      </c>
      <c r="AY178" s="1457">
        <f t="shared" si="355"/>
        <v>2301.0621062106366</v>
      </c>
      <c r="AZ178" s="2357">
        <f t="shared" si="355"/>
        <v>2262.0511161436298</v>
      </c>
      <c r="BA178" s="1457">
        <f t="shared" si="355"/>
        <v>2464.8786717752228</v>
      </c>
      <c r="BB178" s="1457">
        <f t="shared" si="355"/>
        <v>2738.4230287859828</v>
      </c>
      <c r="BC178" s="1457">
        <f t="shared" si="355"/>
        <v>2796.761449543963</v>
      </c>
      <c r="BD178" s="1457">
        <f t="shared" si="355"/>
        <v>2880.74410364301</v>
      </c>
      <c r="BE178" s="1222"/>
      <c r="BF178" s="1264"/>
      <c r="BG178" s="1263"/>
      <c r="BH178" s="1263"/>
      <c r="BI178" s="1263"/>
      <c r="BJ178" s="1263"/>
      <c r="BK178" s="1263"/>
      <c r="BL178" s="1263"/>
      <c r="BM178" s="1442" t="e">
        <f>+BM174-BL174</f>
        <v>#DIV/0!</v>
      </c>
      <c r="BN178" s="1650"/>
      <c r="BO178" s="1442">
        <f t="shared" ref="BO178:BY178" si="356">+BO174-BN174</f>
        <v>-160350.53763440851</v>
      </c>
      <c r="BP178" s="1442">
        <f t="shared" si="356"/>
        <v>26092.043010752706</v>
      </c>
      <c r="BQ178" s="1442">
        <f t="shared" si="356"/>
        <v>-9122.7676484339172</v>
      </c>
      <c r="BR178" s="1442">
        <f t="shared" si="356"/>
        <v>-3389.9079657251132</v>
      </c>
      <c r="BS178" s="1442">
        <f t="shared" si="356"/>
        <v>14091.47435424797</v>
      </c>
      <c r="BT178" s="1442">
        <f t="shared" si="356"/>
        <v>10565.824915824924</v>
      </c>
      <c r="BU178" s="1442">
        <f t="shared" si="356"/>
        <v>12951.481481481518</v>
      </c>
      <c r="BV178" s="1442">
        <f t="shared" si="356"/>
        <v>15023.072408597043</v>
      </c>
      <c r="BW178" s="1442">
        <f t="shared" si="356"/>
        <v>16385.329871319118</v>
      </c>
      <c r="BX178" s="1442">
        <f t="shared" si="356"/>
        <v>17057.716071672272</v>
      </c>
      <c r="BY178" s="1443">
        <f t="shared" si="356"/>
        <v>17481.795339805947</v>
      </c>
      <c r="BZ178" s="1268"/>
      <c r="CA178" s="36"/>
      <c r="CB178" s="36"/>
      <c r="CC178" s="36"/>
      <c r="CD178" s="36"/>
      <c r="CE178" s="36"/>
      <c r="CF178" s="36"/>
      <c r="CG178" s="36"/>
    </row>
    <row r="179" spans="1:85" ht="11.25" customHeight="1">
      <c r="A179" s="36"/>
      <c r="B179" s="36"/>
      <c r="C179" s="36"/>
      <c r="D179" s="36"/>
      <c r="E179" s="36"/>
      <c r="F179" s="36"/>
      <c r="G179" s="36"/>
      <c r="I179" s="1274" t="s">
        <v>510</v>
      </c>
      <c r="J179" s="5"/>
      <c r="K179" s="5"/>
      <c r="L179" s="5"/>
      <c r="M179" s="1263"/>
      <c r="N179" s="1263"/>
      <c r="O179" s="1263"/>
      <c r="P179" s="1263"/>
      <c r="Q179" s="1263"/>
      <c r="R179" s="1263"/>
      <c r="S179" s="1263"/>
      <c r="T179" s="1265"/>
      <c r="U179" s="1263"/>
      <c r="V179" s="1263">
        <f t="shared" ref="V179:BD179" si="357">V174-U174</f>
        <v>5656.3068181818235</v>
      </c>
      <c r="W179" s="1263">
        <f t="shared" si="357"/>
        <v>-449.16773367477435</v>
      </c>
      <c r="X179" s="1263">
        <f t="shared" si="357"/>
        <v>1174.5817704152432</v>
      </c>
      <c r="Y179" s="1456">
        <f t="shared" si="357"/>
        <v>2891.5021842934002</v>
      </c>
      <c r="Z179" s="1457">
        <f t="shared" si="357"/>
        <v>4767.9322638146114</v>
      </c>
      <c r="AA179" s="1457">
        <f t="shared" si="357"/>
        <v>-443.03030303028936</v>
      </c>
      <c r="AB179" s="1457">
        <f t="shared" si="357"/>
        <v>141.86046511626773</v>
      </c>
      <c r="AC179" s="1456">
        <f t="shared" si="357"/>
        <v>1487.5012370113909</v>
      </c>
      <c r="AD179" s="1457">
        <f t="shared" si="357"/>
        <v>2729.8690671031072</v>
      </c>
      <c r="AE179" s="1457">
        <f t="shared" si="357"/>
        <v>492.49336870026309</v>
      </c>
      <c r="AF179" s="1457">
        <f t="shared" si="357"/>
        <v>1352.7919911012214</v>
      </c>
      <c r="AG179" s="1456">
        <f t="shared" si="357"/>
        <v>6157.7060931899614</v>
      </c>
      <c r="AH179" s="1457">
        <f t="shared" si="357"/>
        <v>1538.9718076285208</v>
      </c>
      <c r="AI179" s="1457">
        <f t="shared" si="357"/>
        <v>-4436.518705175411</v>
      </c>
      <c r="AJ179" s="1457">
        <f t="shared" si="357"/>
        <v>-2068.8613711869621</v>
      </c>
      <c r="AK179" s="1456">
        <f t="shared" si="357"/>
        <v>2299.7416020671953</v>
      </c>
      <c r="AL179" s="1457">
        <f t="shared" si="357"/>
        <v>3125.2955082742264</v>
      </c>
      <c r="AM179" s="1457">
        <f t="shared" si="357"/>
        <v>2298.740772904901</v>
      </c>
      <c r="AN179" s="1457">
        <f t="shared" si="357"/>
        <v>2333.5394763966178</v>
      </c>
      <c r="AO179" s="1456">
        <f t="shared" si="357"/>
        <v>-513.13131313130725</v>
      </c>
      <c r="AP179" s="1457">
        <f t="shared" si="357"/>
        <v>-384.90566037736426</v>
      </c>
      <c r="AQ179" s="1457">
        <f t="shared" si="357"/>
        <v>-1587.508132726085</v>
      </c>
      <c r="AR179" s="2357">
        <f t="shared" si="357"/>
        <v>-3189.7909313060081</v>
      </c>
      <c r="AS179" s="1457">
        <f t="shared" si="357"/>
        <v>-1878.3967793499469</v>
      </c>
      <c r="AT179" s="1457">
        <f t="shared" si="357"/>
        <v>1307.2681704260685</v>
      </c>
      <c r="AU179" s="1457">
        <f t="shared" si="357"/>
        <v>2889.6969696969682</v>
      </c>
      <c r="AV179" s="2357">
        <f t="shared" si="357"/>
        <v>1054.3125202200026</v>
      </c>
      <c r="AW179" s="1457">
        <f t="shared" si="357"/>
        <v>-1232.898378805854</v>
      </c>
      <c r="AX179" s="1457">
        <f t="shared" si="357"/>
        <v>222.22222222221899</v>
      </c>
      <c r="AY179" s="1457">
        <f t="shared" si="357"/>
        <v>2257.425742574269</v>
      </c>
      <c r="AZ179" s="2357">
        <f t="shared" si="357"/>
        <v>1015.3015301529958</v>
      </c>
      <c r="BA179" s="1457">
        <f t="shared" si="357"/>
        <v>-1030.070823174261</v>
      </c>
      <c r="BB179" s="1457">
        <f t="shared" si="357"/>
        <v>495.76657923297898</v>
      </c>
      <c r="BC179" s="1457">
        <f t="shared" si="357"/>
        <v>2315.7641633322492</v>
      </c>
      <c r="BD179" s="1457">
        <f t="shared" si="357"/>
        <v>1099.2841842520429</v>
      </c>
      <c r="BE179" s="1222"/>
      <c r="BF179" s="1264"/>
      <c r="BG179" s="1263"/>
      <c r="BH179" s="1263"/>
      <c r="BI179" s="1263"/>
      <c r="BJ179" s="1263"/>
      <c r="BK179" s="1263"/>
      <c r="BL179" s="1263"/>
      <c r="BM179" s="1442"/>
      <c r="BN179" s="1650"/>
      <c r="BO179" s="1442"/>
      <c r="BP179" s="1442"/>
      <c r="BQ179" s="1442"/>
      <c r="BR179" s="1442"/>
      <c r="BS179" s="1442"/>
      <c r="BT179" s="1442"/>
      <c r="BU179" s="1442"/>
      <c r="BV179" s="1442"/>
      <c r="BW179" s="1442"/>
      <c r="BX179" s="1442"/>
      <c r="BY179" s="1443"/>
      <c r="BZ179" s="1268"/>
      <c r="CA179" s="36"/>
      <c r="CB179" s="36"/>
      <c r="CC179" s="36"/>
      <c r="CD179" s="36"/>
      <c r="CE179" s="36"/>
      <c r="CF179" s="36"/>
      <c r="CG179" s="36"/>
    </row>
    <row r="180" spans="1:85" ht="11.25" customHeight="1">
      <c r="A180" s="36"/>
      <c r="B180" s="36"/>
      <c r="C180" s="36"/>
      <c r="D180" s="36"/>
      <c r="E180" s="36"/>
      <c r="F180" s="36"/>
      <c r="G180" s="36"/>
      <c r="I180" s="1274"/>
      <c r="J180" s="5"/>
      <c r="K180" s="5"/>
      <c r="L180" s="5"/>
      <c r="M180" s="1263"/>
      <c r="N180" s="1263"/>
      <c r="O180" s="1263"/>
      <c r="P180" s="1263"/>
      <c r="Q180" s="1263"/>
      <c r="R180" s="1263"/>
      <c r="S180" s="1263"/>
      <c r="T180" s="1265"/>
      <c r="U180" s="1263"/>
      <c r="V180" s="1263"/>
      <c r="W180" s="1263"/>
      <c r="X180" s="1263"/>
      <c r="Y180" s="1456"/>
      <c r="Z180" s="1457"/>
      <c r="AA180" s="1457"/>
      <c r="AB180" s="1457"/>
      <c r="AC180" s="1456"/>
      <c r="AD180" s="1457"/>
      <c r="AE180" s="1457"/>
      <c r="AF180" s="1457"/>
      <c r="AG180" s="1456"/>
      <c r="AH180" s="1457"/>
      <c r="AI180" s="1457"/>
      <c r="AJ180" s="1457"/>
      <c r="AK180" s="1456"/>
      <c r="AL180" s="1457"/>
      <c r="AM180" s="1457"/>
      <c r="AN180" s="1457"/>
      <c r="AO180" s="1456"/>
      <c r="AP180" s="1457"/>
      <c r="AQ180" s="1457"/>
      <c r="AR180" s="2357"/>
      <c r="AS180" s="1457"/>
      <c r="AT180" s="1457"/>
      <c r="AU180" s="1457"/>
      <c r="AV180" s="2357"/>
      <c r="AW180" s="1457"/>
      <c r="AX180" s="1457"/>
      <c r="AY180" s="1457"/>
      <c r="AZ180" s="2357"/>
      <c r="BA180" s="1457"/>
      <c r="BB180" s="1457"/>
      <c r="BC180" s="1457"/>
      <c r="BD180" s="1457"/>
      <c r="BE180" s="1222"/>
      <c r="BF180" s="1264"/>
      <c r="BG180" s="1263"/>
      <c r="BH180" s="1263"/>
      <c r="BI180" s="1263"/>
      <c r="BJ180" s="1263"/>
      <c r="BK180" s="1263"/>
      <c r="BL180" s="1263"/>
      <c r="BM180" s="1442"/>
      <c r="BN180" s="1650"/>
      <c r="BO180" s="1442"/>
      <c r="BP180" s="1442"/>
      <c r="BQ180" s="1442"/>
      <c r="BR180" s="1442"/>
      <c r="BS180" s="1442"/>
      <c r="BT180" s="1442"/>
      <c r="BU180" s="1442"/>
      <c r="BV180" s="1442"/>
      <c r="BW180" s="1442"/>
      <c r="BX180" s="1442"/>
      <c r="BY180" s="1443"/>
      <c r="BZ180" s="1268"/>
      <c r="CA180" s="36"/>
      <c r="CB180" s="36"/>
      <c r="CC180" s="36"/>
      <c r="CD180" s="36"/>
      <c r="CE180" s="36"/>
      <c r="CF180" s="36"/>
      <c r="CG180" s="36"/>
    </row>
    <row r="181" spans="1:85" ht="11.25" customHeight="1">
      <c r="A181" s="36"/>
      <c r="B181" s="36"/>
      <c r="C181" s="36"/>
      <c r="D181" s="36"/>
      <c r="E181" s="36"/>
      <c r="F181" s="36"/>
      <c r="G181" s="36"/>
      <c r="I181" s="1274"/>
      <c r="J181" s="5"/>
      <c r="K181" s="5"/>
      <c r="L181" s="5"/>
      <c r="M181" s="1263"/>
      <c r="N181" s="1263"/>
      <c r="O181" s="1263"/>
      <c r="P181" s="1263"/>
      <c r="Q181" s="1263"/>
      <c r="R181" s="1263"/>
      <c r="S181" s="1263"/>
      <c r="T181" s="1263"/>
      <c r="U181" s="1263"/>
      <c r="V181" s="1263"/>
      <c r="W181" s="1263"/>
      <c r="X181" s="1263"/>
      <c r="Y181" s="1456"/>
      <c r="Z181" s="1457"/>
      <c r="AA181" s="1457"/>
      <c r="AB181" s="1457"/>
      <c r="AC181" s="1456"/>
      <c r="AD181" s="1457"/>
      <c r="AE181" s="1457"/>
      <c r="AF181" s="1457"/>
      <c r="AG181" s="1456"/>
      <c r="AH181" s="1457"/>
      <c r="AI181" s="1457"/>
      <c r="AJ181" s="2357"/>
      <c r="AK181" s="1457"/>
      <c r="AL181" s="1457"/>
      <c r="AM181" s="1457"/>
      <c r="AN181" s="1457"/>
      <c r="AO181" s="1456"/>
      <c r="AP181" s="1457"/>
      <c r="AQ181" s="1457"/>
      <c r="AR181" s="2357"/>
      <c r="AS181" s="1457"/>
      <c r="AT181" s="1457"/>
      <c r="AU181" s="1457"/>
      <c r="AV181" s="2357"/>
      <c r="AW181" s="1457"/>
      <c r="AX181" s="1457"/>
      <c r="AY181" s="1457"/>
      <c r="AZ181" s="2357"/>
      <c r="BA181" s="1457"/>
      <c r="BB181" s="1457"/>
      <c r="BC181" s="1457"/>
      <c r="BD181" s="1457"/>
      <c r="BE181" s="1222"/>
      <c r="BF181" s="1264"/>
      <c r="BG181" s="1263"/>
      <c r="BH181" s="1263"/>
      <c r="BI181" s="1263"/>
      <c r="BJ181" s="1263"/>
      <c r="BK181" s="1263"/>
      <c r="BL181" s="1263"/>
      <c r="BM181" s="1442"/>
      <c r="BN181" s="1650"/>
      <c r="BO181" s="1442"/>
      <c r="BP181" s="1442"/>
      <c r="BQ181" s="1442"/>
      <c r="BR181" s="1442"/>
      <c r="BS181" s="1442"/>
      <c r="BT181" s="1442"/>
      <c r="BU181" s="1442"/>
      <c r="BV181" s="1442"/>
      <c r="BW181" s="1442"/>
      <c r="BX181" s="1442"/>
      <c r="BY181" s="1443"/>
      <c r="BZ181" s="1268"/>
      <c r="CA181" s="36"/>
      <c r="CB181" s="36"/>
      <c r="CC181" s="36"/>
      <c r="CD181" s="36"/>
      <c r="CE181" s="36"/>
      <c r="CF181" s="36"/>
      <c r="CG181" s="36"/>
    </row>
    <row r="182" spans="1:85" ht="11.25" customHeight="1">
      <c r="A182" s="36"/>
      <c r="B182" s="36"/>
      <c r="C182" s="36"/>
      <c r="D182" s="36"/>
      <c r="E182" s="36"/>
      <c r="F182" s="36"/>
      <c r="G182" s="36"/>
      <c r="I182" s="1446" t="s">
        <v>684</v>
      </c>
      <c r="J182" s="5"/>
      <c r="K182" s="5"/>
      <c r="L182" s="5"/>
      <c r="M182" s="1263"/>
      <c r="N182" s="1263"/>
      <c r="O182" s="1263"/>
      <c r="P182" s="1263"/>
      <c r="Q182" s="1263"/>
      <c r="R182" s="1263"/>
      <c r="S182" s="1263"/>
      <c r="T182" s="1263"/>
      <c r="U182" s="1263"/>
      <c r="V182" s="1263"/>
      <c r="W182" s="1263"/>
      <c r="X182" s="1263"/>
      <c r="Y182" s="2275">
        <f t="shared" ref="Y182:BD182" si="358">+(Y171*1000000)/(W169)</f>
        <v>56633.314285714288</v>
      </c>
      <c r="Z182" s="2736">
        <f t="shared" si="358"/>
        <v>58239.999999999993</v>
      </c>
      <c r="AA182" s="2736">
        <f t="shared" si="358"/>
        <v>63958.75</v>
      </c>
      <c r="AB182" s="2736">
        <f t="shared" si="358"/>
        <v>68296.470588235301</v>
      </c>
      <c r="AC182" s="2736">
        <f t="shared" si="358"/>
        <v>62095.238095238092</v>
      </c>
      <c r="AD182" s="2736">
        <f t="shared" si="358"/>
        <v>68804.545454545456</v>
      </c>
      <c r="AE182" s="2736">
        <f t="shared" si="358"/>
        <v>68105.600000000006</v>
      </c>
      <c r="AF182" s="2737">
        <f t="shared" si="358"/>
        <v>68962.962962962964</v>
      </c>
      <c r="AG182" s="2736">
        <f t="shared" si="358"/>
        <v>67290.322580645166</v>
      </c>
      <c r="AH182" s="2736">
        <f t="shared" si="358"/>
        <v>73225.806451612909</v>
      </c>
      <c r="AI182" s="2736">
        <f t="shared" si="358"/>
        <v>76187.5</v>
      </c>
      <c r="AJ182" s="2737">
        <f t="shared" si="358"/>
        <v>75257.142857142855</v>
      </c>
      <c r="AK182" s="2736">
        <f t="shared" si="358"/>
        <v>68095.238095238092</v>
      </c>
      <c r="AL182" s="2736">
        <f t="shared" si="358"/>
        <v>71227.272727272721</v>
      </c>
      <c r="AM182" s="2736">
        <f t="shared" si="358"/>
        <v>73478.260869565216</v>
      </c>
      <c r="AN182" s="2736">
        <f t="shared" si="358"/>
        <v>73541.666666666672</v>
      </c>
      <c r="AO182" s="2738">
        <f t="shared" si="358"/>
        <v>70800</v>
      </c>
      <c r="AP182" s="2736">
        <f t="shared" si="358"/>
        <v>76163.265306122456</v>
      </c>
      <c r="AQ182" s="2736">
        <f t="shared" si="358"/>
        <v>78274.509803921566</v>
      </c>
      <c r="AR182" s="2737">
        <f t="shared" si="358"/>
        <v>75781.818181818177</v>
      </c>
      <c r="AS182" s="2736">
        <f t="shared" si="358"/>
        <v>69508.196721311469</v>
      </c>
      <c r="AT182" s="2736">
        <f t="shared" si="358"/>
        <v>66545.454545454544</v>
      </c>
      <c r="AU182" s="2736">
        <f t="shared" si="358"/>
        <v>69731.343283582086</v>
      </c>
      <c r="AV182" s="2737">
        <f t="shared" si="358"/>
        <v>71294.117647058825</v>
      </c>
      <c r="AW182" s="2736">
        <f t="shared" si="358"/>
        <v>70215.8273381295</v>
      </c>
      <c r="AX182" s="2736">
        <f t="shared" si="358"/>
        <v>70873.239436619711</v>
      </c>
      <c r="AY182" s="2736">
        <f t="shared" si="358"/>
        <v>72904.109589041109</v>
      </c>
      <c r="AZ182" s="2737">
        <f t="shared" si="358"/>
        <v>73173.333333333328</v>
      </c>
      <c r="BA182" s="2736">
        <f t="shared" si="358"/>
        <v>71895.424836601305</v>
      </c>
      <c r="BB182" s="2736">
        <f t="shared" si="358"/>
        <v>72929.032258064515</v>
      </c>
      <c r="BC182" s="2736">
        <f t="shared" si="358"/>
        <v>74993.678887484202</v>
      </c>
      <c r="BD182" s="2736">
        <f t="shared" si="358"/>
        <v>75439.900867410164</v>
      </c>
      <c r="BE182" s="1222"/>
      <c r="BF182" s="1264"/>
      <c r="BG182" s="1263"/>
      <c r="BH182" s="1263"/>
      <c r="BI182" s="1263"/>
      <c r="BJ182" s="1263"/>
      <c r="BK182" s="1263"/>
      <c r="BL182" s="1263"/>
      <c r="BM182" s="1442"/>
      <c r="BN182" s="2751">
        <f>SUM(AC182:AF182)</f>
        <v>267968.34651274653</v>
      </c>
      <c r="BO182" s="2752">
        <f>SUM(AG182:AJ182)</f>
        <v>291960.7718894009</v>
      </c>
      <c r="BP182" s="1199">
        <f>SUM(AK182:AN182)</f>
        <v>286342.43835874269</v>
      </c>
      <c r="BQ182" s="1199">
        <f>SUM(AO182:AR182)</f>
        <v>301019.59329186217</v>
      </c>
      <c r="BR182" s="1199">
        <f>SUM(AS182:AV182)</f>
        <v>277079.11219740694</v>
      </c>
      <c r="BS182" s="1199">
        <f>SUM(AW182:AZ182)</f>
        <v>287166.50969712361</v>
      </c>
      <c r="BT182" s="1199">
        <f>SUM(BA182:BD182)</f>
        <v>295258.03684956022</v>
      </c>
      <c r="BU182" s="1442"/>
      <c r="BV182" s="1442"/>
      <c r="BW182" s="1442"/>
      <c r="BX182" s="1442"/>
      <c r="BY182" s="1443"/>
      <c r="BZ182" s="1268"/>
      <c r="CA182" s="36"/>
      <c r="CB182" s="36"/>
      <c r="CC182" s="36"/>
      <c r="CD182" s="36"/>
      <c r="CE182" s="36"/>
      <c r="CF182" s="36"/>
      <c r="CG182" s="36"/>
    </row>
    <row r="183" spans="1:85" ht="11.25" customHeight="1">
      <c r="A183" s="36"/>
      <c r="B183" s="36"/>
      <c r="C183" s="36"/>
      <c r="D183" s="36"/>
      <c r="E183" s="36"/>
      <c r="F183" s="36"/>
      <c r="G183" s="36"/>
      <c r="I183" s="1274" t="s">
        <v>543</v>
      </c>
      <c r="J183" s="5"/>
      <c r="K183" s="5"/>
      <c r="L183" s="5"/>
      <c r="M183" s="1263"/>
      <c r="N183" s="1263"/>
      <c r="O183" s="1263"/>
      <c r="P183" s="1263"/>
      <c r="Q183" s="1263"/>
      <c r="R183" s="1263"/>
      <c r="S183" s="1263"/>
      <c r="T183" s="1263"/>
      <c r="U183" s="1263"/>
      <c r="V183" s="1263"/>
      <c r="W183" s="1263"/>
      <c r="X183" s="1263"/>
      <c r="Y183" s="1456"/>
      <c r="Z183" s="1457"/>
      <c r="AA183" s="1457"/>
      <c r="AB183" s="1457"/>
      <c r="AC183" s="1724">
        <f t="shared" ref="AC183:BD183" si="359">+AC182/Y182-1</f>
        <v>9.6443654735947071E-2</v>
      </c>
      <c r="AD183" s="1725">
        <f t="shared" si="359"/>
        <v>0.18139672827172837</v>
      </c>
      <c r="AE183" s="1725">
        <f t="shared" si="359"/>
        <v>6.4836320284558546E-2</v>
      </c>
      <c r="AF183" s="1726">
        <f t="shared" si="359"/>
        <v>9.7588113849396141E-3</v>
      </c>
      <c r="AG183" s="1725">
        <f t="shared" si="359"/>
        <v>8.3663170393825537E-2</v>
      </c>
      <c r="AH183" s="1725">
        <f t="shared" si="359"/>
        <v>6.4258269099216392E-2</v>
      </c>
      <c r="AI183" s="1725">
        <f t="shared" si="359"/>
        <v>0.11866718742658455</v>
      </c>
      <c r="AJ183" s="1726">
        <f t="shared" si="359"/>
        <v>9.1268988798526962E-2</v>
      </c>
      <c r="AK183" s="1725">
        <f t="shared" si="359"/>
        <v>1.1961831712550719E-2</v>
      </c>
      <c r="AL183" s="1725">
        <f t="shared" si="359"/>
        <v>-2.7292751301562057E-2</v>
      </c>
      <c r="AM183" s="1725">
        <f t="shared" si="359"/>
        <v>-3.5560152655419675E-2</v>
      </c>
      <c r="AN183" s="1725">
        <f t="shared" si="359"/>
        <v>-2.2794862060237842E-2</v>
      </c>
      <c r="AO183" s="1724">
        <f t="shared" si="359"/>
        <v>3.9720279720279805E-2</v>
      </c>
      <c r="AP183" s="403">
        <f t="shared" si="359"/>
        <v>6.9299193831968253E-2</v>
      </c>
      <c r="AQ183" s="403">
        <f t="shared" si="359"/>
        <v>6.527439378118105E-2</v>
      </c>
      <c r="AR183" s="1726">
        <f t="shared" si="359"/>
        <v>3.0460983775431272E-2</v>
      </c>
      <c r="AS183" s="1725">
        <f t="shared" si="359"/>
        <v>-1.8245809021024462E-2</v>
      </c>
      <c r="AT183" s="1725">
        <f t="shared" si="359"/>
        <v>-0.12627886582870518</v>
      </c>
      <c r="AU183" s="1725">
        <f t="shared" si="359"/>
        <v>-0.10914366045523882</v>
      </c>
      <c r="AV183" s="1726">
        <f t="shared" si="359"/>
        <v>-5.9218697075759219E-2</v>
      </c>
      <c r="AW183" s="1725">
        <f t="shared" si="359"/>
        <v>1.018053481742931E-2</v>
      </c>
      <c r="AX183" s="1725">
        <f t="shared" si="359"/>
        <v>6.5035018856307136E-2</v>
      </c>
      <c r="AY183" s="1725">
        <f t="shared" si="359"/>
        <v>4.5499859260649478E-2</v>
      </c>
      <c r="AZ183" s="1726">
        <f t="shared" si="359"/>
        <v>2.6358635863586333E-2</v>
      </c>
      <c r="BA183" s="1725">
        <f t="shared" si="359"/>
        <v>2.3920497160612841E-2</v>
      </c>
      <c r="BB183" s="1725">
        <f t="shared" si="359"/>
        <v>2.90066157238833E-2</v>
      </c>
      <c r="BC183" s="1725">
        <f t="shared" si="359"/>
        <v>2.8661886280786586E-2</v>
      </c>
      <c r="BD183" s="1725">
        <f t="shared" si="359"/>
        <v>3.0975321620948071E-2</v>
      </c>
      <c r="BE183" s="1222"/>
      <c r="BF183" s="1264"/>
      <c r="BG183" s="1263"/>
      <c r="BH183" s="1263"/>
      <c r="BI183" s="1263"/>
      <c r="BJ183" s="1263"/>
      <c r="BK183" s="1263"/>
      <c r="BL183" s="1263"/>
      <c r="BM183" s="1442"/>
      <c r="BN183" s="1650"/>
      <c r="BO183" s="1725">
        <f t="shared" ref="BO183:BT183" si="360">+BO182/BN182-1</f>
        <v>8.9534550214172892E-2</v>
      </c>
      <c r="BP183" s="1725">
        <f t="shared" si="360"/>
        <v>-1.9243453475957129E-2</v>
      </c>
      <c r="BQ183" s="1725">
        <f t="shared" si="360"/>
        <v>5.1257351223402248E-2</v>
      </c>
      <c r="BR183" s="1725">
        <f t="shared" si="360"/>
        <v>-7.9531305031174671E-2</v>
      </c>
      <c r="BS183" s="1725">
        <f t="shared" si="360"/>
        <v>3.6406199730168787E-2</v>
      </c>
      <c r="BT183" s="1725">
        <f t="shared" si="360"/>
        <v>2.8177126786026685E-2</v>
      </c>
      <c r="BU183" s="1442"/>
      <c r="BV183" s="1442"/>
      <c r="BW183" s="1442"/>
      <c r="BX183" s="1442"/>
      <c r="BY183" s="1443"/>
      <c r="BZ183" s="1268"/>
      <c r="CA183" s="36"/>
      <c r="CB183" s="36"/>
      <c r="CC183" s="36"/>
      <c r="CD183" s="36"/>
      <c r="CE183" s="36"/>
      <c r="CF183" s="36"/>
      <c r="CG183" s="36"/>
    </row>
    <row r="184" spans="1:85" s="528" customFormat="1" ht="11.25" customHeight="1">
      <c r="I184" s="1716" t="s">
        <v>498</v>
      </c>
      <c r="J184" s="1717"/>
      <c r="K184" s="1717"/>
      <c r="L184" s="1717"/>
      <c r="M184" s="1718"/>
      <c r="N184" s="1718"/>
      <c r="O184" s="1718"/>
      <c r="P184" s="1718"/>
      <c r="Q184" s="1718"/>
      <c r="R184" s="1718"/>
      <c r="S184" s="1718"/>
      <c r="T184" s="1719"/>
      <c r="U184" s="1722"/>
      <c r="V184" s="1723"/>
      <c r="W184" s="1723"/>
      <c r="X184" s="1723"/>
      <c r="Y184" s="1724"/>
      <c r="Z184" s="1725"/>
      <c r="AA184" s="1725"/>
      <c r="AB184" s="1725"/>
      <c r="AC184" s="1724">
        <f t="shared" ref="AC184:BD184" si="361">+AC183+Y183</f>
        <v>9.6443654735947071E-2</v>
      </c>
      <c r="AD184" s="1725">
        <f t="shared" si="361"/>
        <v>0.18139672827172837</v>
      </c>
      <c r="AE184" s="1725">
        <f t="shared" si="361"/>
        <v>6.4836320284558546E-2</v>
      </c>
      <c r="AF184" s="1725">
        <f t="shared" si="361"/>
        <v>9.7588113849396141E-3</v>
      </c>
      <c r="AG184" s="1724">
        <f t="shared" si="361"/>
        <v>0.18010682512977261</v>
      </c>
      <c r="AH184" s="1725">
        <f t="shared" si="361"/>
        <v>0.24565499737094476</v>
      </c>
      <c r="AI184" s="1725">
        <f t="shared" si="361"/>
        <v>0.1835035077111431</v>
      </c>
      <c r="AJ184" s="1725">
        <f t="shared" si="361"/>
        <v>0.10102780018346658</v>
      </c>
      <c r="AK184" s="1724">
        <f t="shared" si="361"/>
        <v>9.5625002106376256E-2</v>
      </c>
      <c r="AL184" s="1725">
        <f t="shared" si="361"/>
        <v>3.6965517797654335E-2</v>
      </c>
      <c r="AM184" s="1725">
        <f t="shared" si="361"/>
        <v>8.3107034771164878E-2</v>
      </c>
      <c r="AN184" s="1725">
        <f t="shared" si="361"/>
        <v>6.8474126738289121E-2</v>
      </c>
      <c r="AO184" s="1724">
        <f t="shared" si="361"/>
        <v>5.1682111432830524E-2</v>
      </c>
      <c r="AP184" s="1725">
        <f t="shared" si="361"/>
        <v>4.2006442530406196E-2</v>
      </c>
      <c r="AQ184" s="1725">
        <f t="shared" si="361"/>
        <v>2.9714241125761376E-2</v>
      </c>
      <c r="AR184" s="1726">
        <f t="shared" si="361"/>
        <v>7.6661217151934302E-3</v>
      </c>
      <c r="AS184" s="1725">
        <f t="shared" si="361"/>
        <v>2.1474470699255344E-2</v>
      </c>
      <c r="AT184" s="1725">
        <f t="shared" si="361"/>
        <v>-5.6979671996736925E-2</v>
      </c>
      <c r="AU184" s="1725">
        <f t="shared" si="361"/>
        <v>-4.3869266674057772E-2</v>
      </c>
      <c r="AV184" s="1726">
        <f t="shared" si="361"/>
        <v>-2.8757713300327947E-2</v>
      </c>
      <c r="AW184" s="1725">
        <f t="shared" si="361"/>
        <v>-8.0652742035951519E-3</v>
      </c>
      <c r="AX184" s="1725">
        <f t="shared" si="361"/>
        <v>-6.1243846972398042E-2</v>
      </c>
      <c r="AY184" s="1725">
        <f t="shared" si="361"/>
        <v>-6.3643801194589344E-2</v>
      </c>
      <c r="AZ184" s="1726">
        <f t="shared" si="361"/>
        <v>-3.2860061212172886E-2</v>
      </c>
      <c r="BA184" s="1725">
        <f t="shared" si="361"/>
        <v>3.4101031978042151E-2</v>
      </c>
      <c r="BB184" s="1725">
        <f t="shared" si="361"/>
        <v>9.4041634580190436E-2</v>
      </c>
      <c r="BC184" s="1725">
        <f t="shared" si="361"/>
        <v>7.4161745541436064E-2</v>
      </c>
      <c r="BD184" s="1725">
        <f t="shared" si="361"/>
        <v>5.7333957484534404E-2</v>
      </c>
      <c r="BE184" s="1720"/>
      <c r="BF184" s="1721"/>
      <c r="BG184" s="1718"/>
      <c r="BH184" s="1718"/>
      <c r="BI184" s="1302"/>
      <c r="BJ184" s="1302"/>
      <c r="BK184" s="1302"/>
      <c r="BL184" s="1302"/>
      <c r="BM184" s="1725"/>
      <c r="BN184" s="1725"/>
      <c r="BO184" s="1725">
        <f t="shared" ref="BO184:BT184" si="362">+BO183+BN183</f>
        <v>8.9534550214172892E-2</v>
      </c>
      <c r="BP184" s="1725">
        <f t="shared" si="362"/>
        <v>7.0291096738215764E-2</v>
      </c>
      <c r="BQ184" s="1725">
        <f t="shared" si="362"/>
        <v>3.2013897747445119E-2</v>
      </c>
      <c r="BR184" s="1725">
        <f t="shared" si="362"/>
        <v>-2.8273953807772423E-2</v>
      </c>
      <c r="BS184" s="1725">
        <f t="shared" si="362"/>
        <v>-4.3125105301005884E-2</v>
      </c>
      <c r="BT184" s="1725">
        <f t="shared" si="362"/>
        <v>6.4583326516195472E-2</v>
      </c>
      <c r="BU184" s="1725"/>
      <c r="BV184" s="1725"/>
      <c r="BW184" s="1725"/>
      <c r="BX184" s="1725"/>
      <c r="BY184" s="1726"/>
      <c r="BZ184" s="1718"/>
    </row>
    <row r="185" spans="1:85" ht="11.25" customHeight="1">
      <c r="A185" s="36"/>
      <c r="B185" s="36"/>
      <c r="C185" s="36"/>
      <c r="D185" s="36"/>
      <c r="E185" s="36"/>
      <c r="F185" s="36"/>
      <c r="G185" s="36"/>
      <c r="I185" s="1274" t="s">
        <v>146</v>
      </c>
      <c r="J185" s="5"/>
      <c r="K185" s="5"/>
      <c r="L185" s="5"/>
      <c r="M185" s="1263"/>
      <c r="N185" s="1263"/>
      <c r="O185" s="1263"/>
      <c r="P185" s="1263"/>
      <c r="Q185" s="1263"/>
      <c r="R185" s="1263"/>
      <c r="S185" s="1263"/>
      <c r="T185" s="1265"/>
      <c r="U185" s="1275"/>
      <c r="V185" s="1711"/>
      <c r="W185" s="1711"/>
      <c r="X185" s="1711"/>
      <c r="Y185" s="1712"/>
      <c r="Z185" s="1711">
        <f t="shared" ref="Z185:BD185" si="363">Z182/Y182-1</f>
        <v>2.8369975067678244E-2</v>
      </c>
      <c r="AA185" s="1711">
        <f t="shared" si="363"/>
        <v>9.8192822802197988E-2</v>
      </c>
      <c r="AB185" s="1711">
        <f t="shared" si="363"/>
        <v>6.7820596685133738E-2</v>
      </c>
      <c r="AC185" s="1712">
        <f t="shared" si="363"/>
        <v>-9.0798725608895903E-2</v>
      </c>
      <c r="AD185" s="1711">
        <f t="shared" si="363"/>
        <v>0.10804866146123815</v>
      </c>
      <c r="AE185" s="1711">
        <f t="shared" si="363"/>
        <v>-1.0158419766135851E-2</v>
      </c>
      <c r="AF185" s="1711">
        <f t="shared" si="363"/>
        <v>1.2588729310995861E-2</v>
      </c>
      <c r="AG185" s="1712">
        <f t="shared" si="363"/>
        <v>-2.4254183846713517E-2</v>
      </c>
      <c r="AH185" s="1711">
        <f t="shared" si="363"/>
        <v>8.8207094918504314E-2</v>
      </c>
      <c r="AI185" s="1711">
        <f t="shared" si="363"/>
        <v>4.0446035242290623E-2</v>
      </c>
      <c r="AJ185" s="1711">
        <f t="shared" si="363"/>
        <v>-1.2211414508379259E-2</v>
      </c>
      <c r="AK185" s="1712">
        <f t="shared" si="363"/>
        <v>-9.5165780814983614E-2</v>
      </c>
      <c r="AL185" s="1711">
        <f t="shared" si="363"/>
        <v>4.5994914176732404E-2</v>
      </c>
      <c r="AM185" s="1711">
        <f t="shared" si="363"/>
        <v>3.1602896700979599E-2</v>
      </c>
      <c r="AN185" s="1711">
        <f t="shared" si="363"/>
        <v>8.629191321500862E-4</v>
      </c>
      <c r="AO185" s="1712">
        <f t="shared" si="363"/>
        <v>-3.7280453257790391E-2</v>
      </c>
      <c r="AP185" s="1711">
        <f t="shared" si="363"/>
        <v>7.5752334832237977E-2</v>
      </c>
      <c r="AQ185" s="1711">
        <f t="shared" si="363"/>
        <v>2.7719984027908984E-2</v>
      </c>
      <c r="AR185" s="2355">
        <f t="shared" si="363"/>
        <v>-3.1845509200218669E-2</v>
      </c>
      <c r="AS185" s="1711">
        <f t="shared" si="363"/>
        <v>-8.2785311978855303E-2</v>
      </c>
      <c r="AT185" s="1711">
        <f t="shared" si="363"/>
        <v>-4.2624356775300076E-2</v>
      </c>
      <c r="AU185" s="1711">
        <f t="shared" si="363"/>
        <v>4.7875377212299064E-2</v>
      </c>
      <c r="AV185" s="2355">
        <f t="shared" si="363"/>
        <v>2.2411361804996144E-2</v>
      </c>
      <c r="AW185" s="1711">
        <f t="shared" si="363"/>
        <v>-1.5124534036137449E-2</v>
      </c>
      <c r="AX185" s="1711">
        <f t="shared" si="363"/>
        <v>9.3627337797272947E-3</v>
      </c>
      <c r="AY185" s="1711">
        <f t="shared" si="363"/>
        <v>2.865496439227333E-2</v>
      </c>
      <c r="AZ185" s="2355">
        <f t="shared" si="363"/>
        <v>3.6928473005133355E-3</v>
      </c>
      <c r="BA185" s="1711">
        <f t="shared" si="363"/>
        <v>-1.7464128508546284E-2</v>
      </c>
      <c r="BB185" s="1711">
        <f t="shared" si="363"/>
        <v>1.4376539589442849E-2</v>
      </c>
      <c r="BC185" s="1711">
        <f t="shared" si="363"/>
        <v>2.8310352756550916E-2</v>
      </c>
      <c r="BD185" s="1711">
        <f t="shared" si="363"/>
        <v>5.9501278847173822E-3</v>
      </c>
      <c r="BE185" s="1222"/>
      <c r="BF185" s="1264"/>
      <c r="BG185" s="1263"/>
      <c r="BH185" s="1263"/>
      <c r="BI185" s="901"/>
      <c r="BJ185" s="901"/>
      <c r="BK185" s="901"/>
      <c r="BL185" s="901"/>
      <c r="BM185" s="403"/>
      <c r="BN185" s="403"/>
      <c r="BO185" s="403"/>
      <c r="BP185" s="403"/>
      <c r="BQ185" s="403"/>
      <c r="BR185" s="403"/>
      <c r="BS185" s="403"/>
      <c r="BT185" s="403"/>
      <c r="BU185" s="403"/>
      <c r="BV185" s="403"/>
      <c r="BW185" s="403"/>
      <c r="BX185" s="403"/>
      <c r="BY185" s="1261"/>
      <c r="BZ185" s="1268"/>
      <c r="CA185" s="36"/>
      <c r="CB185" s="36"/>
      <c r="CC185" s="36"/>
      <c r="CD185" s="36"/>
      <c r="CE185" s="36"/>
      <c r="CF185" s="36"/>
      <c r="CG185" s="36"/>
    </row>
    <row r="186" spans="1:85" ht="11.25" customHeight="1">
      <c r="A186" s="36"/>
      <c r="B186" s="36"/>
      <c r="C186" s="36"/>
      <c r="D186" s="36"/>
      <c r="E186" s="36"/>
      <c r="F186" s="36"/>
      <c r="G186" s="36"/>
      <c r="I186" s="1274" t="s">
        <v>470</v>
      </c>
      <c r="J186" s="5"/>
      <c r="K186" s="5"/>
      <c r="L186" s="5"/>
      <c r="M186" s="1263"/>
      <c r="N186" s="1263"/>
      <c r="O186" s="1263"/>
      <c r="P186" s="1263"/>
      <c r="Q186" s="1263"/>
      <c r="R186" s="1263"/>
      <c r="S186" s="1263"/>
      <c r="T186" s="1265"/>
      <c r="U186" s="1263"/>
      <c r="V186" s="1263"/>
      <c r="W186" s="1263"/>
      <c r="X186" s="1263"/>
      <c r="Y186" s="1456">
        <f t="shared" ref="Y186:BD186" si="364">+Y182-U182</f>
        <v>56633.314285714288</v>
      </c>
      <c r="Z186" s="1457">
        <f t="shared" si="364"/>
        <v>58239.999999999993</v>
      </c>
      <c r="AA186" s="1457">
        <f t="shared" si="364"/>
        <v>63958.75</v>
      </c>
      <c r="AB186" s="1457">
        <f t="shared" si="364"/>
        <v>68296.470588235301</v>
      </c>
      <c r="AC186" s="1456">
        <f t="shared" si="364"/>
        <v>5461.9238095238034</v>
      </c>
      <c r="AD186" s="1457">
        <f t="shared" si="364"/>
        <v>10564.545454545463</v>
      </c>
      <c r="AE186" s="1457">
        <f t="shared" si="364"/>
        <v>4146.8500000000058</v>
      </c>
      <c r="AF186" s="1457">
        <f t="shared" si="364"/>
        <v>666.49237472766254</v>
      </c>
      <c r="AG186" s="1456">
        <f t="shared" si="364"/>
        <v>5195.0844854070747</v>
      </c>
      <c r="AH186" s="1457">
        <f t="shared" si="364"/>
        <v>4421.260997067453</v>
      </c>
      <c r="AI186" s="1457">
        <f t="shared" si="364"/>
        <v>8081.8999999999942</v>
      </c>
      <c r="AJ186" s="1457">
        <f t="shared" si="364"/>
        <v>6294.1798941798916</v>
      </c>
      <c r="AK186" s="1456">
        <f t="shared" si="364"/>
        <v>804.91551459292532</v>
      </c>
      <c r="AL186" s="1457">
        <f t="shared" si="364"/>
        <v>-1998.5337243401882</v>
      </c>
      <c r="AM186" s="1457">
        <f t="shared" si="364"/>
        <v>-2709.2391304347839</v>
      </c>
      <c r="AN186" s="1457">
        <f t="shared" si="364"/>
        <v>-1715.4761904761835</v>
      </c>
      <c r="AO186" s="1456">
        <f t="shared" si="364"/>
        <v>2704.7619047619082</v>
      </c>
      <c r="AP186" s="1457">
        <f t="shared" si="364"/>
        <v>4935.9925788497349</v>
      </c>
      <c r="AQ186" s="1457">
        <f t="shared" si="364"/>
        <v>4796.2489343563502</v>
      </c>
      <c r="AR186" s="2357">
        <f t="shared" si="364"/>
        <v>2240.151515151505</v>
      </c>
      <c r="AS186" s="1457">
        <f t="shared" si="364"/>
        <v>-1291.8032786885306</v>
      </c>
      <c r="AT186" s="1457">
        <f t="shared" si="364"/>
        <v>-9617.8107606679114</v>
      </c>
      <c r="AU186" s="1457">
        <f t="shared" si="364"/>
        <v>-8543.1665203394805</v>
      </c>
      <c r="AV186" s="2357">
        <f t="shared" si="364"/>
        <v>-4487.7005347593513</v>
      </c>
      <c r="AW186" s="1457">
        <f t="shared" si="364"/>
        <v>707.63061681803083</v>
      </c>
      <c r="AX186" s="1457">
        <f t="shared" si="364"/>
        <v>4327.7848911651672</v>
      </c>
      <c r="AY186" s="1457">
        <f t="shared" si="364"/>
        <v>3172.766305459023</v>
      </c>
      <c r="AZ186" s="2357">
        <f t="shared" si="364"/>
        <v>1879.2156862745032</v>
      </c>
      <c r="BA186" s="1457">
        <f t="shared" si="364"/>
        <v>1679.597498471805</v>
      </c>
      <c r="BB186" s="1457">
        <f t="shared" si="364"/>
        <v>2055.7928214448038</v>
      </c>
      <c r="BC186" s="1457">
        <f t="shared" si="364"/>
        <v>2089.5692984430934</v>
      </c>
      <c r="BD186" s="1457">
        <f t="shared" si="364"/>
        <v>2266.5675340768357</v>
      </c>
      <c r="BE186" s="1222"/>
      <c r="BF186" s="1264"/>
      <c r="BG186" s="1263"/>
      <c r="BH186" s="1263"/>
      <c r="BI186" s="1263"/>
      <c r="BJ186" s="1263"/>
      <c r="BK186" s="1263"/>
      <c r="BL186" s="1263"/>
      <c r="BM186" s="1442">
        <f t="shared" ref="BM186:BT186" si="365">+BM182-BL182</f>
        <v>0</v>
      </c>
      <c r="BN186" s="1650">
        <f t="shared" si="365"/>
        <v>267968.34651274653</v>
      </c>
      <c r="BO186" s="1442">
        <f t="shared" si="365"/>
        <v>23992.42537665437</v>
      </c>
      <c r="BP186" s="1442">
        <f t="shared" si="365"/>
        <v>-5618.3335306582158</v>
      </c>
      <c r="BQ186" s="1442">
        <f t="shared" si="365"/>
        <v>14677.154933119484</v>
      </c>
      <c r="BR186" s="1442">
        <f t="shared" si="365"/>
        <v>-23940.48109445523</v>
      </c>
      <c r="BS186" s="1442">
        <f t="shared" si="365"/>
        <v>10087.397499716666</v>
      </c>
      <c r="BT186" s="1442">
        <f t="shared" si="365"/>
        <v>8091.5271524366108</v>
      </c>
      <c r="BU186" s="1442"/>
      <c r="BV186" s="1442"/>
      <c r="BW186" s="1442"/>
      <c r="BX186" s="1442"/>
      <c r="BY186" s="1443"/>
      <c r="BZ186" s="1268"/>
      <c r="CA186" s="36"/>
      <c r="CB186" s="36"/>
      <c r="CC186" s="36"/>
      <c r="CD186" s="36"/>
      <c r="CE186" s="36"/>
      <c r="CF186" s="36"/>
      <c r="CG186" s="36"/>
    </row>
    <row r="187" spans="1:85" ht="11.25" customHeight="1">
      <c r="A187" s="36"/>
      <c r="B187" s="36"/>
      <c r="C187" s="36"/>
      <c r="D187" s="36"/>
      <c r="E187" s="36"/>
      <c r="F187" s="36"/>
      <c r="G187" s="36"/>
      <c r="I187" s="1274" t="s">
        <v>510</v>
      </c>
      <c r="J187" s="5"/>
      <c r="K187" s="5"/>
      <c r="L187" s="5"/>
      <c r="M187" s="1263"/>
      <c r="N187" s="1263"/>
      <c r="O187" s="1263"/>
      <c r="P187" s="1263"/>
      <c r="Q187" s="1263"/>
      <c r="R187" s="1263"/>
      <c r="S187" s="1263"/>
      <c r="T187" s="1265"/>
      <c r="U187" s="1263"/>
      <c r="V187" s="1263">
        <f t="shared" ref="V187:BD187" si="366">V182-U182</f>
        <v>0</v>
      </c>
      <c r="W187" s="1263">
        <f t="shared" si="366"/>
        <v>0</v>
      </c>
      <c r="X187" s="1263">
        <f t="shared" si="366"/>
        <v>0</v>
      </c>
      <c r="Y187" s="1456">
        <f t="shared" si="366"/>
        <v>56633.314285714288</v>
      </c>
      <c r="Z187" s="1457">
        <f t="shared" si="366"/>
        <v>1606.6857142857043</v>
      </c>
      <c r="AA187" s="1457">
        <f t="shared" si="366"/>
        <v>5718.7500000000073</v>
      </c>
      <c r="AB187" s="1457">
        <f t="shared" si="366"/>
        <v>4337.720588235301</v>
      </c>
      <c r="AC187" s="1456">
        <f t="shared" si="366"/>
        <v>-6201.2324929972092</v>
      </c>
      <c r="AD187" s="1457">
        <f t="shared" si="366"/>
        <v>6709.3073593073641</v>
      </c>
      <c r="AE187" s="1457">
        <f t="shared" si="366"/>
        <v>-698.94545454545005</v>
      </c>
      <c r="AF187" s="1457">
        <f t="shared" si="366"/>
        <v>857.36296296295768</v>
      </c>
      <c r="AG187" s="1456">
        <f t="shared" si="366"/>
        <v>-1672.640382317797</v>
      </c>
      <c r="AH187" s="1457">
        <f t="shared" si="366"/>
        <v>5935.4838709677424</v>
      </c>
      <c r="AI187" s="1457">
        <f t="shared" si="366"/>
        <v>2961.6935483870911</v>
      </c>
      <c r="AJ187" s="1457">
        <f t="shared" si="366"/>
        <v>-930.35714285714494</v>
      </c>
      <c r="AK187" s="1456">
        <f t="shared" si="366"/>
        <v>-7161.9047619047633</v>
      </c>
      <c r="AL187" s="1457">
        <f t="shared" si="366"/>
        <v>3132.0346320346289</v>
      </c>
      <c r="AM187" s="1457">
        <f t="shared" si="366"/>
        <v>2250.9881422924955</v>
      </c>
      <c r="AN187" s="1457">
        <f t="shared" si="366"/>
        <v>63.405797101455391</v>
      </c>
      <c r="AO187" s="1456">
        <f t="shared" si="366"/>
        <v>-2741.6666666666715</v>
      </c>
      <c r="AP187" s="1457">
        <f t="shared" si="366"/>
        <v>5363.2653061224555</v>
      </c>
      <c r="AQ187" s="1457">
        <f t="shared" si="366"/>
        <v>2111.2444977991108</v>
      </c>
      <c r="AR187" s="2357">
        <f t="shared" si="366"/>
        <v>-2492.6916221033898</v>
      </c>
      <c r="AS187" s="1457">
        <f t="shared" si="366"/>
        <v>-6273.6214605067071</v>
      </c>
      <c r="AT187" s="1457">
        <f t="shared" si="366"/>
        <v>-2962.7421758569253</v>
      </c>
      <c r="AU187" s="1457">
        <f t="shared" si="366"/>
        <v>3185.8887381275417</v>
      </c>
      <c r="AV187" s="2357">
        <f t="shared" si="366"/>
        <v>1562.7743634767394</v>
      </c>
      <c r="AW187" s="1457">
        <f t="shared" si="366"/>
        <v>-1078.290308929325</v>
      </c>
      <c r="AX187" s="1457">
        <f t="shared" si="366"/>
        <v>657.41209849021106</v>
      </c>
      <c r="AY187" s="1457">
        <f t="shared" si="366"/>
        <v>2030.8701524213975</v>
      </c>
      <c r="AZ187" s="2357">
        <f t="shared" si="366"/>
        <v>269.22374429221964</v>
      </c>
      <c r="BA187" s="1457">
        <f t="shared" si="366"/>
        <v>-1277.9084967320232</v>
      </c>
      <c r="BB187" s="1457">
        <f t="shared" si="366"/>
        <v>1033.6074214632099</v>
      </c>
      <c r="BC187" s="1457">
        <f t="shared" si="366"/>
        <v>2064.6466294196871</v>
      </c>
      <c r="BD187" s="1457">
        <f t="shared" si="366"/>
        <v>446.22197992596193</v>
      </c>
      <c r="BE187" s="1222"/>
      <c r="BF187" s="1264"/>
      <c r="BG187" s="1263"/>
      <c r="BH187" s="1263"/>
      <c r="BI187" s="1263"/>
      <c r="BJ187" s="1263"/>
      <c r="BK187" s="1263"/>
      <c r="BL187" s="1263"/>
      <c r="BM187" s="1442"/>
      <c r="BN187" s="1650"/>
      <c r="BO187" s="1442"/>
      <c r="BP187" s="1442"/>
      <c r="BQ187" s="1442"/>
      <c r="BR187" s="1442"/>
      <c r="BS187" s="1442"/>
      <c r="BT187" s="1442"/>
      <c r="BU187" s="1442"/>
      <c r="BV187" s="1442"/>
      <c r="BW187" s="1442"/>
      <c r="BX187" s="1442"/>
      <c r="BY187" s="1443"/>
      <c r="BZ187" s="1268"/>
      <c r="CA187" s="36"/>
      <c r="CB187" s="36"/>
      <c r="CC187" s="36"/>
      <c r="CD187" s="36"/>
      <c r="CE187" s="36"/>
      <c r="CF187" s="36"/>
      <c r="CG187" s="36"/>
    </row>
    <row r="188" spans="1:85" ht="11.25" customHeight="1">
      <c r="A188" s="36"/>
      <c r="B188" s="36"/>
      <c r="C188" s="36"/>
      <c r="D188" s="36"/>
      <c r="E188" s="36"/>
      <c r="F188" s="36"/>
      <c r="G188" s="36"/>
      <c r="I188" s="1274"/>
      <c r="J188" s="5"/>
      <c r="K188" s="5"/>
      <c r="L188" s="5"/>
      <c r="M188" s="1263"/>
      <c r="N188" s="1263"/>
      <c r="O188" s="1263"/>
      <c r="P188" s="1263"/>
      <c r="Q188" s="1263"/>
      <c r="R188" s="1263"/>
      <c r="S188" s="1263"/>
      <c r="T188" s="1263"/>
      <c r="U188" s="1263"/>
      <c r="V188" s="1263"/>
      <c r="W188" s="1263"/>
      <c r="X188" s="1263"/>
      <c r="Y188" s="1456"/>
      <c r="Z188" s="1457"/>
      <c r="AA188" s="1457"/>
      <c r="AB188" s="1457"/>
      <c r="AC188" s="1456"/>
      <c r="AD188" s="1457"/>
      <c r="AE188" s="1457"/>
      <c r="AF188" s="2357"/>
      <c r="AG188" s="1457"/>
      <c r="AH188" s="1457"/>
      <c r="AI188" s="1457"/>
      <c r="AJ188" s="2357"/>
      <c r="AK188" s="1457"/>
      <c r="AL188" s="1457"/>
      <c r="AM188" s="1457"/>
      <c r="AN188" s="1457"/>
      <c r="AO188" s="1456"/>
      <c r="AP188" s="1457"/>
      <c r="AQ188" s="1457"/>
      <c r="AR188" s="2357"/>
      <c r="AS188" s="1457"/>
      <c r="AT188" s="1457"/>
      <c r="AU188" s="1457"/>
      <c r="AV188" s="2357"/>
      <c r="AW188" s="1457"/>
      <c r="AX188" s="1457"/>
      <c r="AY188" s="1457"/>
      <c r="AZ188" s="2357"/>
      <c r="BA188" s="1457"/>
      <c r="BB188" s="1457"/>
      <c r="BC188" s="1457"/>
      <c r="BD188" s="1457"/>
      <c r="BE188" s="1222"/>
      <c r="BF188" s="1264"/>
      <c r="BG188" s="1263"/>
      <c r="BH188" s="1263"/>
      <c r="BI188" s="1263"/>
      <c r="BJ188" s="1263"/>
      <c r="BK188" s="1263"/>
      <c r="BL188" s="1263"/>
      <c r="BM188" s="1442"/>
      <c r="BN188" s="1650"/>
      <c r="BO188" s="1442"/>
      <c r="BP188" s="1442"/>
      <c r="BQ188" s="1442"/>
      <c r="BR188" s="1442"/>
      <c r="BS188" s="1442"/>
      <c r="BT188" s="1442"/>
      <c r="BU188" s="1442"/>
      <c r="BV188" s="1442"/>
      <c r="BW188" s="1442"/>
      <c r="BX188" s="1442"/>
      <c r="BY188" s="1443"/>
      <c r="BZ188" s="1268"/>
      <c r="CA188" s="36"/>
      <c r="CB188" s="36"/>
      <c r="CC188" s="36"/>
      <c r="CD188" s="36"/>
      <c r="CE188" s="36"/>
      <c r="CF188" s="36"/>
      <c r="CG188" s="36"/>
    </row>
    <row r="189" spans="1:85" ht="11.25" customHeight="1">
      <c r="A189" s="36"/>
      <c r="B189" s="36"/>
      <c r="C189" s="36"/>
      <c r="D189" s="36"/>
      <c r="E189" s="36"/>
      <c r="F189" s="36"/>
      <c r="G189" s="36"/>
      <c r="I189" s="1446" t="s">
        <v>685</v>
      </c>
      <c r="J189" s="5"/>
      <c r="K189" s="5"/>
      <c r="L189" s="5"/>
      <c r="M189" s="1263"/>
      <c r="N189" s="1263"/>
      <c r="O189" s="1263"/>
      <c r="P189" s="1263"/>
      <c r="Q189" s="1263"/>
      <c r="R189" s="1263"/>
      <c r="S189" s="1263"/>
      <c r="T189" s="1263"/>
      <c r="U189" s="1263"/>
      <c r="V189" s="1263"/>
      <c r="W189" s="1263"/>
      <c r="X189" s="1263"/>
      <c r="Y189" s="2736">
        <f t="shared" ref="Y189:BD189" si="367">+(Y173*1000000)/(W169)</f>
        <v>7170.5999999999985</v>
      </c>
      <c r="Z189" s="2736">
        <f t="shared" si="367"/>
        <v>7714.1999999999962</v>
      </c>
      <c r="AA189" s="2736">
        <f t="shared" si="367"/>
        <v>7958.7500000000055</v>
      </c>
      <c r="AB189" s="2736">
        <f t="shared" si="367"/>
        <v>8099.9999999999982</v>
      </c>
      <c r="AC189" s="2736">
        <f t="shared" si="367"/>
        <v>6807.6190476190504</v>
      </c>
      <c r="AD189" s="2736">
        <f t="shared" si="367"/>
        <v>9531.818181818182</v>
      </c>
      <c r="AE189" s="2736">
        <f t="shared" si="367"/>
        <v>7557.6000000000013</v>
      </c>
      <c r="AF189" s="2737">
        <f t="shared" si="367"/>
        <v>5902.2222222222144</v>
      </c>
      <c r="AG189" s="2736">
        <f t="shared" si="367"/>
        <v>7225.8064516129052</v>
      </c>
      <c r="AH189" s="2736">
        <f t="shared" si="367"/>
        <v>5935.4838709677442</v>
      </c>
      <c r="AI189" s="2736">
        <f t="shared" si="367"/>
        <v>5250.0000000000036</v>
      </c>
      <c r="AJ189" s="2737">
        <f t="shared" si="367"/>
        <v>5599.99999999999</v>
      </c>
      <c r="AK189" s="2736">
        <f t="shared" si="367"/>
        <v>5380.9523809523862</v>
      </c>
      <c r="AL189" s="2736">
        <f t="shared" si="367"/>
        <v>6227.2727272727225</v>
      </c>
      <c r="AM189" s="2736">
        <f t="shared" si="367"/>
        <v>5347.8260869565265</v>
      </c>
      <c r="AN189" s="2736">
        <f t="shared" si="367"/>
        <v>3125</v>
      </c>
      <c r="AO189" s="2738">
        <f t="shared" si="367"/>
        <v>200</v>
      </c>
      <c r="AP189" s="2736">
        <f t="shared" si="367"/>
        <v>3918.3673469387732</v>
      </c>
      <c r="AQ189" s="2736">
        <f t="shared" si="367"/>
        <v>5098.0392156862745</v>
      </c>
      <c r="AR189" s="2737">
        <f t="shared" si="367"/>
        <v>3200.0000000000041</v>
      </c>
      <c r="AS189" s="2736">
        <f t="shared" si="367"/>
        <v>1180.3278688524572</v>
      </c>
      <c r="AT189" s="2736">
        <f t="shared" si="367"/>
        <v>2303.0303030303012</v>
      </c>
      <c r="AU189" s="2736">
        <f t="shared" si="367"/>
        <v>4179.1044776119406</v>
      </c>
      <c r="AV189" s="2737">
        <f t="shared" si="367"/>
        <v>2588.2352941176505</v>
      </c>
      <c r="AW189" s="2736">
        <f t="shared" si="367"/>
        <v>460.43165467625738</v>
      </c>
      <c r="AX189" s="2736">
        <f t="shared" si="367"/>
        <v>2140.8450704225338</v>
      </c>
      <c r="AY189" s="2736">
        <f t="shared" si="367"/>
        <v>3972.602739726035</v>
      </c>
      <c r="AZ189" s="2737">
        <f t="shared" si="367"/>
        <v>2213.3333333333212</v>
      </c>
      <c r="BA189" s="2736">
        <f t="shared" si="367"/>
        <v>156.86274509804514</v>
      </c>
      <c r="BB189" s="2736">
        <f t="shared" si="367"/>
        <v>1961.290322580651</v>
      </c>
      <c r="BC189" s="2736">
        <f t="shared" si="367"/>
        <v>3539.8230088495575</v>
      </c>
      <c r="BD189" s="2736">
        <f t="shared" si="367"/>
        <v>1933.0855018587247</v>
      </c>
      <c r="BE189" s="1222"/>
      <c r="BF189" s="1264"/>
      <c r="BG189" s="1263"/>
      <c r="BH189" s="1263"/>
      <c r="BI189" s="1263"/>
      <c r="BJ189" s="1263"/>
      <c r="BK189" s="1263"/>
      <c r="BL189" s="1263"/>
      <c r="BM189" s="1442"/>
      <c r="BN189" s="2751">
        <f>SUM(AC189:AF189)</f>
        <v>29799.259451659451</v>
      </c>
      <c r="BO189" s="2752">
        <f>SUM(AG189:AJ189)</f>
        <v>24011.29032258064</v>
      </c>
      <c r="BP189" s="1199">
        <f>SUM(AK189:AN189)</f>
        <v>20081.051195181637</v>
      </c>
      <c r="BQ189" s="1199">
        <f>SUM(AO189:AR189)</f>
        <v>12416.406562625052</v>
      </c>
      <c r="BR189" s="1199">
        <f>SUM(AS189:AV189)</f>
        <v>10250.697943612349</v>
      </c>
      <c r="BS189" s="1199">
        <f>SUM(AW189:AZ189)</f>
        <v>8787.2127981581471</v>
      </c>
      <c r="BT189" s="1199">
        <f>SUM(BA189:BD189)</f>
        <v>7591.061578386978</v>
      </c>
      <c r="BU189" s="1442"/>
      <c r="BV189" s="1442"/>
      <c r="BW189" s="1442"/>
      <c r="BX189" s="1442"/>
      <c r="BY189" s="1443"/>
      <c r="BZ189" s="1268"/>
      <c r="CA189" s="36"/>
      <c r="CB189" s="36"/>
      <c r="CC189" s="36"/>
      <c r="CD189" s="36"/>
      <c r="CE189" s="36"/>
      <c r="CF189" s="36"/>
      <c r="CG189" s="36"/>
    </row>
    <row r="190" spans="1:85" ht="11.25" customHeight="1">
      <c r="A190" s="36"/>
      <c r="B190" s="36"/>
      <c r="C190" s="36"/>
      <c r="D190" s="36"/>
      <c r="E190" s="36"/>
      <c r="F190" s="36"/>
      <c r="G190" s="36"/>
      <c r="I190" s="1274" t="s">
        <v>543</v>
      </c>
      <c r="J190" s="5"/>
      <c r="K190" s="5"/>
      <c r="L190" s="5"/>
      <c r="M190" s="1263"/>
      <c r="N190" s="1263"/>
      <c r="O190" s="1263"/>
      <c r="P190" s="1263"/>
      <c r="Q190" s="1263"/>
      <c r="R190" s="1263"/>
      <c r="S190" s="1263"/>
      <c r="T190" s="1263"/>
      <c r="U190" s="1263"/>
      <c r="V190" s="1263"/>
      <c r="W190" s="1263"/>
      <c r="X190" s="1263"/>
      <c r="Y190" s="1456"/>
      <c r="Z190" s="1457"/>
      <c r="AA190" s="1457"/>
      <c r="AB190" s="1457"/>
      <c r="AC190" s="1724">
        <f t="shared" ref="AC190:BD190" si="368">+AC189/Y189-1</f>
        <v>-5.0620722447347277E-2</v>
      </c>
      <c r="AD190" s="1725">
        <f t="shared" si="368"/>
        <v>0.23561978971483577</v>
      </c>
      <c r="AE190" s="1725">
        <f t="shared" si="368"/>
        <v>-5.0403643788283881E-2</v>
      </c>
      <c r="AF190" s="1725">
        <f t="shared" si="368"/>
        <v>-0.27133058984910918</v>
      </c>
      <c r="AG190" s="1724">
        <f t="shared" si="368"/>
        <v>6.1429319277217065E-2</v>
      </c>
      <c r="AH190" s="1725">
        <f t="shared" si="368"/>
        <v>-0.37729782946451895</v>
      </c>
      <c r="AI190" s="1725">
        <f t="shared" si="368"/>
        <v>-0.30533502699269577</v>
      </c>
      <c r="AJ190" s="1726">
        <f t="shared" si="368"/>
        <v>-5.1204819277108848E-2</v>
      </c>
      <c r="AK190" s="1725">
        <f t="shared" si="368"/>
        <v>-0.25531462585033959</v>
      </c>
      <c r="AL190" s="1725">
        <f t="shared" si="368"/>
        <v>4.9160079051382199E-2</v>
      </c>
      <c r="AM190" s="1725">
        <f t="shared" si="368"/>
        <v>1.8633540372670954E-2</v>
      </c>
      <c r="AN190" s="1725">
        <f t="shared" si="368"/>
        <v>-0.4419642857142847</v>
      </c>
      <c r="AO190" s="1724">
        <f t="shared" si="368"/>
        <v>-0.96283185840707963</v>
      </c>
      <c r="AP190" s="1725">
        <f t="shared" si="368"/>
        <v>-0.37077312676895569</v>
      </c>
      <c r="AQ190" s="1725">
        <f t="shared" si="368"/>
        <v>-4.6708114139965784E-2</v>
      </c>
      <c r="AR190" s="1726">
        <f t="shared" si="368"/>
        <v>2.4000000000001354E-2</v>
      </c>
      <c r="AS190" s="1725">
        <f t="shared" si="368"/>
        <v>4.9016393442622856</v>
      </c>
      <c r="AT190" s="1725">
        <f t="shared" si="368"/>
        <v>-0.41224747474747492</v>
      </c>
      <c r="AU190" s="1725">
        <f t="shared" si="368"/>
        <v>-0.1802525832376578</v>
      </c>
      <c r="AV190" s="1726">
        <f t="shared" si="368"/>
        <v>-0.19117647058823528</v>
      </c>
      <c r="AW190" s="1725">
        <f t="shared" si="368"/>
        <v>-0.60991207034372574</v>
      </c>
      <c r="AX190" s="1725">
        <f t="shared" si="368"/>
        <v>-7.0422535211267512E-2</v>
      </c>
      <c r="AY190" s="1725">
        <f t="shared" si="368"/>
        <v>-4.9412915851270278E-2</v>
      </c>
      <c r="AZ190" s="1726">
        <f t="shared" si="368"/>
        <v>-0.14484848484849067</v>
      </c>
      <c r="BA190" s="1725">
        <f t="shared" si="368"/>
        <v>-0.65931372549018197</v>
      </c>
      <c r="BB190" s="1725">
        <f t="shared" si="368"/>
        <v>-8.3870967741932145E-2</v>
      </c>
      <c r="BC190" s="1725">
        <f t="shared" si="368"/>
        <v>-0.10894110466890616</v>
      </c>
      <c r="BD190" s="1725">
        <f t="shared" si="368"/>
        <v>-0.12661799614816183</v>
      </c>
      <c r="BE190" s="1222"/>
      <c r="BF190" s="1264"/>
      <c r="BG190" s="1263"/>
      <c r="BH190" s="1263"/>
      <c r="BI190" s="1263"/>
      <c r="BJ190" s="1263"/>
      <c r="BK190" s="1263"/>
      <c r="BL190" s="1263"/>
      <c r="BM190" s="1442"/>
      <c r="BN190" s="1650"/>
      <c r="BO190" s="1442"/>
      <c r="BP190" s="1442"/>
      <c r="BQ190" s="1442"/>
      <c r="BR190" s="1442"/>
      <c r="BS190" s="1442"/>
      <c r="BT190" s="1442"/>
      <c r="BU190" s="1442"/>
      <c r="BV190" s="1442"/>
      <c r="BW190" s="1442"/>
      <c r="BX190" s="1442"/>
      <c r="BY190" s="1443"/>
      <c r="BZ190" s="1268"/>
      <c r="CA190" s="36"/>
      <c r="CB190" s="36"/>
      <c r="CC190" s="36"/>
      <c r="CD190" s="36"/>
      <c r="CE190" s="36"/>
      <c r="CF190" s="36"/>
      <c r="CG190" s="36"/>
    </row>
    <row r="191" spans="1:85" ht="11.25" customHeight="1">
      <c r="A191" s="36"/>
      <c r="B191" s="36"/>
      <c r="C191" s="36"/>
      <c r="D191" s="36"/>
      <c r="E191" s="36"/>
      <c r="F191" s="36"/>
      <c r="G191" s="36"/>
      <c r="I191" s="1274"/>
      <c r="J191" s="5"/>
      <c r="K191" s="5"/>
      <c r="L191" s="5"/>
      <c r="M191" s="1263"/>
      <c r="N191" s="1263"/>
      <c r="O191" s="1263"/>
      <c r="P191" s="1263"/>
      <c r="Q191" s="1263"/>
      <c r="R191" s="1263"/>
      <c r="S191" s="1263"/>
      <c r="T191" s="1263"/>
      <c r="U191" s="1263"/>
      <c r="V191" s="1263"/>
      <c r="W191" s="1263"/>
      <c r="X191" s="1263"/>
      <c r="Y191" s="1456"/>
      <c r="Z191" s="1457"/>
      <c r="AA191" s="1457"/>
      <c r="AB191" s="1457"/>
      <c r="AC191" s="1456"/>
      <c r="AD191" s="1457"/>
      <c r="AE191" s="1457"/>
      <c r="AF191" s="1457"/>
      <c r="AG191" s="1456"/>
      <c r="AH191" s="1457"/>
      <c r="AI191" s="1457"/>
      <c r="AJ191" s="2357"/>
      <c r="AK191" s="1457"/>
      <c r="AL191" s="1457"/>
      <c r="AM191" s="1457"/>
      <c r="AN191" s="1457"/>
      <c r="AO191" s="1456"/>
      <c r="AP191" s="1457"/>
      <c r="AQ191" s="1457"/>
      <c r="AR191" s="2357"/>
      <c r="AS191" s="1457"/>
      <c r="AT191" s="1457"/>
      <c r="AU191" s="1457"/>
      <c r="AV191" s="2357"/>
      <c r="AW191" s="1457"/>
      <c r="AX191" s="1457"/>
      <c r="AY191" s="1457"/>
      <c r="AZ191" s="2357"/>
      <c r="BA191" s="1457"/>
      <c r="BB191" s="1457"/>
      <c r="BC191" s="1457"/>
      <c r="BD191" s="1457"/>
      <c r="BE191" s="1222"/>
      <c r="BF191" s="1264"/>
      <c r="BG191" s="1263"/>
      <c r="BH191" s="1263"/>
      <c r="BI191" s="1263"/>
      <c r="BJ191" s="1263"/>
      <c r="BK191" s="1263"/>
      <c r="BL191" s="1263"/>
      <c r="BM191" s="1442"/>
      <c r="BN191" s="1650"/>
      <c r="BO191" s="1442"/>
      <c r="BP191" s="1442"/>
      <c r="BQ191" s="1442"/>
      <c r="BR191" s="1442"/>
      <c r="BS191" s="1442"/>
      <c r="BT191" s="1442"/>
      <c r="BU191" s="1442"/>
      <c r="BV191" s="1442"/>
      <c r="BW191" s="1442"/>
      <c r="BX191" s="1442"/>
      <c r="BY191" s="1443"/>
      <c r="BZ191" s="1268"/>
      <c r="CA191" s="36"/>
      <c r="CB191" s="36"/>
      <c r="CC191" s="36"/>
      <c r="CD191" s="36"/>
      <c r="CE191" s="36"/>
      <c r="CF191" s="36"/>
      <c r="CG191" s="36"/>
    </row>
    <row r="192" spans="1:85" s="54" customFormat="1" ht="11.25" customHeight="1">
      <c r="A192" s="191"/>
      <c r="B192" s="191"/>
      <c r="C192" s="191"/>
      <c r="D192" s="191"/>
      <c r="E192" s="191"/>
      <c r="F192" s="191"/>
      <c r="G192" s="191"/>
      <c r="H192" s="1163"/>
      <c r="I192" s="622" t="s">
        <v>336</v>
      </c>
      <c r="J192" s="193"/>
      <c r="K192" s="67"/>
      <c r="L192" s="67"/>
      <c r="M192" s="337">
        <v>0.72</v>
      </c>
      <c r="N192" s="337"/>
      <c r="O192" s="337"/>
      <c r="P192" s="337">
        <v>0.66</v>
      </c>
      <c r="Q192" s="337">
        <v>0.72</v>
      </c>
      <c r="R192" s="337">
        <v>0.7</v>
      </c>
      <c r="S192" s="337">
        <v>0.7</v>
      </c>
      <c r="T192" s="337">
        <v>0.67</v>
      </c>
      <c r="U192" s="794">
        <v>0.7</v>
      </c>
      <c r="V192" s="337">
        <v>0.7</v>
      </c>
      <c r="W192" s="337">
        <v>0.72</v>
      </c>
      <c r="X192" s="795">
        <v>0.72</v>
      </c>
      <c r="Y192" s="337">
        <v>0.72</v>
      </c>
      <c r="Z192" s="337">
        <v>0.71</v>
      </c>
      <c r="AA192" s="337">
        <v>0.73</v>
      </c>
      <c r="AB192" s="337">
        <v>0.7</v>
      </c>
      <c r="AC192" s="794">
        <v>0.75</v>
      </c>
      <c r="AD192" s="337">
        <v>0.75</v>
      </c>
      <c r="AE192" s="337">
        <v>0.75</v>
      </c>
      <c r="AF192" s="337">
        <v>0.75</v>
      </c>
      <c r="AG192" s="2469">
        <v>0.76</v>
      </c>
      <c r="AH192" s="2469">
        <v>0.77</v>
      </c>
      <c r="AI192" s="2469">
        <v>0.77</v>
      </c>
      <c r="AJ192" s="2468">
        <v>0.78</v>
      </c>
      <c r="AK192" s="2469">
        <v>0.76</v>
      </c>
      <c r="AL192" s="2469">
        <v>0.78</v>
      </c>
      <c r="AM192" s="2469">
        <v>0.79</v>
      </c>
      <c r="AN192" s="2469">
        <v>0.8</v>
      </c>
      <c r="AO192" s="2629">
        <v>0.78</v>
      </c>
      <c r="AP192" s="2469">
        <v>0.76</v>
      </c>
      <c r="AQ192" s="2469">
        <v>0.78</v>
      </c>
      <c r="AR192" s="2468">
        <v>0.77</v>
      </c>
      <c r="AS192" s="982">
        <f t="shared" ref="AS192:BD192" si="369">+AR192</f>
        <v>0.77</v>
      </c>
      <c r="AT192" s="982">
        <f t="shared" si="369"/>
        <v>0.77</v>
      </c>
      <c r="AU192" s="982">
        <f t="shared" si="369"/>
        <v>0.77</v>
      </c>
      <c r="AV192" s="2592">
        <f t="shared" si="369"/>
        <v>0.77</v>
      </c>
      <c r="AW192" s="982">
        <f t="shared" si="369"/>
        <v>0.77</v>
      </c>
      <c r="AX192" s="982">
        <f t="shared" si="369"/>
        <v>0.77</v>
      </c>
      <c r="AY192" s="982">
        <f t="shared" si="369"/>
        <v>0.77</v>
      </c>
      <c r="AZ192" s="2592">
        <f t="shared" si="369"/>
        <v>0.77</v>
      </c>
      <c r="BA192" s="982">
        <f t="shared" si="369"/>
        <v>0.77</v>
      </c>
      <c r="BB192" s="982">
        <f t="shared" si="369"/>
        <v>0.77</v>
      </c>
      <c r="BC192" s="982">
        <f t="shared" si="369"/>
        <v>0.77</v>
      </c>
      <c r="BD192" s="982">
        <f t="shared" si="369"/>
        <v>0.77</v>
      </c>
      <c r="BE192" s="1352"/>
      <c r="BF192" s="631"/>
      <c r="BG192" s="67"/>
      <c r="BH192" s="67"/>
      <c r="BI192" s="67"/>
      <c r="BJ192" s="67"/>
      <c r="BK192" s="186">
        <f>AVERAGE(Q192:T192)</f>
        <v>0.69750000000000001</v>
      </c>
      <c r="BL192" s="186">
        <f>AVERAGE(U192:X192)</f>
        <v>0.71</v>
      </c>
      <c r="BM192" s="186">
        <f>AVERAGE(Y192:AB192)</f>
        <v>0.71500000000000008</v>
      </c>
      <c r="BN192" s="767">
        <f>AVERAGE(AC192:AF192)</f>
        <v>0.75</v>
      </c>
      <c r="BO192" s="186">
        <f>AVERAGE(AG192:AJ192)</f>
        <v>0.77</v>
      </c>
      <c r="BP192" s="186">
        <f>AVERAGE(AH192:AK192)</f>
        <v>0.77</v>
      </c>
      <c r="BQ192" s="2069">
        <f>AVERAGE(AO192:AR192)</f>
        <v>0.77250000000000008</v>
      </c>
      <c r="BR192" s="2069">
        <f>AVERAGE(AS192:AV192)</f>
        <v>0.77</v>
      </c>
      <c r="BS192" s="2069">
        <f>AVERAGE(AW192:AZ192)</f>
        <v>0.77</v>
      </c>
      <c r="BT192" s="2069">
        <f>AVERAGE(BA192:BD192)</f>
        <v>0.77</v>
      </c>
      <c r="BU192" s="2144">
        <f>MIN(BT192+1%,75%)</f>
        <v>0.75</v>
      </c>
      <c r="BV192" s="2144">
        <f>MIN(BU192+1%,75%)</f>
        <v>0.75</v>
      </c>
      <c r="BW192" s="2144">
        <f>MIN(BV192+1%,75%)</f>
        <v>0.75</v>
      </c>
      <c r="BX192" s="2144">
        <f>MIN(BW192+1%,75%)</f>
        <v>0.75</v>
      </c>
      <c r="BY192" s="2145">
        <f>MIN(BX192+1%,75%)</f>
        <v>0.75</v>
      </c>
      <c r="BZ192" s="267"/>
      <c r="CA192" s="201"/>
      <c r="CB192" s="198"/>
      <c r="CC192" s="198"/>
      <c r="CD192" s="198"/>
      <c r="CE192" s="198"/>
      <c r="CF192" s="198"/>
      <c r="CG192" s="198"/>
    </row>
    <row r="193" spans="1:85" s="83" customFormat="1" ht="11.25" customHeight="1">
      <c r="A193" s="1163"/>
      <c r="B193" s="1163"/>
      <c r="C193" s="1163"/>
      <c r="D193" s="1163"/>
      <c r="E193" s="1163"/>
      <c r="F193" s="1163"/>
      <c r="G193" s="1163"/>
      <c r="H193" s="1163"/>
      <c r="I193" s="1164" t="s">
        <v>332</v>
      </c>
      <c r="J193" s="1165"/>
      <c r="K193" s="409"/>
      <c r="L193" s="409"/>
      <c r="M193" s="268">
        <f t="shared" ref="M193:BD193" si="370">M199</f>
        <v>8</v>
      </c>
      <c r="N193" s="268">
        <f t="shared" si="370"/>
        <v>9</v>
      </c>
      <c r="O193" s="268">
        <f t="shared" si="370"/>
        <v>11</v>
      </c>
      <c r="P193" s="268">
        <f t="shared" si="370"/>
        <v>11</v>
      </c>
      <c r="Q193" s="268">
        <f t="shared" si="370"/>
        <v>13</v>
      </c>
      <c r="R193" s="268">
        <f t="shared" si="370"/>
        <v>15</v>
      </c>
      <c r="S193" s="268">
        <f t="shared" si="370"/>
        <v>19</v>
      </c>
      <c r="T193" s="268">
        <f t="shared" si="370"/>
        <v>23.7</v>
      </c>
      <c r="U193" s="1166">
        <f t="shared" si="370"/>
        <v>27</v>
      </c>
      <c r="V193" s="268">
        <f t="shared" si="370"/>
        <v>31.8</v>
      </c>
      <c r="W193" s="268">
        <f t="shared" si="370"/>
        <v>36</v>
      </c>
      <c r="X193" s="1167">
        <f t="shared" si="370"/>
        <v>39.799999999999997</v>
      </c>
      <c r="Y193" s="268">
        <f t="shared" si="370"/>
        <v>44.7</v>
      </c>
      <c r="Z193" s="268">
        <f t="shared" si="370"/>
        <v>51.4</v>
      </c>
      <c r="AA193" s="268">
        <f t="shared" si="370"/>
        <v>57.2</v>
      </c>
      <c r="AB193" s="268">
        <f t="shared" si="370"/>
        <v>67.2</v>
      </c>
      <c r="AC193" s="1166">
        <f t="shared" si="370"/>
        <v>74</v>
      </c>
      <c r="AD193" s="268">
        <f t="shared" si="370"/>
        <v>79.900000000000006</v>
      </c>
      <c r="AE193" s="268">
        <f t="shared" si="370"/>
        <v>86.2</v>
      </c>
      <c r="AF193" s="268">
        <f t="shared" si="370"/>
        <v>93.7</v>
      </c>
      <c r="AG193" s="1166">
        <f t="shared" si="370"/>
        <v>99.7</v>
      </c>
      <c r="AH193" s="268">
        <f t="shared" si="370"/>
        <v>105.7</v>
      </c>
      <c r="AI193" s="268">
        <f t="shared" si="370"/>
        <v>112.7</v>
      </c>
      <c r="AJ193" s="1167">
        <f t="shared" si="370"/>
        <v>121.7</v>
      </c>
      <c r="AK193" s="268">
        <f t="shared" si="370"/>
        <v>130.69999999999999</v>
      </c>
      <c r="AL193" s="268">
        <f t="shared" si="370"/>
        <v>139.69999999999999</v>
      </c>
      <c r="AM193" s="268">
        <f t="shared" si="370"/>
        <v>148.69999999999999</v>
      </c>
      <c r="AN193" s="268">
        <f t="shared" si="370"/>
        <v>157.69999999999999</v>
      </c>
      <c r="AO193" s="1166">
        <f t="shared" si="370"/>
        <v>166.7</v>
      </c>
      <c r="AP193" s="268">
        <f>AP199</f>
        <v>175.7</v>
      </c>
      <c r="AQ193" s="268">
        <f>AQ199</f>
        <v>184.7</v>
      </c>
      <c r="AR193" s="1167">
        <f t="shared" ref="AR193" si="371">AR199</f>
        <v>193.7</v>
      </c>
      <c r="AS193" s="268">
        <f t="shared" si="370"/>
        <v>202.7</v>
      </c>
      <c r="AT193" s="268">
        <f t="shared" si="370"/>
        <v>211.7</v>
      </c>
      <c r="AU193" s="268">
        <f t="shared" si="370"/>
        <v>220.7</v>
      </c>
      <c r="AV193" s="1167">
        <f t="shared" si="370"/>
        <v>229.7</v>
      </c>
      <c r="AW193" s="268">
        <f t="shared" si="370"/>
        <v>238.7</v>
      </c>
      <c r="AX193" s="268">
        <f t="shared" si="370"/>
        <v>247.7</v>
      </c>
      <c r="AY193" s="268">
        <f t="shared" si="370"/>
        <v>256.7</v>
      </c>
      <c r="AZ193" s="1167">
        <f t="shared" si="370"/>
        <v>265.7</v>
      </c>
      <c r="BA193" s="268">
        <f t="shared" si="370"/>
        <v>274.7</v>
      </c>
      <c r="BB193" s="268">
        <f t="shared" si="370"/>
        <v>283.7</v>
      </c>
      <c r="BC193" s="268">
        <f t="shared" si="370"/>
        <v>292.7</v>
      </c>
      <c r="BD193" s="268">
        <f t="shared" si="370"/>
        <v>301.7</v>
      </c>
      <c r="BE193" s="1347"/>
      <c r="BF193" s="503"/>
      <c r="BG193" s="409"/>
      <c r="BH193" s="409"/>
      <c r="BI193" s="409"/>
      <c r="BJ193" s="268">
        <f t="shared" ref="BJ193:BY193" si="372">BJ199</f>
        <v>11</v>
      </c>
      <c r="BK193" s="268">
        <f t="shared" si="372"/>
        <v>23.7</v>
      </c>
      <c r="BL193" s="268">
        <f t="shared" si="372"/>
        <v>39.799999999999997</v>
      </c>
      <c r="BM193" s="268">
        <f t="shared" si="372"/>
        <v>67.2</v>
      </c>
      <c r="BN193" s="1166">
        <f t="shared" si="372"/>
        <v>93.7</v>
      </c>
      <c r="BO193" s="268">
        <f t="shared" si="372"/>
        <v>121.7</v>
      </c>
      <c r="BP193" s="268">
        <f t="shared" si="372"/>
        <v>157.69999999999999</v>
      </c>
      <c r="BQ193" s="268">
        <f t="shared" si="372"/>
        <v>193.7</v>
      </c>
      <c r="BR193" s="268">
        <f t="shared" si="372"/>
        <v>229.7</v>
      </c>
      <c r="BS193" s="268">
        <f t="shared" si="372"/>
        <v>265.7</v>
      </c>
      <c r="BT193" s="268">
        <f t="shared" si="372"/>
        <v>301.7</v>
      </c>
      <c r="BU193" s="268">
        <f t="shared" si="372"/>
        <v>337.7</v>
      </c>
      <c r="BV193" s="268">
        <f t="shared" si="372"/>
        <v>373.7</v>
      </c>
      <c r="BW193" s="268">
        <f t="shared" si="372"/>
        <v>409.7</v>
      </c>
      <c r="BX193" s="268">
        <f t="shared" si="372"/>
        <v>445.7</v>
      </c>
      <c r="BY193" s="1167">
        <f t="shared" si="372"/>
        <v>481.7</v>
      </c>
      <c r="BZ193" s="268"/>
      <c r="CA193" s="404"/>
      <c r="CB193" s="264"/>
      <c r="CC193" s="264"/>
      <c r="CD193" s="264"/>
      <c r="CE193" s="264"/>
      <c r="CF193" s="264"/>
      <c r="CG193" s="264"/>
    </row>
    <row r="194" spans="1:85" s="83" customFormat="1" ht="11.25" customHeight="1">
      <c r="A194" s="1163"/>
      <c r="B194" s="1163"/>
      <c r="C194" s="1163"/>
      <c r="D194" s="1163"/>
      <c r="E194" s="1163"/>
      <c r="F194" s="1163"/>
      <c r="G194" s="1163"/>
      <c r="H194" s="1163"/>
      <c r="I194" s="1164" t="s">
        <v>333</v>
      </c>
      <c r="J194" s="1165"/>
      <c r="K194" s="409"/>
      <c r="L194" s="409"/>
      <c r="M194" s="1168"/>
      <c r="N194" s="409"/>
      <c r="O194" s="409"/>
      <c r="P194" s="409"/>
      <c r="Q194" s="268">
        <f t="shared" ref="Q194:BD194" si="373">AVERAGE(Q193,M193)/Q192-Q193</f>
        <v>1.5833333333333339</v>
      </c>
      <c r="R194" s="268">
        <f t="shared" si="373"/>
        <v>2.1428571428571423</v>
      </c>
      <c r="S194" s="268">
        <f t="shared" si="373"/>
        <v>2.4285714285714306</v>
      </c>
      <c r="T194" s="268">
        <f t="shared" si="373"/>
        <v>2.1955223880597039</v>
      </c>
      <c r="U194" s="1166">
        <f t="shared" si="373"/>
        <v>1.571428571428573</v>
      </c>
      <c r="V194" s="268">
        <f t="shared" si="373"/>
        <v>1.6285714285714299</v>
      </c>
      <c r="W194" s="268">
        <f t="shared" si="373"/>
        <v>2.1944444444444429</v>
      </c>
      <c r="X194" s="1167">
        <f t="shared" si="373"/>
        <v>4.2972222222222243</v>
      </c>
      <c r="Y194" s="268">
        <f t="shared" si="373"/>
        <v>5.0916666666666686</v>
      </c>
      <c r="Z194" s="268">
        <f t="shared" si="373"/>
        <v>7.1915492957746565</v>
      </c>
      <c r="AA194" s="268">
        <f t="shared" si="373"/>
        <v>6.6356164383561662</v>
      </c>
      <c r="AB194" s="268">
        <f t="shared" si="373"/>
        <v>9.2285714285714278</v>
      </c>
      <c r="AC194" s="1166">
        <f t="shared" si="373"/>
        <v>5.13333333333334</v>
      </c>
      <c r="AD194" s="268">
        <f t="shared" si="373"/>
        <v>7.63333333333334</v>
      </c>
      <c r="AE194" s="268">
        <f t="shared" si="373"/>
        <v>9.4000000000000057</v>
      </c>
      <c r="AF194" s="268">
        <f t="shared" si="373"/>
        <v>13.566666666666663</v>
      </c>
      <c r="AG194" s="1166">
        <f t="shared" si="373"/>
        <v>14.576315789473668</v>
      </c>
      <c r="AH194" s="268">
        <f t="shared" si="373"/>
        <v>14.819480519480535</v>
      </c>
      <c r="AI194" s="268">
        <f t="shared" si="373"/>
        <v>16.455844155844161</v>
      </c>
      <c r="AJ194" s="1167">
        <f t="shared" si="373"/>
        <v>16.376923076923063</v>
      </c>
      <c r="AK194" s="268">
        <f t="shared" si="373"/>
        <v>20.878947368421052</v>
      </c>
      <c r="AL194" s="268">
        <f t="shared" si="373"/>
        <v>17.607692307692304</v>
      </c>
      <c r="AM194" s="268">
        <f t="shared" si="373"/>
        <v>16.743037974683546</v>
      </c>
      <c r="AN194" s="268">
        <f t="shared" si="373"/>
        <v>16.924999999999983</v>
      </c>
      <c r="AO194" s="1166">
        <f t="shared" si="373"/>
        <v>23.941025641025618</v>
      </c>
      <c r="AP194" s="268">
        <f t="shared" si="373"/>
        <v>31.799999999999983</v>
      </c>
      <c r="AQ194" s="268">
        <f t="shared" si="373"/>
        <v>29.017948717948713</v>
      </c>
      <c r="AR194" s="1167">
        <f t="shared" si="373"/>
        <v>34.48181818181817</v>
      </c>
      <c r="AS194" s="268">
        <f t="shared" si="373"/>
        <v>37.17012987012987</v>
      </c>
      <c r="AT194" s="268">
        <f t="shared" si="373"/>
        <v>39.858441558441541</v>
      </c>
      <c r="AU194" s="268">
        <f t="shared" si="373"/>
        <v>42.546753246753212</v>
      </c>
      <c r="AV194" s="1167">
        <f t="shared" si="373"/>
        <v>45.235064935064941</v>
      </c>
      <c r="AW194" s="268">
        <f t="shared" si="373"/>
        <v>47.923376623376612</v>
      </c>
      <c r="AX194" s="268">
        <f t="shared" si="373"/>
        <v>50.611688311688283</v>
      </c>
      <c r="AY194" s="268">
        <f t="shared" si="373"/>
        <v>53.300000000000011</v>
      </c>
      <c r="AZ194" s="1167">
        <f t="shared" si="373"/>
        <v>55.988311688311683</v>
      </c>
      <c r="BA194" s="268">
        <f t="shared" si="373"/>
        <v>58.676623376623354</v>
      </c>
      <c r="BB194" s="268">
        <f t="shared" si="373"/>
        <v>61.364935064935025</v>
      </c>
      <c r="BC194" s="268">
        <f t="shared" si="373"/>
        <v>64.053246753246754</v>
      </c>
      <c r="BD194" s="268">
        <f t="shared" si="373"/>
        <v>66.741558441558425</v>
      </c>
      <c r="BE194" s="1347"/>
      <c r="BF194" s="503"/>
      <c r="BG194" s="409"/>
      <c r="BH194" s="409"/>
      <c r="BI194" s="409"/>
      <c r="BJ194" s="434" t="s">
        <v>140</v>
      </c>
      <c r="BK194" s="268">
        <f t="shared" ref="BK194:BY194" si="374">AVERAGE(BK193,BJ193)/BK192-BK193</f>
        <v>1.1745519713261672</v>
      </c>
      <c r="BL194" s="268">
        <f t="shared" si="374"/>
        <v>4.9183098591549381</v>
      </c>
      <c r="BM194" s="268">
        <f t="shared" si="374"/>
        <v>7.6251748251748097</v>
      </c>
      <c r="BN194" s="1166">
        <f t="shared" si="374"/>
        <v>13.566666666666663</v>
      </c>
      <c r="BO194" s="268">
        <f t="shared" si="374"/>
        <v>18.170129870129855</v>
      </c>
      <c r="BP194" s="268">
        <f t="shared" si="374"/>
        <v>23.728571428571428</v>
      </c>
      <c r="BQ194" s="268">
        <f t="shared" si="374"/>
        <v>33.743365695792846</v>
      </c>
      <c r="BR194" s="268">
        <f t="shared" si="374"/>
        <v>45.235064935064941</v>
      </c>
      <c r="BS194" s="268">
        <f t="shared" si="374"/>
        <v>55.988311688311683</v>
      </c>
      <c r="BT194" s="268">
        <f t="shared" si="374"/>
        <v>66.741558441558425</v>
      </c>
      <c r="BU194" s="268">
        <f t="shared" si="374"/>
        <v>88.566666666666663</v>
      </c>
      <c r="BV194" s="268">
        <f t="shared" si="374"/>
        <v>100.56666666666666</v>
      </c>
      <c r="BW194" s="268">
        <f t="shared" si="374"/>
        <v>112.56666666666666</v>
      </c>
      <c r="BX194" s="268">
        <f t="shared" si="374"/>
        <v>124.56666666666666</v>
      </c>
      <c r="BY194" s="1167">
        <f t="shared" si="374"/>
        <v>136.56666666666666</v>
      </c>
      <c r="BZ194" s="268"/>
      <c r="CA194" s="404"/>
      <c r="CB194" s="264"/>
      <c r="CC194" s="264"/>
      <c r="CD194" s="264"/>
      <c r="CE194" s="264"/>
      <c r="CF194" s="264"/>
      <c r="CG194" s="264"/>
    </row>
    <row r="195" spans="1:85" s="83" customFormat="1" ht="11.25" customHeight="1">
      <c r="A195" s="1163"/>
      <c r="B195" s="1163"/>
      <c r="C195" s="1163"/>
      <c r="D195" s="1163"/>
      <c r="E195" s="1163"/>
      <c r="F195" s="1163"/>
      <c r="G195" s="1163"/>
      <c r="H195" s="1163"/>
      <c r="I195" s="1164" t="s">
        <v>334</v>
      </c>
      <c r="J195" s="1165"/>
      <c r="K195" s="409"/>
      <c r="L195" s="409"/>
      <c r="M195" s="1168"/>
      <c r="N195" s="409"/>
      <c r="O195" s="409"/>
      <c r="P195" s="409"/>
      <c r="Q195" s="268">
        <f t="shared" ref="Q195:V195" si="375">Q196+Q194</f>
        <v>6.5833333333333339</v>
      </c>
      <c r="R195" s="268">
        <f t="shared" si="375"/>
        <v>8.1428571428571423</v>
      </c>
      <c r="S195" s="268">
        <f t="shared" si="375"/>
        <v>10.428571428571431</v>
      </c>
      <c r="T195" s="268">
        <f t="shared" si="375"/>
        <v>14.895522388059703</v>
      </c>
      <c r="U195" s="1166">
        <f t="shared" si="375"/>
        <v>15.571428571428573</v>
      </c>
      <c r="V195" s="268">
        <f t="shared" si="375"/>
        <v>18.428571428571431</v>
      </c>
      <c r="W195" s="268">
        <f>W196+W194</f>
        <v>19.194444444444443</v>
      </c>
      <c r="X195" s="1167">
        <f>X196+X194</f>
        <v>20.397222222222222</v>
      </c>
      <c r="Y195" s="268">
        <f t="shared" ref="Y195:AK195" si="376">Y196+Y194</f>
        <v>22.791666666666671</v>
      </c>
      <c r="Z195" s="268">
        <f t="shared" si="376"/>
        <v>26.791549295774654</v>
      </c>
      <c r="AA195" s="268">
        <f t="shared" si="376"/>
        <v>27.835616438356169</v>
      </c>
      <c r="AB195" s="268">
        <f t="shared" si="376"/>
        <v>36.628571428571433</v>
      </c>
      <c r="AC195" s="1166">
        <f t="shared" si="376"/>
        <v>34.433333333333337</v>
      </c>
      <c r="AD195" s="268">
        <f t="shared" si="376"/>
        <v>36.133333333333347</v>
      </c>
      <c r="AE195" s="268">
        <f t="shared" si="376"/>
        <v>38.400000000000006</v>
      </c>
      <c r="AF195" s="268">
        <f t="shared" si="376"/>
        <v>40.066666666666663</v>
      </c>
      <c r="AG195" s="1166">
        <f t="shared" si="376"/>
        <v>40.276315789473671</v>
      </c>
      <c r="AH195" s="268">
        <f t="shared" si="376"/>
        <v>40.619480519480533</v>
      </c>
      <c r="AI195" s="268">
        <f t="shared" si="376"/>
        <v>42.955844155844161</v>
      </c>
      <c r="AJ195" s="1167">
        <f t="shared" si="376"/>
        <v>44.376923076923063</v>
      </c>
      <c r="AK195" s="268">
        <f t="shared" si="376"/>
        <v>51.878947368421038</v>
      </c>
      <c r="AL195" s="268">
        <f t="shared" ref="AL195:AQ195" si="377">AL196+AL194</f>
        <v>51.60769230769229</v>
      </c>
      <c r="AM195" s="268">
        <f t="shared" si="377"/>
        <v>52.743037974683531</v>
      </c>
      <c r="AN195" s="268">
        <f t="shared" si="377"/>
        <v>52.924999999999969</v>
      </c>
      <c r="AO195" s="1166">
        <f t="shared" si="377"/>
        <v>59.941025641025618</v>
      </c>
      <c r="AP195" s="268">
        <f t="shared" si="377"/>
        <v>67.799999999999983</v>
      </c>
      <c r="AQ195" s="268">
        <f t="shared" si="377"/>
        <v>65.017948717948713</v>
      </c>
      <c r="AR195" s="1167">
        <f t="shared" ref="AR195" si="378">AR196+AR194</f>
        <v>70.48181818181817</v>
      </c>
      <c r="AS195" s="268">
        <f t="shared" ref="AS195:BD195" si="379">AS196+AS194</f>
        <v>73.17012987012987</v>
      </c>
      <c r="AT195" s="268">
        <f t="shared" si="379"/>
        <v>75.858441558441541</v>
      </c>
      <c r="AU195" s="268">
        <f t="shared" si="379"/>
        <v>78.546753246753212</v>
      </c>
      <c r="AV195" s="1167">
        <f t="shared" si="379"/>
        <v>81.235064935064941</v>
      </c>
      <c r="AW195" s="268">
        <f t="shared" si="379"/>
        <v>83.923376623376612</v>
      </c>
      <c r="AX195" s="268">
        <f t="shared" si="379"/>
        <v>86.611688311688283</v>
      </c>
      <c r="AY195" s="268">
        <f t="shared" si="379"/>
        <v>89.300000000000011</v>
      </c>
      <c r="AZ195" s="1167">
        <f t="shared" si="379"/>
        <v>91.988311688311683</v>
      </c>
      <c r="BA195" s="268">
        <f t="shared" si="379"/>
        <v>94.676623376623354</v>
      </c>
      <c r="BB195" s="268">
        <f t="shared" si="379"/>
        <v>97.364935064935025</v>
      </c>
      <c r="BC195" s="268">
        <f t="shared" si="379"/>
        <v>100.05324675324675</v>
      </c>
      <c r="BD195" s="1167">
        <f t="shared" si="379"/>
        <v>102.74155844155842</v>
      </c>
      <c r="BE195" s="268"/>
      <c r="BF195" s="503"/>
      <c r="BG195" s="409"/>
      <c r="BH195" s="409"/>
      <c r="BI195" s="409"/>
      <c r="BJ195" s="434" t="s">
        <v>140</v>
      </c>
      <c r="BK195" s="268">
        <f>BK196+BK194</f>
        <v>13.874551971326166</v>
      </c>
      <c r="BL195" s="268">
        <f>BL196+BL194</f>
        <v>21.018309859154936</v>
      </c>
      <c r="BM195" s="268">
        <f t="shared" ref="BM195:BY195" si="380">BM196+BM194</f>
        <v>35.025174825174815</v>
      </c>
      <c r="BN195" s="1166">
        <f t="shared" si="380"/>
        <v>40.066666666666663</v>
      </c>
      <c r="BO195" s="268">
        <f t="shared" si="380"/>
        <v>46.170129870129855</v>
      </c>
      <c r="BP195" s="268">
        <f t="shared" si="380"/>
        <v>59.728571428571414</v>
      </c>
      <c r="BQ195" s="268">
        <f t="shared" si="380"/>
        <v>69.743365695792846</v>
      </c>
      <c r="BR195" s="268">
        <f t="shared" si="380"/>
        <v>81.235064935064941</v>
      </c>
      <c r="BS195" s="268">
        <f t="shared" si="380"/>
        <v>91.988311688311683</v>
      </c>
      <c r="BT195" s="268">
        <f t="shared" si="380"/>
        <v>102.74155844155842</v>
      </c>
      <c r="BU195" s="268">
        <f t="shared" si="380"/>
        <v>124.56666666666666</v>
      </c>
      <c r="BV195" s="268">
        <f t="shared" si="380"/>
        <v>136.56666666666666</v>
      </c>
      <c r="BW195" s="268">
        <f t="shared" si="380"/>
        <v>148.56666666666666</v>
      </c>
      <c r="BX195" s="268">
        <f t="shared" si="380"/>
        <v>160.56666666666666</v>
      </c>
      <c r="BY195" s="1167">
        <f t="shared" si="380"/>
        <v>172.56666666666666</v>
      </c>
      <c r="BZ195" s="268"/>
      <c r="CA195" s="404"/>
      <c r="CB195" s="264"/>
      <c r="CC195" s="264"/>
      <c r="CD195" s="264"/>
      <c r="CE195" s="264"/>
      <c r="CF195" s="264"/>
      <c r="CG195" s="264"/>
    </row>
    <row r="196" spans="1:85" s="83" customFormat="1" ht="11.25" customHeight="1">
      <c r="A196" s="1163"/>
      <c r="B196" s="1163"/>
      <c r="C196" s="1163"/>
      <c r="D196" s="1163"/>
      <c r="E196" s="1163"/>
      <c r="F196" s="1163"/>
      <c r="G196" s="1163"/>
      <c r="H196" s="1163"/>
      <c r="I196" s="1164" t="s">
        <v>335</v>
      </c>
      <c r="J196" s="1165"/>
      <c r="K196" s="409"/>
      <c r="L196" s="409"/>
      <c r="M196" s="1168"/>
      <c r="N196" s="409"/>
      <c r="O196" s="409"/>
      <c r="P196" s="409"/>
      <c r="Q196" s="268">
        <f t="shared" ref="Q196:BD196" si="381">Q193-M193</f>
        <v>5</v>
      </c>
      <c r="R196" s="268">
        <f t="shared" si="381"/>
        <v>6</v>
      </c>
      <c r="S196" s="268">
        <f t="shared" si="381"/>
        <v>8</v>
      </c>
      <c r="T196" s="268">
        <f t="shared" si="381"/>
        <v>12.7</v>
      </c>
      <c r="U196" s="1166">
        <f t="shared" si="381"/>
        <v>14</v>
      </c>
      <c r="V196" s="268">
        <f t="shared" si="381"/>
        <v>16.8</v>
      </c>
      <c r="W196" s="268">
        <f t="shared" si="381"/>
        <v>17</v>
      </c>
      <c r="X196" s="1167">
        <f t="shared" si="381"/>
        <v>16.099999999999998</v>
      </c>
      <c r="Y196" s="268">
        <f t="shared" si="381"/>
        <v>17.700000000000003</v>
      </c>
      <c r="Z196" s="268">
        <f t="shared" si="381"/>
        <v>19.599999999999998</v>
      </c>
      <c r="AA196" s="268">
        <f t="shared" si="381"/>
        <v>21.200000000000003</v>
      </c>
      <c r="AB196" s="268">
        <f t="shared" si="381"/>
        <v>27.400000000000006</v>
      </c>
      <c r="AC196" s="1166">
        <f t="shared" si="381"/>
        <v>29.299999999999997</v>
      </c>
      <c r="AD196" s="268">
        <f t="shared" si="381"/>
        <v>28.500000000000007</v>
      </c>
      <c r="AE196" s="268">
        <f t="shared" si="381"/>
        <v>29</v>
      </c>
      <c r="AF196" s="268">
        <f t="shared" si="381"/>
        <v>26.5</v>
      </c>
      <c r="AG196" s="1166">
        <f t="shared" si="381"/>
        <v>25.700000000000003</v>
      </c>
      <c r="AH196" s="268">
        <f t="shared" si="381"/>
        <v>25.799999999999997</v>
      </c>
      <c r="AI196" s="268">
        <f t="shared" si="381"/>
        <v>26.5</v>
      </c>
      <c r="AJ196" s="1167">
        <f t="shared" si="381"/>
        <v>28</v>
      </c>
      <c r="AK196" s="268">
        <f t="shared" si="381"/>
        <v>30.999999999999986</v>
      </c>
      <c r="AL196" s="268">
        <f t="shared" si="381"/>
        <v>33.999999999999986</v>
      </c>
      <c r="AM196" s="268">
        <f t="shared" si="381"/>
        <v>35.999999999999986</v>
      </c>
      <c r="AN196" s="1167">
        <f t="shared" si="381"/>
        <v>35.999999999999986</v>
      </c>
      <c r="AO196" s="268">
        <f t="shared" si="381"/>
        <v>36</v>
      </c>
      <c r="AP196" s="268">
        <f t="shared" si="381"/>
        <v>36</v>
      </c>
      <c r="AQ196" s="268">
        <f t="shared" si="381"/>
        <v>36</v>
      </c>
      <c r="AR196" s="1167">
        <f t="shared" si="381"/>
        <v>36</v>
      </c>
      <c r="AS196" s="268">
        <f t="shared" si="381"/>
        <v>36</v>
      </c>
      <c r="AT196" s="268">
        <f t="shared" si="381"/>
        <v>36</v>
      </c>
      <c r="AU196" s="268">
        <f t="shared" si="381"/>
        <v>36</v>
      </c>
      <c r="AV196" s="1167">
        <f t="shared" si="381"/>
        <v>36</v>
      </c>
      <c r="AW196" s="268">
        <f t="shared" si="381"/>
        <v>36</v>
      </c>
      <c r="AX196" s="268">
        <f t="shared" si="381"/>
        <v>36</v>
      </c>
      <c r="AY196" s="268">
        <f t="shared" si="381"/>
        <v>36</v>
      </c>
      <c r="AZ196" s="1167">
        <f t="shared" si="381"/>
        <v>36</v>
      </c>
      <c r="BA196" s="268">
        <f t="shared" si="381"/>
        <v>36</v>
      </c>
      <c r="BB196" s="268">
        <f t="shared" si="381"/>
        <v>36</v>
      </c>
      <c r="BC196" s="268">
        <f t="shared" si="381"/>
        <v>36</v>
      </c>
      <c r="BD196" s="1167">
        <f t="shared" si="381"/>
        <v>36</v>
      </c>
      <c r="BE196" s="1347"/>
      <c r="BF196" s="503"/>
      <c r="BG196" s="409"/>
      <c r="BH196" s="409"/>
      <c r="BI196" s="409"/>
      <c r="BJ196" s="434" t="s">
        <v>140</v>
      </c>
      <c r="BK196" s="268">
        <f t="shared" ref="BK196:BY196" si="382">BK193-BJ193</f>
        <v>12.7</v>
      </c>
      <c r="BL196" s="268">
        <f t="shared" si="382"/>
        <v>16.099999999999998</v>
      </c>
      <c r="BM196" s="268">
        <f t="shared" si="382"/>
        <v>27.400000000000006</v>
      </c>
      <c r="BN196" s="1166">
        <f t="shared" si="382"/>
        <v>26.5</v>
      </c>
      <c r="BO196" s="268">
        <f t="shared" si="382"/>
        <v>28</v>
      </c>
      <c r="BP196" s="268">
        <f t="shared" si="382"/>
        <v>35.999999999999986</v>
      </c>
      <c r="BQ196" s="268">
        <f t="shared" si="382"/>
        <v>36</v>
      </c>
      <c r="BR196" s="268">
        <f t="shared" si="382"/>
        <v>36</v>
      </c>
      <c r="BS196" s="268">
        <f t="shared" si="382"/>
        <v>36</v>
      </c>
      <c r="BT196" s="268">
        <f t="shared" si="382"/>
        <v>36</v>
      </c>
      <c r="BU196" s="268">
        <f t="shared" si="382"/>
        <v>36</v>
      </c>
      <c r="BV196" s="268">
        <f t="shared" si="382"/>
        <v>36</v>
      </c>
      <c r="BW196" s="268">
        <f t="shared" si="382"/>
        <v>36</v>
      </c>
      <c r="BX196" s="268">
        <f t="shared" si="382"/>
        <v>36</v>
      </c>
      <c r="BY196" s="1167">
        <f t="shared" si="382"/>
        <v>36</v>
      </c>
      <c r="BZ196" s="268"/>
      <c r="CA196" s="404"/>
      <c r="CB196" s="264"/>
      <c r="CC196" s="264"/>
      <c r="CD196" s="264"/>
      <c r="CE196" s="264"/>
      <c r="CF196" s="264"/>
      <c r="CG196" s="264"/>
    </row>
    <row r="197" spans="1:85" s="83" customFormat="1" ht="11.25" customHeight="1">
      <c r="A197" s="1163"/>
      <c r="B197" s="1163"/>
      <c r="C197" s="1163"/>
      <c r="D197" s="1163"/>
      <c r="E197" s="1163"/>
      <c r="F197" s="1163"/>
      <c r="G197" s="1163"/>
      <c r="H197" s="1163"/>
      <c r="I197" s="1164"/>
      <c r="J197" s="1165"/>
      <c r="K197" s="409"/>
      <c r="L197" s="409"/>
      <c r="M197" s="1168"/>
      <c r="N197" s="409"/>
      <c r="O197" s="409"/>
      <c r="P197" s="409"/>
      <c r="Q197" s="268"/>
      <c r="R197" s="268"/>
      <c r="S197" s="268"/>
      <c r="T197" s="268"/>
      <c r="U197" s="1166"/>
      <c r="V197" s="268"/>
      <c r="W197" s="268"/>
      <c r="X197" s="1167"/>
      <c r="Y197" s="268"/>
      <c r="Z197" s="268"/>
      <c r="AA197" s="268"/>
      <c r="AB197" s="268"/>
      <c r="AC197" s="1166"/>
      <c r="AD197" s="268"/>
      <c r="AE197" s="268"/>
      <c r="AF197" s="268"/>
      <c r="AG197" s="1166"/>
      <c r="AH197" s="268"/>
      <c r="AI197" s="268"/>
      <c r="AJ197" s="1167"/>
      <c r="AK197" s="268"/>
      <c r="AL197" s="268"/>
      <c r="AM197" s="268"/>
      <c r="AN197" s="1167"/>
      <c r="AO197" s="268"/>
      <c r="AP197" s="268"/>
      <c r="AQ197" s="268"/>
      <c r="AR197" s="1167"/>
      <c r="AS197" s="268"/>
      <c r="AT197" s="268"/>
      <c r="AU197" s="268"/>
      <c r="AV197" s="1167"/>
      <c r="AW197" s="268"/>
      <c r="AX197" s="268"/>
      <c r="AY197" s="268"/>
      <c r="AZ197" s="1167"/>
      <c r="BA197" s="268"/>
      <c r="BB197" s="268"/>
      <c r="BC197" s="268"/>
      <c r="BD197" s="1167"/>
      <c r="BE197" s="268"/>
      <c r="BF197" s="503"/>
      <c r="BG197" s="409"/>
      <c r="BH197" s="409"/>
      <c r="BI197" s="409"/>
      <c r="BJ197" s="434"/>
      <c r="BK197" s="268"/>
      <c r="BL197" s="268"/>
      <c r="BM197" s="268"/>
      <c r="BN197" s="1166"/>
      <c r="BO197" s="268"/>
      <c r="BP197" s="268"/>
      <c r="BQ197" s="268"/>
      <c r="BR197" s="268"/>
      <c r="BS197" s="268"/>
      <c r="BT197" s="268"/>
      <c r="BU197" s="268"/>
      <c r="BV197" s="268"/>
      <c r="BW197" s="268"/>
      <c r="BX197" s="268"/>
      <c r="BY197" s="1167"/>
      <c r="BZ197" s="268"/>
      <c r="CA197" s="404"/>
      <c r="CB197" s="264"/>
      <c r="CC197" s="264"/>
      <c r="CD197" s="264"/>
      <c r="CE197" s="264"/>
      <c r="CF197" s="264"/>
      <c r="CG197" s="264"/>
    </row>
    <row r="198" spans="1:85" s="83" customFormat="1" ht="11.25" customHeight="1">
      <c r="A198" s="1163"/>
      <c r="B198" s="1163"/>
      <c r="C198" s="1163"/>
      <c r="D198" s="1163"/>
      <c r="E198" s="1163"/>
      <c r="F198" s="1163"/>
      <c r="G198" s="1163"/>
      <c r="H198" s="1163"/>
      <c r="I198" s="1164"/>
      <c r="J198" s="1165"/>
      <c r="K198" s="409"/>
      <c r="L198" s="409"/>
      <c r="M198" s="1168"/>
      <c r="N198" s="409"/>
      <c r="O198" s="409"/>
      <c r="P198" s="409"/>
      <c r="Q198" s="268"/>
      <c r="R198" s="268"/>
      <c r="S198" s="268"/>
      <c r="T198" s="268"/>
      <c r="U198" s="1166"/>
      <c r="V198" s="268"/>
      <c r="W198" s="268"/>
      <c r="X198" s="1167"/>
      <c r="Y198" s="268"/>
      <c r="Z198" s="268"/>
      <c r="AA198" s="268"/>
      <c r="AB198" s="268"/>
      <c r="AC198" s="1166"/>
      <c r="AD198" s="268"/>
      <c r="AE198" s="268"/>
      <c r="AF198" s="268"/>
      <c r="AG198" s="1166"/>
      <c r="AH198" s="268"/>
      <c r="AI198" s="268"/>
      <c r="AJ198" s="1167"/>
      <c r="AK198" s="268"/>
      <c r="AL198" s="268"/>
      <c r="AM198" s="268"/>
      <c r="AN198" s="1167"/>
      <c r="AO198" s="268"/>
      <c r="AP198" s="268"/>
      <c r="AQ198" s="268"/>
      <c r="AR198" s="1167"/>
      <c r="AS198" s="268"/>
      <c r="AT198" s="268"/>
      <c r="AU198" s="268"/>
      <c r="AV198" s="1167"/>
      <c r="AW198" s="268"/>
      <c r="AX198" s="268"/>
      <c r="AY198" s="268"/>
      <c r="AZ198" s="1167"/>
      <c r="BA198" s="268"/>
      <c r="BB198" s="268"/>
      <c r="BC198" s="268"/>
      <c r="BD198" s="1167"/>
      <c r="BE198" s="268"/>
      <c r="BF198" s="503"/>
      <c r="BG198" s="409"/>
      <c r="BH198" s="409"/>
      <c r="BI198" s="409"/>
      <c r="BJ198" s="434"/>
      <c r="BK198" s="268"/>
      <c r="BL198" s="268"/>
      <c r="BM198" s="268"/>
      <c r="BN198" s="1166"/>
      <c r="BO198" s="268"/>
      <c r="BP198" s="268"/>
      <c r="BQ198" s="268"/>
      <c r="BR198" s="268"/>
      <c r="BS198" s="268"/>
      <c r="BT198" s="268"/>
      <c r="BU198" s="268"/>
      <c r="BV198" s="268"/>
      <c r="BW198" s="268"/>
      <c r="BX198" s="268"/>
      <c r="BY198" s="1167"/>
      <c r="BZ198" s="268"/>
      <c r="CA198" s="404"/>
      <c r="CB198" s="264"/>
      <c r="CC198" s="264"/>
      <c r="CD198" s="264"/>
      <c r="CE198" s="264"/>
      <c r="CF198" s="264"/>
      <c r="CG198" s="264"/>
    </row>
    <row r="199" spans="1:85" s="1524" customFormat="1" ht="11.25" hidden="1" customHeight="1" outlineLevel="2" collapsed="1">
      <c r="I199" s="1525" t="s">
        <v>261</v>
      </c>
      <c r="J199" s="1526"/>
      <c r="K199" s="1526"/>
      <c r="L199" s="1526"/>
      <c r="M199" s="1527">
        <v>8</v>
      </c>
      <c r="N199" s="1527">
        <v>9</v>
      </c>
      <c r="O199" s="1527">
        <v>11</v>
      </c>
      <c r="P199" s="1527">
        <v>11</v>
      </c>
      <c r="Q199" s="1527">
        <v>13</v>
      </c>
      <c r="R199" s="1527">
        <v>15</v>
      </c>
      <c r="S199" s="1527">
        <v>19</v>
      </c>
      <c r="T199" s="1527">
        <v>23.7</v>
      </c>
      <c r="U199" s="1528">
        <v>27</v>
      </c>
      <c r="V199" s="1527">
        <v>31.8</v>
      </c>
      <c r="W199" s="1527">
        <v>36</v>
      </c>
      <c r="X199" s="1529">
        <v>39.799999999999997</v>
      </c>
      <c r="Y199" s="1527">
        <v>44.7</v>
      </c>
      <c r="Z199" s="1527">
        <v>51.4</v>
      </c>
      <c r="AA199" s="1527">
        <v>57.2</v>
      </c>
      <c r="AB199" s="1527">
        <v>67.2</v>
      </c>
      <c r="AC199" s="1528">
        <v>74</v>
      </c>
      <c r="AD199" s="1527">
        <v>79.900000000000006</v>
      </c>
      <c r="AE199" s="1527">
        <v>86.2</v>
      </c>
      <c r="AF199" s="1527">
        <v>93.7</v>
      </c>
      <c r="AG199" s="1530">
        <f t="shared" ref="AG199:BD199" si="383">AF199+AG200</f>
        <v>99.7</v>
      </c>
      <c r="AH199" s="1531">
        <f t="shared" si="383"/>
        <v>105.7</v>
      </c>
      <c r="AI199" s="1531">
        <f t="shared" si="383"/>
        <v>112.7</v>
      </c>
      <c r="AJ199" s="1532">
        <f t="shared" si="383"/>
        <v>121.7</v>
      </c>
      <c r="AK199" s="1531">
        <f t="shared" si="383"/>
        <v>130.69999999999999</v>
      </c>
      <c r="AL199" s="1531">
        <f t="shared" si="383"/>
        <v>139.69999999999999</v>
      </c>
      <c r="AM199" s="1531">
        <f t="shared" si="383"/>
        <v>148.69999999999999</v>
      </c>
      <c r="AN199" s="1532">
        <f t="shared" si="383"/>
        <v>157.69999999999999</v>
      </c>
      <c r="AO199" s="1531">
        <f t="shared" si="383"/>
        <v>166.7</v>
      </c>
      <c r="AP199" s="1531">
        <f t="shared" si="383"/>
        <v>175.7</v>
      </c>
      <c r="AQ199" s="1531">
        <f t="shared" si="383"/>
        <v>184.7</v>
      </c>
      <c r="AR199" s="1532">
        <f t="shared" si="383"/>
        <v>193.7</v>
      </c>
      <c r="AS199" s="1531">
        <f t="shared" si="383"/>
        <v>202.7</v>
      </c>
      <c r="AT199" s="1531">
        <f t="shared" si="383"/>
        <v>211.7</v>
      </c>
      <c r="AU199" s="1531">
        <f t="shared" si="383"/>
        <v>220.7</v>
      </c>
      <c r="AV199" s="1532">
        <f t="shared" si="383"/>
        <v>229.7</v>
      </c>
      <c r="AW199" s="1531">
        <f t="shared" si="383"/>
        <v>238.7</v>
      </c>
      <c r="AX199" s="1531">
        <f t="shared" si="383"/>
        <v>247.7</v>
      </c>
      <c r="AY199" s="1531">
        <f t="shared" si="383"/>
        <v>256.7</v>
      </c>
      <c r="AZ199" s="1532">
        <f t="shared" si="383"/>
        <v>265.7</v>
      </c>
      <c r="BA199" s="1531">
        <f t="shared" si="383"/>
        <v>274.7</v>
      </c>
      <c r="BB199" s="1531">
        <f t="shared" si="383"/>
        <v>283.7</v>
      </c>
      <c r="BC199" s="1531">
        <f t="shared" si="383"/>
        <v>292.7</v>
      </c>
      <c r="BD199" s="1532">
        <f t="shared" si="383"/>
        <v>301.7</v>
      </c>
      <c r="BE199" s="1531"/>
      <c r="BF199" s="1533"/>
      <c r="BH199" s="1527">
        <v>4</v>
      </c>
      <c r="BI199" s="1527">
        <v>7</v>
      </c>
      <c r="BJ199" s="1534">
        <f>P199</f>
        <v>11</v>
      </c>
      <c r="BK199" s="1534">
        <f>T199</f>
        <v>23.7</v>
      </c>
      <c r="BL199" s="1534">
        <f>X199</f>
        <v>39.799999999999997</v>
      </c>
      <c r="BM199" s="1535">
        <f>AB199</f>
        <v>67.2</v>
      </c>
      <c r="BN199" s="1798">
        <f>AF199</f>
        <v>93.7</v>
      </c>
      <c r="BO199" s="1535">
        <f>AJ199</f>
        <v>121.7</v>
      </c>
      <c r="BP199" s="1536">
        <f>AN199</f>
        <v>157.69999999999999</v>
      </c>
      <c r="BQ199" s="1536">
        <f>AR199</f>
        <v>193.7</v>
      </c>
      <c r="BR199" s="1536">
        <f>AV199</f>
        <v>229.7</v>
      </c>
      <c r="BS199" s="1536">
        <f>AZ199</f>
        <v>265.7</v>
      </c>
      <c r="BT199" s="1536">
        <f>BD199</f>
        <v>301.7</v>
      </c>
      <c r="BU199" s="1536">
        <f>BT199+BU201</f>
        <v>337.7</v>
      </c>
      <c r="BV199" s="1536">
        <f>BU199+BV201</f>
        <v>373.7</v>
      </c>
      <c r="BW199" s="1536">
        <f>BV199+BW201</f>
        <v>409.7</v>
      </c>
      <c r="BX199" s="1536">
        <f>BW199+BX201</f>
        <v>445.7</v>
      </c>
      <c r="BY199" s="1537">
        <f>BX199+BY201</f>
        <v>481.7</v>
      </c>
      <c r="BZ199" s="1538"/>
      <c r="CA199" s="1539">
        <f>IF(ISERROR(RATE(5,,-BI199,BN199)),"NM",(RATE(5,,-BI199,BN199)))</f>
        <v>0.68007361017862855</v>
      </c>
      <c r="CB199" s="1539">
        <f t="shared" ref="CB199:CG199" si="384">IF(ISERROR(RATE(3,,-BK199,BN199)),"NM",(RATE(3,,-BK199,BN199)))</f>
        <v>0.58123741362805426</v>
      </c>
      <c r="CC199" s="1539">
        <f t="shared" si="384"/>
        <v>0.45145141149052109</v>
      </c>
      <c r="CD199" s="1539">
        <f t="shared" si="384"/>
        <v>0.32888522686644556</v>
      </c>
      <c r="CE199" s="1539">
        <f t="shared" si="384"/>
        <v>0.27388437264130422</v>
      </c>
      <c r="CF199" s="1539">
        <f t="shared" si="384"/>
        <v>0.23582451388685075</v>
      </c>
      <c r="CG199" s="1539">
        <f t="shared" si="384"/>
        <v>0.18992599914681174</v>
      </c>
    </row>
    <row r="200" spans="1:85" s="1552" customFormat="1" ht="11.25" hidden="1" customHeight="1" outlineLevel="2">
      <c r="A200" s="1540"/>
      <c r="B200" s="1540"/>
      <c r="C200" s="1540"/>
      <c r="D200" s="1540"/>
      <c r="E200" s="1540"/>
      <c r="F200" s="1540"/>
      <c r="G200" s="1540"/>
      <c r="H200" s="1540"/>
      <c r="I200" s="1541" t="s">
        <v>427</v>
      </c>
      <c r="J200" s="1542"/>
      <c r="K200" s="1543"/>
      <c r="L200" s="1543"/>
      <c r="M200" s="1544"/>
      <c r="N200" s="1543">
        <f t="shared" ref="N200:AF200" si="385">N199-M199</f>
        <v>1</v>
      </c>
      <c r="O200" s="1543">
        <f t="shared" si="385"/>
        <v>2</v>
      </c>
      <c r="P200" s="1543">
        <f t="shared" si="385"/>
        <v>0</v>
      </c>
      <c r="Q200" s="1543">
        <f t="shared" si="385"/>
        <v>2</v>
      </c>
      <c r="R200" s="1543">
        <f t="shared" si="385"/>
        <v>2</v>
      </c>
      <c r="S200" s="1543">
        <f t="shared" si="385"/>
        <v>4</v>
      </c>
      <c r="T200" s="1543">
        <f t="shared" si="385"/>
        <v>4.6999999999999993</v>
      </c>
      <c r="U200" s="1545">
        <f t="shared" si="385"/>
        <v>3.3000000000000007</v>
      </c>
      <c r="V200" s="1543">
        <f t="shared" si="385"/>
        <v>4.8000000000000007</v>
      </c>
      <c r="W200" s="1543">
        <f t="shared" si="385"/>
        <v>4.1999999999999993</v>
      </c>
      <c r="X200" s="1546">
        <f t="shared" si="385"/>
        <v>3.7999999999999972</v>
      </c>
      <c r="Y200" s="1543">
        <f t="shared" si="385"/>
        <v>4.9000000000000057</v>
      </c>
      <c r="Z200" s="1543">
        <f t="shared" si="385"/>
        <v>6.6999999999999957</v>
      </c>
      <c r="AA200" s="1543">
        <f t="shared" si="385"/>
        <v>5.8000000000000043</v>
      </c>
      <c r="AB200" s="1543">
        <f t="shared" si="385"/>
        <v>10</v>
      </c>
      <c r="AC200" s="1545">
        <f t="shared" si="385"/>
        <v>6.7999999999999972</v>
      </c>
      <c r="AD200" s="1543">
        <f t="shared" si="385"/>
        <v>5.9000000000000057</v>
      </c>
      <c r="AE200" s="1543">
        <f t="shared" si="385"/>
        <v>6.2999999999999972</v>
      </c>
      <c r="AF200" s="1543">
        <f t="shared" si="385"/>
        <v>7.5</v>
      </c>
      <c r="AG200" s="1547">
        <v>6</v>
      </c>
      <c r="AH200" s="1548">
        <v>6</v>
      </c>
      <c r="AI200" s="1548">
        <v>7</v>
      </c>
      <c r="AJ200" s="1549">
        <v>9</v>
      </c>
      <c r="AK200" s="1548">
        <v>9</v>
      </c>
      <c r="AL200" s="1548">
        <v>9</v>
      </c>
      <c r="AM200" s="1548">
        <v>9</v>
      </c>
      <c r="AN200" s="1549">
        <v>9</v>
      </c>
      <c r="AO200" s="1548">
        <v>9</v>
      </c>
      <c r="AP200" s="1548">
        <v>9</v>
      </c>
      <c r="AQ200" s="1548">
        <v>9</v>
      </c>
      <c r="AR200" s="1549">
        <v>9</v>
      </c>
      <c r="AS200" s="1548">
        <v>9</v>
      </c>
      <c r="AT200" s="1548">
        <v>9</v>
      </c>
      <c r="AU200" s="1548">
        <v>9</v>
      </c>
      <c r="AV200" s="1549">
        <v>9</v>
      </c>
      <c r="AW200" s="1548">
        <v>9</v>
      </c>
      <c r="AX200" s="1548">
        <v>9</v>
      </c>
      <c r="AY200" s="1548">
        <v>9</v>
      </c>
      <c r="AZ200" s="1549">
        <v>9</v>
      </c>
      <c r="BA200" s="1548">
        <v>9</v>
      </c>
      <c r="BB200" s="1548">
        <v>9</v>
      </c>
      <c r="BC200" s="1548">
        <v>9</v>
      </c>
      <c r="BD200" s="1549">
        <v>9</v>
      </c>
      <c r="BE200" s="1548"/>
      <c r="BF200" s="1550"/>
      <c r="BG200" s="1551"/>
      <c r="BH200" s="1551"/>
      <c r="BM200" s="1524"/>
      <c r="BN200" s="1651"/>
      <c r="BO200" s="1524"/>
      <c r="BP200" s="1524"/>
      <c r="BQ200" s="1524"/>
      <c r="BR200" s="1524"/>
      <c r="BS200" s="1524"/>
      <c r="BT200" s="1524"/>
      <c r="BU200" s="1524"/>
      <c r="BV200" s="1524"/>
      <c r="BW200" s="1524"/>
      <c r="BX200" s="1524"/>
      <c r="BY200" s="1554"/>
      <c r="BZ200" s="1551"/>
      <c r="CA200" s="1555"/>
      <c r="CB200" s="1556"/>
      <c r="CC200" s="1556"/>
      <c r="CD200" s="1556"/>
      <c r="CE200" s="1556"/>
      <c r="CF200" s="1556"/>
      <c r="CG200" s="1556"/>
    </row>
    <row r="201" spans="1:85" s="1552" customFormat="1" ht="11.25" hidden="1" customHeight="1" outlineLevel="2">
      <c r="A201" s="1540"/>
      <c r="B201" s="1540"/>
      <c r="C201" s="1540"/>
      <c r="D201" s="1540"/>
      <c r="E201" s="1540"/>
      <c r="F201" s="1540"/>
      <c r="G201" s="1540"/>
      <c r="H201" s="1540"/>
      <c r="I201" s="1557" t="s">
        <v>380</v>
      </c>
      <c r="J201" s="1542"/>
      <c r="K201" s="1543"/>
      <c r="L201" s="1543"/>
      <c r="M201" s="1544"/>
      <c r="N201" s="1543"/>
      <c r="O201" s="1543"/>
      <c r="P201" s="1543"/>
      <c r="Q201" s="1558">
        <f t="shared" ref="Q201:BD201" si="386">Q199-M199</f>
        <v>5</v>
      </c>
      <c r="R201" s="1559">
        <f t="shared" si="386"/>
        <v>6</v>
      </c>
      <c r="S201" s="1559">
        <f t="shared" si="386"/>
        <v>8</v>
      </c>
      <c r="T201" s="1559">
        <f t="shared" si="386"/>
        <v>12.7</v>
      </c>
      <c r="U201" s="1560">
        <f t="shared" si="386"/>
        <v>14</v>
      </c>
      <c r="V201" s="1559">
        <f t="shared" si="386"/>
        <v>16.8</v>
      </c>
      <c r="W201" s="1559">
        <f t="shared" si="386"/>
        <v>17</v>
      </c>
      <c r="X201" s="1561">
        <f t="shared" si="386"/>
        <v>16.099999999999998</v>
      </c>
      <c r="Y201" s="1559">
        <f t="shared" si="386"/>
        <v>17.700000000000003</v>
      </c>
      <c r="Z201" s="1559">
        <f t="shared" si="386"/>
        <v>19.599999999999998</v>
      </c>
      <c r="AA201" s="1559">
        <f t="shared" si="386"/>
        <v>21.200000000000003</v>
      </c>
      <c r="AB201" s="1559">
        <f t="shared" si="386"/>
        <v>27.400000000000006</v>
      </c>
      <c r="AC201" s="1560">
        <f t="shared" si="386"/>
        <v>29.299999999999997</v>
      </c>
      <c r="AD201" s="1559">
        <f t="shared" si="386"/>
        <v>28.500000000000007</v>
      </c>
      <c r="AE201" s="1559">
        <f t="shared" si="386"/>
        <v>29</v>
      </c>
      <c r="AF201" s="1559">
        <f t="shared" si="386"/>
        <v>26.5</v>
      </c>
      <c r="AG201" s="1560">
        <f t="shared" si="386"/>
        <v>25.700000000000003</v>
      </c>
      <c r="AH201" s="1559">
        <f t="shared" si="386"/>
        <v>25.799999999999997</v>
      </c>
      <c r="AI201" s="1559">
        <f t="shared" si="386"/>
        <v>26.5</v>
      </c>
      <c r="AJ201" s="1561">
        <f t="shared" si="386"/>
        <v>28</v>
      </c>
      <c r="AK201" s="1559">
        <f t="shared" si="386"/>
        <v>30.999999999999986</v>
      </c>
      <c r="AL201" s="1559">
        <f t="shared" si="386"/>
        <v>33.999999999999986</v>
      </c>
      <c r="AM201" s="1559">
        <f t="shared" si="386"/>
        <v>35.999999999999986</v>
      </c>
      <c r="AN201" s="1561">
        <f t="shared" si="386"/>
        <v>35.999999999999986</v>
      </c>
      <c r="AO201" s="1559">
        <f t="shared" si="386"/>
        <v>36</v>
      </c>
      <c r="AP201" s="1559">
        <f t="shared" si="386"/>
        <v>36</v>
      </c>
      <c r="AQ201" s="1559">
        <f t="shared" si="386"/>
        <v>36</v>
      </c>
      <c r="AR201" s="1561">
        <f t="shared" si="386"/>
        <v>36</v>
      </c>
      <c r="AS201" s="1559">
        <f t="shared" si="386"/>
        <v>36</v>
      </c>
      <c r="AT201" s="1559">
        <f t="shared" si="386"/>
        <v>36</v>
      </c>
      <c r="AU201" s="1559">
        <f t="shared" si="386"/>
        <v>36</v>
      </c>
      <c r="AV201" s="1561">
        <f t="shared" si="386"/>
        <v>36</v>
      </c>
      <c r="AW201" s="1559">
        <f t="shared" si="386"/>
        <v>36</v>
      </c>
      <c r="AX201" s="1559">
        <f t="shared" si="386"/>
        <v>36</v>
      </c>
      <c r="AY201" s="1559">
        <f t="shared" si="386"/>
        <v>36</v>
      </c>
      <c r="AZ201" s="1561">
        <f t="shared" si="386"/>
        <v>36</v>
      </c>
      <c r="BA201" s="1559">
        <f t="shared" si="386"/>
        <v>36</v>
      </c>
      <c r="BB201" s="1559">
        <f t="shared" si="386"/>
        <v>36</v>
      </c>
      <c r="BC201" s="1559">
        <f t="shared" si="386"/>
        <v>36</v>
      </c>
      <c r="BD201" s="1561">
        <f t="shared" si="386"/>
        <v>36</v>
      </c>
      <c r="BE201" s="1559"/>
      <c r="BF201" s="1550"/>
      <c r="BG201" s="1551"/>
      <c r="BH201" s="1551"/>
      <c r="BI201" s="1562">
        <f t="shared" ref="BI201:BT201" si="387">BI199-BH199</f>
        <v>3</v>
      </c>
      <c r="BJ201" s="1562">
        <f t="shared" si="387"/>
        <v>4</v>
      </c>
      <c r="BK201" s="1562">
        <f t="shared" si="387"/>
        <v>12.7</v>
      </c>
      <c r="BL201" s="1562">
        <f t="shared" si="387"/>
        <v>16.099999999999998</v>
      </c>
      <c r="BM201" s="1562">
        <f t="shared" si="387"/>
        <v>27.400000000000006</v>
      </c>
      <c r="BN201" s="1799">
        <f t="shared" si="387"/>
        <v>26.5</v>
      </c>
      <c r="BO201" s="1562">
        <f t="shared" si="387"/>
        <v>28</v>
      </c>
      <c r="BP201" s="1562">
        <f t="shared" si="387"/>
        <v>35.999999999999986</v>
      </c>
      <c r="BQ201" s="1562">
        <f t="shared" si="387"/>
        <v>36</v>
      </c>
      <c r="BR201" s="1562">
        <f t="shared" si="387"/>
        <v>36</v>
      </c>
      <c r="BS201" s="1562">
        <f t="shared" si="387"/>
        <v>36</v>
      </c>
      <c r="BT201" s="1562">
        <f t="shared" si="387"/>
        <v>36</v>
      </c>
      <c r="BU201" s="1548">
        <v>36</v>
      </c>
      <c r="BV201" s="1548">
        <v>36</v>
      </c>
      <c r="BW201" s="1548">
        <v>36</v>
      </c>
      <c r="BX201" s="1548">
        <v>36</v>
      </c>
      <c r="BY201" s="1549">
        <v>36</v>
      </c>
      <c r="BZ201" s="1551"/>
      <c r="CA201" s="1555"/>
      <c r="CB201" s="1556"/>
      <c r="CC201" s="1556"/>
      <c r="CD201" s="1556"/>
      <c r="CE201" s="1556"/>
      <c r="CF201" s="1556"/>
      <c r="CG201" s="1556"/>
    </row>
    <row r="202" spans="1:85" s="1524" customFormat="1" ht="11.25" hidden="1" customHeight="1" outlineLevel="2">
      <c r="I202" s="1563" t="s">
        <v>132</v>
      </c>
      <c r="M202" s="1564" t="str">
        <f t="shared" ref="M202:BD202" si="388">IF(ISERROR(M199/I199-1),"NA",(IF(M199&lt;=0,"NM",M199/I199-1)))</f>
        <v>NA</v>
      </c>
      <c r="N202" s="1564" t="str">
        <f t="shared" si="388"/>
        <v>NA</v>
      </c>
      <c r="O202" s="1564" t="str">
        <f t="shared" si="388"/>
        <v>NA</v>
      </c>
      <c r="P202" s="1564" t="str">
        <f t="shared" si="388"/>
        <v>NA</v>
      </c>
      <c r="Q202" s="1564">
        <f t="shared" si="388"/>
        <v>0.625</v>
      </c>
      <c r="R202" s="1564">
        <f t="shared" si="388"/>
        <v>0.66666666666666674</v>
      </c>
      <c r="S202" s="1564">
        <f t="shared" si="388"/>
        <v>0.72727272727272729</v>
      </c>
      <c r="T202" s="1564">
        <f t="shared" si="388"/>
        <v>1.1545454545454543</v>
      </c>
      <c r="U202" s="1652">
        <f t="shared" si="388"/>
        <v>1.0769230769230771</v>
      </c>
      <c r="V202" s="1564">
        <f t="shared" si="388"/>
        <v>1.1200000000000001</v>
      </c>
      <c r="W202" s="1564">
        <f t="shared" si="388"/>
        <v>0.89473684210526305</v>
      </c>
      <c r="X202" s="1566">
        <f t="shared" si="388"/>
        <v>0.67932489451476785</v>
      </c>
      <c r="Y202" s="1564">
        <f t="shared" si="388"/>
        <v>0.65555555555555567</v>
      </c>
      <c r="Z202" s="1564">
        <f t="shared" si="388"/>
        <v>0.6163522012578615</v>
      </c>
      <c r="AA202" s="1564">
        <f t="shared" si="388"/>
        <v>0.58888888888888902</v>
      </c>
      <c r="AB202" s="1564">
        <f t="shared" si="388"/>
        <v>0.68844221105527659</v>
      </c>
      <c r="AC202" s="1652">
        <f t="shared" si="388"/>
        <v>0.65548098434004465</v>
      </c>
      <c r="AD202" s="1564">
        <f t="shared" si="388"/>
        <v>0.55447470817120648</v>
      </c>
      <c r="AE202" s="1564">
        <f t="shared" si="388"/>
        <v>0.50699300699300687</v>
      </c>
      <c r="AF202" s="1564">
        <f t="shared" si="388"/>
        <v>0.39434523809523814</v>
      </c>
      <c r="AG202" s="1652">
        <f t="shared" si="388"/>
        <v>0.34729729729729741</v>
      </c>
      <c r="AH202" s="1564">
        <f t="shared" si="388"/>
        <v>0.3229036295369212</v>
      </c>
      <c r="AI202" s="1564">
        <f t="shared" si="388"/>
        <v>0.30742459396751731</v>
      </c>
      <c r="AJ202" s="1566">
        <f t="shared" si="388"/>
        <v>0.29882604055496254</v>
      </c>
      <c r="AK202" s="1564">
        <f t="shared" si="388"/>
        <v>0.31093279839518551</v>
      </c>
      <c r="AL202" s="1564">
        <f t="shared" si="388"/>
        <v>0.32166508987701037</v>
      </c>
      <c r="AM202" s="1564">
        <f t="shared" si="388"/>
        <v>0.31943212067435667</v>
      </c>
      <c r="AN202" s="1566">
        <f t="shared" si="388"/>
        <v>0.29580936729663088</v>
      </c>
      <c r="AO202" s="1564">
        <f t="shared" si="388"/>
        <v>0.27543993879112483</v>
      </c>
      <c r="AP202" s="1564">
        <f t="shared" si="388"/>
        <v>0.25769506084466709</v>
      </c>
      <c r="AQ202" s="1564">
        <f t="shared" si="388"/>
        <v>0.24209818426361807</v>
      </c>
      <c r="AR202" s="1566">
        <f t="shared" si="388"/>
        <v>0.22828154724159799</v>
      </c>
      <c r="AS202" s="1564">
        <f t="shared" si="388"/>
        <v>0.21595680863827238</v>
      </c>
      <c r="AT202" s="1564">
        <f t="shared" si="388"/>
        <v>0.20489470688673883</v>
      </c>
      <c r="AU202" s="1564">
        <f t="shared" si="388"/>
        <v>0.19491066594477524</v>
      </c>
      <c r="AV202" s="1566">
        <f t="shared" si="388"/>
        <v>0.18585441404233349</v>
      </c>
      <c r="AW202" s="1564">
        <f t="shared" si="388"/>
        <v>0.1776023680315737</v>
      </c>
      <c r="AX202" s="1564">
        <f t="shared" si="388"/>
        <v>0.17005196032120917</v>
      </c>
      <c r="AY202" s="1564">
        <f t="shared" si="388"/>
        <v>0.16311735387403714</v>
      </c>
      <c r="AZ202" s="1566">
        <f t="shared" si="388"/>
        <v>0.1567261645624729</v>
      </c>
      <c r="BA202" s="1564">
        <f t="shared" si="388"/>
        <v>0.15081692501047339</v>
      </c>
      <c r="BB202" s="1564">
        <f t="shared" si="388"/>
        <v>0.14533710133225686</v>
      </c>
      <c r="BC202" s="1564">
        <f t="shared" si="388"/>
        <v>0.14024152707440596</v>
      </c>
      <c r="BD202" s="1566">
        <f t="shared" si="388"/>
        <v>0.13549115543846435</v>
      </c>
      <c r="BE202" s="1564"/>
      <c r="BF202" s="1651"/>
      <c r="BH202" s="1564" t="str">
        <f t="shared" ref="BH202:BY202" si="389">IF(ISERROR(BH199/BG199-1),"NA",(IF(BH199&lt;=0,"NM",BH199/BG199-1)))</f>
        <v>NA</v>
      </c>
      <c r="BI202" s="1564">
        <f t="shared" si="389"/>
        <v>0.75</v>
      </c>
      <c r="BJ202" s="1564">
        <f t="shared" si="389"/>
        <v>0.5714285714285714</v>
      </c>
      <c r="BK202" s="1564">
        <f t="shared" si="389"/>
        <v>1.1545454545454543</v>
      </c>
      <c r="BL202" s="1564">
        <f t="shared" si="389"/>
        <v>0.67932489451476785</v>
      </c>
      <c r="BM202" s="1564">
        <f t="shared" si="389"/>
        <v>0.68844221105527659</v>
      </c>
      <c r="BN202" s="1652">
        <f t="shared" si="389"/>
        <v>0.39434523809523814</v>
      </c>
      <c r="BO202" s="1564">
        <f t="shared" si="389"/>
        <v>0.29882604055496254</v>
      </c>
      <c r="BP202" s="1564">
        <f t="shared" si="389"/>
        <v>0.29580936729663088</v>
      </c>
      <c r="BQ202" s="1564">
        <f t="shared" si="389"/>
        <v>0.22828154724159799</v>
      </c>
      <c r="BR202" s="1564">
        <f t="shared" si="389"/>
        <v>0.18585441404233349</v>
      </c>
      <c r="BS202" s="1564">
        <f t="shared" si="389"/>
        <v>0.1567261645624729</v>
      </c>
      <c r="BT202" s="1564">
        <f t="shared" si="389"/>
        <v>0.13549115543846435</v>
      </c>
      <c r="BU202" s="1564">
        <f t="shared" si="389"/>
        <v>0.11932383162081539</v>
      </c>
      <c r="BV202" s="1564">
        <f t="shared" si="389"/>
        <v>0.10660349422564397</v>
      </c>
      <c r="BW202" s="1564">
        <f t="shared" si="389"/>
        <v>9.6333957720096342E-2</v>
      </c>
      <c r="BX202" s="1564">
        <f t="shared" si="389"/>
        <v>8.7869172565291587E-2</v>
      </c>
      <c r="BY202" s="1566">
        <f t="shared" si="389"/>
        <v>8.077181960960278E-2</v>
      </c>
      <c r="BZ202" s="1564"/>
      <c r="CA202" s="1568"/>
      <c r="CB202" s="1568"/>
      <c r="CC202" s="1568"/>
      <c r="CD202" s="1568"/>
      <c r="CE202" s="1568"/>
      <c r="CF202" s="1568"/>
      <c r="CG202" s="1568"/>
    </row>
    <row r="203" spans="1:85" s="1524" customFormat="1" ht="11.25" hidden="1" customHeight="1" outlineLevel="2">
      <c r="I203" s="1563" t="s">
        <v>146</v>
      </c>
      <c r="M203" s="1564" t="str">
        <f t="shared" ref="M203:BD203" si="390">IF(ISERROR(M199/L199-1),"NA",(IF(M199&lt;=0,"NM",M199/L199-1)))</f>
        <v>NA</v>
      </c>
      <c r="N203" s="1564">
        <f t="shared" si="390"/>
        <v>0.125</v>
      </c>
      <c r="O203" s="1564">
        <f t="shared" si="390"/>
        <v>0.22222222222222232</v>
      </c>
      <c r="P203" s="1564">
        <f t="shared" si="390"/>
        <v>0</v>
      </c>
      <c r="Q203" s="1564">
        <f t="shared" si="390"/>
        <v>0.18181818181818188</v>
      </c>
      <c r="R203" s="1564">
        <f t="shared" si="390"/>
        <v>0.15384615384615374</v>
      </c>
      <c r="S203" s="1564">
        <f t="shared" si="390"/>
        <v>0.26666666666666661</v>
      </c>
      <c r="T203" s="1564">
        <f t="shared" si="390"/>
        <v>0.24736842105263146</v>
      </c>
      <c r="U203" s="1652">
        <f t="shared" si="390"/>
        <v>0.139240506329114</v>
      </c>
      <c r="V203" s="1564">
        <f t="shared" si="390"/>
        <v>0.17777777777777781</v>
      </c>
      <c r="W203" s="1564">
        <f t="shared" si="390"/>
        <v>0.13207547169811318</v>
      </c>
      <c r="X203" s="1566">
        <f t="shared" si="390"/>
        <v>0.1055555555555554</v>
      </c>
      <c r="Y203" s="1564">
        <f t="shared" si="390"/>
        <v>0.12311557788944749</v>
      </c>
      <c r="Z203" s="1564">
        <f t="shared" si="390"/>
        <v>0.1498881431767336</v>
      </c>
      <c r="AA203" s="1564">
        <f t="shared" si="390"/>
        <v>0.11284046692607008</v>
      </c>
      <c r="AB203" s="1564">
        <f t="shared" si="390"/>
        <v>0.17482517482517479</v>
      </c>
      <c r="AC203" s="1652">
        <f t="shared" si="390"/>
        <v>0.10119047619047605</v>
      </c>
      <c r="AD203" s="1564">
        <f t="shared" si="390"/>
        <v>7.9729729729729915E-2</v>
      </c>
      <c r="AE203" s="1564">
        <f t="shared" si="390"/>
        <v>7.884856070087598E-2</v>
      </c>
      <c r="AF203" s="1564">
        <f t="shared" si="390"/>
        <v>8.7006960556844648E-2</v>
      </c>
      <c r="AG203" s="1652">
        <f t="shared" si="390"/>
        <v>6.4034151547492035E-2</v>
      </c>
      <c r="AH203" s="1564">
        <f t="shared" si="390"/>
        <v>6.0180541624874628E-2</v>
      </c>
      <c r="AI203" s="1564">
        <f t="shared" si="390"/>
        <v>6.6225165562913801E-2</v>
      </c>
      <c r="AJ203" s="1566">
        <f t="shared" si="390"/>
        <v>7.9858030168589167E-2</v>
      </c>
      <c r="AK203" s="1564">
        <f t="shared" si="390"/>
        <v>7.3952341824157664E-2</v>
      </c>
      <c r="AL203" s="1564">
        <f t="shared" si="390"/>
        <v>6.8859984697781096E-2</v>
      </c>
      <c r="AM203" s="1564">
        <f t="shared" si="390"/>
        <v>6.4423765211166772E-2</v>
      </c>
      <c r="AN203" s="1566">
        <f t="shared" si="390"/>
        <v>6.0524546065904516E-2</v>
      </c>
      <c r="AO203" s="1564">
        <f t="shared" si="390"/>
        <v>5.7070386810399443E-2</v>
      </c>
      <c r="AP203" s="1564">
        <f t="shared" si="390"/>
        <v>5.3989202159568039E-2</v>
      </c>
      <c r="AQ203" s="1564">
        <f t="shared" si="390"/>
        <v>5.1223676721684708E-2</v>
      </c>
      <c r="AR203" s="1566">
        <f t="shared" si="390"/>
        <v>4.8727666486193755E-2</v>
      </c>
      <c r="AS203" s="1564">
        <f t="shared" si="390"/>
        <v>4.6463603510583429E-2</v>
      </c>
      <c r="AT203" s="1564">
        <f t="shared" si="390"/>
        <v>4.4400592007893369E-2</v>
      </c>
      <c r="AU203" s="1564">
        <f t="shared" si="390"/>
        <v>4.2512990080302293E-2</v>
      </c>
      <c r="AV203" s="1566">
        <f t="shared" si="390"/>
        <v>4.0779338468509341E-2</v>
      </c>
      <c r="AW203" s="1564">
        <f t="shared" si="390"/>
        <v>3.9181541140618226E-2</v>
      </c>
      <c r="AX203" s="1564">
        <f t="shared" si="390"/>
        <v>3.7704231252618348E-2</v>
      </c>
      <c r="AY203" s="1564">
        <f t="shared" si="390"/>
        <v>3.6334275333064214E-2</v>
      </c>
      <c r="AZ203" s="1566">
        <f t="shared" si="390"/>
        <v>3.506038176860149E-2</v>
      </c>
      <c r="BA203" s="1564">
        <f t="shared" si="390"/>
        <v>3.3872788859616199E-2</v>
      </c>
      <c r="BB203" s="1564">
        <f t="shared" si="390"/>
        <v>3.2763014197306095E-2</v>
      </c>
      <c r="BC203" s="1564">
        <f t="shared" si="390"/>
        <v>3.172365174480074E-2</v>
      </c>
      <c r="BD203" s="1566">
        <f t="shared" si="390"/>
        <v>3.0748206354629382E-2</v>
      </c>
      <c r="BE203" s="1564"/>
      <c r="BF203" s="1651"/>
      <c r="BI203" s="1569"/>
      <c r="BJ203" s="1569"/>
      <c r="BK203" s="1569"/>
      <c r="BN203" s="1651"/>
      <c r="BO203" s="1544"/>
      <c r="BP203" s="1544"/>
      <c r="BQ203" s="1544"/>
      <c r="BR203" s="1544"/>
      <c r="BS203" s="1544"/>
      <c r="BT203" s="1544"/>
      <c r="BU203" s="1544"/>
      <c r="BV203" s="1544"/>
      <c r="BW203" s="1544"/>
      <c r="BX203" s="1544"/>
      <c r="BY203" s="1570"/>
      <c r="BZ203" s="1544"/>
      <c r="CA203" s="1568"/>
      <c r="CB203" s="1568"/>
      <c r="CC203" s="1568"/>
      <c r="CD203" s="1568"/>
      <c r="CE203" s="1568"/>
      <c r="CF203" s="1568"/>
      <c r="CG203" s="1568"/>
    </row>
    <row r="204" spans="1:85" s="1524" customFormat="1" ht="11.25" hidden="1" customHeight="1" outlineLevel="2">
      <c r="A204" s="1571"/>
      <c r="B204" s="1571"/>
      <c r="C204" s="1571"/>
      <c r="D204" s="1571"/>
      <c r="E204" s="1571"/>
      <c r="F204" s="1571"/>
      <c r="G204" s="1571"/>
      <c r="H204" s="1571"/>
      <c r="I204" s="1572"/>
      <c r="J204" s="1573"/>
      <c r="K204" s="1574"/>
      <c r="L204" s="1574"/>
      <c r="M204" s="1575"/>
      <c r="N204" s="1574"/>
      <c r="O204" s="1574"/>
      <c r="P204" s="1574"/>
      <c r="Q204" s="1574"/>
      <c r="R204" s="1574"/>
      <c r="S204" s="1574"/>
      <c r="T204" s="1574"/>
      <c r="U204" s="1576"/>
      <c r="V204" s="1577"/>
      <c r="W204" s="1577"/>
      <c r="X204" s="1578"/>
      <c r="Y204" s="1577"/>
      <c r="Z204" s="1577"/>
      <c r="AA204" s="1577"/>
      <c r="AB204" s="1577"/>
      <c r="AC204" s="1576"/>
      <c r="AD204" s="1577"/>
      <c r="AE204" s="1577"/>
      <c r="AF204" s="1577"/>
      <c r="AG204" s="1576"/>
      <c r="AH204" s="1577"/>
      <c r="AI204" s="1577"/>
      <c r="AJ204" s="1578"/>
      <c r="AK204" s="1577"/>
      <c r="AL204" s="1577"/>
      <c r="AM204" s="1577"/>
      <c r="AN204" s="1578"/>
      <c r="AO204" s="1577"/>
      <c r="AP204" s="1577"/>
      <c r="AQ204" s="1577"/>
      <c r="AR204" s="1578"/>
      <c r="AS204" s="1577"/>
      <c r="AT204" s="1577"/>
      <c r="AU204" s="1577"/>
      <c r="AV204" s="1578"/>
      <c r="AW204" s="1577"/>
      <c r="AX204" s="1577"/>
      <c r="AY204" s="1577"/>
      <c r="AZ204" s="1578"/>
      <c r="BA204" s="1577"/>
      <c r="BB204" s="1577"/>
      <c r="BC204" s="1577"/>
      <c r="BD204" s="1578"/>
      <c r="BE204" s="1577"/>
      <c r="BF204" s="1579"/>
      <c r="BG204" s="1574"/>
      <c r="BH204" s="1574"/>
      <c r="BI204" s="1574"/>
      <c r="BJ204" s="1574"/>
      <c r="BK204" s="1574"/>
      <c r="BL204" s="1574"/>
      <c r="BM204" s="1574"/>
      <c r="BN204" s="1579"/>
      <c r="BO204" s="1580"/>
      <c r="BP204" s="1577"/>
      <c r="BQ204" s="1577"/>
      <c r="BR204" s="1577"/>
      <c r="BS204" s="1577"/>
      <c r="BT204" s="1577"/>
      <c r="BU204" s="1577"/>
      <c r="BV204" s="1577"/>
      <c r="BW204" s="1577"/>
      <c r="BX204" s="1577"/>
      <c r="BY204" s="1578"/>
      <c r="BZ204" s="1577"/>
      <c r="CA204" s="1568"/>
      <c r="CB204" s="1564"/>
      <c r="CC204" s="1564"/>
      <c r="CD204" s="1564"/>
      <c r="CE204" s="1564"/>
      <c r="CF204" s="1564"/>
      <c r="CG204" s="1564"/>
    </row>
    <row r="205" spans="1:85" s="1524" customFormat="1" ht="11.25" hidden="1" customHeight="1" outlineLevel="2">
      <c r="I205" s="1525" t="s">
        <v>0</v>
      </c>
      <c r="J205" s="1526"/>
      <c r="K205" s="1526"/>
      <c r="L205" s="1526"/>
      <c r="M205" s="1580">
        <f>M125/AVERAGE(M199)*1000/3</f>
        <v>0</v>
      </c>
      <c r="N205" s="1580">
        <f t="shared" ref="N205:BD205" si="391">N125/AVERAGE(M199,N199)*1000/3</f>
        <v>0</v>
      </c>
      <c r="O205" s="1580">
        <f t="shared" si="391"/>
        <v>0</v>
      </c>
      <c r="P205" s="1580">
        <f t="shared" si="391"/>
        <v>0</v>
      </c>
      <c r="Q205" s="1580">
        <f t="shared" si="391"/>
        <v>0</v>
      </c>
      <c r="R205" s="1580">
        <f t="shared" si="391"/>
        <v>0</v>
      </c>
      <c r="S205" s="1580">
        <f t="shared" si="391"/>
        <v>0</v>
      </c>
      <c r="T205" s="1580">
        <f t="shared" si="391"/>
        <v>0</v>
      </c>
      <c r="U205" s="1581">
        <f t="shared" si="391"/>
        <v>0</v>
      </c>
      <c r="V205" s="1580">
        <f t="shared" si="391"/>
        <v>0</v>
      </c>
      <c r="W205" s="1580">
        <f t="shared" si="391"/>
        <v>0</v>
      </c>
      <c r="X205" s="1582">
        <f t="shared" si="391"/>
        <v>0</v>
      </c>
      <c r="Y205" s="1580">
        <f t="shared" si="391"/>
        <v>0</v>
      </c>
      <c r="Z205" s="1580">
        <f t="shared" si="391"/>
        <v>0</v>
      </c>
      <c r="AA205" s="1580">
        <f t="shared" si="391"/>
        <v>0</v>
      </c>
      <c r="AB205" s="1580">
        <f t="shared" si="391"/>
        <v>0</v>
      </c>
      <c r="AC205" s="1581">
        <f t="shared" si="391"/>
        <v>0</v>
      </c>
      <c r="AD205" s="1580">
        <f t="shared" si="391"/>
        <v>0</v>
      </c>
      <c r="AE205" s="1580">
        <f t="shared" si="391"/>
        <v>0</v>
      </c>
      <c r="AF205" s="1580">
        <f t="shared" si="391"/>
        <v>0</v>
      </c>
      <c r="AG205" s="1581">
        <f t="shared" si="391"/>
        <v>0</v>
      </c>
      <c r="AH205" s="1580">
        <f t="shared" si="391"/>
        <v>5.9366379094862225</v>
      </c>
      <c r="AI205" s="1580">
        <f t="shared" si="391"/>
        <v>1.0258350870485968</v>
      </c>
      <c r="AJ205" s="1582">
        <f t="shared" si="391"/>
        <v>2.3674002283448123</v>
      </c>
      <c r="AK205" s="1580">
        <f t="shared" si="391"/>
        <v>0.79009934440285079</v>
      </c>
      <c r="AL205" s="1580">
        <f t="shared" si="391"/>
        <v>1.2465021100148703</v>
      </c>
      <c r="AM205" s="1580">
        <f t="shared" si="391"/>
        <v>0.14896857332503291</v>
      </c>
      <c r="AN205" s="1582">
        <f t="shared" si="391"/>
        <v>1.500064115062566</v>
      </c>
      <c r="AO205" s="1580">
        <f t="shared" si="391"/>
        <v>3.0574493303818078</v>
      </c>
      <c r="AP205" s="1580">
        <f t="shared" si="391"/>
        <v>1.3597583406017277</v>
      </c>
      <c r="AQ205" s="1580">
        <f t="shared" si="391"/>
        <v>-0.83199902562232042</v>
      </c>
      <c r="AR205" s="1582">
        <f t="shared" si="391"/>
        <v>0.51059536114436466</v>
      </c>
      <c r="AS205" s="1580">
        <f t="shared" si="391"/>
        <v>4.6388229213582539</v>
      </c>
      <c r="AT205" s="1580">
        <f t="shared" si="391"/>
        <v>1.5729096480474041</v>
      </c>
      <c r="AU205" s="1580">
        <f t="shared" si="391"/>
        <v>-0.97084511648473171</v>
      </c>
      <c r="AV205" s="1582">
        <f t="shared" si="391"/>
        <v>0.60056171962663929</v>
      </c>
      <c r="AW205" s="1580">
        <f t="shared" si="391"/>
        <v>3.8538483011359155</v>
      </c>
      <c r="AX205" s="1580">
        <f t="shared" si="391"/>
        <v>1.7421009161103962</v>
      </c>
      <c r="AY205" s="1580">
        <f t="shared" si="391"/>
        <v>-1.081941825690717</v>
      </c>
      <c r="AZ205" s="1582">
        <f t="shared" si="391"/>
        <v>0.67312576201338181</v>
      </c>
      <c r="BA205" s="1580">
        <f t="shared" si="391"/>
        <v>2.4920449594509426</v>
      </c>
      <c r="BB205" s="1580">
        <f t="shared" si="391"/>
        <v>1.8209696681864556</v>
      </c>
      <c r="BC205" s="1580">
        <f t="shared" si="391"/>
        <v>-1.1361515410376086</v>
      </c>
      <c r="BD205" s="1582">
        <f t="shared" si="391"/>
        <v>0.7099076004221877</v>
      </c>
      <c r="BE205" s="1580"/>
      <c r="BF205" s="1583"/>
      <c r="BG205" s="1584"/>
      <c r="BH205" s="1580">
        <f t="shared" ref="BH205:BO205" si="392">BH125/AVERAGE(BG199,BH199)*1000/12</f>
        <v>0</v>
      </c>
      <c r="BI205" s="1580">
        <f t="shared" si="392"/>
        <v>0</v>
      </c>
      <c r="BJ205" s="1580">
        <f t="shared" si="392"/>
        <v>0</v>
      </c>
      <c r="BK205" s="1580">
        <f t="shared" si="392"/>
        <v>0</v>
      </c>
      <c r="BL205" s="1580">
        <f t="shared" si="392"/>
        <v>0</v>
      </c>
      <c r="BM205" s="1580">
        <f t="shared" si="392"/>
        <v>0</v>
      </c>
      <c r="BN205" s="1581">
        <f t="shared" si="392"/>
        <v>0</v>
      </c>
      <c r="BO205" s="1580" t="e">
        <f t="shared" si="392"/>
        <v>#VALUE!</v>
      </c>
      <c r="BP205" s="1580"/>
      <c r="BQ205" s="1536"/>
      <c r="BR205" s="1536"/>
      <c r="BS205" s="1536"/>
      <c r="BT205" s="1536"/>
      <c r="BU205" s="1536"/>
      <c r="BV205" s="1536"/>
      <c r="BW205" s="1536"/>
      <c r="BX205" s="1536"/>
      <c r="BY205" s="1537"/>
      <c r="BZ205" s="1585"/>
      <c r="CA205" s="1539" t="str">
        <f>IF(ISERROR(RATE(5,,-BI205,BN205)),"NM",(RATE(5,,-BI205,BN205)))</f>
        <v>NM</v>
      </c>
      <c r="CB205" s="1539" t="str">
        <f t="shared" ref="CB205:CG205" si="393">IF(ISERROR(RATE(3,,-BK205,BN205)),"NM",(RATE(3,,-BK205,BN205)))</f>
        <v>NM</v>
      </c>
      <c r="CC205" s="1539" t="str">
        <f t="shared" si="393"/>
        <v>NM</v>
      </c>
      <c r="CD205" s="1539" t="str">
        <f t="shared" si="393"/>
        <v>NM</v>
      </c>
      <c r="CE205" s="1539" t="str">
        <f t="shared" si="393"/>
        <v>NM</v>
      </c>
      <c r="CF205" s="1539" t="str">
        <f t="shared" si="393"/>
        <v>NM</v>
      </c>
      <c r="CG205" s="1539" t="str">
        <f t="shared" si="393"/>
        <v>NM</v>
      </c>
    </row>
    <row r="206" spans="1:85" s="1524" customFormat="1" ht="11.25" hidden="1" customHeight="1" outlineLevel="2">
      <c r="I206" s="1563" t="s">
        <v>132</v>
      </c>
      <c r="M206" s="1564" t="str">
        <f t="shared" ref="M206:BD206" si="394">IF(ISERROR(M205/I205-1),"NA",(IF(M205&lt;=0,"NM",M205/I205-1)))</f>
        <v>NA</v>
      </c>
      <c r="N206" s="1564" t="str">
        <f t="shared" si="394"/>
        <v>NA</v>
      </c>
      <c r="O206" s="1564" t="str">
        <f t="shared" si="394"/>
        <v>NA</v>
      </c>
      <c r="P206" s="1564" t="str">
        <f t="shared" si="394"/>
        <v>NA</v>
      </c>
      <c r="Q206" s="1564" t="str">
        <f t="shared" si="394"/>
        <v>NA</v>
      </c>
      <c r="R206" s="1564" t="str">
        <f t="shared" si="394"/>
        <v>NA</v>
      </c>
      <c r="S206" s="1564" t="str">
        <f t="shared" si="394"/>
        <v>NA</v>
      </c>
      <c r="T206" s="1564" t="str">
        <f t="shared" si="394"/>
        <v>NA</v>
      </c>
      <c r="U206" s="1652" t="str">
        <f t="shared" si="394"/>
        <v>NA</v>
      </c>
      <c r="V206" s="1564" t="str">
        <f t="shared" si="394"/>
        <v>NA</v>
      </c>
      <c r="W206" s="1564" t="str">
        <f t="shared" si="394"/>
        <v>NA</v>
      </c>
      <c r="X206" s="1566" t="str">
        <f t="shared" si="394"/>
        <v>NA</v>
      </c>
      <c r="Y206" s="1564" t="str">
        <f t="shared" si="394"/>
        <v>NA</v>
      </c>
      <c r="Z206" s="1564" t="str">
        <f t="shared" si="394"/>
        <v>NA</v>
      </c>
      <c r="AA206" s="1564" t="str">
        <f t="shared" si="394"/>
        <v>NA</v>
      </c>
      <c r="AB206" s="1564" t="str">
        <f t="shared" si="394"/>
        <v>NA</v>
      </c>
      <c r="AC206" s="1652" t="str">
        <f t="shared" si="394"/>
        <v>NA</v>
      </c>
      <c r="AD206" s="1564" t="str">
        <f t="shared" si="394"/>
        <v>NA</v>
      </c>
      <c r="AE206" s="1564" t="str">
        <f t="shared" si="394"/>
        <v>NA</v>
      </c>
      <c r="AF206" s="1564" t="str">
        <f t="shared" si="394"/>
        <v>NA</v>
      </c>
      <c r="AG206" s="1652" t="str">
        <f t="shared" si="394"/>
        <v>NA</v>
      </c>
      <c r="AH206" s="1564" t="str">
        <f t="shared" si="394"/>
        <v>NA</v>
      </c>
      <c r="AI206" s="1564" t="str">
        <f t="shared" si="394"/>
        <v>NA</v>
      </c>
      <c r="AJ206" s="1566" t="str">
        <f t="shared" si="394"/>
        <v>NA</v>
      </c>
      <c r="AK206" s="1564" t="str">
        <f t="shared" si="394"/>
        <v>NA</v>
      </c>
      <c r="AL206" s="1564">
        <f t="shared" si="394"/>
        <v>-0.79003231643569327</v>
      </c>
      <c r="AM206" s="1564">
        <f t="shared" si="394"/>
        <v>-0.85478311747590296</v>
      </c>
      <c r="AN206" s="1566">
        <f t="shared" si="394"/>
        <v>-0.36636649050619197</v>
      </c>
      <c r="AO206" s="1564">
        <f t="shared" si="394"/>
        <v>2.8697024014019372</v>
      </c>
      <c r="AP206" s="1564">
        <f t="shared" si="394"/>
        <v>9.085923696150533E-2</v>
      </c>
      <c r="AQ206" s="1564" t="str">
        <f t="shared" si="394"/>
        <v>NM</v>
      </c>
      <c r="AR206" s="1566">
        <f t="shared" si="394"/>
        <v>-0.65961764166122439</v>
      </c>
      <c r="AS206" s="1564">
        <f t="shared" si="394"/>
        <v>0.51721988497482885</v>
      </c>
      <c r="AT206" s="1564">
        <f t="shared" si="394"/>
        <v>0.15675675675675693</v>
      </c>
      <c r="AU206" s="1564" t="str">
        <f t="shared" si="394"/>
        <v>NM</v>
      </c>
      <c r="AV206" s="1566">
        <f t="shared" si="394"/>
        <v>0.17619893428063826</v>
      </c>
      <c r="AW206" s="1564">
        <f t="shared" si="394"/>
        <v>-0.16921849217570406</v>
      </c>
      <c r="AX206" s="1564">
        <f t="shared" si="394"/>
        <v>0.10756578947368323</v>
      </c>
      <c r="AY206" s="1564" t="str">
        <f t="shared" si="394"/>
        <v>NM</v>
      </c>
      <c r="AZ206" s="1566">
        <f t="shared" si="394"/>
        <v>0.12082695252680198</v>
      </c>
      <c r="BA206" s="1564">
        <f t="shared" si="394"/>
        <v>-0.35336194766244</v>
      </c>
      <c r="BB206" s="1564">
        <f t="shared" si="394"/>
        <v>4.5272206303725637E-2</v>
      </c>
      <c r="BC206" s="1564" t="str">
        <f t="shared" si="394"/>
        <v>NM</v>
      </c>
      <c r="BD206" s="1566">
        <f t="shared" si="394"/>
        <v>5.4643337819648918E-2</v>
      </c>
      <c r="BE206" s="1564"/>
      <c r="BF206" s="1651"/>
      <c r="BH206" s="1564" t="str">
        <f t="shared" ref="BH206:BO206" si="395">IF(ISERROR(BH205/BG205-1),"NA",(IF(BH205&lt;=0,"NM",BH205/BG205-1)))</f>
        <v>NA</v>
      </c>
      <c r="BI206" s="1564" t="str">
        <f t="shared" si="395"/>
        <v>NA</v>
      </c>
      <c r="BJ206" s="1564" t="str">
        <f t="shared" si="395"/>
        <v>NA</v>
      </c>
      <c r="BK206" s="1564" t="str">
        <f t="shared" si="395"/>
        <v>NA</v>
      </c>
      <c r="BL206" s="1564" t="str">
        <f t="shared" si="395"/>
        <v>NA</v>
      </c>
      <c r="BM206" s="1564" t="str">
        <f t="shared" si="395"/>
        <v>NA</v>
      </c>
      <c r="BN206" s="1652" t="str">
        <f t="shared" si="395"/>
        <v>NA</v>
      </c>
      <c r="BO206" s="1564" t="str">
        <f t="shared" si="395"/>
        <v>NA</v>
      </c>
      <c r="BP206" s="1564"/>
      <c r="BQ206" s="1564"/>
      <c r="BR206" s="1564"/>
      <c r="BS206" s="1564"/>
      <c r="BT206" s="1564"/>
      <c r="BU206" s="1564"/>
      <c r="BV206" s="1564"/>
      <c r="BW206" s="1564"/>
      <c r="BX206" s="1564"/>
      <c r="BY206" s="1566"/>
      <c r="BZ206" s="1564"/>
    </row>
    <row r="207" spans="1:85" s="1524" customFormat="1" ht="11.25" hidden="1" customHeight="1" outlineLevel="2">
      <c r="I207" s="1563" t="s">
        <v>146</v>
      </c>
      <c r="M207" s="1564" t="str">
        <f t="shared" ref="M207:BD207" si="396">IF(ISERROR(M205/L205-1),"NA",(IF(M205&lt;=0,"NM",M205/L205-1)))</f>
        <v>NA</v>
      </c>
      <c r="N207" s="1564" t="str">
        <f t="shared" si="396"/>
        <v>NA</v>
      </c>
      <c r="O207" s="1564" t="str">
        <f t="shared" si="396"/>
        <v>NA</v>
      </c>
      <c r="P207" s="1564" t="str">
        <f t="shared" si="396"/>
        <v>NA</v>
      </c>
      <c r="Q207" s="1564" t="str">
        <f t="shared" si="396"/>
        <v>NA</v>
      </c>
      <c r="R207" s="1564" t="str">
        <f t="shared" si="396"/>
        <v>NA</v>
      </c>
      <c r="S207" s="1564" t="str">
        <f t="shared" si="396"/>
        <v>NA</v>
      </c>
      <c r="T207" s="1564" t="str">
        <f t="shared" si="396"/>
        <v>NA</v>
      </c>
      <c r="U207" s="1652" t="str">
        <f t="shared" si="396"/>
        <v>NA</v>
      </c>
      <c r="V207" s="1564" t="str">
        <f t="shared" si="396"/>
        <v>NA</v>
      </c>
      <c r="W207" s="1564" t="str">
        <f t="shared" si="396"/>
        <v>NA</v>
      </c>
      <c r="X207" s="1566" t="str">
        <f t="shared" si="396"/>
        <v>NA</v>
      </c>
      <c r="Y207" s="1564" t="str">
        <f t="shared" si="396"/>
        <v>NA</v>
      </c>
      <c r="Z207" s="1564" t="str">
        <f t="shared" si="396"/>
        <v>NA</v>
      </c>
      <c r="AA207" s="1564" t="str">
        <f t="shared" si="396"/>
        <v>NA</v>
      </c>
      <c r="AB207" s="1564" t="str">
        <f t="shared" si="396"/>
        <v>NA</v>
      </c>
      <c r="AC207" s="1652" t="str">
        <f t="shared" si="396"/>
        <v>NA</v>
      </c>
      <c r="AD207" s="1564" t="str">
        <f t="shared" si="396"/>
        <v>NA</v>
      </c>
      <c r="AE207" s="1564" t="str">
        <f t="shared" si="396"/>
        <v>NA</v>
      </c>
      <c r="AF207" s="1564" t="str">
        <f t="shared" si="396"/>
        <v>NA</v>
      </c>
      <c r="AG207" s="1652" t="str">
        <f t="shared" si="396"/>
        <v>NA</v>
      </c>
      <c r="AH207" s="1564" t="str">
        <f t="shared" si="396"/>
        <v>NA</v>
      </c>
      <c r="AI207" s="1564">
        <f t="shared" si="396"/>
        <v>-0.82720268564646615</v>
      </c>
      <c r="AJ207" s="1566">
        <f t="shared" si="396"/>
        <v>1.3077785681478269</v>
      </c>
      <c r="AK207" s="1564">
        <f t="shared" si="396"/>
        <v>-0.66625865160313202</v>
      </c>
      <c r="AL207" s="1564">
        <f t="shared" si="396"/>
        <v>0.57765237858406815</v>
      </c>
      <c r="AM207" s="1564">
        <f t="shared" si="396"/>
        <v>-0.88049071708089144</v>
      </c>
      <c r="AN207" s="1566">
        <f t="shared" si="396"/>
        <v>9.0696682634503887</v>
      </c>
      <c r="AO207" s="1564">
        <f t="shared" si="396"/>
        <v>1.0382124335094072</v>
      </c>
      <c r="AP207" s="1564">
        <f t="shared" si="396"/>
        <v>-0.55526381840907768</v>
      </c>
      <c r="AQ207" s="1564" t="str">
        <f t="shared" si="396"/>
        <v>NM</v>
      </c>
      <c r="AR207" s="1566">
        <f t="shared" si="396"/>
        <v>-1.6136970662465</v>
      </c>
      <c r="AS207" s="1564">
        <f t="shared" si="396"/>
        <v>8.085125471883563</v>
      </c>
      <c r="AT207" s="1564">
        <f t="shared" si="396"/>
        <v>-0.66092483487452158</v>
      </c>
      <c r="AU207" s="1564" t="str">
        <f t="shared" si="396"/>
        <v>NM</v>
      </c>
      <c r="AV207" s="1566">
        <f t="shared" si="396"/>
        <v>-1.6185968383928975</v>
      </c>
      <c r="AW207" s="1564">
        <f t="shared" si="396"/>
        <v>5.4170728422913772</v>
      </c>
      <c r="AX207" s="1564">
        <f t="shared" si="396"/>
        <v>-0.54795809798820705</v>
      </c>
      <c r="AY207" s="1564" t="str">
        <f t="shared" si="396"/>
        <v>NM</v>
      </c>
      <c r="AZ207" s="1566">
        <f t="shared" si="396"/>
        <v>-1.6221459842202284</v>
      </c>
      <c r="BA207" s="1564">
        <f t="shared" si="396"/>
        <v>2.7021981627875959</v>
      </c>
      <c r="BB207" s="1564">
        <f t="shared" si="396"/>
        <v>-0.26928699208233431</v>
      </c>
      <c r="BC207" s="1564" t="str">
        <f t="shared" si="396"/>
        <v>NM</v>
      </c>
      <c r="BD207" s="1566">
        <f t="shared" si="396"/>
        <v>-1.6248353100624704</v>
      </c>
      <c r="BE207" s="1564"/>
      <c r="BF207" s="1651"/>
      <c r="BI207" s="1569"/>
      <c r="BJ207" s="1569"/>
      <c r="BK207" s="1569"/>
      <c r="BN207" s="1651"/>
      <c r="BO207" s="1544"/>
      <c r="BP207" s="1544"/>
      <c r="BQ207" s="1544"/>
      <c r="BR207" s="1544"/>
      <c r="BS207" s="1544"/>
      <c r="BT207" s="1544"/>
      <c r="BU207" s="1544"/>
      <c r="BV207" s="1544"/>
      <c r="BW207" s="1544"/>
      <c r="BX207" s="1544"/>
      <c r="BY207" s="1570"/>
      <c r="BZ207" s="1544"/>
    </row>
    <row r="208" spans="1:85" s="1524" customFormat="1" ht="11.25" hidden="1" customHeight="1" outlineLevel="2">
      <c r="I208" s="1557" t="s">
        <v>380</v>
      </c>
      <c r="M208" s="1564"/>
      <c r="N208" s="1564"/>
      <c r="O208" s="1564"/>
      <c r="P208" s="1564"/>
      <c r="Q208" s="1586">
        <f t="shared" ref="Q208:BD208" si="397">Q205-M205</f>
        <v>0</v>
      </c>
      <c r="R208" s="1587">
        <f t="shared" si="397"/>
        <v>0</v>
      </c>
      <c r="S208" s="1587">
        <f t="shared" si="397"/>
        <v>0</v>
      </c>
      <c r="T208" s="1587">
        <f t="shared" si="397"/>
        <v>0</v>
      </c>
      <c r="U208" s="1588">
        <f t="shared" si="397"/>
        <v>0</v>
      </c>
      <c r="V208" s="1587">
        <f t="shared" si="397"/>
        <v>0</v>
      </c>
      <c r="W208" s="1587">
        <f t="shared" si="397"/>
        <v>0</v>
      </c>
      <c r="X208" s="1587">
        <f t="shared" si="397"/>
        <v>0</v>
      </c>
      <c r="Y208" s="1588">
        <f t="shared" si="397"/>
        <v>0</v>
      </c>
      <c r="Z208" s="1587">
        <f t="shared" si="397"/>
        <v>0</v>
      </c>
      <c r="AA208" s="1587">
        <f t="shared" si="397"/>
        <v>0</v>
      </c>
      <c r="AB208" s="1589">
        <f t="shared" si="397"/>
        <v>0</v>
      </c>
      <c r="AC208" s="1587">
        <f t="shared" si="397"/>
        <v>0</v>
      </c>
      <c r="AD208" s="1587">
        <f t="shared" si="397"/>
        <v>0</v>
      </c>
      <c r="AE208" s="1587">
        <f t="shared" si="397"/>
        <v>0</v>
      </c>
      <c r="AF208" s="1587">
        <f t="shared" si="397"/>
        <v>0</v>
      </c>
      <c r="AG208" s="1590">
        <f t="shared" si="397"/>
        <v>0</v>
      </c>
      <c r="AH208" s="1587">
        <f t="shared" si="397"/>
        <v>5.9366379094862225</v>
      </c>
      <c r="AI208" s="1587">
        <f t="shared" si="397"/>
        <v>1.0258350870485968</v>
      </c>
      <c r="AJ208" s="1589">
        <f t="shared" si="397"/>
        <v>2.3674002283448123</v>
      </c>
      <c r="AK208" s="1587">
        <f t="shared" si="397"/>
        <v>0.79009934440285079</v>
      </c>
      <c r="AL208" s="1587">
        <f t="shared" si="397"/>
        <v>-4.690135799471352</v>
      </c>
      <c r="AM208" s="1587">
        <f t="shared" si="397"/>
        <v>-0.87686651372356395</v>
      </c>
      <c r="AN208" s="1589">
        <f t="shared" si="397"/>
        <v>-0.86733611328224636</v>
      </c>
      <c r="AO208" s="1587">
        <f t="shared" si="397"/>
        <v>2.267349985978957</v>
      </c>
      <c r="AP208" s="1587">
        <f t="shared" si="397"/>
        <v>0.11325623058685741</v>
      </c>
      <c r="AQ208" s="1587">
        <f t="shared" si="397"/>
        <v>-0.9809675989473533</v>
      </c>
      <c r="AR208" s="1589">
        <f t="shared" si="397"/>
        <v>-0.98946875391820133</v>
      </c>
      <c r="AS208" s="1587">
        <f t="shared" si="397"/>
        <v>1.5813735909764461</v>
      </c>
      <c r="AT208" s="1587">
        <f t="shared" si="397"/>
        <v>0.21315130744567634</v>
      </c>
      <c r="AU208" s="1587">
        <f t="shared" si="397"/>
        <v>-0.13884609086241129</v>
      </c>
      <c r="AV208" s="1589">
        <f t="shared" si="397"/>
        <v>8.9966358482274633E-2</v>
      </c>
      <c r="AW208" s="1587">
        <f t="shared" si="397"/>
        <v>-0.78497462022233844</v>
      </c>
      <c r="AX208" s="1587">
        <f t="shared" si="397"/>
        <v>0.16919126806299212</v>
      </c>
      <c r="AY208" s="1587">
        <f t="shared" si="397"/>
        <v>-0.11109670920598524</v>
      </c>
      <c r="AZ208" s="1589">
        <f t="shared" si="397"/>
        <v>7.2564042386742522E-2</v>
      </c>
      <c r="BA208" s="1587">
        <f t="shared" si="397"/>
        <v>-1.3618033416849729</v>
      </c>
      <c r="BB208" s="1587">
        <f t="shared" si="397"/>
        <v>7.8868752076059367E-2</v>
      </c>
      <c r="BC208" s="1587">
        <f t="shared" si="397"/>
        <v>-5.4209715346891674E-2</v>
      </c>
      <c r="BD208" s="1589">
        <f t="shared" si="397"/>
        <v>3.6781838408805889E-2</v>
      </c>
      <c r="BE208" s="1587"/>
      <c r="BF208" s="1651"/>
      <c r="BI208" s="1586">
        <f t="shared" ref="BI208:BO208" si="398">BI205-BH205</f>
        <v>0</v>
      </c>
      <c r="BJ208" s="1591">
        <f t="shared" si="398"/>
        <v>0</v>
      </c>
      <c r="BK208" s="1591">
        <f t="shared" si="398"/>
        <v>0</v>
      </c>
      <c r="BL208" s="1591">
        <f t="shared" si="398"/>
        <v>0</v>
      </c>
      <c r="BM208" s="1591">
        <f t="shared" si="398"/>
        <v>0</v>
      </c>
      <c r="BN208" s="1800">
        <f t="shared" si="398"/>
        <v>0</v>
      </c>
      <c r="BO208" s="1587" t="e">
        <f t="shared" si="398"/>
        <v>#VALUE!</v>
      </c>
      <c r="BP208" s="1587"/>
      <c r="BQ208" s="1587"/>
      <c r="BR208" s="1587"/>
      <c r="BS208" s="1587"/>
      <c r="BT208" s="1587"/>
      <c r="BU208" s="1587"/>
      <c r="BV208" s="1587"/>
      <c r="BW208" s="1587"/>
      <c r="BX208" s="1587"/>
      <c r="BY208" s="1589"/>
      <c r="BZ208" s="1544"/>
    </row>
    <row r="209" spans="1:85" s="1524" customFormat="1" ht="11.25" hidden="1" customHeight="1" outlineLevel="2">
      <c r="I209" s="1557" t="s">
        <v>377</v>
      </c>
      <c r="M209" s="1564"/>
      <c r="N209" s="1586">
        <f t="shared" ref="N209:BD209" si="399">N205-M205</f>
        <v>0</v>
      </c>
      <c r="O209" s="1587">
        <f t="shared" si="399"/>
        <v>0</v>
      </c>
      <c r="P209" s="1587">
        <f t="shared" si="399"/>
        <v>0</v>
      </c>
      <c r="Q209" s="1587">
        <f t="shared" si="399"/>
        <v>0</v>
      </c>
      <c r="R209" s="1587">
        <f t="shared" si="399"/>
        <v>0</v>
      </c>
      <c r="S209" s="1587">
        <f t="shared" si="399"/>
        <v>0</v>
      </c>
      <c r="T209" s="1587">
        <f t="shared" si="399"/>
        <v>0</v>
      </c>
      <c r="U209" s="1590">
        <f t="shared" si="399"/>
        <v>0</v>
      </c>
      <c r="V209" s="1587">
        <f t="shared" si="399"/>
        <v>0</v>
      </c>
      <c r="W209" s="1587">
        <f t="shared" si="399"/>
        <v>0</v>
      </c>
      <c r="X209" s="1587">
        <f t="shared" si="399"/>
        <v>0</v>
      </c>
      <c r="Y209" s="1590">
        <f t="shared" si="399"/>
        <v>0</v>
      </c>
      <c r="Z209" s="1587">
        <f t="shared" si="399"/>
        <v>0</v>
      </c>
      <c r="AA209" s="1587">
        <f t="shared" si="399"/>
        <v>0</v>
      </c>
      <c r="AB209" s="1589">
        <f t="shared" si="399"/>
        <v>0</v>
      </c>
      <c r="AC209" s="1587">
        <f t="shared" si="399"/>
        <v>0</v>
      </c>
      <c r="AD209" s="1587">
        <f t="shared" si="399"/>
        <v>0</v>
      </c>
      <c r="AE209" s="1587">
        <f t="shared" si="399"/>
        <v>0</v>
      </c>
      <c r="AF209" s="1587">
        <f t="shared" si="399"/>
        <v>0</v>
      </c>
      <c r="AG209" s="1590">
        <f t="shared" si="399"/>
        <v>0</v>
      </c>
      <c r="AH209" s="1587">
        <f t="shared" si="399"/>
        <v>5.9366379094862225</v>
      </c>
      <c r="AI209" s="1587">
        <f t="shared" si="399"/>
        <v>-4.9108028224376259</v>
      </c>
      <c r="AJ209" s="1589">
        <f t="shared" si="399"/>
        <v>1.3415651412962155</v>
      </c>
      <c r="AK209" s="1587">
        <f t="shared" si="399"/>
        <v>-1.5773008839419616</v>
      </c>
      <c r="AL209" s="1587">
        <f t="shared" si="399"/>
        <v>0.45640276561201953</v>
      </c>
      <c r="AM209" s="1587">
        <f t="shared" si="399"/>
        <v>-1.0975335366898373</v>
      </c>
      <c r="AN209" s="1589">
        <f t="shared" si="399"/>
        <v>1.351095541737533</v>
      </c>
      <c r="AO209" s="1587">
        <f t="shared" si="399"/>
        <v>1.5573852153192418</v>
      </c>
      <c r="AP209" s="1587">
        <f t="shared" si="399"/>
        <v>-1.69769098978008</v>
      </c>
      <c r="AQ209" s="1587">
        <f t="shared" si="399"/>
        <v>-2.1917573662240484</v>
      </c>
      <c r="AR209" s="1589">
        <f t="shared" si="399"/>
        <v>1.342594386766685</v>
      </c>
      <c r="AS209" s="1587">
        <f t="shared" si="399"/>
        <v>4.1282275602138894</v>
      </c>
      <c r="AT209" s="1587">
        <f t="shared" si="399"/>
        <v>-3.0659132733108496</v>
      </c>
      <c r="AU209" s="1587">
        <f t="shared" si="399"/>
        <v>-2.5437547645321357</v>
      </c>
      <c r="AV209" s="1589">
        <f t="shared" si="399"/>
        <v>1.5714068361113709</v>
      </c>
      <c r="AW209" s="1587">
        <f t="shared" si="399"/>
        <v>3.2532865815092764</v>
      </c>
      <c r="AX209" s="1587">
        <f t="shared" si="399"/>
        <v>-2.1117473850255193</v>
      </c>
      <c r="AY209" s="1587">
        <f t="shared" si="399"/>
        <v>-2.8240427418011134</v>
      </c>
      <c r="AZ209" s="1589">
        <f t="shared" si="399"/>
        <v>1.7550675877040987</v>
      </c>
      <c r="BA209" s="1587">
        <f t="shared" si="399"/>
        <v>1.8189191974375607</v>
      </c>
      <c r="BB209" s="1587">
        <f t="shared" si="399"/>
        <v>-0.67107529126448706</v>
      </c>
      <c r="BC209" s="1587">
        <f t="shared" si="399"/>
        <v>-2.9571212092240642</v>
      </c>
      <c r="BD209" s="1589">
        <f t="shared" si="399"/>
        <v>1.8460591414597962</v>
      </c>
      <c r="BE209" s="1587"/>
      <c r="BF209" s="1651"/>
      <c r="BI209" s="1569"/>
      <c r="BJ209" s="1569"/>
      <c r="BK209" s="1569"/>
      <c r="BN209" s="1651"/>
      <c r="BO209" s="1544"/>
      <c r="BP209" s="1544"/>
      <c r="BQ209" s="1544"/>
      <c r="BR209" s="1544"/>
      <c r="BS209" s="1544"/>
      <c r="BT209" s="1544"/>
      <c r="BU209" s="1544"/>
      <c r="BV209" s="1544"/>
      <c r="BW209" s="1544"/>
      <c r="BX209" s="1544"/>
      <c r="BY209" s="1570"/>
      <c r="BZ209" s="1544"/>
    </row>
    <row r="210" spans="1:85" s="1524" customFormat="1" ht="11.25" hidden="1" customHeight="1" outlineLevel="2">
      <c r="I210" s="1557"/>
      <c r="M210" s="1564"/>
      <c r="N210" s="1586"/>
      <c r="O210" s="1587"/>
      <c r="P210" s="1587"/>
      <c r="Q210" s="1587"/>
      <c r="R210" s="1587"/>
      <c r="S210" s="1587"/>
      <c r="T210" s="1587"/>
      <c r="U210" s="1590"/>
      <c r="V210" s="1587"/>
      <c r="W210" s="1587"/>
      <c r="X210" s="1587"/>
      <c r="Y210" s="1590"/>
      <c r="Z210" s="1587"/>
      <c r="AA210" s="1587"/>
      <c r="AB210" s="1589"/>
      <c r="AC210" s="1587"/>
      <c r="AD210" s="1587"/>
      <c r="AE210" s="1587"/>
      <c r="AF210" s="1587"/>
      <c r="AG210" s="1590"/>
      <c r="AH210" s="1587"/>
      <c r="AI210" s="1587"/>
      <c r="AJ210" s="1589"/>
      <c r="AK210" s="1587"/>
      <c r="AL210" s="1587"/>
      <c r="AM210" s="1587"/>
      <c r="AN210" s="1589"/>
      <c r="AO210" s="1587"/>
      <c r="AP210" s="1587"/>
      <c r="AQ210" s="1587"/>
      <c r="AR210" s="1589"/>
      <c r="AS210" s="1587"/>
      <c r="AT210" s="1587"/>
      <c r="AU210" s="1587"/>
      <c r="AV210" s="1589"/>
      <c r="AW210" s="1587"/>
      <c r="AX210" s="1587"/>
      <c r="AY210" s="1587"/>
      <c r="AZ210" s="1589"/>
      <c r="BA210" s="1587"/>
      <c r="BB210" s="1587"/>
      <c r="BC210" s="1587"/>
      <c r="BD210" s="1589"/>
      <c r="BE210" s="1587"/>
      <c r="BF210" s="1651"/>
      <c r="BI210" s="1569"/>
      <c r="BJ210" s="1569"/>
      <c r="BK210" s="1569"/>
      <c r="BN210" s="1651"/>
      <c r="BO210" s="1544"/>
      <c r="BP210" s="1544"/>
      <c r="BQ210" s="1544"/>
      <c r="BR210" s="1544"/>
      <c r="BS210" s="1544"/>
      <c r="BT210" s="1544"/>
      <c r="BU210" s="1544"/>
      <c r="BV210" s="1544"/>
      <c r="BW210" s="1544"/>
      <c r="BX210" s="1544"/>
      <c r="BY210" s="1570"/>
      <c r="BZ210" s="1544"/>
    </row>
    <row r="211" spans="1:85" s="1552" customFormat="1" ht="11.25" hidden="1" customHeight="1" outlineLevel="2">
      <c r="I211" s="1593" t="s">
        <v>482</v>
      </c>
      <c r="J211" s="1594"/>
      <c r="K211" s="1594"/>
      <c r="L211" s="1594"/>
      <c r="M211" s="1595"/>
      <c r="N211" s="1595"/>
      <c r="O211" s="1595"/>
      <c r="P211" s="1595"/>
      <c r="Q211" s="1595"/>
      <c r="R211" s="1595"/>
      <c r="S211" s="1595"/>
      <c r="T211" s="1596"/>
      <c r="U211" s="1597">
        <f>'Revenue drivers'!U199</f>
        <v>27</v>
      </c>
      <c r="V211" s="1597">
        <f>'Revenue drivers'!V199</f>
        <v>31.8</v>
      </c>
      <c r="W211" s="1597">
        <f>'Revenue drivers'!W199</f>
        <v>36</v>
      </c>
      <c r="X211" s="1597">
        <f>'Revenue drivers'!X199</f>
        <v>39.799999999999997</v>
      </c>
      <c r="Y211" s="1654">
        <f>'Revenue drivers'!Y199</f>
        <v>44.7</v>
      </c>
      <c r="Z211" s="1597">
        <f>'Revenue drivers'!Z199</f>
        <v>51.4</v>
      </c>
      <c r="AA211" s="1597">
        <f>'Revenue drivers'!AA199</f>
        <v>57.2</v>
      </c>
      <c r="AB211" s="1599">
        <f>'Revenue drivers'!AB199</f>
        <v>67.2</v>
      </c>
      <c r="AC211" s="1654">
        <f>'Revenue drivers'!AC199</f>
        <v>74</v>
      </c>
      <c r="AD211" s="1597">
        <f>'Revenue drivers'!AD199</f>
        <v>79.900000000000006</v>
      </c>
      <c r="AE211" s="1597">
        <f>'Revenue drivers'!AE199</f>
        <v>86.2</v>
      </c>
      <c r="AF211" s="1599">
        <f>'Revenue drivers'!AF199</f>
        <v>93.7</v>
      </c>
      <c r="AG211" s="1654">
        <f>'Revenue drivers'!AG199</f>
        <v>99.7</v>
      </c>
      <c r="AH211" s="1597">
        <f>'Revenue drivers'!AH199</f>
        <v>105.7</v>
      </c>
      <c r="AI211" s="1597">
        <f>'Revenue drivers'!AI199</f>
        <v>112.7</v>
      </c>
      <c r="AJ211" s="1597">
        <f>'Revenue drivers'!AJ199</f>
        <v>121.7</v>
      </c>
      <c r="AK211" s="1654">
        <f>'Revenue drivers'!AK199</f>
        <v>130.69999999999999</v>
      </c>
      <c r="AL211" s="1597">
        <f>'Revenue drivers'!AL199</f>
        <v>139.69999999999999</v>
      </c>
      <c r="AM211" s="1597">
        <f>'Revenue drivers'!AM199</f>
        <v>148.69999999999999</v>
      </c>
      <c r="AN211" s="1597">
        <f>'Revenue drivers'!AN199</f>
        <v>157.69999999999999</v>
      </c>
      <c r="AO211" s="1654">
        <f>'Revenue drivers'!AO199</f>
        <v>166.7</v>
      </c>
      <c r="AP211" s="1597">
        <f>'Revenue drivers'!AP199</f>
        <v>175.7</v>
      </c>
      <c r="AQ211" s="1597">
        <f>'Revenue drivers'!AQ199</f>
        <v>184.7</v>
      </c>
      <c r="AR211" s="1599">
        <f>'Revenue drivers'!AR199</f>
        <v>193.7</v>
      </c>
      <c r="AS211" s="1597">
        <f>'Revenue drivers'!AS199</f>
        <v>202.7</v>
      </c>
      <c r="AT211" s="1597">
        <f>'Revenue drivers'!AT199</f>
        <v>211.7</v>
      </c>
      <c r="AU211" s="1597">
        <f>'Revenue drivers'!AU199</f>
        <v>220.7</v>
      </c>
      <c r="AV211" s="1597">
        <f>'Revenue drivers'!AV199</f>
        <v>229.7</v>
      </c>
      <c r="AW211" s="1654">
        <f>'Revenue drivers'!AW199</f>
        <v>238.7</v>
      </c>
      <c r="AX211" s="1597">
        <f>'Revenue drivers'!AX199</f>
        <v>247.7</v>
      </c>
      <c r="AY211" s="1597">
        <f>'Revenue drivers'!AY199</f>
        <v>256.7</v>
      </c>
      <c r="AZ211" s="1599">
        <f>'Revenue drivers'!AZ199</f>
        <v>265.7</v>
      </c>
      <c r="BA211" s="1597">
        <f>'Revenue drivers'!BA199</f>
        <v>274.7</v>
      </c>
      <c r="BB211" s="1597">
        <f>'Revenue drivers'!BB199</f>
        <v>283.7</v>
      </c>
      <c r="BC211" s="1597">
        <f>'Revenue drivers'!BC199</f>
        <v>292.7</v>
      </c>
      <c r="BD211" s="1597">
        <f>'Revenue drivers'!BD199</f>
        <v>301.7</v>
      </c>
      <c r="BE211" s="1553"/>
      <c r="BF211" s="1600"/>
      <c r="BG211" s="1595"/>
      <c r="BH211" s="1595"/>
      <c r="BI211" s="1595"/>
      <c r="BJ211" s="1595"/>
      <c r="BK211" s="1597">
        <f>+Z211</f>
        <v>51.4</v>
      </c>
      <c r="BL211" s="1597">
        <f>+AA211</f>
        <v>57.2</v>
      </c>
      <c r="BM211" s="1597">
        <f>+AB211</f>
        <v>67.2</v>
      </c>
      <c r="BN211" s="1654">
        <f>+AF211</f>
        <v>93.7</v>
      </c>
      <c r="BO211" s="1597">
        <f>+AJ211</f>
        <v>121.7</v>
      </c>
      <c r="BP211" s="1597"/>
      <c r="BQ211" s="1597"/>
      <c r="BR211" s="1597"/>
      <c r="BS211" s="1597"/>
      <c r="BT211" s="1597"/>
      <c r="BU211" s="1597"/>
      <c r="BV211" s="1597"/>
      <c r="BW211" s="1597"/>
      <c r="BX211" s="1597"/>
      <c r="BY211" s="1599"/>
      <c r="BZ211" s="1595"/>
    </row>
    <row r="212" spans="1:85" s="1552" customFormat="1" ht="11.25" hidden="1" customHeight="1" outlineLevel="2">
      <c r="I212" s="1608"/>
      <c r="J212" s="1526"/>
      <c r="K212" s="1526"/>
      <c r="L212" s="1526"/>
      <c r="M212" s="1602"/>
      <c r="N212" s="1602"/>
      <c r="O212" s="1602"/>
      <c r="P212" s="1602"/>
      <c r="Q212" s="1602"/>
      <c r="R212" s="1602"/>
      <c r="S212" s="1602"/>
      <c r="T212" s="1603"/>
      <c r="U212" s="1602"/>
      <c r="V212" s="1602"/>
      <c r="W212" s="1602"/>
      <c r="X212" s="1602"/>
      <c r="Y212" s="1607"/>
      <c r="Z212" s="1602"/>
      <c r="AA212" s="1602"/>
      <c r="AB212" s="1603"/>
      <c r="AC212" s="1655"/>
      <c r="AD212" s="1605"/>
      <c r="AE212" s="1605"/>
      <c r="AF212" s="1605"/>
      <c r="AG212" s="1655"/>
      <c r="AH212" s="1605"/>
      <c r="AI212" s="1605"/>
      <c r="AJ212" s="1605"/>
      <c r="AK212" s="1655"/>
      <c r="AL212" s="1605"/>
      <c r="AM212" s="1605"/>
      <c r="AN212" s="1605"/>
      <c r="AO212" s="1655"/>
      <c r="AP212" s="1605"/>
      <c r="AQ212" s="1605"/>
      <c r="AR212" s="1606"/>
      <c r="AS212" s="1605"/>
      <c r="AT212" s="1605"/>
      <c r="AU212" s="1605"/>
      <c r="AV212" s="1605"/>
      <c r="AW212" s="1655"/>
      <c r="AX212" s="1605"/>
      <c r="AY212" s="1605"/>
      <c r="AZ212" s="1606"/>
      <c r="BA212" s="1605"/>
      <c r="BB212" s="1605"/>
      <c r="BC212" s="1605"/>
      <c r="BD212" s="1605"/>
      <c r="BE212" s="1553"/>
      <c r="BF212" s="1607"/>
      <c r="BG212" s="1602"/>
      <c r="BH212" s="1602"/>
      <c r="BI212" s="1602"/>
      <c r="BJ212" s="1602"/>
      <c r="BK212" s="1602"/>
      <c r="BL212" s="1609"/>
      <c r="BM212" s="1610"/>
      <c r="BN212" s="1656"/>
      <c r="BO212" s="1610"/>
      <c r="BP212" s="1610"/>
      <c r="BQ212" s="1610"/>
      <c r="BR212" s="1610"/>
      <c r="BS212" s="1610"/>
      <c r="BT212" s="1610"/>
      <c r="BU212" s="1610"/>
      <c r="BV212" s="1610"/>
      <c r="BW212" s="1610"/>
      <c r="BX212" s="1610"/>
      <c r="BY212" s="1635"/>
      <c r="BZ212" s="1602"/>
    </row>
    <row r="213" spans="1:85" ht="11.25" customHeight="1" collapsed="1">
      <c r="A213" s="36"/>
      <c r="B213" s="36"/>
      <c r="C213" s="36"/>
      <c r="D213" s="36"/>
      <c r="E213" s="36"/>
      <c r="F213" s="36"/>
      <c r="G213" s="36"/>
      <c r="I213" s="2753"/>
      <c r="J213" s="494"/>
      <c r="K213" s="494"/>
      <c r="L213" s="494"/>
      <c r="M213" s="2754"/>
      <c r="N213" s="2754"/>
      <c r="O213" s="2754"/>
      <c r="P213" s="2754"/>
      <c r="Q213" s="2754"/>
      <c r="R213" s="2754"/>
      <c r="S213" s="2754"/>
      <c r="T213" s="2754"/>
      <c r="U213" s="2755"/>
      <c r="V213" s="2756"/>
      <c r="W213" s="2756"/>
      <c r="X213" s="2756"/>
      <c r="Y213" s="2757"/>
      <c r="Z213" s="2758"/>
      <c r="AA213" s="2758"/>
      <c r="AB213" s="2758"/>
      <c r="AC213" s="2759"/>
      <c r="AD213" s="2758"/>
      <c r="AE213" s="2758"/>
      <c r="AF213" s="2758"/>
      <c r="AG213" s="2759"/>
      <c r="AH213" s="2758"/>
      <c r="AI213" s="2758"/>
      <c r="AJ213" s="2758"/>
      <c r="AK213" s="2759"/>
      <c r="AL213" s="2758"/>
      <c r="AM213" s="2758"/>
      <c r="AN213" s="2758"/>
      <c r="AO213" s="2759"/>
      <c r="AP213" s="2758"/>
      <c r="AQ213" s="2758"/>
      <c r="AR213" s="2760"/>
      <c r="AS213" s="2758"/>
      <c r="AT213" s="2758"/>
      <c r="AU213" s="2758"/>
      <c r="AV213" s="2760"/>
      <c r="AW213" s="2758"/>
      <c r="AX213" s="2758"/>
      <c r="AY213" s="2758"/>
      <c r="AZ213" s="2760"/>
      <c r="BA213" s="2758"/>
      <c r="BB213" s="2758"/>
      <c r="BC213" s="2758"/>
      <c r="BD213" s="2760"/>
      <c r="BE213" s="1222"/>
      <c r="BF213" s="1264"/>
      <c r="BG213" s="1263"/>
      <c r="BH213" s="1263"/>
      <c r="BI213" s="901"/>
      <c r="BJ213" s="901"/>
      <c r="BK213" s="901"/>
      <c r="BL213" s="901"/>
      <c r="BM213" s="403"/>
      <c r="BN213" s="2757"/>
      <c r="BO213" s="2761"/>
      <c r="BP213" s="2761"/>
      <c r="BQ213" s="2761"/>
      <c r="BR213" s="2761"/>
      <c r="BS213" s="2761"/>
      <c r="BT213" s="2761"/>
      <c r="BU213" s="2761"/>
      <c r="BV213" s="2761"/>
      <c r="BW213" s="2761"/>
      <c r="BX213" s="2761"/>
      <c r="BY213" s="2762"/>
      <c r="BZ213" s="1268"/>
      <c r="CA213" s="36"/>
      <c r="CB213" s="36"/>
      <c r="CC213" s="36"/>
      <c r="CD213" s="36"/>
      <c r="CE213" s="36"/>
      <c r="CF213" s="36"/>
      <c r="CG213" s="36"/>
    </row>
    <row r="214" spans="1:85" ht="11.25" customHeight="1">
      <c r="A214" s="86"/>
      <c r="B214" s="86"/>
      <c r="C214" s="86"/>
      <c r="D214" s="86"/>
      <c r="E214" s="86"/>
      <c r="F214" s="86"/>
      <c r="G214" s="86"/>
      <c r="H214" s="328"/>
      <c r="I214" s="100"/>
      <c r="J214" s="193"/>
      <c r="K214" s="67"/>
      <c r="L214" s="67"/>
      <c r="M214" s="67"/>
      <c r="N214" s="67"/>
      <c r="O214" s="67"/>
      <c r="P214" s="67"/>
      <c r="Q214" s="67"/>
      <c r="R214" s="67"/>
      <c r="S214" s="67"/>
      <c r="T214" s="67"/>
      <c r="U214" s="194"/>
      <c r="V214" s="332"/>
      <c r="W214" s="332"/>
      <c r="X214" s="332"/>
      <c r="Y214" s="332"/>
      <c r="Z214" s="332"/>
      <c r="AA214" s="332"/>
      <c r="AB214" s="332"/>
      <c r="AC214" s="332"/>
      <c r="AD214" s="332"/>
      <c r="AE214" s="332"/>
      <c r="AF214" s="332"/>
      <c r="AG214" s="332"/>
      <c r="AH214" s="332"/>
      <c r="AI214" s="332"/>
      <c r="AJ214" s="332"/>
      <c r="AK214" s="332"/>
      <c r="AL214" s="332"/>
      <c r="AM214" s="332"/>
      <c r="AN214" s="332"/>
      <c r="AO214" s="755"/>
      <c r="AP214" s="332"/>
      <c r="AQ214" s="332"/>
      <c r="AR214" s="756"/>
      <c r="AS214" s="332"/>
      <c r="AT214" s="332"/>
      <c r="AU214" s="332"/>
      <c r="AV214" s="332"/>
      <c r="AW214" s="332"/>
      <c r="AX214" s="332"/>
      <c r="AY214" s="332"/>
      <c r="AZ214" s="332"/>
      <c r="BA214" s="332"/>
      <c r="BB214" s="332"/>
      <c r="BC214" s="332"/>
      <c r="BD214" s="332"/>
      <c r="BE214" s="276"/>
      <c r="BF214" s="332"/>
      <c r="BG214" s="332"/>
      <c r="BH214" s="332"/>
      <c r="BI214" s="332"/>
      <c r="BJ214" s="332"/>
      <c r="BK214" s="332"/>
      <c r="BL214" s="332"/>
      <c r="BM214" s="332"/>
      <c r="BN214" s="332"/>
      <c r="BO214" s="332"/>
      <c r="BP214" s="332"/>
      <c r="BQ214" s="332"/>
      <c r="BR214" s="332"/>
      <c r="BS214" s="332"/>
      <c r="BT214" s="332"/>
      <c r="BU214" s="332"/>
      <c r="BV214" s="332"/>
      <c r="BW214" s="332"/>
      <c r="BX214" s="332"/>
      <c r="BY214" s="332"/>
      <c r="BZ214" s="276"/>
      <c r="CA214" s="80"/>
      <c r="CE214" s="88"/>
      <c r="CF214" s="88"/>
      <c r="CG214" s="88"/>
    </row>
    <row r="215" spans="1:85" ht="11.25" customHeight="1">
      <c r="A215" s="86"/>
      <c r="B215" s="86"/>
      <c r="C215" s="86"/>
      <c r="D215" s="86"/>
      <c r="E215" s="86"/>
      <c r="F215" s="86"/>
      <c r="G215" s="86"/>
      <c r="H215" s="328"/>
      <c r="I215" s="100"/>
      <c r="J215" s="193"/>
      <c r="K215" s="67"/>
      <c r="L215" s="67"/>
      <c r="M215" s="67"/>
      <c r="N215" s="67"/>
      <c r="O215" s="67"/>
      <c r="P215" s="67"/>
      <c r="Q215" s="67"/>
      <c r="R215" s="67"/>
      <c r="S215" s="67"/>
      <c r="T215" s="67"/>
      <c r="U215" s="194"/>
      <c r="V215" s="332"/>
      <c r="W215" s="332"/>
      <c r="X215" s="332"/>
      <c r="Y215" s="332"/>
      <c r="Z215" s="332"/>
      <c r="AA215" s="332"/>
      <c r="AB215" s="332"/>
      <c r="AC215" s="332"/>
      <c r="AD215" s="332"/>
      <c r="AE215" s="332"/>
      <c r="AF215" s="332"/>
      <c r="AG215" s="332"/>
      <c r="AH215" s="332"/>
      <c r="AI215" s="332"/>
      <c r="AJ215" s="332"/>
      <c r="AK215" s="332"/>
      <c r="AL215" s="332"/>
      <c r="AM215" s="332"/>
      <c r="AN215" s="332"/>
      <c r="AO215" s="755"/>
      <c r="AP215" s="332"/>
      <c r="AQ215" s="332"/>
      <c r="AR215" s="756"/>
      <c r="AS215" s="332"/>
      <c r="AT215" s="332"/>
      <c r="AU215" s="332"/>
      <c r="AV215" s="332"/>
      <c r="AW215" s="332"/>
      <c r="AX215" s="332"/>
      <c r="AY215" s="332"/>
      <c r="AZ215" s="332"/>
      <c r="BA215" s="332"/>
      <c r="BB215" s="332"/>
      <c r="BC215" s="332"/>
      <c r="BD215" s="332"/>
      <c r="BE215" s="276"/>
      <c r="BF215" s="332"/>
      <c r="BG215" s="332"/>
      <c r="BH215" s="332"/>
      <c r="BI215" s="332"/>
      <c r="BJ215" s="332"/>
      <c r="BK215" s="332"/>
      <c r="BL215" s="332"/>
      <c r="BM215" s="332"/>
      <c r="BN215" s="332"/>
      <c r="BO215" s="332"/>
      <c r="BP215" s="332"/>
      <c r="BQ215" s="332"/>
      <c r="BR215" s="332"/>
      <c r="BS215" s="332"/>
      <c r="BT215" s="332"/>
      <c r="BU215" s="332"/>
      <c r="BV215" s="332"/>
      <c r="BW215" s="332"/>
      <c r="BX215" s="332"/>
      <c r="BY215" s="332"/>
      <c r="BZ215" s="276"/>
      <c r="CA215" s="80"/>
      <c r="CE215" s="88"/>
      <c r="CF215" s="88"/>
      <c r="CG215" s="88"/>
    </row>
    <row r="216" spans="1:85" s="2806" customFormat="1" ht="11.25" customHeight="1">
      <c r="A216" s="2828"/>
      <c r="B216" s="2828"/>
      <c r="C216" s="2828"/>
      <c r="D216" s="2828"/>
      <c r="E216" s="2828"/>
      <c r="F216" s="2828"/>
      <c r="G216" s="2828"/>
      <c r="H216" s="2828"/>
      <c r="I216" s="984" t="s">
        <v>696</v>
      </c>
      <c r="J216" s="985"/>
      <c r="K216" s="985"/>
      <c r="L216" s="985"/>
      <c r="M216" s="2807"/>
      <c r="N216" s="2807"/>
      <c r="O216" s="2807"/>
      <c r="P216" s="2807"/>
      <c r="Q216" s="2807"/>
      <c r="R216" s="2807"/>
      <c r="S216" s="2807"/>
      <c r="T216" s="2808"/>
      <c r="U216" s="2807"/>
      <c r="V216" s="2807"/>
      <c r="W216" s="2807"/>
      <c r="X216" s="2809"/>
      <c r="Y216" s="2810"/>
      <c r="Z216" s="2809"/>
      <c r="AA216" s="2809"/>
      <c r="AB216" s="2811"/>
      <c r="AC216" s="2810"/>
      <c r="AD216" s="2809"/>
      <c r="AE216" s="2809"/>
      <c r="AF216" s="2809"/>
      <c r="AG216" s="2812"/>
      <c r="AH216" s="2813"/>
      <c r="AI216" s="2813"/>
      <c r="AJ216" s="2813"/>
      <c r="AK216" s="2812"/>
      <c r="AL216" s="2813"/>
      <c r="AM216" s="2813"/>
      <c r="AN216" s="2813"/>
      <c r="AO216" s="2812"/>
      <c r="AP216" s="2813"/>
      <c r="AQ216" s="2813"/>
      <c r="AR216" s="2893"/>
      <c r="AS216" s="2813"/>
      <c r="AT216" s="2813"/>
      <c r="AU216" s="2813"/>
      <c r="AV216" s="2813"/>
      <c r="AW216" s="2812"/>
      <c r="AX216" s="2813"/>
      <c r="AY216" s="2813"/>
      <c r="AZ216" s="2813"/>
      <c r="BA216" s="2812"/>
      <c r="BB216" s="2813"/>
      <c r="BC216" s="2813"/>
      <c r="BD216" s="2813"/>
      <c r="BE216" s="2814"/>
      <c r="BF216" s="2815"/>
      <c r="BG216" s="2807"/>
      <c r="BH216" s="2807"/>
      <c r="BI216" s="2807"/>
      <c r="BJ216" s="2807"/>
      <c r="BK216" s="2807"/>
      <c r="BL216" s="2816"/>
      <c r="BM216" s="2817"/>
      <c r="BN216" s="2818"/>
      <c r="BO216" s="2817"/>
      <c r="BP216" s="2817"/>
      <c r="BQ216" s="2817"/>
      <c r="BR216" s="2817"/>
      <c r="BS216" s="2817"/>
      <c r="BT216" s="2817"/>
      <c r="BU216" s="2817"/>
      <c r="BV216" s="2817"/>
      <c r="BW216" s="2817"/>
      <c r="BX216" s="2817"/>
      <c r="BY216" s="2819"/>
      <c r="BZ216" s="2807"/>
    </row>
    <row r="217" spans="1:85" s="41" customFormat="1" ht="11.25" customHeight="1">
      <c r="B217" s="231"/>
      <c r="C217" s="231"/>
      <c r="D217" s="231"/>
      <c r="E217" s="231"/>
      <c r="F217" s="231"/>
      <c r="G217" s="231"/>
      <c r="H217" s="226"/>
      <c r="I217" s="862" t="s">
        <v>636</v>
      </c>
      <c r="J217" s="231"/>
      <c r="K217" s="231"/>
      <c r="L217" s="231"/>
      <c r="M217" s="231"/>
      <c r="N217" s="231"/>
      <c r="O217" s="231"/>
      <c r="P217" s="231"/>
      <c r="Q217" s="231"/>
      <c r="R217" s="231"/>
      <c r="S217" s="231"/>
      <c r="T217" s="231"/>
      <c r="U217" s="231"/>
      <c r="V217" s="231"/>
      <c r="W217" s="231"/>
      <c r="X217" s="231"/>
      <c r="Y217" s="231"/>
      <c r="Z217" s="231"/>
      <c r="AA217" s="231"/>
      <c r="AB217" s="1151"/>
      <c r="AC217" s="2366"/>
      <c r="AD217" s="2366"/>
      <c r="AE217" s="2366"/>
      <c r="AF217" s="2367"/>
      <c r="AG217" s="2366"/>
      <c r="AH217" s="2366"/>
      <c r="AI217" s="2366"/>
      <c r="AJ217" s="2367"/>
      <c r="AK217" s="2366"/>
      <c r="AL217" s="2366"/>
      <c r="AM217" s="2366"/>
      <c r="AN217" s="2367"/>
      <c r="AO217" s="2366"/>
      <c r="AP217" s="2366"/>
      <c r="AQ217" s="2366"/>
      <c r="AR217" s="2367"/>
      <c r="AS217" s="1477"/>
      <c r="AT217" s="1477"/>
      <c r="AU217" s="1477"/>
      <c r="AV217" s="1478"/>
      <c r="AW217" s="1477"/>
      <c r="AX217" s="1477"/>
      <c r="AY217" s="1477"/>
      <c r="AZ217" s="1478"/>
      <c r="BA217" s="1477"/>
      <c r="BB217" s="1477"/>
      <c r="BC217" s="1477"/>
      <c r="BD217" s="1478"/>
      <c r="BE217" s="2354"/>
      <c r="BF217" s="231"/>
      <c r="BG217" s="231"/>
      <c r="BH217" s="231"/>
      <c r="BI217" s="231"/>
      <c r="BJ217" s="231"/>
      <c r="BK217" s="231"/>
      <c r="BL217" s="231"/>
      <c r="BM217" s="231"/>
      <c r="BN217" s="1947"/>
      <c r="BO217" s="1947"/>
      <c r="BP217" s="231"/>
      <c r="BQ217" s="231"/>
      <c r="BR217" s="231"/>
      <c r="BS217" s="231"/>
      <c r="BT217" s="231"/>
      <c r="BU217" s="231"/>
      <c r="BV217" s="231"/>
      <c r="BW217" s="231"/>
      <c r="BX217" s="231"/>
      <c r="BY217" s="1151"/>
      <c r="BZ217" s="226"/>
    </row>
    <row r="218" spans="1:85" ht="11.25" customHeight="1">
      <c r="B218" s="106"/>
      <c r="C218" s="106"/>
      <c r="D218" s="106"/>
      <c r="E218" s="106"/>
      <c r="F218" s="106"/>
      <c r="G218" s="106"/>
      <c r="H218" s="83"/>
      <c r="I218" s="770" t="s">
        <v>637</v>
      </c>
      <c r="J218" s="106"/>
      <c r="K218" s="106"/>
      <c r="L218" s="106"/>
      <c r="M218" s="106"/>
      <c r="N218" s="106"/>
      <c r="O218" s="106"/>
      <c r="P218" s="106"/>
      <c r="Q218" s="106"/>
      <c r="R218" s="106"/>
      <c r="S218" s="106"/>
      <c r="T218" s="106"/>
      <c r="U218" s="106"/>
      <c r="V218" s="106"/>
      <c r="W218" s="106"/>
      <c r="X218" s="106"/>
      <c r="Y218" s="106"/>
      <c r="Z218" s="106"/>
      <c r="AA218" s="106"/>
      <c r="AB218" s="830"/>
      <c r="AC218" s="1132"/>
      <c r="AD218" s="1132"/>
      <c r="AE218" s="1132"/>
      <c r="AF218" s="1133"/>
      <c r="AG218" s="2359">
        <f t="shared" ref="AG218:BD218" si="400">(AG228-AC228)/(AG$294-AC$294)</f>
        <v>0.17999999999999994</v>
      </c>
      <c r="AH218" s="2359">
        <f t="shared" si="400"/>
        <v>0.195007272246463</v>
      </c>
      <c r="AI218" s="2359">
        <f t="shared" si="400"/>
        <v>0.21315382941688427</v>
      </c>
      <c r="AJ218" s="2361">
        <f t="shared" si="400"/>
        <v>0.21411917098445601</v>
      </c>
      <c r="AK218" s="2359">
        <f t="shared" si="400"/>
        <v>0.23542635658914737</v>
      </c>
      <c r="AL218" s="2359">
        <f t="shared" si="400"/>
        <v>0.20313657407407415</v>
      </c>
      <c r="AM218" s="2359">
        <f t="shared" si="400"/>
        <v>0.19717622080679406</v>
      </c>
      <c r="AN218" s="2361">
        <f t="shared" si="400"/>
        <v>0.19787946428571421</v>
      </c>
      <c r="AO218" s="2359">
        <f t="shared" si="400"/>
        <v>0.19499999999999998</v>
      </c>
      <c r="AP218" s="2359">
        <f t="shared" si="400"/>
        <v>0.22744481605351163</v>
      </c>
      <c r="AQ218" s="2359">
        <f t="shared" si="400"/>
        <v>0.23113725490196085</v>
      </c>
      <c r="AR218" s="2361">
        <f t="shared" si="400"/>
        <v>0.22466457680250787</v>
      </c>
      <c r="AS218" s="2359">
        <f t="shared" si="400"/>
        <v>0.19722857142857139</v>
      </c>
      <c r="AT218" s="2359">
        <f t="shared" si="400"/>
        <v>0.19949236363636355</v>
      </c>
      <c r="AU218" s="2359">
        <f t="shared" si="400"/>
        <v>0.197604</v>
      </c>
      <c r="AV218" s="2361">
        <f t="shared" si="400"/>
        <v>0.1811241176470586</v>
      </c>
      <c r="AW218" s="2359">
        <f t="shared" si="400"/>
        <v>0.18120375000000011</v>
      </c>
      <c r="AX218" s="2359">
        <f t="shared" si="400"/>
        <v>0.17532469499999981</v>
      </c>
      <c r="AY218" s="2359">
        <f t="shared" si="400"/>
        <v>0.18495734399999966</v>
      </c>
      <c r="AZ218" s="2361">
        <f t="shared" si="400"/>
        <v>0.18811437656250013</v>
      </c>
      <c r="BA218" s="2359">
        <f t="shared" si="400"/>
        <v>0.18277362580645176</v>
      </c>
      <c r="BB218" s="2359">
        <f t="shared" si="400"/>
        <v>0.17304503891612893</v>
      </c>
      <c r="BC218" s="2359">
        <f t="shared" si="400"/>
        <v>0.18844424474754107</v>
      </c>
      <c r="BD218" s="2361">
        <f t="shared" si="400"/>
        <v>0.18099111217000019</v>
      </c>
      <c r="BE218" s="883"/>
      <c r="BF218" s="106"/>
      <c r="BG218" s="106"/>
      <c r="BH218" s="106"/>
      <c r="BI218" s="106"/>
      <c r="BJ218" s="106"/>
      <c r="BK218" s="106"/>
      <c r="BL218" s="106"/>
      <c r="BN218" s="957"/>
      <c r="BO218" s="957"/>
      <c r="BP218" s="2359">
        <f t="shared" ref="BP218:BY218" si="401">(BP228-BO228)/(BP$294-BO$294)</f>
        <v>0.20735615650172609</v>
      </c>
      <c r="BQ218" s="2359">
        <f t="shared" si="401"/>
        <v>0.21890981012658228</v>
      </c>
      <c r="BR218" s="2359">
        <f t="shared" si="401"/>
        <v>0.19384561764705896</v>
      </c>
      <c r="BS218" s="2359">
        <f t="shared" si="401"/>
        <v>0.18240999198443578</v>
      </c>
      <c r="BT218" s="2359">
        <f t="shared" si="401"/>
        <v>0.1812870321330611</v>
      </c>
      <c r="BU218" s="2359">
        <f t="shared" si="401"/>
        <v>0.22746564346403403</v>
      </c>
      <c r="BV218" s="2359">
        <f t="shared" si="401"/>
        <v>0.21975043450443515</v>
      </c>
      <c r="BW218" s="2359">
        <f t="shared" si="401"/>
        <v>0.20225104210536665</v>
      </c>
      <c r="BX218" s="2359">
        <f t="shared" si="401"/>
        <v>0.20031604415445459</v>
      </c>
      <c r="BY218" s="2361">
        <f t="shared" si="401"/>
        <v>0.19106716623006606</v>
      </c>
    </row>
    <row r="219" spans="1:85" ht="11.25" customHeight="1">
      <c r="B219" s="106"/>
      <c r="C219" s="106"/>
      <c r="D219" s="106"/>
      <c r="E219" s="106"/>
      <c r="F219" s="106"/>
      <c r="G219" s="106"/>
      <c r="H219" s="83"/>
      <c r="I219" s="770" t="s">
        <v>638</v>
      </c>
      <c r="J219" s="106"/>
      <c r="K219" s="106"/>
      <c r="L219" s="106"/>
      <c r="M219" s="106"/>
      <c r="N219" s="106"/>
      <c r="O219" s="106"/>
      <c r="P219" s="106"/>
      <c r="Q219" s="106"/>
      <c r="R219" s="106"/>
      <c r="S219" s="106"/>
      <c r="T219" s="106"/>
      <c r="U219" s="106"/>
      <c r="V219" s="106"/>
      <c r="W219" s="106"/>
      <c r="X219" s="106"/>
      <c r="Y219" s="106"/>
      <c r="Z219" s="106"/>
      <c r="AA219" s="106"/>
      <c r="AB219" s="830"/>
      <c r="AC219" s="1132"/>
      <c r="AD219" s="1132"/>
      <c r="AE219" s="1132"/>
      <c r="AF219" s="1133"/>
      <c r="AG219" s="2359">
        <f t="shared" ref="AG219:BD219" si="402">(AG235-AC235)/(AG$294-AC$294)</f>
        <v>4.0012787723785172E-2</v>
      </c>
      <c r="AH219" s="2359">
        <f t="shared" si="402"/>
        <v>6.0029088985852179E-2</v>
      </c>
      <c r="AI219" s="2359">
        <f t="shared" si="402"/>
        <v>7.6253807658833772E-2</v>
      </c>
      <c r="AJ219" s="2361">
        <f t="shared" si="402"/>
        <v>9.2121761658031098E-2</v>
      </c>
      <c r="AK219" s="2359">
        <f t="shared" si="402"/>
        <v>7.7816537467700272E-2</v>
      </c>
      <c r="AL219" s="2359">
        <f t="shared" si="402"/>
        <v>6.352777777777778E-2</v>
      </c>
      <c r="AM219" s="2359">
        <f t="shared" si="402"/>
        <v>7.3233545647558393E-2</v>
      </c>
      <c r="AN219" s="2361">
        <f t="shared" si="402"/>
        <v>7.8216517857142856E-2</v>
      </c>
      <c r="AO219" s="2359">
        <f t="shared" si="402"/>
        <v>9.4470588235294084E-2</v>
      </c>
      <c r="AP219" s="2359">
        <f t="shared" si="402"/>
        <v>0.11937123745819395</v>
      </c>
      <c r="AQ219" s="2359">
        <f t="shared" si="402"/>
        <v>0.10875163398692812</v>
      </c>
      <c r="AR219" s="2361">
        <f t="shared" si="402"/>
        <v>0.1053291536050157</v>
      </c>
      <c r="AS219" s="2359">
        <f t="shared" si="402"/>
        <v>0.10458171428571428</v>
      </c>
      <c r="AT219" s="2359">
        <f t="shared" si="402"/>
        <v>0.11704909090909089</v>
      </c>
      <c r="AU219" s="2359">
        <f t="shared" si="402"/>
        <v>0.11835105882352938</v>
      </c>
      <c r="AV219" s="2361">
        <f t="shared" si="402"/>
        <v>0.12258823529411762</v>
      </c>
      <c r="AW219" s="2359">
        <f t="shared" si="402"/>
        <v>0.13237166250000004</v>
      </c>
      <c r="AX219" s="2359">
        <f t="shared" si="402"/>
        <v>0.14877122343749999</v>
      </c>
      <c r="AY219" s="2359">
        <f t="shared" si="402"/>
        <v>0.14944279236923058</v>
      </c>
      <c r="AZ219" s="2361">
        <f t="shared" si="402"/>
        <v>0.15499750000000015</v>
      </c>
      <c r="BA219" s="2359">
        <f t="shared" si="402"/>
        <v>0.14975932087741942</v>
      </c>
      <c r="BB219" s="2359">
        <f t="shared" si="402"/>
        <v>0.16984874644838693</v>
      </c>
      <c r="BC219" s="2359">
        <f t="shared" si="402"/>
        <v>0.16206887091304914</v>
      </c>
      <c r="BD219" s="2361">
        <f t="shared" si="402"/>
        <v>0.16615731999999994</v>
      </c>
      <c r="BE219" s="883"/>
      <c r="BF219" s="106"/>
      <c r="BG219" s="106"/>
      <c r="BH219" s="106"/>
      <c r="BI219" s="106"/>
      <c r="BJ219" s="106"/>
      <c r="BK219" s="106"/>
      <c r="BL219" s="106"/>
      <c r="BN219" s="957"/>
      <c r="BO219" s="957"/>
      <c r="BP219" s="2359">
        <f t="shared" ref="BP219:BY219" si="403">(BP235-BO235)/(BP$294-BO$294)</f>
        <v>7.3126006904487895E-2</v>
      </c>
      <c r="BQ219" s="2359">
        <f t="shared" si="403"/>
        <v>0.10655854430379749</v>
      </c>
      <c r="BR219" s="2359">
        <f t="shared" si="403"/>
        <v>0.11555085294117644</v>
      </c>
      <c r="BS219" s="2359">
        <f t="shared" si="403"/>
        <v>0.14640765059922201</v>
      </c>
      <c r="BT219" s="2359">
        <f t="shared" si="403"/>
        <v>0.16192383877508568</v>
      </c>
      <c r="BU219" s="2359">
        <f t="shared" si="403"/>
        <v>0.20761711631377938</v>
      </c>
      <c r="BV219" s="2359">
        <f t="shared" si="403"/>
        <v>0.23249204813775448</v>
      </c>
      <c r="BW219" s="2359">
        <f t="shared" si="403"/>
        <v>0.2600720781003264</v>
      </c>
      <c r="BX219" s="2359">
        <f t="shared" si="403"/>
        <v>0.26167252165786681</v>
      </c>
      <c r="BY219" s="2361">
        <f t="shared" si="403"/>
        <v>0.25649140572904089</v>
      </c>
    </row>
    <row r="220" spans="1:85" ht="11.25" customHeight="1">
      <c r="B220" s="106"/>
      <c r="C220" s="106"/>
      <c r="D220" s="106"/>
      <c r="E220" s="106"/>
      <c r="F220" s="106"/>
      <c r="G220" s="106"/>
      <c r="H220" s="83"/>
      <c r="I220" s="770" t="s">
        <v>699</v>
      </c>
      <c r="J220" s="106"/>
      <c r="K220" s="106"/>
      <c r="L220" s="106"/>
      <c r="M220" s="106"/>
      <c r="N220" s="106"/>
      <c r="O220" s="106"/>
      <c r="P220" s="106"/>
      <c r="Q220" s="106"/>
      <c r="R220" s="106"/>
      <c r="S220" s="106"/>
      <c r="T220" s="106"/>
      <c r="U220" s="106"/>
      <c r="V220" s="106"/>
      <c r="W220" s="106"/>
      <c r="X220" s="106"/>
      <c r="Y220" s="106"/>
      <c r="Z220" s="106"/>
      <c r="AA220" s="106"/>
      <c r="AB220" s="830"/>
      <c r="AC220" s="1471"/>
      <c r="AD220" s="1471"/>
      <c r="AE220" s="1471"/>
      <c r="AF220" s="1472"/>
      <c r="AG220" s="2359">
        <f t="shared" ref="AG220:BD220" si="404">(AG242-AC242)/(AG$294-AC$294)</f>
        <v>0.77998721227621448</v>
      </c>
      <c r="AH220" s="2359">
        <f t="shared" si="404"/>
        <v>0.74496363876768423</v>
      </c>
      <c r="AI220" s="2359">
        <f t="shared" si="404"/>
        <v>0.71059236292428163</v>
      </c>
      <c r="AJ220" s="2361">
        <f t="shared" si="404"/>
        <v>0.69375906735751269</v>
      </c>
      <c r="AK220" s="2359">
        <f t="shared" si="404"/>
        <v>0.68675710594315242</v>
      </c>
      <c r="AL220" s="2359">
        <f t="shared" si="404"/>
        <v>0.73333564814814856</v>
      </c>
      <c r="AM220" s="2359">
        <f t="shared" si="404"/>
        <v>0.72959023354564723</v>
      </c>
      <c r="AN220" s="2361">
        <f t="shared" si="404"/>
        <v>0.72390401785714287</v>
      </c>
      <c r="AO220" s="2359">
        <f t="shared" si="404"/>
        <v>0.71052941176470552</v>
      </c>
      <c r="AP220" s="2359">
        <f t="shared" si="404"/>
        <v>0.65318394648829448</v>
      </c>
      <c r="AQ220" s="2359">
        <f t="shared" si="404"/>
        <v>0.66011111111111209</v>
      </c>
      <c r="AR220" s="2361">
        <f t="shared" si="404"/>
        <v>0.67000626959247633</v>
      </c>
      <c r="AS220" s="2359">
        <f t="shared" si="404"/>
        <v>0.69818971428571541</v>
      </c>
      <c r="AT220" s="2359">
        <f t="shared" si="404"/>
        <v>0.68345854545454487</v>
      </c>
      <c r="AU220" s="2359">
        <f t="shared" si="404"/>
        <v>0.68404494117647086</v>
      </c>
      <c r="AV220" s="2361">
        <f t="shared" si="404"/>
        <v>0.69628764705882418</v>
      </c>
      <c r="AW220" s="2359">
        <f t="shared" si="404"/>
        <v>0.68642458749999946</v>
      </c>
      <c r="AX220" s="2359">
        <f t="shared" si="404"/>
        <v>0.67590408156250081</v>
      </c>
      <c r="AY220" s="2359">
        <f t="shared" si="404"/>
        <v>0.66559986363076973</v>
      </c>
      <c r="AZ220" s="2361">
        <f t="shared" si="404"/>
        <v>0.65688812343750025</v>
      </c>
      <c r="BA220" s="2359">
        <f t="shared" si="404"/>
        <v>0.66746705331612954</v>
      </c>
      <c r="BB220" s="2359">
        <f t="shared" si="404"/>
        <v>0.65710621463548435</v>
      </c>
      <c r="BC220" s="2359">
        <f t="shared" si="404"/>
        <v>0.64948688433940927</v>
      </c>
      <c r="BD220" s="2361">
        <f t="shared" si="404"/>
        <v>0.6528515678299992</v>
      </c>
      <c r="BE220" s="883"/>
      <c r="BF220" s="106"/>
      <c r="BG220" s="106"/>
      <c r="BH220" s="106"/>
      <c r="BI220" s="106"/>
      <c r="BJ220" s="106"/>
      <c r="BK220" s="106"/>
      <c r="BL220" s="106"/>
      <c r="BN220" s="957"/>
      <c r="BO220" s="957"/>
      <c r="BP220" s="2359">
        <f t="shared" ref="BP220:BY220" si="405">(BP242-BO242)/(BP$294-BO$294)</f>
        <v>0.71951783659378643</v>
      </c>
      <c r="BQ220" s="2359">
        <f t="shared" si="405"/>
        <v>0.67453164556962053</v>
      </c>
      <c r="BR220" s="2359">
        <f t="shared" si="405"/>
        <v>0.69060352941176506</v>
      </c>
      <c r="BS220" s="2359">
        <f t="shared" si="405"/>
        <v>0.6711823574163428</v>
      </c>
      <c r="BT220" s="2359">
        <f t="shared" si="405"/>
        <v>0.65678912909185361</v>
      </c>
      <c r="BU220" s="2359">
        <f t="shared" si="405"/>
        <v>0.56491724022218526</v>
      </c>
      <c r="BV220" s="2359">
        <f t="shared" si="405"/>
        <v>0.54775751735780986</v>
      </c>
      <c r="BW220" s="2359">
        <f t="shared" si="405"/>
        <v>0.53767687979430823</v>
      </c>
      <c r="BX220" s="2359">
        <f t="shared" si="405"/>
        <v>0.53801143418767716</v>
      </c>
      <c r="BY220" s="2361">
        <f t="shared" si="405"/>
        <v>0.5524414280408928</v>
      </c>
    </row>
    <row r="221" spans="1:85" s="41" customFormat="1" ht="11.25" customHeight="1">
      <c r="B221" s="231"/>
      <c r="C221" s="231"/>
      <c r="D221" s="231"/>
      <c r="E221" s="231"/>
      <c r="F221" s="231"/>
      <c r="G221" s="231"/>
      <c r="H221" s="226"/>
      <c r="I221" s="770"/>
      <c r="J221" s="231"/>
      <c r="K221" s="231"/>
      <c r="L221" s="231"/>
      <c r="M221" s="231"/>
      <c r="N221" s="231"/>
      <c r="O221" s="231"/>
      <c r="P221" s="231"/>
      <c r="Q221" s="231"/>
      <c r="R221" s="231"/>
      <c r="S221" s="231"/>
      <c r="T221" s="231"/>
      <c r="U221" s="231"/>
      <c r="V221" s="231"/>
      <c r="W221" s="231"/>
      <c r="X221" s="231"/>
      <c r="Y221" s="231"/>
      <c r="Z221" s="231"/>
      <c r="AA221" s="231"/>
      <c r="AB221" s="1151"/>
      <c r="AC221" s="1477"/>
      <c r="AD221" s="1477"/>
      <c r="AE221" s="1477"/>
      <c r="AF221" s="1478"/>
      <c r="AG221" s="2506"/>
      <c r="AH221" s="2506"/>
      <c r="AI221" s="2506"/>
      <c r="AJ221" s="2511"/>
      <c r="AK221" s="2506"/>
      <c r="AL221" s="2506"/>
      <c r="AM221" s="2506"/>
      <c r="AN221" s="2511"/>
      <c r="AO221" s="2506"/>
      <c r="AP221" s="2506"/>
      <c r="AQ221" s="2506"/>
      <c r="AR221" s="2511"/>
      <c r="AS221" s="2506"/>
      <c r="AT221" s="2506"/>
      <c r="AU221" s="2506"/>
      <c r="AV221" s="2511"/>
      <c r="AW221" s="2506"/>
      <c r="AX221" s="2506"/>
      <c r="AY221" s="2506"/>
      <c r="AZ221" s="2511"/>
      <c r="BA221" s="2506"/>
      <c r="BB221" s="2506"/>
      <c r="BC221" s="2506"/>
      <c r="BD221" s="2511"/>
      <c r="BE221" s="2354"/>
      <c r="BF221" s="231"/>
      <c r="BG221" s="231"/>
      <c r="BH221" s="231"/>
      <c r="BI221" s="231"/>
      <c r="BJ221" s="231"/>
      <c r="BK221" s="231"/>
      <c r="BL221" s="231"/>
      <c r="BM221" s="231"/>
      <c r="BN221" s="1947"/>
      <c r="BO221" s="1947"/>
      <c r="BP221" s="2506"/>
      <c r="BQ221" s="2506"/>
      <c r="BR221" s="2506"/>
      <c r="BS221" s="2506"/>
      <c r="BT221" s="2506"/>
      <c r="BU221" s="2506"/>
      <c r="BV221" s="2506"/>
      <c r="BW221" s="2506"/>
      <c r="BX221" s="2506"/>
      <c r="BY221" s="2511"/>
      <c r="BZ221" s="226"/>
    </row>
    <row r="222" spans="1:85" s="41" customFormat="1" ht="11.25" customHeight="1">
      <c r="B222" s="231"/>
      <c r="C222" s="231"/>
      <c r="D222" s="231"/>
      <c r="E222" s="231"/>
      <c r="F222" s="231"/>
      <c r="G222" s="231"/>
      <c r="H222" s="226"/>
      <c r="I222" s="862" t="s">
        <v>701</v>
      </c>
      <c r="J222" s="231"/>
      <c r="K222" s="231"/>
      <c r="L222" s="231"/>
      <c r="M222" s="231"/>
      <c r="N222" s="231"/>
      <c r="O222" s="231"/>
      <c r="P222" s="231"/>
      <c r="Q222" s="231"/>
      <c r="R222" s="231"/>
      <c r="S222" s="231"/>
      <c r="T222" s="231"/>
      <c r="U222" s="231"/>
      <c r="V222" s="231"/>
      <c r="W222" s="231"/>
      <c r="X222" s="231"/>
      <c r="Y222" s="231"/>
      <c r="Z222" s="231"/>
      <c r="AA222" s="231"/>
      <c r="AB222" s="1151"/>
      <c r="AC222" s="1477"/>
      <c r="AD222" s="1477"/>
      <c r="AE222" s="1477"/>
      <c r="AF222" s="1478"/>
      <c r="AG222" s="2506"/>
      <c r="AH222" s="2506"/>
      <c r="AI222" s="2506"/>
      <c r="AJ222" s="2511"/>
      <c r="AK222" s="2506"/>
      <c r="AL222" s="2506"/>
      <c r="AM222" s="2506"/>
      <c r="AN222" s="2511"/>
      <c r="AO222" s="2506"/>
      <c r="AP222" s="2506"/>
      <c r="AQ222" s="2506"/>
      <c r="AR222" s="2511"/>
      <c r="AS222" s="2506"/>
      <c r="AT222" s="2506"/>
      <c r="AU222" s="2506"/>
      <c r="AV222" s="2511"/>
      <c r="AW222" s="2506"/>
      <c r="AX222" s="2506"/>
      <c r="AY222" s="2506"/>
      <c r="AZ222" s="2511"/>
      <c r="BA222" s="2506"/>
      <c r="BB222" s="2506"/>
      <c r="BC222" s="2506"/>
      <c r="BD222" s="2511"/>
      <c r="BE222" s="2354"/>
      <c r="BF222" s="231"/>
      <c r="BG222" s="231"/>
      <c r="BH222" s="231"/>
      <c r="BI222" s="231"/>
      <c r="BJ222" s="231"/>
      <c r="BK222" s="231"/>
      <c r="BL222" s="231"/>
      <c r="BM222" s="231"/>
      <c r="BN222" s="1947"/>
      <c r="BO222" s="1947"/>
      <c r="BP222" s="2506"/>
      <c r="BQ222" s="2506"/>
      <c r="BR222" s="2506"/>
      <c r="BS222" s="2506"/>
      <c r="BT222" s="2506"/>
      <c r="BU222" s="2506"/>
      <c r="BV222" s="2506"/>
      <c r="BW222" s="2506"/>
      <c r="BX222" s="2506"/>
      <c r="BY222" s="2511"/>
      <c r="BZ222" s="226"/>
    </row>
    <row r="223" spans="1:85" ht="11.25" customHeight="1">
      <c r="B223" s="106"/>
      <c r="C223" s="106"/>
      <c r="D223" s="106"/>
      <c r="E223" s="106"/>
      <c r="F223" s="106"/>
      <c r="G223" s="106"/>
      <c r="H223" s="83"/>
      <c r="I223" s="770" t="s">
        <v>637</v>
      </c>
      <c r="J223" s="106"/>
      <c r="K223" s="106"/>
      <c r="L223" s="106"/>
      <c r="M223" s="106"/>
      <c r="N223" s="106"/>
      <c r="O223" s="106"/>
      <c r="P223" s="106"/>
      <c r="Q223" s="106"/>
      <c r="R223" s="106"/>
      <c r="S223" s="106"/>
      <c r="T223" s="106"/>
      <c r="U223" s="106"/>
      <c r="V223" s="106"/>
      <c r="W223" s="106"/>
      <c r="X223" s="106"/>
      <c r="Y223" s="106"/>
      <c r="Z223" s="106"/>
      <c r="AA223" s="106"/>
      <c r="AB223" s="830"/>
      <c r="AC223" s="1471"/>
      <c r="AD223" s="1471"/>
      <c r="AE223" s="1471"/>
      <c r="AF223" s="1472"/>
      <c r="AG223" s="2359">
        <f>AG233</f>
        <v>0.18</v>
      </c>
      <c r="AH223" s="2359">
        <f t="shared" ref="AH223:AP223" si="406">AH233</f>
        <v>0.185</v>
      </c>
      <c r="AI223" s="2359">
        <f t="shared" si="406"/>
        <v>0.19</v>
      </c>
      <c r="AJ223" s="2361">
        <f t="shared" si="406"/>
        <v>0.19</v>
      </c>
      <c r="AK223" s="2359">
        <f t="shared" si="406"/>
        <v>0.19500000000000001</v>
      </c>
      <c r="AL223" s="2359">
        <f t="shared" si="406"/>
        <v>0.19</v>
      </c>
      <c r="AM223" s="2359">
        <f t="shared" si="406"/>
        <v>0.192</v>
      </c>
      <c r="AN223" s="2361">
        <f t="shared" si="406"/>
        <v>0.192</v>
      </c>
      <c r="AO223" s="2359">
        <f t="shared" si="406"/>
        <v>0.19500000000000001</v>
      </c>
      <c r="AP223" s="2359">
        <f t="shared" si="406"/>
        <v>0.19600000000000001</v>
      </c>
      <c r="AQ223" s="2359">
        <f t="shared" ref="AQ223:AR223" si="407">AQ233</f>
        <v>0.19800000000000001</v>
      </c>
      <c r="AR223" s="2361">
        <f t="shared" si="407"/>
        <v>0.19700000000000001</v>
      </c>
      <c r="AS223" s="2359">
        <f t="shared" ref="AS223:BD223" si="408">AS233</f>
        <v>0.19536792452830187</v>
      </c>
      <c r="AT223" s="2359">
        <f t="shared" si="408"/>
        <v>0.19652480874316938</v>
      </c>
      <c r="AU223" s="2359">
        <f t="shared" si="408"/>
        <v>0.19794236301369864</v>
      </c>
      <c r="AV223" s="2361">
        <f t="shared" si="408"/>
        <v>0.19477318481848183</v>
      </c>
      <c r="AW223" s="2359">
        <f t="shared" si="408"/>
        <v>0.19351032786885247</v>
      </c>
      <c r="AX223" s="2359">
        <f t="shared" si="408"/>
        <v>0.19382845087440378</v>
      </c>
      <c r="AY223" s="2359">
        <f t="shared" si="408"/>
        <v>0.19635644374295375</v>
      </c>
      <c r="AZ223" s="2361">
        <f t="shared" si="408"/>
        <v>0.19399664741253642</v>
      </c>
      <c r="BA223" s="2359">
        <f t="shared" si="408"/>
        <v>0.19230000872727276</v>
      </c>
      <c r="BB223" s="2359">
        <f t="shared" si="408"/>
        <v>0.19154860030573245</v>
      </c>
      <c r="BC223" s="2359">
        <f t="shared" si="408"/>
        <v>0.1955428157275792</v>
      </c>
      <c r="BD223" s="2361">
        <f t="shared" si="408"/>
        <v>0.19271489295367938</v>
      </c>
      <c r="BE223" s="883"/>
      <c r="BF223" s="106"/>
      <c r="BG223" s="106"/>
      <c r="BH223" s="106"/>
      <c r="BI223" s="106"/>
      <c r="BJ223" s="106"/>
      <c r="BK223" s="106"/>
      <c r="BL223" s="106"/>
      <c r="BN223" s="957"/>
      <c r="BO223" s="957"/>
      <c r="BP223" s="2359">
        <f t="shared" ref="BP223" si="409">BP233</f>
        <v>0.19217916924984499</v>
      </c>
      <c r="BQ223" s="2359">
        <f t="shared" ref="BQ223:BY223" si="410">BQ233</f>
        <v>0.1965580611715915</v>
      </c>
      <c r="BR223" s="2359">
        <f t="shared" si="410"/>
        <v>0.19615161304539447</v>
      </c>
      <c r="BS223" s="2359">
        <f t="shared" si="410"/>
        <v>0.19444733903098158</v>
      </c>
      <c r="BT223" s="2359">
        <f t="shared" si="410"/>
        <v>0.19305588590220957</v>
      </c>
      <c r="BU223" s="2359">
        <f t="shared" si="410"/>
        <v>0.19623648389084758</v>
      </c>
      <c r="BV223" s="2359">
        <f t="shared" si="410"/>
        <v>0.19816413409216282</v>
      </c>
      <c r="BW223" s="2359">
        <f t="shared" si="410"/>
        <v>0.19846119529077527</v>
      </c>
      <c r="BX223" s="2359">
        <f t="shared" si="410"/>
        <v>0.19858148980425908</v>
      </c>
      <c r="BY223" s="2361">
        <f t="shared" si="410"/>
        <v>0.19814040483277556</v>
      </c>
    </row>
    <row r="224" spans="1:85" ht="11.25" customHeight="1">
      <c r="B224" s="106"/>
      <c r="C224" s="106"/>
      <c r="D224" s="106"/>
      <c r="E224" s="106"/>
      <c r="F224" s="106"/>
      <c r="G224" s="106"/>
      <c r="H224" s="83"/>
      <c r="I224" s="770" t="s">
        <v>638</v>
      </c>
      <c r="J224" s="106"/>
      <c r="K224" s="106"/>
      <c r="L224" s="106"/>
      <c r="M224" s="106"/>
      <c r="N224" s="106"/>
      <c r="O224" s="106"/>
      <c r="P224" s="106"/>
      <c r="Q224" s="106"/>
      <c r="R224" s="106"/>
      <c r="S224" s="106"/>
      <c r="T224" s="106"/>
      <c r="U224" s="106"/>
      <c r="V224" s="106"/>
      <c r="W224" s="106"/>
      <c r="X224" s="106"/>
      <c r="Y224" s="106"/>
      <c r="Z224" s="106"/>
      <c r="AA224" s="106"/>
      <c r="AB224" s="830"/>
      <c r="AC224" s="1471"/>
      <c r="AD224" s="1471"/>
      <c r="AE224" s="1471"/>
      <c r="AF224" s="1472"/>
      <c r="AG224" s="2359">
        <f>AG240</f>
        <v>1.4999999999999999E-2</v>
      </c>
      <c r="AH224" s="2359">
        <f t="shared" ref="AH224:AP224" si="411">AH240</f>
        <v>0.02</v>
      </c>
      <c r="AI224" s="2359">
        <f t="shared" si="411"/>
        <v>2.3E-2</v>
      </c>
      <c r="AJ224" s="2361">
        <f t="shared" si="411"/>
        <v>2.7E-2</v>
      </c>
      <c r="AK224" s="2359">
        <f t="shared" si="411"/>
        <v>3.2000000000000001E-2</v>
      </c>
      <c r="AL224" s="2359">
        <f t="shared" si="411"/>
        <v>3.2000000000000001E-2</v>
      </c>
      <c r="AM224" s="2359">
        <f t="shared" si="411"/>
        <v>3.6999999999999998E-2</v>
      </c>
      <c r="AN224" s="2361">
        <f t="shared" si="411"/>
        <v>0.04</v>
      </c>
      <c r="AO224" s="2359">
        <f t="shared" si="411"/>
        <v>4.3999999999999997E-2</v>
      </c>
      <c r="AP224" s="2359">
        <f t="shared" si="411"/>
        <v>4.5999999999999999E-2</v>
      </c>
      <c r="AQ224" s="2359">
        <f t="shared" ref="AQ224:AR224" si="412">AQ240</f>
        <v>4.8000000000000001E-2</v>
      </c>
      <c r="AR224" s="2361">
        <f t="shared" si="412"/>
        <v>0.05</v>
      </c>
      <c r="AS224" s="2359">
        <f t="shared" ref="AS224:BD224" si="413">AS240</f>
        <v>5.4001698113207541E-2</v>
      </c>
      <c r="AT224" s="2359">
        <f t="shared" si="413"/>
        <v>5.6676775956284148E-2</v>
      </c>
      <c r="AU224" s="2359">
        <f t="shared" si="413"/>
        <v>5.823945205479452E-2</v>
      </c>
      <c r="AV224" s="2361">
        <f t="shared" si="413"/>
        <v>6.0181518151815182E-2</v>
      </c>
      <c r="AW224" s="2359">
        <f t="shared" si="413"/>
        <v>6.4279726229508199E-2</v>
      </c>
      <c r="AX224" s="2359">
        <f t="shared" si="413"/>
        <v>6.8389901232114456E-2</v>
      </c>
      <c r="AY224" s="2359">
        <f t="shared" si="413"/>
        <v>6.9378529695603139E-2</v>
      </c>
      <c r="AZ224" s="2361">
        <f t="shared" si="413"/>
        <v>7.1238775510204091E-2</v>
      </c>
      <c r="BA224" s="2359">
        <f t="shared" si="413"/>
        <v>7.3915607808000008E-2</v>
      </c>
      <c r="BB224" s="2359">
        <f t="shared" si="413"/>
        <v>7.9519498548832251E-2</v>
      </c>
      <c r="BC224" s="2359">
        <f t="shared" si="413"/>
        <v>7.8910071863951436E-2</v>
      </c>
      <c r="BD224" s="2361">
        <f t="shared" si="413"/>
        <v>8.0593428383705659E-2</v>
      </c>
      <c r="BE224" s="883"/>
      <c r="BF224" s="106"/>
      <c r="BG224" s="106"/>
      <c r="BH224" s="106"/>
      <c r="BI224" s="106"/>
      <c r="BJ224" s="106"/>
      <c r="BK224" s="106"/>
      <c r="BL224" s="106"/>
      <c r="BN224" s="957"/>
      <c r="BO224" s="957"/>
      <c r="BP224" s="2359">
        <f t="shared" ref="BP224" si="414">BP240</f>
        <v>3.5498140111593302E-2</v>
      </c>
      <c r="BQ224" s="2359">
        <f t="shared" ref="BQ224:BY224" si="415">BQ240</f>
        <v>4.7138932089165371E-2</v>
      </c>
      <c r="BR224" s="2359">
        <f t="shared" si="415"/>
        <v>5.7390167474658429E-2</v>
      </c>
      <c r="BS224" s="2359">
        <f t="shared" si="415"/>
        <v>6.8430362997780145E-2</v>
      </c>
      <c r="BT224" s="2359">
        <f t="shared" si="415"/>
        <v>7.8315526801267049E-2</v>
      </c>
      <c r="BU224" s="2359">
        <f t="shared" si="415"/>
        <v>9.0267263886083332E-2</v>
      </c>
      <c r="BV224" s="2359">
        <f t="shared" si="415"/>
        <v>0.10192670974016826</v>
      </c>
      <c r="BW224" s="2359">
        <f t="shared" si="415"/>
        <v>0.11342167183089728</v>
      </c>
      <c r="BX224" s="2359">
        <f t="shared" si="415"/>
        <v>0.12303634405714126</v>
      </c>
      <c r="BY224" s="2361">
        <f t="shared" si="415"/>
        <v>0.13087005277232672</v>
      </c>
    </row>
    <row r="225" spans="2:78" ht="11.25" customHeight="1">
      <c r="B225" s="106"/>
      <c r="C225" s="106"/>
      <c r="D225" s="106"/>
      <c r="E225" s="106"/>
      <c r="F225" s="106"/>
      <c r="G225" s="106"/>
      <c r="H225" s="83"/>
      <c r="I225" s="770" t="s">
        <v>699</v>
      </c>
      <c r="J225" s="106"/>
      <c r="K225" s="106"/>
      <c r="L225" s="106"/>
      <c r="M225" s="106"/>
      <c r="N225" s="106"/>
      <c r="O225" s="106"/>
      <c r="P225" s="106"/>
      <c r="Q225" s="106"/>
      <c r="R225" s="106"/>
      <c r="S225" s="106"/>
      <c r="T225" s="106"/>
      <c r="U225" s="106"/>
      <c r="V225" s="106"/>
      <c r="W225" s="106"/>
      <c r="X225" s="106"/>
      <c r="Y225" s="106"/>
      <c r="Z225" s="106"/>
      <c r="AA225" s="106"/>
      <c r="AB225" s="830"/>
      <c r="AC225" s="1471"/>
      <c r="AD225" s="1471"/>
      <c r="AE225" s="1471"/>
      <c r="AF225" s="1472"/>
      <c r="AG225" s="2359">
        <f>AG247</f>
        <v>0.80499999999999994</v>
      </c>
      <c r="AH225" s="2359">
        <f t="shared" ref="AH225:AP225" si="416">AH247</f>
        <v>0.79499999999999993</v>
      </c>
      <c r="AI225" s="2359">
        <f t="shared" si="416"/>
        <v>0.78699999999999992</v>
      </c>
      <c r="AJ225" s="2361">
        <f t="shared" si="416"/>
        <v>0.78299999999999992</v>
      </c>
      <c r="AK225" s="2359">
        <f t="shared" si="416"/>
        <v>0.77299999999999991</v>
      </c>
      <c r="AL225" s="2359">
        <f t="shared" si="416"/>
        <v>0.77800000000000002</v>
      </c>
      <c r="AM225" s="2359">
        <f t="shared" si="416"/>
        <v>0.77099999999999991</v>
      </c>
      <c r="AN225" s="2361">
        <f t="shared" si="416"/>
        <v>0.76800000000000002</v>
      </c>
      <c r="AO225" s="2359">
        <f t="shared" si="416"/>
        <v>0.7609999999999999</v>
      </c>
      <c r="AP225" s="2359">
        <f t="shared" si="416"/>
        <v>0.75800000000000001</v>
      </c>
      <c r="AQ225" s="2359">
        <f t="shared" ref="AQ225:AR225" si="417">AQ247</f>
        <v>0.754</v>
      </c>
      <c r="AR225" s="2361">
        <f t="shared" si="417"/>
        <v>0.75299999999999989</v>
      </c>
      <c r="AS225" s="2359">
        <f t="shared" ref="AS225:BD225" si="418">AS247</f>
        <v>0.75063037735849059</v>
      </c>
      <c r="AT225" s="2359">
        <f t="shared" si="418"/>
        <v>0.74679841530054647</v>
      </c>
      <c r="AU225" s="2359">
        <f t="shared" si="418"/>
        <v>0.74381818493150686</v>
      </c>
      <c r="AV225" s="2361">
        <f t="shared" si="418"/>
        <v>0.74504529702970301</v>
      </c>
      <c r="AW225" s="2359">
        <f t="shared" si="418"/>
        <v>0.74220994590163936</v>
      </c>
      <c r="AX225" s="2359">
        <f t="shared" si="418"/>
        <v>0.73778164789348177</v>
      </c>
      <c r="AY225" s="2359">
        <f t="shared" si="418"/>
        <v>0.73426502656144321</v>
      </c>
      <c r="AZ225" s="2361">
        <f t="shared" si="418"/>
        <v>0.73476457707725951</v>
      </c>
      <c r="BA225" s="2359">
        <f t="shared" si="418"/>
        <v>0.7337843834647273</v>
      </c>
      <c r="BB225" s="2359">
        <f t="shared" si="418"/>
        <v>0.72893190114543538</v>
      </c>
      <c r="BC225" s="2359">
        <f t="shared" si="418"/>
        <v>0.72554711240846936</v>
      </c>
      <c r="BD225" s="2361">
        <f t="shared" si="418"/>
        <v>0.72669167866261497</v>
      </c>
      <c r="BE225" s="883"/>
      <c r="BF225" s="106"/>
      <c r="BG225" s="106"/>
      <c r="BH225" s="106"/>
      <c r="BI225" s="106"/>
      <c r="BJ225" s="106"/>
      <c r="BK225" s="106"/>
      <c r="BL225" s="106"/>
      <c r="BN225" s="957"/>
      <c r="BO225" s="957"/>
      <c r="BP225" s="2359">
        <f t="shared" ref="BP225" si="419">BP247</f>
        <v>0.77232269063856163</v>
      </c>
      <c r="BQ225" s="2359">
        <f t="shared" ref="BQ225:BY225" si="420">BQ247</f>
        <v>0.75630300673924311</v>
      </c>
      <c r="BR225" s="2359">
        <f t="shared" si="420"/>
        <v>0.74645821947994717</v>
      </c>
      <c r="BS225" s="2359">
        <f t="shared" si="420"/>
        <v>0.7371222979712384</v>
      </c>
      <c r="BT225" s="2359">
        <f t="shared" si="420"/>
        <v>0.72862858729652358</v>
      </c>
      <c r="BU225" s="2359">
        <f t="shared" si="420"/>
        <v>0.71349625222306912</v>
      </c>
      <c r="BV225" s="2359">
        <f t="shared" si="420"/>
        <v>0.69990915616766891</v>
      </c>
      <c r="BW225" s="2359">
        <f t="shared" si="420"/>
        <v>0.68811713287832754</v>
      </c>
      <c r="BX225" s="2359">
        <f t="shared" si="420"/>
        <v>0.6783821661385997</v>
      </c>
      <c r="BY225" s="2361">
        <f t="shared" si="420"/>
        <v>0.67098954239489772</v>
      </c>
    </row>
    <row r="226" spans="2:78" s="41" customFormat="1" ht="11.25" customHeight="1">
      <c r="B226" s="231"/>
      <c r="C226" s="231"/>
      <c r="D226" s="231"/>
      <c r="E226" s="231"/>
      <c r="F226" s="231"/>
      <c r="G226" s="231"/>
      <c r="H226" s="226"/>
      <c r="I226" s="862"/>
      <c r="J226" s="231"/>
      <c r="K226" s="231"/>
      <c r="L226" s="231"/>
      <c r="M226" s="231"/>
      <c r="N226" s="231"/>
      <c r="O226" s="231"/>
      <c r="P226" s="231"/>
      <c r="Q226" s="231"/>
      <c r="R226" s="231"/>
      <c r="S226" s="231"/>
      <c r="T226" s="231"/>
      <c r="U226" s="231"/>
      <c r="V226" s="231"/>
      <c r="W226" s="231"/>
      <c r="X226" s="231"/>
      <c r="Y226" s="231"/>
      <c r="Z226" s="231"/>
      <c r="AA226" s="231"/>
      <c r="AB226" s="1151"/>
      <c r="AC226" s="1477"/>
      <c r="AD226" s="1477"/>
      <c r="AE226" s="1477"/>
      <c r="AF226" s="1478"/>
      <c r="AG226" s="1477"/>
      <c r="AH226" s="1477"/>
      <c r="AI226" s="1477"/>
      <c r="AJ226" s="1478"/>
      <c r="AK226" s="2188"/>
      <c r="AL226" s="1477"/>
      <c r="AM226" s="1477"/>
      <c r="AN226" s="1478"/>
      <c r="AO226" s="1477"/>
      <c r="AP226" s="1477"/>
      <c r="AQ226" s="1477"/>
      <c r="AR226" s="1478"/>
      <c r="AS226" s="1477"/>
      <c r="AT226" s="1477"/>
      <c r="AU226" s="1477"/>
      <c r="AV226" s="1478"/>
      <c r="AW226" s="1477"/>
      <c r="AX226" s="1477"/>
      <c r="AY226" s="1477"/>
      <c r="AZ226" s="1478"/>
      <c r="BA226" s="1477"/>
      <c r="BB226" s="1477"/>
      <c r="BC226" s="1477"/>
      <c r="BD226" s="1478"/>
      <c r="BE226" s="2354"/>
      <c r="BF226" s="231"/>
      <c r="BG226" s="231"/>
      <c r="BH226" s="231"/>
      <c r="BI226" s="231"/>
      <c r="BJ226" s="231"/>
      <c r="BK226" s="231"/>
      <c r="BL226" s="231"/>
      <c r="BM226" s="231"/>
      <c r="BN226" s="1947"/>
      <c r="BO226" s="1947"/>
      <c r="BP226" s="231"/>
      <c r="BQ226" s="231"/>
      <c r="BR226" s="231"/>
      <c r="BS226" s="231"/>
      <c r="BT226" s="231"/>
      <c r="BU226" s="231"/>
      <c r="BV226" s="231"/>
      <c r="BW226" s="231"/>
      <c r="BX226" s="231"/>
      <c r="BY226" s="1151"/>
      <c r="BZ226" s="226"/>
    </row>
    <row r="227" spans="2:78" s="41" customFormat="1" ht="11.25" customHeight="1">
      <c r="B227" s="231"/>
      <c r="C227" s="231"/>
      <c r="D227" s="231"/>
      <c r="E227" s="231"/>
      <c r="F227" s="231"/>
      <c r="G227" s="231"/>
      <c r="H227" s="226"/>
      <c r="I227" s="862"/>
      <c r="J227" s="231"/>
      <c r="K227" s="231"/>
      <c r="L227" s="231"/>
      <c r="M227" s="231"/>
      <c r="N227" s="231"/>
      <c r="O227" s="231"/>
      <c r="P227" s="231"/>
      <c r="Q227" s="231"/>
      <c r="R227" s="231"/>
      <c r="S227" s="231"/>
      <c r="T227" s="231"/>
      <c r="U227" s="231"/>
      <c r="V227" s="231"/>
      <c r="W227" s="231"/>
      <c r="X227" s="231"/>
      <c r="Y227" s="231"/>
      <c r="Z227" s="231"/>
      <c r="AA227" s="231"/>
      <c r="AB227" s="1151"/>
      <c r="AC227" s="1477"/>
      <c r="AD227" s="1477"/>
      <c r="AE227" s="1477"/>
      <c r="AF227" s="1478"/>
      <c r="AG227" s="1477"/>
      <c r="AH227" s="1477"/>
      <c r="AI227" s="1477"/>
      <c r="AJ227" s="1477"/>
      <c r="AK227" s="2364"/>
      <c r="AL227" s="1477"/>
      <c r="AM227" s="1477"/>
      <c r="AN227" s="1478"/>
      <c r="AO227" s="1477"/>
      <c r="AP227" s="1477"/>
      <c r="AQ227" s="1477"/>
      <c r="AR227" s="1478"/>
      <c r="AS227" s="1477"/>
      <c r="AT227" s="1477"/>
      <c r="AU227" s="1477"/>
      <c r="AV227" s="1478"/>
      <c r="AW227" s="1477"/>
      <c r="AX227" s="1477"/>
      <c r="AY227" s="1477"/>
      <c r="AZ227" s="1478"/>
      <c r="BA227" s="1477"/>
      <c r="BB227" s="1477"/>
      <c r="BC227" s="1477"/>
      <c r="BD227" s="1478"/>
      <c r="BE227" s="2354"/>
      <c r="BF227" s="231"/>
      <c r="BG227" s="231"/>
      <c r="BH227" s="231"/>
      <c r="BI227" s="231"/>
      <c r="BJ227" s="231"/>
      <c r="BK227" s="231"/>
      <c r="BL227" s="231"/>
      <c r="BM227" s="231"/>
      <c r="BN227" s="1947"/>
      <c r="BO227" s="1947"/>
      <c r="BP227" s="231"/>
      <c r="BQ227" s="231"/>
      <c r="BR227" s="231"/>
      <c r="BS227" s="231"/>
      <c r="BT227" s="231"/>
      <c r="BU227" s="231"/>
      <c r="BV227" s="231"/>
      <c r="BW227" s="231"/>
      <c r="BX227" s="231"/>
      <c r="BY227" s="1151"/>
      <c r="BZ227" s="226"/>
    </row>
    <row r="228" spans="2:78" s="231" customFormat="1" ht="11.25" customHeight="1">
      <c r="H228" s="226"/>
      <c r="I228" s="2830" t="s">
        <v>619</v>
      </c>
      <c r="J228" s="2703"/>
      <c r="K228" s="2703"/>
      <c r="L228" s="2703"/>
      <c r="AB228" s="1151"/>
      <c r="AC228" s="1989">
        <f t="shared" ref="AC228:AL228" si="421">AC294*AC233</f>
        <v>11.736000000000001</v>
      </c>
      <c r="AD228" s="1989">
        <f t="shared" si="421"/>
        <v>13.6233</v>
      </c>
      <c r="AE228" s="1989">
        <f t="shared" si="421"/>
        <v>15.32376</v>
      </c>
      <c r="AF228" s="2510">
        <f t="shared" si="421"/>
        <v>16.757999999999999</v>
      </c>
      <c r="AG228" s="1989">
        <f t="shared" si="421"/>
        <v>18.773999999999997</v>
      </c>
      <c r="AH228" s="1989">
        <f t="shared" si="421"/>
        <v>20.997499999999999</v>
      </c>
      <c r="AI228" s="1989">
        <f t="shared" si="421"/>
        <v>23.161000000000001</v>
      </c>
      <c r="AJ228" s="2510">
        <f t="shared" si="421"/>
        <v>25.023</v>
      </c>
      <c r="AK228" s="2188">
        <f t="shared" si="421"/>
        <v>27.885000000000002</v>
      </c>
      <c r="AL228" s="1989">
        <f t="shared" si="421"/>
        <v>29.773</v>
      </c>
      <c r="AM228" s="1989">
        <f>AM$294*AM233</f>
        <v>32.448</v>
      </c>
      <c r="AN228" s="2508">
        <f>AN$294*AN233</f>
        <v>33.887999999999998</v>
      </c>
      <c r="AO228" s="2188">
        <f>AO294*AO233</f>
        <v>34.515000000000001</v>
      </c>
      <c r="AP228" s="1989">
        <f>AP294*AP233</f>
        <v>36.573599999999999</v>
      </c>
      <c r="AQ228" s="1989">
        <f>AQ294*AQ233</f>
        <v>39.520800000000001</v>
      </c>
      <c r="AR228" s="2508">
        <f>AR$294*AR233</f>
        <v>41.0548</v>
      </c>
      <c r="AS228" s="1989">
        <f t="shared" ref="AS228:BD228" si="422">+AO228*(1+AS229)</f>
        <v>41.417999999999999</v>
      </c>
      <c r="AT228" s="1989">
        <f t="shared" si="422"/>
        <v>43.156847999999997</v>
      </c>
      <c r="AU228" s="1989">
        <f t="shared" si="422"/>
        <v>46.239336000000002</v>
      </c>
      <c r="AV228" s="2508">
        <f t="shared" si="422"/>
        <v>47.213019999999993</v>
      </c>
      <c r="AW228" s="1989">
        <f t="shared" si="422"/>
        <v>47.216520000000003</v>
      </c>
      <c r="AX228" s="1989">
        <f t="shared" si="422"/>
        <v>48.76723823999999</v>
      </c>
      <c r="AY228" s="1989">
        <f t="shared" si="422"/>
        <v>52.250449679999996</v>
      </c>
      <c r="AZ228" s="2508">
        <f t="shared" si="422"/>
        <v>53.232680049999992</v>
      </c>
      <c r="BA228" s="1989">
        <f t="shared" si="422"/>
        <v>52.882502400000007</v>
      </c>
      <c r="BB228" s="1989">
        <f t="shared" si="422"/>
        <v>54.131634446399993</v>
      </c>
      <c r="BC228" s="1989">
        <f t="shared" si="422"/>
        <v>57.997999144799998</v>
      </c>
      <c r="BD228" s="2508">
        <f t="shared" si="422"/>
        <v>58.662413415099998</v>
      </c>
      <c r="BE228" s="2354"/>
      <c r="BN228" s="1936"/>
      <c r="BO228" s="1251">
        <f>SUM(AG228:AJ228)</f>
        <v>87.955500000000001</v>
      </c>
      <c r="BP228" s="1251">
        <f>SUM(AK228:AN228)</f>
        <v>123.994</v>
      </c>
      <c r="BQ228" s="1251">
        <f>SUM(AO228:AR228)</f>
        <v>151.66419999999999</v>
      </c>
      <c r="BR228" s="1251">
        <f>SUM(AS228:AV228)</f>
        <v>178.02720400000001</v>
      </c>
      <c r="BS228" s="1251">
        <f>SUM(AW228:AZ228)</f>
        <v>201.46688796999999</v>
      </c>
      <c r="BT228" s="1251">
        <f>SUM(BA228:BD228)</f>
        <v>223.67454940629997</v>
      </c>
      <c r="BU228" s="1989">
        <f>+BT228*(1+BU229)</f>
        <v>250.51549533505599</v>
      </c>
      <c r="BV228" s="1989">
        <f>+BU228*(1+BV229)</f>
        <v>275.5670448685616</v>
      </c>
      <c r="BW228" s="1989">
        <f>+BV228*(1+BW229)</f>
        <v>297.61240845804656</v>
      </c>
      <c r="BX228" s="1989">
        <f>+BW228*(1+BX229)</f>
        <v>318.44527705010984</v>
      </c>
      <c r="BY228" s="2508">
        <f>+BX228*(1+BY229)</f>
        <v>337.55199367311644</v>
      </c>
      <c r="BZ228" s="226"/>
    </row>
    <row r="229" spans="2:78" s="106" customFormat="1" ht="11.25" customHeight="1">
      <c r="H229" s="83"/>
      <c r="I229" s="1127" t="s">
        <v>132</v>
      </c>
      <c r="AB229" s="830"/>
      <c r="AC229" s="2359">
        <f>IF(ISERROR(AC228/Y228-1),0,AC228/Y228-1)</f>
        <v>0</v>
      </c>
      <c r="AD229" s="2359">
        <f>IF(ISERROR(AD228/Z228-1),0,AD228/Z228-1)</f>
        <v>0</v>
      </c>
      <c r="AE229" s="2359">
        <f>IF(ISERROR(AE228/AA228-1),0,AE228/AA228-1)</f>
        <v>0</v>
      </c>
      <c r="AF229" s="2361">
        <f>IF(ISERROR(AF228/AB228-1),0,AF228/AB228-1)</f>
        <v>0</v>
      </c>
      <c r="AG229" s="2359">
        <f t="shared" ref="AG229:AR229" si="423">IF(ISERROR(AG228/AC228-1),0,AG228/AC228-1)</f>
        <v>0.59969325153374209</v>
      </c>
      <c r="AH229" s="2359">
        <f t="shared" si="423"/>
        <v>0.54129322557676907</v>
      </c>
      <c r="AI229" s="2359">
        <f t="shared" si="423"/>
        <v>0.51144366656747442</v>
      </c>
      <c r="AJ229" s="2361">
        <f t="shared" si="423"/>
        <v>0.49319727891156462</v>
      </c>
      <c r="AK229" s="2359">
        <f t="shared" si="423"/>
        <v>0.48529881751358284</v>
      </c>
      <c r="AL229" s="2359">
        <f t="shared" si="423"/>
        <v>0.41793070603643301</v>
      </c>
      <c r="AM229" s="2359">
        <f t="shared" si="423"/>
        <v>0.40097577824791664</v>
      </c>
      <c r="AN229" s="2361">
        <f t="shared" si="423"/>
        <v>0.35427406785757087</v>
      </c>
      <c r="AO229" s="2359">
        <f t="shared" si="423"/>
        <v>0.2377622377622377</v>
      </c>
      <c r="AP229" s="2359">
        <f t="shared" si="423"/>
        <v>0.22841500688543315</v>
      </c>
      <c r="AQ229" s="2359">
        <f t="shared" si="423"/>
        <v>0.2179733727810651</v>
      </c>
      <c r="AR229" s="2361">
        <f t="shared" si="423"/>
        <v>0.21148489140698778</v>
      </c>
      <c r="AS229" s="2492">
        <v>0.2</v>
      </c>
      <c r="AT229" s="2492">
        <v>0.18</v>
      </c>
      <c r="AU229" s="2492">
        <v>0.17</v>
      </c>
      <c r="AV229" s="2509">
        <v>0.15</v>
      </c>
      <c r="AW229" s="2492">
        <v>0.14000000000000001</v>
      </c>
      <c r="AX229" s="2492">
        <v>0.13</v>
      </c>
      <c r="AY229" s="2492">
        <v>0.13</v>
      </c>
      <c r="AZ229" s="2509">
        <f t="shared" ref="AZ229" si="424">+AV229*0.85</f>
        <v>0.1275</v>
      </c>
      <c r="BA229" s="2492">
        <v>0.12</v>
      </c>
      <c r="BB229" s="2492">
        <v>0.11</v>
      </c>
      <c r="BC229" s="2492">
        <v>0.11</v>
      </c>
      <c r="BD229" s="2509">
        <f t="shared" ref="BD229" si="425">+AZ229*0.8</f>
        <v>0.10200000000000001</v>
      </c>
      <c r="BE229" s="883"/>
      <c r="BN229" s="957"/>
      <c r="BO229" s="957"/>
      <c r="BP229" s="1937">
        <f>BP228/BO228-1</f>
        <v>0.40973560493658723</v>
      </c>
      <c r="BQ229" s="1937">
        <f>BQ228/BP228-1</f>
        <v>0.2231575721405874</v>
      </c>
      <c r="BR229" s="1937">
        <f>BR228/BQ228-1</f>
        <v>0.17382483143681915</v>
      </c>
      <c r="BS229" s="1937">
        <f>BS228/BR228-1</f>
        <v>0.13166349548465628</v>
      </c>
      <c r="BT229" s="1937">
        <f>BT228/BS228-1</f>
        <v>0.11022983310094547</v>
      </c>
      <c r="BU229" s="2196">
        <v>0.12</v>
      </c>
      <c r="BV229" s="2196">
        <v>0.1</v>
      </c>
      <c r="BW229" s="2196">
        <v>0.08</v>
      </c>
      <c r="BX229" s="2196">
        <v>7.0000000000000007E-2</v>
      </c>
      <c r="BY229" s="2853">
        <v>0.06</v>
      </c>
      <c r="BZ229" s="83"/>
    </row>
    <row r="230" spans="2:78" s="106" customFormat="1" ht="11.25" customHeight="1">
      <c r="H230" s="83"/>
      <c r="I230" s="1127" t="s">
        <v>146</v>
      </c>
      <c r="AB230" s="830"/>
      <c r="AC230" s="294">
        <f>IF(ISERROR(AC228/AB228-1),0,AC228/AB228-1)</f>
        <v>0</v>
      </c>
      <c r="AD230" s="294">
        <f>IF(ISERROR(AD228/AC228-1),0,AD228/AC228-1)</f>
        <v>0.16081288343558287</v>
      </c>
      <c r="AE230" s="294">
        <f>IF(ISERROR(AE228/AD228-1),0,AE228/AD228-1)</f>
        <v>0.12481997753848173</v>
      </c>
      <c r="AF230" s="2361">
        <f>IF(ISERROR(AF228/AE228-1),0,AF228/AE228-1)</f>
        <v>9.3595827655875485E-2</v>
      </c>
      <c r="AG230" s="294">
        <f t="shared" ref="AG230:AR230" si="426">IF(ISERROR(AG228/AF228-1),0,AG228/AF228-1)</f>
        <v>0.12030075187969924</v>
      </c>
      <c r="AH230" s="294">
        <f t="shared" si="426"/>
        <v>0.11843506977735174</v>
      </c>
      <c r="AI230" s="294">
        <f t="shared" si="426"/>
        <v>0.10303607572330042</v>
      </c>
      <c r="AJ230" s="2361">
        <f t="shared" si="426"/>
        <v>8.0393765381460147E-2</v>
      </c>
      <c r="AK230" s="2359">
        <f t="shared" si="426"/>
        <v>0.11437477520680983</v>
      </c>
      <c r="AL230" s="2359">
        <f t="shared" si="426"/>
        <v>6.7706652322036875E-2</v>
      </c>
      <c r="AM230" s="2359">
        <f t="shared" si="426"/>
        <v>8.9846505222852979E-2</v>
      </c>
      <c r="AN230" s="2361">
        <f t="shared" si="426"/>
        <v>4.4378698224851965E-2</v>
      </c>
      <c r="AO230" s="2359">
        <f t="shared" si="426"/>
        <v>1.8502124645892515E-2</v>
      </c>
      <c r="AP230" s="2359">
        <f t="shared" si="426"/>
        <v>5.9643633202955293E-2</v>
      </c>
      <c r="AQ230" s="2359">
        <f t="shared" si="426"/>
        <v>8.0582715401273042E-2</v>
      </c>
      <c r="AR230" s="2361">
        <f t="shared" si="426"/>
        <v>3.8815003744863352E-2</v>
      </c>
      <c r="AS230" s="2359">
        <f t="shared" ref="AS230:BD230" si="427">IF(ISERROR(AS228/AR228-1),0,AS228/AR228-1)</f>
        <v>8.8467121993043296E-3</v>
      </c>
      <c r="AT230" s="2359">
        <f t="shared" si="427"/>
        <v>4.1982905982905994E-2</v>
      </c>
      <c r="AU230" s="2359">
        <f t="shared" si="427"/>
        <v>7.1425234762279244E-2</v>
      </c>
      <c r="AV230" s="2361">
        <f t="shared" si="427"/>
        <v>2.1057482313327158E-2</v>
      </c>
      <c r="AW230" s="2359">
        <f t="shared" si="427"/>
        <v>7.4132093223600037E-5</v>
      </c>
      <c r="AX230" s="2359">
        <f t="shared" si="427"/>
        <v>3.2842705053231169E-2</v>
      </c>
      <c r="AY230" s="2359">
        <f t="shared" si="427"/>
        <v>7.1425234762279244E-2</v>
      </c>
      <c r="AZ230" s="2361">
        <f t="shared" si="427"/>
        <v>1.8798505582545477E-2</v>
      </c>
      <c r="BA230" s="2359">
        <f t="shared" si="427"/>
        <v>-6.5782457255781912E-3</v>
      </c>
      <c r="BB230" s="2359">
        <f t="shared" si="427"/>
        <v>2.362089518668431E-2</v>
      </c>
      <c r="BC230" s="2359">
        <f t="shared" si="427"/>
        <v>7.1425234762279244E-2</v>
      </c>
      <c r="BD230" s="2361">
        <f t="shared" si="427"/>
        <v>1.1455813650419255E-2</v>
      </c>
      <c r="BE230" s="883"/>
      <c r="BN230" s="957"/>
      <c r="BO230" s="957"/>
      <c r="BU230" s="2359"/>
      <c r="BV230" s="2359"/>
      <c r="BW230" s="2359"/>
      <c r="BX230" s="2359"/>
      <c r="BY230" s="2361"/>
      <c r="BZ230" s="83"/>
    </row>
    <row r="231" spans="2:78" s="106" customFormat="1" ht="11.25" customHeight="1">
      <c r="H231" s="83"/>
      <c r="I231" s="1127" t="s">
        <v>621</v>
      </c>
      <c r="AB231" s="830"/>
      <c r="AC231" s="1990">
        <f>AC228-Y228</f>
        <v>11.736000000000001</v>
      </c>
      <c r="AD231" s="1990">
        <f>AD228-Z228</f>
        <v>13.6233</v>
      </c>
      <c r="AE231" s="1990">
        <f>AE228-AA228</f>
        <v>15.32376</v>
      </c>
      <c r="AF231" s="2489">
        <f>AF228-AB228</f>
        <v>16.757999999999999</v>
      </c>
      <c r="AG231" s="1990">
        <f t="shared" ref="AG231:BD231" si="428">AG228-AC228</f>
        <v>7.0379999999999967</v>
      </c>
      <c r="AH231" s="1990">
        <f t="shared" si="428"/>
        <v>7.3741999999999983</v>
      </c>
      <c r="AI231" s="1990">
        <f t="shared" si="428"/>
        <v>7.8372400000000013</v>
      </c>
      <c r="AJ231" s="2489">
        <f t="shared" si="428"/>
        <v>8.2650000000000006</v>
      </c>
      <c r="AK231" s="1990">
        <f t="shared" si="428"/>
        <v>9.1110000000000042</v>
      </c>
      <c r="AL231" s="1990">
        <f t="shared" si="428"/>
        <v>8.775500000000001</v>
      </c>
      <c r="AM231" s="1990">
        <f t="shared" si="428"/>
        <v>9.286999999999999</v>
      </c>
      <c r="AN231" s="2489">
        <f t="shared" si="428"/>
        <v>8.8649999999999984</v>
      </c>
      <c r="AO231" s="1990">
        <f t="shared" si="428"/>
        <v>6.629999999999999</v>
      </c>
      <c r="AP231" s="1990">
        <f t="shared" si="428"/>
        <v>6.8005999999999993</v>
      </c>
      <c r="AQ231" s="1990">
        <f t="shared" si="428"/>
        <v>7.0728000000000009</v>
      </c>
      <c r="AR231" s="2489">
        <f t="shared" si="428"/>
        <v>7.1668000000000021</v>
      </c>
      <c r="AS231" s="1990">
        <f t="shared" si="428"/>
        <v>6.9029999999999987</v>
      </c>
      <c r="AT231" s="1990">
        <f t="shared" si="428"/>
        <v>6.5832479999999975</v>
      </c>
      <c r="AU231" s="1990">
        <f t="shared" si="428"/>
        <v>6.7185360000000003</v>
      </c>
      <c r="AV231" s="2489">
        <f t="shared" si="428"/>
        <v>6.1582199999999929</v>
      </c>
      <c r="AW231" s="1990">
        <f t="shared" si="428"/>
        <v>5.7985200000000034</v>
      </c>
      <c r="AX231" s="1990">
        <f t="shared" si="428"/>
        <v>5.6103902399999939</v>
      </c>
      <c r="AY231" s="1990">
        <f t="shared" si="428"/>
        <v>6.011113679999994</v>
      </c>
      <c r="AZ231" s="2489">
        <f t="shared" si="428"/>
        <v>6.0196600499999988</v>
      </c>
      <c r="BA231" s="1990">
        <f t="shared" si="428"/>
        <v>5.6659824000000043</v>
      </c>
      <c r="BB231" s="1990">
        <f t="shared" si="428"/>
        <v>5.3643962064000021</v>
      </c>
      <c r="BC231" s="1990">
        <f t="shared" si="428"/>
        <v>5.7475494648000023</v>
      </c>
      <c r="BD231" s="2489">
        <f t="shared" si="428"/>
        <v>5.4297333651000059</v>
      </c>
      <c r="BE231" s="883"/>
      <c r="BN231" s="957"/>
      <c r="BO231" s="957"/>
      <c r="BP231" s="286">
        <f t="shared" ref="BP231:BY231" si="429">BP228-BO228</f>
        <v>36.038499999999999</v>
      </c>
      <c r="BQ231" s="286">
        <f t="shared" si="429"/>
        <v>27.670199999999994</v>
      </c>
      <c r="BR231" s="286">
        <f t="shared" si="429"/>
        <v>26.363004000000018</v>
      </c>
      <c r="BS231" s="286">
        <f t="shared" si="429"/>
        <v>23.439683969999976</v>
      </c>
      <c r="BT231" s="286">
        <f t="shared" si="429"/>
        <v>22.207661436299986</v>
      </c>
      <c r="BU231" s="1990">
        <f t="shared" si="429"/>
        <v>26.840945928756014</v>
      </c>
      <c r="BV231" s="1990">
        <f t="shared" si="429"/>
        <v>25.051549533505607</v>
      </c>
      <c r="BW231" s="1990">
        <f t="shared" si="429"/>
        <v>22.045363589484964</v>
      </c>
      <c r="BX231" s="1990">
        <f t="shared" si="429"/>
        <v>20.832868592063278</v>
      </c>
      <c r="BY231" s="2489">
        <f t="shared" si="429"/>
        <v>19.106716623006605</v>
      </c>
      <c r="BZ231" s="83"/>
    </row>
    <row r="232" spans="2:78" s="106" customFormat="1" ht="11.25" customHeight="1">
      <c r="H232" s="83"/>
      <c r="I232" s="1127" t="s">
        <v>620</v>
      </c>
      <c r="AB232" s="830"/>
      <c r="AC232" s="1990">
        <f>AC228-AB228</f>
        <v>11.736000000000001</v>
      </c>
      <c r="AD232" s="1990">
        <f>AD228-AC228</f>
        <v>1.8872999999999998</v>
      </c>
      <c r="AE232" s="1990">
        <f>AE228-AD228</f>
        <v>1.7004599999999996</v>
      </c>
      <c r="AF232" s="2489">
        <f>AF228-AE228</f>
        <v>1.4342399999999991</v>
      </c>
      <c r="AG232" s="1990">
        <f t="shared" ref="AG232:AR232" si="430">AG228-AF228</f>
        <v>2.0159999999999982</v>
      </c>
      <c r="AH232" s="1990">
        <f t="shared" si="430"/>
        <v>2.2235000000000014</v>
      </c>
      <c r="AI232" s="1990">
        <f t="shared" si="430"/>
        <v>2.1635000000000026</v>
      </c>
      <c r="AJ232" s="2489">
        <f t="shared" si="430"/>
        <v>1.8619999999999983</v>
      </c>
      <c r="AK232" s="1990">
        <f t="shared" si="430"/>
        <v>2.8620000000000019</v>
      </c>
      <c r="AL232" s="1990">
        <f t="shared" si="430"/>
        <v>1.8879999999999981</v>
      </c>
      <c r="AM232" s="1990">
        <f t="shared" si="430"/>
        <v>2.6750000000000007</v>
      </c>
      <c r="AN232" s="2489">
        <f t="shared" si="430"/>
        <v>1.4399999999999977</v>
      </c>
      <c r="AO232" s="1990">
        <f t="shared" si="430"/>
        <v>0.62700000000000244</v>
      </c>
      <c r="AP232" s="1990">
        <f t="shared" si="430"/>
        <v>2.0585999999999984</v>
      </c>
      <c r="AQ232" s="1990">
        <f t="shared" si="430"/>
        <v>2.9472000000000023</v>
      </c>
      <c r="AR232" s="2489">
        <f t="shared" si="430"/>
        <v>1.5339999999999989</v>
      </c>
      <c r="AS232" s="1990">
        <f t="shared" ref="AS232:BD232" si="431">AS228-AR228</f>
        <v>0.36319999999999908</v>
      </c>
      <c r="AT232" s="1990">
        <f t="shared" si="431"/>
        <v>1.7388479999999973</v>
      </c>
      <c r="AU232" s="1990">
        <f t="shared" si="431"/>
        <v>3.082488000000005</v>
      </c>
      <c r="AV232" s="2489">
        <f t="shared" si="431"/>
        <v>0.97368399999999156</v>
      </c>
      <c r="AW232" s="1990">
        <f t="shared" si="431"/>
        <v>3.5000000000096065E-3</v>
      </c>
      <c r="AX232" s="1990">
        <f t="shared" si="431"/>
        <v>1.5507182399999877</v>
      </c>
      <c r="AY232" s="1990">
        <f t="shared" si="431"/>
        <v>3.4832114400000052</v>
      </c>
      <c r="AZ232" s="2489">
        <f t="shared" si="431"/>
        <v>0.98223036999999636</v>
      </c>
      <c r="BA232" s="1990">
        <f t="shared" si="431"/>
        <v>-0.35017764999998491</v>
      </c>
      <c r="BB232" s="1990">
        <f t="shared" si="431"/>
        <v>1.2491320463999855</v>
      </c>
      <c r="BC232" s="1990">
        <f t="shared" si="431"/>
        <v>3.8663646984000053</v>
      </c>
      <c r="BD232" s="2489">
        <f t="shared" si="431"/>
        <v>0.6644142703</v>
      </c>
      <c r="BE232" s="883"/>
      <c r="BN232" s="957"/>
      <c r="BO232" s="957"/>
      <c r="BU232" s="1990"/>
      <c r="BV232" s="1990"/>
      <c r="BW232" s="1990"/>
      <c r="BX232" s="1990"/>
      <c r="BY232" s="2489"/>
      <c r="BZ232" s="83"/>
    </row>
    <row r="233" spans="2:78" s="2824" customFormat="1" ht="11.25" customHeight="1">
      <c r="B233" s="2506"/>
      <c r="C233" s="2506"/>
      <c r="D233" s="2506"/>
      <c r="E233" s="2506"/>
      <c r="F233" s="2506"/>
      <c r="G233" s="2506"/>
      <c r="H233" s="2820"/>
      <c r="I233" s="2821" t="s">
        <v>688</v>
      </c>
      <c r="J233" s="2506"/>
      <c r="K233" s="2506"/>
      <c r="L233" s="2506"/>
      <c r="M233" s="2506"/>
      <c r="N233" s="2506"/>
      <c r="O233" s="2506"/>
      <c r="P233" s="2506"/>
      <c r="Q233" s="2506"/>
      <c r="R233" s="2506"/>
      <c r="S233" s="2506"/>
      <c r="T233" s="2511"/>
      <c r="U233" s="2822"/>
      <c r="V233" s="2506"/>
      <c r="W233" s="2506"/>
      <c r="X233" s="2511"/>
      <c r="Y233" s="2822"/>
      <c r="Z233" s="2506"/>
      <c r="AA233" s="2506"/>
      <c r="AB233" s="2511"/>
      <c r="AC233" s="2492">
        <v>0.18</v>
      </c>
      <c r="AD233" s="2492">
        <v>0.18</v>
      </c>
      <c r="AE233" s="2492">
        <v>0.18</v>
      </c>
      <c r="AF233" s="2509">
        <v>0.18</v>
      </c>
      <c r="AG233" s="2196">
        <v>0.18</v>
      </c>
      <c r="AH233" s="2196">
        <v>0.185</v>
      </c>
      <c r="AI233" s="2196">
        <v>0.19</v>
      </c>
      <c r="AJ233" s="2853">
        <v>0.19</v>
      </c>
      <c r="AK233" s="2854">
        <v>0.19500000000000001</v>
      </c>
      <c r="AL233" s="2196">
        <v>0.19</v>
      </c>
      <c r="AM233" s="2196">
        <v>0.192</v>
      </c>
      <c r="AN233" s="2853">
        <v>0.192</v>
      </c>
      <c r="AO233" s="2196">
        <v>0.19500000000000001</v>
      </c>
      <c r="AP233" s="2196">
        <v>0.19600000000000001</v>
      </c>
      <c r="AQ233" s="2196">
        <v>0.19800000000000001</v>
      </c>
      <c r="AR233" s="2853">
        <v>0.19700000000000001</v>
      </c>
      <c r="AS233" s="2880">
        <f t="shared" ref="AS233:BD233" si="432">+AS228/AS67</f>
        <v>0.19536792452830187</v>
      </c>
      <c r="AT233" s="2880">
        <f t="shared" si="432"/>
        <v>0.19652480874316938</v>
      </c>
      <c r="AU233" s="2880">
        <f t="shared" si="432"/>
        <v>0.19794236301369864</v>
      </c>
      <c r="AV233" s="2879">
        <f t="shared" si="432"/>
        <v>0.19477318481848183</v>
      </c>
      <c r="AW233" s="2826">
        <f t="shared" si="432"/>
        <v>0.19351032786885247</v>
      </c>
      <c r="AX233" s="2826">
        <f t="shared" si="432"/>
        <v>0.19382845087440378</v>
      </c>
      <c r="AY233" s="2826">
        <f t="shared" si="432"/>
        <v>0.19635644374295375</v>
      </c>
      <c r="AZ233" s="2827">
        <f t="shared" si="432"/>
        <v>0.19399664741253642</v>
      </c>
      <c r="BA233" s="2826">
        <f t="shared" si="432"/>
        <v>0.19230000872727276</v>
      </c>
      <c r="BB233" s="2826">
        <f t="shared" si="432"/>
        <v>0.19154860030573245</v>
      </c>
      <c r="BC233" s="2826">
        <f t="shared" si="432"/>
        <v>0.1955428157275792</v>
      </c>
      <c r="BD233" s="2827">
        <f t="shared" si="432"/>
        <v>0.19271489295367938</v>
      </c>
      <c r="BE233" s="2823"/>
      <c r="BF233" s="2506"/>
      <c r="BG233" s="2506"/>
      <c r="BH233" s="2506"/>
      <c r="BI233" s="2506"/>
      <c r="BJ233" s="2506"/>
      <c r="BK233" s="2506"/>
      <c r="BL233" s="2506"/>
      <c r="BM233" s="2506"/>
      <c r="BN233" s="2506"/>
      <c r="BO233" s="2506"/>
      <c r="BP233" s="2506">
        <f>BP228/BP$294</f>
        <v>0.19217916924984499</v>
      </c>
      <c r="BQ233" s="2506">
        <f>BQ228/BQ$294</f>
        <v>0.1965580611715915</v>
      </c>
      <c r="BR233" s="2506">
        <f>BR228/BR$294</f>
        <v>0.19615161304539447</v>
      </c>
      <c r="BS233" s="2506">
        <f>BS228/BS$294</f>
        <v>0.19444733903098158</v>
      </c>
      <c r="BT233" s="2506">
        <f>BT228/BT$294</f>
        <v>0.19305588590220957</v>
      </c>
      <c r="BU233" s="2826">
        <f>+BU228/BU67</f>
        <v>0.19623648389084758</v>
      </c>
      <c r="BV233" s="2826">
        <f>+BV228/BV67</f>
        <v>0.19816413409216282</v>
      </c>
      <c r="BW233" s="2826">
        <f>+BW228/BW67</f>
        <v>0.19846119529077527</v>
      </c>
      <c r="BX233" s="2826">
        <f>+BX228/BX67</f>
        <v>0.19858148980425908</v>
      </c>
      <c r="BY233" s="2827">
        <f>+BY228/BY67</f>
        <v>0.19814040483277556</v>
      </c>
      <c r="BZ233" s="2820"/>
    </row>
    <row r="234" spans="2:78" s="1763" customFormat="1" ht="11.25" customHeight="1">
      <c r="B234" s="2359"/>
      <c r="C234" s="2359"/>
      <c r="D234" s="2359"/>
      <c r="E234" s="2359"/>
      <c r="F234" s="2359"/>
      <c r="G234" s="2359"/>
      <c r="H234" s="294"/>
      <c r="I234" s="2766"/>
      <c r="J234" s="2359"/>
      <c r="K234" s="2359"/>
      <c r="L234" s="2359"/>
      <c r="M234" s="2359"/>
      <c r="N234" s="2359"/>
      <c r="O234" s="2359"/>
      <c r="P234" s="2359"/>
      <c r="Q234" s="2359"/>
      <c r="R234" s="2359"/>
      <c r="S234" s="2359"/>
      <c r="T234" s="2361"/>
      <c r="U234" s="2362"/>
      <c r="V234" s="2359"/>
      <c r="W234" s="2359"/>
      <c r="X234" s="2361"/>
      <c r="Y234" s="2362"/>
      <c r="Z234" s="2359"/>
      <c r="AA234" s="2359"/>
      <c r="AB234" s="2361"/>
      <c r="AC234" s="2359"/>
      <c r="AD234" s="2359"/>
      <c r="AE234" s="2359"/>
      <c r="AF234" s="2361"/>
      <c r="AG234" s="294"/>
      <c r="AH234" s="294"/>
      <c r="AI234" s="294"/>
      <c r="AJ234" s="2361"/>
      <c r="AK234" s="2507"/>
      <c r="AL234" s="2492"/>
      <c r="AM234" s="2492"/>
      <c r="AN234" s="2509"/>
      <c r="AO234" s="2492"/>
      <c r="AP234" s="2492"/>
      <c r="AQ234" s="2492"/>
      <c r="AR234" s="2509"/>
      <c r="AS234" s="2492"/>
      <c r="AT234" s="2492"/>
      <c r="AU234" s="2492"/>
      <c r="AV234" s="2509"/>
      <c r="AW234" s="2492"/>
      <c r="AX234" s="2492"/>
      <c r="AY234" s="2492"/>
      <c r="AZ234" s="2509"/>
      <c r="BA234" s="2492"/>
      <c r="BB234" s="2492"/>
      <c r="BC234" s="2492"/>
      <c r="BD234" s="2509"/>
      <c r="BE234" s="2505"/>
      <c r="BF234" s="2359"/>
      <c r="BG234" s="2359"/>
      <c r="BH234" s="2359"/>
      <c r="BI234" s="2359"/>
      <c r="BJ234" s="2359"/>
      <c r="BK234" s="2359"/>
      <c r="BL234" s="2359"/>
      <c r="BM234" s="2359"/>
      <c r="BN234" s="2359"/>
      <c r="BO234" s="2359"/>
      <c r="BP234" s="2359"/>
      <c r="BQ234" s="2359"/>
      <c r="BR234" s="2359"/>
      <c r="BS234" s="2359"/>
      <c r="BT234" s="2359"/>
      <c r="BU234" s="2492"/>
      <c r="BV234" s="2492"/>
      <c r="BW234" s="2492"/>
      <c r="BX234" s="2492"/>
      <c r="BY234" s="2509"/>
      <c r="BZ234" s="294"/>
    </row>
    <row r="235" spans="2:78" s="1763" customFormat="1" ht="11.25" customHeight="1">
      <c r="B235" s="2359"/>
      <c r="C235" s="2359"/>
      <c r="D235" s="2359"/>
      <c r="E235" s="2359"/>
      <c r="F235" s="2359"/>
      <c r="G235" s="2359"/>
      <c r="H235" s="294"/>
      <c r="I235" s="2831" t="s">
        <v>635</v>
      </c>
      <c r="J235" s="2832"/>
      <c r="K235" s="2832"/>
      <c r="L235" s="2832"/>
      <c r="M235" s="2359"/>
      <c r="N235" s="2359"/>
      <c r="O235" s="2359"/>
      <c r="P235" s="2359"/>
      <c r="Q235" s="2359"/>
      <c r="R235" s="2359"/>
      <c r="S235" s="2359"/>
      <c r="T235" s="2361"/>
      <c r="U235" s="2362"/>
      <c r="V235" s="2359"/>
      <c r="W235" s="2359"/>
      <c r="X235" s="2361"/>
      <c r="Y235" s="2362"/>
      <c r="Z235" s="2359"/>
      <c r="AA235" s="2359"/>
      <c r="AB235" s="2361"/>
      <c r="AC235" s="2359"/>
      <c r="AD235" s="2359"/>
      <c r="AE235" s="2359"/>
      <c r="AF235" s="2361"/>
      <c r="AG235" s="1989">
        <f t="shared" ref="AG235:AP235" si="433">AG$294*AG240</f>
        <v>1.5645</v>
      </c>
      <c r="AH235" s="1989">
        <f t="shared" si="433"/>
        <v>2.27</v>
      </c>
      <c r="AI235" s="1989">
        <f t="shared" si="433"/>
        <v>2.8037000000000001</v>
      </c>
      <c r="AJ235" s="2508">
        <f t="shared" si="433"/>
        <v>3.5558999999999998</v>
      </c>
      <c r="AK235" s="1989">
        <f t="shared" si="433"/>
        <v>4.5760000000000005</v>
      </c>
      <c r="AL235" s="1989">
        <f t="shared" si="433"/>
        <v>5.0143999999999993</v>
      </c>
      <c r="AM235" s="1989">
        <f t="shared" si="433"/>
        <v>6.2530000000000001</v>
      </c>
      <c r="AN235" s="2508">
        <f t="shared" si="433"/>
        <v>7.0600000000000005</v>
      </c>
      <c r="AO235" s="1989">
        <f t="shared" si="433"/>
        <v>7.7879999999999994</v>
      </c>
      <c r="AP235" s="1989">
        <f t="shared" si="433"/>
        <v>8.5835999999999988</v>
      </c>
      <c r="AQ235" s="1989">
        <f t="shared" ref="AQ235:AR235" si="434">AQ$294*AQ240</f>
        <v>9.5808</v>
      </c>
      <c r="AR235" s="2508">
        <f t="shared" si="434"/>
        <v>10.420000000000002</v>
      </c>
      <c r="AS235" s="1989">
        <f t="shared" ref="AS235:BD235" si="435">+AO235*(1+AS236)</f>
        <v>11.448359999999999</v>
      </c>
      <c r="AT235" s="1989">
        <f t="shared" si="435"/>
        <v>12.446219999999999</v>
      </c>
      <c r="AU235" s="1989">
        <f t="shared" si="435"/>
        <v>13.604735999999999</v>
      </c>
      <c r="AV235" s="2508">
        <f t="shared" si="435"/>
        <v>14.588000000000001</v>
      </c>
      <c r="AW235" s="1989">
        <f t="shared" si="435"/>
        <v>15.684253200000001</v>
      </c>
      <c r="AX235" s="1989">
        <f t="shared" si="435"/>
        <v>17.206899149999998</v>
      </c>
      <c r="AY235" s="1989">
        <f t="shared" si="435"/>
        <v>18.461626751999997</v>
      </c>
      <c r="AZ235" s="2508">
        <f t="shared" si="435"/>
        <v>19.547920000000001</v>
      </c>
      <c r="BA235" s="1989">
        <f t="shared" si="435"/>
        <v>20.326792147200003</v>
      </c>
      <c r="BB235" s="1989">
        <f t="shared" si="435"/>
        <v>22.472210289899998</v>
      </c>
      <c r="BC235" s="1989">
        <f t="shared" si="435"/>
        <v>23.404727314847996</v>
      </c>
      <c r="BD235" s="2508">
        <f t="shared" si="435"/>
        <v>24.5326396</v>
      </c>
      <c r="BE235" s="2505"/>
      <c r="BF235" s="2359"/>
      <c r="BG235" s="2359"/>
      <c r="BH235" s="2359"/>
      <c r="BI235" s="2359"/>
      <c r="BJ235" s="2359"/>
      <c r="BK235" s="2359"/>
      <c r="BL235" s="2359"/>
      <c r="BM235" s="2359"/>
      <c r="BN235" s="1936"/>
      <c r="BO235" s="1251">
        <f>SUM(AG235:AJ235)</f>
        <v>10.194100000000001</v>
      </c>
      <c r="BP235" s="1251">
        <f>SUM(AK235:AN235)</f>
        <v>22.903399999999998</v>
      </c>
      <c r="BQ235" s="1251">
        <f>SUM(AO235:AR235)</f>
        <v>36.372399999999999</v>
      </c>
      <c r="BR235" s="1251">
        <f>SUM(AS235:AV235)</f>
        <v>52.087315999999994</v>
      </c>
      <c r="BS235" s="1251">
        <f>SUM(AW235:AZ235)</f>
        <v>70.900699102000004</v>
      </c>
      <c r="BT235" s="1251">
        <f>SUM(BA235:BD235)</f>
        <v>90.736369351947999</v>
      </c>
      <c r="BU235" s="1989">
        <f>+BT235*(1+BU236)</f>
        <v>115.23518907697397</v>
      </c>
      <c r="BV235" s="1989">
        <f>+BU235*(1+BV236)</f>
        <v>141.73928256467798</v>
      </c>
      <c r="BW235" s="1989">
        <f>+BV235*(1+BW236)</f>
        <v>170.08713907761356</v>
      </c>
      <c r="BX235" s="1989">
        <f>+BW235*(1+BX236)</f>
        <v>197.30108133003171</v>
      </c>
      <c r="BY235" s="2508">
        <f>+BX235*(1+BY236)</f>
        <v>222.95022190293579</v>
      </c>
      <c r="BZ235" s="294"/>
    </row>
    <row r="236" spans="2:78" s="1763" customFormat="1" ht="11.25" customHeight="1">
      <c r="B236" s="2359"/>
      <c r="C236" s="2359"/>
      <c r="D236" s="2359"/>
      <c r="E236" s="2359"/>
      <c r="F236" s="2359"/>
      <c r="G236" s="2359"/>
      <c r="H236" s="294"/>
      <c r="I236" s="1127" t="s">
        <v>132</v>
      </c>
      <c r="J236" s="2359"/>
      <c r="K236" s="2359"/>
      <c r="L236" s="2359"/>
      <c r="M236" s="2359"/>
      <c r="N236" s="2359"/>
      <c r="O236" s="2359"/>
      <c r="P236" s="2359"/>
      <c r="Q236" s="2359"/>
      <c r="R236" s="2359"/>
      <c r="S236" s="2359"/>
      <c r="T236" s="2361"/>
      <c r="U236" s="2362"/>
      <c r="V236" s="2359"/>
      <c r="W236" s="2359"/>
      <c r="X236" s="2361"/>
      <c r="Y236" s="2362"/>
      <c r="Z236" s="2359"/>
      <c r="AA236" s="2359"/>
      <c r="AB236" s="2361"/>
      <c r="AC236" s="2359"/>
      <c r="AD236" s="2359"/>
      <c r="AE236" s="2359"/>
      <c r="AF236" s="2361"/>
      <c r="AG236" s="294">
        <f t="shared" ref="AG236:AR236" si="436">IF(ISERROR(AG235/AC235-1),0,AG235/AC235-1)</f>
        <v>0</v>
      </c>
      <c r="AH236" s="294">
        <f t="shared" si="436"/>
        <v>0</v>
      </c>
      <c r="AI236" s="294">
        <f t="shared" si="436"/>
        <v>0</v>
      </c>
      <c r="AJ236" s="2361">
        <f t="shared" si="436"/>
        <v>0</v>
      </c>
      <c r="AK236" s="294">
        <f t="shared" si="436"/>
        <v>1.9248961329498244</v>
      </c>
      <c r="AL236" s="294">
        <f t="shared" si="436"/>
        <v>1.2089867841409689</v>
      </c>
      <c r="AM236" s="294">
        <f t="shared" si="436"/>
        <v>1.230267146984342</v>
      </c>
      <c r="AN236" s="2505">
        <f t="shared" si="436"/>
        <v>0.98543266121094542</v>
      </c>
      <c r="AO236" s="294">
        <f t="shared" si="436"/>
        <v>0.70192307692307665</v>
      </c>
      <c r="AP236" s="294">
        <f t="shared" si="436"/>
        <v>0.71179004467134654</v>
      </c>
      <c r="AQ236" s="294">
        <f t="shared" si="436"/>
        <v>0.53219254757716294</v>
      </c>
      <c r="AR236" s="2505">
        <f t="shared" si="436"/>
        <v>0.47592067988668574</v>
      </c>
      <c r="AS236" s="2492">
        <v>0.47</v>
      </c>
      <c r="AT236" s="2492">
        <v>0.45</v>
      </c>
      <c r="AU236" s="2492">
        <v>0.42</v>
      </c>
      <c r="AV236" s="2509">
        <v>0.4</v>
      </c>
      <c r="AW236" s="2492">
        <v>0.37</v>
      </c>
      <c r="AX236" s="2492">
        <f t="shared" ref="AX236:AZ236" si="437">+AT236*0.85</f>
        <v>0.38250000000000001</v>
      </c>
      <c r="AY236" s="2492">
        <f t="shared" si="437"/>
        <v>0.35699999999999998</v>
      </c>
      <c r="AZ236" s="2509">
        <f t="shared" si="437"/>
        <v>0.34</v>
      </c>
      <c r="BA236" s="2492">
        <f>+AW236*0.8</f>
        <v>0.29599999999999999</v>
      </c>
      <c r="BB236" s="2492">
        <f>+AX236*0.8</f>
        <v>0.30600000000000005</v>
      </c>
      <c r="BC236" s="2492">
        <f t="shared" ref="BC236:BD236" si="438">+AY236*0.75</f>
        <v>0.26774999999999999</v>
      </c>
      <c r="BD236" s="2509">
        <f t="shared" si="438"/>
        <v>0.255</v>
      </c>
      <c r="BE236" s="2505"/>
      <c r="BF236" s="2359"/>
      <c r="BG236" s="2359"/>
      <c r="BH236" s="2359"/>
      <c r="BI236" s="2359"/>
      <c r="BJ236" s="2359"/>
      <c r="BK236" s="2359"/>
      <c r="BL236" s="2359"/>
      <c r="BM236" s="2359"/>
      <c r="BN236" s="2359"/>
      <c r="BO236" s="2359"/>
      <c r="BP236" s="2359">
        <f>BP235/BO235-1</f>
        <v>1.2467309522174586</v>
      </c>
      <c r="BQ236" s="2359">
        <f>BQ235/BP235-1</f>
        <v>0.58807862588087367</v>
      </c>
      <c r="BR236" s="2359">
        <f>BR235/BQ235-1</f>
        <v>0.43205606448845812</v>
      </c>
      <c r="BS236" s="2359">
        <f>BS235/BR235-1</f>
        <v>0.36118933642117423</v>
      </c>
      <c r="BT236" s="2359">
        <f>BT235/BS235-1</f>
        <v>0.27976692051247287</v>
      </c>
      <c r="BU236" s="2492">
        <v>0.27</v>
      </c>
      <c r="BV236" s="2492">
        <v>0.23</v>
      </c>
      <c r="BW236" s="2492">
        <v>0.2</v>
      </c>
      <c r="BX236" s="2492">
        <v>0.16</v>
      </c>
      <c r="BY236" s="2509">
        <v>0.13</v>
      </c>
      <c r="BZ236" s="294"/>
    </row>
    <row r="237" spans="2:78" s="1763" customFormat="1" ht="11.25" customHeight="1">
      <c r="B237" s="2359"/>
      <c r="C237" s="2359"/>
      <c r="D237" s="2359"/>
      <c r="E237" s="2359"/>
      <c r="F237" s="2359"/>
      <c r="G237" s="2359"/>
      <c r="H237" s="294"/>
      <c r="I237" s="1127" t="s">
        <v>146</v>
      </c>
      <c r="J237" s="2359"/>
      <c r="K237" s="2359"/>
      <c r="L237" s="2359"/>
      <c r="M237" s="2359"/>
      <c r="N237" s="2359"/>
      <c r="O237" s="2359"/>
      <c r="P237" s="2359"/>
      <c r="Q237" s="2359"/>
      <c r="R237" s="2359"/>
      <c r="S237" s="2359"/>
      <c r="T237" s="2361"/>
      <c r="U237" s="2362"/>
      <c r="V237" s="2359"/>
      <c r="W237" s="2359"/>
      <c r="X237" s="2361"/>
      <c r="Y237" s="2362"/>
      <c r="Z237" s="2359"/>
      <c r="AA237" s="2359"/>
      <c r="AB237" s="2361"/>
      <c r="AC237" s="2359"/>
      <c r="AD237" s="2359"/>
      <c r="AE237" s="2359"/>
      <c r="AF237" s="2361"/>
      <c r="AG237" s="294">
        <f t="shared" ref="AG237:AL237" si="439">IF(ISERROR(AG235/AF235-1),0,AG235/AF235-1)</f>
        <v>0</v>
      </c>
      <c r="AH237" s="294">
        <f t="shared" si="439"/>
        <v>0.45094279322467234</v>
      </c>
      <c r="AI237" s="294">
        <f t="shared" si="439"/>
        <v>0.23511013215859022</v>
      </c>
      <c r="AJ237" s="2361">
        <f t="shared" si="439"/>
        <v>0.2682883332738879</v>
      </c>
      <c r="AK237" s="2359">
        <f t="shared" si="439"/>
        <v>0.28687533395202358</v>
      </c>
      <c r="AL237" s="2359">
        <f t="shared" si="439"/>
        <v>9.5804195804195524E-2</v>
      </c>
      <c r="AM237" s="2359">
        <f t="shared" ref="AM237:AR237" si="440">IF(ISERROR(AM235/AL235-1),0,AM235/AL235-1)</f>
        <v>0.24700861518825801</v>
      </c>
      <c r="AN237" s="2361">
        <f t="shared" si="440"/>
        <v>0.12905805213497534</v>
      </c>
      <c r="AO237" s="2359">
        <f t="shared" si="440"/>
        <v>0.1031161473087816</v>
      </c>
      <c r="AP237" s="2359">
        <f t="shared" si="440"/>
        <v>0.10215716486902915</v>
      </c>
      <c r="AQ237" s="2359">
        <f t="shared" si="440"/>
        <v>0.11617503145533359</v>
      </c>
      <c r="AR237" s="2361">
        <f t="shared" si="440"/>
        <v>8.759185036740158E-2</v>
      </c>
      <c r="AS237" s="2359">
        <f t="shared" ref="AS237:BD237" si="441">IF(ISERROR(AS235/AR235-1),0,AS235/AR235-1)</f>
        <v>9.8690978886756042E-2</v>
      </c>
      <c r="AT237" s="2359">
        <f t="shared" si="441"/>
        <v>8.7161829292579762E-2</v>
      </c>
      <c r="AU237" s="2359">
        <f t="shared" si="441"/>
        <v>9.3081754942464512E-2</v>
      </c>
      <c r="AV237" s="2361">
        <f t="shared" si="441"/>
        <v>7.2273655291804406E-2</v>
      </c>
      <c r="AW237" s="2359">
        <f t="shared" si="441"/>
        <v>7.5147600767754286E-2</v>
      </c>
      <c r="AX237" s="2359">
        <f t="shared" si="441"/>
        <v>9.7081189048898953E-2</v>
      </c>
      <c r="AY237" s="2359">
        <f t="shared" si="441"/>
        <v>7.2920029986925261E-2</v>
      </c>
      <c r="AZ237" s="2361">
        <f t="shared" si="441"/>
        <v>5.8840602867367808E-2</v>
      </c>
      <c r="BA237" s="2359">
        <f t="shared" si="441"/>
        <v>3.984424671269382E-2</v>
      </c>
      <c r="BB237" s="2359">
        <f t="shared" si="441"/>
        <v>0.10554632168044886</v>
      </c>
      <c r="BC237" s="2359">
        <f t="shared" si="441"/>
        <v>4.149645330468954E-2</v>
      </c>
      <c r="BD237" s="2361">
        <f t="shared" si="441"/>
        <v>4.8191643934960782E-2</v>
      </c>
      <c r="BE237" s="2505"/>
      <c r="BF237" s="2359"/>
      <c r="BG237" s="2359"/>
      <c r="BH237" s="2359"/>
      <c r="BI237" s="2359"/>
      <c r="BJ237" s="2359"/>
      <c r="BK237" s="2359"/>
      <c r="BL237" s="2359"/>
      <c r="BM237" s="2359"/>
      <c r="BN237" s="2359"/>
      <c r="BO237" s="2359"/>
      <c r="BP237" s="2359"/>
      <c r="BQ237" s="2359"/>
      <c r="BR237" s="2359"/>
      <c r="BS237" s="2359"/>
      <c r="BT237" s="2359"/>
      <c r="BU237" s="2359"/>
      <c r="BV237" s="2359"/>
      <c r="BW237" s="2359"/>
      <c r="BX237" s="2359"/>
      <c r="BY237" s="2361"/>
      <c r="BZ237" s="294"/>
    </row>
    <row r="238" spans="2:78" s="1763" customFormat="1" ht="11.25" customHeight="1">
      <c r="B238" s="2359"/>
      <c r="C238" s="2359"/>
      <c r="D238" s="2359"/>
      <c r="E238" s="2359"/>
      <c r="F238" s="2359"/>
      <c r="G238" s="2359"/>
      <c r="H238" s="294"/>
      <c r="I238" s="1127" t="s">
        <v>621</v>
      </c>
      <c r="J238" s="2359"/>
      <c r="K238" s="2359"/>
      <c r="L238" s="2359"/>
      <c r="M238" s="2359"/>
      <c r="N238" s="2359"/>
      <c r="O238" s="2359"/>
      <c r="P238" s="2359"/>
      <c r="Q238" s="2359"/>
      <c r="R238" s="2359"/>
      <c r="S238" s="2359"/>
      <c r="T238" s="2361"/>
      <c r="U238" s="2362"/>
      <c r="V238" s="2359"/>
      <c r="W238" s="2359"/>
      <c r="X238" s="2361"/>
      <c r="Y238" s="2362"/>
      <c r="Z238" s="2359"/>
      <c r="AA238" s="2359"/>
      <c r="AB238" s="2361"/>
      <c r="AC238" s="2359"/>
      <c r="AD238" s="2359"/>
      <c r="AE238" s="2359"/>
      <c r="AF238" s="2361"/>
      <c r="AG238" s="2666">
        <f t="shared" ref="AG238:BD238" si="442">AG235-AC235</f>
        <v>1.5645</v>
      </c>
      <c r="AH238" s="2666">
        <f t="shared" si="442"/>
        <v>2.27</v>
      </c>
      <c r="AI238" s="2666">
        <f t="shared" si="442"/>
        <v>2.8037000000000001</v>
      </c>
      <c r="AJ238" s="2855">
        <f t="shared" si="442"/>
        <v>3.5558999999999998</v>
      </c>
      <c r="AK238" s="1990">
        <f t="shared" si="442"/>
        <v>3.0115000000000007</v>
      </c>
      <c r="AL238" s="1990">
        <f t="shared" si="442"/>
        <v>2.7443999999999993</v>
      </c>
      <c r="AM238" s="1990">
        <f t="shared" si="442"/>
        <v>3.4493</v>
      </c>
      <c r="AN238" s="2489">
        <f t="shared" si="442"/>
        <v>3.5041000000000007</v>
      </c>
      <c r="AO238" s="1990">
        <f t="shared" si="442"/>
        <v>3.2119999999999989</v>
      </c>
      <c r="AP238" s="1990">
        <f t="shared" si="442"/>
        <v>3.5691999999999995</v>
      </c>
      <c r="AQ238" s="1990">
        <f t="shared" si="442"/>
        <v>3.3277999999999999</v>
      </c>
      <c r="AR238" s="2489">
        <f t="shared" si="442"/>
        <v>3.3600000000000012</v>
      </c>
      <c r="AS238" s="1990">
        <f t="shared" si="442"/>
        <v>3.6603599999999998</v>
      </c>
      <c r="AT238" s="1990">
        <f t="shared" si="442"/>
        <v>3.8626199999999997</v>
      </c>
      <c r="AU238" s="1990">
        <f t="shared" si="442"/>
        <v>4.0239359999999991</v>
      </c>
      <c r="AV238" s="2489">
        <f t="shared" si="442"/>
        <v>4.1679999999999993</v>
      </c>
      <c r="AW238" s="1990">
        <f t="shared" si="442"/>
        <v>4.2358932000000014</v>
      </c>
      <c r="AX238" s="1990">
        <f t="shared" si="442"/>
        <v>4.7606791499999996</v>
      </c>
      <c r="AY238" s="1990">
        <f t="shared" si="442"/>
        <v>4.8568907519999982</v>
      </c>
      <c r="AZ238" s="2489">
        <f t="shared" si="442"/>
        <v>4.9599200000000003</v>
      </c>
      <c r="BA238" s="1990">
        <f t="shared" si="442"/>
        <v>4.642538947200002</v>
      </c>
      <c r="BB238" s="1990">
        <f t="shared" si="442"/>
        <v>5.2653111398999997</v>
      </c>
      <c r="BC238" s="1990">
        <f t="shared" si="442"/>
        <v>4.9431005628479987</v>
      </c>
      <c r="BD238" s="2489">
        <f t="shared" si="442"/>
        <v>4.9847195999999983</v>
      </c>
      <c r="BE238" s="2505"/>
      <c r="BF238" s="2359"/>
      <c r="BG238" s="2359"/>
      <c r="BH238" s="2359"/>
      <c r="BI238" s="2359"/>
      <c r="BJ238" s="2359"/>
      <c r="BK238" s="2359"/>
      <c r="BL238" s="2359"/>
      <c r="BM238" s="2359"/>
      <c r="BN238" s="2359"/>
      <c r="BO238" s="2359"/>
      <c r="BP238" s="957">
        <f t="shared" ref="BP238:BY238" si="443">BP235-BO235</f>
        <v>12.709299999999997</v>
      </c>
      <c r="BQ238" s="957">
        <f t="shared" si="443"/>
        <v>13.469000000000001</v>
      </c>
      <c r="BR238" s="957">
        <f t="shared" si="443"/>
        <v>15.714915999999995</v>
      </c>
      <c r="BS238" s="957">
        <f t="shared" si="443"/>
        <v>18.81338310200001</v>
      </c>
      <c r="BT238" s="957">
        <f t="shared" si="443"/>
        <v>19.835670249947995</v>
      </c>
      <c r="BU238" s="1990">
        <f t="shared" si="443"/>
        <v>24.498819725025967</v>
      </c>
      <c r="BV238" s="1990">
        <f t="shared" si="443"/>
        <v>26.504093487704012</v>
      </c>
      <c r="BW238" s="1990">
        <f t="shared" si="443"/>
        <v>28.347856512935579</v>
      </c>
      <c r="BX238" s="1990">
        <f t="shared" si="443"/>
        <v>27.21394225241815</v>
      </c>
      <c r="BY238" s="2489">
        <f t="shared" si="443"/>
        <v>25.649140572904088</v>
      </c>
      <c r="BZ238" s="294"/>
    </row>
    <row r="239" spans="2:78" s="1763" customFormat="1" ht="11.25" customHeight="1">
      <c r="B239" s="2359"/>
      <c r="C239" s="2359"/>
      <c r="D239" s="2359"/>
      <c r="E239" s="2359"/>
      <c r="F239" s="2359"/>
      <c r="G239" s="2359"/>
      <c r="H239" s="294"/>
      <c r="I239" s="1127" t="s">
        <v>620</v>
      </c>
      <c r="J239" s="2359"/>
      <c r="K239" s="2359"/>
      <c r="L239" s="2359"/>
      <c r="M239" s="2359"/>
      <c r="N239" s="2359"/>
      <c r="O239" s="2359"/>
      <c r="P239" s="2359"/>
      <c r="Q239" s="2359"/>
      <c r="R239" s="2359"/>
      <c r="S239" s="2359"/>
      <c r="T239" s="2361"/>
      <c r="U239" s="2362"/>
      <c r="V239" s="2359"/>
      <c r="W239" s="2359"/>
      <c r="X239" s="2361"/>
      <c r="Y239" s="2362"/>
      <c r="Z239" s="2359"/>
      <c r="AA239" s="2359"/>
      <c r="AB239" s="2361"/>
      <c r="AC239" s="2359"/>
      <c r="AD239" s="2359"/>
      <c r="AE239" s="2359"/>
      <c r="AF239" s="2361"/>
      <c r="AG239" s="2856">
        <f t="shared" ref="AG239:AR239" si="444">AG235-AF235</f>
        <v>1.5645</v>
      </c>
      <c r="AH239" s="2856">
        <f t="shared" si="444"/>
        <v>0.70550000000000002</v>
      </c>
      <c r="AI239" s="2856">
        <f t="shared" si="444"/>
        <v>0.53370000000000006</v>
      </c>
      <c r="AJ239" s="2855">
        <f t="shared" si="444"/>
        <v>0.75219999999999976</v>
      </c>
      <c r="AK239" s="1990">
        <f t="shared" si="444"/>
        <v>1.0201000000000007</v>
      </c>
      <c r="AL239" s="1990">
        <f t="shared" si="444"/>
        <v>0.43839999999999879</v>
      </c>
      <c r="AM239" s="1990">
        <f t="shared" si="444"/>
        <v>1.2386000000000008</v>
      </c>
      <c r="AN239" s="2489">
        <f t="shared" si="444"/>
        <v>0.80700000000000038</v>
      </c>
      <c r="AO239" s="1990">
        <f t="shared" si="444"/>
        <v>0.72799999999999887</v>
      </c>
      <c r="AP239" s="1990">
        <f t="shared" si="444"/>
        <v>0.79559999999999942</v>
      </c>
      <c r="AQ239" s="1990">
        <f t="shared" si="444"/>
        <v>0.9972000000000012</v>
      </c>
      <c r="AR239" s="2489">
        <f t="shared" si="444"/>
        <v>0.83920000000000172</v>
      </c>
      <c r="AS239" s="1990">
        <f t="shared" ref="AS239:BD239" si="445">AS235-AR235</f>
        <v>1.0283599999999975</v>
      </c>
      <c r="AT239" s="1990">
        <f t="shared" si="445"/>
        <v>0.9978599999999993</v>
      </c>
      <c r="AU239" s="1990">
        <f t="shared" si="445"/>
        <v>1.1585160000000005</v>
      </c>
      <c r="AV239" s="2489">
        <f t="shared" si="445"/>
        <v>0.98326400000000191</v>
      </c>
      <c r="AW239" s="1990">
        <f t="shared" si="445"/>
        <v>1.0962531999999996</v>
      </c>
      <c r="AX239" s="1990">
        <f t="shared" si="445"/>
        <v>1.5226459499999976</v>
      </c>
      <c r="AY239" s="1990">
        <f t="shared" si="445"/>
        <v>1.2547276019999991</v>
      </c>
      <c r="AZ239" s="2489">
        <f t="shared" si="445"/>
        <v>1.086293248000004</v>
      </c>
      <c r="BA239" s="1990">
        <f t="shared" si="445"/>
        <v>0.77887214720000131</v>
      </c>
      <c r="BB239" s="1990">
        <f t="shared" si="445"/>
        <v>2.1454181426999952</v>
      </c>
      <c r="BC239" s="1990">
        <f t="shared" si="445"/>
        <v>0.93251702494799815</v>
      </c>
      <c r="BD239" s="2489">
        <f t="shared" si="445"/>
        <v>1.1279122851520036</v>
      </c>
      <c r="BE239" s="2505"/>
      <c r="BF239" s="2359"/>
      <c r="BG239" s="2359"/>
      <c r="BH239" s="2359"/>
      <c r="BI239" s="2359"/>
      <c r="BJ239" s="2359"/>
      <c r="BK239" s="2359"/>
      <c r="BL239" s="2359"/>
      <c r="BM239" s="2359"/>
      <c r="BN239" s="2359"/>
      <c r="BO239" s="2359"/>
      <c r="BP239" s="2359"/>
      <c r="BQ239" s="2359"/>
      <c r="BR239" s="2359"/>
      <c r="BS239" s="2359"/>
      <c r="BT239" s="2359"/>
      <c r="BU239" s="1990"/>
      <c r="BV239" s="1990"/>
      <c r="BW239" s="1990"/>
      <c r="BX239" s="1990"/>
      <c r="BY239" s="2489"/>
      <c r="BZ239" s="294"/>
    </row>
    <row r="240" spans="2:78" s="2824" customFormat="1" ht="11.25" customHeight="1">
      <c r="B240" s="2506"/>
      <c r="C240" s="2506"/>
      <c r="D240" s="2506"/>
      <c r="E240" s="2506"/>
      <c r="F240" s="2506"/>
      <c r="G240" s="2506"/>
      <c r="H240" s="2820"/>
      <c r="I240" s="2821" t="s">
        <v>688</v>
      </c>
      <c r="J240" s="2506"/>
      <c r="K240" s="2506"/>
      <c r="L240" s="2506"/>
      <c r="M240" s="2506"/>
      <c r="N240" s="2506"/>
      <c r="O240" s="2506"/>
      <c r="P240" s="2506"/>
      <c r="Q240" s="2506"/>
      <c r="R240" s="2506"/>
      <c r="S240" s="2506"/>
      <c r="T240" s="2511"/>
      <c r="U240" s="2822"/>
      <c r="V240" s="2506"/>
      <c r="W240" s="2506"/>
      <c r="X240" s="2511"/>
      <c r="Y240" s="2822"/>
      <c r="Z240" s="2506"/>
      <c r="AA240" s="2506"/>
      <c r="AB240" s="2511"/>
      <c r="AC240" s="2506"/>
      <c r="AD240" s="2506"/>
      <c r="AE240" s="2506"/>
      <c r="AF240" s="2511"/>
      <c r="AG240" s="2854">
        <v>1.4999999999999999E-2</v>
      </c>
      <c r="AH240" s="2854">
        <v>0.02</v>
      </c>
      <c r="AI240" s="2854">
        <v>2.3E-2</v>
      </c>
      <c r="AJ240" s="2853">
        <v>2.7E-2</v>
      </c>
      <c r="AK240" s="2196">
        <v>3.2000000000000001E-2</v>
      </c>
      <c r="AL240" s="2196">
        <v>3.2000000000000001E-2</v>
      </c>
      <c r="AM240" s="2196">
        <v>3.6999999999999998E-2</v>
      </c>
      <c r="AN240" s="2853">
        <v>0.04</v>
      </c>
      <c r="AO240" s="2196">
        <v>4.3999999999999997E-2</v>
      </c>
      <c r="AP240" s="2196">
        <v>4.5999999999999999E-2</v>
      </c>
      <c r="AQ240" s="2196">
        <v>4.8000000000000001E-2</v>
      </c>
      <c r="AR240" s="2853">
        <v>0.05</v>
      </c>
      <c r="AS240" s="2880">
        <f t="shared" ref="AS240:BD240" si="446">+AS235/AS67</f>
        <v>5.4001698113207541E-2</v>
      </c>
      <c r="AT240" s="2880">
        <f t="shared" si="446"/>
        <v>5.6676775956284148E-2</v>
      </c>
      <c r="AU240" s="2880">
        <f t="shared" si="446"/>
        <v>5.823945205479452E-2</v>
      </c>
      <c r="AV240" s="2879">
        <f t="shared" si="446"/>
        <v>6.0181518151815182E-2</v>
      </c>
      <c r="AW240" s="2880">
        <f t="shared" si="446"/>
        <v>6.4279726229508199E-2</v>
      </c>
      <c r="AX240" s="2880">
        <f t="shared" si="446"/>
        <v>6.8389901232114456E-2</v>
      </c>
      <c r="AY240" s="2880">
        <f t="shared" si="446"/>
        <v>6.9378529695603139E-2</v>
      </c>
      <c r="AZ240" s="2879">
        <f t="shared" si="446"/>
        <v>7.1238775510204091E-2</v>
      </c>
      <c r="BA240" s="2880">
        <f t="shared" si="446"/>
        <v>7.3915607808000008E-2</v>
      </c>
      <c r="BB240" s="2880">
        <f t="shared" si="446"/>
        <v>7.9519498548832251E-2</v>
      </c>
      <c r="BC240" s="2880">
        <f t="shared" si="446"/>
        <v>7.8910071863951436E-2</v>
      </c>
      <c r="BD240" s="2879">
        <f t="shared" si="446"/>
        <v>8.0593428383705659E-2</v>
      </c>
      <c r="BE240" s="2823"/>
      <c r="BF240" s="2506"/>
      <c r="BG240" s="2506"/>
      <c r="BH240" s="2506"/>
      <c r="BI240" s="2506"/>
      <c r="BJ240" s="2506"/>
      <c r="BK240" s="2506"/>
      <c r="BL240" s="2506"/>
      <c r="BM240" s="2506"/>
      <c r="BN240" s="2506"/>
      <c r="BO240" s="2506"/>
      <c r="BP240" s="2506">
        <f>BP235/BP$294</f>
        <v>3.5498140111593302E-2</v>
      </c>
      <c r="BQ240" s="2506">
        <f>BQ235/BQ$294</f>
        <v>4.7138932089165371E-2</v>
      </c>
      <c r="BR240" s="2506">
        <f>BR235/BR$294</f>
        <v>5.7390167474658429E-2</v>
      </c>
      <c r="BS240" s="2506">
        <f>BS235/BS$294</f>
        <v>6.8430362997780145E-2</v>
      </c>
      <c r="BT240" s="2506">
        <f>BT235/BT$294</f>
        <v>7.8315526801267049E-2</v>
      </c>
      <c r="BU240" s="2826">
        <f>+BU235/BU67</f>
        <v>9.0267263886083332E-2</v>
      </c>
      <c r="BV240" s="2826">
        <f>+BV235/BV67</f>
        <v>0.10192670974016826</v>
      </c>
      <c r="BW240" s="2826">
        <f>+BW235/BW67</f>
        <v>0.11342167183089728</v>
      </c>
      <c r="BX240" s="2826">
        <f>+BX235/BX67</f>
        <v>0.12303634405714126</v>
      </c>
      <c r="BY240" s="2827">
        <f>+BY235/BY67</f>
        <v>0.13087005277232672</v>
      </c>
      <c r="BZ240" s="2820"/>
    </row>
    <row r="241" spans="2:78" s="1763" customFormat="1" ht="11.25" customHeight="1">
      <c r="B241" s="2359"/>
      <c r="C241" s="2359"/>
      <c r="D241" s="2359"/>
      <c r="E241" s="2359"/>
      <c r="F241" s="2359"/>
      <c r="G241" s="2359"/>
      <c r="H241" s="294"/>
      <c r="I241" s="2766"/>
      <c r="J241" s="2359"/>
      <c r="K241" s="2359"/>
      <c r="L241" s="2359"/>
      <c r="M241" s="2359"/>
      <c r="N241" s="2359"/>
      <c r="O241" s="2359"/>
      <c r="P241" s="2359"/>
      <c r="Q241" s="2359"/>
      <c r="R241" s="2359"/>
      <c r="S241" s="2359"/>
      <c r="T241" s="2361"/>
      <c r="U241" s="2362"/>
      <c r="V241" s="2359"/>
      <c r="W241" s="2359"/>
      <c r="X241" s="2361"/>
      <c r="Y241" s="2362"/>
      <c r="Z241" s="2359"/>
      <c r="AA241" s="2359"/>
      <c r="AB241" s="2361"/>
      <c r="AC241" s="2359"/>
      <c r="AD241" s="2359"/>
      <c r="AE241" s="2359"/>
      <c r="AF241" s="2361"/>
      <c r="AG241" s="2359"/>
      <c r="AH241" s="2359"/>
      <c r="AI241" s="2359"/>
      <c r="AJ241" s="2361"/>
      <c r="AK241" s="2507"/>
      <c r="AL241" s="2492"/>
      <c r="AM241" s="2492"/>
      <c r="AN241" s="2509"/>
      <c r="AO241" s="2492"/>
      <c r="AP241" s="2492"/>
      <c r="AQ241" s="2492"/>
      <c r="AR241" s="2509"/>
      <c r="AS241" s="2492"/>
      <c r="AT241" s="2492"/>
      <c r="AU241" s="2492"/>
      <c r="AV241" s="2509"/>
      <c r="AW241" s="2492"/>
      <c r="AX241" s="2492"/>
      <c r="AY241" s="2492"/>
      <c r="AZ241" s="2509"/>
      <c r="BA241" s="2492"/>
      <c r="BB241" s="2492"/>
      <c r="BC241" s="2492"/>
      <c r="BD241" s="2509"/>
      <c r="BE241" s="2505"/>
      <c r="BF241" s="2359"/>
      <c r="BG241" s="2359"/>
      <c r="BH241" s="2359"/>
      <c r="BI241" s="2359"/>
      <c r="BJ241" s="2359"/>
      <c r="BK241" s="2359"/>
      <c r="BL241" s="2359"/>
      <c r="BM241" s="2359"/>
      <c r="BN241" s="2359"/>
      <c r="BO241" s="2359"/>
      <c r="BP241" s="2359"/>
      <c r="BQ241" s="2359"/>
      <c r="BR241" s="2359"/>
      <c r="BS241" s="2359"/>
      <c r="BT241" s="2359"/>
      <c r="BU241" s="2492"/>
      <c r="BV241" s="2492"/>
      <c r="BW241" s="2492"/>
      <c r="BX241" s="2492"/>
      <c r="BY241" s="2509"/>
      <c r="BZ241" s="294"/>
    </row>
    <row r="242" spans="2:78" s="1763" customFormat="1" ht="11.25" customHeight="1">
      <c r="B242" s="2359"/>
      <c r="C242" s="2359"/>
      <c r="D242" s="2359"/>
      <c r="E242" s="2359"/>
      <c r="F242" s="2359"/>
      <c r="G242" s="2359"/>
      <c r="H242" s="294"/>
      <c r="I242" s="2831" t="s">
        <v>699</v>
      </c>
      <c r="J242" s="2832"/>
      <c r="K242" s="2832"/>
      <c r="L242" s="2832"/>
      <c r="M242" s="2359"/>
      <c r="N242" s="2359"/>
      <c r="O242" s="2359"/>
      <c r="P242" s="2359"/>
      <c r="Q242" s="2359"/>
      <c r="R242" s="2359"/>
      <c r="S242" s="2359"/>
      <c r="T242" s="2361"/>
      <c r="U242" s="2362"/>
      <c r="V242" s="2359"/>
      <c r="W242" s="2359"/>
      <c r="X242" s="2361"/>
      <c r="Y242" s="2362"/>
      <c r="Z242" s="2359"/>
      <c r="AA242" s="2359"/>
      <c r="AB242" s="2361"/>
      <c r="AC242" s="1989">
        <f t="shared" ref="AC242:BD242" si="447">AC$294*AC247</f>
        <v>53.464000000000006</v>
      </c>
      <c r="AD242" s="1989">
        <f t="shared" si="447"/>
        <v>62.061700000000009</v>
      </c>
      <c r="AE242" s="1989">
        <f t="shared" si="447"/>
        <v>69.808240000000012</v>
      </c>
      <c r="AF242" s="2508">
        <f t="shared" si="447"/>
        <v>76.341999999999999</v>
      </c>
      <c r="AG242" s="1989">
        <f t="shared" si="447"/>
        <v>83.961499999999987</v>
      </c>
      <c r="AH242" s="1989">
        <f t="shared" si="447"/>
        <v>90.232499999999987</v>
      </c>
      <c r="AI242" s="1989">
        <f t="shared" si="447"/>
        <v>95.935299999999998</v>
      </c>
      <c r="AJ242" s="2508">
        <f t="shared" si="447"/>
        <v>103.12109999999998</v>
      </c>
      <c r="AK242" s="1989">
        <f>AK$294*AK247</f>
        <v>110.53899999999999</v>
      </c>
      <c r="AL242" s="1989">
        <f t="shared" si="447"/>
        <v>121.9126</v>
      </c>
      <c r="AM242" s="1989">
        <f t="shared" si="447"/>
        <v>130.29899999999998</v>
      </c>
      <c r="AN242" s="2508">
        <f t="shared" si="447"/>
        <v>135.55199999999999</v>
      </c>
      <c r="AO242" s="1989">
        <f t="shared" si="447"/>
        <v>134.69699999999997</v>
      </c>
      <c r="AP242" s="1989">
        <f t="shared" si="447"/>
        <v>141.44280000000001</v>
      </c>
      <c r="AQ242" s="1989">
        <f t="shared" ref="AQ242:AR242" si="448">AQ$294*AQ247</f>
        <v>150.4984</v>
      </c>
      <c r="AR242" s="2508">
        <f t="shared" si="448"/>
        <v>156.92519999999999</v>
      </c>
      <c r="AS242" s="1989">
        <f t="shared" si="447"/>
        <v>159.13364000000001</v>
      </c>
      <c r="AT242" s="1989">
        <f t="shared" si="447"/>
        <v>163.99693199999999</v>
      </c>
      <c r="AU242" s="1989">
        <f t="shared" si="447"/>
        <v>173.75592800000001</v>
      </c>
      <c r="AV242" s="2508">
        <f t="shared" si="447"/>
        <v>180.59898000000001</v>
      </c>
      <c r="AW242" s="1989">
        <f t="shared" si="447"/>
        <v>181.0992268</v>
      </c>
      <c r="AX242" s="1989">
        <f t="shared" si="447"/>
        <v>185.62586261000001</v>
      </c>
      <c r="AY242" s="1989">
        <f t="shared" si="447"/>
        <v>195.38792356800005</v>
      </c>
      <c r="AZ242" s="2508">
        <f t="shared" si="447"/>
        <v>201.61939995</v>
      </c>
      <c r="BA242" s="1989">
        <f t="shared" si="447"/>
        <v>201.79070545280001</v>
      </c>
      <c r="BB242" s="1989">
        <f t="shared" si="447"/>
        <v>205.99615526370005</v>
      </c>
      <c r="BC242" s="1989">
        <f t="shared" si="447"/>
        <v>215.19727354035203</v>
      </c>
      <c r="BD242" s="2508">
        <f t="shared" si="447"/>
        <v>221.20494698489998</v>
      </c>
      <c r="BE242" s="2505"/>
      <c r="BF242" s="2359"/>
      <c r="BG242" s="2359"/>
      <c r="BH242" s="2359"/>
      <c r="BI242" s="2359"/>
      <c r="BJ242" s="2359"/>
      <c r="BK242" s="2359"/>
      <c r="BL242" s="2359"/>
      <c r="BM242" s="2359"/>
      <c r="BN242" s="2359"/>
      <c r="BO242" s="1251">
        <f>SUM(AG242:AJ242)</f>
        <v>373.2503999999999</v>
      </c>
      <c r="BP242" s="1251">
        <f>SUM(AK242:AN242)</f>
        <v>498.30259999999998</v>
      </c>
      <c r="BQ242" s="1251">
        <f>SUM(AO242:AR242)</f>
        <v>583.5634</v>
      </c>
      <c r="BR242" s="1251">
        <f>SUM(AS242:AV242)</f>
        <v>677.48548000000005</v>
      </c>
      <c r="BS242" s="1251">
        <f>SUM(AW242:AZ242)</f>
        <v>763.73241292800003</v>
      </c>
      <c r="BT242" s="1251">
        <f>SUM(BA242:BD242)</f>
        <v>844.18908124175209</v>
      </c>
      <c r="BU242" s="1989">
        <f>BU$294*BU247</f>
        <v>910.84931558796995</v>
      </c>
      <c r="BV242" s="1989">
        <f>BV$294*BV247</f>
        <v>973.29367256676028</v>
      </c>
      <c r="BW242" s="1989">
        <f>BW$294*BW247</f>
        <v>1031.9004524643399</v>
      </c>
      <c r="BX242" s="1989">
        <f>BX$294*BX247</f>
        <v>1087.8536416198583</v>
      </c>
      <c r="BY242" s="2508">
        <f>BY$294*BY247</f>
        <v>1143.0977844239476</v>
      </c>
      <c r="BZ242" s="294"/>
    </row>
    <row r="243" spans="2:78" s="1763" customFormat="1" ht="11.25" customHeight="1">
      <c r="B243" s="2359"/>
      <c r="C243" s="2359"/>
      <c r="D243" s="2359"/>
      <c r="E243" s="2359"/>
      <c r="F243" s="2359"/>
      <c r="G243" s="2359"/>
      <c r="H243" s="294"/>
      <c r="I243" s="1127" t="s">
        <v>132</v>
      </c>
      <c r="J243" s="2359"/>
      <c r="K243" s="2359"/>
      <c r="L243" s="2359"/>
      <c r="M243" s="2359"/>
      <c r="N243" s="2359"/>
      <c r="O243" s="2359"/>
      <c r="P243" s="2359"/>
      <c r="Q243" s="2359"/>
      <c r="R243" s="2359"/>
      <c r="S243" s="2359"/>
      <c r="T243" s="2361"/>
      <c r="U243" s="2362"/>
      <c r="V243" s="2359"/>
      <c r="W243" s="2359"/>
      <c r="X243" s="2361"/>
      <c r="Y243" s="2362"/>
      <c r="Z243" s="2359"/>
      <c r="AA243" s="2359"/>
      <c r="AB243" s="2361"/>
      <c r="AF243" s="2361"/>
      <c r="AG243" s="1763">
        <f t="shared" ref="AG243:AL243" si="449">AG242/AC242-1</f>
        <v>0.5704305701032466</v>
      </c>
      <c r="AH243" s="1763">
        <f t="shared" si="449"/>
        <v>0.4539160222810521</v>
      </c>
      <c r="AI243" s="1763">
        <f t="shared" si="449"/>
        <v>0.37426899747078535</v>
      </c>
      <c r="AJ243" s="2361">
        <f t="shared" si="449"/>
        <v>0.35077807759817636</v>
      </c>
      <c r="AK243" s="1763">
        <f t="shared" si="449"/>
        <v>0.31654389214104084</v>
      </c>
      <c r="AL243" s="1763">
        <f t="shared" si="449"/>
        <v>0.35109411797301426</v>
      </c>
      <c r="AM243" s="1763">
        <f t="shared" ref="AM243:BD243" si="450">AM242/AI242-1</f>
        <v>0.35819661792895818</v>
      </c>
      <c r="AN243" s="2361">
        <f t="shared" si="450"/>
        <v>0.31449334811207419</v>
      </c>
      <c r="AO243" s="1763">
        <f t="shared" si="450"/>
        <v>0.21854730004794676</v>
      </c>
      <c r="AP243" s="2157">
        <f t="shared" si="450"/>
        <v>0.1601983716203248</v>
      </c>
      <c r="AQ243" s="2157">
        <f t="shared" si="450"/>
        <v>0.15502344607402985</v>
      </c>
      <c r="AR243" s="2279">
        <f t="shared" si="450"/>
        <v>0.15767528328611902</v>
      </c>
      <c r="AS243" s="1763">
        <f t="shared" si="450"/>
        <v>0.18141933376392982</v>
      </c>
      <c r="AT243" s="1763">
        <f t="shared" si="450"/>
        <v>0.15945761820325943</v>
      </c>
      <c r="AU243" s="2359">
        <f t="shared" si="450"/>
        <v>0.15453671268265978</v>
      </c>
      <c r="AV243" s="2361">
        <f t="shared" si="450"/>
        <v>0.15086028247853123</v>
      </c>
      <c r="AW243" s="1763">
        <f t="shared" si="450"/>
        <v>0.13803232804829935</v>
      </c>
      <c r="AX243" s="1763">
        <f t="shared" si="450"/>
        <v>0.13188619046849026</v>
      </c>
      <c r="AY243" s="2359">
        <f t="shared" si="450"/>
        <v>0.12449644634858181</v>
      </c>
      <c r="AZ243" s="2361">
        <f t="shared" si="450"/>
        <v>0.11639279441113115</v>
      </c>
      <c r="BA243" s="1763">
        <f t="shared" si="450"/>
        <v>0.11425492542632987</v>
      </c>
      <c r="BB243" s="1763">
        <f t="shared" si="450"/>
        <v>0.10973844036214953</v>
      </c>
      <c r="BC243" s="2359">
        <f t="shared" si="450"/>
        <v>0.10138472025604917</v>
      </c>
      <c r="BD243" s="2361">
        <f t="shared" si="450"/>
        <v>9.7141183039712642E-2</v>
      </c>
      <c r="BE243" s="2505"/>
      <c r="BF243" s="2359"/>
      <c r="BG243" s="2359"/>
      <c r="BH243" s="2359"/>
      <c r="BI243" s="2359"/>
      <c r="BJ243" s="2359"/>
      <c r="BK243" s="2359"/>
      <c r="BL243" s="2359"/>
      <c r="BM243" s="2359"/>
      <c r="BN243" s="2359"/>
      <c r="BO243" s="2359"/>
      <c r="BP243" s="1937">
        <f t="shared" ref="BP243:BY243" si="451">BP242/BO242-1</f>
        <v>0.33503567578226345</v>
      </c>
      <c r="BQ243" s="1937">
        <f t="shared" si="451"/>
        <v>0.17110245862654549</v>
      </c>
      <c r="BR243" s="1937">
        <f t="shared" si="451"/>
        <v>0.16094580297530658</v>
      </c>
      <c r="BS243" s="1937">
        <f t="shared" si="451"/>
        <v>0.12730447437486037</v>
      </c>
      <c r="BT243" s="1937">
        <f t="shared" si="451"/>
        <v>0.1053466724101666</v>
      </c>
      <c r="BU243" s="2157">
        <f t="shared" si="451"/>
        <v>7.8963630100693294E-2</v>
      </c>
      <c r="BV243" s="2157">
        <f t="shared" si="451"/>
        <v>6.8556188065510337E-2</v>
      </c>
      <c r="BW243" s="2157">
        <f t="shared" si="451"/>
        <v>6.0214898698583319E-2</v>
      </c>
      <c r="BX243" s="2157">
        <f t="shared" si="451"/>
        <v>5.4223436981632789E-2</v>
      </c>
      <c r="BY243" s="2279">
        <f t="shared" si="451"/>
        <v>5.0782697865338289E-2</v>
      </c>
      <c r="BZ243" s="294"/>
    </row>
    <row r="244" spans="2:78" s="1763" customFormat="1" ht="11.25" customHeight="1">
      <c r="B244" s="2359"/>
      <c r="C244" s="2359"/>
      <c r="D244" s="2359"/>
      <c r="E244" s="2359"/>
      <c r="F244" s="2359"/>
      <c r="G244" s="2359"/>
      <c r="H244" s="294"/>
      <c r="I244" s="1127" t="s">
        <v>146</v>
      </c>
      <c r="J244" s="2359"/>
      <c r="K244" s="2359"/>
      <c r="L244" s="2359"/>
      <c r="M244" s="2359"/>
      <c r="N244" s="2359"/>
      <c r="O244" s="2359"/>
      <c r="P244" s="2359"/>
      <c r="Q244" s="2359"/>
      <c r="R244" s="2359"/>
      <c r="S244" s="2359"/>
      <c r="T244" s="2361"/>
      <c r="U244" s="2362"/>
      <c r="V244" s="2359"/>
      <c r="W244" s="2359"/>
      <c r="X244" s="2361"/>
      <c r="Y244" s="2362"/>
      <c r="Z244" s="2359"/>
      <c r="AA244" s="2359"/>
      <c r="AB244" s="2361"/>
      <c r="AC244" s="2492"/>
      <c r="AD244" s="2492"/>
      <c r="AE244" s="2492"/>
      <c r="AF244" s="2509"/>
      <c r="AG244" s="2359">
        <f t="shared" ref="AG244:AL244" si="452">IF(ISERROR(AG242/AF242-1),0,AG242/AF242-1)</f>
        <v>9.9807445442875231E-2</v>
      </c>
      <c r="AH244" s="2359">
        <f t="shared" si="452"/>
        <v>7.4688994360510463E-2</v>
      </c>
      <c r="AI244" s="2359">
        <f t="shared" si="452"/>
        <v>6.3201174743025001E-2</v>
      </c>
      <c r="AJ244" s="2361">
        <f t="shared" si="452"/>
        <v>7.4902564540893612E-2</v>
      </c>
      <c r="AK244" s="2359">
        <f t="shared" si="452"/>
        <v>7.193387192339884E-2</v>
      </c>
      <c r="AL244" s="2359">
        <f t="shared" si="452"/>
        <v>0.10289219189607302</v>
      </c>
      <c r="AM244" s="2359">
        <f t="shared" ref="AM244:AR244" si="453">IF(ISERROR(AM242/AL242-1),0,AM242/AL242-1)</f>
        <v>6.8790264500961928E-2</v>
      </c>
      <c r="AN244" s="2361">
        <f t="shared" si="453"/>
        <v>4.0314967881564856E-2</v>
      </c>
      <c r="AO244" s="2359">
        <f t="shared" si="453"/>
        <v>-6.3075424929179835E-3</v>
      </c>
      <c r="AP244" s="2359">
        <f t="shared" si="453"/>
        <v>5.0081293570013008E-2</v>
      </c>
      <c r="AQ244" s="2359">
        <f t="shared" si="453"/>
        <v>6.4023053842259925E-2</v>
      </c>
      <c r="AR244" s="2361">
        <f t="shared" si="453"/>
        <v>4.2703444023325154E-2</v>
      </c>
      <c r="AS244" s="2359">
        <f t="shared" ref="AS244:BD244" si="454">IF(ISERROR(AS242/AR242-1),0,AS242/AR242-1)</f>
        <v>1.4073201754721598E-2</v>
      </c>
      <c r="AT244" s="2359">
        <f t="shared" si="454"/>
        <v>3.056105547513388E-2</v>
      </c>
      <c r="AU244" s="2359">
        <f t="shared" si="454"/>
        <v>5.9507186390535871E-2</v>
      </c>
      <c r="AV244" s="2361">
        <f t="shared" si="454"/>
        <v>3.9383128269442347E-2</v>
      </c>
      <c r="AW244" s="2359">
        <f t="shared" si="454"/>
        <v>2.7699314802331898E-3</v>
      </c>
      <c r="AX244" s="2359">
        <f t="shared" si="454"/>
        <v>2.4995334822710769E-2</v>
      </c>
      <c r="AY244" s="2359">
        <f t="shared" si="454"/>
        <v>5.2589982994504014E-2</v>
      </c>
      <c r="AZ244" s="2361">
        <f t="shared" si="454"/>
        <v>3.1892843059111886E-2</v>
      </c>
      <c r="BA244" s="2359">
        <f t="shared" si="454"/>
        <v>8.4964791504438253E-4</v>
      </c>
      <c r="BB244" s="2359">
        <f t="shared" si="454"/>
        <v>2.0840651711204305E-2</v>
      </c>
      <c r="BC244" s="2359">
        <f t="shared" si="454"/>
        <v>4.4666456346592609E-2</v>
      </c>
      <c r="BD244" s="2361">
        <f t="shared" si="454"/>
        <v>2.7917051855312902E-2</v>
      </c>
      <c r="BE244" s="2505"/>
      <c r="BF244" s="2359"/>
      <c r="BG244" s="2359"/>
      <c r="BH244" s="2359"/>
      <c r="BI244" s="2359"/>
      <c r="BJ244" s="2359"/>
      <c r="BK244" s="2359"/>
      <c r="BL244" s="2359"/>
      <c r="BM244" s="2359"/>
      <c r="BN244" s="2359"/>
      <c r="BO244" s="2359"/>
      <c r="BP244" s="2359"/>
      <c r="BQ244" s="2359"/>
      <c r="BR244" s="2359"/>
      <c r="BS244" s="2359"/>
      <c r="BT244" s="2359"/>
      <c r="BU244" s="2359"/>
      <c r="BV244" s="2359"/>
      <c r="BW244" s="2359"/>
      <c r="BX244" s="2359"/>
      <c r="BY244" s="2361"/>
      <c r="BZ244" s="294"/>
    </row>
    <row r="245" spans="2:78" s="1763" customFormat="1" ht="11.25" customHeight="1">
      <c r="B245" s="2359"/>
      <c r="C245" s="2359"/>
      <c r="D245" s="2359"/>
      <c r="E245" s="2359"/>
      <c r="F245" s="2359"/>
      <c r="G245" s="2359"/>
      <c r="H245" s="294"/>
      <c r="I245" s="770" t="s">
        <v>621</v>
      </c>
      <c r="J245" s="2359"/>
      <c r="K245" s="2359"/>
      <c r="L245" s="2359"/>
      <c r="M245" s="2359"/>
      <c r="N245" s="2359"/>
      <c r="O245" s="2359"/>
      <c r="P245" s="2359"/>
      <c r="Q245" s="2359"/>
      <c r="R245" s="2359"/>
      <c r="S245" s="2359"/>
      <c r="T245" s="2361"/>
      <c r="U245" s="2362"/>
      <c r="V245" s="2359"/>
      <c r="W245" s="2359"/>
      <c r="X245" s="2361"/>
      <c r="Y245" s="2362"/>
      <c r="Z245" s="2359"/>
      <c r="AA245" s="2359"/>
      <c r="AB245" s="2361"/>
      <c r="AC245" s="2492"/>
      <c r="AD245" s="2492"/>
      <c r="AE245" s="2492"/>
      <c r="AF245" s="2509"/>
      <c r="AG245" s="1990">
        <f t="shared" ref="AG245:AL245" si="455">AG242-AC242</f>
        <v>30.497499999999981</v>
      </c>
      <c r="AH245" s="1990">
        <f t="shared" si="455"/>
        <v>28.170799999999979</v>
      </c>
      <c r="AI245" s="1990">
        <f t="shared" si="455"/>
        <v>26.127059999999986</v>
      </c>
      <c r="AJ245" s="2489">
        <f t="shared" si="455"/>
        <v>26.779099999999985</v>
      </c>
      <c r="AK245" s="1990">
        <f t="shared" si="455"/>
        <v>26.577500000000001</v>
      </c>
      <c r="AL245" s="1990">
        <f t="shared" si="455"/>
        <v>31.68010000000001</v>
      </c>
      <c r="AM245" s="1990">
        <f t="shared" ref="AM245:BD245" si="456">AM242-AI242</f>
        <v>34.36369999999998</v>
      </c>
      <c r="AN245" s="2489">
        <f t="shared" si="456"/>
        <v>32.430900000000008</v>
      </c>
      <c r="AO245" s="1990">
        <f t="shared" si="456"/>
        <v>24.157999999999987</v>
      </c>
      <c r="AP245" s="1990">
        <f t="shared" si="456"/>
        <v>19.530200000000008</v>
      </c>
      <c r="AQ245" s="1990">
        <f t="shared" si="456"/>
        <v>20.199400000000026</v>
      </c>
      <c r="AR245" s="2489">
        <f t="shared" si="456"/>
        <v>21.373199999999997</v>
      </c>
      <c r="AS245" s="1989">
        <f t="shared" si="456"/>
        <v>24.43664000000004</v>
      </c>
      <c r="AT245" s="1989">
        <f t="shared" si="456"/>
        <v>22.554131999999981</v>
      </c>
      <c r="AU245" s="1989">
        <f t="shared" si="456"/>
        <v>23.257528000000008</v>
      </c>
      <c r="AV245" s="2508">
        <f t="shared" si="456"/>
        <v>23.673780000000022</v>
      </c>
      <c r="AW245" s="1989">
        <f t="shared" si="456"/>
        <v>21.965586799999983</v>
      </c>
      <c r="AX245" s="1989">
        <f t="shared" si="456"/>
        <v>21.628930610000026</v>
      </c>
      <c r="AY245" s="1989">
        <f t="shared" si="456"/>
        <v>21.631995568000036</v>
      </c>
      <c r="AZ245" s="2508">
        <f t="shared" si="456"/>
        <v>21.02041994999999</v>
      </c>
      <c r="BA245" s="1989">
        <f t="shared" si="456"/>
        <v>20.691478652800015</v>
      </c>
      <c r="BB245" s="1989">
        <f t="shared" si="456"/>
        <v>20.370292653700034</v>
      </c>
      <c r="BC245" s="1989">
        <f t="shared" si="456"/>
        <v>19.809349972351981</v>
      </c>
      <c r="BD245" s="2508">
        <f t="shared" si="456"/>
        <v>19.585547034899975</v>
      </c>
      <c r="BE245" s="2505"/>
      <c r="BF245" s="2359"/>
      <c r="BG245" s="2359"/>
      <c r="BH245" s="2359"/>
      <c r="BI245" s="2359"/>
      <c r="BJ245" s="2359"/>
      <c r="BK245" s="2359"/>
      <c r="BL245" s="2359"/>
      <c r="BM245" s="2359"/>
      <c r="BN245" s="2359"/>
      <c r="BO245" s="2359"/>
      <c r="BP245" s="957">
        <f t="shared" ref="BP245:BY245" si="457">BP242-BO242</f>
        <v>125.05220000000008</v>
      </c>
      <c r="BQ245" s="957">
        <f t="shared" si="457"/>
        <v>85.260800000000017</v>
      </c>
      <c r="BR245" s="957">
        <f t="shared" si="457"/>
        <v>93.922080000000051</v>
      </c>
      <c r="BS245" s="286">
        <f t="shared" si="457"/>
        <v>86.246932927999978</v>
      </c>
      <c r="BT245" s="286">
        <f t="shared" si="457"/>
        <v>80.456668313752061</v>
      </c>
      <c r="BU245" s="1990">
        <f t="shared" si="457"/>
        <v>66.660234346217862</v>
      </c>
      <c r="BV245" s="1990">
        <f t="shared" si="457"/>
        <v>62.444356978790324</v>
      </c>
      <c r="BW245" s="1990">
        <f t="shared" si="457"/>
        <v>58.606779897579599</v>
      </c>
      <c r="BX245" s="1990">
        <f t="shared" si="457"/>
        <v>55.95318915551843</v>
      </c>
      <c r="BY245" s="2489">
        <f t="shared" si="457"/>
        <v>55.244142804089279</v>
      </c>
      <c r="BZ245" s="294"/>
    </row>
    <row r="246" spans="2:78" s="1763" customFormat="1" ht="11.25" customHeight="1">
      <c r="B246" s="2359"/>
      <c r="C246" s="2359"/>
      <c r="D246" s="2359"/>
      <c r="E246" s="2359"/>
      <c r="F246" s="2359"/>
      <c r="G246" s="2359"/>
      <c r="H246" s="294"/>
      <c r="I246" s="770" t="s">
        <v>620</v>
      </c>
      <c r="J246" s="2359"/>
      <c r="K246" s="2359"/>
      <c r="L246" s="2359"/>
      <c r="M246" s="2359"/>
      <c r="N246" s="2359"/>
      <c r="O246" s="2359"/>
      <c r="P246" s="2359"/>
      <c r="Q246" s="2359"/>
      <c r="R246" s="2359"/>
      <c r="S246" s="2359"/>
      <c r="T246" s="2361"/>
      <c r="U246" s="2362"/>
      <c r="V246" s="2359"/>
      <c r="W246" s="2359"/>
      <c r="X246" s="2361"/>
      <c r="Y246" s="2362"/>
      <c r="Z246" s="2359"/>
      <c r="AA246" s="2359"/>
      <c r="AB246" s="2361"/>
      <c r="AC246" s="2492"/>
      <c r="AD246" s="2492"/>
      <c r="AE246" s="2492"/>
      <c r="AF246" s="2509"/>
      <c r="AG246" s="1990">
        <f t="shared" ref="AG246:AL246" si="458">AG242-AF242</f>
        <v>7.6194999999999879</v>
      </c>
      <c r="AH246" s="1990">
        <f t="shared" si="458"/>
        <v>6.2710000000000008</v>
      </c>
      <c r="AI246" s="1990">
        <f t="shared" si="458"/>
        <v>5.7028000000000105</v>
      </c>
      <c r="AJ246" s="2489">
        <f t="shared" si="458"/>
        <v>7.1857999999999862</v>
      </c>
      <c r="AK246" s="1990">
        <f t="shared" si="458"/>
        <v>7.417900000000003</v>
      </c>
      <c r="AL246" s="1990">
        <f t="shared" si="458"/>
        <v>11.37360000000001</v>
      </c>
      <c r="AM246" s="1990">
        <f t="shared" ref="AM246:AR246" si="459">AM242-AL242</f>
        <v>8.3863999999999805</v>
      </c>
      <c r="AN246" s="2489">
        <f t="shared" si="459"/>
        <v>5.2530000000000143</v>
      </c>
      <c r="AO246" s="1990">
        <f t="shared" si="459"/>
        <v>-0.85500000000001819</v>
      </c>
      <c r="AP246" s="1990">
        <f t="shared" si="459"/>
        <v>6.7458000000000311</v>
      </c>
      <c r="AQ246" s="1990">
        <f t="shared" si="459"/>
        <v>9.0555999999999983</v>
      </c>
      <c r="AR246" s="2489">
        <f t="shared" si="459"/>
        <v>6.4267999999999859</v>
      </c>
      <c r="AS246" s="1989">
        <f t="shared" ref="AS246:BD246" si="460">AS242-AR242</f>
        <v>2.2084400000000244</v>
      </c>
      <c r="AT246" s="1989">
        <f t="shared" si="460"/>
        <v>4.8632919999999729</v>
      </c>
      <c r="AU246" s="1989">
        <f t="shared" si="460"/>
        <v>9.7589960000000247</v>
      </c>
      <c r="AV246" s="2508">
        <f t="shared" si="460"/>
        <v>6.8430520000000001</v>
      </c>
      <c r="AW246" s="1989">
        <f t="shared" si="460"/>
        <v>0.50024679999998511</v>
      </c>
      <c r="AX246" s="1989">
        <f t="shared" si="460"/>
        <v>4.5266358100000161</v>
      </c>
      <c r="AY246" s="1989">
        <f t="shared" si="460"/>
        <v>9.7620609580000348</v>
      </c>
      <c r="AZ246" s="2508">
        <f t="shared" si="460"/>
        <v>6.2314763819999541</v>
      </c>
      <c r="BA246" s="1989">
        <f t="shared" si="460"/>
        <v>0.17130550280000989</v>
      </c>
      <c r="BB246" s="1989">
        <f t="shared" si="460"/>
        <v>4.2054498109000349</v>
      </c>
      <c r="BC246" s="1989">
        <f t="shared" si="460"/>
        <v>9.2011182766519823</v>
      </c>
      <c r="BD246" s="2508">
        <f t="shared" si="460"/>
        <v>6.0076734445479474</v>
      </c>
      <c r="BE246" s="2505"/>
      <c r="BF246" s="2359"/>
      <c r="BG246" s="2359"/>
      <c r="BH246" s="2359"/>
      <c r="BI246" s="2359"/>
      <c r="BJ246" s="2359"/>
      <c r="BK246" s="2359"/>
      <c r="BL246" s="2359"/>
      <c r="BM246" s="2359"/>
      <c r="BN246" s="2359"/>
      <c r="BO246" s="2359"/>
      <c r="BP246" s="2359"/>
      <c r="BQ246" s="2359"/>
      <c r="BR246" s="2359"/>
      <c r="BS246" s="2359"/>
      <c r="BT246" s="2359"/>
      <c r="BU246" s="1989"/>
      <c r="BV246" s="1989"/>
      <c r="BW246" s="1989"/>
      <c r="BX246" s="1989"/>
      <c r="BY246" s="2508"/>
      <c r="BZ246" s="294"/>
    </row>
    <row r="247" spans="2:78" s="2824" customFormat="1" ht="11.25" customHeight="1">
      <c r="B247" s="2506"/>
      <c r="C247" s="2506"/>
      <c r="D247" s="2506"/>
      <c r="E247" s="2506"/>
      <c r="F247" s="2506"/>
      <c r="G247" s="2506"/>
      <c r="H247" s="2820"/>
      <c r="I247" s="2825" t="s">
        <v>688</v>
      </c>
      <c r="J247" s="2506"/>
      <c r="K247" s="2506"/>
      <c r="L247" s="2506"/>
      <c r="M247" s="2506"/>
      <c r="N247" s="2506"/>
      <c r="O247" s="2506"/>
      <c r="P247" s="2506"/>
      <c r="Q247" s="2506"/>
      <c r="R247" s="2506"/>
      <c r="S247" s="2506"/>
      <c r="T247" s="2511"/>
      <c r="U247" s="2822"/>
      <c r="V247" s="2506"/>
      <c r="W247" s="2506"/>
      <c r="X247" s="2511"/>
      <c r="Y247" s="2822"/>
      <c r="Z247" s="2506"/>
      <c r="AA247" s="2506"/>
      <c r="AB247" s="2511"/>
      <c r="AC247" s="2824">
        <f t="shared" ref="AC247:AL247" si="461">1-AC240-AC233</f>
        <v>0.82000000000000006</v>
      </c>
      <c r="AD247" s="2824">
        <f t="shared" si="461"/>
        <v>0.82000000000000006</v>
      </c>
      <c r="AE247" s="2824">
        <f t="shared" si="461"/>
        <v>0.82000000000000006</v>
      </c>
      <c r="AF247" s="2511">
        <f t="shared" si="461"/>
        <v>0.82000000000000006</v>
      </c>
      <c r="AG247" s="2824">
        <f t="shared" si="461"/>
        <v>0.80499999999999994</v>
      </c>
      <c r="AH247" s="2824">
        <f t="shared" si="461"/>
        <v>0.79499999999999993</v>
      </c>
      <c r="AI247" s="2824">
        <f t="shared" si="461"/>
        <v>0.78699999999999992</v>
      </c>
      <c r="AJ247" s="2511">
        <f t="shared" si="461"/>
        <v>0.78299999999999992</v>
      </c>
      <c r="AK247" s="2824">
        <f>1-AK240-AK233</f>
        <v>0.77299999999999991</v>
      </c>
      <c r="AL247" s="2824">
        <f t="shared" si="461"/>
        <v>0.77800000000000002</v>
      </c>
      <c r="AM247" s="2824">
        <f t="shared" ref="AM247:AP247" si="462">1-AM240-AM233</f>
        <v>0.77099999999999991</v>
      </c>
      <c r="AN247" s="2511">
        <f t="shared" si="462"/>
        <v>0.76800000000000002</v>
      </c>
      <c r="AO247" s="2824">
        <f t="shared" si="462"/>
        <v>0.7609999999999999</v>
      </c>
      <c r="AP247" s="2824">
        <f t="shared" si="462"/>
        <v>0.75800000000000001</v>
      </c>
      <c r="AQ247" s="2824">
        <f t="shared" ref="AQ247:AR247" si="463">1-AQ240-AQ233</f>
        <v>0.754</v>
      </c>
      <c r="AR247" s="2511">
        <f t="shared" si="463"/>
        <v>0.75299999999999989</v>
      </c>
      <c r="AS247" s="2824">
        <f t="shared" ref="AS247:BD247" si="464">1-AS240-AS233</f>
        <v>0.75063037735849059</v>
      </c>
      <c r="AT247" s="2824">
        <f t="shared" si="464"/>
        <v>0.74679841530054647</v>
      </c>
      <c r="AU247" s="2506">
        <f t="shared" si="464"/>
        <v>0.74381818493150686</v>
      </c>
      <c r="AV247" s="2511">
        <f t="shared" si="464"/>
        <v>0.74504529702970301</v>
      </c>
      <c r="AW247" s="2824">
        <f t="shared" si="464"/>
        <v>0.74220994590163936</v>
      </c>
      <c r="AX247" s="2824">
        <f t="shared" si="464"/>
        <v>0.73778164789348177</v>
      </c>
      <c r="AY247" s="2506">
        <f t="shared" si="464"/>
        <v>0.73426502656144321</v>
      </c>
      <c r="AZ247" s="2511">
        <f t="shared" si="464"/>
        <v>0.73476457707725951</v>
      </c>
      <c r="BA247" s="2824">
        <f t="shared" si="464"/>
        <v>0.7337843834647273</v>
      </c>
      <c r="BB247" s="2824">
        <f t="shared" si="464"/>
        <v>0.72893190114543538</v>
      </c>
      <c r="BC247" s="2506">
        <f t="shared" si="464"/>
        <v>0.72554711240846936</v>
      </c>
      <c r="BD247" s="2511">
        <f t="shared" si="464"/>
        <v>0.72669167866261497</v>
      </c>
      <c r="BE247" s="2823"/>
      <c r="BF247" s="2506"/>
      <c r="BG247" s="2506"/>
      <c r="BH247" s="2506"/>
      <c r="BI247" s="2506"/>
      <c r="BJ247" s="2506"/>
      <c r="BK247" s="2506"/>
      <c r="BL247" s="2506"/>
      <c r="BM247" s="2506"/>
      <c r="BN247" s="2506"/>
      <c r="BO247" s="2506"/>
      <c r="BP247" s="2506">
        <f>BP242/BP$294</f>
        <v>0.77232269063856163</v>
      </c>
      <c r="BQ247" s="2506">
        <f>BQ242/BQ$294</f>
        <v>0.75630300673924311</v>
      </c>
      <c r="BR247" s="2506">
        <f>BR242/BR$294</f>
        <v>0.74645821947994717</v>
      </c>
      <c r="BS247" s="2506">
        <f>BS242/BS$294</f>
        <v>0.7371222979712384</v>
      </c>
      <c r="BT247" s="2506">
        <f>BT242/BT$294</f>
        <v>0.72862858729652358</v>
      </c>
      <c r="BU247" s="2824">
        <f>1-BU240-BU233</f>
        <v>0.71349625222306912</v>
      </c>
      <c r="BV247" s="2824">
        <f>1-BV240-BV233</f>
        <v>0.69990915616766891</v>
      </c>
      <c r="BW247" s="2824">
        <f>1-BW240-BW233</f>
        <v>0.68811713287832754</v>
      </c>
      <c r="BX247" s="2824">
        <f>1-BX240-BX233</f>
        <v>0.6783821661385997</v>
      </c>
      <c r="BY247" s="2511">
        <f>1-BY240-BY233</f>
        <v>0.67098954239489772</v>
      </c>
      <c r="BZ247" s="2820"/>
    </row>
    <row r="248" spans="2:78" s="1763" customFormat="1" ht="11.25" customHeight="1">
      <c r="B248" s="2359"/>
      <c r="C248" s="2359"/>
      <c r="D248" s="2359"/>
      <c r="E248" s="2359"/>
      <c r="F248" s="2359"/>
      <c r="G248" s="2359"/>
      <c r="H248" s="294"/>
      <c r="I248" s="2360"/>
      <c r="J248" s="2359"/>
      <c r="K248" s="2359"/>
      <c r="L248" s="2359"/>
      <c r="M248" s="2359"/>
      <c r="N248" s="2359"/>
      <c r="O248" s="2359"/>
      <c r="P248" s="2359"/>
      <c r="Q248" s="2359"/>
      <c r="R248" s="2359"/>
      <c r="S248" s="2359"/>
      <c r="T248" s="2361"/>
      <c r="U248" s="2362"/>
      <c r="V248" s="2359"/>
      <c r="W248" s="2359"/>
      <c r="X248" s="2361"/>
      <c r="Y248" s="2362"/>
      <c r="Z248" s="2359"/>
      <c r="AA248" s="2359"/>
      <c r="AB248" s="2361"/>
      <c r="AC248" s="2359"/>
      <c r="AD248" s="2359"/>
      <c r="AE248" s="2359"/>
      <c r="AF248" s="2361"/>
      <c r="AG248" s="2359"/>
      <c r="AH248" s="2359"/>
      <c r="AI248" s="2359"/>
      <c r="AJ248" s="2361"/>
      <c r="AK248" s="2507"/>
      <c r="AL248" s="2492"/>
      <c r="AM248" s="2492"/>
      <c r="AN248" s="2361"/>
      <c r="AO248" s="2359"/>
      <c r="AP248" s="2359"/>
      <c r="AQ248" s="2359"/>
      <c r="AR248" s="2361"/>
      <c r="AS248" s="2362"/>
      <c r="AT248" s="2359"/>
      <c r="AU248" s="2359"/>
      <c r="AV248" s="2361"/>
      <c r="AW248" s="2362"/>
      <c r="AX248" s="2359"/>
      <c r="AY248" s="2359"/>
      <c r="AZ248" s="2361"/>
      <c r="BA248" s="2362"/>
      <c r="BB248" s="2359"/>
      <c r="BC248" s="2359"/>
      <c r="BD248" s="2361"/>
      <c r="BE248" s="2505"/>
      <c r="BF248" s="2359"/>
      <c r="BG248" s="2359"/>
      <c r="BH248" s="2359"/>
      <c r="BI248" s="2359"/>
      <c r="BJ248" s="2359"/>
      <c r="BK248" s="2359"/>
      <c r="BL248" s="2359"/>
      <c r="BM248" s="2359"/>
      <c r="BN248" s="2359"/>
      <c r="BO248" s="2359"/>
      <c r="BP248" s="2359"/>
      <c r="BQ248" s="2359"/>
      <c r="BR248" s="2359"/>
      <c r="BS248" s="2359"/>
      <c r="BT248" s="2359"/>
      <c r="BU248" s="294"/>
      <c r="BV248" s="294"/>
      <c r="BW248" s="294"/>
      <c r="BX248" s="294"/>
      <c r="BY248" s="2505"/>
      <c r="BZ248" s="294"/>
    </row>
    <row r="249" spans="2:78" s="1763" customFormat="1" ht="11.25" customHeight="1">
      <c r="B249" s="2359"/>
      <c r="C249" s="2359"/>
      <c r="D249" s="2359"/>
      <c r="E249" s="2359"/>
      <c r="F249" s="2359"/>
      <c r="G249" s="2359"/>
      <c r="H249" s="294"/>
      <c r="I249" s="2360"/>
      <c r="J249" s="2359"/>
      <c r="K249" s="2359"/>
      <c r="L249" s="2359"/>
      <c r="M249" s="2359"/>
      <c r="N249" s="2359"/>
      <c r="O249" s="2359"/>
      <c r="P249" s="2359"/>
      <c r="Q249" s="2359"/>
      <c r="R249" s="2359"/>
      <c r="S249" s="2359"/>
      <c r="T249" s="2361"/>
      <c r="U249" s="2362"/>
      <c r="V249" s="2359"/>
      <c r="W249" s="2359"/>
      <c r="X249" s="2361"/>
      <c r="Y249" s="2362"/>
      <c r="Z249" s="2359"/>
      <c r="AA249" s="2359"/>
      <c r="AB249" s="2361"/>
      <c r="AC249" s="2359"/>
      <c r="AD249" s="2359"/>
      <c r="AE249" s="2359"/>
      <c r="AF249" s="2361"/>
      <c r="AG249" s="2359"/>
      <c r="AH249" s="2359"/>
      <c r="AI249" s="2359"/>
      <c r="AJ249" s="2361"/>
      <c r="AK249" s="2507"/>
      <c r="AL249" s="2492"/>
      <c r="AM249" s="2492"/>
      <c r="AN249" s="2361"/>
      <c r="AO249" s="2359"/>
      <c r="AP249" s="2359"/>
      <c r="AQ249" s="2359"/>
      <c r="AR249" s="2361"/>
      <c r="AS249" s="2362"/>
      <c r="AT249" s="2359"/>
      <c r="AU249" s="2359"/>
      <c r="AV249" s="2361"/>
      <c r="AW249" s="2362"/>
      <c r="AX249" s="2359"/>
      <c r="AY249" s="2359"/>
      <c r="AZ249" s="2361"/>
      <c r="BA249" s="2362"/>
      <c r="BB249" s="2359"/>
      <c r="BC249" s="2359"/>
      <c r="BD249" s="2361"/>
      <c r="BE249" s="2505"/>
      <c r="BF249" s="2359"/>
      <c r="BG249" s="2359"/>
      <c r="BH249" s="2359"/>
      <c r="BI249" s="2359"/>
      <c r="BJ249" s="2359"/>
      <c r="BK249" s="2359"/>
      <c r="BL249" s="2359"/>
      <c r="BM249" s="2359"/>
      <c r="BN249" s="2359"/>
      <c r="BO249" s="2359"/>
      <c r="BP249" s="2359"/>
      <c r="BQ249" s="2359"/>
      <c r="BR249" s="2359"/>
      <c r="BS249" s="2359"/>
      <c r="BT249" s="2359"/>
      <c r="BU249" s="2359"/>
      <c r="BV249" s="2359"/>
      <c r="BW249" s="2359"/>
      <c r="BX249" s="2359"/>
      <c r="BY249" s="2361"/>
      <c r="BZ249" s="294"/>
    </row>
    <row r="250" spans="2:78" s="1763" customFormat="1" ht="11.25" customHeight="1">
      <c r="B250" s="2359"/>
      <c r="C250" s="2359"/>
      <c r="D250" s="2359"/>
      <c r="E250" s="2359"/>
      <c r="F250" s="2359"/>
      <c r="G250" s="2359"/>
      <c r="H250" s="294"/>
      <c r="I250" s="2360"/>
      <c r="J250" s="2359"/>
      <c r="K250" s="2359"/>
      <c r="L250" s="2359"/>
      <c r="M250" s="2359"/>
      <c r="N250" s="2359"/>
      <c r="O250" s="2359"/>
      <c r="P250" s="2359"/>
      <c r="Q250" s="2359"/>
      <c r="R250" s="2359"/>
      <c r="S250" s="2359"/>
      <c r="T250" s="2361"/>
      <c r="U250" s="2362"/>
      <c r="V250" s="2359"/>
      <c r="W250" s="2359"/>
      <c r="X250" s="2359"/>
      <c r="Y250" s="2362"/>
      <c r="Z250" s="2359"/>
      <c r="AA250" s="2359"/>
      <c r="AB250" s="2361"/>
      <c r="AC250" s="2359"/>
      <c r="AD250" s="2359"/>
      <c r="AE250" s="2359"/>
      <c r="AF250" s="2361"/>
      <c r="AG250" s="2359"/>
      <c r="AH250" s="2359"/>
      <c r="AI250" s="2359"/>
      <c r="AJ250" s="2361"/>
      <c r="AK250" s="2507"/>
      <c r="AL250" s="2492"/>
      <c r="AM250" s="2492"/>
      <c r="AN250" s="2361"/>
      <c r="AO250" s="2359"/>
      <c r="AP250" s="2359"/>
      <c r="AQ250" s="2359"/>
      <c r="AR250" s="2361"/>
      <c r="AS250" s="2362"/>
      <c r="AT250" s="2359"/>
      <c r="AU250" s="2359"/>
      <c r="AV250" s="2361"/>
      <c r="AW250" s="2362"/>
      <c r="AX250" s="2359"/>
      <c r="AY250" s="2359"/>
      <c r="AZ250" s="2361"/>
      <c r="BA250" s="2362"/>
      <c r="BB250" s="2359"/>
      <c r="BC250" s="2359"/>
      <c r="BD250" s="2361"/>
      <c r="BE250" s="294"/>
      <c r="BF250" s="2359"/>
      <c r="BG250" s="2359"/>
      <c r="BH250" s="2359"/>
      <c r="BI250" s="2359"/>
      <c r="BJ250" s="2359"/>
      <c r="BK250" s="2359"/>
      <c r="BL250" s="2359"/>
      <c r="BM250" s="2359"/>
      <c r="BN250" s="2362"/>
      <c r="BO250" s="2359"/>
      <c r="BP250" s="2359"/>
      <c r="BQ250" s="2359"/>
      <c r="BR250" s="2359"/>
      <c r="BS250" s="2359"/>
      <c r="BT250" s="2359"/>
      <c r="BU250" s="2359"/>
      <c r="BV250" s="2359"/>
      <c r="BW250" s="2359"/>
      <c r="BX250" s="2359"/>
      <c r="BY250" s="2361"/>
      <c r="BZ250" s="294"/>
    </row>
    <row r="251" spans="2:78" s="1763" customFormat="1" ht="11.25" customHeight="1">
      <c r="B251" s="2359"/>
      <c r="C251" s="2359"/>
      <c r="D251" s="2359"/>
      <c r="E251" s="2359"/>
      <c r="F251" s="2359"/>
      <c r="G251" s="2359"/>
      <c r="H251" s="294"/>
      <c r="I251" s="2831" t="s">
        <v>698</v>
      </c>
      <c r="J251" s="2832"/>
      <c r="K251" s="2832"/>
      <c r="L251" s="2832"/>
      <c r="M251" s="2359"/>
      <c r="N251" s="2359"/>
      <c r="O251" s="2359"/>
      <c r="P251" s="2359"/>
      <c r="Q251" s="2359"/>
      <c r="R251" s="2359"/>
      <c r="S251" s="2359"/>
      <c r="T251" s="2361"/>
      <c r="U251" s="2362"/>
      <c r="V251" s="2359"/>
      <c r="W251" s="2359"/>
      <c r="X251" s="2359"/>
      <c r="Y251" s="2362"/>
      <c r="Z251" s="2359"/>
      <c r="AA251" s="2359"/>
      <c r="AB251" s="2361"/>
      <c r="AC251" s="2359"/>
      <c r="AD251" s="2359"/>
      <c r="AE251" s="2359"/>
      <c r="AF251" s="2361"/>
      <c r="AG251" s="2359"/>
      <c r="AH251" s="2359"/>
      <c r="AI251" s="2359"/>
      <c r="AJ251" s="2361"/>
      <c r="AK251" s="2507"/>
      <c r="AL251" s="2492"/>
      <c r="AM251" s="2492"/>
      <c r="AN251" s="2361"/>
      <c r="AO251" s="2359"/>
      <c r="AP251" s="2359"/>
      <c r="AQ251" s="2359"/>
      <c r="AR251" s="2361"/>
      <c r="AS251" s="2362"/>
      <c r="AT251" s="2359"/>
      <c r="AU251" s="2359"/>
      <c r="AV251" s="2361"/>
      <c r="AW251" s="2362"/>
      <c r="AX251" s="2359"/>
      <c r="AY251" s="2359"/>
      <c r="AZ251" s="2361"/>
      <c r="BA251" s="2362"/>
      <c r="BB251" s="2359"/>
      <c r="BC251" s="2359"/>
      <c r="BD251" s="2361"/>
      <c r="BE251" s="294"/>
      <c r="BF251" s="2359"/>
      <c r="BG251" s="2359"/>
      <c r="BH251" s="2359"/>
      <c r="BI251" s="2359"/>
      <c r="BJ251" s="2359"/>
      <c r="BK251" s="2359"/>
      <c r="BL251" s="2359"/>
      <c r="BM251" s="2359"/>
      <c r="BN251" s="2362"/>
      <c r="BO251" s="2359"/>
      <c r="BP251" s="2359"/>
      <c r="BQ251" s="2359"/>
      <c r="BR251" s="2359"/>
      <c r="BS251" s="2359"/>
      <c r="BT251" s="2359"/>
      <c r="BU251" s="2359"/>
      <c r="BV251" s="2359"/>
      <c r="BW251" s="2359"/>
      <c r="BX251" s="2359"/>
      <c r="BY251" s="2361"/>
      <c r="BZ251" s="294"/>
    </row>
    <row r="252" spans="2:78" s="1763" customFormat="1" ht="11.25" customHeight="1">
      <c r="B252" s="2359"/>
      <c r="C252" s="2359"/>
      <c r="D252" s="2359"/>
      <c r="E252" s="2359"/>
      <c r="F252" s="2359"/>
      <c r="G252" s="2359"/>
      <c r="H252" s="294"/>
      <c r="I252" s="2834"/>
      <c r="J252" s="2359"/>
      <c r="K252" s="2359"/>
      <c r="L252" s="2359"/>
      <c r="M252" s="2359"/>
      <c r="N252" s="2359"/>
      <c r="O252" s="2359"/>
      <c r="P252" s="2359"/>
      <c r="Q252" s="2359"/>
      <c r="R252" s="2359"/>
      <c r="S252" s="2359"/>
      <c r="T252" s="2361"/>
      <c r="U252" s="2362"/>
      <c r="V252" s="2359"/>
      <c r="W252" s="2359"/>
      <c r="X252" s="2359"/>
      <c r="Y252" s="2362"/>
      <c r="Z252" s="2359"/>
      <c r="AA252" s="2359"/>
      <c r="AB252" s="2361"/>
      <c r="AC252" s="2359"/>
      <c r="AD252" s="2359"/>
      <c r="AE252" s="2359"/>
      <c r="AF252" s="2361"/>
      <c r="AG252" s="2359"/>
      <c r="AH252" s="2359"/>
      <c r="AI252" s="2359"/>
      <c r="AJ252" s="2361"/>
      <c r="AK252" s="2507"/>
      <c r="AL252" s="2492"/>
      <c r="AM252" s="2492"/>
      <c r="AN252" s="2361"/>
      <c r="AO252" s="2359"/>
      <c r="AP252" s="2359"/>
      <c r="AQ252" s="2359"/>
      <c r="AR252" s="2361"/>
      <c r="AS252" s="2362"/>
      <c r="AT252" s="2359"/>
      <c r="AU252" s="2359"/>
      <c r="AV252" s="2361"/>
      <c r="AW252" s="2362"/>
      <c r="AX252" s="2359"/>
      <c r="AY252" s="2359"/>
      <c r="AZ252" s="2361"/>
      <c r="BA252" s="2362"/>
      <c r="BB252" s="2359"/>
      <c r="BC252" s="2359"/>
      <c r="BD252" s="2361"/>
      <c r="BE252" s="294"/>
      <c r="BF252" s="2359"/>
      <c r="BG252" s="2359"/>
      <c r="BH252" s="2359"/>
      <c r="BI252" s="2359"/>
      <c r="BJ252" s="2359"/>
      <c r="BK252" s="2359"/>
      <c r="BL252" s="2359"/>
      <c r="BM252" s="2359"/>
      <c r="BN252" s="2362"/>
      <c r="BO252" s="2359"/>
      <c r="BP252" s="2359"/>
      <c r="BQ252" s="2359"/>
      <c r="BR252" s="2359"/>
      <c r="BS252" s="2359"/>
      <c r="BT252" s="2359"/>
      <c r="BU252" s="2359"/>
      <c r="BV252" s="2359"/>
      <c r="BW252" s="2359"/>
      <c r="BX252" s="2359"/>
      <c r="BY252" s="2361"/>
      <c r="BZ252" s="294"/>
    </row>
    <row r="253" spans="2:78" s="90" customFormat="1" ht="11.25" customHeight="1">
      <c r="B253" s="226"/>
      <c r="C253" s="226"/>
      <c r="D253" s="226"/>
      <c r="E253" s="226"/>
      <c r="F253" s="226"/>
      <c r="G253" s="226"/>
      <c r="H253" s="226"/>
      <c r="I253" s="1500" t="s">
        <v>492</v>
      </c>
      <c r="J253" s="226"/>
      <c r="K253" s="226"/>
      <c r="L253" s="226"/>
      <c r="M253" s="289"/>
      <c r="N253" s="289"/>
      <c r="O253" s="289"/>
      <c r="P253" s="289"/>
      <c r="Q253" s="289"/>
      <c r="R253" s="289"/>
      <c r="S253" s="289"/>
      <c r="T253" s="1234"/>
      <c r="U253" s="1257"/>
      <c r="V253" s="289"/>
      <c r="W253" s="289"/>
      <c r="X253" s="289"/>
      <c r="Y253" s="1257"/>
      <c r="Z253" s="289"/>
      <c r="AA253" s="289"/>
      <c r="AB253" s="1258"/>
      <c r="AC253" s="1257"/>
      <c r="AD253" s="289"/>
      <c r="AE253" s="289"/>
      <c r="AF253" s="1258"/>
      <c r="AG253" s="1257"/>
      <c r="AH253" s="289"/>
      <c r="AI253" s="289"/>
      <c r="AJ253" s="1234"/>
      <c r="AK253" s="1257"/>
      <c r="AL253" s="289"/>
      <c r="AM253" s="289"/>
      <c r="AN253" s="1234"/>
      <c r="AO253" s="1257"/>
      <c r="AP253" s="289"/>
      <c r="AQ253" s="289"/>
      <c r="AR253" s="1234"/>
      <c r="AS253" s="1257"/>
      <c r="AT253" s="289"/>
      <c r="AU253" s="289"/>
      <c r="AV253" s="1234"/>
      <c r="AW253" s="1257"/>
      <c r="AX253" s="289"/>
      <c r="AY253" s="289"/>
      <c r="AZ253" s="1234"/>
      <c r="BA253" s="1257"/>
      <c r="BB253" s="289"/>
      <c r="BC253" s="289"/>
      <c r="BD253" s="1234"/>
      <c r="BE253" s="289"/>
      <c r="BF253" s="1054"/>
      <c r="BG253" s="226"/>
      <c r="BH253" s="289"/>
      <c r="BI253" s="289"/>
      <c r="BJ253" s="289"/>
      <c r="BK253" s="289"/>
      <c r="BL253" s="289"/>
      <c r="BM253" s="289"/>
      <c r="BN253" s="1257"/>
      <c r="BO253" s="289"/>
      <c r="BP253" s="1000"/>
      <c r="BQ253" s="1000"/>
      <c r="BR253" s="1000"/>
      <c r="BS253" s="1000"/>
      <c r="BT253" s="1000"/>
      <c r="BU253" s="1000"/>
      <c r="BV253" s="1000"/>
      <c r="BW253" s="1000"/>
      <c r="BX253" s="1000"/>
      <c r="BY253" s="999"/>
      <c r="BZ253" s="281"/>
    </row>
    <row r="254" spans="2:78" s="90" customFormat="1" ht="11.25" customHeight="1">
      <c r="B254" s="226"/>
      <c r="C254" s="226"/>
      <c r="D254" s="226"/>
      <c r="E254" s="226"/>
      <c r="F254" s="226"/>
      <c r="G254" s="226"/>
      <c r="H254" s="226"/>
      <c r="I254" s="656" t="s">
        <v>453</v>
      </c>
      <c r="J254" s="226"/>
      <c r="K254" s="226"/>
      <c r="L254" s="226"/>
      <c r="M254" s="289"/>
      <c r="N254" s="289"/>
      <c r="O254" s="289"/>
      <c r="P254" s="289"/>
      <c r="Q254" s="289"/>
      <c r="R254" s="289"/>
      <c r="S254" s="289"/>
      <c r="T254" s="1234"/>
      <c r="U254" s="1257"/>
      <c r="V254" s="289"/>
      <c r="W254" s="289"/>
      <c r="X254" s="289"/>
      <c r="Y254" s="1459">
        <f t="shared" ref="Y254:AQ254" si="465">+Y265*Y12</f>
        <v>10.14926</v>
      </c>
      <c r="Z254" s="1433">
        <f t="shared" si="465"/>
        <v>13.20552</v>
      </c>
      <c r="AA254" s="1433">
        <f t="shared" si="465"/>
        <v>14.683439999999999</v>
      </c>
      <c r="AB254" s="1460">
        <f t="shared" si="465"/>
        <v>16.956239999999998</v>
      </c>
      <c r="AC254" s="1459">
        <f t="shared" si="465"/>
        <v>19.101749999999999</v>
      </c>
      <c r="AD254" s="1433">
        <f t="shared" si="465"/>
        <v>23.084620000000001</v>
      </c>
      <c r="AE254" s="1433">
        <f t="shared" si="465"/>
        <v>26.638300000000001</v>
      </c>
      <c r="AF254" s="1460">
        <f t="shared" si="465"/>
        <v>28.570620000000002</v>
      </c>
      <c r="AG254" s="1459">
        <f t="shared" si="465"/>
        <v>29.068000000000001</v>
      </c>
      <c r="AH254" s="1743">
        <f t="shared" si="465"/>
        <v>35.167999999999999</v>
      </c>
      <c r="AI254" s="1743">
        <f t="shared" si="465"/>
        <v>37.688000000000002</v>
      </c>
      <c r="AJ254" s="1460">
        <f t="shared" si="465"/>
        <v>41.076000000000001</v>
      </c>
      <c r="AK254" s="1433">
        <f t="shared" si="465"/>
        <v>45.997769999999996</v>
      </c>
      <c r="AL254" s="1433">
        <f t="shared" si="465"/>
        <v>52.028399999999998</v>
      </c>
      <c r="AM254" s="1433">
        <f t="shared" si="465"/>
        <v>55.869599999999998</v>
      </c>
      <c r="AN254" s="1460">
        <f t="shared" si="465"/>
        <v>57.951809999999995</v>
      </c>
      <c r="AO254" s="1433">
        <f t="shared" si="465"/>
        <v>59.196899999999999</v>
      </c>
      <c r="AP254" s="1433">
        <f t="shared" si="465"/>
        <v>64.747839999999997</v>
      </c>
      <c r="AQ254" s="1433">
        <f t="shared" si="465"/>
        <v>68.937799999999996</v>
      </c>
      <c r="AR254" s="1460">
        <f t="shared" ref="AR254" si="466">+AR265*AR12</f>
        <v>67.656260000000003</v>
      </c>
      <c r="AS254" s="1509">
        <f t="shared" ref="AS254:BD258" si="467">+AO254*(1+AS275)</f>
        <v>59.196899999999999</v>
      </c>
      <c r="AT254" s="1510">
        <f t="shared" si="467"/>
        <v>64.747839999999997</v>
      </c>
      <c r="AU254" s="1510">
        <f t="shared" si="467"/>
        <v>68.937799999999996</v>
      </c>
      <c r="AV254" s="1511">
        <f t="shared" si="467"/>
        <v>67.656260000000003</v>
      </c>
      <c r="AW254" s="1509">
        <f t="shared" si="467"/>
        <v>59.196899999999999</v>
      </c>
      <c r="AX254" s="1510">
        <f t="shared" si="467"/>
        <v>64.747839999999997</v>
      </c>
      <c r="AY254" s="1510">
        <f t="shared" si="467"/>
        <v>68.937799999999996</v>
      </c>
      <c r="AZ254" s="1511">
        <f t="shared" si="467"/>
        <v>67.656260000000003</v>
      </c>
      <c r="BA254" s="1509">
        <f t="shared" si="467"/>
        <v>59.196899999999999</v>
      </c>
      <c r="BB254" s="1510">
        <f t="shared" si="467"/>
        <v>64.747839999999997</v>
      </c>
      <c r="BC254" s="1510">
        <f t="shared" si="467"/>
        <v>68.937799999999996</v>
      </c>
      <c r="BD254" s="1511">
        <f t="shared" si="467"/>
        <v>67.656260000000003</v>
      </c>
      <c r="BE254" s="289"/>
      <c r="BF254" s="1054"/>
      <c r="BG254" s="226"/>
      <c r="BH254" s="289"/>
      <c r="BI254" s="289"/>
      <c r="BJ254" s="289"/>
      <c r="BK254" s="289"/>
      <c r="BL254" s="289"/>
      <c r="BM254" s="901">
        <f t="shared" ref="BM254:BM259" si="468">SUM(Y254:AB254)</f>
        <v>54.994459999999989</v>
      </c>
      <c r="BN254" s="900">
        <f t="shared" ref="BN254:BN259" si="469">SUM(AC254:AF254)</f>
        <v>97.395290000000003</v>
      </c>
      <c r="BO254" s="901">
        <f t="shared" ref="BO254:BO259" si="470">SUM(AG254:AJ254)</f>
        <v>143</v>
      </c>
      <c r="BP254" s="901">
        <f t="shared" ref="BP254:BP259" si="471">SUM(AH254:AK254)</f>
        <v>159.92976999999999</v>
      </c>
      <c r="BQ254" s="901"/>
      <c r="BR254" s="901"/>
      <c r="BS254" s="901"/>
      <c r="BT254" s="901"/>
      <c r="BU254" s="1000"/>
      <c r="BV254" s="1000"/>
      <c r="BW254" s="1000"/>
      <c r="BX254" s="1000"/>
      <c r="BY254" s="999"/>
      <c r="BZ254" s="281"/>
    </row>
    <row r="255" spans="2:78" s="90" customFormat="1" ht="11.25" customHeight="1">
      <c r="B255" s="226"/>
      <c r="C255" s="226"/>
      <c r="D255" s="226"/>
      <c r="E255" s="226"/>
      <c r="F255" s="226"/>
      <c r="G255" s="226"/>
      <c r="H255" s="226"/>
      <c r="I255" s="478" t="s">
        <v>454</v>
      </c>
      <c r="J255" s="226"/>
      <c r="K255" s="226"/>
      <c r="L255" s="226"/>
      <c r="M255" s="289"/>
      <c r="N255" s="289"/>
      <c r="O255" s="289"/>
      <c r="P255" s="289"/>
      <c r="Q255" s="289"/>
      <c r="R255" s="289"/>
      <c r="S255" s="289"/>
      <c r="T255" s="1234"/>
      <c r="U255" s="1257"/>
      <c r="V255" s="289"/>
      <c r="W255" s="289"/>
      <c r="X255" s="289"/>
      <c r="Y255" s="1459">
        <f t="shared" ref="Y255:AQ255" si="472">+Y266*Y12</f>
        <v>7.3812800000000003</v>
      </c>
      <c r="Z255" s="1433">
        <f t="shared" si="472"/>
        <v>8.8036799999999999</v>
      </c>
      <c r="AA255" s="1433">
        <f t="shared" si="472"/>
        <v>9.7889599999999994</v>
      </c>
      <c r="AB255" s="1460">
        <f t="shared" si="472"/>
        <v>11.30416</v>
      </c>
      <c r="AC255" s="1459">
        <f t="shared" si="472"/>
        <v>12.22512</v>
      </c>
      <c r="AD255" s="1433">
        <f t="shared" si="472"/>
        <v>13.318050000000001</v>
      </c>
      <c r="AE255" s="1433">
        <f t="shared" si="472"/>
        <v>15.36825</v>
      </c>
      <c r="AF255" s="1460">
        <f t="shared" si="472"/>
        <v>16.483049999999999</v>
      </c>
      <c r="AG255" s="1459">
        <f t="shared" si="472"/>
        <v>16.77</v>
      </c>
      <c r="AH255" s="1433">
        <f t="shared" si="472"/>
        <v>18.84</v>
      </c>
      <c r="AI255" s="1433">
        <f t="shared" si="472"/>
        <v>20.189999999999998</v>
      </c>
      <c r="AJ255" s="1460">
        <f t="shared" si="472"/>
        <v>20.538</v>
      </c>
      <c r="AK255" s="1433">
        <f t="shared" si="472"/>
        <v>22.205820000000003</v>
      </c>
      <c r="AL255" s="1433">
        <f t="shared" si="472"/>
        <v>24.279920000000001</v>
      </c>
      <c r="AM255" s="1433">
        <f t="shared" si="472"/>
        <v>27.934799999999999</v>
      </c>
      <c r="AN255" s="1460">
        <f t="shared" si="472"/>
        <v>28.732409999999998</v>
      </c>
      <c r="AO255" s="1433">
        <f t="shared" si="472"/>
        <v>27.625220000000002</v>
      </c>
      <c r="AP255" s="1433">
        <f t="shared" si="472"/>
        <v>29.240960000000005</v>
      </c>
      <c r="AQ255" s="1433">
        <f t="shared" si="472"/>
        <v>33.356999999999999</v>
      </c>
      <c r="AR255" s="1460">
        <f t="shared" ref="AR255" si="473">+AR266*AR12</f>
        <v>30.554440000000003</v>
      </c>
      <c r="AS255" s="1459">
        <f t="shared" si="467"/>
        <v>27.625220000000002</v>
      </c>
      <c r="AT255" s="1433">
        <f t="shared" si="467"/>
        <v>29.240960000000005</v>
      </c>
      <c r="AU255" s="1433">
        <f t="shared" si="467"/>
        <v>33.356999999999999</v>
      </c>
      <c r="AV255" s="1460">
        <f t="shared" si="467"/>
        <v>30.554440000000003</v>
      </c>
      <c r="AW255" s="1459">
        <f t="shared" si="467"/>
        <v>27.625220000000002</v>
      </c>
      <c r="AX255" s="1433">
        <f t="shared" si="467"/>
        <v>29.240960000000005</v>
      </c>
      <c r="AY255" s="1433">
        <f t="shared" si="467"/>
        <v>33.356999999999999</v>
      </c>
      <c r="AZ255" s="1460">
        <f t="shared" si="467"/>
        <v>30.554440000000003</v>
      </c>
      <c r="BA255" s="1459">
        <f t="shared" si="467"/>
        <v>27.625220000000002</v>
      </c>
      <c r="BB255" s="1433">
        <f t="shared" si="467"/>
        <v>29.240960000000005</v>
      </c>
      <c r="BC255" s="1433">
        <f t="shared" si="467"/>
        <v>33.356999999999999</v>
      </c>
      <c r="BD255" s="1460">
        <f t="shared" si="467"/>
        <v>30.554440000000003</v>
      </c>
      <c r="BE255" s="289"/>
      <c r="BF255" s="1054"/>
      <c r="BG255" s="226"/>
      <c r="BH255" s="289"/>
      <c r="BI255" s="289"/>
      <c r="BJ255" s="289"/>
      <c r="BK255" s="289"/>
      <c r="BL255" s="289"/>
      <c r="BM255" s="901">
        <f t="shared" si="468"/>
        <v>37.278080000000003</v>
      </c>
      <c r="BN255" s="900">
        <f t="shared" si="469"/>
        <v>57.394470000000005</v>
      </c>
      <c r="BO255" s="901">
        <f t="shared" si="470"/>
        <v>76.337999999999994</v>
      </c>
      <c r="BP255" s="901">
        <f t="shared" si="471"/>
        <v>81.773820000000001</v>
      </c>
      <c r="BQ255" s="901"/>
      <c r="BR255" s="901"/>
      <c r="BS255" s="901"/>
      <c r="BT255" s="901"/>
      <c r="BU255" s="1000"/>
      <c r="BV255" s="1000"/>
      <c r="BW255" s="1000"/>
      <c r="BX255" s="1000"/>
      <c r="BY255" s="999"/>
      <c r="BZ255" s="281"/>
    </row>
    <row r="256" spans="2:78" s="90" customFormat="1" ht="11.25" customHeight="1">
      <c r="B256" s="226"/>
      <c r="C256" s="226"/>
      <c r="D256" s="226"/>
      <c r="E256" s="226"/>
      <c r="F256" s="226"/>
      <c r="G256" s="226"/>
      <c r="H256" s="226"/>
      <c r="I256" s="863" t="s">
        <v>455</v>
      </c>
      <c r="J256" s="226"/>
      <c r="K256" s="226"/>
      <c r="L256" s="226"/>
      <c r="M256" s="289"/>
      <c r="N256" s="289"/>
      <c r="O256" s="289"/>
      <c r="P256" s="289"/>
      <c r="Q256" s="289"/>
      <c r="R256" s="289"/>
      <c r="S256" s="289"/>
      <c r="T256" s="1234"/>
      <c r="U256" s="1257"/>
      <c r="V256" s="289"/>
      <c r="W256" s="289"/>
      <c r="X256" s="289"/>
      <c r="Y256" s="1459">
        <f t="shared" ref="Y256:AQ256" si="474">+Y267*Y12</f>
        <v>6.4586200000000007</v>
      </c>
      <c r="Z256" s="1433">
        <f t="shared" si="474"/>
        <v>7.7032200000000008</v>
      </c>
      <c r="AA256" s="1433">
        <f t="shared" si="474"/>
        <v>7.9535299999999998</v>
      </c>
      <c r="AB256" s="1460">
        <f t="shared" si="474"/>
        <v>9.89114</v>
      </c>
      <c r="AC256" s="1459">
        <f t="shared" si="474"/>
        <v>9.9329099999999997</v>
      </c>
      <c r="AD256" s="1433">
        <f t="shared" si="474"/>
        <v>11.542310000000001</v>
      </c>
      <c r="AE256" s="1433">
        <f t="shared" si="474"/>
        <v>12.294599999999999</v>
      </c>
      <c r="AF256" s="1460">
        <f t="shared" si="474"/>
        <v>14.285310000000001</v>
      </c>
      <c r="AG256" s="1459">
        <f t="shared" si="474"/>
        <v>14.534000000000001</v>
      </c>
      <c r="AH256" s="1743">
        <f t="shared" si="474"/>
        <v>15.071999999999999</v>
      </c>
      <c r="AI256" s="1743">
        <f t="shared" si="474"/>
        <v>16.151999999999997</v>
      </c>
      <c r="AJ256" s="1460">
        <f t="shared" si="474"/>
        <v>17.237249999999996</v>
      </c>
      <c r="AK256" s="1433">
        <f t="shared" si="474"/>
        <v>19.033559999999998</v>
      </c>
      <c r="AL256" s="1433">
        <f t="shared" si="474"/>
        <v>20.811360000000001</v>
      </c>
      <c r="AM256" s="1433">
        <f t="shared" si="474"/>
        <v>22.347839999999998</v>
      </c>
      <c r="AN256" s="1460">
        <f t="shared" si="474"/>
        <v>22.888529999999999</v>
      </c>
      <c r="AO256" s="1433">
        <f t="shared" si="474"/>
        <v>25.651990000000001</v>
      </c>
      <c r="AP256" s="1433">
        <f t="shared" si="474"/>
        <v>27.152320000000003</v>
      </c>
      <c r="AQ256" s="1433">
        <f t="shared" si="474"/>
        <v>26.685599999999997</v>
      </c>
      <c r="AR256" s="1460">
        <f t="shared" ref="AR256" si="475">+AR267*AR12</f>
        <v>26.189520000000002</v>
      </c>
      <c r="AS256" s="1509">
        <f t="shared" si="467"/>
        <v>25.651990000000001</v>
      </c>
      <c r="AT256" s="1510">
        <f t="shared" si="467"/>
        <v>27.152320000000003</v>
      </c>
      <c r="AU256" s="1510">
        <f t="shared" si="467"/>
        <v>26.685599999999997</v>
      </c>
      <c r="AV256" s="1511">
        <f t="shared" si="467"/>
        <v>26.189520000000002</v>
      </c>
      <c r="AW256" s="1509">
        <f t="shared" si="467"/>
        <v>25.651990000000001</v>
      </c>
      <c r="AX256" s="1510">
        <f t="shared" si="467"/>
        <v>27.152320000000003</v>
      </c>
      <c r="AY256" s="1510">
        <f t="shared" si="467"/>
        <v>26.685599999999997</v>
      </c>
      <c r="AZ256" s="1511">
        <f t="shared" si="467"/>
        <v>26.189520000000002</v>
      </c>
      <c r="BA256" s="1509">
        <f t="shared" si="467"/>
        <v>25.651990000000001</v>
      </c>
      <c r="BB256" s="1510">
        <f t="shared" si="467"/>
        <v>27.152320000000003</v>
      </c>
      <c r="BC256" s="1510">
        <f t="shared" si="467"/>
        <v>26.685599999999997</v>
      </c>
      <c r="BD256" s="1511">
        <f t="shared" si="467"/>
        <v>26.189520000000002</v>
      </c>
      <c r="BE256" s="289"/>
      <c r="BF256" s="1054"/>
      <c r="BG256" s="226"/>
      <c r="BH256" s="289"/>
      <c r="BI256" s="289"/>
      <c r="BJ256" s="289"/>
      <c r="BK256" s="289"/>
      <c r="BL256" s="289"/>
      <c r="BM256" s="901">
        <f t="shared" si="468"/>
        <v>32.006510000000006</v>
      </c>
      <c r="BN256" s="900">
        <f t="shared" si="469"/>
        <v>48.055129999999998</v>
      </c>
      <c r="BO256" s="901">
        <f t="shared" si="470"/>
        <v>62.995249999999992</v>
      </c>
      <c r="BP256" s="901">
        <f t="shared" si="471"/>
        <v>67.494809999999987</v>
      </c>
      <c r="BQ256" s="901"/>
      <c r="BR256" s="901"/>
      <c r="BS256" s="901"/>
      <c r="BT256" s="901"/>
      <c r="BU256" s="1000"/>
      <c r="BV256" s="1000"/>
      <c r="BW256" s="1000"/>
      <c r="BX256" s="1000"/>
      <c r="BY256" s="999"/>
      <c r="BZ256" s="281"/>
    </row>
    <row r="257" spans="2:78" s="90" customFormat="1" ht="11.25" customHeight="1">
      <c r="B257" s="226"/>
      <c r="C257" s="226"/>
      <c r="D257" s="226"/>
      <c r="E257" s="226"/>
      <c r="F257" s="226"/>
      <c r="G257" s="226"/>
      <c r="H257" s="226"/>
      <c r="I257" s="478" t="s">
        <v>456</v>
      </c>
      <c r="J257" s="226"/>
      <c r="K257" s="226"/>
      <c r="L257" s="226"/>
      <c r="M257" s="289"/>
      <c r="N257" s="289"/>
      <c r="O257" s="289"/>
      <c r="P257" s="289"/>
      <c r="Q257" s="289"/>
      <c r="R257" s="289"/>
      <c r="S257" s="289"/>
      <c r="T257" s="1234"/>
      <c r="U257" s="1257"/>
      <c r="V257" s="289"/>
      <c r="W257" s="289"/>
      <c r="X257" s="289"/>
      <c r="Y257" s="1459">
        <f t="shared" ref="Y257:AQ257" si="476">+Y268*Y12</f>
        <v>5.5359600000000002</v>
      </c>
      <c r="Z257" s="1433">
        <f t="shared" si="476"/>
        <v>6.05253</v>
      </c>
      <c r="AA257" s="1433">
        <f t="shared" si="476"/>
        <v>6.7299099999999994</v>
      </c>
      <c r="AB257" s="1460">
        <f t="shared" si="476"/>
        <v>7.0651000000000002</v>
      </c>
      <c r="AC257" s="1459">
        <f t="shared" si="476"/>
        <v>8.4047699999999992</v>
      </c>
      <c r="AD257" s="1433">
        <f t="shared" si="476"/>
        <v>9.7665700000000015</v>
      </c>
      <c r="AE257" s="1433">
        <f t="shared" si="476"/>
        <v>11.270049999999999</v>
      </c>
      <c r="AF257" s="1460">
        <f t="shared" si="476"/>
        <v>12.087569999999999</v>
      </c>
      <c r="AG257" s="1459">
        <f t="shared" si="476"/>
        <v>12.298</v>
      </c>
      <c r="AH257" s="1433">
        <f t="shared" si="476"/>
        <v>13.815999999999999</v>
      </c>
      <c r="AI257" s="1433">
        <f t="shared" si="476"/>
        <v>13.46</v>
      </c>
      <c r="AJ257" s="1460">
        <f t="shared" si="476"/>
        <v>14.67</v>
      </c>
      <c r="AK257" s="1433">
        <f t="shared" si="476"/>
        <v>15.8613</v>
      </c>
      <c r="AL257" s="1433">
        <f t="shared" si="476"/>
        <v>15.608519999999999</v>
      </c>
      <c r="AM257" s="1433">
        <f t="shared" si="476"/>
        <v>18.623200000000001</v>
      </c>
      <c r="AN257" s="1460">
        <f t="shared" si="476"/>
        <v>17.531639999999999</v>
      </c>
      <c r="AO257" s="1433">
        <f t="shared" si="476"/>
        <v>17.759070000000001</v>
      </c>
      <c r="AP257" s="1433">
        <f t="shared" si="476"/>
        <v>18.79776</v>
      </c>
      <c r="AQ257" s="1433">
        <f t="shared" si="476"/>
        <v>20.014199999999999</v>
      </c>
      <c r="AR257" s="1460">
        <f t="shared" ref="AR257" si="477">+AR268*AR12</f>
        <v>19.642140000000001</v>
      </c>
      <c r="AS257" s="1459">
        <f t="shared" si="467"/>
        <v>17.759070000000001</v>
      </c>
      <c r="AT257" s="1433">
        <f t="shared" si="467"/>
        <v>18.79776</v>
      </c>
      <c r="AU257" s="1433">
        <f t="shared" si="467"/>
        <v>20.014199999999999</v>
      </c>
      <c r="AV257" s="1460">
        <f t="shared" si="467"/>
        <v>19.642140000000001</v>
      </c>
      <c r="AW257" s="1459">
        <f t="shared" si="467"/>
        <v>17.759070000000001</v>
      </c>
      <c r="AX257" s="1433">
        <f t="shared" si="467"/>
        <v>18.79776</v>
      </c>
      <c r="AY257" s="1433">
        <f t="shared" si="467"/>
        <v>20.014199999999999</v>
      </c>
      <c r="AZ257" s="1460">
        <f t="shared" si="467"/>
        <v>19.642140000000001</v>
      </c>
      <c r="BA257" s="1459">
        <f t="shared" si="467"/>
        <v>17.759070000000001</v>
      </c>
      <c r="BB257" s="1433">
        <f t="shared" si="467"/>
        <v>18.79776</v>
      </c>
      <c r="BC257" s="1433">
        <f t="shared" si="467"/>
        <v>20.014199999999999</v>
      </c>
      <c r="BD257" s="1460">
        <f t="shared" si="467"/>
        <v>19.642140000000001</v>
      </c>
      <c r="BE257" s="289"/>
      <c r="BF257" s="1054"/>
      <c r="BG257" s="226"/>
      <c r="BH257" s="289"/>
      <c r="BI257" s="289"/>
      <c r="BJ257" s="289"/>
      <c r="BK257" s="289"/>
      <c r="BL257" s="289"/>
      <c r="BM257" s="901">
        <f t="shared" si="468"/>
        <v>25.383500000000002</v>
      </c>
      <c r="BN257" s="900">
        <f t="shared" si="469"/>
        <v>41.528959999999998</v>
      </c>
      <c r="BO257" s="901">
        <f t="shared" si="470"/>
        <v>54.244</v>
      </c>
      <c r="BP257" s="901">
        <f t="shared" si="471"/>
        <v>57.807299999999998</v>
      </c>
      <c r="BQ257" s="901"/>
      <c r="BR257" s="901"/>
      <c r="BS257" s="901"/>
      <c r="BT257" s="901"/>
      <c r="BU257" s="1000"/>
      <c r="BV257" s="1000"/>
      <c r="BW257" s="1000"/>
      <c r="BX257" s="1000"/>
      <c r="BY257" s="999"/>
      <c r="BZ257" s="281"/>
    </row>
    <row r="258" spans="2:78" s="90" customFormat="1" ht="11.25" customHeight="1">
      <c r="B258" s="226"/>
      <c r="C258" s="226"/>
      <c r="D258" s="226"/>
      <c r="E258" s="226"/>
      <c r="F258" s="226"/>
      <c r="G258" s="226"/>
      <c r="H258" s="226"/>
      <c r="I258" s="863" t="s">
        <v>457</v>
      </c>
      <c r="J258" s="226"/>
      <c r="K258" s="226"/>
      <c r="L258" s="226"/>
      <c r="M258" s="289"/>
      <c r="N258" s="289"/>
      <c r="O258" s="289"/>
      <c r="P258" s="289"/>
      <c r="Q258" s="289"/>
      <c r="R258" s="289"/>
      <c r="S258" s="289"/>
      <c r="T258" s="1234"/>
      <c r="U258" s="1257"/>
      <c r="V258" s="289"/>
      <c r="W258" s="289"/>
      <c r="X258" s="289"/>
      <c r="Y258" s="1459">
        <f t="shared" ref="Y258:AQ258" si="478">+Y269*Y12</f>
        <v>5.07463</v>
      </c>
      <c r="Z258" s="1433">
        <f t="shared" si="478"/>
        <v>6.60276</v>
      </c>
      <c r="AA258" s="1433">
        <f t="shared" si="478"/>
        <v>7.3417199999999996</v>
      </c>
      <c r="AB258" s="1460">
        <f t="shared" si="478"/>
        <v>7.7716099999999999</v>
      </c>
      <c r="AC258" s="1459">
        <f t="shared" si="478"/>
        <v>8.4047699999999992</v>
      </c>
      <c r="AD258" s="1433">
        <f t="shared" si="478"/>
        <v>10.654440000000001</v>
      </c>
      <c r="AE258" s="1433">
        <f t="shared" si="478"/>
        <v>11.270049999999999</v>
      </c>
      <c r="AF258" s="1460">
        <f t="shared" si="478"/>
        <v>12.087569999999999</v>
      </c>
      <c r="AG258" s="1459">
        <f t="shared" si="478"/>
        <v>12.298</v>
      </c>
      <c r="AH258" s="1743">
        <f t="shared" si="478"/>
        <v>13.815999999999999</v>
      </c>
      <c r="AI258" s="1743">
        <f t="shared" si="478"/>
        <v>14.805999999999999</v>
      </c>
      <c r="AJ258" s="1460">
        <f t="shared" si="478"/>
        <v>16.137</v>
      </c>
      <c r="AK258" s="1433">
        <f t="shared" si="478"/>
        <v>17.447430000000001</v>
      </c>
      <c r="AL258" s="1433">
        <f t="shared" si="478"/>
        <v>19.077079999999999</v>
      </c>
      <c r="AM258" s="1433">
        <f t="shared" si="478"/>
        <v>18.623200000000001</v>
      </c>
      <c r="AN258" s="1460">
        <f t="shared" si="478"/>
        <v>21.42756</v>
      </c>
      <c r="AO258" s="1433">
        <f t="shared" si="478"/>
        <v>21.70553</v>
      </c>
      <c r="AP258" s="1433">
        <f t="shared" si="478"/>
        <v>22.97504</v>
      </c>
      <c r="AQ258" s="1433">
        <f t="shared" si="478"/>
        <v>24.4618</v>
      </c>
      <c r="AR258" s="1460">
        <f t="shared" ref="AR258" si="479">+AR269*AR12</f>
        <v>24.007060000000003</v>
      </c>
      <c r="AS258" s="1509">
        <f t="shared" si="467"/>
        <v>21.70553</v>
      </c>
      <c r="AT258" s="1510">
        <f t="shared" si="467"/>
        <v>22.97504</v>
      </c>
      <c r="AU258" s="1510">
        <f t="shared" si="467"/>
        <v>24.4618</v>
      </c>
      <c r="AV258" s="1511">
        <f t="shared" si="467"/>
        <v>24.007060000000003</v>
      </c>
      <c r="AW258" s="1509">
        <f t="shared" si="467"/>
        <v>21.70553</v>
      </c>
      <c r="AX258" s="1510">
        <f t="shared" si="467"/>
        <v>22.97504</v>
      </c>
      <c r="AY258" s="1510">
        <f t="shared" si="467"/>
        <v>24.4618</v>
      </c>
      <c r="AZ258" s="1511">
        <f t="shared" si="467"/>
        <v>24.007060000000003</v>
      </c>
      <c r="BA258" s="1509">
        <f t="shared" si="467"/>
        <v>21.70553</v>
      </c>
      <c r="BB258" s="1510">
        <f t="shared" si="467"/>
        <v>22.97504</v>
      </c>
      <c r="BC258" s="1510">
        <f t="shared" si="467"/>
        <v>24.4618</v>
      </c>
      <c r="BD258" s="1511">
        <f t="shared" si="467"/>
        <v>24.007060000000003</v>
      </c>
      <c r="BE258" s="289"/>
      <c r="BF258" s="1054"/>
      <c r="BG258" s="226"/>
      <c r="BH258" s="289"/>
      <c r="BI258" s="289"/>
      <c r="BJ258" s="289"/>
      <c r="BK258" s="289"/>
      <c r="BL258" s="289"/>
      <c r="BM258" s="901">
        <f t="shared" si="468"/>
        <v>26.790719999999997</v>
      </c>
      <c r="BN258" s="900">
        <f t="shared" si="469"/>
        <v>42.416829999999997</v>
      </c>
      <c r="BO258" s="901">
        <f t="shared" si="470"/>
        <v>57.056999999999995</v>
      </c>
      <c r="BP258" s="901">
        <f t="shared" si="471"/>
        <v>62.206429999999997</v>
      </c>
      <c r="BQ258" s="901"/>
      <c r="BR258" s="901"/>
      <c r="BS258" s="901"/>
      <c r="BT258" s="901"/>
      <c r="BU258" s="1000"/>
      <c r="BV258" s="1000"/>
      <c r="BW258" s="1000"/>
      <c r="BX258" s="1000"/>
      <c r="BY258" s="999"/>
      <c r="BZ258" s="281"/>
    </row>
    <row r="259" spans="2:78" s="1425" customFormat="1" ht="11.25" customHeight="1">
      <c r="B259" s="1426"/>
      <c r="C259" s="1426"/>
      <c r="D259" s="1426"/>
      <c r="E259" s="1426"/>
      <c r="F259" s="1426"/>
      <c r="G259" s="1426"/>
      <c r="H259" s="1426"/>
      <c r="I259" s="1501" t="s">
        <v>458</v>
      </c>
      <c r="J259" s="1426"/>
      <c r="K259" s="1426"/>
      <c r="L259" s="1426"/>
      <c r="M259" s="1427"/>
      <c r="N259" s="1427"/>
      <c r="O259" s="1427"/>
      <c r="P259" s="1427"/>
      <c r="Q259" s="1427"/>
      <c r="R259" s="1427"/>
      <c r="S259" s="1427"/>
      <c r="T259" s="1502"/>
      <c r="U259" s="1428"/>
      <c r="V259" s="1427"/>
      <c r="W259" s="1427"/>
      <c r="X259" s="1427"/>
      <c r="Y259" s="1485">
        <f t="shared" ref="Y259:AQ259" si="480">+Y270*Y12</f>
        <v>11.533250000000001</v>
      </c>
      <c r="Z259" s="1434">
        <f t="shared" si="480"/>
        <v>12.655290000000001</v>
      </c>
      <c r="AA259" s="1434">
        <f t="shared" si="480"/>
        <v>14.683439999999999</v>
      </c>
      <c r="AB259" s="1486">
        <f t="shared" si="480"/>
        <v>17.662749999999999</v>
      </c>
      <c r="AC259" s="1485">
        <f t="shared" si="480"/>
        <v>18.337679999999999</v>
      </c>
      <c r="AD259" s="1434">
        <f t="shared" si="480"/>
        <v>20.421010000000003</v>
      </c>
      <c r="AE259" s="1434">
        <f t="shared" si="480"/>
        <v>25.61375</v>
      </c>
      <c r="AF259" s="1486">
        <f t="shared" si="480"/>
        <v>26.372879999999999</v>
      </c>
      <c r="AG259" s="1485">
        <f t="shared" si="480"/>
        <v>26.831999999999997</v>
      </c>
      <c r="AH259" s="1746">
        <f t="shared" si="480"/>
        <v>28.888000000000002</v>
      </c>
      <c r="AI259" s="1746">
        <f t="shared" si="480"/>
        <v>32.303999999999995</v>
      </c>
      <c r="AJ259" s="1486">
        <f t="shared" si="480"/>
        <v>36.674999999999997</v>
      </c>
      <c r="AK259" s="1434">
        <f t="shared" si="480"/>
        <v>38.067119999999996</v>
      </c>
      <c r="AL259" s="1434">
        <f t="shared" si="480"/>
        <v>41.622720000000001</v>
      </c>
      <c r="AM259" s="1434">
        <f t="shared" si="480"/>
        <v>42.833359999999999</v>
      </c>
      <c r="AN259" s="1486">
        <f t="shared" si="480"/>
        <v>46.751039999999996</v>
      </c>
      <c r="AO259" s="1434">
        <f t="shared" si="480"/>
        <v>45.384290000000007</v>
      </c>
      <c r="AP259" s="1434">
        <f t="shared" si="480"/>
        <v>45.95008</v>
      </c>
      <c r="AQ259" s="1434">
        <f t="shared" si="480"/>
        <v>48.9236</v>
      </c>
      <c r="AR259" s="1486">
        <f t="shared" ref="AR259" si="481">+AR270*AR12</f>
        <v>50.196580000000004</v>
      </c>
      <c r="AS259" s="1512" t="e">
        <f t="shared" ref="AS259:BD259" si="482">+AS260-SUM(AS254:AS258)</f>
        <v>#REF!</v>
      </c>
      <c r="AT259" s="1513" t="e">
        <f t="shared" si="482"/>
        <v>#REF!</v>
      </c>
      <c r="AU259" s="1513" t="e">
        <f t="shared" si="482"/>
        <v>#REF!</v>
      </c>
      <c r="AV259" s="1514" t="e">
        <f t="shared" si="482"/>
        <v>#REF!</v>
      </c>
      <c r="AW259" s="1512" t="e">
        <f t="shared" si="482"/>
        <v>#REF!</v>
      </c>
      <c r="AX259" s="1513" t="e">
        <f t="shared" si="482"/>
        <v>#REF!</v>
      </c>
      <c r="AY259" s="1513" t="e">
        <f t="shared" si="482"/>
        <v>#REF!</v>
      </c>
      <c r="AZ259" s="1514" t="e">
        <f t="shared" si="482"/>
        <v>#REF!</v>
      </c>
      <c r="BA259" s="1512" t="e">
        <f t="shared" si="482"/>
        <v>#REF!</v>
      </c>
      <c r="BB259" s="1513" t="e">
        <f t="shared" si="482"/>
        <v>#REF!</v>
      </c>
      <c r="BC259" s="1513" t="e">
        <f t="shared" si="482"/>
        <v>#REF!</v>
      </c>
      <c r="BD259" s="1514" t="e">
        <f t="shared" si="482"/>
        <v>#REF!</v>
      </c>
      <c r="BE259" s="1427"/>
      <c r="BF259" s="1631"/>
      <c r="BG259" s="1426"/>
      <c r="BH259" s="1427"/>
      <c r="BI259" s="1427"/>
      <c r="BJ259" s="1427"/>
      <c r="BK259" s="1427"/>
      <c r="BL259" s="1427"/>
      <c r="BM259" s="1934">
        <f t="shared" si="468"/>
        <v>56.534729999999996</v>
      </c>
      <c r="BN259" s="1935">
        <f t="shared" si="469"/>
        <v>90.745319999999992</v>
      </c>
      <c r="BO259" s="1934">
        <f t="shared" si="470"/>
        <v>124.699</v>
      </c>
      <c r="BP259" s="1934">
        <f t="shared" si="471"/>
        <v>135.93411999999998</v>
      </c>
      <c r="BQ259" s="1934"/>
      <c r="BR259" s="1934"/>
      <c r="BS259" s="1934"/>
      <c r="BT259" s="1934"/>
      <c r="BU259" s="1429"/>
      <c r="BV259" s="1429"/>
      <c r="BW259" s="1429"/>
      <c r="BX259" s="1429"/>
      <c r="BY259" s="1430"/>
      <c r="BZ259" s="1431"/>
    </row>
    <row r="260" spans="2:78" s="90" customFormat="1" ht="11.25" customHeight="1">
      <c r="B260" s="226"/>
      <c r="C260" s="226"/>
      <c r="D260" s="226"/>
      <c r="E260" s="226"/>
      <c r="F260" s="226"/>
      <c r="G260" s="226"/>
      <c r="H260" s="226"/>
      <c r="I260" s="1500" t="s">
        <v>494</v>
      </c>
      <c r="J260" s="226"/>
      <c r="K260" s="226"/>
      <c r="L260" s="226"/>
      <c r="M260" s="289"/>
      <c r="N260" s="289"/>
      <c r="O260" s="289"/>
      <c r="P260" s="289"/>
      <c r="Q260" s="289"/>
      <c r="R260" s="289"/>
      <c r="S260" s="289"/>
      <c r="T260" s="1234"/>
      <c r="U260" s="1257"/>
      <c r="V260" s="289"/>
      <c r="W260" s="289"/>
      <c r="X260" s="289"/>
      <c r="Y260" s="1461">
        <f t="shared" ref="Y260:AG260" si="483">+SUM(Y254:Y259)</f>
        <v>46.133000000000003</v>
      </c>
      <c r="Z260" s="1432">
        <f t="shared" si="483"/>
        <v>55.023000000000003</v>
      </c>
      <c r="AA260" s="1432">
        <f t="shared" si="483"/>
        <v>61.180999999999997</v>
      </c>
      <c r="AB260" s="1462">
        <f t="shared" si="483"/>
        <v>70.650999999999996</v>
      </c>
      <c r="AC260" s="1461">
        <f t="shared" si="483"/>
        <v>76.406999999999996</v>
      </c>
      <c r="AD260" s="1432">
        <f t="shared" si="483"/>
        <v>88.787000000000006</v>
      </c>
      <c r="AE260" s="1432">
        <f t="shared" si="483"/>
        <v>102.455</v>
      </c>
      <c r="AF260" s="1462">
        <f t="shared" si="483"/>
        <v>109.88699999999999</v>
      </c>
      <c r="AG260" s="1461">
        <f t="shared" si="483"/>
        <v>111.8</v>
      </c>
      <c r="AH260" s="1742">
        <f>+SUM(AH254:AH259)</f>
        <v>125.60000000000001</v>
      </c>
      <c r="AI260" s="1742">
        <f>+SUM(AI254:AI259)</f>
        <v>134.6</v>
      </c>
      <c r="AJ260" s="1462" t="e">
        <f t="shared" ref="AJ260:BD260" si="484">+AJ12-AJ144</f>
        <v>#REF!</v>
      </c>
      <c r="AK260" s="1432" t="e">
        <f t="shared" si="484"/>
        <v>#REF!</v>
      </c>
      <c r="AL260" s="1432" t="e">
        <f t="shared" si="484"/>
        <v>#REF!</v>
      </c>
      <c r="AM260" s="1432" t="e">
        <f t="shared" si="484"/>
        <v>#REF!</v>
      </c>
      <c r="AN260" s="1462" t="e">
        <f t="shared" si="484"/>
        <v>#REF!</v>
      </c>
      <c r="AO260" s="1432" t="e">
        <f t="shared" si="484"/>
        <v>#REF!</v>
      </c>
      <c r="AP260" s="1432" t="e">
        <f t="shared" si="484"/>
        <v>#REF!</v>
      </c>
      <c r="AQ260" s="1432" t="e">
        <f t="shared" si="484"/>
        <v>#REF!</v>
      </c>
      <c r="AR260" s="1462" t="e">
        <f t="shared" ref="AR260" si="485">+AR12-AR144</f>
        <v>#REF!</v>
      </c>
      <c r="AS260" s="1461" t="e">
        <f t="shared" si="484"/>
        <v>#REF!</v>
      </c>
      <c r="AT260" s="1432" t="e">
        <f t="shared" si="484"/>
        <v>#REF!</v>
      </c>
      <c r="AU260" s="1432" t="e">
        <f t="shared" si="484"/>
        <v>#REF!</v>
      </c>
      <c r="AV260" s="1462" t="e">
        <f t="shared" si="484"/>
        <v>#REF!</v>
      </c>
      <c r="AW260" s="1461" t="e">
        <f t="shared" si="484"/>
        <v>#REF!</v>
      </c>
      <c r="AX260" s="1432" t="e">
        <f t="shared" si="484"/>
        <v>#REF!</v>
      </c>
      <c r="AY260" s="1432" t="e">
        <f t="shared" si="484"/>
        <v>#REF!</v>
      </c>
      <c r="AZ260" s="1462" t="e">
        <f t="shared" si="484"/>
        <v>#REF!</v>
      </c>
      <c r="BA260" s="1461" t="e">
        <f t="shared" si="484"/>
        <v>#REF!</v>
      </c>
      <c r="BB260" s="1432" t="e">
        <f t="shared" si="484"/>
        <v>#REF!</v>
      </c>
      <c r="BC260" s="1432" t="e">
        <f t="shared" si="484"/>
        <v>#REF!</v>
      </c>
      <c r="BD260" s="1462" t="e">
        <f t="shared" si="484"/>
        <v>#REF!</v>
      </c>
      <c r="BE260" s="289"/>
      <c r="BF260" s="1054"/>
      <c r="BG260" s="226"/>
      <c r="BH260" s="289"/>
      <c r="BI260" s="289"/>
      <c r="BJ260" s="289"/>
      <c r="BK260" s="289"/>
      <c r="BL260" s="289"/>
      <c r="BM260" s="1251">
        <f>SUM(BM254:BM259)</f>
        <v>232.988</v>
      </c>
      <c r="BN260" s="1936">
        <f>SUM(BN254:BN259)</f>
        <v>377.536</v>
      </c>
      <c r="BO260" s="1251">
        <f>SUM(BO254:BO259)</f>
        <v>518.33324999999991</v>
      </c>
      <c r="BP260" s="1251">
        <f>SUM(BP254:BP259)</f>
        <v>565.14625000000001</v>
      </c>
      <c r="BQ260" s="1251"/>
      <c r="BR260" s="1251"/>
      <c r="BS260" s="1251"/>
      <c r="BT260" s="1251"/>
      <c r="BU260" s="1000"/>
      <c r="BV260" s="1000"/>
      <c r="BW260" s="1000"/>
      <c r="BX260" s="1000"/>
      <c r="BY260" s="999"/>
      <c r="BZ260" s="281"/>
    </row>
    <row r="261" spans="2:78" s="90" customFormat="1" ht="11.25" customHeight="1">
      <c r="B261" s="226"/>
      <c r="C261" s="226"/>
      <c r="D261" s="226"/>
      <c r="E261" s="226"/>
      <c r="F261" s="226"/>
      <c r="G261" s="226"/>
      <c r="H261" s="226"/>
      <c r="I261" s="1500"/>
      <c r="J261" s="226"/>
      <c r="K261" s="226"/>
      <c r="L261" s="226"/>
      <c r="M261" s="289"/>
      <c r="N261" s="289"/>
      <c r="O261" s="289"/>
      <c r="P261" s="289"/>
      <c r="Q261" s="289"/>
      <c r="R261" s="289"/>
      <c r="S261" s="289"/>
      <c r="T261" s="1234"/>
      <c r="U261" s="1257"/>
      <c r="V261" s="289"/>
      <c r="W261" s="289"/>
      <c r="X261" s="289"/>
      <c r="Y261" s="1257"/>
      <c r="Z261" s="289"/>
      <c r="AA261" s="289"/>
      <c r="AB261" s="1258"/>
      <c r="AC261" s="1257"/>
      <c r="AD261" s="289"/>
      <c r="AE261" s="289"/>
      <c r="AF261" s="1258"/>
      <c r="AG261" s="1257"/>
      <c r="AH261" s="289"/>
      <c r="AI261" s="289"/>
      <c r="AJ261" s="1234"/>
      <c r="AK261" s="1257"/>
      <c r="AL261" s="289"/>
      <c r="AM261" s="289"/>
      <c r="AN261" s="1234"/>
      <c r="AO261" s="289"/>
      <c r="AP261" s="289"/>
      <c r="AQ261" s="289"/>
      <c r="AR261" s="1234"/>
      <c r="AS261" s="1257"/>
      <c r="AT261" s="289"/>
      <c r="AU261" s="289"/>
      <c r="AV261" s="1234"/>
      <c r="AW261" s="1257"/>
      <c r="AX261" s="289"/>
      <c r="AY261" s="289"/>
      <c r="AZ261" s="1234"/>
      <c r="BA261" s="1257"/>
      <c r="BB261" s="289"/>
      <c r="BC261" s="289"/>
      <c r="BD261" s="1234"/>
      <c r="BE261" s="289"/>
      <c r="BF261" s="1054"/>
      <c r="BG261" s="226"/>
      <c r="BH261" s="289"/>
      <c r="BI261" s="289"/>
      <c r="BJ261" s="289"/>
      <c r="BK261" s="289"/>
      <c r="BL261" s="289"/>
      <c r="BM261" s="289"/>
      <c r="BN261" s="1257"/>
      <c r="BO261" s="289"/>
      <c r="BP261" s="289"/>
      <c r="BQ261" s="289"/>
      <c r="BR261" s="289"/>
      <c r="BS261" s="289"/>
      <c r="BT261" s="289"/>
      <c r="BU261" s="1000"/>
      <c r="BV261" s="1000"/>
      <c r="BW261" s="1000"/>
      <c r="BX261" s="1000"/>
      <c r="BY261" s="999"/>
      <c r="BZ261" s="281"/>
    </row>
    <row r="262" spans="2:78" s="90" customFormat="1" ht="11.25" customHeight="1">
      <c r="B262" s="226"/>
      <c r="C262" s="226"/>
      <c r="D262" s="226"/>
      <c r="E262" s="226"/>
      <c r="F262" s="226"/>
      <c r="G262" s="226"/>
      <c r="H262" s="226"/>
      <c r="I262" s="1500" t="s">
        <v>697</v>
      </c>
      <c r="J262" s="226"/>
      <c r="K262" s="226"/>
      <c r="L262" s="226"/>
      <c r="M262" s="289"/>
      <c r="N262" s="289"/>
      <c r="O262" s="289"/>
      <c r="P262" s="289"/>
      <c r="Q262" s="289"/>
      <c r="R262" s="289"/>
      <c r="S262" s="289"/>
      <c r="T262" s="1234"/>
      <c r="U262" s="1257"/>
      <c r="V262" s="289"/>
      <c r="W262" s="289"/>
      <c r="X262" s="289"/>
      <c r="Y262" s="1257"/>
      <c r="Z262" s="289"/>
      <c r="AA262" s="289"/>
      <c r="AB262" s="1258"/>
      <c r="AC262" s="1257"/>
      <c r="AD262" s="289"/>
      <c r="AE262" s="289"/>
      <c r="AF262" s="1258"/>
      <c r="AG262" s="2803">
        <f t="shared" ref="AG262:BD262" si="486">SUM(AG254:AG258)</f>
        <v>84.968000000000004</v>
      </c>
      <c r="AH262" s="2803">
        <f t="shared" si="486"/>
        <v>96.712000000000003</v>
      </c>
      <c r="AI262" s="2803">
        <f t="shared" si="486"/>
        <v>102.29600000000001</v>
      </c>
      <c r="AJ262" s="2804">
        <f t="shared" si="486"/>
        <v>109.65825</v>
      </c>
      <c r="AK262" s="2833">
        <f t="shared" si="486"/>
        <v>120.54587999999998</v>
      </c>
      <c r="AL262" s="2803">
        <f t="shared" si="486"/>
        <v>131.80527999999998</v>
      </c>
      <c r="AM262" s="2803">
        <f t="shared" si="486"/>
        <v>143.39864</v>
      </c>
      <c r="AN262" s="2804">
        <f t="shared" si="486"/>
        <v>148.53194999999999</v>
      </c>
      <c r="AO262" s="2833">
        <f t="shared" si="486"/>
        <v>151.93871000000001</v>
      </c>
      <c r="AP262" s="2803">
        <f>SUM(AP254:AP258)</f>
        <v>162.91392000000002</v>
      </c>
      <c r="AQ262" s="2803">
        <f t="shared" si="486"/>
        <v>173.4564</v>
      </c>
      <c r="AR262" s="2804">
        <f t="shared" ref="AR262" si="487">SUM(AR254:AR258)</f>
        <v>168.04942</v>
      </c>
      <c r="AS262" s="2833">
        <f t="shared" si="486"/>
        <v>151.93871000000001</v>
      </c>
      <c r="AT262" s="2803">
        <f t="shared" si="486"/>
        <v>162.91392000000002</v>
      </c>
      <c r="AU262" s="2803">
        <f t="shared" si="486"/>
        <v>173.4564</v>
      </c>
      <c r="AV262" s="2804">
        <f t="shared" si="486"/>
        <v>168.04942</v>
      </c>
      <c r="AW262" s="2833">
        <f t="shared" si="486"/>
        <v>151.93871000000001</v>
      </c>
      <c r="AX262" s="2803">
        <f t="shared" si="486"/>
        <v>162.91392000000002</v>
      </c>
      <c r="AY262" s="2803">
        <f t="shared" si="486"/>
        <v>173.4564</v>
      </c>
      <c r="AZ262" s="2804">
        <f t="shared" si="486"/>
        <v>168.04942</v>
      </c>
      <c r="BA262" s="2833">
        <f t="shared" si="486"/>
        <v>151.93871000000001</v>
      </c>
      <c r="BB262" s="2803">
        <f t="shared" si="486"/>
        <v>162.91392000000002</v>
      </c>
      <c r="BC262" s="2803">
        <f t="shared" si="486"/>
        <v>173.4564</v>
      </c>
      <c r="BD262" s="2804">
        <f t="shared" si="486"/>
        <v>168.04942</v>
      </c>
      <c r="BE262" s="289"/>
      <c r="BF262" s="1054"/>
      <c r="BG262" s="226"/>
      <c r="BH262" s="289"/>
      <c r="BI262" s="289"/>
      <c r="BJ262" s="289"/>
      <c r="BK262" s="289"/>
      <c r="BL262" s="289"/>
      <c r="BM262" s="1251">
        <f>SUM(BM254:BM258)</f>
        <v>176.45327</v>
      </c>
      <c r="BN262" s="1936">
        <f>SUM(BN254:BN258)</f>
        <v>286.79068000000001</v>
      </c>
      <c r="BO262" s="1251">
        <f>SUM(BO254:BO258)</f>
        <v>393.63424999999995</v>
      </c>
      <c r="BP262" s="1251">
        <f>SUM(BP254:BP258)</f>
        <v>429.21213</v>
      </c>
      <c r="BQ262" s="1251"/>
      <c r="BR262" s="1251"/>
      <c r="BS262" s="1251"/>
      <c r="BT262" s="1251"/>
      <c r="BU262" s="1000"/>
      <c r="BV262" s="1000"/>
      <c r="BW262" s="1000"/>
      <c r="BX262" s="1000"/>
      <c r="BY262" s="999"/>
      <c r="BZ262" s="281"/>
    </row>
    <row r="263" spans="2:78" s="90" customFormat="1" ht="11.25" customHeight="1">
      <c r="B263" s="226"/>
      <c r="C263" s="226"/>
      <c r="D263" s="226"/>
      <c r="E263" s="226"/>
      <c r="F263" s="226"/>
      <c r="G263" s="226"/>
      <c r="H263" s="226"/>
      <c r="I263" s="1500"/>
      <c r="J263" s="226"/>
      <c r="K263" s="226"/>
      <c r="L263" s="226"/>
      <c r="M263" s="289"/>
      <c r="N263" s="289"/>
      <c r="O263" s="289"/>
      <c r="P263" s="289"/>
      <c r="Q263" s="289"/>
      <c r="R263" s="289"/>
      <c r="S263" s="289"/>
      <c r="T263" s="1234"/>
      <c r="U263" s="1257"/>
      <c r="V263" s="289"/>
      <c r="W263" s="289"/>
      <c r="X263" s="289"/>
      <c r="Y263" s="1257"/>
      <c r="Z263" s="289"/>
      <c r="AA263" s="289"/>
      <c r="AB263" s="1258"/>
      <c r="AC263" s="1257"/>
      <c r="AD263" s="289"/>
      <c r="AE263" s="289"/>
      <c r="AF263" s="1258"/>
      <c r="AG263" s="1257"/>
      <c r="AH263" s="289"/>
      <c r="AI263" s="289"/>
      <c r="AJ263" s="1234"/>
      <c r="AK263" s="1257"/>
      <c r="AL263" s="289"/>
      <c r="AM263" s="289"/>
      <c r="AN263" s="1234"/>
      <c r="AO263" s="1257"/>
      <c r="AP263" s="289"/>
      <c r="AQ263" s="289"/>
      <c r="AR263" s="1234"/>
      <c r="AS263" s="1257"/>
      <c r="AT263" s="289"/>
      <c r="AU263" s="289"/>
      <c r="AV263" s="1234"/>
      <c r="AW263" s="1257"/>
      <c r="AX263" s="289"/>
      <c r="AY263" s="289"/>
      <c r="AZ263" s="1234"/>
      <c r="BA263" s="1257"/>
      <c r="BB263" s="289"/>
      <c r="BC263" s="289"/>
      <c r="BD263" s="1234"/>
      <c r="BE263" s="289"/>
      <c r="BF263" s="1054"/>
      <c r="BG263" s="226"/>
      <c r="BH263" s="289"/>
      <c r="BI263" s="289"/>
      <c r="BJ263" s="289"/>
      <c r="BK263" s="289"/>
      <c r="BL263" s="289"/>
      <c r="BM263" s="289"/>
      <c r="BN263" s="1257"/>
      <c r="BO263" s="289"/>
      <c r="BP263" s="289"/>
      <c r="BQ263" s="289"/>
      <c r="BR263" s="289"/>
      <c r="BS263" s="289"/>
      <c r="BT263" s="289"/>
      <c r="BU263" s="1000"/>
      <c r="BV263" s="1000"/>
      <c r="BW263" s="1000"/>
      <c r="BX263" s="1000"/>
      <c r="BY263" s="999"/>
      <c r="BZ263" s="281"/>
    </row>
    <row r="264" spans="2:78" s="90" customFormat="1" ht="11.25" customHeight="1">
      <c r="B264" s="226"/>
      <c r="C264" s="226"/>
      <c r="D264" s="226"/>
      <c r="E264" s="226"/>
      <c r="F264" s="226"/>
      <c r="G264" s="226"/>
      <c r="H264" s="226"/>
      <c r="I264" s="1503" t="s">
        <v>495</v>
      </c>
      <c r="J264" s="226"/>
      <c r="K264" s="226"/>
      <c r="L264" s="226"/>
      <c r="M264" s="289"/>
      <c r="N264" s="289"/>
      <c r="O264" s="289"/>
      <c r="P264" s="289"/>
      <c r="Q264" s="289"/>
      <c r="R264" s="289"/>
      <c r="S264" s="289"/>
      <c r="T264" s="1234"/>
      <c r="U264" s="1257"/>
      <c r="V264" s="289"/>
      <c r="W264" s="289"/>
      <c r="X264" s="289"/>
      <c r="Y264" s="1257"/>
      <c r="Z264" s="289"/>
      <c r="AA264" s="289"/>
      <c r="AB264" s="1258"/>
      <c r="AC264" s="1257"/>
      <c r="AD264" s="289"/>
      <c r="AE264" s="289"/>
      <c r="AF264" s="1258"/>
      <c r="AG264" s="1257"/>
      <c r="AH264" s="289"/>
      <c r="AI264" s="289"/>
      <c r="AJ264" s="1234"/>
      <c r="AK264" s="1257"/>
      <c r="AL264" s="289"/>
      <c r="AM264" s="289"/>
      <c r="AN264" s="1234"/>
      <c r="AO264" s="1257"/>
      <c r="AP264" s="289"/>
      <c r="AQ264" s="289"/>
      <c r="AR264" s="1234"/>
      <c r="AS264" s="1257"/>
      <c r="AT264" s="289"/>
      <c r="AU264" s="289"/>
      <c r="AV264" s="1234"/>
      <c r="AW264" s="1257"/>
      <c r="AX264" s="289"/>
      <c r="AY264" s="289"/>
      <c r="AZ264" s="1234"/>
      <c r="BA264" s="1257"/>
      <c r="BB264" s="289"/>
      <c r="BC264" s="289"/>
      <c r="BD264" s="1234"/>
      <c r="BE264" s="289"/>
      <c r="BF264" s="1054"/>
      <c r="BG264" s="226"/>
      <c r="BH264" s="289"/>
      <c r="BI264" s="289"/>
      <c r="BJ264" s="289"/>
      <c r="BK264" s="289"/>
      <c r="BL264" s="289"/>
      <c r="BM264" s="289"/>
      <c r="BN264" s="1257"/>
      <c r="BO264" s="289"/>
      <c r="BP264" s="289"/>
      <c r="BQ264" s="289"/>
      <c r="BR264" s="289"/>
      <c r="BS264" s="289"/>
      <c r="BT264" s="289"/>
      <c r="BU264" s="1000"/>
      <c r="BV264" s="1000"/>
      <c r="BW264" s="1000"/>
      <c r="BX264" s="1000"/>
      <c r="BY264" s="999"/>
      <c r="BZ264" s="281"/>
    </row>
    <row r="265" spans="2:78" s="42" customFormat="1" ht="11.25" customHeight="1">
      <c r="B265" s="83"/>
      <c r="C265" s="83"/>
      <c r="D265" s="83"/>
      <c r="E265" s="83"/>
      <c r="F265" s="83"/>
      <c r="G265" s="83"/>
      <c r="H265" s="83"/>
      <c r="I265" s="656" t="s">
        <v>453</v>
      </c>
      <c r="J265" s="83"/>
      <c r="K265" s="83"/>
      <c r="L265" s="83"/>
      <c r="M265" s="264"/>
      <c r="N265" s="264"/>
      <c r="O265" s="264"/>
      <c r="P265" s="264"/>
      <c r="Q265" s="264"/>
      <c r="R265" s="264"/>
      <c r="S265" s="264"/>
      <c r="T265" s="1242"/>
      <c r="U265" s="1373"/>
      <c r="V265" s="264"/>
      <c r="W265" s="264"/>
      <c r="X265" s="1242"/>
      <c r="Y265" s="1505">
        <v>0.22</v>
      </c>
      <c r="Z265" s="1227">
        <v>0.24</v>
      </c>
      <c r="AA265" s="1227">
        <v>0.24</v>
      </c>
      <c r="AB265" s="1229">
        <v>0.24</v>
      </c>
      <c r="AC265" s="1505">
        <v>0.25</v>
      </c>
      <c r="AD265" s="1227">
        <v>0.26</v>
      </c>
      <c r="AE265" s="1227">
        <v>0.26</v>
      </c>
      <c r="AF265" s="1229">
        <v>0.26</v>
      </c>
      <c r="AG265" s="1505">
        <v>0.26</v>
      </c>
      <c r="AH265" s="1227">
        <v>0.28000000000000003</v>
      </c>
      <c r="AI265" s="1227">
        <v>0.28000000000000003</v>
      </c>
      <c r="AJ265" s="2480">
        <v>0.28000000000000003</v>
      </c>
      <c r="AK265" s="2481">
        <v>0.28999999999999998</v>
      </c>
      <c r="AL265" s="2481">
        <v>0.3</v>
      </c>
      <c r="AM265" s="2481">
        <v>0.3</v>
      </c>
      <c r="AN265" s="2480">
        <v>0.29749999999999999</v>
      </c>
      <c r="AO265" s="2481">
        <v>0.3</v>
      </c>
      <c r="AP265" s="2481">
        <v>0.31</v>
      </c>
      <c r="AQ265" s="2481">
        <v>0.31</v>
      </c>
      <c r="AR265" s="2480">
        <v>0.31</v>
      </c>
      <c r="AS265" s="1141" t="e">
        <f t="shared" ref="AS265:BD265" si="488">+AS254/AS$260</f>
        <v>#REF!</v>
      </c>
      <c r="AT265" s="1128" t="e">
        <f t="shared" si="488"/>
        <v>#REF!</v>
      </c>
      <c r="AU265" s="1128" t="e">
        <f t="shared" si="488"/>
        <v>#REF!</v>
      </c>
      <c r="AV265" s="1129" t="e">
        <f t="shared" si="488"/>
        <v>#REF!</v>
      </c>
      <c r="AW265" s="1141" t="e">
        <f t="shared" si="488"/>
        <v>#REF!</v>
      </c>
      <c r="AX265" s="1128" t="e">
        <f t="shared" si="488"/>
        <v>#REF!</v>
      </c>
      <c r="AY265" s="1128" t="e">
        <f t="shared" si="488"/>
        <v>#REF!</v>
      </c>
      <c r="AZ265" s="1129" t="e">
        <f t="shared" si="488"/>
        <v>#REF!</v>
      </c>
      <c r="BA265" s="1141" t="e">
        <f t="shared" si="488"/>
        <v>#REF!</v>
      </c>
      <c r="BB265" s="1128" t="e">
        <f t="shared" si="488"/>
        <v>#REF!</v>
      </c>
      <c r="BC265" s="1128" t="e">
        <f t="shared" si="488"/>
        <v>#REF!</v>
      </c>
      <c r="BD265" s="1129" t="e">
        <f t="shared" si="488"/>
        <v>#REF!</v>
      </c>
      <c r="BE265" s="264"/>
      <c r="BF265" s="656"/>
      <c r="BG265" s="83"/>
      <c r="BH265" s="264"/>
      <c r="BI265" s="264"/>
      <c r="BJ265" s="264"/>
      <c r="BK265" s="264"/>
      <c r="BL265" s="264"/>
      <c r="BM265" s="264">
        <f t="shared" ref="BM265:BP270" si="489">BM254/BM$260</f>
        <v>0.23603988188232866</v>
      </c>
      <c r="BN265" s="1373">
        <f t="shared" si="489"/>
        <v>0.25797616651127309</v>
      </c>
      <c r="BO265" s="264">
        <f t="shared" si="489"/>
        <v>0.27588428872737764</v>
      </c>
      <c r="BP265" s="264">
        <f t="shared" si="489"/>
        <v>0.28298828842976487</v>
      </c>
      <c r="BQ265" s="264"/>
      <c r="BR265" s="264"/>
      <c r="BS265" s="264"/>
      <c r="BT265" s="264"/>
      <c r="BU265" s="1227"/>
      <c r="BV265" s="1227"/>
      <c r="BW265" s="1227"/>
      <c r="BX265" s="1227"/>
      <c r="BY265" s="1229"/>
      <c r="BZ265" s="1228"/>
    </row>
    <row r="266" spans="2:78" ht="11.25" customHeight="1">
      <c r="B266" s="106"/>
      <c r="C266" s="106"/>
      <c r="D266" s="106"/>
      <c r="E266" s="106"/>
      <c r="F266" s="106"/>
      <c r="G266" s="106"/>
      <c r="H266" s="83"/>
      <c r="I266" s="863" t="s">
        <v>454</v>
      </c>
      <c r="J266" s="106"/>
      <c r="K266" s="106"/>
      <c r="L266" s="106"/>
      <c r="M266" s="198"/>
      <c r="N266" s="198"/>
      <c r="O266" s="198"/>
      <c r="P266" s="198"/>
      <c r="Q266" s="198"/>
      <c r="R266" s="198"/>
      <c r="S266" s="198"/>
      <c r="T266" s="752"/>
      <c r="U266" s="751"/>
      <c r="V266" s="198"/>
      <c r="W266" s="198"/>
      <c r="X266" s="752"/>
      <c r="Y266" s="1506">
        <v>0.16</v>
      </c>
      <c r="Z266" s="1507">
        <v>0.16</v>
      </c>
      <c r="AA266" s="1507">
        <v>0.16</v>
      </c>
      <c r="AB266" s="1508">
        <v>0.16</v>
      </c>
      <c r="AC266" s="1506">
        <v>0.16</v>
      </c>
      <c r="AD266" s="1507">
        <v>0.15</v>
      </c>
      <c r="AE266" s="1507">
        <v>0.15</v>
      </c>
      <c r="AF266" s="1508">
        <v>0.15</v>
      </c>
      <c r="AG266" s="1506">
        <v>0.15</v>
      </c>
      <c r="AH266" s="1507">
        <v>0.15</v>
      </c>
      <c r="AI266" s="1507">
        <v>0.15</v>
      </c>
      <c r="AJ266" s="2480">
        <v>0.14000000000000001</v>
      </c>
      <c r="AK266" s="2481">
        <v>0.14000000000000001</v>
      </c>
      <c r="AL266" s="2481">
        <v>0.14000000000000001</v>
      </c>
      <c r="AM266" s="2481">
        <v>0.15</v>
      </c>
      <c r="AN266" s="2480">
        <v>0.14749999999999999</v>
      </c>
      <c r="AO266" s="2481">
        <v>0.14000000000000001</v>
      </c>
      <c r="AP266" s="2481">
        <v>0.14000000000000001</v>
      </c>
      <c r="AQ266" s="2481">
        <v>0.15</v>
      </c>
      <c r="AR266" s="2480">
        <v>0.14000000000000001</v>
      </c>
      <c r="AS266" s="1141" t="e">
        <f t="shared" ref="AS266:BD266" si="490">+AS255/AS$260</f>
        <v>#REF!</v>
      </c>
      <c r="AT266" s="1128" t="e">
        <f t="shared" si="490"/>
        <v>#REF!</v>
      </c>
      <c r="AU266" s="1128" t="e">
        <f t="shared" si="490"/>
        <v>#REF!</v>
      </c>
      <c r="AV266" s="1129" t="e">
        <f t="shared" si="490"/>
        <v>#REF!</v>
      </c>
      <c r="AW266" s="1141" t="e">
        <f t="shared" si="490"/>
        <v>#REF!</v>
      </c>
      <c r="AX266" s="1128" t="e">
        <f t="shared" si="490"/>
        <v>#REF!</v>
      </c>
      <c r="AY266" s="1128" t="e">
        <f t="shared" si="490"/>
        <v>#REF!</v>
      </c>
      <c r="AZ266" s="1129" t="e">
        <f t="shared" si="490"/>
        <v>#REF!</v>
      </c>
      <c r="BA266" s="1141" t="e">
        <f t="shared" si="490"/>
        <v>#REF!</v>
      </c>
      <c r="BB266" s="1128" t="e">
        <f t="shared" si="490"/>
        <v>#REF!</v>
      </c>
      <c r="BC266" s="1128" t="e">
        <f t="shared" si="490"/>
        <v>#REF!</v>
      </c>
      <c r="BD266" s="1129" t="e">
        <f t="shared" si="490"/>
        <v>#REF!</v>
      </c>
      <c r="BE266" s="264"/>
      <c r="BF266" s="814"/>
      <c r="BG266" s="106"/>
      <c r="BH266" s="198"/>
      <c r="BI266" s="198"/>
      <c r="BJ266" s="198"/>
      <c r="BK266" s="198"/>
      <c r="BL266" s="198"/>
      <c r="BM266" s="264">
        <f t="shared" si="489"/>
        <v>0.16</v>
      </c>
      <c r="BN266" s="1373">
        <f t="shared" si="489"/>
        <v>0.15202383348872692</v>
      </c>
      <c r="BO266" s="264">
        <f t="shared" si="489"/>
        <v>0.14727590792217171</v>
      </c>
      <c r="BP266" s="264">
        <f t="shared" si="489"/>
        <v>0.1446949705496586</v>
      </c>
      <c r="BQ266" s="264"/>
      <c r="BR266" s="264"/>
      <c r="BS266" s="264"/>
      <c r="BT266" s="264"/>
      <c r="BU266" s="1227"/>
      <c r="BV266" s="1227"/>
      <c r="BW266" s="1227"/>
      <c r="BX266" s="1227"/>
      <c r="BY266" s="1229"/>
      <c r="BZ266" s="1228"/>
    </row>
    <row r="267" spans="2:78" ht="11.25" customHeight="1">
      <c r="B267" s="106"/>
      <c r="C267" s="106"/>
      <c r="D267" s="106"/>
      <c r="E267" s="106"/>
      <c r="F267" s="106"/>
      <c r="G267" s="106"/>
      <c r="H267" s="83"/>
      <c r="I267" s="863" t="s">
        <v>455</v>
      </c>
      <c r="J267" s="106"/>
      <c r="K267" s="106"/>
      <c r="L267" s="106"/>
      <c r="M267" s="198"/>
      <c r="N267" s="198"/>
      <c r="O267" s="198"/>
      <c r="P267" s="198"/>
      <c r="Q267" s="198"/>
      <c r="R267" s="198"/>
      <c r="S267" s="198"/>
      <c r="T267" s="752"/>
      <c r="U267" s="751"/>
      <c r="V267" s="198"/>
      <c r="W267" s="198"/>
      <c r="X267" s="752"/>
      <c r="Y267" s="1506">
        <v>0.14000000000000001</v>
      </c>
      <c r="Z267" s="1507">
        <v>0.14000000000000001</v>
      </c>
      <c r="AA267" s="1507">
        <v>0.13</v>
      </c>
      <c r="AB267" s="1508">
        <v>0.14000000000000001</v>
      </c>
      <c r="AC267" s="1506">
        <v>0.13</v>
      </c>
      <c r="AD267" s="1507">
        <v>0.13</v>
      </c>
      <c r="AE267" s="1507">
        <v>0.12</v>
      </c>
      <c r="AF267" s="1508">
        <v>0.13</v>
      </c>
      <c r="AG267" s="1506">
        <v>0.13</v>
      </c>
      <c r="AH267" s="1507">
        <v>0.12</v>
      </c>
      <c r="AI267" s="1507">
        <v>0.12</v>
      </c>
      <c r="AJ267" s="2480">
        <v>0.11749999999999999</v>
      </c>
      <c r="AK267" s="2481">
        <v>0.12</v>
      </c>
      <c r="AL267" s="2481">
        <v>0.12</v>
      </c>
      <c r="AM267" s="2481">
        <v>0.12</v>
      </c>
      <c r="AN267" s="2480">
        <v>0.11749999999999999</v>
      </c>
      <c r="AO267" s="2481">
        <v>0.13</v>
      </c>
      <c r="AP267" s="2481">
        <v>0.13</v>
      </c>
      <c r="AQ267" s="2481">
        <v>0.12</v>
      </c>
      <c r="AR267" s="2480">
        <v>0.12</v>
      </c>
      <c r="AS267" s="1141" t="e">
        <f t="shared" ref="AS267:BD267" si="491">+AS256/AS$260</f>
        <v>#REF!</v>
      </c>
      <c r="AT267" s="1128" t="e">
        <f t="shared" si="491"/>
        <v>#REF!</v>
      </c>
      <c r="AU267" s="1128" t="e">
        <f t="shared" si="491"/>
        <v>#REF!</v>
      </c>
      <c r="AV267" s="1129" t="e">
        <f t="shared" si="491"/>
        <v>#REF!</v>
      </c>
      <c r="AW267" s="1141" t="e">
        <f t="shared" si="491"/>
        <v>#REF!</v>
      </c>
      <c r="AX267" s="1128" t="e">
        <f t="shared" si="491"/>
        <v>#REF!</v>
      </c>
      <c r="AY267" s="1128" t="e">
        <f t="shared" si="491"/>
        <v>#REF!</v>
      </c>
      <c r="AZ267" s="1129" t="e">
        <f t="shared" si="491"/>
        <v>#REF!</v>
      </c>
      <c r="BA267" s="1141" t="e">
        <f t="shared" si="491"/>
        <v>#REF!</v>
      </c>
      <c r="BB267" s="1128" t="e">
        <f t="shared" si="491"/>
        <v>#REF!</v>
      </c>
      <c r="BC267" s="1128" t="e">
        <f t="shared" si="491"/>
        <v>#REF!</v>
      </c>
      <c r="BD267" s="1129" t="e">
        <f t="shared" si="491"/>
        <v>#REF!</v>
      </c>
      <c r="BE267" s="264"/>
      <c r="BF267" s="814"/>
      <c r="BG267" s="106"/>
      <c r="BH267" s="198"/>
      <c r="BI267" s="198"/>
      <c r="BJ267" s="198"/>
      <c r="BK267" s="198"/>
      <c r="BL267" s="198"/>
      <c r="BM267" s="264">
        <f t="shared" si="489"/>
        <v>0.1373740707675932</v>
      </c>
      <c r="BN267" s="1373">
        <f t="shared" si="489"/>
        <v>0.12728621906255297</v>
      </c>
      <c r="BO267" s="264">
        <f t="shared" si="489"/>
        <v>0.12153426391226109</v>
      </c>
      <c r="BP267" s="264">
        <f t="shared" si="489"/>
        <v>0.11942892658316319</v>
      </c>
      <c r="BQ267" s="264"/>
      <c r="BR267" s="264"/>
      <c r="BS267" s="264"/>
      <c r="BT267" s="264"/>
      <c r="BU267" s="1227"/>
      <c r="BV267" s="1227"/>
      <c r="BW267" s="1227"/>
      <c r="BX267" s="1227"/>
      <c r="BY267" s="1229"/>
      <c r="BZ267" s="1228"/>
    </row>
    <row r="268" spans="2:78" ht="11.25" customHeight="1">
      <c r="B268" s="106"/>
      <c r="C268" s="106"/>
      <c r="D268" s="106"/>
      <c r="E268" s="106"/>
      <c r="F268" s="106"/>
      <c r="G268" s="106"/>
      <c r="H268" s="83"/>
      <c r="I268" s="863" t="s">
        <v>456</v>
      </c>
      <c r="J268" s="106"/>
      <c r="K268" s="106"/>
      <c r="L268" s="106"/>
      <c r="M268" s="198"/>
      <c r="N268" s="198"/>
      <c r="O268" s="198"/>
      <c r="P268" s="198"/>
      <c r="Q268" s="198"/>
      <c r="R268" s="198"/>
      <c r="S268" s="198"/>
      <c r="T268" s="752"/>
      <c r="U268" s="751"/>
      <c r="V268" s="198"/>
      <c r="W268" s="198"/>
      <c r="X268" s="752"/>
      <c r="Y268" s="1506">
        <v>0.12</v>
      </c>
      <c r="Z268" s="1507">
        <v>0.11</v>
      </c>
      <c r="AA268" s="1507">
        <v>0.11</v>
      </c>
      <c r="AB268" s="1508">
        <v>0.1</v>
      </c>
      <c r="AC268" s="1506">
        <v>0.11</v>
      </c>
      <c r="AD268" s="1507">
        <v>0.11</v>
      </c>
      <c r="AE268" s="1507">
        <v>0.11</v>
      </c>
      <c r="AF268" s="1508">
        <v>0.11</v>
      </c>
      <c r="AG268" s="1506">
        <v>0.11</v>
      </c>
      <c r="AH268" s="1507">
        <v>0.11</v>
      </c>
      <c r="AI268" s="1507">
        <v>0.1</v>
      </c>
      <c r="AJ268" s="2480">
        <v>0.1</v>
      </c>
      <c r="AK268" s="2481">
        <v>0.1</v>
      </c>
      <c r="AL268" s="2481">
        <v>0.09</v>
      </c>
      <c r="AM268" s="2481">
        <v>0.1</v>
      </c>
      <c r="AN268" s="2480">
        <v>0.09</v>
      </c>
      <c r="AO268" s="2481">
        <v>0.09</v>
      </c>
      <c r="AP268" s="2481">
        <v>0.09</v>
      </c>
      <c r="AQ268" s="2481">
        <v>0.09</v>
      </c>
      <c r="AR268" s="2480">
        <v>0.09</v>
      </c>
      <c r="AS268" s="1141" t="e">
        <f t="shared" ref="AS268:BD268" si="492">+AS257/AS$260</f>
        <v>#REF!</v>
      </c>
      <c r="AT268" s="1128" t="e">
        <f t="shared" si="492"/>
        <v>#REF!</v>
      </c>
      <c r="AU268" s="1128" t="e">
        <f t="shared" si="492"/>
        <v>#REF!</v>
      </c>
      <c r="AV268" s="1129" t="e">
        <f t="shared" si="492"/>
        <v>#REF!</v>
      </c>
      <c r="AW268" s="1141" t="e">
        <f t="shared" si="492"/>
        <v>#REF!</v>
      </c>
      <c r="AX268" s="1128" t="e">
        <f t="shared" si="492"/>
        <v>#REF!</v>
      </c>
      <c r="AY268" s="1128" t="e">
        <f t="shared" si="492"/>
        <v>#REF!</v>
      </c>
      <c r="AZ268" s="1129" t="e">
        <f t="shared" si="492"/>
        <v>#REF!</v>
      </c>
      <c r="BA268" s="1141" t="e">
        <f t="shared" si="492"/>
        <v>#REF!</v>
      </c>
      <c r="BB268" s="1128" t="e">
        <f t="shared" si="492"/>
        <v>#REF!</v>
      </c>
      <c r="BC268" s="1128" t="e">
        <f t="shared" si="492"/>
        <v>#REF!</v>
      </c>
      <c r="BD268" s="1129" t="e">
        <f t="shared" si="492"/>
        <v>#REF!</v>
      </c>
      <c r="BE268" s="264"/>
      <c r="BF268" s="814"/>
      <c r="BG268" s="106"/>
      <c r="BH268" s="198"/>
      <c r="BI268" s="198"/>
      <c r="BJ268" s="198"/>
      <c r="BK268" s="198"/>
      <c r="BL268" s="198"/>
      <c r="BM268" s="264">
        <f t="shared" si="489"/>
        <v>0.10894767112469313</v>
      </c>
      <c r="BN268" s="1373">
        <f t="shared" si="489"/>
        <v>0.11</v>
      </c>
      <c r="BO268" s="264">
        <f t="shared" si="489"/>
        <v>0.10465082068341171</v>
      </c>
      <c r="BP268" s="264">
        <f t="shared" si="489"/>
        <v>0.10228732828006909</v>
      </c>
      <c r="BQ268" s="264"/>
      <c r="BR268" s="264"/>
      <c r="BS268" s="264"/>
      <c r="BT268" s="264"/>
      <c r="BU268" s="1227"/>
      <c r="BV268" s="1227"/>
      <c r="BW268" s="1227"/>
      <c r="BX268" s="1227"/>
      <c r="BY268" s="1229"/>
      <c r="BZ268" s="1228"/>
    </row>
    <row r="269" spans="2:78" ht="11.25" customHeight="1">
      <c r="B269" s="106"/>
      <c r="C269" s="106"/>
      <c r="D269" s="106"/>
      <c r="E269" s="106"/>
      <c r="F269" s="106"/>
      <c r="G269" s="106"/>
      <c r="H269" s="83"/>
      <c r="I269" s="863" t="s">
        <v>457</v>
      </c>
      <c r="J269" s="106"/>
      <c r="K269" s="106"/>
      <c r="L269" s="106"/>
      <c r="M269" s="198"/>
      <c r="N269" s="198"/>
      <c r="O269" s="198"/>
      <c r="P269" s="198"/>
      <c r="Q269" s="198"/>
      <c r="R269" s="198"/>
      <c r="S269" s="198"/>
      <c r="T269" s="752"/>
      <c r="U269" s="751"/>
      <c r="V269" s="198"/>
      <c r="W269" s="198"/>
      <c r="X269" s="752"/>
      <c r="Y269" s="1506">
        <v>0.11</v>
      </c>
      <c r="Z269" s="1507">
        <v>0.12</v>
      </c>
      <c r="AA269" s="1507">
        <v>0.12</v>
      </c>
      <c r="AB269" s="1508">
        <v>0.11</v>
      </c>
      <c r="AC269" s="1506">
        <v>0.11</v>
      </c>
      <c r="AD269" s="1507">
        <v>0.12</v>
      </c>
      <c r="AE269" s="1507">
        <v>0.11</v>
      </c>
      <c r="AF269" s="1508">
        <v>0.11</v>
      </c>
      <c r="AG269" s="1506">
        <v>0.11</v>
      </c>
      <c r="AH269" s="1507">
        <v>0.11</v>
      </c>
      <c r="AI269" s="1507">
        <v>0.11</v>
      </c>
      <c r="AJ269" s="2480">
        <v>0.11</v>
      </c>
      <c r="AK269" s="2481">
        <v>0.11</v>
      </c>
      <c r="AL269" s="2481">
        <v>0.11</v>
      </c>
      <c r="AM269" s="2481">
        <v>0.1</v>
      </c>
      <c r="AN269" s="2480">
        <v>0.11</v>
      </c>
      <c r="AO269" s="2481">
        <v>0.11</v>
      </c>
      <c r="AP269" s="2481">
        <v>0.11</v>
      </c>
      <c r="AQ269" s="2481">
        <v>0.11</v>
      </c>
      <c r="AR269" s="2480">
        <v>0.11</v>
      </c>
      <c r="AS269" s="1141" t="e">
        <f t="shared" ref="AS269:BD269" si="493">+AS258/AS$260</f>
        <v>#REF!</v>
      </c>
      <c r="AT269" s="1128" t="e">
        <f t="shared" si="493"/>
        <v>#REF!</v>
      </c>
      <c r="AU269" s="1128" t="e">
        <f t="shared" si="493"/>
        <v>#REF!</v>
      </c>
      <c r="AV269" s="1129" t="e">
        <f t="shared" si="493"/>
        <v>#REF!</v>
      </c>
      <c r="AW269" s="1141" t="e">
        <f t="shared" si="493"/>
        <v>#REF!</v>
      </c>
      <c r="AX269" s="1128" t="e">
        <f t="shared" si="493"/>
        <v>#REF!</v>
      </c>
      <c r="AY269" s="1128" t="e">
        <f t="shared" si="493"/>
        <v>#REF!</v>
      </c>
      <c r="AZ269" s="1129" t="e">
        <f t="shared" si="493"/>
        <v>#REF!</v>
      </c>
      <c r="BA269" s="1141" t="e">
        <f t="shared" si="493"/>
        <v>#REF!</v>
      </c>
      <c r="BB269" s="1128" t="e">
        <f t="shared" si="493"/>
        <v>#REF!</v>
      </c>
      <c r="BC269" s="1128" t="e">
        <f t="shared" si="493"/>
        <v>#REF!</v>
      </c>
      <c r="BD269" s="1129" t="e">
        <f t="shared" si="493"/>
        <v>#REF!</v>
      </c>
      <c r="BE269" s="264"/>
      <c r="BF269" s="814"/>
      <c r="BG269" s="106"/>
      <c r="BH269" s="198"/>
      <c r="BI269" s="198"/>
      <c r="BJ269" s="198"/>
      <c r="BK269" s="198"/>
      <c r="BL269" s="198"/>
      <c r="BM269" s="264">
        <f t="shared" si="489"/>
        <v>0.11498755300702181</v>
      </c>
      <c r="BN269" s="1373">
        <f t="shared" si="489"/>
        <v>0.11235174923715883</v>
      </c>
      <c r="BO269" s="264">
        <f t="shared" si="489"/>
        <v>0.11007783120222367</v>
      </c>
      <c r="BP269" s="264">
        <f t="shared" si="489"/>
        <v>0.11007138417710459</v>
      </c>
      <c r="BQ269" s="264"/>
      <c r="BR269" s="264"/>
      <c r="BS269" s="264"/>
      <c r="BT269" s="264"/>
      <c r="BU269" s="1227"/>
      <c r="BV269" s="1227"/>
      <c r="BW269" s="1227"/>
      <c r="BX269" s="1227"/>
      <c r="BY269" s="1229"/>
      <c r="BZ269" s="1228"/>
    </row>
    <row r="270" spans="2:78" s="1438" customFormat="1" ht="11.25" customHeight="1">
      <c r="B270" s="1440"/>
      <c r="C270" s="1440"/>
      <c r="D270" s="1440"/>
      <c r="E270" s="1440"/>
      <c r="F270" s="1440"/>
      <c r="G270" s="1440"/>
      <c r="H270" s="1441"/>
      <c r="I270" s="1501" t="s">
        <v>458</v>
      </c>
      <c r="J270" s="1440"/>
      <c r="K270" s="1440"/>
      <c r="L270" s="1440"/>
      <c r="M270" s="2371"/>
      <c r="N270" s="2371"/>
      <c r="O270" s="2371"/>
      <c r="P270" s="2371"/>
      <c r="Q270" s="2371"/>
      <c r="R270" s="2371"/>
      <c r="S270" s="2371"/>
      <c r="T270" s="2372"/>
      <c r="U270" s="2373"/>
      <c r="V270" s="2371"/>
      <c r="W270" s="2371"/>
      <c r="X270" s="2372"/>
      <c r="Y270" s="2374">
        <v>0.25</v>
      </c>
      <c r="Z270" s="2375">
        <v>0.23</v>
      </c>
      <c r="AA270" s="2375">
        <v>0.24</v>
      </c>
      <c r="AB270" s="2376">
        <v>0.25</v>
      </c>
      <c r="AC270" s="2374">
        <v>0.24</v>
      </c>
      <c r="AD270" s="2375">
        <v>0.23</v>
      </c>
      <c r="AE270" s="2375">
        <v>0.25</v>
      </c>
      <c r="AF270" s="2376">
        <v>0.24</v>
      </c>
      <c r="AG270" s="2374">
        <v>0.24</v>
      </c>
      <c r="AH270" s="2375">
        <v>0.23</v>
      </c>
      <c r="AI270" s="2375">
        <v>0.24</v>
      </c>
      <c r="AJ270" s="2482">
        <v>0.25</v>
      </c>
      <c r="AK270" s="2483">
        <v>0.24</v>
      </c>
      <c r="AL270" s="2483">
        <v>0.24</v>
      </c>
      <c r="AM270" s="2483">
        <v>0.23</v>
      </c>
      <c r="AN270" s="2482">
        <v>0.24</v>
      </c>
      <c r="AO270" s="2483">
        <v>0.23</v>
      </c>
      <c r="AP270" s="2483">
        <v>0.22</v>
      </c>
      <c r="AQ270" s="2483">
        <v>0.22</v>
      </c>
      <c r="AR270" s="2482">
        <v>0.23</v>
      </c>
      <c r="AS270" s="1463" t="e">
        <f t="shared" ref="AS270:BD270" si="494">+AS259/AS$260</f>
        <v>#REF!</v>
      </c>
      <c r="AT270" s="1464" t="e">
        <f t="shared" si="494"/>
        <v>#REF!</v>
      </c>
      <c r="AU270" s="1464" t="e">
        <f t="shared" si="494"/>
        <v>#REF!</v>
      </c>
      <c r="AV270" s="1465" t="e">
        <f t="shared" si="494"/>
        <v>#REF!</v>
      </c>
      <c r="AW270" s="1463" t="e">
        <f t="shared" si="494"/>
        <v>#REF!</v>
      </c>
      <c r="AX270" s="1464" t="e">
        <f t="shared" si="494"/>
        <v>#REF!</v>
      </c>
      <c r="AY270" s="1464" t="e">
        <f t="shared" si="494"/>
        <v>#REF!</v>
      </c>
      <c r="AZ270" s="1465" t="e">
        <f t="shared" si="494"/>
        <v>#REF!</v>
      </c>
      <c r="BA270" s="1463" t="e">
        <f t="shared" si="494"/>
        <v>#REF!</v>
      </c>
      <c r="BB270" s="1464" t="e">
        <f t="shared" si="494"/>
        <v>#REF!</v>
      </c>
      <c r="BC270" s="1464" t="e">
        <f t="shared" si="494"/>
        <v>#REF!</v>
      </c>
      <c r="BD270" s="1465" t="e">
        <f t="shared" si="494"/>
        <v>#REF!</v>
      </c>
      <c r="BE270" s="1439"/>
      <c r="BF270" s="1493"/>
      <c r="BG270" s="1440"/>
      <c r="BH270" s="2371"/>
      <c r="BI270" s="2371"/>
      <c r="BJ270" s="2371"/>
      <c r="BK270" s="2371"/>
      <c r="BL270" s="2371"/>
      <c r="BM270" s="1439">
        <f t="shared" si="489"/>
        <v>0.24265082321836315</v>
      </c>
      <c r="BN270" s="1468">
        <f t="shared" si="489"/>
        <v>0.24036203170028816</v>
      </c>
      <c r="BO270" s="1439">
        <f t="shared" si="489"/>
        <v>0.2405768875525543</v>
      </c>
      <c r="BP270" s="1439">
        <f t="shared" si="489"/>
        <v>0.24052910198023958</v>
      </c>
      <c r="BQ270" s="1439"/>
      <c r="BR270" s="1439"/>
      <c r="BS270" s="1439"/>
      <c r="BT270" s="1439"/>
      <c r="BU270" s="2377"/>
      <c r="BV270" s="2377"/>
      <c r="BW270" s="2377"/>
      <c r="BX270" s="2377"/>
      <c r="BY270" s="2378"/>
      <c r="BZ270" s="2379"/>
    </row>
    <row r="271" spans="2:78" s="41" customFormat="1" ht="11.25" customHeight="1">
      <c r="B271" s="231"/>
      <c r="C271" s="231"/>
      <c r="D271" s="231"/>
      <c r="E271" s="231"/>
      <c r="F271" s="231"/>
      <c r="G271" s="231"/>
      <c r="H271" s="226"/>
      <c r="I271" s="1500" t="s">
        <v>542</v>
      </c>
      <c r="J271" s="231"/>
      <c r="K271" s="231"/>
      <c r="L271" s="231"/>
      <c r="M271" s="359"/>
      <c r="N271" s="359"/>
      <c r="O271" s="359"/>
      <c r="P271" s="359"/>
      <c r="Q271" s="359"/>
      <c r="R271" s="359"/>
      <c r="S271" s="359"/>
      <c r="T271" s="843"/>
      <c r="U271" s="852"/>
      <c r="V271" s="359"/>
      <c r="W271" s="359"/>
      <c r="X271" s="843"/>
      <c r="Y271" s="852"/>
      <c r="Z271" s="359"/>
      <c r="AA271" s="359"/>
      <c r="AB271" s="843"/>
      <c r="AC271" s="852"/>
      <c r="AD271" s="359"/>
      <c r="AE271" s="359"/>
      <c r="AF271" s="843"/>
      <c r="AG271" s="1466"/>
      <c r="AH271" s="1312"/>
      <c r="AI271" s="1312"/>
      <c r="AJ271" s="1467"/>
      <c r="AK271" s="1466">
        <f t="shared" ref="AK271:AQ271" si="495">+SUM(AK265:AK270)</f>
        <v>1</v>
      </c>
      <c r="AL271" s="1312">
        <f t="shared" si="495"/>
        <v>1</v>
      </c>
      <c r="AM271" s="1312">
        <f t="shared" si="495"/>
        <v>0.99999999999999989</v>
      </c>
      <c r="AN271" s="1467">
        <f t="shared" si="495"/>
        <v>1.0024999999999999</v>
      </c>
      <c r="AO271" s="1312">
        <f t="shared" si="495"/>
        <v>1</v>
      </c>
      <c r="AP271" s="1312">
        <f t="shared" si="495"/>
        <v>1</v>
      </c>
      <c r="AQ271" s="1312">
        <f t="shared" si="495"/>
        <v>0.99999999999999989</v>
      </c>
      <c r="AR271" s="1467">
        <f t="shared" ref="AR271" si="496">+SUM(AR265:AR270)</f>
        <v>1</v>
      </c>
      <c r="AS271" s="1466" t="e">
        <f t="shared" ref="AS271:BD271" si="497">+SUM(AS265:AS270)</f>
        <v>#REF!</v>
      </c>
      <c r="AT271" s="1312" t="e">
        <f t="shared" si="497"/>
        <v>#REF!</v>
      </c>
      <c r="AU271" s="1312" t="e">
        <f t="shared" si="497"/>
        <v>#REF!</v>
      </c>
      <c r="AV271" s="1467" t="e">
        <f t="shared" si="497"/>
        <v>#REF!</v>
      </c>
      <c r="AW271" s="1466" t="e">
        <f t="shared" si="497"/>
        <v>#REF!</v>
      </c>
      <c r="AX271" s="1312" t="e">
        <f t="shared" si="497"/>
        <v>#REF!</v>
      </c>
      <c r="AY271" s="1312" t="e">
        <f t="shared" si="497"/>
        <v>#REF!</v>
      </c>
      <c r="AZ271" s="1467" t="e">
        <f t="shared" si="497"/>
        <v>#REF!</v>
      </c>
      <c r="BA271" s="1466" t="e">
        <f t="shared" si="497"/>
        <v>#REF!</v>
      </c>
      <c r="BB271" s="1312" t="e">
        <f t="shared" si="497"/>
        <v>#REF!</v>
      </c>
      <c r="BC271" s="1312" t="e">
        <f t="shared" si="497"/>
        <v>#REF!</v>
      </c>
      <c r="BD271" s="1467" t="e">
        <f t="shared" si="497"/>
        <v>#REF!</v>
      </c>
      <c r="BE271" s="1234"/>
      <c r="BF271" s="231"/>
      <c r="BG271" s="231"/>
      <c r="BH271" s="359"/>
      <c r="BI271" s="359"/>
      <c r="BJ271" s="359"/>
      <c r="BK271" s="359"/>
      <c r="BL271" s="359"/>
      <c r="BM271" s="359"/>
      <c r="BN271" s="852"/>
      <c r="BO271" s="359"/>
      <c r="BP271" s="1000"/>
      <c r="BQ271" s="1000"/>
      <c r="BR271" s="1000"/>
      <c r="BS271" s="1000"/>
      <c r="BT271" s="1000"/>
      <c r="BU271" s="1000"/>
      <c r="BV271" s="1000"/>
      <c r="BW271" s="1000"/>
      <c r="BX271" s="1000"/>
      <c r="BY271" s="999"/>
      <c r="BZ271" s="281"/>
    </row>
    <row r="272" spans="2:78" s="41" customFormat="1" ht="11.25" customHeight="1">
      <c r="B272" s="231"/>
      <c r="C272" s="231"/>
      <c r="D272" s="231"/>
      <c r="E272" s="231"/>
      <c r="F272" s="231"/>
      <c r="G272" s="231"/>
      <c r="H272" s="226"/>
      <c r="I272" s="478"/>
      <c r="J272" s="231"/>
      <c r="K272" s="231"/>
      <c r="L272" s="231"/>
      <c r="M272" s="359"/>
      <c r="N272" s="359"/>
      <c r="O272" s="359"/>
      <c r="P272" s="359"/>
      <c r="Q272" s="359"/>
      <c r="R272" s="359"/>
      <c r="S272" s="359"/>
      <c r="T272" s="843"/>
      <c r="U272" s="852"/>
      <c r="V272" s="359"/>
      <c r="W272" s="359"/>
      <c r="X272" s="843"/>
      <c r="Y272" s="852"/>
      <c r="Z272" s="359"/>
      <c r="AA272" s="359"/>
      <c r="AB272" s="843"/>
      <c r="AC272" s="852"/>
      <c r="AD272" s="359"/>
      <c r="AE272" s="359"/>
      <c r="AF272" s="843"/>
      <c r="AG272" s="1466"/>
      <c r="AH272" s="1312"/>
      <c r="AI272" s="1312"/>
      <c r="AJ272" s="1467"/>
      <c r="AK272" s="1466"/>
      <c r="AL272" s="1312"/>
      <c r="AM272" s="1312"/>
      <c r="AN272" s="1467"/>
      <c r="AO272" s="1312"/>
      <c r="AP272" s="1312"/>
      <c r="AQ272" s="1312"/>
      <c r="AR272" s="1467"/>
      <c r="AS272" s="1466"/>
      <c r="AT272" s="1312"/>
      <c r="AU272" s="1312"/>
      <c r="AV272" s="1467"/>
      <c r="AW272" s="1466"/>
      <c r="AX272" s="1312"/>
      <c r="AY272" s="1312"/>
      <c r="AZ272" s="1467"/>
      <c r="BA272" s="1466"/>
      <c r="BB272" s="1312"/>
      <c r="BC272" s="1312"/>
      <c r="BD272" s="1467"/>
      <c r="BE272" s="1234"/>
      <c r="BF272" s="231"/>
      <c r="BG272" s="231"/>
      <c r="BH272" s="359"/>
      <c r="BI272" s="359"/>
      <c r="BJ272" s="359"/>
      <c r="BK272" s="359"/>
      <c r="BL272" s="359"/>
      <c r="BM272" s="359">
        <f>SUM(BM265:BM269)</f>
        <v>0.75734917678163682</v>
      </c>
      <c r="BN272" s="852">
        <f>SUM(BN265:BN269)</f>
        <v>0.75963796829971186</v>
      </c>
      <c r="BO272" s="359">
        <f>SUM(BO265:BO269)</f>
        <v>0.75942311244744587</v>
      </c>
      <c r="BP272" s="359">
        <f>SUM(BP265:BP269)</f>
        <v>0.75947089801976042</v>
      </c>
      <c r="BQ272" s="1000"/>
      <c r="BR272" s="1000"/>
      <c r="BS272" s="1000"/>
      <c r="BT272" s="1000"/>
      <c r="BU272" s="1000"/>
      <c r="BV272" s="1000"/>
      <c r="BW272" s="1000"/>
      <c r="BX272" s="1000"/>
      <c r="BY272" s="999"/>
      <c r="BZ272" s="281"/>
    </row>
    <row r="273" spans="2:78" s="42" customFormat="1" ht="11.25" customHeight="1">
      <c r="B273" s="83"/>
      <c r="C273" s="83"/>
      <c r="D273" s="83"/>
      <c r="E273" s="83"/>
      <c r="F273" s="83"/>
      <c r="G273" s="83"/>
      <c r="H273" s="83"/>
      <c r="I273" s="478"/>
      <c r="J273" s="83"/>
      <c r="K273" s="83"/>
      <c r="L273" s="83"/>
      <c r="M273" s="264"/>
      <c r="N273" s="264"/>
      <c r="O273" s="264"/>
      <c r="P273" s="264"/>
      <c r="Q273" s="264"/>
      <c r="R273" s="264"/>
      <c r="S273" s="264"/>
      <c r="T273" s="1242"/>
      <c r="U273" s="1373"/>
      <c r="V273" s="264"/>
      <c r="W273" s="264"/>
      <c r="X273" s="1242"/>
      <c r="Y273" s="1373"/>
      <c r="Z273" s="264"/>
      <c r="AA273" s="264"/>
      <c r="AB273" s="1242"/>
      <c r="AC273" s="1373"/>
      <c r="AD273" s="264"/>
      <c r="AE273" s="264"/>
      <c r="AF273" s="1242"/>
      <c r="AG273" s="1373"/>
      <c r="AH273" s="264"/>
      <c r="AI273" s="264"/>
      <c r="AJ273" s="1242"/>
      <c r="AK273" s="1373"/>
      <c r="AL273" s="264"/>
      <c r="AM273" s="264"/>
      <c r="AN273" s="1242"/>
      <c r="AO273" s="264"/>
      <c r="AP273" s="264"/>
      <c r="AQ273" s="264"/>
      <c r="AR273" s="1242"/>
      <c r="AS273" s="1373"/>
      <c r="AT273" s="264"/>
      <c r="AU273" s="264"/>
      <c r="AV273" s="1242"/>
      <c r="AW273" s="1373"/>
      <c r="AX273" s="264"/>
      <c r="AY273" s="264"/>
      <c r="AZ273" s="1242"/>
      <c r="BA273" s="1373"/>
      <c r="BB273" s="264"/>
      <c r="BC273" s="264"/>
      <c r="BD273" s="1242"/>
      <c r="BE273" s="1242"/>
      <c r="BF273" s="83"/>
      <c r="BG273" s="83"/>
      <c r="BH273" s="264"/>
      <c r="BI273" s="264"/>
      <c r="BJ273" s="264"/>
      <c r="BK273" s="264"/>
      <c r="BL273" s="264"/>
      <c r="BM273" s="264"/>
      <c r="BN273" s="1947">
        <f>BN262-BM262</f>
        <v>110.33741000000001</v>
      </c>
      <c r="BO273" s="1947">
        <f>BO262-BN262</f>
        <v>106.84356999999994</v>
      </c>
      <c r="BP273" s="1947">
        <f>BP262-BO262</f>
        <v>35.57788000000005</v>
      </c>
      <c r="BQ273" s="1227"/>
      <c r="BR273" s="1227"/>
      <c r="BS273" s="1227"/>
      <c r="BT273" s="1227"/>
      <c r="BU273" s="1227"/>
      <c r="BV273" s="1227"/>
      <c r="BW273" s="1227"/>
      <c r="BX273" s="1227"/>
      <c r="BY273" s="1229"/>
      <c r="BZ273" s="1228"/>
    </row>
    <row r="274" spans="2:78" s="36" customFormat="1" ht="11.25" customHeight="1">
      <c r="B274" s="54"/>
      <c r="C274" s="54"/>
      <c r="D274" s="54"/>
      <c r="E274" s="54"/>
      <c r="F274" s="54"/>
      <c r="G274" s="54"/>
      <c r="H274" s="83"/>
      <c r="I274" s="1503" t="s">
        <v>496</v>
      </c>
      <c r="J274" s="54"/>
      <c r="K274" s="54"/>
      <c r="L274" s="54"/>
      <c r="M274" s="54"/>
      <c r="N274" s="54"/>
      <c r="O274" s="54"/>
      <c r="P274" s="54"/>
      <c r="Q274" s="54"/>
      <c r="R274" s="54"/>
      <c r="S274" s="54"/>
      <c r="T274" s="619"/>
      <c r="U274" s="633"/>
      <c r="V274" s="54"/>
      <c r="W274" s="54"/>
      <c r="X274" s="619"/>
      <c r="Y274" s="633"/>
      <c r="Z274" s="54"/>
      <c r="AA274" s="54"/>
      <c r="AB274" s="619"/>
      <c r="AC274" s="633"/>
      <c r="AD274" s="54"/>
      <c r="AE274" s="54"/>
      <c r="AF274" s="619"/>
      <c r="AG274" s="633"/>
      <c r="AH274" s="54"/>
      <c r="AI274" s="54"/>
      <c r="AJ274" s="619"/>
      <c r="AK274" s="633"/>
      <c r="AL274" s="54"/>
      <c r="AM274" s="54"/>
      <c r="AN274" s="619"/>
      <c r="AO274" s="54"/>
      <c r="AP274" s="54"/>
      <c r="AQ274" s="54"/>
      <c r="AR274" s="619"/>
      <c r="AS274" s="633"/>
      <c r="AT274" s="54"/>
      <c r="AU274" s="54"/>
      <c r="AV274" s="619"/>
      <c r="AW274" s="633"/>
      <c r="AX274" s="54"/>
      <c r="AY274" s="54"/>
      <c r="AZ274" s="619"/>
      <c r="BA274" s="633"/>
      <c r="BB274" s="54"/>
      <c r="BC274" s="54"/>
      <c r="BD274" s="619"/>
      <c r="BE274" s="883"/>
      <c r="BF274" s="54"/>
      <c r="BG274" s="54"/>
      <c r="BH274" s="54"/>
      <c r="BI274" s="54"/>
      <c r="BJ274" s="54"/>
      <c r="BK274" s="54"/>
      <c r="BL274" s="54"/>
      <c r="BM274" s="54"/>
      <c r="BN274" s="633"/>
      <c r="BO274" s="54"/>
      <c r="BP274" s="54"/>
      <c r="BQ274" s="54"/>
      <c r="BR274" s="54"/>
      <c r="BS274" s="54"/>
      <c r="BT274" s="54"/>
      <c r="BU274" s="54"/>
      <c r="BV274" s="54"/>
      <c r="BW274" s="54"/>
      <c r="BX274" s="54"/>
      <c r="BY274" s="619"/>
      <c r="BZ274" s="83"/>
    </row>
    <row r="275" spans="2:78" ht="11.25" customHeight="1">
      <c r="B275" s="106"/>
      <c r="C275" s="106"/>
      <c r="D275" s="106"/>
      <c r="E275" s="106"/>
      <c r="F275" s="106"/>
      <c r="G275" s="106"/>
      <c r="H275" s="83"/>
      <c r="I275" s="656" t="s">
        <v>453</v>
      </c>
      <c r="J275" s="106"/>
      <c r="K275" s="106"/>
      <c r="L275" s="106"/>
      <c r="M275" s="106"/>
      <c r="N275" s="106"/>
      <c r="O275" s="106"/>
      <c r="P275" s="106"/>
      <c r="Q275" s="106"/>
      <c r="R275" s="106"/>
      <c r="S275" s="106"/>
      <c r="T275" s="830"/>
      <c r="U275" s="814"/>
      <c r="V275" s="106"/>
      <c r="W275" s="106"/>
      <c r="X275" s="830"/>
      <c r="Y275" s="814"/>
      <c r="Z275" s="106"/>
      <c r="AA275" s="106"/>
      <c r="AB275" s="830"/>
      <c r="AC275" s="977">
        <f t="shared" ref="AC275:AR281" si="498">+AC254/Y254-1</f>
        <v>0.88208302871342337</v>
      </c>
      <c r="AD275" s="976">
        <f t="shared" si="498"/>
        <v>0.74810382324967151</v>
      </c>
      <c r="AE275" s="976">
        <f t="shared" si="498"/>
        <v>0.81417297309077452</v>
      </c>
      <c r="AF275" s="1130">
        <f t="shared" si="498"/>
        <v>0.68496199629163113</v>
      </c>
      <c r="AG275" s="977">
        <f t="shared" si="498"/>
        <v>0.52174538982030461</v>
      </c>
      <c r="AH275" s="976">
        <f t="shared" si="498"/>
        <v>0.52343854912924703</v>
      </c>
      <c r="AI275" s="976">
        <f t="shared" si="498"/>
        <v>0.41480499881749222</v>
      </c>
      <c r="AJ275" s="1130">
        <f t="shared" si="498"/>
        <v>0.43770068692943997</v>
      </c>
      <c r="AK275" s="976">
        <f t="shared" si="498"/>
        <v>0.58241949910554536</v>
      </c>
      <c r="AL275" s="976">
        <f t="shared" si="498"/>
        <v>0.47942447679708833</v>
      </c>
      <c r="AM275" s="976">
        <f t="shared" si="498"/>
        <v>0.48242411377626815</v>
      </c>
      <c r="AN275" s="1130">
        <f t="shared" si="498"/>
        <v>0.41084355828220853</v>
      </c>
      <c r="AO275" s="976">
        <f t="shared" si="498"/>
        <v>0.28695151960627663</v>
      </c>
      <c r="AP275" s="976">
        <f t="shared" si="498"/>
        <v>0.24447109655495836</v>
      </c>
      <c r="AQ275" s="976">
        <f t="shared" si="498"/>
        <v>0.23390537966980252</v>
      </c>
      <c r="AR275" s="1130">
        <f t="shared" si="498"/>
        <v>0.16745723731493478</v>
      </c>
      <c r="AS275" s="1515"/>
      <c r="AT275" s="1230"/>
      <c r="AU275" s="1230"/>
      <c r="AV275" s="1231"/>
      <c r="AW275" s="1515"/>
      <c r="AX275" s="1230"/>
      <c r="AY275" s="1230"/>
      <c r="AZ275" s="1231"/>
      <c r="BA275" s="1515"/>
      <c r="BB275" s="1230"/>
      <c r="BC275" s="1230"/>
      <c r="BD275" s="1231"/>
      <c r="BE275" s="883"/>
      <c r="BF275" s="106"/>
      <c r="BG275" s="106"/>
      <c r="BH275" s="106"/>
      <c r="BI275" s="106"/>
      <c r="BJ275" s="106"/>
      <c r="BK275" s="106"/>
      <c r="BL275" s="106"/>
      <c r="BM275" s="1937"/>
      <c r="BN275" s="1938">
        <f t="shared" ref="BN275:BP281" si="499">BN254/BM254-1</f>
        <v>0.77100184273106831</v>
      </c>
      <c r="BO275" s="1937">
        <f t="shared" si="499"/>
        <v>0.46824348487488465</v>
      </c>
      <c r="BP275" s="1937">
        <f t="shared" si="499"/>
        <v>0.11839</v>
      </c>
      <c r="BQ275" s="106"/>
      <c r="BR275" s="106"/>
      <c r="BS275" s="106"/>
      <c r="BT275" s="106"/>
      <c r="BV275" s="106"/>
      <c r="BW275" s="106"/>
      <c r="BX275" s="106"/>
      <c r="BY275" s="830"/>
    </row>
    <row r="276" spans="2:78" ht="11.25" customHeight="1">
      <c r="B276" s="106"/>
      <c r="C276" s="106"/>
      <c r="D276" s="106"/>
      <c r="E276" s="106"/>
      <c r="F276" s="106"/>
      <c r="G276" s="106"/>
      <c r="H276" s="83"/>
      <c r="I276" s="863" t="s">
        <v>454</v>
      </c>
      <c r="J276" s="106"/>
      <c r="K276" s="106"/>
      <c r="L276" s="106"/>
      <c r="M276" s="106"/>
      <c r="N276" s="106"/>
      <c r="O276" s="106"/>
      <c r="P276" s="106"/>
      <c r="Q276" s="106"/>
      <c r="R276" s="106"/>
      <c r="S276" s="106"/>
      <c r="T276" s="830"/>
      <c r="U276" s="814"/>
      <c r="V276" s="106"/>
      <c r="W276" s="106"/>
      <c r="X276" s="830"/>
      <c r="Y276" s="814"/>
      <c r="Z276" s="106"/>
      <c r="AA276" s="106"/>
      <c r="AB276" s="830"/>
      <c r="AC276" s="977">
        <f t="shared" si="498"/>
        <v>0.65623306526781255</v>
      </c>
      <c r="AD276" s="976">
        <f t="shared" si="498"/>
        <v>0.51278215473529265</v>
      </c>
      <c r="AE276" s="976">
        <f t="shared" si="498"/>
        <v>0.5699573805593241</v>
      </c>
      <c r="AF276" s="1130">
        <f t="shared" si="498"/>
        <v>0.45814018909852661</v>
      </c>
      <c r="AG276" s="977">
        <f t="shared" si="498"/>
        <v>0.37176567591974541</v>
      </c>
      <c r="AH276" s="976">
        <f t="shared" si="498"/>
        <v>0.41462150990572932</v>
      </c>
      <c r="AI276" s="976">
        <f t="shared" si="498"/>
        <v>0.31374749890195686</v>
      </c>
      <c r="AJ276" s="1130">
        <f t="shared" si="498"/>
        <v>0.24600726200551493</v>
      </c>
      <c r="AK276" s="976">
        <f t="shared" si="498"/>
        <v>0.32413953488372105</v>
      </c>
      <c r="AL276" s="976">
        <f t="shared" si="498"/>
        <v>0.28874309978768586</v>
      </c>
      <c r="AM276" s="976">
        <f t="shared" si="498"/>
        <v>0.38359583952451715</v>
      </c>
      <c r="AN276" s="1130">
        <f t="shared" si="498"/>
        <v>0.39898773006134958</v>
      </c>
      <c r="AO276" s="976">
        <f t="shared" si="498"/>
        <v>0.24405313561940067</v>
      </c>
      <c r="AP276" s="976">
        <f t="shared" si="498"/>
        <v>0.20432686763383101</v>
      </c>
      <c r="AQ276" s="976">
        <f t="shared" si="498"/>
        <v>0.19410198032561543</v>
      </c>
      <c r="AR276" s="1130">
        <f t="shared" si="498"/>
        <v>6.3413754711143522E-2</v>
      </c>
      <c r="AS276" s="1515"/>
      <c r="AT276" s="1230"/>
      <c r="AU276" s="1230"/>
      <c r="AV276" s="1231"/>
      <c r="AW276" s="1515"/>
      <c r="AX276" s="1230"/>
      <c r="AY276" s="1230"/>
      <c r="AZ276" s="1231"/>
      <c r="BA276" s="1515"/>
      <c r="BB276" s="1230"/>
      <c r="BC276" s="1230"/>
      <c r="BD276" s="1231"/>
      <c r="BE276" s="883"/>
      <c r="BF276" s="106"/>
      <c r="BG276" s="106"/>
      <c r="BH276" s="106"/>
      <c r="BI276" s="106"/>
      <c r="BJ276" s="106"/>
      <c r="BK276" s="106"/>
      <c r="BL276" s="106"/>
      <c r="BM276" s="1937"/>
      <c r="BN276" s="1938">
        <f t="shared" si="499"/>
        <v>0.53963052818170887</v>
      </c>
      <c r="BO276" s="1937">
        <f t="shared" si="499"/>
        <v>0.33005845336667439</v>
      </c>
      <c r="BP276" s="1937">
        <f t="shared" si="499"/>
        <v>7.1207262438104379E-2</v>
      </c>
      <c r="BQ276" s="106"/>
      <c r="BR276" s="106"/>
      <c r="BS276" s="106"/>
      <c r="BT276" s="106"/>
      <c r="BV276" s="106"/>
      <c r="BW276" s="106"/>
      <c r="BX276" s="106"/>
      <c r="BY276" s="830"/>
    </row>
    <row r="277" spans="2:78" ht="11.25" customHeight="1">
      <c r="B277" s="106"/>
      <c r="C277" s="106"/>
      <c r="D277" s="106"/>
      <c r="E277" s="106"/>
      <c r="F277" s="106"/>
      <c r="G277" s="106"/>
      <c r="H277" s="83"/>
      <c r="I277" s="863" t="s">
        <v>455</v>
      </c>
      <c r="J277" s="106"/>
      <c r="K277" s="106"/>
      <c r="L277" s="106"/>
      <c r="M277" s="106"/>
      <c r="N277" s="106"/>
      <c r="O277" s="106"/>
      <c r="P277" s="106"/>
      <c r="Q277" s="106"/>
      <c r="R277" s="106"/>
      <c r="S277" s="106"/>
      <c r="T277" s="830"/>
      <c r="U277" s="814"/>
      <c r="V277" s="106"/>
      <c r="W277" s="106"/>
      <c r="X277" s="830"/>
      <c r="Y277" s="814"/>
      <c r="Z277" s="106"/>
      <c r="AA277" s="106"/>
      <c r="AB277" s="830"/>
      <c r="AC277" s="977">
        <f t="shared" si="498"/>
        <v>0.53793070346296856</v>
      </c>
      <c r="AD277" s="976">
        <f t="shared" si="498"/>
        <v>0.49837470564257536</v>
      </c>
      <c r="AE277" s="976">
        <f t="shared" si="498"/>
        <v>0.54580419008918035</v>
      </c>
      <c r="AF277" s="1130">
        <f t="shared" si="498"/>
        <v>0.44425313967854074</v>
      </c>
      <c r="AG277" s="977">
        <f t="shared" si="498"/>
        <v>0.46321672098106204</v>
      </c>
      <c r="AH277" s="976">
        <f t="shared" si="498"/>
        <v>0.30580447068221162</v>
      </c>
      <c r="AI277" s="976">
        <f t="shared" si="498"/>
        <v>0.31374749890195686</v>
      </c>
      <c r="AJ277" s="1130">
        <f t="shared" si="498"/>
        <v>0.20664164795863682</v>
      </c>
      <c r="AK277" s="976">
        <f t="shared" si="498"/>
        <v>0.30958855098389959</v>
      </c>
      <c r="AL277" s="976">
        <f t="shared" si="498"/>
        <v>0.38079617834394908</v>
      </c>
      <c r="AM277" s="976">
        <f t="shared" si="498"/>
        <v>0.38359583952451715</v>
      </c>
      <c r="AN277" s="1130">
        <f t="shared" si="498"/>
        <v>0.32785276073619651</v>
      </c>
      <c r="AO277" s="976">
        <f t="shared" si="498"/>
        <v>0.34772423025435106</v>
      </c>
      <c r="AP277" s="976">
        <f t="shared" si="498"/>
        <v>0.30468743993665015</v>
      </c>
      <c r="AQ277" s="976">
        <f t="shared" si="498"/>
        <v>0.19410198032561543</v>
      </c>
      <c r="AR277" s="1130">
        <f t="shared" si="498"/>
        <v>0.14422027102657986</v>
      </c>
      <c r="AS277" s="1515"/>
      <c r="AT277" s="1230"/>
      <c r="AU277" s="1230"/>
      <c r="AV277" s="1231"/>
      <c r="AW277" s="1515"/>
      <c r="AX277" s="1230"/>
      <c r="AY277" s="1230"/>
      <c r="AZ277" s="1231"/>
      <c r="BA277" s="1515"/>
      <c r="BB277" s="1230"/>
      <c r="BC277" s="1230"/>
      <c r="BD277" s="1231"/>
      <c r="BE277" s="883"/>
      <c r="BF277" s="106"/>
      <c r="BG277" s="106"/>
      <c r="BH277" s="106"/>
      <c r="BI277" s="106"/>
      <c r="BJ277" s="106"/>
      <c r="BK277" s="106"/>
      <c r="BL277" s="106"/>
      <c r="BM277" s="1937"/>
      <c r="BN277" s="1938">
        <f t="shared" si="499"/>
        <v>0.50141736790421665</v>
      </c>
      <c r="BO277" s="1937">
        <f t="shared" si="499"/>
        <v>0.31089542365195966</v>
      </c>
      <c r="BP277" s="1937">
        <f t="shared" si="499"/>
        <v>7.1426972668574118E-2</v>
      </c>
      <c r="BQ277" s="106"/>
      <c r="BR277" s="106"/>
      <c r="BS277" s="106"/>
      <c r="BT277" s="106"/>
      <c r="BV277" s="106"/>
      <c r="BW277" s="106"/>
      <c r="BX277" s="106"/>
      <c r="BY277" s="830"/>
    </row>
    <row r="278" spans="2:78" ht="11.25" customHeight="1">
      <c r="B278" s="106"/>
      <c r="C278" s="106"/>
      <c r="D278" s="106"/>
      <c r="E278" s="106"/>
      <c r="F278" s="106"/>
      <c r="G278" s="106"/>
      <c r="H278" s="83"/>
      <c r="I278" s="863" t="s">
        <v>456</v>
      </c>
      <c r="J278" s="106"/>
      <c r="K278" s="106"/>
      <c r="L278" s="106"/>
      <c r="M278" s="106"/>
      <c r="N278" s="106"/>
      <c r="O278" s="106"/>
      <c r="P278" s="106"/>
      <c r="Q278" s="106"/>
      <c r="R278" s="106"/>
      <c r="S278" s="106"/>
      <c r="T278" s="830"/>
      <c r="U278" s="814"/>
      <c r="V278" s="106"/>
      <c r="W278" s="106"/>
      <c r="X278" s="830"/>
      <c r="Y278" s="814"/>
      <c r="Z278" s="106"/>
      <c r="AA278" s="106"/>
      <c r="AB278" s="830"/>
      <c r="AC278" s="977">
        <f t="shared" si="498"/>
        <v>0.51821364316216134</v>
      </c>
      <c r="AD278" s="976">
        <f t="shared" si="498"/>
        <v>0.61363429838431238</v>
      </c>
      <c r="AE278" s="976">
        <f t="shared" si="498"/>
        <v>0.67462120592994568</v>
      </c>
      <c r="AF278" s="1130">
        <f t="shared" si="498"/>
        <v>0.71088448854227115</v>
      </c>
      <c r="AG278" s="977">
        <f t="shared" si="498"/>
        <v>0.46321672098106204</v>
      </c>
      <c r="AH278" s="976">
        <f t="shared" si="498"/>
        <v>0.4146215099057291</v>
      </c>
      <c r="AI278" s="976">
        <f t="shared" si="498"/>
        <v>0.19431590809268817</v>
      </c>
      <c r="AJ278" s="1130">
        <f t="shared" si="498"/>
        <v>0.21364343701835864</v>
      </c>
      <c r="AK278" s="976">
        <f t="shared" si="498"/>
        <v>0.28974630021141645</v>
      </c>
      <c r="AL278" s="976">
        <f t="shared" si="498"/>
        <v>0.1297423277359584</v>
      </c>
      <c r="AM278" s="976">
        <f t="shared" si="498"/>
        <v>0.38359583952451715</v>
      </c>
      <c r="AN278" s="1130">
        <f t="shared" si="498"/>
        <v>0.19506748466257662</v>
      </c>
      <c r="AO278" s="976">
        <f t="shared" si="498"/>
        <v>0.11964782205746061</v>
      </c>
      <c r="AP278" s="976">
        <f t="shared" si="498"/>
        <v>0.20432686763383079</v>
      </c>
      <c r="AQ278" s="976">
        <f t="shared" si="498"/>
        <v>7.4691782293053732E-2</v>
      </c>
      <c r="AR278" s="1130">
        <f t="shared" si="498"/>
        <v>0.12038234871352604</v>
      </c>
      <c r="AS278" s="1515"/>
      <c r="AT278" s="1230"/>
      <c r="AU278" s="1230"/>
      <c r="AV278" s="1231"/>
      <c r="AW278" s="1515"/>
      <c r="AX278" s="1230"/>
      <c r="AY278" s="1230"/>
      <c r="AZ278" s="1231"/>
      <c r="BA278" s="1515"/>
      <c r="BB278" s="1230"/>
      <c r="BC278" s="1230"/>
      <c r="BD278" s="1231"/>
      <c r="BE278" s="883"/>
      <c r="BF278" s="106"/>
      <c r="BG278" s="106"/>
      <c r="BH278" s="106"/>
      <c r="BI278" s="106"/>
      <c r="BJ278" s="106"/>
      <c r="BK278" s="106"/>
      <c r="BL278" s="106"/>
      <c r="BM278" s="1937"/>
      <c r="BN278" s="1938">
        <f t="shared" si="499"/>
        <v>0.63606122087182593</v>
      </c>
      <c r="BO278" s="1937">
        <f t="shared" si="499"/>
        <v>0.30617284901909425</v>
      </c>
      <c r="BP278" s="1937">
        <f t="shared" si="499"/>
        <v>6.5690214585945039E-2</v>
      </c>
      <c r="BQ278" s="106"/>
      <c r="BR278" s="106"/>
      <c r="BS278" s="106"/>
      <c r="BT278" s="106"/>
      <c r="BV278" s="106"/>
      <c r="BW278" s="106"/>
      <c r="BX278" s="106"/>
      <c r="BY278" s="830"/>
    </row>
    <row r="279" spans="2:78" ht="11.25" customHeight="1">
      <c r="B279" s="106"/>
      <c r="C279" s="106"/>
      <c r="D279" s="106"/>
      <c r="E279" s="106"/>
      <c r="F279" s="106"/>
      <c r="G279" s="106"/>
      <c r="H279" s="83"/>
      <c r="I279" s="863" t="s">
        <v>457</v>
      </c>
      <c r="J279" s="106"/>
      <c r="K279" s="106"/>
      <c r="L279" s="106"/>
      <c r="M279" s="106"/>
      <c r="N279" s="106"/>
      <c r="O279" s="106"/>
      <c r="P279" s="106"/>
      <c r="Q279" s="106"/>
      <c r="R279" s="106"/>
      <c r="S279" s="106"/>
      <c r="T279" s="830"/>
      <c r="U279" s="814"/>
      <c r="V279" s="106"/>
      <c r="W279" s="106"/>
      <c r="X279" s="830"/>
      <c r="Y279" s="814"/>
      <c r="Z279" s="106"/>
      <c r="AA279" s="106"/>
      <c r="AB279" s="830"/>
      <c r="AC279" s="977">
        <f t="shared" si="498"/>
        <v>0.65623306526781255</v>
      </c>
      <c r="AD279" s="976">
        <f t="shared" si="498"/>
        <v>0.61363429838431216</v>
      </c>
      <c r="AE279" s="976">
        <f t="shared" si="498"/>
        <v>0.53506943876911683</v>
      </c>
      <c r="AF279" s="1130">
        <f t="shared" si="498"/>
        <v>0.55534953503842832</v>
      </c>
      <c r="AG279" s="977">
        <f t="shared" si="498"/>
        <v>0.46321672098106204</v>
      </c>
      <c r="AH279" s="976">
        <f t="shared" si="498"/>
        <v>0.29673638408025171</v>
      </c>
      <c r="AI279" s="976">
        <f t="shared" si="498"/>
        <v>0.31374749890195686</v>
      </c>
      <c r="AJ279" s="1130">
        <f t="shared" si="498"/>
        <v>0.33500778072019455</v>
      </c>
      <c r="AK279" s="976">
        <f t="shared" si="498"/>
        <v>0.4187209302325583</v>
      </c>
      <c r="AL279" s="976">
        <f t="shared" si="498"/>
        <v>0.38079617834394908</v>
      </c>
      <c r="AM279" s="976">
        <f t="shared" si="498"/>
        <v>0.25781439956774288</v>
      </c>
      <c r="AN279" s="1130">
        <f t="shared" si="498"/>
        <v>0.32785276073619629</v>
      </c>
      <c r="AO279" s="976">
        <f t="shared" si="498"/>
        <v>0.24405313561940067</v>
      </c>
      <c r="AP279" s="976">
        <f t="shared" si="498"/>
        <v>0.20432686763383079</v>
      </c>
      <c r="AQ279" s="976">
        <f t="shared" si="498"/>
        <v>0.31351217835817691</v>
      </c>
      <c r="AR279" s="1130">
        <f t="shared" si="498"/>
        <v>0.12038234871352604</v>
      </c>
      <c r="AS279" s="1515"/>
      <c r="AT279" s="1230"/>
      <c r="AU279" s="1230"/>
      <c r="AV279" s="1231"/>
      <c r="AW279" s="1515"/>
      <c r="AX279" s="1230"/>
      <c r="AY279" s="1230"/>
      <c r="AZ279" s="1231"/>
      <c r="BA279" s="1515"/>
      <c r="BB279" s="1230"/>
      <c r="BC279" s="1230"/>
      <c r="BD279" s="1231"/>
      <c r="BE279" s="883"/>
      <c r="BF279" s="106"/>
      <c r="BG279" s="106"/>
      <c r="BH279" s="106"/>
      <c r="BI279" s="106"/>
      <c r="BJ279" s="106"/>
      <c r="BK279" s="106"/>
      <c r="BL279" s="106"/>
      <c r="BM279" s="1937"/>
      <c r="BN279" s="1938">
        <f t="shared" si="499"/>
        <v>0.58326577262574508</v>
      </c>
      <c r="BO279" s="1937">
        <f t="shared" si="499"/>
        <v>0.34515002653427884</v>
      </c>
      <c r="BP279" s="1937">
        <f t="shared" si="499"/>
        <v>9.0250626566416026E-2</v>
      </c>
      <c r="BQ279" s="106"/>
      <c r="BR279" s="106"/>
      <c r="BS279" s="106"/>
      <c r="BT279" s="106"/>
      <c r="BV279" s="106"/>
      <c r="BW279" s="106"/>
      <c r="BX279" s="106"/>
      <c r="BY279" s="830"/>
    </row>
    <row r="280" spans="2:78" s="1438" customFormat="1" ht="11.25" customHeight="1">
      <c r="B280" s="1440"/>
      <c r="C280" s="1440"/>
      <c r="D280" s="1440"/>
      <c r="E280" s="1440"/>
      <c r="F280" s="1440"/>
      <c r="G280" s="1440"/>
      <c r="H280" s="1441"/>
      <c r="I280" s="1501" t="s">
        <v>458</v>
      </c>
      <c r="J280" s="1440"/>
      <c r="K280" s="1440"/>
      <c r="L280" s="1440"/>
      <c r="M280" s="1440"/>
      <c r="N280" s="1440"/>
      <c r="O280" s="1440"/>
      <c r="P280" s="1440"/>
      <c r="Q280" s="1440"/>
      <c r="R280" s="1440"/>
      <c r="S280" s="1440"/>
      <c r="T280" s="1494"/>
      <c r="U280" s="1493"/>
      <c r="V280" s="1440"/>
      <c r="W280" s="1440"/>
      <c r="X280" s="1494"/>
      <c r="Y280" s="1493"/>
      <c r="Z280" s="1440"/>
      <c r="AA280" s="1440"/>
      <c r="AB280" s="1494"/>
      <c r="AC280" s="1487">
        <f t="shared" si="498"/>
        <v>0.58998374265709996</v>
      </c>
      <c r="AD280" s="1488">
        <f t="shared" si="498"/>
        <v>0.61363429838431216</v>
      </c>
      <c r="AE280" s="1488">
        <f t="shared" si="498"/>
        <v>0.74439708951035999</v>
      </c>
      <c r="AF280" s="1489">
        <f t="shared" si="498"/>
        <v>0.4931355536368911</v>
      </c>
      <c r="AG280" s="1487">
        <f t="shared" si="498"/>
        <v>0.46321672098106181</v>
      </c>
      <c r="AH280" s="1488">
        <f t="shared" si="498"/>
        <v>0.41462150990572932</v>
      </c>
      <c r="AI280" s="1488">
        <f t="shared" si="498"/>
        <v>0.26119759894587857</v>
      </c>
      <c r="AJ280" s="1489">
        <f t="shared" si="498"/>
        <v>0.3906331049168692</v>
      </c>
      <c r="AK280" s="1488">
        <f t="shared" si="498"/>
        <v>0.41872093023255808</v>
      </c>
      <c r="AL280" s="1488">
        <f t="shared" si="498"/>
        <v>0.44083079479368581</v>
      </c>
      <c r="AM280" s="1488">
        <f t="shared" si="498"/>
        <v>0.32594601287766234</v>
      </c>
      <c r="AN280" s="1489">
        <f t="shared" si="498"/>
        <v>0.27473865030674838</v>
      </c>
      <c r="AO280" s="1488">
        <f t="shared" si="498"/>
        <v>0.19221758830192592</v>
      </c>
      <c r="AP280" s="1488">
        <f t="shared" si="498"/>
        <v>0.10396629533101143</v>
      </c>
      <c r="AQ280" s="1439">
        <f t="shared" ref="AQ280:BD281" si="500">+AQ259/AM259-1</f>
        <v>0.14218450292015383</v>
      </c>
      <c r="AR280" s="1489">
        <f t="shared" si="498"/>
        <v>7.3699750850462653E-2</v>
      </c>
      <c r="AS280" s="1468" t="e">
        <f t="shared" si="500"/>
        <v>#REF!</v>
      </c>
      <c r="AT280" s="1439" t="e">
        <f t="shared" si="500"/>
        <v>#REF!</v>
      </c>
      <c r="AU280" s="1439" t="e">
        <f t="shared" si="500"/>
        <v>#REF!</v>
      </c>
      <c r="AV280" s="1469" t="e">
        <f t="shared" si="500"/>
        <v>#REF!</v>
      </c>
      <c r="AW280" s="1468" t="e">
        <f t="shared" si="500"/>
        <v>#REF!</v>
      </c>
      <c r="AX280" s="1439" t="e">
        <f t="shared" si="500"/>
        <v>#REF!</v>
      </c>
      <c r="AY280" s="1439" t="e">
        <f t="shared" si="500"/>
        <v>#REF!</v>
      </c>
      <c r="AZ280" s="1469" t="e">
        <f t="shared" si="500"/>
        <v>#REF!</v>
      </c>
      <c r="BA280" s="1468" t="e">
        <f t="shared" si="500"/>
        <v>#REF!</v>
      </c>
      <c r="BB280" s="1439" t="e">
        <f t="shared" si="500"/>
        <v>#REF!</v>
      </c>
      <c r="BC280" s="1439" t="e">
        <f t="shared" si="500"/>
        <v>#REF!</v>
      </c>
      <c r="BD280" s="1469" t="e">
        <f t="shared" si="500"/>
        <v>#REF!</v>
      </c>
      <c r="BE280" s="2503"/>
      <c r="BF280" s="1440"/>
      <c r="BG280" s="1440"/>
      <c r="BH280" s="1440"/>
      <c r="BI280" s="1440"/>
      <c r="BJ280" s="1440"/>
      <c r="BK280" s="1440"/>
      <c r="BL280" s="1440"/>
      <c r="BM280" s="1939"/>
      <c r="BN280" s="1940">
        <f t="shared" si="499"/>
        <v>0.60512520356955801</v>
      </c>
      <c r="BO280" s="1939">
        <f t="shared" si="499"/>
        <v>0.37416452991735571</v>
      </c>
      <c r="BP280" s="1939">
        <f t="shared" si="499"/>
        <v>9.0097915781200966E-2</v>
      </c>
      <c r="BQ280" s="1440"/>
      <c r="BR280" s="1440"/>
      <c r="BS280" s="1440"/>
      <c r="BT280" s="1440"/>
      <c r="BU280" s="1440"/>
      <c r="BV280" s="1440"/>
      <c r="BW280" s="1440"/>
      <c r="BX280" s="1440"/>
      <c r="BY280" s="1494"/>
      <c r="BZ280" s="1441"/>
    </row>
    <row r="281" spans="2:78" s="41" customFormat="1" ht="11.25" customHeight="1">
      <c r="B281" s="231"/>
      <c r="C281" s="231"/>
      <c r="D281" s="231"/>
      <c r="E281" s="231"/>
      <c r="F281" s="231"/>
      <c r="G281" s="231"/>
      <c r="H281" s="226"/>
      <c r="I281" s="862" t="s">
        <v>494</v>
      </c>
      <c r="J281" s="231"/>
      <c r="K281" s="231"/>
      <c r="L281" s="231"/>
      <c r="M281" s="231"/>
      <c r="N281" s="231"/>
      <c r="O281" s="231"/>
      <c r="P281" s="231"/>
      <c r="Q281" s="231"/>
      <c r="R281" s="231"/>
      <c r="S281" s="231"/>
      <c r="T281" s="1151"/>
      <c r="U281" s="857"/>
      <c r="V281" s="231"/>
      <c r="W281" s="231"/>
      <c r="X281" s="1151"/>
      <c r="Y281" s="857"/>
      <c r="Z281" s="231"/>
      <c r="AA281" s="231"/>
      <c r="AB281" s="1151"/>
      <c r="AC281" s="1490">
        <f t="shared" si="498"/>
        <v>0.65623306526781255</v>
      </c>
      <c r="AD281" s="1491">
        <f t="shared" si="498"/>
        <v>0.61363429838431194</v>
      </c>
      <c r="AE281" s="1491">
        <f t="shared" si="498"/>
        <v>0.67462120592994568</v>
      </c>
      <c r="AF281" s="1492">
        <f t="shared" si="498"/>
        <v>0.55534953503842832</v>
      </c>
      <c r="AG281" s="1490">
        <f t="shared" si="498"/>
        <v>0.46321672098106204</v>
      </c>
      <c r="AH281" s="1491">
        <f t="shared" si="498"/>
        <v>0.41462150990572955</v>
      </c>
      <c r="AI281" s="1491">
        <f t="shared" si="498"/>
        <v>0.31374749890195686</v>
      </c>
      <c r="AJ281" s="1492" t="e">
        <f t="shared" si="498"/>
        <v>#REF!</v>
      </c>
      <c r="AK281" s="1491" t="e">
        <f t="shared" si="498"/>
        <v>#REF!</v>
      </c>
      <c r="AL281" s="1491" t="e">
        <f t="shared" si="498"/>
        <v>#REF!</v>
      </c>
      <c r="AM281" s="1491" t="e">
        <f t="shared" si="498"/>
        <v>#REF!</v>
      </c>
      <c r="AN281" s="1492" t="e">
        <f t="shared" si="498"/>
        <v>#REF!</v>
      </c>
      <c r="AO281" s="1491" t="e">
        <f t="shared" si="498"/>
        <v>#REF!</v>
      </c>
      <c r="AP281" s="1491" t="e">
        <f t="shared" si="498"/>
        <v>#REF!</v>
      </c>
      <c r="AQ281" s="359" t="e">
        <f t="shared" si="500"/>
        <v>#REF!</v>
      </c>
      <c r="AR281" s="1492" t="e">
        <f t="shared" si="498"/>
        <v>#REF!</v>
      </c>
      <c r="AS281" s="852" t="e">
        <f t="shared" si="500"/>
        <v>#REF!</v>
      </c>
      <c r="AT281" s="359" t="e">
        <f t="shared" si="500"/>
        <v>#REF!</v>
      </c>
      <c r="AU281" s="359" t="e">
        <f t="shared" si="500"/>
        <v>#REF!</v>
      </c>
      <c r="AV281" s="843" t="e">
        <f t="shared" si="500"/>
        <v>#REF!</v>
      </c>
      <c r="AW281" s="852" t="e">
        <f t="shared" si="500"/>
        <v>#REF!</v>
      </c>
      <c r="AX281" s="359" t="e">
        <f t="shared" si="500"/>
        <v>#REF!</v>
      </c>
      <c r="AY281" s="359" t="e">
        <f t="shared" si="500"/>
        <v>#REF!</v>
      </c>
      <c r="AZ281" s="843" t="e">
        <f t="shared" si="500"/>
        <v>#REF!</v>
      </c>
      <c r="BA281" s="852" t="e">
        <f t="shared" si="500"/>
        <v>#REF!</v>
      </c>
      <c r="BB281" s="359" t="e">
        <f t="shared" si="500"/>
        <v>#REF!</v>
      </c>
      <c r="BC281" s="359" t="e">
        <f t="shared" si="500"/>
        <v>#REF!</v>
      </c>
      <c r="BD281" s="843" t="e">
        <f t="shared" si="500"/>
        <v>#REF!</v>
      </c>
      <c r="BE281" s="2354"/>
      <c r="BF281" s="231"/>
      <c r="BG281" s="231"/>
      <c r="BH281" s="231"/>
      <c r="BI281" s="231"/>
      <c r="BJ281" s="231"/>
      <c r="BK281" s="231"/>
      <c r="BL281" s="231"/>
      <c r="BM281" s="1941"/>
      <c r="BN281" s="1942">
        <f t="shared" si="499"/>
        <v>0.62040963483097844</v>
      </c>
      <c r="BO281" s="1941">
        <f t="shared" si="499"/>
        <v>0.37293728280216953</v>
      </c>
      <c r="BP281" s="1941">
        <f t="shared" si="499"/>
        <v>9.0314483973389814E-2</v>
      </c>
      <c r="BQ281" s="231"/>
      <c r="BR281" s="231"/>
      <c r="BS281" s="231"/>
      <c r="BT281" s="231"/>
      <c r="BU281" s="231"/>
      <c r="BV281" s="231"/>
      <c r="BW281" s="231"/>
      <c r="BX281" s="231"/>
      <c r="BY281" s="1151"/>
      <c r="BZ281" s="226"/>
    </row>
    <row r="282" spans="2:78" s="41" customFormat="1" ht="11.25" customHeight="1">
      <c r="B282" s="231"/>
      <c r="C282" s="231"/>
      <c r="D282" s="231"/>
      <c r="E282" s="231"/>
      <c r="F282" s="231"/>
      <c r="G282" s="231"/>
      <c r="H282" s="226"/>
      <c r="I282" s="862"/>
      <c r="J282" s="231"/>
      <c r="K282" s="231"/>
      <c r="L282" s="231"/>
      <c r="M282" s="231"/>
      <c r="N282" s="231"/>
      <c r="O282" s="231"/>
      <c r="P282" s="231"/>
      <c r="Q282" s="231"/>
      <c r="R282" s="231"/>
      <c r="S282" s="231"/>
      <c r="T282" s="1151"/>
      <c r="U282" s="857"/>
      <c r="V282" s="231"/>
      <c r="W282" s="231"/>
      <c r="X282" s="1151"/>
      <c r="Y282" s="857"/>
      <c r="Z282" s="231"/>
      <c r="AA282" s="231"/>
      <c r="AB282" s="1151"/>
      <c r="AC282" s="1490"/>
      <c r="AD282" s="1491"/>
      <c r="AE282" s="1491"/>
      <c r="AF282" s="1492"/>
      <c r="AG282" s="1490"/>
      <c r="AH282" s="1491"/>
      <c r="AI282" s="1491"/>
      <c r="AJ282" s="1492"/>
      <c r="AK282" s="852"/>
      <c r="AL282" s="359"/>
      <c r="AM282" s="359"/>
      <c r="AN282" s="843"/>
      <c r="AO282" s="359"/>
      <c r="AP282" s="359"/>
      <c r="AQ282" s="359"/>
      <c r="AR282" s="843"/>
      <c r="AS282" s="852"/>
      <c r="AT282" s="359"/>
      <c r="AU282" s="359"/>
      <c r="AV282" s="843"/>
      <c r="AW282" s="852"/>
      <c r="AX282" s="359"/>
      <c r="AY282" s="359"/>
      <c r="AZ282" s="843"/>
      <c r="BA282" s="852"/>
      <c r="BB282" s="359"/>
      <c r="BC282" s="359"/>
      <c r="BD282" s="843"/>
      <c r="BE282" s="2354"/>
      <c r="BF282" s="231"/>
      <c r="BG282" s="231"/>
      <c r="BH282" s="231"/>
      <c r="BI282" s="231"/>
      <c r="BJ282" s="231"/>
      <c r="BK282" s="231"/>
      <c r="BL282" s="231"/>
      <c r="BM282" s="1941"/>
      <c r="BN282" s="1942"/>
      <c r="BO282" s="1941"/>
      <c r="BP282" s="1941"/>
      <c r="BQ282" s="231"/>
      <c r="BR282" s="231"/>
      <c r="BS282" s="231"/>
      <c r="BT282" s="231"/>
      <c r="BU282" s="231"/>
      <c r="BV282" s="231"/>
      <c r="BW282" s="231"/>
      <c r="BX282" s="231"/>
      <c r="BY282" s="1151"/>
      <c r="BZ282" s="226"/>
    </row>
    <row r="283" spans="2:78" s="41" customFormat="1" ht="11.25" customHeight="1">
      <c r="B283" s="231"/>
      <c r="C283" s="231"/>
      <c r="D283" s="231"/>
      <c r="E283" s="231"/>
      <c r="F283" s="231"/>
      <c r="G283" s="231"/>
      <c r="H283" s="226"/>
      <c r="I283" s="1500" t="s">
        <v>542</v>
      </c>
      <c r="J283" s="231"/>
      <c r="K283" s="231"/>
      <c r="L283" s="231"/>
      <c r="M283" s="231"/>
      <c r="N283" s="231"/>
      <c r="O283" s="231"/>
      <c r="P283" s="231"/>
      <c r="Q283" s="231"/>
      <c r="R283" s="231"/>
      <c r="S283" s="231"/>
      <c r="T283" s="1151"/>
      <c r="U283" s="857"/>
      <c r="V283" s="231"/>
      <c r="W283" s="231"/>
      <c r="X283" s="1151"/>
      <c r="Y283" s="857"/>
      <c r="Z283" s="231"/>
      <c r="AA283" s="231"/>
      <c r="AB283" s="1151"/>
      <c r="AC283" s="1490"/>
      <c r="AD283" s="1491"/>
      <c r="AE283" s="1491"/>
      <c r="AF283" s="1492"/>
      <c r="AG283" s="1490"/>
      <c r="AH283" s="1491"/>
      <c r="AI283" s="1491"/>
      <c r="AJ283" s="1492"/>
      <c r="AK283" s="852"/>
      <c r="AL283" s="359"/>
      <c r="AM283" s="359"/>
      <c r="AN283" s="843"/>
      <c r="AO283" s="359"/>
      <c r="AP283" s="359"/>
      <c r="AQ283" s="359"/>
      <c r="AR283" s="843"/>
      <c r="AS283" s="852"/>
      <c r="AT283" s="359"/>
      <c r="AU283" s="359"/>
      <c r="AV283" s="843"/>
      <c r="AW283" s="852"/>
      <c r="AX283" s="359"/>
      <c r="AY283" s="359"/>
      <c r="AZ283" s="843"/>
      <c r="BA283" s="852"/>
      <c r="BB283" s="359"/>
      <c r="BC283" s="359"/>
      <c r="BD283" s="843"/>
      <c r="BE283" s="2354"/>
      <c r="BF283" s="231"/>
      <c r="BG283" s="231"/>
      <c r="BH283" s="231"/>
      <c r="BI283" s="231"/>
      <c r="BJ283" s="231"/>
      <c r="BK283" s="231"/>
      <c r="BL283" s="231"/>
      <c r="BM283" s="1941"/>
      <c r="BN283" s="1941">
        <f>BN262/BM262-1</f>
        <v>0.62530668884742124</v>
      </c>
      <c r="BO283" s="1941">
        <f>BO262/BN262-1</f>
        <v>0.37254896149344852</v>
      </c>
      <c r="BP283" s="1941">
        <f>BP262/BO262-1</f>
        <v>9.0383090394192234E-2</v>
      </c>
      <c r="BQ283" s="231"/>
      <c r="BR283" s="231"/>
      <c r="BS283" s="231"/>
      <c r="BT283" s="231"/>
      <c r="BU283" s="231"/>
      <c r="BV283" s="231"/>
      <c r="BW283" s="231"/>
      <c r="BX283" s="231"/>
      <c r="BY283" s="1151"/>
      <c r="BZ283" s="226"/>
    </row>
    <row r="284" spans="2:78" ht="11.25" customHeight="1">
      <c r="B284" s="106"/>
      <c r="C284" s="106"/>
      <c r="D284" s="106"/>
      <c r="E284" s="106"/>
      <c r="F284" s="106"/>
      <c r="G284" s="106"/>
      <c r="H284" s="83"/>
      <c r="I284" s="814"/>
      <c r="J284" s="106"/>
      <c r="K284" s="106"/>
      <c r="L284" s="106"/>
      <c r="M284" s="106"/>
      <c r="N284" s="106"/>
      <c r="O284" s="106"/>
      <c r="P284" s="106"/>
      <c r="Q284" s="106"/>
      <c r="R284" s="106"/>
      <c r="S284" s="106"/>
      <c r="T284" s="830"/>
      <c r="U284" s="814"/>
      <c r="V284" s="106"/>
      <c r="W284" s="106"/>
      <c r="X284" s="830"/>
      <c r="Y284" s="814"/>
      <c r="Z284" s="106"/>
      <c r="AA284" s="106"/>
      <c r="AB284" s="830"/>
      <c r="AC284" s="814"/>
      <c r="AD284" s="106"/>
      <c r="AE284" s="106"/>
      <c r="AF284" s="830"/>
      <c r="AG284" s="814"/>
      <c r="AH284" s="106"/>
      <c r="AI284" s="106"/>
      <c r="AJ284" s="830"/>
      <c r="AK284" s="814"/>
      <c r="AM284" s="106"/>
      <c r="AN284" s="830"/>
      <c r="AO284" s="106"/>
      <c r="AP284" s="106"/>
      <c r="AQ284" s="106"/>
      <c r="AR284" s="830"/>
      <c r="AS284" s="814"/>
      <c r="AT284" s="106"/>
      <c r="AU284" s="106"/>
      <c r="AV284" s="830"/>
      <c r="AW284" s="814"/>
      <c r="AX284" s="106"/>
      <c r="AY284" s="106"/>
      <c r="AZ284" s="830"/>
      <c r="BA284" s="814"/>
      <c r="BB284" s="106"/>
      <c r="BC284" s="106"/>
      <c r="BD284" s="830"/>
      <c r="BE284" s="883"/>
      <c r="BF284" s="106"/>
      <c r="BG284" s="106"/>
      <c r="BH284" s="106"/>
      <c r="BI284" s="106"/>
      <c r="BJ284" s="106"/>
      <c r="BK284" s="106"/>
      <c r="BL284" s="106"/>
      <c r="BN284" s="814"/>
      <c r="BP284" s="106"/>
      <c r="BQ284" s="106"/>
      <c r="BR284" s="106"/>
      <c r="BS284" s="106"/>
      <c r="BT284" s="106"/>
      <c r="BV284" s="106"/>
      <c r="BW284" s="106"/>
      <c r="BX284" s="106"/>
      <c r="BY284" s="830"/>
    </row>
    <row r="285" spans="2:78" ht="11.25" customHeight="1">
      <c r="B285" s="106"/>
      <c r="C285" s="106"/>
      <c r="D285" s="106"/>
      <c r="E285" s="106"/>
      <c r="F285" s="106"/>
      <c r="G285" s="106"/>
      <c r="H285" s="83"/>
      <c r="I285" s="1503" t="s">
        <v>497</v>
      </c>
      <c r="J285" s="106"/>
      <c r="K285" s="106"/>
      <c r="L285" s="106"/>
      <c r="M285" s="106"/>
      <c r="N285" s="106"/>
      <c r="O285" s="106"/>
      <c r="P285" s="106"/>
      <c r="Q285" s="106"/>
      <c r="R285" s="106"/>
      <c r="S285" s="106"/>
      <c r="T285" s="830"/>
      <c r="U285" s="814"/>
      <c r="V285" s="106"/>
      <c r="W285" s="106"/>
      <c r="X285" s="830"/>
      <c r="Y285" s="814"/>
      <c r="Z285" s="106"/>
      <c r="AA285" s="106"/>
      <c r="AB285" s="830"/>
      <c r="AC285" s="814"/>
      <c r="AD285" s="106"/>
      <c r="AE285" s="106"/>
      <c r="AF285" s="830"/>
      <c r="AG285" s="814"/>
      <c r="AH285" s="106"/>
      <c r="AI285" s="106"/>
      <c r="AJ285" s="830"/>
      <c r="AK285" s="814"/>
      <c r="AM285" s="106"/>
      <c r="AN285" s="830"/>
      <c r="AO285" s="106"/>
      <c r="AP285" s="106"/>
      <c r="AQ285" s="106"/>
      <c r="AR285" s="830"/>
      <c r="AS285" s="814"/>
      <c r="AT285" s="106"/>
      <c r="AU285" s="106"/>
      <c r="AV285" s="830"/>
      <c r="AW285" s="814"/>
      <c r="AX285" s="106"/>
      <c r="AY285" s="106"/>
      <c r="AZ285" s="830"/>
      <c r="BA285" s="814"/>
      <c r="BB285" s="106"/>
      <c r="BC285" s="106"/>
      <c r="BD285" s="830"/>
      <c r="BE285" s="883"/>
      <c r="BF285" s="106"/>
      <c r="BG285" s="106"/>
      <c r="BH285" s="106"/>
      <c r="BI285" s="106"/>
      <c r="BJ285" s="106"/>
      <c r="BK285" s="106"/>
      <c r="BL285" s="106"/>
      <c r="BN285" s="814"/>
      <c r="BP285" s="106"/>
      <c r="BQ285" s="106"/>
      <c r="BR285" s="106"/>
      <c r="BS285" s="106"/>
      <c r="BT285" s="106"/>
      <c r="BV285" s="106"/>
      <c r="BW285" s="106"/>
      <c r="BX285" s="106"/>
      <c r="BY285" s="830"/>
    </row>
    <row r="286" spans="2:78" ht="11.25" customHeight="1">
      <c r="B286" s="106"/>
      <c r="C286" s="106"/>
      <c r="D286" s="106"/>
      <c r="E286" s="106"/>
      <c r="F286" s="106"/>
      <c r="G286" s="106"/>
      <c r="H286" s="83"/>
      <c r="I286" s="656" t="s">
        <v>453</v>
      </c>
      <c r="J286" s="106"/>
      <c r="K286" s="106"/>
      <c r="L286" s="106"/>
      <c r="M286" s="106"/>
      <c r="N286" s="106"/>
      <c r="O286" s="106"/>
      <c r="P286" s="106"/>
      <c r="Q286" s="106"/>
      <c r="R286" s="106"/>
      <c r="S286" s="106"/>
      <c r="T286" s="830"/>
      <c r="U286" s="814"/>
      <c r="V286" s="106"/>
      <c r="W286" s="106"/>
      <c r="X286" s="830"/>
      <c r="Y286" s="814"/>
      <c r="Z286" s="106"/>
      <c r="AA286" s="106"/>
      <c r="AB286" s="830"/>
      <c r="AC286" s="1470">
        <f t="shared" ref="AC286:AL292" si="501">+AC254-Y254</f>
        <v>8.9524899999999992</v>
      </c>
      <c r="AD286" s="1471">
        <f t="shared" si="501"/>
        <v>9.8791000000000011</v>
      </c>
      <c r="AE286" s="1471">
        <f t="shared" si="501"/>
        <v>11.954860000000002</v>
      </c>
      <c r="AF286" s="1472">
        <f t="shared" si="501"/>
        <v>11.614380000000004</v>
      </c>
      <c r="AG286" s="1470">
        <f t="shared" si="501"/>
        <v>9.9662500000000023</v>
      </c>
      <c r="AH286" s="1471">
        <f t="shared" si="501"/>
        <v>12.083379999999998</v>
      </c>
      <c r="AI286" s="1471">
        <f t="shared" si="501"/>
        <v>11.049700000000001</v>
      </c>
      <c r="AJ286" s="1472">
        <f t="shared" si="501"/>
        <v>12.505379999999999</v>
      </c>
      <c r="AK286" s="1470">
        <f t="shared" si="501"/>
        <v>16.929769999999994</v>
      </c>
      <c r="AL286" s="1471">
        <f t="shared" si="501"/>
        <v>16.860399999999998</v>
      </c>
      <c r="AM286" s="1471">
        <f t="shared" ref="AM286:AV292" si="502">+AM254-AI254</f>
        <v>18.181599999999996</v>
      </c>
      <c r="AN286" s="1472">
        <f t="shared" si="502"/>
        <v>16.875809999999994</v>
      </c>
      <c r="AO286" s="1470">
        <f t="shared" si="502"/>
        <v>13.199130000000004</v>
      </c>
      <c r="AP286" s="1471">
        <f t="shared" si="502"/>
        <v>12.719439999999999</v>
      </c>
      <c r="AQ286" s="1471">
        <f t="shared" si="502"/>
        <v>13.068199999999997</v>
      </c>
      <c r="AR286" s="1472">
        <f t="shared" si="502"/>
        <v>9.7044500000000085</v>
      </c>
      <c r="AS286" s="1470">
        <f t="shared" si="502"/>
        <v>0</v>
      </c>
      <c r="AT286" s="1471">
        <f t="shared" si="502"/>
        <v>0</v>
      </c>
      <c r="AU286" s="1471">
        <f t="shared" si="502"/>
        <v>0</v>
      </c>
      <c r="AV286" s="1472">
        <f t="shared" si="502"/>
        <v>0</v>
      </c>
      <c r="AW286" s="1470">
        <f t="shared" ref="AW286:BD292" si="503">+AW254-AS254</f>
        <v>0</v>
      </c>
      <c r="AX286" s="1471">
        <f t="shared" si="503"/>
        <v>0</v>
      </c>
      <c r="AY286" s="1471">
        <f t="shared" si="503"/>
        <v>0</v>
      </c>
      <c r="AZ286" s="1472">
        <f t="shared" si="503"/>
        <v>0</v>
      </c>
      <c r="BA286" s="1470">
        <f t="shared" si="503"/>
        <v>0</v>
      </c>
      <c r="BB286" s="1471">
        <f t="shared" si="503"/>
        <v>0</v>
      </c>
      <c r="BC286" s="1471">
        <f t="shared" si="503"/>
        <v>0</v>
      </c>
      <c r="BD286" s="1472">
        <f t="shared" si="503"/>
        <v>0</v>
      </c>
      <c r="BE286" s="883"/>
      <c r="BF286" s="106"/>
      <c r="BG286" s="106"/>
      <c r="BH286" s="106"/>
      <c r="BI286" s="106"/>
      <c r="BJ286" s="106"/>
      <c r="BK286" s="106"/>
      <c r="BL286" s="106"/>
      <c r="BN286" s="1943">
        <f t="shared" ref="BN286:BP292" si="504">BN254-BM254</f>
        <v>42.400830000000013</v>
      </c>
      <c r="BO286" s="957">
        <f t="shared" si="504"/>
        <v>45.604709999999997</v>
      </c>
      <c r="BP286" s="957">
        <f t="shared" si="504"/>
        <v>16.929769999999991</v>
      </c>
      <c r="BQ286" s="106"/>
      <c r="BR286" s="106"/>
      <c r="BS286" s="106"/>
      <c r="BT286" s="106"/>
      <c r="BV286" s="106"/>
      <c r="BW286" s="106"/>
      <c r="BX286" s="106"/>
      <c r="BY286" s="830"/>
    </row>
    <row r="287" spans="2:78" ht="11.25" customHeight="1">
      <c r="B287" s="106"/>
      <c r="C287" s="106"/>
      <c r="D287" s="106"/>
      <c r="E287" s="106"/>
      <c r="F287" s="106"/>
      <c r="G287" s="106"/>
      <c r="H287" s="83"/>
      <c r="I287" s="863" t="s">
        <v>454</v>
      </c>
      <c r="J287" s="106"/>
      <c r="K287" s="106"/>
      <c r="L287" s="106"/>
      <c r="M287" s="106"/>
      <c r="N287" s="106"/>
      <c r="O287" s="106"/>
      <c r="P287" s="106"/>
      <c r="Q287" s="106"/>
      <c r="R287" s="106"/>
      <c r="S287" s="106"/>
      <c r="T287" s="830"/>
      <c r="U287" s="814"/>
      <c r="V287" s="106"/>
      <c r="W287" s="106"/>
      <c r="X287" s="830"/>
      <c r="Y287" s="814"/>
      <c r="Z287" s="106"/>
      <c r="AA287" s="106"/>
      <c r="AB287" s="830"/>
      <c r="AC287" s="1470">
        <f t="shared" si="501"/>
        <v>4.8438400000000001</v>
      </c>
      <c r="AD287" s="1471">
        <f t="shared" si="501"/>
        <v>4.5143700000000013</v>
      </c>
      <c r="AE287" s="1471">
        <f t="shared" si="501"/>
        <v>5.5792900000000003</v>
      </c>
      <c r="AF287" s="1472">
        <f t="shared" si="501"/>
        <v>5.1788899999999991</v>
      </c>
      <c r="AG287" s="1470">
        <f t="shared" si="501"/>
        <v>4.5448799999999991</v>
      </c>
      <c r="AH287" s="1471">
        <f t="shared" si="501"/>
        <v>5.5219499999999986</v>
      </c>
      <c r="AI287" s="1471">
        <f t="shared" si="501"/>
        <v>4.821749999999998</v>
      </c>
      <c r="AJ287" s="1472">
        <f t="shared" si="501"/>
        <v>4.0549500000000016</v>
      </c>
      <c r="AK287" s="1470">
        <f t="shared" si="501"/>
        <v>5.4358200000000032</v>
      </c>
      <c r="AL287" s="1471">
        <f t="shared" si="501"/>
        <v>5.4399200000000008</v>
      </c>
      <c r="AM287" s="1471">
        <f t="shared" si="502"/>
        <v>7.7448000000000015</v>
      </c>
      <c r="AN287" s="1472">
        <f t="shared" si="502"/>
        <v>8.1944099999999978</v>
      </c>
      <c r="AO287" s="1470">
        <f t="shared" si="502"/>
        <v>5.4193999999999996</v>
      </c>
      <c r="AP287" s="1471">
        <f t="shared" si="502"/>
        <v>4.9610400000000041</v>
      </c>
      <c r="AQ287" s="1471">
        <f t="shared" si="502"/>
        <v>5.4222000000000001</v>
      </c>
      <c r="AR287" s="1472">
        <f t="shared" si="502"/>
        <v>1.8220300000000051</v>
      </c>
      <c r="AS287" s="1470">
        <f t="shared" si="502"/>
        <v>0</v>
      </c>
      <c r="AT287" s="1471">
        <f t="shared" si="502"/>
        <v>0</v>
      </c>
      <c r="AU287" s="1471">
        <f t="shared" si="502"/>
        <v>0</v>
      </c>
      <c r="AV287" s="1472">
        <f t="shared" si="502"/>
        <v>0</v>
      </c>
      <c r="AW287" s="1470">
        <f t="shared" si="503"/>
        <v>0</v>
      </c>
      <c r="AX287" s="1471">
        <f t="shared" si="503"/>
        <v>0</v>
      </c>
      <c r="AY287" s="1471">
        <f t="shared" si="503"/>
        <v>0</v>
      </c>
      <c r="AZ287" s="1472">
        <f t="shared" si="503"/>
        <v>0</v>
      </c>
      <c r="BA287" s="1470">
        <f t="shared" si="503"/>
        <v>0</v>
      </c>
      <c r="BB287" s="1471">
        <f t="shared" si="503"/>
        <v>0</v>
      </c>
      <c r="BC287" s="1471">
        <f t="shared" si="503"/>
        <v>0</v>
      </c>
      <c r="BD287" s="1472">
        <f t="shared" si="503"/>
        <v>0</v>
      </c>
      <c r="BE287" s="883"/>
      <c r="BF287" s="106"/>
      <c r="BG287" s="106"/>
      <c r="BH287" s="106"/>
      <c r="BI287" s="106"/>
      <c r="BJ287" s="106"/>
      <c r="BK287" s="106"/>
      <c r="BL287" s="106"/>
      <c r="BN287" s="1943">
        <f t="shared" si="504"/>
        <v>20.116390000000003</v>
      </c>
      <c r="BO287" s="957">
        <f t="shared" si="504"/>
        <v>18.943529999999988</v>
      </c>
      <c r="BP287" s="957">
        <f t="shared" si="504"/>
        <v>5.4358200000000068</v>
      </c>
      <c r="BQ287" s="106"/>
      <c r="BR287" s="106"/>
      <c r="BS287" s="106"/>
      <c r="BT287" s="106"/>
      <c r="BV287" s="106"/>
      <c r="BW287" s="106"/>
      <c r="BX287" s="106"/>
      <c r="BY287" s="830"/>
    </row>
    <row r="288" spans="2:78" ht="11.25" customHeight="1">
      <c r="B288" s="106"/>
      <c r="C288" s="106"/>
      <c r="D288" s="106"/>
      <c r="E288" s="106"/>
      <c r="F288" s="106"/>
      <c r="G288" s="106"/>
      <c r="H288" s="83"/>
      <c r="I288" s="863" t="s">
        <v>455</v>
      </c>
      <c r="J288" s="106"/>
      <c r="K288" s="106"/>
      <c r="L288" s="106"/>
      <c r="M288" s="106"/>
      <c r="N288" s="106"/>
      <c r="O288" s="106"/>
      <c r="P288" s="106"/>
      <c r="Q288" s="106"/>
      <c r="R288" s="106"/>
      <c r="S288" s="106"/>
      <c r="T288" s="830"/>
      <c r="U288" s="814"/>
      <c r="V288" s="106"/>
      <c r="W288" s="106"/>
      <c r="X288" s="830"/>
      <c r="Y288" s="814"/>
      <c r="Z288" s="106"/>
      <c r="AA288" s="106"/>
      <c r="AB288" s="830"/>
      <c r="AC288" s="1470">
        <f t="shared" si="501"/>
        <v>3.474289999999999</v>
      </c>
      <c r="AD288" s="1471">
        <f t="shared" si="501"/>
        <v>3.8390899999999997</v>
      </c>
      <c r="AE288" s="1471">
        <f t="shared" si="501"/>
        <v>4.3410699999999993</v>
      </c>
      <c r="AF288" s="1472">
        <f t="shared" si="501"/>
        <v>4.3941700000000008</v>
      </c>
      <c r="AG288" s="1470">
        <f t="shared" si="501"/>
        <v>4.601090000000001</v>
      </c>
      <c r="AH288" s="1471">
        <f t="shared" si="501"/>
        <v>3.5296899999999987</v>
      </c>
      <c r="AI288" s="1471">
        <f t="shared" si="501"/>
        <v>3.8573999999999984</v>
      </c>
      <c r="AJ288" s="1472">
        <f t="shared" si="501"/>
        <v>2.9519399999999951</v>
      </c>
      <c r="AK288" s="1470">
        <f t="shared" si="501"/>
        <v>4.4995599999999971</v>
      </c>
      <c r="AL288" s="1471">
        <f t="shared" si="501"/>
        <v>5.7393600000000013</v>
      </c>
      <c r="AM288" s="1471">
        <f t="shared" si="502"/>
        <v>6.1958400000000005</v>
      </c>
      <c r="AN288" s="1472">
        <f t="shared" si="502"/>
        <v>5.6512800000000034</v>
      </c>
      <c r="AO288" s="1470">
        <f t="shared" si="502"/>
        <v>6.6184300000000036</v>
      </c>
      <c r="AP288" s="1471">
        <f t="shared" si="502"/>
        <v>6.3409600000000026</v>
      </c>
      <c r="AQ288" s="1471">
        <f t="shared" si="502"/>
        <v>4.3377599999999994</v>
      </c>
      <c r="AR288" s="1472">
        <f t="shared" si="502"/>
        <v>3.3009900000000023</v>
      </c>
      <c r="AS288" s="1470">
        <f t="shared" si="502"/>
        <v>0</v>
      </c>
      <c r="AT288" s="1471">
        <f t="shared" si="502"/>
        <v>0</v>
      </c>
      <c r="AU288" s="1471">
        <f t="shared" si="502"/>
        <v>0</v>
      </c>
      <c r="AV288" s="1472">
        <f t="shared" si="502"/>
        <v>0</v>
      </c>
      <c r="AW288" s="1470">
        <f t="shared" si="503"/>
        <v>0</v>
      </c>
      <c r="AX288" s="1471">
        <f t="shared" si="503"/>
        <v>0</v>
      </c>
      <c r="AY288" s="1471">
        <f t="shared" si="503"/>
        <v>0</v>
      </c>
      <c r="AZ288" s="1472">
        <f t="shared" si="503"/>
        <v>0</v>
      </c>
      <c r="BA288" s="1470">
        <f t="shared" si="503"/>
        <v>0</v>
      </c>
      <c r="BB288" s="1471">
        <f t="shared" si="503"/>
        <v>0</v>
      </c>
      <c r="BC288" s="1471">
        <f t="shared" si="503"/>
        <v>0</v>
      </c>
      <c r="BD288" s="1472">
        <f t="shared" si="503"/>
        <v>0</v>
      </c>
      <c r="BE288" s="883"/>
      <c r="BF288" s="106"/>
      <c r="BG288" s="106"/>
      <c r="BH288" s="106"/>
      <c r="BI288" s="106"/>
      <c r="BJ288" s="106"/>
      <c r="BK288" s="106"/>
      <c r="BL288" s="106"/>
      <c r="BN288" s="1943">
        <f t="shared" si="504"/>
        <v>16.048619999999993</v>
      </c>
      <c r="BO288" s="957">
        <f t="shared" si="504"/>
        <v>14.940119999999993</v>
      </c>
      <c r="BP288" s="957">
        <f t="shared" si="504"/>
        <v>4.4995599999999953</v>
      </c>
      <c r="BQ288" s="106"/>
      <c r="BR288" s="106"/>
      <c r="BS288" s="106"/>
      <c r="BT288" s="106"/>
      <c r="BV288" s="106"/>
      <c r="BW288" s="106"/>
      <c r="BX288" s="106"/>
      <c r="BY288" s="830"/>
    </row>
    <row r="289" spans="1:85" ht="11.25" customHeight="1">
      <c r="B289" s="106"/>
      <c r="C289" s="106"/>
      <c r="D289" s="106"/>
      <c r="E289" s="106"/>
      <c r="F289" s="106"/>
      <c r="G289" s="106"/>
      <c r="H289" s="83"/>
      <c r="I289" s="863" t="s">
        <v>456</v>
      </c>
      <c r="J289" s="106"/>
      <c r="K289" s="106"/>
      <c r="L289" s="106"/>
      <c r="M289" s="106"/>
      <c r="N289" s="106"/>
      <c r="O289" s="106"/>
      <c r="P289" s="106"/>
      <c r="Q289" s="106"/>
      <c r="R289" s="106"/>
      <c r="S289" s="106"/>
      <c r="T289" s="830"/>
      <c r="U289" s="814"/>
      <c r="V289" s="106"/>
      <c r="W289" s="106"/>
      <c r="X289" s="830"/>
      <c r="Y289" s="814"/>
      <c r="Z289" s="106"/>
      <c r="AA289" s="106"/>
      <c r="AB289" s="830"/>
      <c r="AC289" s="1470">
        <f t="shared" si="501"/>
        <v>2.868809999999999</v>
      </c>
      <c r="AD289" s="1471">
        <f t="shared" si="501"/>
        <v>3.7140400000000016</v>
      </c>
      <c r="AE289" s="1471">
        <f t="shared" si="501"/>
        <v>4.5401400000000001</v>
      </c>
      <c r="AF289" s="1472">
        <f t="shared" si="501"/>
        <v>5.0224699999999993</v>
      </c>
      <c r="AG289" s="1470">
        <f t="shared" si="501"/>
        <v>3.8932300000000009</v>
      </c>
      <c r="AH289" s="1471">
        <f t="shared" si="501"/>
        <v>4.0494299999999974</v>
      </c>
      <c r="AI289" s="1471">
        <f t="shared" si="501"/>
        <v>2.1899500000000014</v>
      </c>
      <c r="AJ289" s="1472">
        <f t="shared" si="501"/>
        <v>2.5824300000000004</v>
      </c>
      <c r="AK289" s="1470">
        <f t="shared" si="501"/>
        <v>3.5632999999999999</v>
      </c>
      <c r="AL289" s="1471">
        <f t="shared" si="501"/>
        <v>1.7925199999999997</v>
      </c>
      <c r="AM289" s="1471">
        <f t="shared" si="502"/>
        <v>5.1631999999999998</v>
      </c>
      <c r="AN289" s="1472">
        <f t="shared" si="502"/>
        <v>2.8616399999999995</v>
      </c>
      <c r="AO289" s="1470">
        <f t="shared" si="502"/>
        <v>1.8977700000000013</v>
      </c>
      <c r="AP289" s="1471">
        <f t="shared" si="502"/>
        <v>3.1892400000000016</v>
      </c>
      <c r="AQ289" s="1471">
        <f t="shared" si="502"/>
        <v>1.3909999999999982</v>
      </c>
      <c r="AR289" s="1472">
        <f t="shared" si="502"/>
        <v>2.1105000000000018</v>
      </c>
      <c r="AS289" s="1470">
        <f t="shared" si="502"/>
        <v>0</v>
      </c>
      <c r="AT289" s="1471">
        <f t="shared" si="502"/>
        <v>0</v>
      </c>
      <c r="AU289" s="1471">
        <f t="shared" si="502"/>
        <v>0</v>
      </c>
      <c r="AV289" s="1472">
        <f t="shared" si="502"/>
        <v>0</v>
      </c>
      <c r="AW289" s="1470">
        <f t="shared" si="503"/>
        <v>0</v>
      </c>
      <c r="AX289" s="1471">
        <f t="shared" si="503"/>
        <v>0</v>
      </c>
      <c r="AY289" s="1471">
        <f t="shared" si="503"/>
        <v>0</v>
      </c>
      <c r="AZ289" s="1472">
        <f t="shared" si="503"/>
        <v>0</v>
      </c>
      <c r="BA289" s="1470">
        <f t="shared" si="503"/>
        <v>0</v>
      </c>
      <c r="BB289" s="1471">
        <f t="shared" si="503"/>
        <v>0</v>
      </c>
      <c r="BC289" s="1471">
        <f t="shared" si="503"/>
        <v>0</v>
      </c>
      <c r="BD289" s="1472">
        <f t="shared" si="503"/>
        <v>0</v>
      </c>
      <c r="BE289" s="883"/>
      <c r="BF289" s="106"/>
      <c r="BG289" s="106"/>
      <c r="BH289" s="106"/>
      <c r="BI289" s="106"/>
      <c r="BJ289" s="106"/>
      <c r="BK289" s="106"/>
      <c r="BL289" s="106"/>
      <c r="BN289" s="1943">
        <f t="shared" si="504"/>
        <v>16.145459999999996</v>
      </c>
      <c r="BO289" s="957">
        <f t="shared" si="504"/>
        <v>12.715040000000002</v>
      </c>
      <c r="BP289" s="957">
        <f t="shared" si="504"/>
        <v>3.5632999999999981</v>
      </c>
      <c r="BQ289" s="106"/>
      <c r="BR289" s="106"/>
      <c r="BS289" s="106"/>
      <c r="BT289" s="106"/>
      <c r="BV289" s="106"/>
      <c r="BW289" s="106"/>
      <c r="BX289" s="106"/>
      <c r="BY289" s="830"/>
    </row>
    <row r="290" spans="1:85" ht="11.25" customHeight="1">
      <c r="B290" s="106"/>
      <c r="C290" s="106"/>
      <c r="D290" s="106"/>
      <c r="E290" s="106"/>
      <c r="F290" s="106"/>
      <c r="G290" s="106"/>
      <c r="H290" s="83"/>
      <c r="I290" s="863" t="s">
        <v>457</v>
      </c>
      <c r="J290" s="106"/>
      <c r="K290" s="106"/>
      <c r="L290" s="106"/>
      <c r="M290" s="106"/>
      <c r="N290" s="106"/>
      <c r="O290" s="106"/>
      <c r="P290" s="106"/>
      <c r="Q290" s="106"/>
      <c r="R290" s="106"/>
      <c r="S290" s="106"/>
      <c r="T290" s="830"/>
      <c r="U290" s="814"/>
      <c r="V290" s="106"/>
      <c r="W290" s="106"/>
      <c r="X290" s="830"/>
      <c r="Y290" s="814"/>
      <c r="Z290" s="106"/>
      <c r="AA290" s="106"/>
      <c r="AB290" s="830"/>
      <c r="AC290" s="1470">
        <f t="shared" si="501"/>
        <v>3.3301399999999992</v>
      </c>
      <c r="AD290" s="1471">
        <f t="shared" si="501"/>
        <v>4.0516800000000011</v>
      </c>
      <c r="AE290" s="1471">
        <f t="shared" si="501"/>
        <v>3.9283299999999999</v>
      </c>
      <c r="AF290" s="1472">
        <f t="shared" si="501"/>
        <v>4.3159599999999996</v>
      </c>
      <c r="AG290" s="1470">
        <f t="shared" si="501"/>
        <v>3.8932300000000009</v>
      </c>
      <c r="AH290" s="1471">
        <f t="shared" si="501"/>
        <v>3.1615599999999979</v>
      </c>
      <c r="AI290" s="1471">
        <f t="shared" si="501"/>
        <v>3.5359499999999997</v>
      </c>
      <c r="AJ290" s="1472">
        <f t="shared" si="501"/>
        <v>4.049430000000001</v>
      </c>
      <c r="AK290" s="1470">
        <f t="shared" si="501"/>
        <v>5.1494300000000006</v>
      </c>
      <c r="AL290" s="1471">
        <f t="shared" si="501"/>
        <v>5.2610799999999998</v>
      </c>
      <c r="AM290" s="1471">
        <f t="shared" si="502"/>
        <v>3.8172000000000015</v>
      </c>
      <c r="AN290" s="1472">
        <f t="shared" si="502"/>
        <v>5.2905599999999993</v>
      </c>
      <c r="AO290" s="1470">
        <f t="shared" si="502"/>
        <v>4.2580999999999989</v>
      </c>
      <c r="AP290" s="1471">
        <f t="shared" si="502"/>
        <v>3.8979600000000012</v>
      </c>
      <c r="AQ290" s="1471">
        <f t="shared" si="502"/>
        <v>5.8385999999999996</v>
      </c>
      <c r="AR290" s="1472">
        <f t="shared" si="502"/>
        <v>2.579500000000003</v>
      </c>
      <c r="AS290" s="1470">
        <f t="shared" si="502"/>
        <v>0</v>
      </c>
      <c r="AT290" s="1471">
        <f t="shared" si="502"/>
        <v>0</v>
      </c>
      <c r="AU290" s="1471">
        <f t="shared" si="502"/>
        <v>0</v>
      </c>
      <c r="AV290" s="1472">
        <f t="shared" si="502"/>
        <v>0</v>
      </c>
      <c r="AW290" s="1470">
        <f t="shared" si="503"/>
        <v>0</v>
      </c>
      <c r="AX290" s="1471">
        <f t="shared" si="503"/>
        <v>0</v>
      </c>
      <c r="AY290" s="1471">
        <f t="shared" si="503"/>
        <v>0</v>
      </c>
      <c r="AZ290" s="1472">
        <f t="shared" si="503"/>
        <v>0</v>
      </c>
      <c r="BA290" s="1470">
        <f t="shared" si="503"/>
        <v>0</v>
      </c>
      <c r="BB290" s="1471">
        <f t="shared" si="503"/>
        <v>0</v>
      </c>
      <c r="BC290" s="1471">
        <f t="shared" si="503"/>
        <v>0</v>
      </c>
      <c r="BD290" s="1472">
        <f t="shared" si="503"/>
        <v>0</v>
      </c>
      <c r="BE290" s="883"/>
      <c r="BF290" s="106"/>
      <c r="BG290" s="106"/>
      <c r="BH290" s="106"/>
      <c r="BI290" s="106"/>
      <c r="BJ290" s="106"/>
      <c r="BK290" s="106"/>
      <c r="BL290" s="106"/>
      <c r="BN290" s="1943">
        <f t="shared" si="504"/>
        <v>15.626110000000001</v>
      </c>
      <c r="BO290" s="957">
        <f t="shared" si="504"/>
        <v>14.640169999999998</v>
      </c>
      <c r="BP290" s="957">
        <f t="shared" si="504"/>
        <v>5.1494300000000024</v>
      </c>
      <c r="BQ290" s="106"/>
      <c r="BR290" s="106"/>
      <c r="BS290" s="106"/>
      <c r="BT290" s="106"/>
      <c r="BV290" s="106"/>
      <c r="BW290" s="106"/>
      <c r="BX290" s="106"/>
      <c r="BY290" s="830"/>
    </row>
    <row r="291" spans="1:85" s="1435" customFormat="1" ht="11.25" customHeight="1">
      <c r="B291" s="1436"/>
      <c r="C291" s="1436"/>
      <c r="D291" s="1436"/>
      <c r="E291" s="1436"/>
      <c r="F291" s="1436"/>
      <c r="G291" s="1436"/>
      <c r="H291" s="1437"/>
      <c r="I291" s="1504" t="s">
        <v>458</v>
      </c>
      <c r="J291" s="1436"/>
      <c r="K291" s="1436"/>
      <c r="L291" s="1436"/>
      <c r="M291" s="1436"/>
      <c r="N291" s="1436"/>
      <c r="O291" s="1436"/>
      <c r="P291" s="1436"/>
      <c r="Q291" s="1436"/>
      <c r="R291" s="1436"/>
      <c r="S291" s="1436"/>
      <c r="T291" s="1496"/>
      <c r="U291" s="1495"/>
      <c r="V291" s="1436"/>
      <c r="W291" s="1436"/>
      <c r="X291" s="1496"/>
      <c r="Y291" s="1495"/>
      <c r="Z291" s="1436"/>
      <c r="AA291" s="1436"/>
      <c r="AB291" s="1496"/>
      <c r="AC291" s="1473">
        <f t="shared" si="501"/>
        <v>6.8044299999999982</v>
      </c>
      <c r="AD291" s="1474">
        <f t="shared" si="501"/>
        <v>7.7657200000000017</v>
      </c>
      <c r="AE291" s="1474">
        <f t="shared" si="501"/>
        <v>10.93031</v>
      </c>
      <c r="AF291" s="1475">
        <f t="shared" si="501"/>
        <v>8.7101299999999995</v>
      </c>
      <c r="AG291" s="1473">
        <f t="shared" si="501"/>
        <v>8.4943199999999983</v>
      </c>
      <c r="AH291" s="1474">
        <f t="shared" si="501"/>
        <v>8.4669899999999991</v>
      </c>
      <c r="AI291" s="1474">
        <f t="shared" si="501"/>
        <v>6.6902499999999954</v>
      </c>
      <c r="AJ291" s="1475">
        <f t="shared" si="501"/>
        <v>10.302119999999999</v>
      </c>
      <c r="AK291" s="1473">
        <f t="shared" si="501"/>
        <v>11.235119999999998</v>
      </c>
      <c r="AL291" s="1474">
        <f t="shared" si="501"/>
        <v>12.734719999999999</v>
      </c>
      <c r="AM291" s="1474">
        <f t="shared" si="502"/>
        <v>10.529360000000004</v>
      </c>
      <c r="AN291" s="1475">
        <f t="shared" si="502"/>
        <v>10.076039999999999</v>
      </c>
      <c r="AO291" s="1473">
        <f t="shared" si="502"/>
        <v>7.3171700000000115</v>
      </c>
      <c r="AP291" s="1474">
        <f t="shared" si="502"/>
        <v>4.3273599999999988</v>
      </c>
      <c r="AQ291" s="1474">
        <f t="shared" si="502"/>
        <v>6.0902400000000014</v>
      </c>
      <c r="AR291" s="1475">
        <f t="shared" si="502"/>
        <v>3.4455400000000083</v>
      </c>
      <c r="AS291" s="1473" t="e">
        <f t="shared" si="502"/>
        <v>#REF!</v>
      </c>
      <c r="AT291" s="1474" t="e">
        <f t="shared" si="502"/>
        <v>#REF!</v>
      </c>
      <c r="AU291" s="1474" t="e">
        <f t="shared" si="502"/>
        <v>#REF!</v>
      </c>
      <c r="AV291" s="1475" t="e">
        <f t="shared" si="502"/>
        <v>#REF!</v>
      </c>
      <c r="AW291" s="1473" t="e">
        <f t="shared" si="503"/>
        <v>#REF!</v>
      </c>
      <c r="AX291" s="1474" t="e">
        <f t="shared" si="503"/>
        <v>#REF!</v>
      </c>
      <c r="AY291" s="1474" t="e">
        <f t="shared" si="503"/>
        <v>#REF!</v>
      </c>
      <c r="AZ291" s="1475" t="e">
        <f t="shared" si="503"/>
        <v>#REF!</v>
      </c>
      <c r="BA291" s="1473" t="e">
        <f t="shared" si="503"/>
        <v>#REF!</v>
      </c>
      <c r="BB291" s="1474" t="e">
        <f t="shared" si="503"/>
        <v>#REF!</v>
      </c>
      <c r="BC291" s="1474" t="e">
        <f t="shared" si="503"/>
        <v>#REF!</v>
      </c>
      <c r="BD291" s="1475" t="e">
        <f t="shared" si="503"/>
        <v>#REF!</v>
      </c>
      <c r="BE291" s="2504"/>
      <c r="BF291" s="1436"/>
      <c r="BG291" s="1436"/>
      <c r="BH291" s="1436"/>
      <c r="BI291" s="1436"/>
      <c r="BJ291" s="1436"/>
      <c r="BK291" s="1436"/>
      <c r="BL291" s="1436"/>
      <c r="BM291" s="1436"/>
      <c r="BN291" s="1944">
        <f t="shared" si="504"/>
        <v>34.210589999999996</v>
      </c>
      <c r="BO291" s="1945">
        <f t="shared" si="504"/>
        <v>33.953680000000006</v>
      </c>
      <c r="BP291" s="1945">
        <f t="shared" si="504"/>
        <v>11.235119999999981</v>
      </c>
      <c r="BQ291" s="1436"/>
      <c r="BR291" s="1436"/>
      <c r="BS291" s="1436"/>
      <c r="BT291" s="1436"/>
      <c r="BU291" s="1436"/>
      <c r="BV291" s="1436"/>
      <c r="BW291" s="1436"/>
      <c r="BX291" s="1436"/>
      <c r="BY291" s="1496"/>
      <c r="BZ291" s="1437"/>
    </row>
    <row r="292" spans="1:85" s="41" customFormat="1" ht="11.25" customHeight="1">
      <c r="B292" s="231"/>
      <c r="C292" s="231"/>
      <c r="D292" s="231"/>
      <c r="E292" s="231"/>
      <c r="F292" s="231"/>
      <c r="G292" s="231"/>
      <c r="H292" s="226"/>
      <c r="I292" s="862" t="s">
        <v>494</v>
      </c>
      <c r="J292" s="231"/>
      <c r="K292" s="231"/>
      <c r="L292" s="231"/>
      <c r="M292" s="231"/>
      <c r="N292" s="231"/>
      <c r="O292" s="231"/>
      <c r="P292" s="231"/>
      <c r="Q292" s="231"/>
      <c r="R292" s="231"/>
      <c r="S292" s="231"/>
      <c r="T292" s="1151"/>
      <c r="U292" s="857"/>
      <c r="V292" s="231"/>
      <c r="W292" s="231"/>
      <c r="X292" s="1151"/>
      <c r="Y292" s="857"/>
      <c r="Z292" s="231"/>
      <c r="AA292" s="231"/>
      <c r="AB292" s="1151"/>
      <c r="AC292" s="1476">
        <f t="shared" si="501"/>
        <v>30.273999999999994</v>
      </c>
      <c r="AD292" s="1477">
        <f t="shared" si="501"/>
        <v>33.764000000000003</v>
      </c>
      <c r="AE292" s="1477">
        <f t="shared" si="501"/>
        <v>41.274000000000001</v>
      </c>
      <c r="AF292" s="1478">
        <f t="shared" si="501"/>
        <v>39.23599999999999</v>
      </c>
      <c r="AG292" s="1476">
        <f t="shared" si="501"/>
        <v>35.393000000000001</v>
      </c>
      <c r="AH292" s="1477">
        <f t="shared" si="501"/>
        <v>36.813000000000002</v>
      </c>
      <c r="AI292" s="1477">
        <f t="shared" si="501"/>
        <v>32.144999999999996</v>
      </c>
      <c r="AJ292" s="1478" t="e">
        <f t="shared" si="501"/>
        <v>#REF!</v>
      </c>
      <c r="AK292" s="1476" t="e">
        <f t="shared" si="501"/>
        <v>#REF!</v>
      </c>
      <c r="AL292" s="1477" t="e">
        <f t="shared" si="501"/>
        <v>#REF!</v>
      </c>
      <c r="AM292" s="1477" t="e">
        <f t="shared" si="502"/>
        <v>#REF!</v>
      </c>
      <c r="AN292" s="1478" t="e">
        <f t="shared" si="502"/>
        <v>#REF!</v>
      </c>
      <c r="AO292" s="1476" t="e">
        <f t="shared" si="502"/>
        <v>#REF!</v>
      </c>
      <c r="AP292" s="1477" t="e">
        <f t="shared" si="502"/>
        <v>#REF!</v>
      </c>
      <c r="AQ292" s="1477" t="e">
        <f t="shared" si="502"/>
        <v>#REF!</v>
      </c>
      <c r="AR292" s="1478" t="e">
        <f t="shared" si="502"/>
        <v>#REF!</v>
      </c>
      <c r="AS292" s="1476" t="e">
        <f t="shared" si="502"/>
        <v>#REF!</v>
      </c>
      <c r="AT292" s="1477" t="e">
        <f t="shared" si="502"/>
        <v>#REF!</v>
      </c>
      <c r="AU292" s="1477" t="e">
        <f t="shared" si="502"/>
        <v>#REF!</v>
      </c>
      <c r="AV292" s="1478" t="e">
        <f t="shared" si="502"/>
        <v>#REF!</v>
      </c>
      <c r="AW292" s="1476" t="e">
        <f t="shared" si="503"/>
        <v>#REF!</v>
      </c>
      <c r="AX292" s="1477" t="e">
        <f t="shared" si="503"/>
        <v>#REF!</v>
      </c>
      <c r="AY292" s="1477" t="e">
        <f t="shared" si="503"/>
        <v>#REF!</v>
      </c>
      <c r="AZ292" s="1478" t="e">
        <f t="shared" si="503"/>
        <v>#REF!</v>
      </c>
      <c r="BA292" s="1476" t="e">
        <f t="shared" si="503"/>
        <v>#REF!</v>
      </c>
      <c r="BB292" s="1477" t="e">
        <f t="shared" si="503"/>
        <v>#REF!</v>
      </c>
      <c r="BC292" s="1477" t="e">
        <f t="shared" si="503"/>
        <v>#REF!</v>
      </c>
      <c r="BD292" s="1478" t="e">
        <f t="shared" si="503"/>
        <v>#REF!</v>
      </c>
      <c r="BE292" s="2354"/>
      <c r="BF292" s="231"/>
      <c r="BG292" s="231"/>
      <c r="BH292" s="231"/>
      <c r="BI292" s="231"/>
      <c r="BJ292" s="231"/>
      <c r="BK292" s="231"/>
      <c r="BL292" s="231"/>
      <c r="BM292" s="231"/>
      <c r="BN292" s="1946">
        <f t="shared" si="504"/>
        <v>144.548</v>
      </c>
      <c r="BO292" s="1947">
        <f t="shared" si="504"/>
        <v>140.79724999999991</v>
      </c>
      <c r="BP292" s="1947">
        <f t="shared" si="504"/>
        <v>46.813000000000102</v>
      </c>
      <c r="BQ292" s="231"/>
      <c r="BR292" s="231"/>
      <c r="BS292" s="231"/>
      <c r="BT292" s="231"/>
      <c r="BU292" s="231"/>
      <c r="BV292" s="231"/>
      <c r="BW292" s="231"/>
      <c r="BX292" s="231"/>
      <c r="BY292" s="1151"/>
      <c r="BZ292" s="226"/>
    </row>
    <row r="293" spans="1:85" s="41" customFormat="1" ht="11.25" customHeight="1">
      <c r="B293" s="231"/>
      <c r="C293" s="231"/>
      <c r="D293" s="231"/>
      <c r="E293" s="231"/>
      <c r="F293" s="231"/>
      <c r="G293" s="231"/>
      <c r="H293" s="226"/>
      <c r="I293" s="862"/>
      <c r="J293" s="231"/>
      <c r="K293" s="231"/>
      <c r="L293" s="231"/>
      <c r="M293" s="231"/>
      <c r="N293" s="231"/>
      <c r="O293" s="231"/>
      <c r="P293" s="231"/>
      <c r="Q293" s="231"/>
      <c r="R293" s="231"/>
      <c r="S293" s="231"/>
      <c r="T293" s="1151"/>
      <c r="U293" s="857"/>
      <c r="V293" s="231"/>
      <c r="W293" s="231"/>
      <c r="X293" s="1151"/>
      <c r="Y293" s="857"/>
      <c r="Z293" s="231"/>
      <c r="AA293" s="231"/>
      <c r="AB293" s="1151"/>
      <c r="AC293" s="1477"/>
      <c r="AD293" s="1477"/>
      <c r="AE293" s="1477"/>
      <c r="AF293" s="1478"/>
      <c r="AG293" s="1476"/>
      <c r="AH293" s="1477"/>
      <c r="AI293" s="1477"/>
      <c r="AJ293" s="1478"/>
      <c r="AK293" s="1476"/>
      <c r="AL293" s="1477"/>
      <c r="AM293" s="1477"/>
      <c r="AN293" s="1478"/>
      <c r="AO293" s="1476"/>
      <c r="AP293" s="1477"/>
      <c r="AQ293" s="1477"/>
      <c r="AR293" s="1478"/>
      <c r="AS293" s="1476"/>
      <c r="AT293" s="1477"/>
      <c r="AU293" s="1477"/>
      <c r="AV293" s="1478"/>
      <c r="AW293" s="1476"/>
      <c r="AX293" s="1477"/>
      <c r="AY293" s="1477"/>
      <c r="AZ293" s="1478"/>
      <c r="BA293" s="1476"/>
      <c r="BB293" s="1477"/>
      <c r="BC293" s="1477"/>
      <c r="BD293" s="1478"/>
      <c r="BE293" s="2354"/>
      <c r="BF293" s="231"/>
      <c r="BG293" s="231"/>
      <c r="BH293" s="231"/>
      <c r="BI293" s="231"/>
      <c r="BJ293" s="231"/>
      <c r="BK293" s="231"/>
      <c r="BL293" s="231"/>
      <c r="BM293" s="231"/>
      <c r="BN293" s="1946"/>
      <c r="BO293" s="1947"/>
      <c r="BP293" s="231"/>
      <c r="BQ293" s="231"/>
      <c r="BR293" s="231"/>
      <c r="BS293" s="231"/>
      <c r="BT293" s="231"/>
      <c r="BU293" s="231"/>
      <c r="BV293" s="231"/>
      <c r="BW293" s="231"/>
      <c r="BX293" s="231"/>
      <c r="BY293" s="1151"/>
      <c r="BZ293" s="226"/>
    </row>
    <row r="294" spans="1:85" s="41" customFormat="1" ht="11.25" customHeight="1">
      <c r="B294" s="231"/>
      <c r="C294" s="231"/>
      <c r="D294" s="231"/>
      <c r="E294" s="231"/>
      <c r="F294" s="231"/>
      <c r="G294" s="231"/>
      <c r="H294" s="226"/>
      <c r="I294" s="862" t="s">
        <v>672</v>
      </c>
      <c r="J294" s="231"/>
      <c r="K294" s="231"/>
      <c r="L294" s="231"/>
      <c r="M294" s="231"/>
      <c r="N294" s="231"/>
      <c r="O294" s="231"/>
      <c r="P294" s="231"/>
      <c r="Q294" s="231"/>
      <c r="R294" s="231"/>
      <c r="S294" s="231"/>
      <c r="T294" s="1151"/>
      <c r="U294" s="857"/>
      <c r="V294" s="231"/>
      <c r="W294" s="231"/>
      <c r="X294" s="1151"/>
      <c r="Y294" s="857"/>
      <c r="Z294" s="231"/>
      <c r="AA294" s="231"/>
      <c r="AB294" s="1151"/>
      <c r="AC294" s="2366">
        <f>+'Revenue drivers'!AC67</f>
        <v>65.2</v>
      </c>
      <c r="AD294" s="2366">
        <f>+'Revenue drivers'!AD67</f>
        <v>75.685000000000002</v>
      </c>
      <c r="AE294" s="2366">
        <f>+'Revenue drivers'!AE67</f>
        <v>85.132000000000005</v>
      </c>
      <c r="AF294" s="2367">
        <f>+'Revenue drivers'!AF67</f>
        <v>93.1</v>
      </c>
      <c r="AG294" s="2365">
        <f>+'Revenue drivers'!AG67</f>
        <v>104.3</v>
      </c>
      <c r="AH294" s="2366">
        <f>+'Revenue drivers'!AH67</f>
        <v>113.5</v>
      </c>
      <c r="AI294" s="2366">
        <f>+'Revenue drivers'!AI67</f>
        <v>121.9</v>
      </c>
      <c r="AJ294" s="2366">
        <f>+'Revenue drivers'!AJ67</f>
        <v>131.69999999999999</v>
      </c>
      <c r="AK294" s="2365">
        <f>+'Revenue drivers'!AK67</f>
        <v>143</v>
      </c>
      <c r="AL294" s="2366">
        <f>+'Revenue drivers'!AL67</f>
        <v>156.69999999999999</v>
      </c>
      <c r="AM294" s="2366">
        <f>+'Revenue drivers'!AM67</f>
        <v>169</v>
      </c>
      <c r="AN294" s="2367">
        <f>+'Revenue drivers'!AN67</f>
        <v>176.5</v>
      </c>
      <c r="AO294" s="2365">
        <f>+'Revenue drivers'!AO67</f>
        <v>177</v>
      </c>
      <c r="AP294" s="2366">
        <f>+'Revenue drivers'!AP67</f>
        <v>186.6</v>
      </c>
      <c r="AQ294" s="2366">
        <f>+'Revenue drivers'!AQ67</f>
        <v>199.6</v>
      </c>
      <c r="AR294" s="2367">
        <f>+'Revenue drivers'!AR67</f>
        <v>208.4</v>
      </c>
      <c r="AS294" s="2366">
        <f>+'Revenue drivers'!AS67</f>
        <v>212</v>
      </c>
      <c r="AT294" s="2366">
        <f>+'Revenue drivers'!AT67</f>
        <v>219.6</v>
      </c>
      <c r="AU294" s="2366">
        <f>+'Revenue drivers'!AU67</f>
        <v>233.6</v>
      </c>
      <c r="AV294" s="2367">
        <f>+'Revenue drivers'!AV67</f>
        <v>242.4</v>
      </c>
      <c r="AW294" s="2366">
        <f>+'Revenue drivers'!AW67</f>
        <v>244</v>
      </c>
      <c r="AX294" s="2366">
        <f>+'Revenue drivers'!AX67</f>
        <v>251.6</v>
      </c>
      <c r="AY294" s="2366">
        <f>+'Revenue drivers'!AY67</f>
        <v>266.10000000000002</v>
      </c>
      <c r="AZ294" s="2367">
        <f>+'Revenue drivers'!AZ67</f>
        <v>274.39999999999998</v>
      </c>
      <c r="BA294" s="2366">
        <f>+'Revenue drivers'!BA67</f>
        <v>275</v>
      </c>
      <c r="BB294" s="2366">
        <f>+'Revenue drivers'!BB67</f>
        <v>282.60000000000002</v>
      </c>
      <c r="BC294" s="2366">
        <f>+'Revenue drivers'!BC67</f>
        <v>296.60000000000002</v>
      </c>
      <c r="BD294" s="2367">
        <f>+'Revenue drivers'!BD67</f>
        <v>304.39999999999998</v>
      </c>
      <c r="BE294" s="2354"/>
      <c r="BF294" s="231"/>
      <c r="BG294" s="231"/>
      <c r="BH294" s="231"/>
      <c r="BI294" s="231"/>
      <c r="BJ294" s="231"/>
      <c r="BK294" s="231"/>
      <c r="BL294" s="231"/>
      <c r="BM294" s="231"/>
      <c r="BN294" s="1936">
        <f>SUM(AC294:AF294)</f>
        <v>319.11699999999996</v>
      </c>
      <c r="BO294" s="1251">
        <f>SUM(AG294:AJ294)</f>
        <v>471.40000000000003</v>
      </c>
      <c r="BP294" s="1251">
        <f>SUM(AK294:AN294)</f>
        <v>645.20000000000005</v>
      </c>
      <c r="BQ294" s="1251">
        <f>SUM(AO294:AR294)</f>
        <v>771.6</v>
      </c>
      <c r="BR294" s="1251">
        <f>SUM(AS294:AV294)</f>
        <v>907.6</v>
      </c>
      <c r="BS294" s="1251">
        <f>SUM(AW294:AZ294)</f>
        <v>1036.0999999999999</v>
      </c>
      <c r="BT294" s="1251">
        <f>SUM(BA294:BD294)</f>
        <v>1158.5999999999999</v>
      </c>
      <c r="BU294" s="2366">
        <f>+'Revenue drivers'!BU67</f>
        <v>1276.5999999999999</v>
      </c>
      <c r="BV294" s="2366">
        <f>+'Revenue drivers'!BV67</f>
        <v>1390.6</v>
      </c>
      <c r="BW294" s="2366">
        <f>+'Revenue drivers'!BW67</f>
        <v>1499.6</v>
      </c>
      <c r="BX294" s="2366">
        <f>+'Revenue drivers'!BX67</f>
        <v>1603.6</v>
      </c>
      <c r="BY294" s="2367">
        <f>+'Revenue drivers'!BY67</f>
        <v>1703.6</v>
      </c>
      <c r="BZ294" s="226"/>
    </row>
    <row r="295" spans="1:85" s="106" customFormat="1" ht="11.25" customHeight="1">
      <c r="H295" s="83"/>
      <c r="I295" s="770" t="s">
        <v>132</v>
      </c>
      <c r="AB295" s="830"/>
      <c r="AC295" s="2359"/>
      <c r="AD295" s="2359"/>
      <c r="AE295" s="2359"/>
      <c r="AF295" s="2361"/>
      <c r="AG295" s="2359">
        <f t="shared" ref="AG295:AL295" si="505">IF(ISERROR(AG294/AC294-1),0,AG294/AC294-1)</f>
        <v>0.59969325153374231</v>
      </c>
      <c r="AH295" s="2359">
        <f t="shared" si="505"/>
        <v>0.49963665191253215</v>
      </c>
      <c r="AI295" s="2359">
        <f t="shared" si="505"/>
        <v>0.43189399990602828</v>
      </c>
      <c r="AJ295" s="2359">
        <f t="shared" si="505"/>
        <v>0.4146079484425349</v>
      </c>
      <c r="AK295" s="2362">
        <f t="shared" si="505"/>
        <v>0.37104506232023016</v>
      </c>
      <c r="AL295" s="2359">
        <f t="shared" si="505"/>
        <v>0.38061674008810553</v>
      </c>
      <c r="AM295" s="2359">
        <f t="shared" ref="AM295:BD295" si="506">IF(ISERROR(AM294/AI294-1),0,AM294/AI294-1)</f>
        <v>0.3863822805578343</v>
      </c>
      <c r="AN295" s="2361">
        <f t="shared" si="506"/>
        <v>0.34016704631738803</v>
      </c>
      <c r="AO295" s="2362">
        <f t="shared" si="506"/>
        <v>0.2377622377622377</v>
      </c>
      <c r="AP295" s="2359">
        <f t="shared" si="506"/>
        <v>0.19081046585832806</v>
      </c>
      <c r="AQ295" s="2359">
        <f t="shared" si="506"/>
        <v>0.18106508875739635</v>
      </c>
      <c r="AR295" s="2361">
        <f t="shared" si="506"/>
        <v>0.18073654390934846</v>
      </c>
      <c r="AS295" s="2359">
        <f t="shared" si="506"/>
        <v>0.19774011299435035</v>
      </c>
      <c r="AT295" s="2359">
        <f t="shared" si="506"/>
        <v>0.17684887459807075</v>
      </c>
      <c r="AU295" s="2359">
        <f t="shared" si="506"/>
        <v>0.17034068136272551</v>
      </c>
      <c r="AV295" s="2361">
        <f t="shared" si="506"/>
        <v>0.16314779270633406</v>
      </c>
      <c r="AW295" s="2359">
        <f t="shared" si="506"/>
        <v>0.15094339622641506</v>
      </c>
      <c r="AX295" s="2359">
        <f t="shared" si="506"/>
        <v>0.14571948998178508</v>
      </c>
      <c r="AY295" s="2359">
        <f t="shared" si="506"/>
        <v>0.13912671232876717</v>
      </c>
      <c r="AZ295" s="2361">
        <f t="shared" si="506"/>
        <v>0.13201320132013183</v>
      </c>
      <c r="BA295" s="2359">
        <f t="shared" si="506"/>
        <v>0.12704918032786883</v>
      </c>
      <c r="BB295" s="2359">
        <f t="shared" si="506"/>
        <v>0.12321144674085871</v>
      </c>
      <c r="BC295" s="2359">
        <f t="shared" si="506"/>
        <v>0.11461856444945506</v>
      </c>
      <c r="BD295" s="2361">
        <f t="shared" si="506"/>
        <v>0.10932944606413986</v>
      </c>
      <c r="BE295" s="883"/>
      <c r="BN295" s="957"/>
      <c r="BO295" s="2359">
        <f>IF(ISERROR(BO294/BN294-1),0,BO294/BN294-1)</f>
        <v>0.47720115192860324</v>
      </c>
      <c r="BP295" s="2359">
        <f>IF(ISERROR(BP294/BO294-1),0,BP294/BO294-1)</f>
        <v>0.36868901145523969</v>
      </c>
      <c r="BQ295" s="2359">
        <f>IF(ISERROR(BQ294/BP294-1),0,BQ294/BP294-1)</f>
        <v>0.19590824550526964</v>
      </c>
      <c r="BR295" s="2359">
        <f t="shared" ref="BR295:BY295" si="507">IF(ISERROR(BR294/BQ294-1),0,BR294/BQ294-1)</f>
        <v>0.17625712804561955</v>
      </c>
      <c r="BS295" s="2359">
        <f t="shared" si="507"/>
        <v>0.14158219479947109</v>
      </c>
      <c r="BT295" s="2359">
        <f t="shared" si="507"/>
        <v>0.11823183090435285</v>
      </c>
      <c r="BU295" s="2359">
        <f t="shared" si="507"/>
        <v>0.1018470567926808</v>
      </c>
      <c r="BV295" s="2359">
        <f t="shared" si="507"/>
        <v>8.9299702334325604E-2</v>
      </c>
      <c r="BW295" s="2359">
        <f t="shared" si="507"/>
        <v>7.8383431612253807E-2</v>
      </c>
      <c r="BX295" s="2359">
        <f t="shared" si="507"/>
        <v>6.9351827153907752E-2</v>
      </c>
      <c r="BY295" s="2361">
        <f t="shared" si="507"/>
        <v>6.2359690695934056E-2</v>
      </c>
      <c r="BZ295" s="83"/>
    </row>
    <row r="296" spans="1:85" s="106" customFormat="1" ht="11.25" customHeight="1">
      <c r="H296" s="83"/>
      <c r="I296" s="770" t="s">
        <v>146</v>
      </c>
      <c r="AB296" s="830"/>
      <c r="AC296" s="2359"/>
      <c r="AD296" s="2359">
        <f t="shared" ref="AD296:BD296" si="508">IF(ISERROR(AD294/AC294-1),0,AD294/AC294-1)</f>
        <v>0.16081288343558287</v>
      </c>
      <c r="AE296" s="2359">
        <f t="shared" si="508"/>
        <v>0.12481997753848195</v>
      </c>
      <c r="AF296" s="2361">
        <f t="shared" si="508"/>
        <v>9.3595827655875485E-2</v>
      </c>
      <c r="AG296" s="2359">
        <f t="shared" si="508"/>
        <v>0.12030075187969924</v>
      </c>
      <c r="AH296" s="2359">
        <f t="shared" si="508"/>
        <v>8.8207094918504314E-2</v>
      </c>
      <c r="AI296" s="2359">
        <f t="shared" si="508"/>
        <v>7.4008810572687267E-2</v>
      </c>
      <c r="AJ296" s="2361">
        <f t="shared" si="508"/>
        <v>8.0393765381460147E-2</v>
      </c>
      <c r="AK296" s="2359">
        <f t="shared" si="508"/>
        <v>8.5801063022019841E-2</v>
      </c>
      <c r="AL296" s="2359">
        <f t="shared" si="508"/>
        <v>9.5804195804195746E-2</v>
      </c>
      <c r="AM296" s="2359">
        <f t="shared" si="508"/>
        <v>7.8493937460115015E-2</v>
      </c>
      <c r="AN296" s="2361">
        <f t="shared" si="508"/>
        <v>4.4378698224851965E-2</v>
      </c>
      <c r="AO296" s="2359">
        <f t="shared" si="508"/>
        <v>2.8328611898016387E-3</v>
      </c>
      <c r="AP296" s="2359">
        <f t="shared" si="508"/>
        <v>5.4237288135593253E-2</v>
      </c>
      <c r="AQ296" s="2359">
        <f t="shared" si="508"/>
        <v>6.9667738478027763E-2</v>
      </c>
      <c r="AR296" s="2361">
        <f t="shared" si="508"/>
        <v>4.4088176352705455E-2</v>
      </c>
      <c r="AS296" s="2359">
        <f t="shared" si="508"/>
        <v>1.7274472168905985E-2</v>
      </c>
      <c r="AT296" s="2359">
        <f t="shared" si="508"/>
        <v>3.5849056603773466E-2</v>
      </c>
      <c r="AU296" s="2359">
        <f t="shared" si="508"/>
        <v>6.3752276867030888E-2</v>
      </c>
      <c r="AV296" s="2361">
        <f t="shared" si="508"/>
        <v>3.7671232876712368E-2</v>
      </c>
      <c r="AW296" s="2359">
        <f t="shared" si="508"/>
        <v>6.6006600660066805E-3</v>
      </c>
      <c r="AX296" s="2359">
        <f t="shared" si="508"/>
        <v>3.1147540983606614E-2</v>
      </c>
      <c r="AY296" s="2359">
        <f t="shared" si="508"/>
        <v>5.7631160572337192E-2</v>
      </c>
      <c r="AZ296" s="2361">
        <f t="shared" si="508"/>
        <v>3.1191281473130328E-2</v>
      </c>
      <c r="BA296" s="2359">
        <f t="shared" si="508"/>
        <v>2.1865889212828726E-3</v>
      </c>
      <c r="BB296" s="2359">
        <f t="shared" si="508"/>
        <v>2.7636363636363681E-2</v>
      </c>
      <c r="BC296" s="2359">
        <f t="shared" si="508"/>
        <v>4.9539985845718393E-2</v>
      </c>
      <c r="BD296" s="2361">
        <f t="shared" si="508"/>
        <v>2.6298044504382778E-2</v>
      </c>
      <c r="BE296" s="883"/>
      <c r="BN296" s="957"/>
      <c r="BO296" s="957"/>
      <c r="BY296" s="830"/>
      <c r="BZ296" s="83"/>
    </row>
    <row r="297" spans="1:85" s="106" customFormat="1" ht="11.25" customHeight="1">
      <c r="H297" s="83"/>
      <c r="I297" s="770" t="s">
        <v>621</v>
      </c>
      <c r="AB297" s="830"/>
      <c r="AC297" s="1471"/>
      <c r="AD297" s="1471"/>
      <c r="AE297" s="1471"/>
      <c r="AF297" s="1472"/>
      <c r="AG297" s="1471"/>
      <c r="AH297" s="1471"/>
      <c r="AI297" s="1471"/>
      <c r="AJ297" s="1471"/>
      <c r="AK297" s="2368"/>
      <c r="AL297" s="1471"/>
      <c r="AM297" s="1471"/>
      <c r="AN297" s="1472"/>
      <c r="AO297" s="1471"/>
      <c r="AP297" s="1471"/>
      <c r="AQ297" s="1471"/>
      <c r="AR297" s="1472"/>
      <c r="AS297" s="1471"/>
      <c r="AT297" s="1471"/>
      <c r="AU297" s="1471"/>
      <c r="AV297" s="1472"/>
      <c r="AW297" s="1471"/>
      <c r="AX297" s="1471"/>
      <c r="AY297" s="1471"/>
      <c r="AZ297" s="1472"/>
      <c r="BA297" s="1471"/>
      <c r="BB297" s="1471"/>
      <c r="BC297" s="1471"/>
      <c r="BD297" s="1472"/>
      <c r="BE297" s="883"/>
      <c r="BN297" s="957"/>
      <c r="BO297" s="957"/>
      <c r="BY297" s="830"/>
      <c r="BZ297" s="83"/>
    </row>
    <row r="298" spans="1:85" s="106" customFormat="1" ht="11.25" customHeight="1">
      <c r="H298" s="83"/>
      <c r="I298" s="776" t="s">
        <v>620</v>
      </c>
      <c r="J298" s="846"/>
      <c r="K298" s="846"/>
      <c r="L298" s="846"/>
      <c r="M298" s="846"/>
      <c r="N298" s="846"/>
      <c r="O298" s="846"/>
      <c r="P298" s="846"/>
      <c r="Q298" s="846"/>
      <c r="R298" s="846"/>
      <c r="S298" s="846"/>
      <c r="T298" s="846"/>
      <c r="U298" s="846"/>
      <c r="V298" s="846"/>
      <c r="W298" s="846"/>
      <c r="X298" s="846"/>
      <c r="Y298" s="846"/>
      <c r="Z298" s="846"/>
      <c r="AA298" s="846"/>
      <c r="AB298" s="847"/>
      <c r="AC298" s="2835"/>
      <c r="AD298" s="2835"/>
      <c r="AE298" s="2835"/>
      <c r="AF298" s="2836"/>
      <c r="AG298" s="2835"/>
      <c r="AH298" s="2835"/>
      <c r="AI298" s="2835"/>
      <c r="AJ298" s="2835"/>
      <c r="AK298" s="2837"/>
      <c r="AL298" s="2835"/>
      <c r="AM298" s="2835"/>
      <c r="AN298" s="2836"/>
      <c r="AO298" s="1471"/>
      <c r="AP298" s="2835"/>
      <c r="AQ298" s="2835"/>
      <c r="AR298" s="2836"/>
      <c r="AS298" s="2835"/>
      <c r="AT298" s="2835"/>
      <c r="AU298" s="2835"/>
      <c r="AV298" s="2836"/>
      <c r="AW298" s="2835"/>
      <c r="AX298" s="2835"/>
      <c r="AY298" s="2835"/>
      <c r="AZ298" s="2836"/>
      <c r="BA298" s="2835"/>
      <c r="BB298" s="2835"/>
      <c r="BC298" s="2835"/>
      <c r="BD298" s="2836"/>
      <c r="BE298" s="883"/>
      <c r="BN298" s="2838"/>
      <c r="BO298" s="2839"/>
      <c r="BP298" s="846"/>
      <c r="BQ298" s="846"/>
      <c r="BR298" s="846"/>
      <c r="BS298" s="846"/>
      <c r="BT298" s="846"/>
      <c r="BU298" s="846"/>
      <c r="BV298" s="846"/>
      <c r="BW298" s="846"/>
      <c r="BX298" s="846"/>
      <c r="BY298" s="847"/>
      <c r="BZ298" s="83"/>
    </row>
    <row r="299" spans="1:85" ht="11.25" customHeight="1">
      <c r="A299" s="86"/>
      <c r="B299" s="86"/>
      <c r="C299" s="86"/>
      <c r="D299" s="86"/>
      <c r="E299" s="86"/>
      <c r="F299" s="86"/>
      <c r="G299" s="86"/>
      <c r="H299" s="328"/>
      <c r="I299" s="100"/>
      <c r="J299" s="193"/>
      <c r="K299" s="67"/>
      <c r="L299" s="67"/>
      <c r="M299" s="67"/>
      <c r="N299" s="67"/>
      <c r="O299" s="67"/>
      <c r="P299" s="67"/>
      <c r="Q299" s="67"/>
      <c r="R299" s="67"/>
      <c r="S299" s="67"/>
      <c r="T299" s="67"/>
      <c r="U299" s="194"/>
      <c r="V299" s="332"/>
      <c r="W299" s="332"/>
      <c r="X299" s="332"/>
      <c r="Y299" s="332"/>
      <c r="Z299" s="332"/>
      <c r="AA299" s="332"/>
      <c r="AB299" s="332"/>
      <c r="AC299" s="332"/>
      <c r="AD299" s="332"/>
      <c r="AE299" s="332"/>
      <c r="AF299" s="332"/>
      <c r="AG299" s="332"/>
      <c r="AH299" s="332"/>
      <c r="AI299" s="332"/>
      <c r="AJ299" s="332"/>
      <c r="AK299" s="332"/>
      <c r="AL299" s="332"/>
      <c r="AM299" s="332"/>
      <c r="AN299" s="332"/>
      <c r="AO299" s="2895"/>
      <c r="AP299" s="332"/>
      <c r="AQ299" s="332"/>
      <c r="AR299" s="332"/>
      <c r="AS299" s="332"/>
      <c r="AT299" s="332"/>
      <c r="AU299" s="332"/>
      <c r="AV299" s="332"/>
      <c r="AW299" s="332"/>
      <c r="AX299" s="332"/>
      <c r="AY299" s="332"/>
      <c r="AZ299" s="332"/>
      <c r="BA299" s="332"/>
      <c r="BB299" s="332"/>
      <c r="BC299" s="332"/>
      <c r="BD299" s="332"/>
      <c r="BE299" s="276"/>
      <c r="BF299" s="332"/>
      <c r="BG299" s="332"/>
      <c r="BH299" s="332"/>
      <c r="BI299" s="332"/>
      <c r="BJ299" s="332"/>
      <c r="BK299" s="332"/>
      <c r="BL299" s="332"/>
      <c r="BM299" s="332"/>
      <c r="BN299" s="332"/>
      <c r="BO299" s="332"/>
      <c r="BP299" s="332"/>
      <c r="BQ299" s="332"/>
      <c r="BR299" s="332"/>
      <c r="BS299" s="332"/>
      <c r="BT299" s="332"/>
      <c r="BU299" s="332"/>
      <c r="BV299" s="332"/>
      <c r="BW299" s="332"/>
      <c r="BX299" s="332"/>
      <c r="BY299" s="332"/>
      <c r="BZ299" s="276"/>
      <c r="CA299" s="80"/>
      <c r="CE299" s="88"/>
      <c r="CF299" s="88"/>
      <c r="CG299" s="88"/>
    </row>
    <row r="300" spans="1:85" ht="11.25" customHeight="1">
      <c r="A300" s="86"/>
      <c r="B300" s="86"/>
      <c r="C300" s="86"/>
      <c r="D300" s="86"/>
      <c r="E300" s="86"/>
      <c r="F300" s="86"/>
      <c r="G300" s="86"/>
      <c r="H300" s="328"/>
      <c r="I300" s="100"/>
      <c r="J300" s="193"/>
      <c r="K300" s="67"/>
      <c r="L300" s="67"/>
      <c r="M300" s="67"/>
      <c r="N300" s="67"/>
      <c r="O300" s="67"/>
      <c r="P300" s="67"/>
      <c r="Q300" s="67"/>
      <c r="R300" s="67"/>
      <c r="S300" s="67"/>
      <c r="T300" s="67"/>
      <c r="U300" s="194"/>
      <c r="V300" s="332"/>
      <c r="W300" s="332"/>
      <c r="X300" s="332"/>
      <c r="Y300" s="332"/>
      <c r="Z300" s="332"/>
      <c r="AA300" s="332"/>
      <c r="AB300" s="332"/>
      <c r="AC300" s="332"/>
      <c r="AD300" s="332"/>
      <c r="AE300" s="332"/>
      <c r="AF300" s="332"/>
      <c r="AG300" s="332"/>
      <c r="AH300" s="332"/>
      <c r="AI300" s="332"/>
      <c r="AJ300" s="332"/>
      <c r="AK300" s="332"/>
      <c r="AL300" s="332"/>
      <c r="AM300" s="332"/>
      <c r="AN300" s="332"/>
      <c r="AO300" s="332"/>
      <c r="AP300" s="332"/>
      <c r="AQ300" s="332"/>
      <c r="AR300" s="332"/>
      <c r="AS300" s="332"/>
      <c r="AT300" s="332"/>
      <c r="AU300" s="332"/>
      <c r="AV300" s="332"/>
      <c r="AW300" s="332"/>
      <c r="AX300" s="332"/>
      <c r="AY300" s="332"/>
      <c r="AZ300" s="332"/>
      <c r="BA300" s="332"/>
      <c r="BB300" s="332"/>
      <c r="BC300" s="332"/>
      <c r="BD300" s="332"/>
      <c r="BE300" s="276"/>
      <c r="BF300" s="332"/>
      <c r="BG300" s="332"/>
      <c r="BH300" s="332"/>
      <c r="BI300" s="332"/>
      <c r="BJ300" s="332"/>
      <c r="BK300" s="332"/>
      <c r="BL300" s="332"/>
      <c r="BM300" s="332"/>
      <c r="BN300" s="332"/>
      <c r="BO300" s="332"/>
      <c r="BP300" s="332"/>
      <c r="BQ300" s="332"/>
      <c r="BR300" s="332"/>
      <c r="BS300" s="332"/>
      <c r="BT300" s="332"/>
      <c r="BU300" s="332"/>
      <c r="BV300" s="332"/>
      <c r="BW300" s="332"/>
      <c r="BX300" s="332"/>
      <c r="BY300" s="332"/>
      <c r="BZ300" s="276"/>
      <c r="CA300" s="80"/>
      <c r="CE300" s="88"/>
      <c r="CF300" s="88"/>
      <c r="CG300" s="88"/>
    </row>
    <row r="301" spans="1:85" ht="11.25" customHeight="1">
      <c r="A301" s="86"/>
      <c r="B301" s="86"/>
      <c r="C301" s="86"/>
      <c r="D301" s="86"/>
      <c r="E301" s="86"/>
      <c r="F301" s="86"/>
      <c r="G301" s="86"/>
      <c r="H301" s="328"/>
      <c r="I301" s="100"/>
      <c r="J301" s="87"/>
      <c r="K301" s="18"/>
      <c r="L301" s="18"/>
      <c r="M301" s="18"/>
      <c r="N301" s="18"/>
      <c r="O301" s="18"/>
      <c r="P301" s="18"/>
      <c r="Q301" s="18"/>
      <c r="R301" s="18"/>
      <c r="S301" s="18"/>
      <c r="T301" s="18"/>
      <c r="U301" s="47"/>
      <c r="V301" s="184"/>
      <c r="W301" s="184"/>
      <c r="X301" s="184"/>
      <c r="Y301" s="184"/>
      <c r="Z301" s="184"/>
      <c r="AA301" s="184"/>
      <c r="AB301" s="184"/>
      <c r="AC301" s="184"/>
      <c r="AD301" s="184"/>
      <c r="AE301" s="184"/>
      <c r="AF301" s="184"/>
      <c r="AG301" s="184"/>
      <c r="AH301" s="184"/>
      <c r="AI301" s="184"/>
      <c r="AJ301" s="184"/>
      <c r="AK301" s="184"/>
      <c r="AL301" s="332"/>
      <c r="AM301" s="184"/>
      <c r="AN301" s="184"/>
      <c r="AO301" s="332"/>
      <c r="AP301" s="2245"/>
      <c r="AQ301" s="2245"/>
      <c r="AR301" s="2245"/>
      <c r="AS301" s="2245"/>
      <c r="AT301" s="184"/>
      <c r="AU301" s="184"/>
      <c r="AV301" s="184"/>
      <c r="AW301" s="184"/>
      <c r="AX301" s="184"/>
      <c r="AY301" s="184"/>
      <c r="AZ301" s="184"/>
      <c r="BA301" s="184"/>
      <c r="BB301" s="184"/>
      <c r="BC301" s="184"/>
      <c r="BD301" s="184"/>
      <c r="BE301" s="1197"/>
      <c r="BF301" s="184"/>
      <c r="BG301" s="184"/>
      <c r="BH301" s="184"/>
      <c r="BI301" s="184"/>
      <c r="BJ301" s="184"/>
      <c r="BK301" s="184"/>
      <c r="BL301" s="184"/>
      <c r="BM301" s="332"/>
      <c r="BN301" s="184"/>
      <c r="BO301" s="332"/>
      <c r="BP301" s="184"/>
      <c r="BQ301" s="184"/>
      <c r="BR301" s="184"/>
      <c r="BS301" s="184"/>
      <c r="BT301" s="184"/>
      <c r="BU301" s="332"/>
      <c r="BV301" s="184"/>
      <c r="BW301" s="184"/>
      <c r="BX301" s="184"/>
      <c r="BY301" s="184"/>
      <c r="BZ301" s="276"/>
      <c r="CA301" s="80"/>
      <c r="CE301" s="88"/>
      <c r="CF301" s="88"/>
      <c r="CG301" s="88"/>
    </row>
    <row r="303" spans="1:85" s="106" customFormat="1" ht="11.25" hidden="1" customHeight="1" outlineLevel="1">
      <c r="A303" s="86"/>
      <c r="B303" s="86"/>
      <c r="C303" s="86"/>
      <c r="D303" s="86"/>
      <c r="E303" s="86"/>
      <c r="F303" s="86"/>
      <c r="G303" s="86"/>
      <c r="H303" s="328"/>
      <c r="I303" s="771" t="s">
        <v>346</v>
      </c>
      <c r="J303" s="339"/>
      <c r="K303" s="339"/>
      <c r="L303" s="339"/>
      <c r="M303" s="339"/>
      <c r="N303" s="339"/>
      <c r="O303" s="339"/>
      <c r="P303" s="339"/>
      <c r="Q303" s="339"/>
      <c r="R303" s="339"/>
      <c r="S303" s="339"/>
      <c r="T303" s="339"/>
      <c r="U303" s="757"/>
      <c r="V303" s="339"/>
      <c r="W303" s="339"/>
      <c r="X303" s="758"/>
      <c r="Y303" s="339"/>
      <c r="Z303" s="339"/>
      <c r="AA303" s="339"/>
      <c r="AB303" s="339"/>
      <c r="AC303" s="757"/>
      <c r="AD303" s="339"/>
      <c r="AE303" s="339"/>
      <c r="AF303" s="339"/>
      <c r="AG303" s="757"/>
      <c r="AH303" s="339"/>
      <c r="AI303" s="339"/>
      <c r="AJ303" s="758"/>
      <c r="AK303" s="339"/>
      <c r="AL303" s="339"/>
      <c r="AM303" s="339"/>
      <c r="AN303" s="758"/>
      <c r="AO303" s="339"/>
      <c r="AP303" s="339"/>
      <c r="AQ303" s="339"/>
      <c r="AR303" s="758"/>
      <c r="AS303" s="339"/>
      <c r="AT303" s="339"/>
      <c r="AU303" s="339"/>
      <c r="AV303" s="758"/>
      <c r="AW303" s="339"/>
      <c r="AX303" s="339"/>
      <c r="AY303" s="339"/>
      <c r="AZ303" s="758"/>
      <c r="BA303" s="339"/>
      <c r="BB303" s="339"/>
      <c r="BC303" s="339"/>
      <c r="BD303" s="758"/>
      <c r="BE303" s="277"/>
      <c r="BF303" s="757"/>
      <c r="BG303" s="339"/>
      <c r="BH303" s="339"/>
      <c r="BI303" s="339"/>
      <c r="BJ303" s="339"/>
      <c r="BK303" s="339"/>
      <c r="BL303" s="339"/>
      <c r="BM303" s="339"/>
      <c r="BN303" s="1646"/>
      <c r="BO303" s="339"/>
      <c r="BP303" s="339"/>
      <c r="BQ303" s="339"/>
      <c r="BR303" s="339"/>
      <c r="BS303" s="339"/>
      <c r="BT303" s="339"/>
      <c r="BU303" s="339"/>
      <c r="BV303" s="339"/>
      <c r="BW303" s="339"/>
      <c r="BX303" s="339"/>
      <c r="BY303" s="758"/>
      <c r="BZ303" s="277"/>
      <c r="CA303" s="99"/>
      <c r="CB303" s="327"/>
      <c r="CC303" s="327"/>
      <c r="CD303" s="327"/>
      <c r="CE303" s="327"/>
      <c r="CF303" s="327"/>
      <c r="CG303" s="327"/>
    </row>
    <row r="304" spans="1:85" s="42" customFormat="1" ht="11.25" hidden="1" customHeight="1" outlineLevel="1">
      <c r="I304" s="457"/>
      <c r="J304" s="321"/>
      <c r="K304" s="321"/>
      <c r="L304" s="321"/>
      <c r="M304" s="68"/>
      <c r="N304" s="68"/>
      <c r="O304" s="68"/>
      <c r="P304" s="68"/>
      <c r="Q304" s="68"/>
      <c r="R304" s="68"/>
      <c r="S304" s="68"/>
      <c r="T304" s="68"/>
      <c r="U304" s="507"/>
      <c r="V304" s="68"/>
      <c r="W304" s="68"/>
      <c r="X304" s="475"/>
      <c r="Y304" s="68"/>
      <c r="Z304" s="68"/>
      <c r="AA304" s="68"/>
      <c r="AB304" s="68"/>
      <c r="AC304" s="507"/>
      <c r="AD304" s="68"/>
      <c r="AE304" s="68"/>
      <c r="AF304" s="68"/>
      <c r="AG304" s="507"/>
      <c r="AH304" s="68"/>
      <c r="AI304" s="68"/>
      <c r="AJ304" s="475"/>
      <c r="AK304" s="68"/>
      <c r="AL304" s="68"/>
      <c r="AM304" s="68"/>
      <c r="AN304" s="475"/>
      <c r="AO304" s="68"/>
      <c r="AP304" s="68"/>
      <c r="AQ304" s="68"/>
      <c r="AR304" s="475"/>
      <c r="AS304" s="68"/>
      <c r="AT304" s="68"/>
      <c r="AU304" s="68"/>
      <c r="AV304" s="475"/>
      <c r="AW304" s="68"/>
      <c r="AX304" s="68"/>
      <c r="AY304" s="68"/>
      <c r="AZ304" s="475"/>
      <c r="BA304" s="68"/>
      <c r="BB304" s="68"/>
      <c r="BC304" s="68"/>
      <c r="BD304" s="475"/>
      <c r="BE304" s="68"/>
      <c r="BF304" s="507"/>
      <c r="BG304" s="68"/>
      <c r="BH304" s="68"/>
      <c r="BI304" s="68"/>
      <c r="BJ304" s="68"/>
      <c r="BK304" s="68"/>
      <c r="BL304" s="68"/>
      <c r="BM304" s="68"/>
      <c r="BN304" s="507"/>
      <c r="BO304" s="292"/>
      <c r="BP304" s="68"/>
      <c r="BQ304" s="68"/>
      <c r="BR304" s="68"/>
      <c r="BS304" s="68"/>
      <c r="BT304" s="68"/>
      <c r="BU304" s="68"/>
      <c r="BV304" s="68"/>
      <c r="BW304" s="68"/>
      <c r="BX304" s="68"/>
      <c r="BY304" s="475"/>
      <c r="BZ304" s="292"/>
    </row>
    <row r="305" spans="1:85" ht="11.25" hidden="1" customHeight="1" outlineLevel="1">
      <c r="A305" s="36"/>
      <c r="B305" s="36"/>
      <c r="C305" s="36"/>
      <c r="D305" s="36"/>
      <c r="E305" s="36"/>
      <c r="F305" s="36"/>
      <c r="G305" s="36"/>
      <c r="I305" s="622" t="s">
        <v>347</v>
      </c>
      <c r="J305" s="193"/>
      <c r="K305" s="67"/>
      <c r="L305" s="67"/>
      <c r="M305" s="67"/>
      <c r="N305" s="67"/>
      <c r="O305" s="67"/>
      <c r="P305" s="67"/>
      <c r="Q305" s="67"/>
      <c r="R305" s="67"/>
      <c r="S305" s="67"/>
      <c r="T305" s="67"/>
      <c r="U305" s="627"/>
      <c r="V305" s="76"/>
      <c r="W305" s="76">
        <f>W320-W312</f>
        <v>72.86099999999999</v>
      </c>
      <c r="X305" s="614"/>
      <c r="Y305" s="76"/>
      <c r="Z305" s="76"/>
      <c r="AA305" s="76">
        <f t="shared" ref="AA305:BD305" si="509">AA320-AA312</f>
        <v>96.306539999999998</v>
      </c>
      <c r="AB305" s="76">
        <f t="shared" si="509"/>
        <v>94.80395</v>
      </c>
      <c r="AC305" s="627">
        <f t="shared" si="509"/>
        <v>100.6696</v>
      </c>
      <c r="AD305" s="76">
        <f t="shared" si="509"/>
        <v>106.761</v>
      </c>
      <c r="AE305" s="76">
        <f t="shared" si="509"/>
        <v>109.41800000000001</v>
      </c>
      <c r="AF305" s="76">
        <f t="shared" si="509"/>
        <v>104.39400000000001</v>
      </c>
      <c r="AG305" s="627">
        <f t="shared" si="509"/>
        <v>111.32300000000001</v>
      </c>
      <c r="AH305" s="76">
        <f t="shared" si="509"/>
        <v>113.93699999999998</v>
      </c>
      <c r="AI305" s="76">
        <f t="shared" si="509"/>
        <v>117.45699999999999</v>
      </c>
      <c r="AJ305" s="614">
        <f t="shared" si="509"/>
        <v>110.52999999999999</v>
      </c>
      <c r="AK305" s="76">
        <f t="shared" si="509"/>
        <v>116.102</v>
      </c>
      <c r="AL305" s="76">
        <f t="shared" si="509"/>
        <v>113.87700000000001</v>
      </c>
      <c r="AM305" s="76">
        <f>AM320-AM312</f>
        <v>112.78000000000002</v>
      </c>
      <c r="AN305" s="614">
        <f>AN320-AN312</f>
        <v>103.765</v>
      </c>
      <c r="AO305" s="76">
        <f>AO320-AO312</f>
        <v>151.35899999999998</v>
      </c>
      <c r="AP305" s="76">
        <f t="shared" si="509"/>
        <v>156.31350499999999</v>
      </c>
      <c r="AQ305" s="76">
        <f t="shared" si="509"/>
        <v>155.529</v>
      </c>
      <c r="AR305" s="614">
        <f>AR320-AR312</f>
        <v>140.96899999999999</v>
      </c>
      <c r="AS305" s="627">
        <f t="shared" si="509"/>
        <v>145.14537625</v>
      </c>
      <c r="AT305" s="76">
        <f t="shared" si="509"/>
        <v>143.53356599999998</v>
      </c>
      <c r="AU305" s="76">
        <f t="shared" si="509"/>
        <v>140.68567849999997</v>
      </c>
      <c r="AV305" s="614">
        <f t="shared" si="509"/>
        <v>127.75662243899998</v>
      </c>
      <c r="AW305" s="627">
        <f t="shared" si="509"/>
        <v>131.67210923487497</v>
      </c>
      <c r="AX305" s="76">
        <f t="shared" si="509"/>
        <v>130.72285114279998</v>
      </c>
      <c r="AY305" s="76">
        <f t="shared" si="509"/>
        <v>128.73926702594997</v>
      </c>
      <c r="AZ305" s="614">
        <f t="shared" si="509"/>
        <v>118.35936827329999</v>
      </c>
      <c r="BA305" s="627">
        <f t="shared" si="509"/>
        <v>121.2246990731625</v>
      </c>
      <c r="BB305" s="76">
        <f t="shared" si="509"/>
        <v>120.00556305975999</v>
      </c>
      <c r="BC305" s="76">
        <f t="shared" si="509"/>
        <v>117.92892611736498</v>
      </c>
      <c r="BD305" s="614">
        <f t="shared" si="509"/>
        <v>108.8701347389575</v>
      </c>
      <c r="BE305" s="74"/>
      <c r="BF305" s="627"/>
      <c r="BG305" s="76"/>
      <c r="BH305" s="76"/>
      <c r="BI305" s="76"/>
      <c r="BJ305" s="76"/>
      <c r="BK305" s="76"/>
      <c r="BL305" s="76"/>
      <c r="BM305" s="76">
        <f>AVERAGE(Y305:AB305)</f>
        <v>95.555244999999999</v>
      </c>
      <c r="BN305" s="627">
        <f>AVERAGE(AC305:AF305)</f>
        <v>105.31065000000001</v>
      </c>
      <c r="BO305" s="76">
        <f>AVERAGE(AG305:AJ305)</f>
        <v>113.31174999999999</v>
      </c>
      <c r="BP305" s="428">
        <f>AVERAGE(AK305:AN305)</f>
        <v>111.631</v>
      </c>
      <c r="BQ305" s="428">
        <f>AVERAGE(AO305:AR305)</f>
        <v>151.04262625000001</v>
      </c>
      <c r="BR305" s="428">
        <f>AVERAGE(AS305:AV305)</f>
        <v>139.28031079725</v>
      </c>
      <c r="BS305" s="428">
        <f>AVERAGE(AW305:AZ305)</f>
        <v>127.37339891923122</v>
      </c>
      <c r="BT305" s="428">
        <f>AVERAGE(BA305:BD305)</f>
        <v>117.00733074731124</v>
      </c>
      <c r="BU305" s="322">
        <f>BU320-BU312</f>
        <v>99.396543575454643</v>
      </c>
      <c r="BV305" s="322">
        <f>BV320-BV312</f>
        <v>88.252591218380189</v>
      </c>
      <c r="BW305" s="322">
        <f>BW320-BW312</f>
        <v>76.903278880748871</v>
      </c>
      <c r="BX305" s="322">
        <f>BX320-BX312</f>
        <v>65.405149258036687</v>
      </c>
      <c r="BY305" s="734">
        <f>BY320-BY312</f>
        <v>53.811764673586168</v>
      </c>
      <c r="BZ305" s="274"/>
      <c r="CA305" s="36"/>
      <c r="CB305" s="36"/>
      <c r="CC305" s="36"/>
      <c r="CD305" s="36"/>
      <c r="CE305" s="36"/>
      <c r="CF305" s="36"/>
      <c r="CG305" s="36"/>
    </row>
    <row r="306" spans="1:85" ht="11.25" hidden="1" customHeight="1" outlineLevel="1">
      <c r="A306" s="36"/>
      <c r="B306" s="36"/>
      <c r="C306" s="36"/>
      <c r="D306" s="36"/>
      <c r="E306" s="36"/>
      <c r="F306" s="36"/>
      <c r="G306" s="36"/>
      <c r="I306" s="796" t="s">
        <v>371</v>
      </c>
      <c r="J306" s="342"/>
      <c r="K306" s="336"/>
      <c r="L306" s="336"/>
      <c r="M306" s="336"/>
      <c r="N306" s="336"/>
      <c r="O306" s="336"/>
      <c r="P306" s="336"/>
      <c r="Q306" s="336"/>
      <c r="R306" s="336"/>
      <c r="S306" s="336"/>
      <c r="T306" s="336"/>
      <c r="U306" s="626"/>
      <c r="V306" s="336"/>
      <c r="W306" s="336">
        <f>W305-V305</f>
        <v>72.86099999999999</v>
      </c>
      <c r="X306" s="613"/>
      <c r="Y306" s="336"/>
      <c r="Z306" s="336"/>
      <c r="AA306" s="336">
        <f t="shared" ref="AA306:AF306" si="510">AA305-Z305</f>
        <v>96.306539999999998</v>
      </c>
      <c r="AB306" s="336">
        <f t="shared" si="510"/>
        <v>-1.5025899999999979</v>
      </c>
      <c r="AC306" s="626">
        <f t="shared" si="510"/>
        <v>5.8656500000000023</v>
      </c>
      <c r="AD306" s="336">
        <f t="shared" si="510"/>
        <v>6.091399999999993</v>
      </c>
      <c r="AE306" s="336">
        <f t="shared" si="510"/>
        <v>2.6570000000000107</v>
      </c>
      <c r="AF306" s="336">
        <f t="shared" si="510"/>
        <v>-5.0240000000000009</v>
      </c>
      <c r="AG306" s="626">
        <f t="shared" ref="AG306:AO306" si="511">AG305-AF305</f>
        <v>6.929000000000002</v>
      </c>
      <c r="AH306" s="336">
        <f t="shared" si="511"/>
        <v>2.6139999999999759</v>
      </c>
      <c r="AI306" s="336">
        <f t="shared" si="511"/>
        <v>3.5200000000000102</v>
      </c>
      <c r="AJ306" s="613">
        <f t="shared" si="511"/>
        <v>-6.9270000000000067</v>
      </c>
      <c r="AK306" s="336">
        <f t="shared" si="511"/>
        <v>5.5720000000000169</v>
      </c>
      <c r="AL306" s="336">
        <f t="shared" si="511"/>
        <v>-2.2249999999999943</v>
      </c>
      <c r="AM306" s="336">
        <f t="shared" si="511"/>
        <v>-1.0969999999999942</v>
      </c>
      <c r="AN306" s="613">
        <f t="shared" si="511"/>
        <v>-9.0150000000000148</v>
      </c>
      <c r="AO306" s="336">
        <f t="shared" si="511"/>
        <v>47.59399999999998</v>
      </c>
      <c r="AP306" s="336">
        <f t="shared" ref="AP306:AV306" si="512">AP305-AO305</f>
        <v>4.9545050000000117</v>
      </c>
      <c r="AQ306" s="336">
        <f t="shared" si="512"/>
        <v>-0.78450499999999579</v>
      </c>
      <c r="AR306" s="613">
        <f t="shared" si="512"/>
        <v>-14.560000000000002</v>
      </c>
      <c r="AS306" s="626">
        <f t="shared" si="512"/>
        <v>4.1763762500000041</v>
      </c>
      <c r="AT306" s="336">
        <f t="shared" si="512"/>
        <v>-1.6118102500000191</v>
      </c>
      <c r="AU306" s="336">
        <f t="shared" si="512"/>
        <v>-2.847887500000013</v>
      </c>
      <c r="AV306" s="613">
        <f t="shared" si="512"/>
        <v>-12.929056060999983</v>
      </c>
      <c r="AW306" s="626">
        <f t="shared" ref="AW306:BD306" si="513">AW305-AV305</f>
        <v>3.9154867958749833</v>
      </c>
      <c r="AX306" s="336">
        <f t="shared" si="513"/>
        <v>-0.94925809207498446</v>
      </c>
      <c r="AY306" s="336">
        <f t="shared" si="513"/>
        <v>-1.983584116850011</v>
      </c>
      <c r="AZ306" s="613">
        <f t="shared" si="513"/>
        <v>-10.379898752649979</v>
      </c>
      <c r="BA306" s="626">
        <f t="shared" si="513"/>
        <v>2.8653307998625053</v>
      </c>
      <c r="BB306" s="336">
        <f t="shared" si="513"/>
        <v>-1.2191360134025047</v>
      </c>
      <c r="BC306" s="336">
        <f t="shared" si="513"/>
        <v>-2.0766369423950124</v>
      </c>
      <c r="BD306" s="613">
        <f t="shared" si="513"/>
        <v>-9.0587913784074772</v>
      </c>
      <c r="BE306" s="110"/>
      <c r="BF306" s="626"/>
      <c r="BG306" s="336"/>
      <c r="BH306" s="336"/>
      <c r="BI306" s="336"/>
      <c r="BJ306" s="336"/>
      <c r="BK306" s="336"/>
      <c r="BL306" s="336"/>
      <c r="BM306" s="336"/>
      <c r="BN306" s="626">
        <f t="shared" ref="BN306:BT306" si="514">BN305-BM305</f>
        <v>9.7554050000000103</v>
      </c>
      <c r="BO306" s="336">
        <f t="shared" si="514"/>
        <v>8.0010999999999797</v>
      </c>
      <c r="BP306" s="336">
        <f t="shared" si="514"/>
        <v>-1.6807499999999891</v>
      </c>
      <c r="BQ306" s="336">
        <f t="shared" si="514"/>
        <v>39.411626250000012</v>
      </c>
      <c r="BR306" s="336">
        <f t="shared" si="514"/>
        <v>-11.762315452750016</v>
      </c>
      <c r="BS306" s="336">
        <f t="shared" si="514"/>
        <v>-11.906911878018775</v>
      </c>
      <c r="BT306" s="336">
        <f t="shared" si="514"/>
        <v>-10.366068171919977</v>
      </c>
      <c r="BU306" s="336">
        <f>BU305-BT305</f>
        <v>-17.6107871718566</v>
      </c>
      <c r="BV306" s="336">
        <f>BV305-BU305</f>
        <v>-11.143952357074454</v>
      </c>
      <c r="BW306" s="336">
        <f>BW305-BV305</f>
        <v>-11.349312337631318</v>
      </c>
      <c r="BX306" s="336">
        <f>BX305-BW305</f>
        <v>-11.498129622712185</v>
      </c>
      <c r="BY306" s="613">
        <f>BY305-BX305</f>
        <v>-11.593384584450519</v>
      </c>
      <c r="BZ306" s="110"/>
      <c r="CA306" s="36"/>
      <c r="CB306" s="36"/>
      <c r="CC306" s="36"/>
      <c r="CD306" s="36"/>
      <c r="CE306" s="36"/>
      <c r="CF306" s="36"/>
      <c r="CG306" s="36"/>
    </row>
    <row r="307" spans="1:85" ht="11.25" hidden="1" customHeight="1" outlineLevel="1">
      <c r="A307" s="36"/>
      <c r="B307" s="36"/>
      <c r="C307" s="36"/>
      <c r="D307" s="36"/>
      <c r="E307" s="36"/>
      <c r="F307" s="36"/>
      <c r="G307" s="36"/>
      <c r="I307" s="770" t="s">
        <v>132</v>
      </c>
      <c r="J307" s="193"/>
      <c r="K307" s="67"/>
      <c r="L307" s="67"/>
      <c r="M307" s="67"/>
      <c r="N307" s="67"/>
      <c r="O307" s="67"/>
      <c r="P307" s="67"/>
      <c r="Q307" s="67"/>
      <c r="R307" s="67"/>
      <c r="S307" s="67"/>
      <c r="T307" s="67"/>
      <c r="U307" s="751"/>
      <c r="V307" s="198"/>
      <c r="W307" s="198" t="str">
        <f>IF(ISERROR(W305/S305-1),"NA",(IF(W305&lt;=0,"NM",W305/S305-1)))</f>
        <v>NA</v>
      </c>
      <c r="X307" s="752"/>
      <c r="Y307" s="198"/>
      <c r="Z307" s="198"/>
      <c r="AA307" s="198">
        <f t="shared" ref="AA307:AF307" si="515">IF(ISERROR(AA305/W305-1),"NA",(IF(AA305&lt;=0,"NM",AA305/W305-1)))</f>
        <v>0.32178449376209506</v>
      </c>
      <c r="AB307" s="198" t="str">
        <f t="shared" si="515"/>
        <v>NA</v>
      </c>
      <c r="AC307" s="751" t="str">
        <f t="shared" si="515"/>
        <v>NA</v>
      </c>
      <c r="AD307" s="198" t="str">
        <f t="shared" si="515"/>
        <v>NA</v>
      </c>
      <c r="AE307" s="198">
        <f t="shared" si="515"/>
        <v>0.13614298675873937</v>
      </c>
      <c r="AF307" s="198">
        <f t="shared" si="515"/>
        <v>0.10115665011848129</v>
      </c>
      <c r="AG307" s="751">
        <f t="shared" ref="AG307:AO307" si="516">IF(ISERROR(AG305/AC305-1),"NA",(IF(AG305&lt;=0,"NM",AG305/AC305-1)))</f>
        <v>0.1058253931673514</v>
      </c>
      <c r="AH307" s="198">
        <f t="shared" si="516"/>
        <v>6.7215556242447905E-2</v>
      </c>
      <c r="AI307" s="198">
        <f t="shared" si="516"/>
        <v>7.3470544151784667E-2</v>
      </c>
      <c r="AJ307" s="752">
        <f t="shared" si="516"/>
        <v>5.8777324367300654E-2</v>
      </c>
      <c r="AK307" s="198">
        <f t="shared" si="516"/>
        <v>4.2929134141192815E-2</v>
      </c>
      <c r="AL307" s="198">
        <f t="shared" si="516"/>
        <v>-5.2660680902583135E-4</v>
      </c>
      <c r="AM307" s="198">
        <f t="shared" si="516"/>
        <v>-3.9818827315528105E-2</v>
      </c>
      <c r="AN307" s="752">
        <f t="shared" si="516"/>
        <v>-6.1205102687053148E-2</v>
      </c>
      <c r="AO307" s="198">
        <f t="shared" si="516"/>
        <v>0.30367263268505251</v>
      </c>
      <c r="AP307" s="198">
        <f t="shared" ref="AP307:AV307" si="517">IF(ISERROR(AP305/AL305-1),"NA",(IF(AP305&lt;=0,"NM",AP305/AL305-1)))</f>
        <v>0.3726521158794136</v>
      </c>
      <c r="AQ307" s="198">
        <f t="shared" si="517"/>
        <v>0.3790477034935269</v>
      </c>
      <c r="AR307" s="752">
        <f t="shared" si="517"/>
        <v>0.35854093384089047</v>
      </c>
      <c r="AS307" s="751">
        <f t="shared" si="517"/>
        <v>-4.1052225173263457E-2</v>
      </c>
      <c r="AT307" s="198">
        <f t="shared" si="517"/>
        <v>-8.175838037794636E-2</v>
      </c>
      <c r="AU307" s="198">
        <f t="shared" si="517"/>
        <v>-9.5437645069408439E-2</v>
      </c>
      <c r="AV307" s="752">
        <f t="shared" si="517"/>
        <v>-9.3725411693351135E-2</v>
      </c>
      <c r="AW307" s="751">
        <f t="shared" ref="AW307:BD307" si="518">IF(ISERROR(AW305/AS305-1),"NA",(IF(AW305&lt;=0,"NM",AW305/AS305-1)))</f>
        <v>-9.2826015979444843E-2</v>
      </c>
      <c r="AX307" s="198">
        <f t="shared" si="518"/>
        <v>-8.9252397290819019E-2</v>
      </c>
      <c r="AY307" s="198">
        <f t="shared" si="518"/>
        <v>-8.4915618998489539E-2</v>
      </c>
      <c r="AZ307" s="752">
        <f t="shared" si="518"/>
        <v>-7.3555906428153239E-2</v>
      </c>
      <c r="BA307" s="751">
        <f t="shared" si="518"/>
        <v>-7.9344139183466056E-2</v>
      </c>
      <c r="BB307" s="198">
        <f t="shared" si="518"/>
        <v>-8.1984809766217248E-2</v>
      </c>
      <c r="BC307" s="198">
        <f t="shared" si="518"/>
        <v>-8.3970812933135242E-2</v>
      </c>
      <c r="BD307" s="752">
        <f t="shared" si="518"/>
        <v>-8.0173066760809264E-2</v>
      </c>
      <c r="BE307" s="264"/>
      <c r="BF307" s="751"/>
      <c r="BG307" s="198"/>
      <c r="BH307" s="198"/>
      <c r="BI307" s="198"/>
      <c r="BJ307" s="198"/>
      <c r="BK307" s="198"/>
      <c r="BL307" s="198"/>
      <c r="BM307" s="198"/>
      <c r="BN307" s="751">
        <f t="shared" ref="BN307:BT307" si="519">IF(ISERROR(BN305/BM305-1),"NA",(IF(BN305&lt;=0,"NM",BN305/BM305-1)))</f>
        <v>0.10209177947270209</v>
      </c>
      <c r="BO307" s="198">
        <f t="shared" si="519"/>
        <v>7.5976171450845564E-2</v>
      </c>
      <c r="BP307" s="198">
        <f t="shared" si="519"/>
        <v>-1.4832971867436373E-2</v>
      </c>
      <c r="BQ307" s="198">
        <f t="shared" si="519"/>
        <v>0.35305270265428068</v>
      </c>
      <c r="BR307" s="198">
        <f t="shared" si="519"/>
        <v>-7.7874145496394376E-2</v>
      </c>
      <c r="BS307" s="198">
        <f t="shared" si="519"/>
        <v>-8.5488837653095451E-2</v>
      </c>
      <c r="BT307" s="198">
        <f t="shared" si="519"/>
        <v>-8.1383304990496508E-2</v>
      </c>
      <c r="BU307" s="198">
        <f>IF(ISERROR(BU305/BT305-1),"NA",(IF(BU305&lt;=0,"NM",BU305/BT305-1)))</f>
        <v>-0.15051011812147752</v>
      </c>
      <c r="BV307" s="198">
        <f>IF(ISERROR(BV305/BU305-1),"NA",(IF(BV305&lt;=0,"NM",BV305/BU305-1)))</f>
        <v>-0.11211609535109013</v>
      </c>
      <c r="BW307" s="198">
        <f>IF(ISERROR(BW305/BV305-1),"NA",(IF(BW305&lt;=0,"NM",BW305/BV305-1)))</f>
        <v>-0.12860032981408509</v>
      </c>
      <c r="BX307" s="198">
        <f>IF(ISERROR(BX305/BW305-1),"NA",(IF(BX305&lt;=0,"NM",BX305/BW305-1)))</f>
        <v>-0.14951416623655178</v>
      </c>
      <c r="BY307" s="752">
        <f>IF(ISERROR(BY305/BX305-1),"NA",(IF(BY305&lt;=0,"NM",BY305/BX305-1)))</f>
        <v>-0.17725492130156673</v>
      </c>
      <c r="BZ307" s="264"/>
      <c r="CA307" s="36"/>
      <c r="CB307" s="36"/>
      <c r="CC307" s="36"/>
      <c r="CD307" s="36"/>
      <c r="CE307" s="36"/>
      <c r="CF307" s="36"/>
      <c r="CG307" s="36"/>
    </row>
    <row r="308" spans="1:85" ht="11.25" hidden="1" customHeight="1" outlineLevel="1">
      <c r="A308" s="36"/>
      <c r="B308" s="36"/>
      <c r="C308" s="36"/>
      <c r="D308" s="36"/>
      <c r="E308" s="36"/>
      <c r="F308" s="36"/>
      <c r="G308" s="36"/>
      <c r="I308" s="770" t="s">
        <v>146</v>
      </c>
      <c r="J308" s="193"/>
      <c r="K308" s="67"/>
      <c r="L308" s="67"/>
      <c r="M308" s="67"/>
      <c r="N308" s="67"/>
      <c r="O308" s="67"/>
      <c r="P308" s="67"/>
      <c r="Q308" s="67"/>
      <c r="R308" s="67"/>
      <c r="S308" s="67"/>
      <c r="T308" s="67"/>
      <c r="U308" s="751"/>
      <c r="V308" s="198"/>
      <c r="W308" s="198" t="str">
        <f>IF(ISERROR(W305/V305-1),"NA",(IF(W305&lt;=0,"NM",W305/V305-1)))</f>
        <v>NA</v>
      </c>
      <c r="X308" s="752"/>
      <c r="Y308" s="198"/>
      <c r="Z308" s="198"/>
      <c r="AA308" s="198" t="str">
        <f t="shared" ref="AA308:AF308" si="520">IF(ISERROR(AA305/Z305-1),"NA",(IF(AA305&lt;=0,"NM",AA305/Z305-1)))</f>
        <v>NA</v>
      </c>
      <c r="AB308" s="198">
        <f t="shared" si="520"/>
        <v>-1.5602159521046044E-2</v>
      </c>
      <c r="AC308" s="751">
        <f t="shared" si="520"/>
        <v>6.1871367174047176E-2</v>
      </c>
      <c r="AD308" s="198">
        <f t="shared" si="520"/>
        <v>6.0508832855201478E-2</v>
      </c>
      <c r="AE308" s="198">
        <f t="shared" si="520"/>
        <v>2.4887365236369252E-2</v>
      </c>
      <c r="AF308" s="198">
        <f t="shared" si="520"/>
        <v>-4.5915662870825602E-2</v>
      </c>
      <c r="AG308" s="751">
        <f t="shared" ref="AG308:AO308" si="521">IF(ISERROR(AG305/AF305-1),"NA",(IF(AG305&lt;=0,"NM",AG305/AF305-1)))</f>
        <v>6.6373546372396897E-2</v>
      </c>
      <c r="AH308" s="198">
        <f t="shared" si="521"/>
        <v>2.3481221310959866E-2</v>
      </c>
      <c r="AI308" s="198">
        <f t="shared" si="521"/>
        <v>3.0894266129527725E-2</v>
      </c>
      <c r="AJ308" s="752">
        <f t="shared" si="521"/>
        <v>-5.897477374698834E-2</v>
      </c>
      <c r="AK308" s="198">
        <f t="shared" si="521"/>
        <v>5.0411652944901908E-2</v>
      </c>
      <c r="AL308" s="198">
        <f t="shared" si="521"/>
        <v>-1.9164183218204678E-2</v>
      </c>
      <c r="AM308" s="198">
        <f t="shared" si="521"/>
        <v>-9.6332007341253245E-3</v>
      </c>
      <c r="AN308" s="752">
        <f t="shared" si="521"/>
        <v>-7.9934385529349283E-2</v>
      </c>
      <c r="AO308" s="198">
        <f t="shared" si="521"/>
        <v>0.45867103551293775</v>
      </c>
      <c r="AP308" s="198">
        <f t="shared" ref="AP308:AV308" si="522">IF(ISERROR(AP305/AO305-1),"NA",(IF(AP305&lt;=0,"NM",AP305/AO305-1)))</f>
        <v>3.2733468112236652E-2</v>
      </c>
      <c r="AQ308" s="198">
        <f t="shared" si="522"/>
        <v>-5.0187922022476572E-3</v>
      </c>
      <c r="AR308" s="752">
        <f t="shared" si="522"/>
        <v>-9.3615981585427832E-2</v>
      </c>
      <c r="AS308" s="751">
        <f t="shared" si="522"/>
        <v>2.9626203278735108E-2</v>
      </c>
      <c r="AT308" s="198">
        <f t="shared" si="522"/>
        <v>-1.1104799144437183E-2</v>
      </c>
      <c r="AU308" s="198">
        <f t="shared" si="522"/>
        <v>-1.9841264864833175E-2</v>
      </c>
      <c r="AV308" s="752">
        <f t="shared" si="522"/>
        <v>-9.1900300008148972E-2</v>
      </c>
      <c r="AW308" s="751">
        <f t="shared" ref="AW308:BD308" si="523">IF(ISERROR(AW305/AV305-1),"NA",(IF(AW305&lt;=0,"NM",AW305/AV305-1)))</f>
        <v>3.064801433479114E-2</v>
      </c>
      <c r="AX308" s="198">
        <f t="shared" si="523"/>
        <v>-7.2092571281113793E-3</v>
      </c>
      <c r="AY308" s="198">
        <f t="shared" si="523"/>
        <v>-1.5173966139119588E-2</v>
      </c>
      <c r="AZ308" s="752">
        <f t="shared" si="523"/>
        <v>-8.0627294161599528E-2</v>
      </c>
      <c r="BA308" s="751">
        <f t="shared" si="523"/>
        <v>2.4208736846636825E-2</v>
      </c>
      <c r="BB308" s="198">
        <f t="shared" si="523"/>
        <v>-1.0056828540087492E-2</v>
      </c>
      <c r="BC308" s="198">
        <f t="shared" si="523"/>
        <v>-1.730450563663366E-2</v>
      </c>
      <c r="BD308" s="752">
        <f t="shared" si="523"/>
        <v>-7.6815686165004227E-2</v>
      </c>
      <c r="BE308" s="264"/>
      <c r="BF308" s="751"/>
      <c r="BG308" s="198"/>
      <c r="BH308" s="198"/>
      <c r="BI308" s="198"/>
      <c r="BJ308" s="198"/>
      <c r="BK308" s="198"/>
      <c r="BL308" s="198"/>
      <c r="BM308" s="198"/>
      <c r="BN308" s="751"/>
      <c r="BO308" s="198"/>
      <c r="BP308" s="198"/>
      <c r="BQ308" s="198"/>
      <c r="BR308" s="198"/>
      <c r="BS308" s="198"/>
      <c r="BT308" s="198"/>
      <c r="BU308" s="198"/>
      <c r="BV308" s="198"/>
      <c r="BW308" s="198"/>
      <c r="BX308" s="198"/>
      <c r="BY308" s="752"/>
      <c r="BZ308" s="264"/>
      <c r="CA308" s="36"/>
      <c r="CB308" s="36"/>
      <c r="CC308" s="36"/>
      <c r="CD308" s="36"/>
      <c r="CE308" s="36"/>
      <c r="CF308" s="36"/>
      <c r="CG308" s="36"/>
    </row>
    <row r="309" spans="1:85" ht="11.25" hidden="1" customHeight="1" outlineLevel="1">
      <c r="A309" s="36"/>
      <c r="B309" s="36"/>
      <c r="C309" s="36"/>
      <c r="D309" s="36"/>
      <c r="E309" s="36"/>
      <c r="F309" s="36"/>
      <c r="G309" s="36"/>
      <c r="I309" s="773" t="s">
        <v>350</v>
      </c>
      <c r="J309" s="192"/>
      <c r="K309" s="331"/>
      <c r="L309" s="331"/>
      <c r="M309" s="67"/>
      <c r="N309" s="67"/>
      <c r="O309" s="67"/>
      <c r="P309" s="67"/>
      <c r="Q309" s="67"/>
      <c r="R309" s="67"/>
      <c r="S309" s="67"/>
      <c r="T309" s="67"/>
      <c r="U309" s="767"/>
      <c r="V309" s="186"/>
      <c r="W309" s="259">
        <f>W305/W$320</f>
        <v>0.87218990160166621</v>
      </c>
      <c r="X309" s="774"/>
      <c r="Y309" s="186"/>
      <c r="Z309" s="259"/>
      <c r="AA309" s="259">
        <f t="shared" ref="AA309:BD309" si="524">AA305/AA$320</f>
        <v>0.82</v>
      </c>
      <c r="AB309" s="259">
        <f t="shared" si="524"/>
        <v>0.79</v>
      </c>
      <c r="AC309" s="759">
        <f t="shared" si="524"/>
        <v>0.76</v>
      </c>
      <c r="AD309" s="259">
        <f t="shared" si="524"/>
        <v>0.77497259746953051</v>
      </c>
      <c r="AE309" s="259">
        <f t="shared" si="524"/>
        <v>0.78481975067781784</v>
      </c>
      <c r="AF309" s="259">
        <f t="shared" si="524"/>
        <v>0.77103859846078848</v>
      </c>
      <c r="AG309" s="759">
        <f t="shared" si="524"/>
        <v>0.78140047449917871</v>
      </c>
      <c r="AH309" s="259">
        <f t="shared" si="524"/>
        <v>0.79183403989158385</v>
      </c>
      <c r="AI309" s="259">
        <f t="shared" si="524"/>
        <v>0.79353186774581463</v>
      </c>
      <c r="AJ309" s="760">
        <f t="shared" si="524"/>
        <v>0.78687520912385112</v>
      </c>
      <c r="AK309" s="259">
        <f t="shared" si="524"/>
        <v>0.79530633494081537</v>
      </c>
      <c r="AL309" s="259">
        <f t="shared" si="524"/>
        <v>0.79783231628284978</v>
      </c>
      <c r="AM309" s="259">
        <f>AM305/AM$320</f>
        <v>0.78620276195721128</v>
      </c>
      <c r="AN309" s="760">
        <f>AN305/AN$320</f>
        <v>0.77878849285869756</v>
      </c>
      <c r="AO309" s="259">
        <f>AO305/AO$320</f>
        <v>1</v>
      </c>
      <c r="AP309" s="259">
        <f t="shared" si="524"/>
        <v>0.995</v>
      </c>
      <c r="AQ309" s="259">
        <f t="shared" si="524"/>
        <v>0.99</v>
      </c>
      <c r="AR309" s="760">
        <f>AR305/AR$320</f>
        <v>1</v>
      </c>
      <c r="AS309" s="759">
        <f t="shared" si="524"/>
        <v>0.995</v>
      </c>
      <c r="AT309" s="259">
        <f t="shared" si="524"/>
        <v>0.98999999999999988</v>
      </c>
      <c r="AU309" s="259">
        <f t="shared" si="524"/>
        <v>0.98499999999999988</v>
      </c>
      <c r="AV309" s="760">
        <f t="shared" si="524"/>
        <v>0.98036999999999996</v>
      </c>
      <c r="AW309" s="759">
        <f t="shared" si="524"/>
        <v>0.97536999999999996</v>
      </c>
      <c r="AX309" s="259">
        <f t="shared" si="524"/>
        <v>0.97037000000000007</v>
      </c>
      <c r="AY309" s="259">
        <f t="shared" si="524"/>
        <v>0.96536999999999995</v>
      </c>
      <c r="AZ309" s="760">
        <f t="shared" si="524"/>
        <v>0.96073999999999993</v>
      </c>
      <c r="BA309" s="759">
        <f t="shared" si="524"/>
        <v>0.95574000000000003</v>
      </c>
      <c r="BB309" s="259">
        <f t="shared" si="524"/>
        <v>0.95074000000000003</v>
      </c>
      <c r="BC309" s="259">
        <f t="shared" si="524"/>
        <v>0.94574000000000003</v>
      </c>
      <c r="BD309" s="760">
        <f t="shared" si="524"/>
        <v>0.94111</v>
      </c>
      <c r="BE309" s="261"/>
      <c r="BF309" s="767"/>
      <c r="BG309" s="186"/>
      <c r="BH309" s="186"/>
      <c r="BI309" s="186"/>
      <c r="BJ309" s="186"/>
      <c r="BK309" s="186"/>
      <c r="BL309" s="186"/>
      <c r="BM309" s="259"/>
      <c r="BN309" s="759">
        <f t="shared" ref="BN309:BY309" si="525">BN305/BN$320</f>
        <v>0.77780883938726975</v>
      </c>
      <c r="BO309" s="259">
        <f t="shared" si="525"/>
        <v>0.80667879288373778</v>
      </c>
      <c r="BP309" s="259">
        <f t="shared" si="525"/>
        <v>0.83782526137242097</v>
      </c>
      <c r="BQ309" s="259">
        <f t="shared" si="525"/>
        <v>1.071459868836411</v>
      </c>
      <c r="BR309" s="259">
        <f t="shared" si="525"/>
        <v>1.0687996887323534</v>
      </c>
      <c r="BS309" s="259">
        <f t="shared" si="525"/>
        <v>1.0339081820299607</v>
      </c>
      <c r="BT309" s="259">
        <f t="shared" si="525"/>
        <v>1.011450654521864</v>
      </c>
      <c r="BU309" s="259">
        <f t="shared" si="525"/>
        <v>0.92508656876376871</v>
      </c>
      <c r="BV309" s="259">
        <f t="shared" si="525"/>
        <v>0.9050865687637687</v>
      </c>
      <c r="BW309" s="259">
        <f t="shared" si="525"/>
        <v>0.88508656876376868</v>
      </c>
      <c r="BX309" s="259">
        <f t="shared" si="525"/>
        <v>0.86508656876376888</v>
      </c>
      <c r="BY309" s="760">
        <f t="shared" si="525"/>
        <v>0.84508656876376875</v>
      </c>
      <c r="BZ309" s="261"/>
      <c r="CA309" s="36"/>
      <c r="CB309" s="36"/>
      <c r="CC309" s="36"/>
      <c r="CD309" s="36"/>
      <c r="CE309" s="36"/>
      <c r="CF309" s="36"/>
      <c r="CG309" s="36"/>
    </row>
    <row r="310" spans="1:85" ht="11.25" hidden="1" customHeight="1" outlineLevel="1">
      <c r="A310" s="36"/>
      <c r="B310" s="36"/>
      <c r="C310" s="36"/>
      <c r="D310" s="36"/>
      <c r="E310" s="36"/>
      <c r="F310" s="36"/>
      <c r="G310" s="36"/>
      <c r="I310" s="770"/>
      <c r="J310" s="193"/>
      <c r="K310" s="67"/>
      <c r="L310" s="67"/>
      <c r="M310" s="67"/>
      <c r="N310" s="67"/>
      <c r="O310" s="67"/>
      <c r="P310" s="67"/>
      <c r="Q310" s="67"/>
      <c r="R310" s="67"/>
      <c r="S310" s="67"/>
      <c r="T310" s="67"/>
      <c r="U310" s="755"/>
      <c r="V310" s="332"/>
      <c r="W310" s="332"/>
      <c r="X310" s="756"/>
      <c r="Y310" s="332"/>
      <c r="Z310" s="332"/>
      <c r="AA310" s="332"/>
      <c r="AB310" s="332"/>
      <c r="AC310" s="755"/>
      <c r="AD310" s="332"/>
      <c r="AE310" s="332"/>
      <c r="AF310" s="332"/>
      <c r="AG310" s="755"/>
      <c r="AH310" s="332"/>
      <c r="AI310" s="332"/>
      <c r="AJ310" s="756"/>
      <c r="AK310" s="332"/>
      <c r="AL310" s="332"/>
      <c r="AM310" s="332"/>
      <c r="AN310" s="756"/>
      <c r="AO310" s="332"/>
      <c r="AP310" s="332"/>
      <c r="AQ310" s="332"/>
      <c r="AR310" s="756"/>
      <c r="AS310" s="755"/>
      <c r="AT310" s="332"/>
      <c r="AU310" s="332"/>
      <c r="AV310" s="756"/>
      <c r="AW310" s="755"/>
      <c r="AX310" s="332"/>
      <c r="AY310" s="332"/>
      <c r="AZ310" s="756"/>
      <c r="BA310" s="755"/>
      <c r="BB310" s="332"/>
      <c r="BC310" s="332"/>
      <c r="BD310" s="756"/>
      <c r="BE310" s="276"/>
      <c r="BF310" s="755"/>
      <c r="BG310" s="332"/>
      <c r="BH310" s="332"/>
      <c r="BI310" s="332"/>
      <c r="BJ310" s="332"/>
      <c r="BK310" s="332"/>
      <c r="BL310" s="332"/>
      <c r="BM310" s="332"/>
      <c r="BN310" s="755"/>
      <c r="BO310" s="332"/>
      <c r="BP310" s="332"/>
      <c r="BQ310" s="332"/>
      <c r="BR310" s="332"/>
      <c r="BS310" s="332"/>
      <c r="BT310" s="332"/>
      <c r="BU310" s="332"/>
      <c r="BV310" s="332"/>
      <c r="BW310" s="332"/>
      <c r="BX310" s="332"/>
      <c r="BY310" s="756"/>
      <c r="BZ310" s="276"/>
      <c r="CA310" s="36"/>
      <c r="CB310" s="36"/>
      <c r="CC310" s="36"/>
      <c r="CD310" s="36"/>
      <c r="CE310" s="36"/>
      <c r="CF310" s="36"/>
      <c r="CG310" s="36"/>
    </row>
    <row r="311" spans="1:85" ht="11.25" hidden="1" customHeight="1" outlineLevel="1">
      <c r="A311" s="36"/>
      <c r="B311" s="36"/>
      <c r="C311" s="36"/>
      <c r="D311" s="36"/>
      <c r="E311" s="36"/>
      <c r="F311" s="36"/>
      <c r="G311" s="36"/>
      <c r="I311" s="770"/>
      <c r="J311" s="193"/>
      <c r="K311" s="67"/>
      <c r="L311" s="67"/>
      <c r="M311" s="67"/>
      <c r="N311" s="67"/>
      <c r="O311" s="67"/>
      <c r="P311" s="67"/>
      <c r="Q311" s="67"/>
      <c r="R311" s="67"/>
      <c r="S311" s="67"/>
      <c r="T311" s="67"/>
      <c r="U311" s="755"/>
      <c r="V311" s="332"/>
      <c r="W311" s="332"/>
      <c r="X311" s="756"/>
      <c r="Y311" s="332"/>
      <c r="Z311" s="332"/>
      <c r="AA311" s="332"/>
      <c r="AB311" s="332"/>
      <c r="AC311" s="755"/>
      <c r="AD311" s="332"/>
      <c r="AE311" s="332"/>
      <c r="AF311" s="332"/>
      <c r="AG311" s="755"/>
      <c r="AH311" s="332"/>
      <c r="AI311" s="332"/>
      <c r="AJ311" s="756"/>
      <c r="AK311" s="332"/>
      <c r="AL311" s="332"/>
      <c r="AM311" s="332"/>
      <c r="AN311" s="756"/>
      <c r="AO311" s="332"/>
      <c r="AP311" s="332"/>
      <c r="AQ311" s="332"/>
      <c r="AR311" s="756"/>
      <c r="AS311" s="755"/>
      <c r="AT311" s="332"/>
      <c r="AU311" s="332"/>
      <c r="AV311" s="756"/>
      <c r="AW311" s="755"/>
      <c r="AX311" s="332"/>
      <c r="AY311" s="332"/>
      <c r="AZ311" s="756"/>
      <c r="BA311" s="755"/>
      <c r="BB311" s="332"/>
      <c r="BC311" s="332"/>
      <c r="BD311" s="756"/>
      <c r="BE311" s="276"/>
      <c r="BF311" s="755"/>
      <c r="BG311" s="332"/>
      <c r="BH311" s="332"/>
      <c r="BI311" s="332"/>
      <c r="BJ311" s="332"/>
      <c r="BK311" s="332"/>
      <c r="BL311" s="332"/>
      <c r="BM311" s="332"/>
      <c r="BN311" s="755"/>
      <c r="BO311" s="332"/>
      <c r="BP311" s="332"/>
      <c r="BQ311" s="332"/>
      <c r="BR311" s="332"/>
      <c r="BS311" s="332"/>
      <c r="BT311" s="332"/>
      <c r="BU311" s="332"/>
      <c r="BV311" s="332"/>
      <c r="BW311" s="332"/>
      <c r="BX311" s="332"/>
      <c r="BY311" s="756"/>
      <c r="BZ311" s="276"/>
      <c r="CA311" s="36"/>
      <c r="CB311" s="36"/>
      <c r="CC311" s="36"/>
      <c r="CD311" s="36"/>
      <c r="CE311" s="36"/>
      <c r="CF311" s="36"/>
      <c r="CG311" s="36"/>
    </row>
    <row r="312" spans="1:85" ht="11.25" hidden="1" customHeight="1" outlineLevel="1">
      <c r="A312" s="36"/>
      <c r="B312" s="36"/>
      <c r="C312" s="36"/>
      <c r="D312" s="36"/>
      <c r="E312" s="36"/>
      <c r="F312" s="36"/>
      <c r="G312" s="36"/>
      <c r="I312" s="622" t="s">
        <v>348</v>
      </c>
      <c r="J312" s="193"/>
      <c r="K312" s="67"/>
      <c r="L312" s="67"/>
      <c r="M312" s="67"/>
      <c r="N312" s="67"/>
      <c r="O312" s="67"/>
      <c r="P312" s="67"/>
      <c r="Q312" s="67"/>
      <c r="R312" s="67"/>
      <c r="S312" s="67"/>
      <c r="T312" s="67"/>
      <c r="U312" s="627"/>
      <c r="V312" s="76"/>
      <c r="W312" s="76">
        <f>AA312/(1+98%)</f>
        <v>10.677000000000001</v>
      </c>
      <c r="X312" s="614"/>
      <c r="Y312" s="76"/>
      <c r="Z312" s="76"/>
      <c r="AA312" s="76">
        <f>AA320*AA316</f>
        <v>21.140460000000001</v>
      </c>
      <c r="AB312" s="76">
        <f>AB320*AB316</f>
        <v>25.201049999999999</v>
      </c>
      <c r="AC312" s="627">
        <f>AC320*AC316</f>
        <v>31.790400000000002</v>
      </c>
      <c r="AD312" s="76">
        <v>31</v>
      </c>
      <c r="AE312" s="76">
        <v>30</v>
      </c>
      <c r="AF312" s="74">
        <v>31</v>
      </c>
      <c r="AG312" s="1745">
        <v>31.143000000000001</v>
      </c>
      <c r="AH312" s="1730">
        <v>29.952999999999999</v>
      </c>
      <c r="AI312" s="1730">
        <v>30.561</v>
      </c>
      <c r="AJ312" s="2470">
        <v>29.937000000000001</v>
      </c>
      <c r="AK312" s="2471">
        <v>29.882000000000001</v>
      </c>
      <c r="AL312" s="2471">
        <v>28.856000000000002</v>
      </c>
      <c r="AM312" s="2471">
        <v>30.669</v>
      </c>
      <c r="AN312" s="2470">
        <v>29.474</v>
      </c>
      <c r="AO312" s="2471">
        <v>0</v>
      </c>
      <c r="AP312" s="1171">
        <f t="shared" ref="AP312:BD312" si="526">AP320*AP316</f>
        <v>0.78549499999999994</v>
      </c>
      <c r="AQ312" s="1171">
        <f t="shared" si="526"/>
        <v>1.571</v>
      </c>
      <c r="AR312" s="2470">
        <v>0</v>
      </c>
      <c r="AS312" s="1173">
        <f t="shared" si="526"/>
        <v>0.72937375000000004</v>
      </c>
      <c r="AT312" s="1171">
        <f t="shared" si="526"/>
        <v>1.4498339999999998</v>
      </c>
      <c r="AU312" s="1171">
        <f t="shared" si="526"/>
        <v>2.1424214999999998</v>
      </c>
      <c r="AV312" s="1172">
        <f t="shared" si="526"/>
        <v>2.5580775610000002</v>
      </c>
      <c r="AW312" s="1173">
        <f t="shared" si="526"/>
        <v>3.3249782651249995</v>
      </c>
      <c r="AX312" s="1171">
        <f t="shared" si="526"/>
        <v>3.9915888571999996</v>
      </c>
      <c r="AY312" s="1171">
        <f t="shared" si="526"/>
        <v>4.6181679740499995</v>
      </c>
      <c r="AZ312" s="1172">
        <f t="shared" si="526"/>
        <v>4.8366767267000004</v>
      </c>
      <c r="BA312" s="1173">
        <f t="shared" si="526"/>
        <v>5.6138753018375001</v>
      </c>
      <c r="BB312" s="1171">
        <f t="shared" si="526"/>
        <v>6.2177609402399989</v>
      </c>
      <c r="BC312" s="1171">
        <f t="shared" si="526"/>
        <v>6.7659436326349987</v>
      </c>
      <c r="BD312" s="1172">
        <f t="shared" si="526"/>
        <v>6.8125535110424993</v>
      </c>
      <c r="BE312" s="74"/>
      <c r="BF312" s="627"/>
      <c r="BG312" s="76"/>
      <c r="BH312" s="76"/>
      <c r="BI312" s="76"/>
      <c r="BJ312" s="76"/>
      <c r="BK312" s="76"/>
      <c r="BL312" s="76"/>
      <c r="BM312" s="76">
        <f>AVERAGE(Y312:AB312)</f>
        <v>23.170755</v>
      </c>
      <c r="BN312" s="627">
        <f>AVERAGE(AC312:AF312)</f>
        <v>30.947600000000001</v>
      </c>
      <c r="BO312" s="76">
        <f>AVERAGE(AG312:AJ312)</f>
        <v>30.398500000000002</v>
      </c>
      <c r="BP312" s="428">
        <f>AVERAGE(AK312:AN312)</f>
        <v>29.72025</v>
      </c>
      <c r="BQ312" s="428">
        <f>AVERAGE(AO312:AR312)</f>
        <v>0.58912374999999995</v>
      </c>
      <c r="BR312" s="428">
        <f>AVERAGE(AS312:AV312)</f>
        <v>1.7199267027499998</v>
      </c>
      <c r="BS312" s="428">
        <f>AVERAGE(AW312:AZ312)</f>
        <v>4.1928529557687497</v>
      </c>
      <c r="BT312" s="428">
        <f>AVERAGE(BA312:BD312)</f>
        <v>6.352533346438749</v>
      </c>
      <c r="BU312" s="322">
        <f>BU320*BU316</f>
        <v>8.0491235995453501</v>
      </c>
      <c r="BV312" s="322">
        <f>BV320*BV316</f>
        <v>9.2547569891198069</v>
      </c>
      <c r="BW312" s="322">
        <f>BW320*BW316</f>
        <v>9.984582256001131</v>
      </c>
      <c r="BX312" s="322">
        <f>BX320*BX316</f>
        <v>10.200173515038321</v>
      </c>
      <c r="BY312" s="734">
        <f>BY320*BY316</f>
        <v>9.8642735721813324</v>
      </c>
      <c r="BZ312" s="274"/>
      <c r="CA312" s="36"/>
      <c r="CB312" s="36"/>
      <c r="CC312" s="36"/>
      <c r="CD312" s="36"/>
      <c r="CE312" s="36"/>
      <c r="CF312" s="36"/>
      <c r="CG312" s="36"/>
    </row>
    <row r="313" spans="1:85" ht="11.25" hidden="1" customHeight="1" outlineLevel="1">
      <c r="A313" s="36"/>
      <c r="B313" s="36"/>
      <c r="C313" s="36"/>
      <c r="D313" s="36"/>
      <c r="E313" s="36"/>
      <c r="F313" s="36"/>
      <c r="G313" s="36"/>
      <c r="I313" s="796" t="s">
        <v>1</v>
      </c>
      <c r="J313" s="342"/>
      <c r="K313" s="336"/>
      <c r="L313" s="336"/>
      <c r="M313" s="336"/>
      <c r="N313" s="336"/>
      <c r="O313" s="336"/>
      <c r="P313" s="336"/>
      <c r="Q313" s="336"/>
      <c r="R313" s="336"/>
      <c r="S313" s="336"/>
      <c r="T313" s="336"/>
      <c r="U313" s="626"/>
      <c r="V313" s="336"/>
      <c r="W313" s="336">
        <f>W312-V312</f>
        <v>10.677000000000001</v>
      </c>
      <c r="X313" s="613"/>
      <c r="Y313" s="336"/>
      <c r="Z313" s="336"/>
      <c r="AA313" s="336">
        <f t="shared" ref="AA313:AF313" si="527">AA312-Z312</f>
        <v>21.140460000000001</v>
      </c>
      <c r="AB313" s="336">
        <f t="shared" si="527"/>
        <v>4.0605899999999977</v>
      </c>
      <c r="AC313" s="626">
        <f t="shared" si="527"/>
        <v>6.5893500000000031</v>
      </c>
      <c r="AD313" s="336">
        <f t="shared" si="527"/>
        <v>-0.79040000000000177</v>
      </c>
      <c r="AE313" s="336">
        <f t="shared" si="527"/>
        <v>-1</v>
      </c>
      <c r="AF313" s="336">
        <f t="shared" si="527"/>
        <v>1</v>
      </c>
      <c r="AG313" s="626">
        <f t="shared" ref="AG313:AO313" si="528">AG312-AF312</f>
        <v>0.14300000000000068</v>
      </c>
      <c r="AH313" s="336">
        <f t="shared" si="528"/>
        <v>-1.1900000000000013</v>
      </c>
      <c r="AI313" s="336">
        <f t="shared" si="528"/>
        <v>0.60800000000000054</v>
      </c>
      <c r="AJ313" s="613">
        <f>AJ312-AI312</f>
        <v>-0.62399999999999878</v>
      </c>
      <c r="AK313" s="336">
        <f t="shared" si="528"/>
        <v>-5.4999999999999716E-2</v>
      </c>
      <c r="AL313" s="336">
        <f t="shared" si="528"/>
        <v>-1.0259999999999998</v>
      </c>
      <c r="AM313" s="336">
        <f t="shared" si="528"/>
        <v>1.8129999999999988</v>
      </c>
      <c r="AN313" s="613">
        <f t="shared" si="528"/>
        <v>-1.1950000000000003</v>
      </c>
      <c r="AO313" s="336">
        <f t="shared" si="528"/>
        <v>-29.474</v>
      </c>
      <c r="AP313" s="336">
        <f t="shared" ref="AP313:AV313" si="529">AP312-AO312</f>
        <v>0.78549499999999994</v>
      </c>
      <c r="AQ313" s="336">
        <f t="shared" si="529"/>
        <v>0.78550500000000001</v>
      </c>
      <c r="AR313" s="613">
        <f t="shared" si="529"/>
        <v>-1.571</v>
      </c>
      <c r="AS313" s="626">
        <f t="shared" si="529"/>
        <v>0.72937375000000004</v>
      </c>
      <c r="AT313" s="336">
        <f t="shared" si="529"/>
        <v>0.7204602499999998</v>
      </c>
      <c r="AU313" s="336">
        <f t="shared" si="529"/>
        <v>0.69258749999999991</v>
      </c>
      <c r="AV313" s="613">
        <f t="shared" si="529"/>
        <v>0.41565606100000041</v>
      </c>
      <c r="AW313" s="626">
        <f t="shared" ref="AW313:BD313" si="530">AW312-AV312</f>
        <v>0.76690070412499933</v>
      </c>
      <c r="AX313" s="336">
        <f t="shared" si="530"/>
        <v>0.66661059207500006</v>
      </c>
      <c r="AY313" s="336">
        <f t="shared" si="530"/>
        <v>0.6265791168499999</v>
      </c>
      <c r="AZ313" s="613">
        <f t="shared" si="530"/>
        <v>0.21850875265000091</v>
      </c>
      <c r="BA313" s="626">
        <f t="shared" si="530"/>
        <v>0.77719857513749968</v>
      </c>
      <c r="BB313" s="336">
        <f t="shared" si="530"/>
        <v>0.60388563840249887</v>
      </c>
      <c r="BC313" s="336">
        <f t="shared" si="530"/>
        <v>0.54818269239499973</v>
      </c>
      <c r="BD313" s="613">
        <f t="shared" si="530"/>
        <v>4.6609878407500638E-2</v>
      </c>
      <c r="BE313" s="110"/>
      <c r="BF313" s="626"/>
      <c r="BG313" s="336"/>
      <c r="BH313" s="336"/>
      <c r="BI313" s="336"/>
      <c r="BJ313" s="336"/>
      <c r="BK313" s="336"/>
      <c r="BL313" s="336"/>
      <c r="BM313" s="336"/>
      <c r="BN313" s="626">
        <f t="shared" ref="BN313:BY313" si="531">BN312-BM312</f>
        <v>7.7768450000000016</v>
      </c>
      <c r="BO313" s="336">
        <f t="shared" si="531"/>
        <v>-0.54909999999999926</v>
      </c>
      <c r="BP313" s="336">
        <f t="shared" si="531"/>
        <v>-0.67825000000000202</v>
      </c>
      <c r="BQ313" s="336">
        <f t="shared" si="531"/>
        <v>-29.131126250000001</v>
      </c>
      <c r="BR313" s="336">
        <f t="shared" si="531"/>
        <v>1.1308029527499999</v>
      </c>
      <c r="BS313" s="336">
        <f t="shared" si="531"/>
        <v>2.4729262530187501</v>
      </c>
      <c r="BT313" s="336">
        <f t="shared" si="531"/>
        <v>2.1596803906699993</v>
      </c>
      <c r="BU313" s="336">
        <f t="shared" si="531"/>
        <v>1.6965902531066011</v>
      </c>
      <c r="BV313" s="336">
        <f t="shared" si="531"/>
        <v>1.2056333895744569</v>
      </c>
      <c r="BW313" s="336">
        <f t="shared" si="531"/>
        <v>0.7298252668813241</v>
      </c>
      <c r="BX313" s="336">
        <f t="shared" si="531"/>
        <v>0.21559125903718979</v>
      </c>
      <c r="BY313" s="613">
        <f t="shared" si="531"/>
        <v>-0.33589994285698843</v>
      </c>
      <c r="BZ313" s="110"/>
      <c r="CA313" s="36"/>
      <c r="CB313" s="36"/>
      <c r="CC313" s="36"/>
      <c r="CD313" s="36"/>
      <c r="CE313" s="36"/>
      <c r="CF313" s="36"/>
      <c r="CG313" s="36"/>
    </row>
    <row r="314" spans="1:85" ht="11.25" hidden="1" customHeight="1" outlineLevel="1">
      <c r="A314" s="36"/>
      <c r="B314" s="36"/>
      <c r="C314" s="36"/>
      <c r="D314" s="36"/>
      <c r="E314" s="36"/>
      <c r="F314" s="36"/>
      <c r="G314" s="36"/>
      <c r="I314" s="770" t="s">
        <v>132</v>
      </c>
      <c r="J314" s="193"/>
      <c r="K314" s="67"/>
      <c r="L314" s="67"/>
      <c r="M314" s="67"/>
      <c r="N314" s="67"/>
      <c r="O314" s="67"/>
      <c r="P314" s="67"/>
      <c r="Q314" s="67"/>
      <c r="R314" s="67"/>
      <c r="S314" s="67"/>
      <c r="T314" s="67"/>
      <c r="U314" s="751"/>
      <c r="V314" s="198"/>
      <c r="W314" s="198" t="str">
        <f>IF(ISERROR(W312/S312-1),"NA",(IF(W312&lt;=0,"NM",W312/S312-1)))</f>
        <v>NA</v>
      </c>
      <c r="X314" s="752"/>
      <c r="Y314" s="198"/>
      <c r="Z314" s="198"/>
      <c r="AA314" s="198">
        <f t="shared" ref="AA314:AF314" si="532">IF(ISERROR(AA312/W312-1),"NA",(IF(AA312&lt;=0,"NM",AA312/W312-1)))</f>
        <v>0.97999999999999976</v>
      </c>
      <c r="AB314" s="198" t="str">
        <f t="shared" si="532"/>
        <v>NA</v>
      </c>
      <c r="AC314" s="751" t="str">
        <f t="shared" si="532"/>
        <v>NA</v>
      </c>
      <c r="AD314" s="198" t="str">
        <f t="shared" si="532"/>
        <v>NA</v>
      </c>
      <c r="AE314" s="198">
        <f t="shared" si="532"/>
        <v>0.41907981188678001</v>
      </c>
      <c r="AF314" s="198">
        <f t="shared" si="532"/>
        <v>0.23010747568057677</v>
      </c>
      <c r="AG314" s="751">
        <f t="shared" ref="AG314:AO314" si="533">IF(ISERROR(AG312/AC312-1),"NA",(IF(AG312&lt;=0,"NM",AG312/AC312-1)))</f>
        <v>-2.0364638381398237E-2</v>
      </c>
      <c r="AH314" s="198">
        <f t="shared" si="533"/>
        <v>-3.3774193548387066E-2</v>
      </c>
      <c r="AI314" s="198">
        <f t="shared" si="533"/>
        <v>1.8699999999999939E-2</v>
      </c>
      <c r="AJ314" s="752">
        <f t="shared" si="533"/>
        <v>-3.4290322580645127E-2</v>
      </c>
      <c r="AK314" s="198">
        <f t="shared" si="533"/>
        <v>-4.0490639951192842E-2</v>
      </c>
      <c r="AL314" s="198">
        <f t="shared" si="533"/>
        <v>-3.6624044336126538E-2</v>
      </c>
      <c r="AM314" s="198">
        <f t="shared" si="533"/>
        <v>3.5339157750073902E-3</v>
      </c>
      <c r="AN314" s="752">
        <f t="shared" si="533"/>
        <v>-1.5465811537562213E-2</v>
      </c>
      <c r="AO314" s="198" t="str">
        <f t="shared" si="533"/>
        <v>NM</v>
      </c>
      <c r="AP314" s="198">
        <f t="shared" ref="AP314:AV314" si="534">IF(ISERROR(AP312/AL312-1),"NA",(IF(AP312&lt;=0,"NM",AP312/AL312-1)))</f>
        <v>-0.97277879817022461</v>
      </c>
      <c r="AQ314" s="198">
        <f t="shared" si="534"/>
        <v>-0.9487756366363429</v>
      </c>
      <c r="AR314" s="752" t="str">
        <f t="shared" si="534"/>
        <v>NM</v>
      </c>
      <c r="AS314" s="751" t="str">
        <f t="shared" si="534"/>
        <v>NA</v>
      </c>
      <c r="AT314" s="198">
        <f t="shared" si="534"/>
        <v>0.84575840711907779</v>
      </c>
      <c r="AU314" s="198">
        <f t="shared" si="534"/>
        <v>0.36373106301718638</v>
      </c>
      <c r="AV314" s="752" t="str">
        <f t="shared" si="534"/>
        <v>NA</v>
      </c>
      <c r="AW314" s="751">
        <f t="shared" ref="AW314:BD314" si="535">IF(ISERROR(AW312/AS312-1),"NA",(IF(AW312&lt;=0,"NM",AW312/AS312-1)))</f>
        <v>3.558675528321384</v>
      </c>
      <c r="AX314" s="198">
        <f t="shared" si="535"/>
        <v>1.7531350880169732</v>
      </c>
      <c r="AY314" s="198">
        <f t="shared" si="535"/>
        <v>1.1555832846384337</v>
      </c>
      <c r="AZ314" s="752">
        <f t="shared" si="535"/>
        <v>0.89074670777740339</v>
      </c>
      <c r="BA314" s="751">
        <f t="shared" si="535"/>
        <v>0.68839458613015969</v>
      </c>
      <c r="BB314" s="198">
        <f t="shared" si="535"/>
        <v>0.55771577752163681</v>
      </c>
      <c r="BC314" s="198">
        <f t="shared" si="535"/>
        <v>0.46507092653484894</v>
      </c>
      <c r="BD314" s="752">
        <f t="shared" si="535"/>
        <v>0.40851950543542181</v>
      </c>
      <c r="BE314" s="264"/>
      <c r="BF314" s="751"/>
      <c r="BG314" s="198"/>
      <c r="BH314" s="198"/>
      <c r="BI314" s="198"/>
      <c r="BJ314" s="198"/>
      <c r="BK314" s="198"/>
      <c r="BL314" s="198"/>
      <c r="BM314" s="198"/>
      <c r="BN314" s="751">
        <f t="shared" ref="BN314:BY314" si="536">IF(ISERROR(BN312/BM312-1),"NA",(IF(BN312&lt;=0,"NM",BN312/BM312-1)))</f>
        <v>0.33563192049633273</v>
      </c>
      <c r="BO314" s="198">
        <f t="shared" si="536"/>
        <v>-1.7742894440925916E-2</v>
      </c>
      <c r="BP314" s="198">
        <f t="shared" si="536"/>
        <v>-2.2311956182048509E-2</v>
      </c>
      <c r="BQ314" s="198">
        <f t="shared" si="536"/>
        <v>-0.98017769870711047</v>
      </c>
      <c r="BR314" s="198">
        <f t="shared" si="536"/>
        <v>1.9194659063566863</v>
      </c>
      <c r="BS314" s="198">
        <f t="shared" si="536"/>
        <v>1.4378090932972754</v>
      </c>
      <c r="BT314" s="198">
        <f t="shared" si="536"/>
        <v>0.51508612714371393</v>
      </c>
      <c r="BU314" s="198">
        <f t="shared" si="536"/>
        <v>0.26707301805156436</v>
      </c>
      <c r="BV314" s="198">
        <f t="shared" si="536"/>
        <v>0.14978442990272334</v>
      </c>
      <c r="BW314" s="198">
        <f t="shared" si="536"/>
        <v>7.8859473861856211E-2</v>
      </c>
      <c r="BX314" s="198">
        <f t="shared" si="536"/>
        <v>2.1592416538770198E-2</v>
      </c>
      <c r="BY314" s="752">
        <f t="shared" si="536"/>
        <v>-3.2930806751646391E-2</v>
      </c>
      <c r="BZ314" s="264"/>
      <c r="CA314" s="36"/>
      <c r="CB314" s="36"/>
      <c r="CC314" s="36"/>
      <c r="CD314" s="36"/>
      <c r="CE314" s="36"/>
      <c r="CF314" s="36"/>
      <c r="CG314" s="36"/>
    </row>
    <row r="315" spans="1:85" ht="11.25" hidden="1" customHeight="1" outlineLevel="1">
      <c r="A315" s="36"/>
      <c r="B315" s="36"/>
      <c r="C315" s="36"/>
      <c r="D315" s="36"/>
      <c r="E315" s="36"/>
      <c r="F315" s="36"/>
      <c r="G315" s="36"/>
      <c r="I315" s="770" t="s">
        <v>146</v>
      </c>
      <c r="J315" s="193"/>
      <c r="K315" s="67"/>
      <c r="L315" s="67"/>
      <c r="M315" s="67"/>
      <c r="N315" s="67"/>
      <c r="O315" s="67"/>
      <c r="P315" s="67"/>
      <c r="Q315" s="67"/>
      <c r="R315" s="67"/>
      <c r="S315" s="67"/>
      <c r="T315" s="67"/>
      <c r="U315" s="751"/>
      <c r="V315" s="198"/>
      <c r="W315" s="198" t="str">
        <f>IF(ISERROR(W312/V312-1),"NA",(IF(W312&lt;=0,"NM",W312/V312-1)))</f>
        <v>NA</v>
      </c>
      <c r="X315" s="752"/>
      <c r="Y315" s="198"/>
      <c r="Z315" s="198"/>
      <c r="AA315" s="198" t="str">
        <f t="shared" ref="AA315:AF315" si="537">IF(ISERROR(AA312/Z312-1),"NA",(IF(AA312&lt;=0,"NM",AA312/Z312-1)))</f>
        <v>NA</v>
      </c>
      <c r="AB315" s="198">
        <f t="shared" si="537"/>
        <v>0.19207670977831115</v>
      </c>
      <c r="AC315" s="751">
        <f t="shared" si="537"/>
        <v>0.26147124822180046</v>
      </c>
      <c r="AD315" s="198">
        <f t="shared" si="537"/>
        <v>-2.4862851678494224E-2</v>
      </c>
      <c r="AE315" s="198">
        <f t="shared" si="537"/>
        <v>-3.2258064516129004E-2</v>
      </c>
      <c r="AF315" s="198">
        <f t="shared" si="537"/>
        <v>3.3333333333333437E-2</v>
      </c>
      <c r="AG315" s="751">
        <f t="shared" ref="AG315:AO315" si="538">IF(ISERROR(AG312/AF312-1),"NA",(IF(AG312&lt;=0,"NM",AG312/AF312-1)))</f>
        <v>4.6129032258064306E-3</v>
      </c>
      <c r="AH315" s="198">
        <f t="shared" si="538"/>
        <v>-3.8210833895257368E-2</v>
      </c>
      <c r="AI315" s="198">
        <f t="shared" si="538"/>
        <v>2.0298467599238812E-2</v>
      </c>
      <c r="AJ315" s="752">
        <f t="shared" si="538"/>
        <v>-2.041818003337581E-2</v>
      </c>
      <c r="AK315" s="198">
        <f t="shared" si="538"/>
        <v>-1.8371914353475516E-3</v>
      </c>
      <c r="AL315" s="198">
        <f t="shared" si="538"/>
        <v>-3.4335051201392131E-2</v>
      </c>
      <c r="AM315" s="198">
        <f t="shared" si="538"/>
        <v>6.2829220959245813E-2</v>
      </c>
      <c r="AN315" s="752">
        <f t="shared" si="538"/>
        <v>-3.8964426619713777E-2</v>
      </c>
      <c r="AO315" s="198" t="str">
        <f t="shared" si="538"/>
        <v>NM</v>
      </c>
      <c r="AP315" s="198" t="str">
        <f t="shared" ref="AP315:AV315" si="539">IF(ISERROR(AP312/AO312-1),"NA",(IF(AP312&lt;=0,"NM",AP312/AO312-1)))</f>
        <v>NA</v>
      </c>
      <c r="AQ315" s="198">
        <f t="shared" si="539"/>
        <v>1.0000127308257851</v>
      </c>
      <c r="AR315" s="752" t="str">
        <f t="shared" si="539"/>
        <v>NM</v>
      </c>
      <c r="AS315" s="751" t="str">
        <f t="shared" si="539"/>
        <v>NA</v>
      </c>
      <c r="AT315" s="198">
        <f t="shared" si="539"/>
        <v>0.98777924212380785</v>
      </c>
      <c r="AU315" s="198">
        <f t="shared" si="539"/>
        <v>0.47770124027992167</v>
      </c>
      <c r="AV315" s="752">
        <f t="shared" si="539"/>
        <v>0.19401227116139408</v>
      </c>
      <c r="AW315" s="751">
        <f t="shared" ref="AW315:BD315" si="540">IF(ISERROR(AW312/AV312-1),"NA",(IF(AW312&lt;=0,"NM",AW312/AV312-1)))</f>
        <v>0.29979571996448917</v>
      </c>
      <c r="AX315" s="198">
        <f t="shared" si="540"/>
        <v>0.20048569912980763</v>
      </c>
      <c r="AY315" s="198">
        <f t="shared" si="540"/>
        <v>0.1569748637111712</v>
      </c>
      <c r="AZ315" s="752">
        <f t="shared" si="540"/>
        <v>4.7315029223238714E-2</v>
      </c>
      <c r="BA315" s="751">
        <f t="shared" si="540"/>
        <v>0.16068855105554514</v>
      </c>
      <c r="BB315" s="198">
        <f t="shared" si="540"/>
        <v>0.1075701909881821</v>
      </c>
      <c r="BC315" s="198">
        <f t="shared" si="540"/>
        <v>8.8164002711535572E-2</v>
      </c>
      <c r="BD315" s="752">
        <f t="shared" si="540"/>
        <v>6.8888954650290213E-3</v>
      </c>
      <c r="BE315" s="264"/>
      <c r="BF315" s="751"/>
      <c r="BG315" s="198"/>
      <c r="BH315" s="198"/>
      <c r="BI315" s="198"/>
      <c r="BJ315" s="198"/>
      <c r="BK315" s="198"/>
      <c r="BL315" s="198"/>
      <c r="BM315" s="198"/>
      <c r="BN315" s="751"/>
      <c r="BO315" s="198"/>
      <c r="BP315" s="198"/>
      <c r="BQ315" s="198"/>
      <c r="BR315" s="198"/>
      <c r="BS315" s="198"/>
      <c r="BT315" s="198"/>
      <c r="BU315" s="198"/>
      <c r="BV315" s="198"/>
      <c r="BW315" s="198"/>
      <c r="BX315" s="198"/>
      <c r="BY315" s="752"/>
      <c r="BZ315" s="264"/>
      <c r="CA315" s="36"/>
      <c r="CB315" s="36"/>
      <c r="CC315" s="36"/>
      <c r="CD315" s="36"/>
      <c r="CE315" s="36"/>
      <c r="CF315" s="36"/>
      <c r="CG315" s="36"/>
    </row>
    <row r="316" spans="1:85" ht="11.25" hidden="1" customHeight="1" outlineLevel="1">
      <c r="A316" s="36"/>
      <c r="B316" s="36"/>
      <c r="C316" s="36"/>
      <c r="D316" s="36"/>
      <c r="E316" s="36"/>
      <c r="F316" s="36"/>
      <c r="G316" s="36"/>
      <c r="I316" s="773" t="s">
        <v>350</v>
      </c>
      <c r="J316" s="192"/>
      <c r="K316" s="331"/>
      <c r="L316" s="331"/>
      <c r="M316" s="67"/>
      <c r="N316" s="67"/>
      <c r="O316" s="67"/>
      <c r="P316" s="67"/>
      <c r="Q316" s="67"/>
      <c r="R316" s="67"/>
      <c r="S316" s="67"/>
      <c r="T316" s="67"/>
      <c r="U316" s="768"/>
      <c r="V316" s="247"/>
      <c r="W316" s="259">
        <f>W312/W$320</f>
        <v>0.12781009839833371</v>
      </c>
      <c r="X316" s="775"/>
      <c r="Y316" s="247"/>
      <c r="Z316" s="259"/>
      <c r="AA316" s="259">
        <v>0.18</v>
      </c>
      <c r="AB316" s="259">
        <v>0.21</v>
      </c>
      <c r="AC316" s="759">
        <v>0.24</v>
      </c>
      <c r="AD316" s="261">
        <f t="shared" ref="AD316:AL316" si="541">AD312/AD320</f>
        <v>0.22502740253046943</v>
      </c>
      <c r="AE316" s="261">
        <f t="shared" si="541"/>
        <v>0.21518024932218222</v>
      </c>
      <c r="AF316" s="261">
        <f t="shared" si="541"/>
        <v>0.22896140153921149</v>
      </c>
      <c r="AG316" s="1739">
        <f t="shared" si="541"/>
        <v>0.21859952550082123</v>
      </c>
      <c r="AH316" s="1738">
        <f t="shared" si="541"/>
        <v>0.20816596010841618</v>
      </c>
      <c r="AI316" s="1738">
        <f t="shared" si="541"/>
        <v>0.20646813225418531</v>
      </c>
      <c r="AJ316" s="2290">
        <f t="shared" si="541"/>
        <v>0.21312479087614888</v>
      </c>
      <c r="AK316" s="261">
        <f t="shared" si="541"/>
        <v>0.20469366505918457</v>
      </c>
      <c r="AL316" s="261">
        <f t="shared" si="541"/>
        <v>0.20216768371715022</v>
      </c>
      <c r="AM316" s="261">
        <f>AM312/AM320</f>
        <v>0.21379723804278872</v>
      </c>
      <c r="AN316" s="2290">
        <f>AN312/AN320</f>
        <v>0.22121150714130247</v>
      </c>
      <c r="AO316" s="261">
        <f>AO312/AO320</f>
        <v>0</v>
      </c>
      <c r="AP316" s="340">
        <f>MIN(AO316+0.5%,75%)</f>
        <v>5.0000000000000001E-3</v>
      </c>
      <c r="AQ316" s="340">
        <f>MIN(AP316+0.5%,75%)</f>
        <v>0.01</v>
      </c>
      <c r="AR316" s="2290">
        <f>AR312/AR320</f>
        <v>0</v>
      </c>
      <c r="AS316" s="1647">
        <f>MIN(AR316+0.5%,75%)</f>
        <v>5.0000000000000001E-3</v>
      </c>
      <c r="AT316" s="340">
        <f>MIN(AS316+0.5%,75%)</f>
        <v>0.01</v>
      </c>
      <c r="AU316" s="340">
        <f>MIN(AT316+0.5%,75%)</f>
        <v>1.4999999999999999E-2</v>
      </c>
      <c r="AV316" s="761">
        <f>MIN(AU316+0.463%,75%)</f>
        <v>1.9630000000000002E-2</v>
      </c>
      <c r="AW316" s="1647">
        <f>MIN(AV316+0.5%,75%)</f>
        <v>2.4630000000000003E-2</v>
      </c>
      <c r="AX316" s="340">
        <f>MIN(AW316+0.5%,75%)</f>
        <v>2.9630000000000004E-2</v>
      </c>
      <c r="AY316" s="340">
        <f>MIN(AX316+0.5%,75%)</f>
        <v>3.4630000000000001E-2</v>
      </c>
      <c r="AZ316" s="761">
        <f>MIN(AY316+0.463%,75%)</f>
        <v>3.9260000000000003E-2</v>
      </c>
      <c r="BA316" s="1647">
        <f>MIN(AZ316+0.5%,75%)</f>
        <v>4.4260000000000001E-2</v>
      </c>
      <c r="BB316" s="340">
        <f>MIN(BA316+0.5%,75%)</f>
        <v>4.9259999999999998E-2</v>
      </c>
      <c r="BC316" s="340">
        <f>MIN(BB316+0.5%,75%)</f>
        <v>5.4259999999999996E-2</v>
      </c>
      <c r="BD316" s="761">
        <f>MIN(BC316+0.463%,75%)</f>
        <v>5.8889999999999998E-2</v>
      </c>
      <c r="BE316" s="1000"/>
      <c r="BF316" s="768"/>
      <c r="BG316" s="247"/>
      <c r="BH316" s="247"/>
      <c r="BI316" s="247"/>
      <c r="BJ316" s="247"/>
      <c r="BK316" s="247"/>
      <c r="BL316" s="247"/>
      <c r="BM316" s="259"/>
      <c r="BN316" s="759">
        <f t="shared" ref="BN316:BT316" si="542">BN312/BN$320</f>
        <v>0.22857438291209359</v>
      </c>
      <c r="BO316" s="259">
        <f t="shared" si="542"/>
        <v>0.21641026006108199</v>
      </c>
      <c r="BP316" s="259">
        <f t="shared" si="542"/>
        <v>0.22305968973048432</v>
      </c>
      <c r="BQ316" s="259">
        <f t="shared" si="542"/>
        <v>4.1791014336485322E-3</v>
      </c>
      <c r="BR316" s="259">
        <f t="shared" si="542"/>
        <v>1.3198255475015481E-2</v>
      </c>
      <c r="BS316" s="259">
        <f t="shared" si="542"/>
        <v>3.4033989936679783E-2</v>
      </c>
      <c r="BT316" s="259">
        <f t="shared" si="542"/>
        <v>5.4913431236231228E-2</v>
      </c>
      <c r="BU316" s="340">
        <f>MIN(BT316+2%,75%)</f>
        <v>7.4913431236231232E-2</v>
      </c>
      <c r="BV316" s="340">
        <f>MIN(BU316+2%,75%)</f>
        <v>9.4913431236231235E-2</v>
      </c>
      <c r="BW316" s="340">
        <f>MIN(BV316+2%,75%)</f>
        <v>0.11491343123623124</v>
      </c>
      <c r="BX316" s="340">
        <f>MIN(BW316+2%,75%)</f>
        <v>0.13491343123623123</v>
      </c>
      <c r="BY316" s="761">
        <f>MIN(BX316+2%,75%)</f>
        <v>0.15491343123623122</v>
      </c>
      <c r="BZ316" s="260"/>
      <c r="CA316" s="36"/>
      <c r="CB316" s="36"/>
      <c r="CC316" s="36"/>
      <c r="CD316" s="36"/>
      <c r="CE316" s="36"/>
      <c r="CF316" s="36"/>
      <c r="CG316" s="36"/>
    </row>
    <row r="317" spans="1:85" ht="11.25" hidden="1" customHeight="1" outlineLevel="1">
      <c r="A317" s="36"/>
      <c r="B317" s="36"/>
      <c r="C317" s="36"/>
      <c r="D317" s="36"/>
      <c r="E317" s="36"/>
      <c r="F317" s="36"/>
      <c r="G317" s="36"/>
      <c r="I317" s="633"/>
      <c r="J317" s="54"/>
      <c r="K317" s="54"/>
      <c r="L317" s="54"/>
      <c r="M317" s="54"/>
      <c r="N317" s="54"/>
      <c r="O317" s="54"/>
      <c r="P317" s="54"/>
      <c r="Q317" s="54"/>
      <c r="R317" s="54"/>
      <c r="S317" s="54"/>
      <c r="T317" s="54"/>
      <c r="U317" s="633"/>
      <c r="V317" s="54"/>
      <c r="W317" s="54"/>
      <c r="X317" s="619"/>
      <c r="Y317" s="54"/>
      <c r="Z317" s="54"/>
      <c r="AA317" s="54"/>
      <c r="AB317" s="54"/>
      <c r="AC317" s="633"/>
      <c r="AD317" s="54"/>
      <c r="AE317" s="54"/>
      <c r="AF317" s="54"/>
      <c r="AG317" s="633"/>
      <c r="AH317" s="54"/>
      <c r="AI317" s="54"/>
      <c r="AJ317" s="619"/>
      <c r="AK317" s="54"/>
      <c r="AL317" s="54"/>
      <c r="AM317" s="54"/>
      <c r="AN317" s="619"/>
      <c r="AO317" s="54"/>
      <c r="AP317" s="54"/>
      <c r="AQ317" s="54"/>
      <c r="AR317" s="619"/>
      <c r="AS317" s="633"/>
      <c r="AT317" s="54"/>
      <c r="AU317" s="54"/>
      <c r="AV317" s="619"/>
      <c r="AW317" s="633"/>
      <c r="AX317" s="54"/>
      <c r="AY317" s="54"/>
      <c r="AZ317" s="619"/>
      <c r="BA317" s="633"/>
      <c r="BB317" s="54"/>
      <c r="BC317" s="54"/>
      <c r="BD317" s="619"/>
      <c r="BE317" s="83"/>
      <c r="BF317" s="633"/>
      <c r="BG317" s="54"/>
      <c r="BH317" s="54"/>
      <c r="BI317" s="54"/>
      <c r="BJ317" s="54"/>
      <c r="BK317" s="54"/>
      <c r="BL317" s="54"/>
      <c r="BM317" s="54"/>
      <c r="BN317" s="633"/>
      <c r="BO317" s="54"/>
      <c r="BP317" s="54"/>
      <c r="BQ317" s="54"/>
      <c r="BR317" s="54"/>
      <c r="BS317" s="54"/>
      <c r="BT317" s="54"/>
      <c r="BU317" s="54"/>
      <c r="BV317" s="54"/>
      <c r="BW317" s="54"/>
      <c r="BX317" s="54"/>
      <c r="BY317" s="619"/>
      <c r="CA317" s="36"/>
      <c r="CB317" s="36"/>
      <c r="CC317" s="36"/>
      <c r="CD317" s="36"/>
      <c r="CE317" s="36"/>
      <c r="CF317" s="36"/>
      <c r="CG317" s="36"/>
    </row>
    <row r="318" spans="1:85" s="106" customFormat="1" ht="11.25" customHeight="1" collapsed="1">
      <c r="A318" s="86"/>
      <c r="B318" s="86"/>
      <c r="C318" s="86"/>
      <c r="D318" s="86"/>
      <c r="E318" s="86"/>
      <c r="F318" s="86"/>
      <c r="G318" s="86"/>
      <c r="H318" s="328"/>
      <c r="I318" s="771" t="s">
        <v>349</v>
      </c>
      <c r="J318" s="339"/>
      <c r="K318" s="339"/>
      <c r="L318" s="339"/>
      <c r="M318" s="339"/>
      <c r="N318" s="339"/>
      <c r="O318" s="339"/>
      <c r="P318" s="339"/>
      <c r="Q318" s="339"/>
      <c r="R318" s="339"/>
      <c r="S318" s="339"/>
      <c r="T318" s="339"/>
      <c r="U318" s="757"/>
      <c r="V318" s="339"/>
      <c r="W318" s="339"/>
      <c r="X318" s="758"/>
      <c r="Y318" s="339"/>
      <c r="Z318" s="339"/>
      <c r="AA318" s="339"/>
      <c r="AB318" s="339"/>
      <c r="AC318" s="757"/>
      <c r="AD318" s="339"/>
      <c r="AE318" s="339"/>
      <c r="AF318" s="758"/>
      <c r="AG318" s="339"/>
      <c r="AH318" s="339"/>
      <c r="AI318" s="339"/>
      <c r="AJ318" s="758"/>
      <c r="AK318" s="339"/>
      <c r="AL318" s="339"/>
      <c r="AM318" s="339"/>
      <c r="AN318" s="758"/>
      <c r="AO318" s="339"/>
      <c r="AP318" s="339"/>
      <c r="AQ318" s="339"/>
      <c r="AR318" s="758"/>
      <c r="AS318" s="339"/>
      <c r="AT318" s="339"/>
      <c r="AU318" s="339"/>
      <c r="AV318" s="758"/>
      <c r="AW318" s="339"/>
      <c r="AX318" s="339"/>
      <c r="AY318" s="339"/>
      <c r="AZ318" s="758"/>
      <c r="BA318" s="339"/>
      <c r="BB318" s="339"/>
      <c r="BC318" s="339"/>
      <c r="BD318" s="758"/>
      <c r="BE318" s="277"/>
      <c r="BF318" s="757"/>
      <c r="BG318" s="339"/>
      <c r="BH318" s="339"/>
      <c r="BI318" s="339"/>
      <c r="BJ318" s="339"/>
      <c r="BK318" s="339"/>
      <c r="BL318" s="339"/>
      <c r="BM318" s="339"/>
      <c r="BN318" s="1646"/>
      <c r="BO318" s="339"/>
      <c r="BP318" s="339"/>
      <c r="BQ318" s="339"/>
      <c r="BR318" s="339"/>
      <c r="BS318" s="339"/>
      <c r="BT318" s="339"/>
      <c r="BU318" s="339"/>
      <c r="BV318" s="339"/>
      <c r="BW318" s="339"/>
      <c r="BX318" s="339"/>
      <c r="BY318" s="758"/>
      <c r="BZ318" s="277"/>
      <c r="CA318" s="99"/>
      <c r="CB318" s="327"/>
      <c r="CC318" s="327"/>
      <c r="CD318" s="327"/>
      <c r="CE318" s="327"/>
      <c r="CF318" s="327"/>
      <c r="CG318" s="327"/>
    </row>
    <row r="319" spans="1:85" s="83" customFormat="1" ht="11.25" customHeight="1">
      <c r="A319" s="328"/>
      <c r="B319" s="328"/>
      <c r="C319" s="328"/>
      <c r="D319" s="328"/>
      <c r="E319" s="328"/>
      <c r="F319" s="328"/>
      <c r="G319" s="328"/>
      <c r="H319" s="328"/>
      <c r="I319" s="772"/>
      <c r="J319" s="277"/>
      <c r="K319" s="277"/>
      <c r="L319" s="277"/>
      <c r="M319" s="277"/>
      <c r="N319" s="277"/>
      <c r="O319" s="277"/>
      <c r="P319" s="277"/>
      <c r="Q319" s="277"/>
      <c r="R319" s="277"/>
      <c r="S319" s="277"/>
      <c r="T319" s="277"/>
      <c r="U319" s="728"/>
      <c r="V319" s="277"/>
      <c r="W319" s="277"/>
      <c r="X319" s="729"/>
      <c r="Y319" s="277"/>
      <c r="Z319" s="277"/>
      <c r="AA319" s="277"/>
      <c r="AB319" s="277"/>
      <c r="AC319" s="728"/>
      <c r="AD319" s="277"/>
      <c r="AE319" s="277"/>
      <c r="AF319" s="481"/>
      <c r="AG319" s="277"/>
      <c r="AH319" s="277"/>
      <c r="AI319" s="277"/>
      <c r="AJ319" s="729"/>
      <c r="AK319" s="277"/>
      <c r="AL319" s="74"/>
      <c r="AM319" s="74"/>
      <c r="AN319" s="729"/>
      <c r="AO319" s="277"/>
      <c r="AP319" s="277"/>
      <c r="AQ319" s="277"/>
      <c r="AR319" s="729"/>
      <c r="AS319" s="277"/>
      <c r="AT319" s="277"/>
      <c r="AU319" s="277"/>
      <c r="AV319" s="729"/>
      <c r="AW319" s="277"/>
      <c r="AX319" s="277"/>
      <c r="AY319" s="277"/>
      <c r="AZ319" s="729"/>
      <c r="BA319" s="277"/>
      <c r="BB319" s="277"/>
      <c r="BC319" s="277"/>
      <c r="BD319" s="729"/>
      <c r="BE319" s="277"/>
      <c r="BF319" s="728"/>
      <c r="BG319" s="277"/>
      <c r="BH319" s="277"/>
      <c r="BI319" s="277"/>
      <c r="BJ319" s="277"/>
      <c r="BK319" s="277"/>
      <c r="BL319" s="277"/>
      <c r="BM319" s="277"/>
      <c r="BN319" s="728"/>
      <c r="BO319" s="277"/>
      <c r="BP319" s="277"/>
      <c r="BQ319" s="277"/>
      <c r="BR319" s="277"/>
      <c r="BS319" s="277"/>
      <c r="BT319" s="277"/>
      <c r="BU319" s="277"/>
      <c r="BV319" s="277"/>
      <c r="BW319" s="277"/>
      <c r="BX319" s="277"/>
      <c r="BY319" s="729"/>
      <c r="BZ319" s="277"/>
      <c r="CA319" s="320"/>
      <c r="CB319" s="329"/>
      <c r="CC319" s="329"/>
      <c r="CD319" s="329"/>
      <c r="CE319" s="329"/>
      <c r="CF319" s="329"/>
      <c r="CG319" s="329"/>
    </row>
    <row r="320" spans="1:85" s="54" customFormat="1" ht="11.25" customHeight="1">
      <c r="H320" s="83"/>
      <c r="I320" s="783" t="s">
        <v>288</v>
      </c>
      <c r="J320" s="343"/>
      <c r="K320" s="331"/>
      <c r="L320" s="331"/>
      <c r="M320" s="942">
        <v>29.815000000000001</v>
      </c>
      <c r="N320" s="942">
        <v>32.537999999999997</v>
      </c>
      <c r="O320" s="942">
        <v>37.496000000000002</v>
      </c>
      <c r="P320" s="942">
        <v>39.356000000000002</v>
      </c>
      <c r="Q320" s="2397">
        <v>46.817</v>
      </c>
      <c r="R320" s="942">
        <v>51.56</v>
      </c>
      <c r="S320" s="942">
        <v>61.012</v>
      </c>
      <c r="T320" s="942">
        <v>65.796000000000006</v>
      </c>
      <c r="U320" s="933">
        <v>71.447999999999993</v>
      </c>
      <c r="V320" s="932">
        <v>78.328999999999994</v>
      </c>
      <c r="W320" s="932">
        <v>83.537999999999997</v>
      </c>
      <c r="X320" s="934">
        <v>86.3</v>
      </c>
      <c r="Y320" s="932">
        <v>102.065</v>
      </c>
      <c r="Z320" s="932">
        <v>108.05800000000001</v>
      </c>
      <c r="AA320" s="932">
        <v>117.447</v>
      </c>
      <c r="AB320" s="932">
        <v>120.005</v>
      </c>
      <c r="AC320" s="933">
        <v>132.46</v>
      </c>
      <c r="AD320" s="932">
        <v>137.761</v>
      </c>
      <c r="AE320" s="932">
        <v>139.41800000000001</v>
      </c>
      <c r="AF320" s="934">
        <f t="shared" ref="AF320:AN320" si="543">AF333+AF349</f>
        <v>135.39400000000001</v>
      </c>
      <c r="AG320" s="1895">
        <f t="shared" si="543"/>
        <v>142.46600000000001</v>
      </c>
      <c r="AH320" s="1201">
        <f t="shared" si="543"/>
        <v>143.88999999999999</v>
      </c>
      <c r="AI320" s="1201">
        <f t="shared" si="543"/>
        <v>148.018</v>
      </c>
      <c r="AJ320" s="1896">
        <f t="shared" si="543"/>
        <v>140.46699999999998</v>
      </c>
      <c r="AK320" s="1201">
        <f t="shared" si="543"/>
        <v>145.98400000000001</v>
      </c>
      <c r="AL320" s="1201">
        <f t="shared" si="543"/>
        <v>142.733</v>
      </c>
      <c r="AM320" s="1201">
        <f t="shared" si="543"/>
        <v>143.44900000000001</v>
      </c>
      <c r="AN320" s="1896">
        <f t="shared" si="543"/>
        <v>133.239</v>
      </c>
      <c r="AO320" s="1201">
        <f>AO333+AO349</f>
        <v>151.35899999999998</v>
      </c>
      <c r="AP320" s="1201">
        <f>AP333+AP349</f>
        <v>157.09899999999999</v>
      </c>
      <c r="AQ320" s="1201">
        <f>AQ333+AQ349</f>
        <v>157.1</v>
      </c>
      <c r="AR320" s="1896">
        <f t="shared" ref="AR320" si="544">AR333+AR349</f>
        <v>140.96899999999999</v>
      </c>
      <c r="AS320" s="944">
        <f t="shared" ref="AS320:AV320" si="545">AS333+AS349</f>
        <v>145.87475000000001</v>
      </c>
      <c r="AT320" s="944">
        <f t="shared" si="545"/>
        <v>144.98339999999999</v>
      </c>
      <c r="AU320" s="944">
        <f t="shared" si="545"/>
        <v>142.82809999999998</v>
      </c>
      <c r="AV320" s="943">
        <f t="shared" si="545"/>
        <v>130.31469999999999</v>
      </c>
      <c r="AW320" s="944">
        <f t="shared" ref="AW320:BD320" si="546">AW333+AW349</f>
        <v>134.99708749999996</v>
      </c>
      <c r="AX320" s="944">
        <f t="shared" si="546"/>
        <v>134.71443999999997</v>
      </c>
      <c r="AY320" s="944">
        <f t="shared" si="546"/>
        <v>133.35743499999998</v>
      </c>
      <c r="AZ320" s="943">
        <f t="shared" si="546"/>
        <v>123.196045</v>
      </c>
      <c r="BA320" s="944">
        <f t="shared" si="546"/>
        <v>126.83857437499999</v>
      </c>
      <c r="BB320" s="944">
        <f t="shared" si="546"/>
        <v>126.22332399999999</v>
      </c>
      <c r="BC320" s="944">
        <f t="shared" si="546"/>
        <v>124.69486974999998</v>
      </c>
      <c r="BD320" s="943">
        <f t="shared" si="546"/>
        <v>115.68268825</v>
      </c>
      <c r="BE320" s="1201"/>
      <c r="BF320" s="801">
        <v>1.8080000000000001</v>
      </c>
      <c r="BG320" s="338">
        <v>5.7169999999999996</v>
      </c>
      <c r="BH320" s="338">
        <v>15.736000000000001</v>
      </c>
      <c r="BI320" s="338">
        <v>26.077000000000002</v>
      </c>
      <c r="BJ320" s="331">
        <f>+P320</f>
        <v>39.356000000000002</v>
      </c>
      <c r="BK320" s="331">
        <f>$T$320</f>
        <v>65.796000000000006</v>
      </c>
      <c r="BL320" s="216">
        <f>X320</f>
        <v>86.3</v>
      </c>
      <c r="BM320" s="346">
        <f>AB320</f>
        <v>120.005</v>
      </c>
      <c r="BN320" s="1803">
        <f>+AF320</f>
        <v>135.39400000000001</v>
      </c>
      <c r="BO320" s="346">
        <f>+AJ320</f>
        <v>140.46699999999998</v>
      </c>
      <c r="BP320" s="428">
        <f>+AN320</f>
        <v>133.239</v>
      </c>
      <c r="BQ320" s="428">
        <f>AR320</f>
        <v>140.96899999999999</v>
      </c>
      <c r="BR320" s="428">
        <f>AV320</f>
        <v>130.31469999999999</v>
      </c>
      <c r="BS320" s="428">
        <f>AZ320</f>
        <v>123.196045</v>
      </c>
      <c r="BT320" s="428">
        <f>BD320</f>
        <v>115.68268825</v>
      </c>
      <c r="BU320" s="322">
        <f>BU333+BU349</f>
        <v>107.445667175</v>
      </c>
      <c r="BV320" s="322">
        <f>BV333+BV349</f>
        <v>97.507348207500002</v>
      </c>
      <c r="BW320" s="322">
        <f>BW333+BW349</f>
        <v>86.887861136750004</v>
      </c>
      <c r="BX320" s="322">
        <f>BX333+BX349</f>
        <v>75.605322773075002</v>
      </c>
      <c r="BY320" s="734">
        <f>BY333+BY349</f>
        <v>63.676038245767501</v>
      </c>
      <c r="BZ320" s="269"/>
      <c r="CA320" s="200">
        <f>IF(ISERROR(RATE(5,,-BI320,BN320)),"NM",(RATE(5,,-BI320,BN320)))</f>
        <v>0.39017142839210733</v>
      </c>
      <c r="CB320" s="200">
        <f t="shared" ref="CB320:CG320" si="547">IF(ISERROR(RATE(3,,-BK320,BN320)),"NM",(RATE(3,,-BK320,BN320)))</f>
        <v>0.27194005009660249</v>
      </c>
      <c r="CC320" s="200">
        <f t="shared" si="547"/>
        <v>0.17630832458662937</v>
      </c>
      <c r="CD320" s="200">
        <f t="shared" si="547"/>
        <v>3.5485466480654315E-2</v>
      </c>
      <c r="CE320" s="200">
        <f t="shared" si="547"/>
        <v>1.3541183047726339E-2</v>
      </c>
      <c r="CF320" s="200">
        <f t="shared" si="547"/>
        <v>-2.4696684748648567E-2</v>
      </c>
      <c r="CG320" s="200">
        <f t="shared" si="547"/>
        <v>-2.57842785258783E-2</v>
      </c>
    </row>
    <row r="321" spans="1:85" ht="11.25" customHeight="1">
      <c r="A321" s="86"/>
      <c r="B321" s="86"/>
      <c r="C321" s="86"/>
      <c r="D321" s="86"/>
      <c r="E321" s="86"/>
      <c r="F321" s="86"/>
      <c r="G321" s="86"/>
      <c r="H321" s="328"/>
      <c r="I321" s="653" t="s">
        <v>132</v>
      </c>
      <c r="J321" s="193"/>
      <c r="K321" s="67"/>
      <c r="L321" s="67"/>
      <c r="M321" s="199"/>
      <c r="N321" s="924"/>
      <c r="O321" s="924"/>
      <c r="P321" s="924"/>
      <c r="Q321" s="1001">
        <f>Q320/M320-1</f>
        <v>0.57024987422438356</v>
      </c>
      <c r="R321" s="956">
        <f t="shared" ref="R321:AF321" si="548">R320/N320-1</f>
        <v>0.58460876513614868</v>
      </c>
      <c r="S321" s="956">
        <f t="shared" si="548"/>
        <v>0.62716023042457847</v>
      </c>
      <c r="T321" s="956">
        <f t="shared" si="548"/>
        <v>0.67181624148795627</v>
      </c>
      <c r="U321" s="1001">
        <f t="shared" si="548"/>
        <v>0.52611230963111666</v>
      </c>
      <c r="V321" s="956">
        <f t="shared" si="548"/>
        <v>0.51918153607447604</v>
      </c>
      <c r="W321" s="956">
        <f t="shared" si="548"/>
        <v>0.36920605782469007</v>
      </c>
      <c r="X321" s="1002">
        <f t="shared" si="548"/>
        <v>0.31162988631527733</v>
      </c>
      <c r="Y321" s="956">
        <f t="shared" si="548"/>
        <v>0.42852144216773058</v>
      </c>
      <c r="Z321" s="956">
        <f t="shared" si="548"/>
        <v>0.37954014477396636</v>
      </c>
      <c r="AA321" s="956">
        <f t="shared" si="548"/>
        <v>0.40591108238167073</v>
      </c>
      <c r="AB321" s="956">
        <f t="shared" si="548"/>
        <v>0.39055619930475083</v>
      </c>
      <c r="AC321" s="1001">
        <f t="shared" si="548"/>
        <v>0.29780042130015194</v>
      </c>
      <c r="AD321" s="956">
        <f t="shared" si="548"/>
        <v>0.27488015695274748</v>
      </c>
      <c r="AE321" s="956">
        <f t="shared" si="548"/>
        <v>0.18707161528178662</v>
      </c>
      <c r="AF321" s="1002">
        <f t="shared" si="548"/>
        <v>0.12823632348652159</v>
      </c>
      <c r="AG321" s="956">
        <f t="shared" ref="AG321:AR321" si="549">AG320/AC320-1</f>
        <v>7.5539785595651443E-2</v>
      </c>
      <c r="AH321" s="956">
        <f t="shared" si="549"/>
        <v>4.4490095164814392E-2</v>
      </c>
      <c r="AI321" s="956">
        <f t="shared" si="549"/>
        <v>6.1685004805692278E-2</v>
      </c>
      <c r="AJ321" s="1002">
        <f t="shared" si="549"/>
        <v>3.746842548414242E-2</v>
      </c>
      <c r="AK321" s="956">
        <f t="shared" si="549"/>
        <v>2.4693611107211577E-2</v>
      </c>
      <c r="AL321" s="956">
        <f t="shared" si="549"/>
        <v>-8.040864549308413E-3</v>
      </c>
      <c r="AM321" s="956">
        <f t="shared" si="549"/>
        <v>-3.0867867421529693E-2</v>
      </c>
      <c r="AN321" s="1002">
        <f t="shared" si="549"/>
        <v>-5.1456925825994593E-2</v>
      </c>
      <c r="AO321" s="956">
        <f t="shared" si="549"/>
        <v>3.6819103463393121E-2</v>
      </c>
      <c r="AP321" s="956">
        <f t="shared" si="549"/>
        <v>0.10064946438455014</v>
      </c>
      <c r="AQ321" s="956">
        <f t="shared" si="549"/>
        <v>9.5162740765010412E-2</v>
      </c>
      <c r="AR321" s="1002">
        <f t="shared" si="549"/>
        <v>5.8016046352794559E-2</v>
      </c>
      <c r="AS321" s="956">
        <f t="shared" ref="AS321:AV321" si="550">AS320/AO320-1</f>
        <v>-3.6233392133933062E-2</v>
      </c>
      <c r="AT321" s="956">
        <f t="shared" si="550"/>
        <v>-7.7120796440461103E-2</v>
      </c>
      <c r="AU321" s="956">
        <f t="shared" si="550"/>
        <v>-9.0845957988542447E-2</v>
      </c>
      <c r="AV321" s="1002">
        <f t="shared" si="550"/>
        <v>-7.5579028013251226E-2</v>
      </c>
      <c r="AW321" s="956">
        <f t="shared" ref="AW321:BD321" si="551">AW320/AS320-1</f>
        <v>-7.4568508257940702E-2</v>
      </c>
      <c r="AX321" s="956">
        <f t="shared" si="551"/>
        <v>-7.0828522437741293E-2</v>
      </c>
      <c r="AY321" s="956">
        <f t="shared" si="551"/>
        <v>-6.6308135443935767E-2</v>
      </c>
      <c r="AZ321" s="1002">
        <f t="shared" si="551"/>
        <v>-5.4626646111298194E-2</v>
      </c>
      <c r="BA321" s="956">
        <f t="shared" si="551"/>
        <v>-6.0434734378991495E-2</v>
      </c>
      <c r="BB321" s="956">
        <f t="shared" si="551"/>
        <v>-6.3030481364877988E-2</v>
      </c>
      <c r="BC321" s="956">
        <f t="shared" si="551"/>
        <v>-6.4957497495358951E-2</v>
      </c>
      <c r="BD321" s="1002">
        <f t="shared" si="551"/>
        <v>-6.0986996376385272E-2</v>
      </c>
      <c r="BE321" s="425"/>
      <c r="BF321" s="790"/>
      <c r="BG321" s="956">
        <f>BG320/BF320-1</f>
        <v>2.1620575221238933</v>
      </c>
      <c r="BH321" s="956">
        <f t="shared" ref="BH321:BT321" si="552">BH320/BG320-1</f>
        <v>1.7524925660311355</v>
      </c>
      <c r="BI321" s="956">
        <f t="shared" si="552"/>
        <v>0.65715556685307575</v>
      </c>
      <c r="BJ321" s="956">
        <f t="shared" si="552"/>
        <v>0.50922268665874149</v>
      </c>
      <c r="BK321" s="956">
        <f t="shared" si="552"/>
        <v>0.67181624148795627</v>
      </c>
      <c r="BL321" s="956">
        <f t="shared" si="552"/>
        <v>0.31162988631527733</v>
      </c>
      <c r="BM321" s="956">
        <f t="shared" si="552"/>
        <v>0.39055619930475083</v>
      </c>
      <c r="BN321" s="1001">
        <f t="shared" si="552"/>
        <v>0.12823632348652159</v>
      </c>
      <c r="BO321" s="956">
        <f t="shared" si="552"/>
        <v>3.746842548414242E-2</v>
      </c>
      <c r="BP321" s="956">
        <f t="shared" si="552"/>
        <v>-5.1456925825994593E-2</v>
      </c>
      <c r="BQ321" s="956">
        <f t="shared" si="552"/>
        <v>5.8016046352794559E-2</v>
      </c>
      <c r="BR321" s="956">
        <f t="shared" si="552"/>
        <v>-7.5579028013251226E-2</v>
      </c>
      <c r="BS321" s="956">
        <f t="shared" si="552"/>
        <v>-5.4626646111298194E-2</v>
      </c>
      <c r="BT321" s="956">
        <f t="shared" si="552"/>
        <v>-6.0986996376385272E-2</v>
      </c>
      <c r="BU321" s="956">
        <f>BU320/BT320-1</f>
        <v>-7.120357591620885E-2</v>
      </c>
      <c r="BV321" s="956">
        <f>BV320/BU320-1</f>
        <v>-9.2496228361755639E-2</v>
      </c>
      <c r="BW321" s="956">
        <f>BW320/BV320-1</f>
        <v>-0.10890960800360661</v>
      </c>
      <c r="BX321" s="956">
        <f>BX320/BW320-1</f>
        <v>-0.12985172170273329</v>
      </c>
      <c r="BY321" s="1002">
        <f>BY320/BX320-1</f>
        <v>-0.15778365979750608</v>
      </c>
      <c r="BZ321" s="275"/>
      <c r="CA321" s="80"/>
      <c r="CB321" s="88"/>
      <c r="CC321" s="88"/>
      <c r="CD321" s="88"/>
      <c r="CE321" s="88"/>
      <c r="CF321" s="88"/>
      <c r="CG321" s="88"/>
    </row>
    <row r="322" spans="1:85" s="54" customFormat="1" ht="11.25" customHeight="1">
      <c r="H322" s="83"/>
      <c r="I322" s="653" t="s">
        <v>146</v>
      </c>
      <c r="M322" s="198" t="str">
        <f>IF(ISERROR(M320/L320-1),"NA",(IF(M320&lt;=0,"NM",M320/L320-1)))</f>
        <v>NA</v>
      </c>
      <c r="N322" s="198">
        <f>IF(ISERROR(N320/M320-1),"NA",(IF(N320&lt;=0,"NM",N320/M320-1)))</f>
        <v>9.1329867516350749E-2</v>
      </c>
      <c r="O322" s="198">
        <f>IF(ISERROR(O320/N320-1),"NA",(IF(O320&lt;=0,"NM",O320/N320-1)))</f>
        <v>0.15237568381584632</v>
      </c>
      <c r="P322" s="198">
        <f>IF(ISERROR(P320/O320-1),"NA",(IF(P320&lt;=0,"NM",P320/O320-1)))</f>
        <v>4.9605291231064719E-2</v>
      </c>
      <c r="Q322" s="751">
        <f>IF(ISERROR(Q320/P320-1),"NA",(IF(Q320&lt;=0,"NM",Q320/P320-1)))</f>
        <v>0.18957719280414675</v>
      </c>
      <c r="R322" s="198">
        <f t="shared" ref="R322:AJ322" si="553">IF(ISERROR(R320/Q320-1),"NA",(IF(R320&lt;=0,"NM",R320/Q320-1)))</f>
        <v>0.10130935343998981</v>
      </c>
      <c r="S322" s="198">
        <f t="shared" si="553"/>
        <v>0.18332040341349876</v>
      </c>
      <c r="T322" s="198">
        <f t="shared" si="553"/>
        <v>7.8410804431915171E-2</v>
      </c>
      <c r="U322" s="751">
        <f t="shared" si="553"/>
        <v>8.5901878533649167E-2</v>
      </c>
      <c r="V322" s="198">
        <f t="shared" si="553"/>
        <v>9.6307804277236508E-2</v>
      </c>
      <c r="W322" s="198">
        <f t="shared" si="553"/>
        <v>6.6501551149638072E-2</v>
      </c>
      <c r="X322" s="752">
        <f t="shared" si="553"/>
        <v>3.3062797768680152E-2</v>
      </c>
      <c r="Y322" s="198">
        <f t="shared" si="553"/>
        <v>0.18267670915411349</v>
      </c>
      <c r="Z322" s="198">
        <f t="shared" si="553"/>
        <v>5.8717483956302496E-2</v>
      </c>
      <c r="AA322" s="198">
        <f t="shared" si="553"/>
        <v>8.6888522830331771E-2</v>
      </c>
      <c r="AB322" s="198">
        <f t="shared" si="553"/>
        <v>2.1780036952838255E-2</v>
      </c>
      <c r="AC322" s="751">
        <f t="shared" si="553"/>
        <v>0.10378734219407537</v>
      </c>
      <c r="AD322" s="198">
        <f t="shared" si="553"/>
        <v>4.0019628567114607E-2</v>
      </c>
      <c r="AE322" s="198">
        <f t="shared" si="553"/>
        <v>1.2028077612677102E-2</v>
      </c>
      <c r="AF322" s="752">
        <f t="shared" si="553"/>
        <v>-2.886284410908202E-2</v>
      </c>
      <c r="AG322" s="198">
        <f t="shared" si="553"/>
        <v>5.2232742957590395E-2</v>
      </c>
      <c r="AH322" s="198">
        <f t="shared" si="553"/>
        <v>9.9953673157102685E-3</v>
      </c>
      <c r="AI322" s="198">
        <f t="shared" si="553"/>
        <v>2.8688581555354808E-2</v>
      </c>
      <c r="AJ322" s="752">
        <f t="shared" si="553"/>
        <v>-5.1014065856855306E-2</v>
      </c>
      <c r="AK322" s="198">
        <f t="shared" ref="AK322:AR322" si="554">IF(ISERROR(AK320/AJ320-1),"NA",(IF(AK320&lt;=0,"NM",AK320/AJ320-1)))</f>
        <v>3.9276128912840935E-2</v>
      </c>
      <c r="AL322" s="198">
        <f t="shared" si="554"/>
        <v>-2.2269563787812419E-2</v>
      </c>
      <c r="AM322" s="198">
        <f t="shared" si="554"/>
        <v>5.0163592161589499E-3</v>
      </c>
      <c r="AN322" s="752">
        <f t="shared" si="554"/>
        <v>-7.1175121471742653E-2</v>
      </c>
      <c r="AO322" s="198">
        <f t="shared" si="554"/>
        <v>0.13599621732375633</v>
      </c>
      <c r="AP322" s="198">
        <f t="shared" si="554"/>
        <v>3.7923083529886048E-2</v>
      </c>
      <c r="AQ322" s="198">
        <f t="shared" si="554"/>
        <v>6.3654128925616504E-6</v>
      </c>
      <c r="AR322" s="752">
        <f t="shared" si="554"/>
        <v>-0.10267982176957358</v>
      </c>
      <c r="AS322" s="198">
        <f t="shared" ref="AS322:BD322" si="555">IF(ISERROR(AS320/AR320-1),"NA",(IF(AS320&lt;=0,"NM",AS320/AR320-1)))</f>
        <v>3.4800204300236226E-2</v>
      </c>
      <c r="AT322" s="198">
        <f t="shared" si="555"/>
        <v>-6.1103789380959617E-3</v>
      </c>
      <c r="AU322" s="198">
        <f t="shared" si="555"/>
        <v>-1.4865839813385628E-2</v>
      </c>
      <c r="AV322" s="752">
        <f t="shared" si="555"/>
        <v>-8.7611611440605808E-2</v>
      </c>
      <c r="AW322" s="198">
        <f t="shared" si="555"/>
        <v>3.593138379630223E-2</v>
      </c>
      <c r="AX322" s="198">
        <f t="shared" si="555"/>
        <v>-2.0937303554788844E-3</v>
      </c>
      <c r="AY322" s="198">
        <f t="shared" si="555"/>
        <v>-1.0073196310655286E-2</v>
      </c>
      <c r="AZ322" s="752">
        <f t="shared" si="555"/>
        <v>-7.6196651502782653E-2</v>
      </c>
      <c r="BA322" s="198">
        <f t="shared" si="555"/>
        <v>2.956693435247848E-2</v>
      </c>
      <c r="BB322" s="198">
        <f t="shared" si="555"/>
        <v>-4.8506566557663389E-3</v>
      </c>
      <c r="BC322" s="198">
        <f t="shared" si="555"/>
        <v>-1.2109126915402779E-2</v>
      </c>
      <c r="BD322" s="752">
        <f t="shared" si="555"/>
        <v>-7.2273875565758705E-2</v>
      </c>
      <c r="BE322" s="264"/>
      <c r="BF322" s="633"/>
      <c r="BN322" s="633"/>
      <c r="BO322" s="199"/>
      <c r="BP322" s="199"/>
      <c r="BQ322" s="199"/>
      <c r="BR322" s="199"/>
      <c r="BS322" s="199"/>
      <c r="BT322" s="199"/>
      <c r="BU322" s="199"/>
      <c r="BV322" s="199"/>
      <c r="BW322" s="199"/>
      <c r="BX322" s="199"/>
      <c r="BY322" s="620"/>
      <c r="BZ322" s="265"/>
      <c r="CA322" s="201"/>
      <c r="CB322" s="201"/>
      <c r="CC322" s="201"/>
      <c r="CD322" s="201"/>
      <c r="CE322" s="201"/>
      <c r="CF322" s="201"/>
      <c r="CG322" s="201"/>
    </row>
    <row r="323" spans="1:85" s="54" customFormat="1" ht="11.25" customHeight="1">
      <c r="H323" s="83"/>
      <c r="I323" s="994" t="s">
        <v>380</v>
      </c>
      <c r="M323" s="198"/>
      <c r="N323" s="198"/>
      <c r="O323" s="198"/>
      <c r="P323" s="198"/>
      <c r="Q323" s="940">
        <f>Q320-M320</f>
        <v>17.001999999999999</v>
      </c>
      <c r="R323" s="924">
        <f t="shared" ref="R323:AJ323" si="556">R320-N320</f>
        <v>19.022000000000006</v>
      </c>
      <c r="S323" s="924">
        <f t="shared" si="556"/>
        <v>23.515999999999998</v>
      </c>
      <c r="T323" s="924">
        <f t="shared" si="556"/>
        <v>26.440000000000005</v>
      </c>
      <c r="U323" s="940">
        <f t="shared" si="556"/>
        <v>24.630999999999993</v>
      </c>
      <c r="V323" s="924">
        <f t="shared" si="556"/>
        <v>26.768999999999991</v>
      </c>
      <c r="W323" s="924">
        <f t="shared" si="556"/>
        <v>22.525999999999996</v>
      </c>
      <c r="X323" s="941">
        <f t="shared" si="556"/>
        <v>20.503999999999991</v>
      </c>
      <c r="Y323" s="924">
        <f t="shared" si="556"/>
        <v>30.617000000000004</v>
      </c>
      <c r="Z323" s="924">
        <f t="shared" si="556"/>
        <v>29.729000000000013</v>
      </c>
      <c r="AA323" s="924">
        <f t="shared" si="556"/>
        <v>33.909000000000006</v>
      </c>
      <c r="AB323" s="924">
        <f t="shared" si="556"/>
        <v>33.704999999999998</v>
      </c>
      <c r="AC323" s="940">
        <f t="shared" si="556"/>
        <v>30.39500000000001</v>
      </c>
      <c r="AD323" s="924">
        <f t="shared" si="556"/>
        <v>29.702999999999989</v>
      </c>
      <c r="AE323" s="924">
        <f t="shared" si="556"/>
        <v>21.971000000000004</v>
      </c>
      <c r="AF323" s="941">
        <f t="shared" si="556"/>
        <v>15.38900000000001</v>
      </c>
      <c r="AG323" s="924">
        <f t="shared" si="556"/>
        <v>10.006</v>
      </c>
      <c r="AH323" s="924">
        <f t="shared" si="556"/>
        <v>6.1289999999999907</v>
      </c>
      <c r="AI323" s="924">
        <f t="shared" si="556"/>
        <v>8.5999999999999943</v>
      </c>
      <c r="AJ323" s="941">
        <f t="shared" si="556"/>
        <v>5.0729999999999791</v>
      </c>
      <c r="AK323" s="924">
        <f t="shared" ref="AK323:AR323" si="557">AK320-AG320</f>
        <v>3.5180000000000007</v>
      </c>
      <c r="AL323" s="924">
        <f t="shared" si="557"/>
        <v>-1.1569999999999823</v>
      </c>
      <c r="AM323" s="924">
        <f t="shared" si="557"/>
        <v>-4.5689999999999884</v>
      </c>
      <c r="AN323" s="941">
        <f t="shared" si="557"/>
        <v>-7.2279999999999802</v>
      </c>
      <c r="AO323" s="924">
        <f t="shared" si="557"/>
        <v>5.3749999999999716</v>
      </c>
      <c r="AP323" s="924">
        <f t="shared" si="557"/>
        <v>14.365999999999985</v>
      </c>
      <c r="AQ323" s="924">
        <f t="shared" si="557"/>
        <v>13.650999999999982</v>
      </c>
      <c r="AR323" s="941">
        <f t="shared" si="557"/>
        <v>7.7299999999999898</v>
      </c>
      <c r="AS323" s="924">
        <f t="shared" ref="AS323:BD323" si="558">AS320-AO320</f>
        <v>-5.4842499999999745</v>
      </c>
      <c r="AT323" s="924">
        <f t="shared" si="558"/>
        <v>-12.115600000000001</v>
      </c>
      <c r="AU323" s="924">
        <f t="shared" si="558"/>
        <v>-14.271900000000016</v>
      </c>
      <c r="AV323" s="941">
        <f t="shared" si="558"/>
        <v>-10.654300000000006</v>
      </c>
      <c r="AW323" s="924">
        <f t="shared" si="558"/>
        <v>-10.877662500000042</v>
      </c>
      <c r="AX323" s="924">
        <f t="shared" si="558"/>
        <v>-10.268960000000021</v>
      </c>
      <c r="AY323" s="924">
        <f t="shared" si="558"/>
        <v>-9.4706649999999968</v>
      </c>
      <c r="AZ323" s="941">
        <f t="shared" si="558"/>
        <v>-7.1186549999999897</v>
      </c>
      <c r="BA323" s="924">
        <f t="shared" si="558"/>
        <v>-8.1585131249999705</v>
      </c>
      <c r="BB323" s="924">
        <f t="shared" si="558"/>
        <v>-8.4911159999999768</v>
      </c>
      <c r="BC323" s="924">
        <f t="shared" si="558"/>
        <v>-8.6625652500000001</v>
      </c>
      <c r="BD323" s="941">
        <f t="shared" si="558"/>
        <v>-7.5133567499999998</v>
      </c>
      <c r="BE323" s="955"/>
      <c r="BF323" s="633"/>
      <c r="BG323" s="1010">
        <f>BG320-BF320</f>
        <v>3.9089999999999998</v>
      </c>
      <c r="BH323" s="1010">
        <f t="shared" ref="BH323:BT323" si="559">BH320-BG320</f>
        <v>10.019000000000002</v>
      </c>
      <c r="BI323" s="1010">
        <f t="shared" si="559"/>
        <v>10.341000000000001</v>
      </c>
      <c r="BJ323" s="1010">
        <f t="shared" si="559"/>
        <v>13.279</v>
      </c>
      <c r="BK323" s="1010">
        <f t="shared" si="559"/>
        <v>26.440000000000005</v>
      </c>
      <c r="BL323" s="1010">
        <f t="shared" si="559"/>
        <v>20.503999999999991</v>
      </c>
      <c r="BM323" s="1010">
        <f t="shared" si="559"/>
        <v>33.704999999999998</v>
      </c>
      <c r="BN323" s="1660">
        <f t="shared" si="559"/>
        <v>15.38900000000001</v>
      </c>
      <c r="BO323" s="1010">
        <f t="shared" si="559"/>
        <v>5.0729999999999791</v>
      </c>
      <c r="BP323" s="1010">
        <f t="shared" si="559"/>
        <v>-7.2279999999999802</v>
      </c>
      <c r="BQ323" s="1010">
        <f t="shared" si="559"/>
        <v>7.7299999999999898</v>
      </c>
      <c r="BR323" s="1010">
        <f t="shared" si="559"/>
        <v>-10.654300000000006</v>
      </c>
      <c r="BS323" s="1010">
        <f t="shared" si="559"/>
        <v>-7.1186549999999897</v>
      </c>
      <c r="BT323" s="1010">
        <f t="shared" si="559"/>
        <v>-7.5133567499999998</v>
      </c>
      <c r="BU323" s="1010">
        <f>BU320-BT320</f>
        <v>-8.2370210750000012</v>
      </c>
      <c r="BV323" s="1010">
        <f>BV320-BU320</f>
        <v>-9.9383189674999954</v>
      </c>
      <c r="BW323" s="1010">
        <f>BW320-BV320</f>
        <v>-10.619487070749997</v>
      </c>
      <c r="BX323" s="1010">
        <f>BX320-BW320</f>
        <v>-11.282538363675002</v>
      </c>
      <c r="BY323" s="1011">
        <f>BY320-BX320</f>
        <v>-11.929284527307502</v>
      </c>
      <c r="BZ323" s="265"/>
      <c r="CA323" s="201"/>
      <c r="CB323" s="201"/>
      <c r="CC323" s="201"/>
      <c r="CD323" s="201"/>
      <c r="CE323" s="201"/>
      <c r="CF323" s="201"/>
      <c r="CG323" s="201"/>
    </row>
    <row r="324" spans="1:85" s="54" customFormat="1" ht="11.25" customHeight="1">
      <c r="H324" s="83"/>
      <c r="I324" s="994" t="s">
        <v>377</v>
      </c>
      <c r="J324" s="13"/>
      <c r="K324" s="5"/>
      <c r="L324" s="5"/>
      <c r="M324" s="14"/>
      <c r="N324" s="924">
        <f>N320-M320</f>
        <v>2.7229999999999954</v>
      </c>
      <c r="O324" s="924">
        <f t="shared" ref="O324:AJ324" si="560">O320-N320</f>
        <v>4.9580000000000055</v>
      </c>
      <c r="P324" s="924">
        <f t="shared" si="560"/>
        <v>1.8599999999999994</v>
      </c>
      <c r="Q324" s="940">
        <f t="shared" si="560"/>
        <v>7.4609999999999985</v>
      </c>
      <c r="R324" s="924">
        <f t="shared" si="560"/>
        <v>4.7430000000000021</v>
      </c>
      <c r="S324" s="924">
        <f t="shared" si="560"/>
        <v>9.4519999999999982</v>
      </c>
      <c r="T324" s="924">
        <f t="shared" si="560"/>
        <v>4.784000000000006</v>
      </c>
      <c r="U324" s="940">
        <f t="shared" si="560"/>
        <v>5.6519999999999868</v>
      </c>
      <c r="V324" s="924">
        <f t="shared" si="560"/>
        <v>6.8810000000000002</v>
      </c>
      <c r="W324" s="924">
        <f t="shared" si="560"/>
        <v>5.2090000000000032</v>
      </c>
      <c r="X324" s="941">
        <f t="shared" si="560"/>
        <v>2.7620000000000005</v>
      </c>
      <c r="Y324" s="924">
        <f t="shared" si="560"/>
        <v>15.765000000000001</v>
      </c>
      <c r="Z324" s="924">
        <f t="shared" si="560"/>
        <v>5.9930000000000092</v>
      </c>
      <c r="AA324" s="924">
        <f t="shared" si="560"/>
        <v>9.3889999999999958</v>
      </c>
      <c r="AB324" s="924">
        <f t="shared" si="560"/>
        <v>2.5579999999999927</v>
      </c>
      <c r="AC324" s="940">
        <f t="shared" si="560"/>
        <v>12.455000000000013</v>
      </c>
      <c r="AD324" s="924">
        <f t="shared" si="560"/>
        <v>5.3009999999999877</v>
      </c>
      <c r="AE324" s="924">
        <f t="shared" si="560"/>
        <v>1.6570000000000107</v>
      </c>
      <c r="AF324" s="941">
        <f t="shared" si="560"/>
        <v>-4.0240000000000009</v>
      </c>
      <c r="AG324" s="924">
        <f t="shared" si="560"/>
        <v>7.0720000000000027</v>
      </c>
      <c r="AH324" s="924">
        <f t="shared" si="560"/>
        <v>1.4239999999999782</v>
      </c>
      <c r="AI324" s="924">
        <f t="shared" si="560"/>
        <v>4.1280000000000143</v>
      </c>
      <c r="AJ324" s="941">
        <f t="shared" si="560"/>
        <v>-7.5510000000000161</v>
      </c>
      <c r="AK324" s="924">
        <f t="shared" ref="AK324:AR324" si="561">AK320-AJ320</f>
        <v>5.5170000000000243</v>
      </c>
      <c r="AL324" s="924">
        <f t="shared" si="561"/>
        <v>-3.2510000000000048</v>
      </c>
      <c r="AM324" s="924">
        <f t="shared" si="561"/>
        <v>0.71600000000000819</v>
      </c>
      <c r="AN324" s="941">
        <f t="shared" si="561"/>
        <v>-10.210000000000008</v>
      </c>
      <c r="AO324" s="924">
        <f t="shared" si="561"/>
        <v>18.119999999999976</v>
      </c>
      <c r="AP324" s="924">
        <f t="shared" si="561"/>
        <v>5.7400000000000091</v>
      </c>
      <c r="AQ324" s="924">
        <f t="shared" si="561"/>
        <v>1.0000000000047748E-3</v>
      </c>
      <c r="AR324" s="941">
        <f t="shared" si="561"/>
        <v>-16.131</v>
      </c>
      <c r="AS324" s="924">
        <f t="shared" ref="AS324:BD324" si="562">AS320-AR320</f>
        <v>4.9057500000000118</v>
      </c>
      <c r="AT324" s="924">
        <f t="shared" si="562"/>
        <v>-0.89135000000001696</v>
      </c>
      <c r="AU324" s="924">
        <f t="shared" si="562"/>
        <v>-2.1553000000000111</v>
      </c>
      <c r="AV324" s="941">
        <f t="shared" si="562"/>
        <v>-12.51339999999999</v>
      </c>
      <c r="AW324" s="924">
        <f t="shared" si="562"/>
        <v>4.6823874999999759</v>
      </c>
      <c r="AX324" s="924">
        <f t="shared" si="562"/>
        <v>-0.28264749999999594</v>
      </c>
      <c r="AY324" s="924">
        <f t="shared" si="562"/>
        <v>-1.3570049999999867</v>
      </c>
      <c r="AZ324" s="941">
        <f t="shared" si="562"/>
        <v>-10.161389999999983</v>
      </c>
      <c r="BA324" s="924">
        <f t="shared" si="562"/>
        <v>3.6425293749999952</v>
      </c>
      <c r="BB324" s="924">
        <f t="shared" si="562"/>
        <v>-0.61525037500000224</v>
      </c>
      <c r="BC324" s="924">
        <f t="shared" si="562"/>
        <v>-1.52845425000001</v>
      </c>
      <c r="BD324" s="941">
        <f t="shared" si="562"/>
        <v>-9.0121814999999827</v>
      </c>
      <c r="BE324" s="955"/>
      <c r="BF324" s="805"/>
      <c r="BG324" s="14"/>
      <c r="BH324" s="14"/>
      <c r="BI324" s="14"/>
      <c r="BJ324" s="14"/>
      <c r="BK324" s="14"/>
      <c r="BL324" s="14"/>
      <c r="BM324" s="197"/>
      <c r="BN324" s="1404"/>
      <c r="BO324" s="15"/>
      <c r="BP324" s="15"/>
      <c r="BQ324" s="15"/>
      <c r="BR324" s="15"/>
      <c r="BS324" s="15"/>
      <c r="BT324" s="15"/>
      <c r="BU324" s="15"/>
      <c r="BV324" s="15"/>
      <c r="BW324" s="15"/>
      <c r="BX324" s="15"/>
      <c r="BY324" s="784"/>
      <c r="BZ324" s="248"/>
    </row>
    <row r="325" spans="1:85" s="54" customFormat="1" ht="11.25" customHeight="1">
      <c r="H325" s="83"/>
      <c r="I325" s="994"/>
      <c r="J325" s="13"/>
      <c r="K325" s="5"/>
      <c r="L325" s="5"/>
      <c r="M325" s="14"/>
      <c r="N325" s="924"/>
      <c r="O325" s="924"/>
      <c r="P325" s="924"/>
      <c r="Q325" s="940"/>
      <c r="R325" s="924"/>
      <c r="S325" s="924"/>
      <c r="T325" s="924"/>
      <c r="U325" s="940"/>
      <c r="V325" s="924"/>
      <c r="W325" s="924"/>
      <c r="X325" s="941"/>
      <c r="Y325" s="924"/>
      <c r="Z325" s="924"/>
      <c r="AA325" s="924"/>
      <c r="AB325" s="924"/>
      <c r="AC325" s="940"/>
      <c r="AD325" s="924"/>
      <c r="AE325" s="924"/>
      <c r="AF325" s="941"/>
      <c r="AG325" s="924"/>
      <c r="AH325" s="924"/>
      <c r="AI325" s="924"/>
      <c r="AJ325" s="941"/>
      <c r="AK325" s="924"/>
      <c r="AL325" s="924"/>
      <c r="AM325" s="924"/>
      <c r="AN325" s="941"/>
      <c r="AO325" s="924"/>
      <c r="AP325" s="924"/>
      <c r="AQ325" s="924"/>
      <c r="AR325" s="941"/>
      <c r="AS325" s="924"/>
      <c r="AT325" s="924"/>
      <c r="AU325" s="924"/>
      <c r="AV325" s="941"/>
      <c r="AW325" s="924"/>
      <c r="AX325" s="924"/>
      <c r="AY325" s="924"/>
      <c r="AZ325" s="941"/>
      <c r="BA325" s="924"/>
      <c r="BB325" s="924"/>
      <c r="BC325" s="924"/>
      <c r="BD325" s="941"/>
      <c r="BE325" s="955"/>
      <c r="BF325" s="805"/>
      <c r="BG325" s="14"/>
      <c r="BH325" s="14"/>
      <c r="BI325" s="14"/>
      <c r="BJ325" s="14"/>
      <c r="BK325" s="14"/>
      <c r="BL325" s="14"/>
      <c r="BM325" s="197"/>
      <c r="BN325" s="1404"/>
      <c r="BO325" s="15"/>
      <c r="BP325" s="15"/>
      <c r="BQ325" s="15"/>
      <c r="BR325" s="15"/>
      <c r="BS325" s="15"/>
      <c r="BT325" s="15"/>
      <c r="BU325" s="15"/>
      <c r="BV325" s="15"/>
      <c r="BW325" s="15"/>
      <c r="BX325" s="15"/>
      <c r="BY325" s="784"/>
      <c r="BZ325" s="248"/>
    </row>
    <row r="326" spans="1:85" s="233" customFormat="1" ht="11.25" hidden="1" customHeight="1" outlineLevel="1">
      <c r="H326" s="226"/>
      <c r="I326" s="772" t="s">
        <v>622</v>
      </c>
      <c r="J326" s="2384"/>
      <c r="K326" s="2"/>
      <c r="L326" s="2"/>
      <c r="M326" s="2385"/>
      <c r="N326" s="2388">
        <f t="shared" ref="N326:BD326" si="563">N490/AVERAGE(M320:N320)</f>
        <v>0.26147899860471829</v>
      </c>
      <c r="O326" s="2388">
        <f t="shared" si="563"/>
        <v>0.25359111288802588</v>
      </c>
      <c r="P326" s="2388">
        <f t="shared" si="563"/>
        <v>0.2508457815021079</v>
      </c>
      <c r="Q326" s="2389">
        <f t="shared" si="563"/>
        <v>0.26045281004490967</v>
      </c>
      <c r="R326" s="2388">
        <f t="shared" si="563"/>
        <v>0.2715472112383992</v>
      </c>
      <c r="S326" s="2388">
        <f t="shared" si="563"/>
        <v>0.27974984898553812</v>
      </c>
      <c r="T326" s="2390">
        <f t="shared" si="563"/>
        <v>0.28622799823354994</v>
      </c>
      <c r="U326" s="2389">
        <f t="shared" si="563"/>
        <v>0.31291714027571332</v>
      </c>
      <c r="V326" s="2388">
        <f t="shared" si="563"/>
        <v>0.33723468890417091</v>
      </c>
      <c r="W326" s="2388">
        <f t="shared" si="563"/>
        <v>0.35195561788381818</v>
      </c>
      <c r="X326" s="2390">
        <f t="shared" si="563"/>
        <v>0.39973386403513939</v>
      </c>
      <c r="Y326" s="2389">
        <f t="shared" si="563"/>
        <v>0.41266689671648127</v>
      </c>
      <c r="Z326" s="2388">
        <f t="shared" si="563"/>
        <v>0.42641690819186856</v>
      </c>
      <c r="AA326" s="2388">
        <f t="shared" si="563"/>
        <v>0.45379925057094078</v>
      </c>
      <c r="AB326" s="2390">
        <f t="shared" si="563"/>
        <v>0.48895776830685783</v>
      </c>
      <c r="AC326" s="2389">
        <f t="shared" si="563"/>
        <v>0.51650723862713643</v>
      </c>
      <c r="AD326" s="2388">
        <f t="shared" si="563"/>
        <v>0.56017111919502927</v>
      </c>
      <c r="AE326" s="2388">
        <f t="shared" si="563"/>
        <v>0.6142745301772502</v>
      </c>
      <c r="AF326" s="2390">
        <f t="shared" si="563"/>
        <v>0.67755410971864394</v>
      </c>
      <c r="AG326" s="2388">
        <f t="shared" si="563"/>
        <v>0.70949398977902534</v>
      </c>
      <c r="AH326" s="2388">
        <f t="shared" si="563"/>
        <v>0.75348168014639127</v>
      </c>
      <c r="AI326" s="2388">
        <f t="shared" si="563"/>
        <v>0.79430505501733417</v>
      </c>
      <c r="AJ326" s="2390">
        <f t="shared" si="563"/>
        <v>0.87249597032774662</v>
      </c>
      <c r="AK326" s="2388">
        <f t="shared" si="563"/>
        <v>0.96432548673246032</v>
      </c>
      <c r="AL326" s="2388">
        <f t="shared" si="563"/>
        <v>1.0520959971182853</v>
      </c>
      <c r="AM326" s="2388">
        <f t="shared" si="563"/>
        <v>1.1433283714559266</v>
      </c>
      <c r="AN326" s="2390">
        <f t="shared" si="563"/>
        <v>1.2367721043196669</v>
      </c>
      <c r="AO326" s="2388">
        <f t="shared" si="563"/>
        <v>1.2438597600826431</v>
      </c>
      <c r="AP326" s="2388">
        <f t="shared" si="563"/>
        <v>1.2181820539587238</v>
      </c>
      <c r="AQ326" s="2388">
        <f t="shared" si="563"/>
        <v>1.2578015843462267</v>
      </c>
      <c r="AR326" s="2390">
        <f t="shared" si="563"/>
        <v>1.4030308418520545</v>
      </c>
      <c r="AS326" s="2388">
        <f t="shared" si="563"/>
        <v>1.4851290990303954</v>
      </c>
      <c r="AT326" s="2388">
        <f t="shared" si="563"/>
        <v>1.5463138990604182</v>
      </c>
      <c r="AU326" s="2388">
        <f t="shared" si="563"/>
        <v>1.6302336772505617</v>
      </c>
      <c r="AV326" s="2390">
        <f t="shared" si="563"/>
        <v>1.7946656474195917</v>
      </c>
      <c r="AW326" s="2388">
        <f t="shared" si="563"/>
        <v>1.884575143499797</v>
      </c>
      <c r="AX326" s="2388">
        <f t="shared" si="563"/>
        <v>1.9419192233079476</v>
      </c>
      <c r="AY326" s="2388">
        <f t="shared" si="563"/>
        <v>2.0263222316776055</v>
      </c>
      <c r="AZ326" s="2390">
        <f t="shared" si="563"/>
        <v>2.1991516154838364</v>
      </c>
      <c r="BA326" s="2388">
        <f t="shared" si="563"/>
        <v>2.2956820996820415</v>
      </c>
      <c r="BB326" s="2388">
        <f t="shared" si="563"/>
        <v>2.362101935686153</v>
      </c>
      <c r="BC326" s="2388">
        <f t="shared" si="563"/>
        <v>2.4597658335407178</v>
      </c>
      <c r="BD326" s="2390">
        <f t="shared" si="563"/>
        <v>2.6549899471064604</v>
      </c>
      <c r="BE326" s="2244"/>
      <c r="BF326" s="2386"/>
      <c r="BG326" s="2385"/>
      <c r="BH326" s="2385"/>
      <c r="BI326" s="2388"/>
      <c r="BJ326" s="2388"/>
      <c r="BK326" s="2388"/>
      <c r="BL326" s="2388">
        <f t="shared" ref="BL326:BY326" si="564">BL490/AVERAGE(BK320:BL320)</f>
        <v>1.4353829160530189</v>
      </c>
      <c r="BM326" s="2388">
        <f t="shared" si="564"/>
        <v>1.8699013596374299</v>
      </c>
      <c r="BN326" s="2388">
        <f t="shared" si="564"/>
        <v>2.498968281003449</v>
      </c>
      <c r="BO326" s="2388">
        <f t="shared" si="564"/>
        <v>3.249716342650828</v>
      </c>
      <c r="BP326" s="2388">
        <f t="shared" si="564"/>
        <v>4.5647154245796582</v>
      </c>
      <c r="BQ326" s="2388">
        <f t="shared" si="564"/>
        <v>5.6276913875598096</v>
      </c>
      <c r="BR326" s="2388">
        <f t="shared" si="564"/>
        <v>6.7647190008098548</v>
      </c>
      <c r="BS326" s="2388">
        <f t="shared" si="564"/>
        <v>8.4065785850615544</v>
      </c>
      <c r="BT326" s="2388">
        <f t="shared" si="564"/>
        <v>10.160628227460682</v>
      </c>
      <c r="BU326" s="2388">
        <f t="shared" si="564"/>
        <v>12.043104046017286</v>
      </c>
      <c r="BV326" s="2388">
        <f t="shared" si="564"/>
        <v>14.321126207985619</v>
      </c>
      <c r="BW326" s="2388">
        <f t="shared" si="564"/>
        <v>17.099999567306138</v>
      </c>
      <c r="BX326" s="2388">
        <f t="shared" si="564"/>
        <v>20.684916863129857</v>
      </c>
      <c r="BY326" s="2388">
        <f t="shared" si="564"/>
        <v>25.568087315848626</v>
      </c>
      <c r="BZ326" s="2387"/>
    </row>
    <row r="327" spans="1:85" s="54" customFormat="1" ht="11.25" hidden="1" customHeight="1" outlineLevel="1">
      <c r="H327" s="83"/>
      <c r="I327" s="653" t="s">
        <v>132</v>
      </c>
      <c r="J327" s="13"/>
      <c r="K327" s="5"/>
      <c r="L327" s="5"/>
      <c r="M327" s="14"/>
      <c r="N327" s="924"/>
      <c r="O327" s="924"/>
      <c r="P327" s="924"/>
      <c r="Q327" s="2394"/>
      <c r="R327" s="2068">
        <f t="shared" ref="R327:AB327" si="565">R326/N326-1</f>
        <v>3.8504861527717482E-2</v>
      </c>
      <c r="S327" s="2068">
        <f t="shared" si="565"/>
        <v>0.10315320517191284</v>
      </c>
      <c r="T327" s="2068">
        <f t="shared" si="565"/>
        <v>0.14105167134789842</v>
      </c>
      <c r="U327" s="2394">
        <f t="shared" si="565"/>
        <v>0.20143507079749789</v>
      </c>
      <c r="V327" s="2068">
        <f t="shared" si="565"/>
        <v>0.24190076328238463</v>
      </c>
      <c r="W327" s="2068">
        <f t="shared" si="565"/>
        <v>0.2581083391469956</v>
      </c>
      <c r="X327" s="2095">
        <f t="shared" si="565"/>
        <v>0.39655752233215646</v>
      </c>
      <c r="Y327" s="2394">
        <f t="shared" si="565"/>
        <v>0.31877370588545517</v>
      </c>
      <c r="Z327" s="2068">
        <f t="shared" si="565"/>
        <v>0.26445149986643224</v>
      </c>
      <c r="AA327" s="2068">
        <f t="shared" si="565"/>
        <v>0.28936498669767374</v>
      </c>
      <c r="AB327" s="2095">
        <f t="shared" si="565"/>
        <v>0.22320827005008281</v>
      </c>
      <c r="AC327" s="2394">
        <f t="shared" ref="AC327:AJ327" si="566">AC326/Y326-1</f>
        <v>0.25163235223589453</v>
      </c>
      <c r="AD327" s="2068">
        <f t="shared" si="566"/>
        <v>0.31367004552028055</v>
      </c>
      <c r="AE327" s="2068">
        <f t="shared" si="566"/>
        <v>0.35362614505072409</v>
      </c>
      <c r="AF327" s="2095">
        <f t="shared" si="566"/>
        <v>0.38571090109652917</v>
      </c>
      <c r="AG327" s="2068">
        <f t="shared" si="566"/>
        <v>0.37363803780338678</v>
      </c>
      <c r="AH327" s="2068">
        <f t="shared" si="566"/>
        <v>0.34509198051686596</v>
      </c>
      <c r="AI327" s="2068">
        <f t="shared" si="566"/>
        <v>0.29307828339901354</v>
      </c>
      <c r="AJ327" s="2095">
        <f t="shared" si="566"/>
        <v>0.28771408484268912</v>
      </c>
      <c r="AK327" s="2068">
        <f t="shared" ref="AK327:AR327" si="567">AK326/AG326-1</f>
        <v>0.35917358092462948</v>
      </c>
      <c r="AL327" s="2068">
        <f t="shared" si="567"/>
        <v>0.39631264414269141</v>
      </c>
      <c r="AM327" s="2068">
        <f t="shared" si="567"/>
        <v>0.43940714494253807</v>
      </c>
      <c r="AN327" s="2095">
        <f t="shared" si="567"/>
        <v>0.41751039131456702</v>
      </c>
      <c r="AO327" s="2068">
        <f t="shared" si="567"/>
        <v>0.28987543852787945</v>
      </c>
      <c r="AP327" s="2068">
        <f t="shared" si="567"/>
        <v>0.15786207465416835</v>
      </c>
      <c r="AQ327" s="2068">
        <f t="shared" si="567"/>
        <v>0.10012277815211457</v>
      </c>
      <c r="AR327" s="2095">
        <f t="shared" si="567"/>
        <v>0.13442956624886393</v>
      </c>
      <c r="AS327" s="2068">
        <f t="shared" ref="AS327:BD327" si="568">AS326/AO326-1</f>
        <v>0.19396828058150395</v>
      </c>
      <c r="AT327" s="2068">
        <f t="shared" si="568"/>
        <v>0.26936191026239875</v>
      </c>
      <c r="AU327" s="2068">
        <f t="shared" si="568"/>
        <v>0.29609764969243191</v>
      </c>
      <c r="AV327" s="2095">
        <f t="shared" si="568"/>
        <v>0.27913485141250649</v>
      </c>
      <c r="AW327" s="2068">
        <f t="shared" si="568"/>
        <v>0.26896385285978863</v>
      </c>
      <c r="AX327" s="2068">
        <f t="shared" si="568"/>
        <v>0.25583765656372215</v>
      </c>
      <c r="AY327" s="2068">
        <f t="shared" si="568"/>
        <v>0.24296428171883866</v>
      </c>
      <c r="AZ327" s="2095">
        <f t="shared" si="568"/>
        <v>0.2253823538918367</v>
      </c>
      <c r="BA327" s="2068">
        <f t="shared" si="568"/>
        <v>0.21814304279679075</v>
      </c>
      <c r="BB327" s="2068">
        <f t="shared" si="568"/>
        <v>0.21637496932670985</v>
      </c>
      <c r="BC327" s="2068">
        <f t="shared" si="568"/>
        <v>0.21390655202171938</v>
      </c>
      <c r="BD327" s="2095">
        <f t="shared" si="568"/>
        <v>0.20727917457493472</v>
      </c>
      <c r="BE327" s="2395"/>
      <c r="BF327" s="805"/>
      <c r="BG327" s="14"/>
      <c r="BH327" s="14"/>
      <c r="BI327" s="14"/>
      <c r="BJ327" s="14"/>
      <c r="BK327" s="14"/>
      <c r="BL327" s="14"/>
      <c r="BM327" s="2068">
        <f>BM326/BL326-1</f>
        <v>0.30271953130056706</v>
      </c>
      <c r="BN327" s="2068">
        <f t="shared" ref="BN327:BY327" si="569">BN326/BM326-1</f>
        <v>0.33641716881151096</v>
      </c>
      <c r="BO327" s="2068">
        <f t="shared" si="569"/>
        <v>0.3004232055902365</v>
      </c>
      <c r="BP327" s="2068">
        <f t="shared" si="569"/>
        <v>0.40465041969052962</v>
      </c>
      <c r="BQ327" s="2068">
        <f t="shared" si="569"/>
        <v>0.23286795870260324</v>
      </c>
      <c r="BR327" s="2068">
        <f t="shared" si="569"/>
        <v>0.20204157174707205</v>
      </c>
      <c r="BS327" s="2068">
        <f t="shared" si="569"/>
        <v>0.24270920699812382</v>
      </c>
      <c r="BT327" s="2068">
        <f t="shared" si="569"/>
        <v>0.2086520246793464</v>
      </c>
      <c r="BU327" s="2068">
        <f t="shared" si="569"/>
        <v>0.18527159703264395</v>
      </c>
      <c r="BV327" s="2068">
        <f t="shared" si="569"/>
        <v>0.18915573204913794</v>
      </c>
      <c r="BW327" s="2068">
        <f t="shared" si="569"/>
        <v>0.19404014174325113</v>
      </c>
      <c r="BX327" s="2068">
        <f t="shared" si="569"/>
        <v>0.2096442916102641</v>
      </c>
      <c r="BY327" s="2095">
        <f t="shared" si="569"/>
        <v>0.23607397046989598</v>
      </c>
      <c r="BZ327" s="248"/>
    </row>
    <row r="328" spans="1:85" s="54" customFormat="1" ht="11.25" hidden="1" customHeight="1" outlineLevel="1">
      <c r="H328" s="83"/>
      <c r="I328" s="653" t="s">
        <v>623</v>
      </c>
      <c r="J328" s="13"/>
      <c r="K328" s="5"/>
      <c r="L328" s="5"/>
      <c r="M328" s="14"/>
      <c r="N328" s="924"/>
      <c r="O328" s="924"/>
      <c r="P328" s="924"/>
      <c r="Q328" s="2394"/>
      <c r="R328" s="2068"/>
      <c r="S328" s="2068"/>
      <c r="T328" s="2068"/>
      <c r="U328" s="2394"/>
      <c r="V328" s="2068">
        <f t="shared" ref="V328:AB328" si="570">V327+R327</f>
        <v>0.28040562481010212</v>
      </c>
      <c r="W328" s="2068">
        <f t="shared" si="570"/>
        <v>0.36126154431890845</v>
      </c>
      <c r="X328" s="2095">
        <f t="shared" si="570"/>
        <v>0.53760919368005489</v>
      </c>
      <c r="Y328" s="2394">
        <f t="shared" si="570"/>
        <v>0.52020877668295307</v>
      </c>
      <c r="Z328" s="2068">
        <f t="shared" si="570"/>
        <v>0.50635226314881687</v>
      </c>
      <c r="AA328" s="2068">
        <f t="shared" si="570"/>
        <v>0.54747332584466935</v>
      </c>
      <c r="AB328" s="2095">
        <f t="shared" si="570"/>
        <v>0.61976579238223928</v>
      </c>
      <c r="AC328" s="2394">
        <f t="shared" ref="AC328:BC328" si="571">AC327+Y327</f>
        <v>0.5704060581213497</v>
      </c>
      <c r="AD328" s="2068">
        <f t="shared" si="571"/>
        <v>0.57812154538671279</v>
      </c>
      <c r="AE328" s="2068">
        <f t="shared" si="571"/>
        <v>0.64299113174839784</v>
      </c>
      <c r="AF328" s="2095">
        <f t="shared" si="571"/>
        <v>0.60891917114661198</v>
      </c>
      <c r="AG328" s="2068">
        <f t="shared" si="571"/>
        <v>0.62527039003928131</v>
      </c>
      <c r="AH328" s="2068">
        <f t="shared" si="571"/>
        <v>0.65876202603714651</v>
      </c>
      <c r="AI328" s="2068">
        <f t="shared" si="571"/>
        <v>0.64670442844973763</v>
      </c>
      <c r="AJ328" s="2095">
        <f t="shared" si="571"/>
        <v>0.67342498593921829</v>
      </c>
      <c r="AK328" s="2068">
        <f t="shared" si="571"/>
        <v>0.73281161872801626</v>
      </c>
      <c r="AL328" s="2068">
        <f t="shared" si="571"/>
        <v>0.74140462465955737</v>
      </c>
      <c r="AM328" s="2068">
        <f t="shared" si="571"/>
        <v>0.73248542834155161</v>
      </c>
      <c r="AN328" s="2095">
        <f t="shared" si="571"/>
        <v>0.70522447615725614</v>
      </c>
      <c r="AO328" s="2068">
        <f t="shared" si="571"/>
        <v>0.64904901945250892</v>
      </c>
      <c r="AP328" s="2068">
        <f t="shared" si="571"/>
        <v>0.55417471879685976</v>
      </c>
      <c r="AQ328" s="2068">
        <f t="shared" si="571"/>
        <v>0.53952992309465264</v>
      </c>
      <c r="AR328" s="2095">
        <f t="shared" si="571"/>
        <v>0.55193995756343095</v>
      </c>
      <c r="AS328" s="2068">
        <f t="shared" si="571"/>
        <v>0.4838437191093834</v>
      </c>
      <c r="AT328" s="2068">
        <f t="shared" si="571"/>
        <v>0.4272239849165671</v>
      </c>
      <c r="AU328" s="2068">
        <f t="shared" si="571"/>
        <v>0.39622042784454647</v>
      </c>
      <c r="AV328" s="2095">
        <f t="shared" si="571"/>
        <v>0.41356441766137042</v>
      </c>
      <c r="AW328" s="2068">
        <f t="shared" si="571"/>
        <v>0.46293213344129258</v>
      </c>
      <c r="AX328" s="2068">
        <f t="shared" si="571"/>
        <v>0.5251995668261209</v>
      </c>
      <c r="AY328" s="2068">
        <f t="shared" si="571"/>
        <v>0.53906193141127057</v>
      </c>
      <c r="AZ328" s="2095">
        <f t="shared" si="571"/>
        <v>0.50451720530434319</v>
      </c>
      <c r="BA328" s="2068">
        <f t="shared" si="571"/>
        <v>0.48710689565657939</v>
      </c>
      <c r="BB328" s="2068">
        <f t="shared" si="571"/>
        <v>0.472212625890432</v>
      </c>
      <c r="BC328" s="2068">
        <f t="shared" si="571"/>
        <v>0.45687083374055804</v>
      </c>
      <c r="BD328" s="2095">
        <f>BD327+AZ327</f>
        <v>0.43266152846677142</v>
      </c>
      <c r="BE328" s="2395"/>
      <c r="BF328" s="805"/>
      <c r="BG328" s="14"/>
      <c r="BH328" s="14"/>
      <c r="BI328" s="14"/>
      <c r="BJ328" s="14"/>
      <c r="BK328" s="14"/>
      <c r="BL328" s="14"/>
      <c r="BM328" s="2068"/>
      <c r="BN328" s="2068">
        <f>BN327+BM327</f>
        <v>0.63913670011207802</v>
      </c>
      <c r="BO328" s="2068">
        <f>BO327+BN327</f>
        <v>0.63684037440174746</v>
      </c>
      <c r="BP328" s="2068">
        <f>BP327+BO327</f>
        <v>0.70507362528076611</v>
      </c>
      <c r="BQ328" s="2068">
        <f>BQ327+BP327</f>
        <v>0.63751837839313286</v>
      </c>
      <c r="BR328" s="2068">
        <f t="shared" ref="BR328:BY328" si="572">BR327+BQ327</f>
        <v>0.43490953044967529</v>
      </c>
      <c r="BS328" s="2068">
        <f t="shared" si="572"/>
        <v>0.44475077874519586</v>
      </c>
      <c r="BT328" s="2068">
        <f t="shared" si="572"/>
        <v>0.45136123167747022</v>
      </c>
      <c r="BU328" s="2068">
        <f t="shared" si="572"/>
        <v>0.39392362171199036</v>
      </c>
      <c r="BV328" s="2068">
        <f t="shared" si="572"/>
        <v>0.37442732908178189</v>
      </c>
      <c r="BW328" s="2068">
        <f t="shared" si="572"/>
        <v>0.38319587379238906</v>
      </c>
      <c r="BX328" s="2068">
        <f t="shared" si="572"/>
        <v>0.40368443335351523</v>
      </c>
      <c r="BY328" s="2095">
        <f t="shared" si="572"/>
        <v>0.44571826208016008</v>
      </c>
      <c r="BZ328" s="248"/>
    </row>
    <row r="329" spans="1:85" s="54" customFormat="1" ht="11.25" hidden="1" customHeight="1" outlineLevel="1">
      <c r="H329" s="83"/>
      <c r="I329" s="653" t="s">
        <v>146</v>
      </c>
      <c r="J329" s="13"/>
      <c r="K329" s="5"/>
      <c r="L329" s="5"/>
      <c r="M329" s="14"/>
      <c r="N329" s="924"/>
      <c r="O329" s="2068">
        <f t="shared" ref="O329:AB329" si="573">O326/N326-1</f>
        <v>-3.016642162002714E-2</v>
      </c>
      <c r="P329" s="2068">
        <f t="shared" si="573"/>
        <v>-1.0825818596924552E-2</v>
      </c>
      <c r="Q329" s="2394">
        <f t="shared" si="573"/>
        <v>3.829854536629318E-2</v>
      </c>
      <c r="R329" s="2068">
        <f t="shared" si="573"/>
        <v>4.2596588578086569E-2</v>
      </c>
      <c r="S329" s="2068">
        <f t="shared" si="573"/>
        <v>3.0207041014085778E-2</v>
      </c>
      <c r="T329" s="2068">
        <f t="shared" si="573"/>
        <v>2.3156935639120579E-2</v>
      </c>
      <c r="U329" s="2394">
        <f t="shared" si="573"/>
        <v>9.3244344392843681E-2</v>
      </c>
      <c r="V329" s="2068">
        <f t="shared" si="573"/>
        <v>7.771242127238942E-2</v>
      </c>
      <c r="W329" s="2068">
        <f t="shared" si="573"/>
        <v>4.3651882395260966E-2</v>
      </c>
      <c r="X329" s="2095">
        <f t="shared" si="573"/>
        <v>0.1357507700504812</v>
      </c>
      <c r="Y329" s="2394">
        <f t="shared" si="573"/>
        <v>3.2354108182850894E-2</v>
      </c>
      <c r="Z329" s="2068">
        <f t="shared" si="573"/>
        <v>3.331987999229824E-2</v>
      </c>
      <c r="AA329" s="2068">
        <f t="shared" si="573"/>
        <v>6.421495455042181E-2</v>
      </c>
      <c r="AB329" s="2095">
        <f t="shared" si="573"/>
        <v>7.7475927277717904E-2</v>
      </c>
      <c r="AC329" s="2394">
        <f t="shared" ref="AC329:BD329" si="574">AC326/AB326-1</f>
        <v>5.6343251106687031E-2</v>
      </c>
      <c r="AD329" s="2068">
        <f t="shared" si="574"/>
        <v>8.4536822143965296E-2</v>
      </c>
      <c r="AE329" s="2068">
        <f t="shared" si="574"/>
        <v>9.658372081011235E-2</v>
      </c>
      <c r="AF329" s="2095">
        <f t="shared" si="574"/>
        <v>0.10301514458549055</v>
      </c>
      <c r="AG329" s="2068">
        <f t="shared" si="574"/>
        <v>4.7139969490620492E-2</v>
      </c>
      <c r="AH329" s="2068">
        <f t="shared" si="574"/>
        <v>6.1998679341971785E-2</v>
      </c>
      <c r="AI329" s="2068">
        <f t="shared" si="574"/>
        <v>5.4179651538457385E-2</v>
      </c>
      <c r="AJ329" s="2095">
        <f t="shared" si="574"/>
        <v>9.8439402867335435E-2</v>
      </c>
      <c r="AK329" s="2068">
        <f t="shared" si="574"/>
        <v>0.10524921550092503</v>
      </c>
      <c r="AL329" s="2068">
        <f t="shared" si="574"/>
        <v>9.1017515966759666E-2</v>
      </c>
      <c r="AM329" s="2068">
        <f t="shared" si="574"/>
        <v>8.6714876387258277E-2</v>
      </c>
      <c r="AN329" s="2095">
        <f t="shared" si="574"/>
        <v>8.1729567110057744E-2</v>
      </c>
      <c r="AO329" s="2068">
        <f t="shared" si="574"/>
        <v>5.7307694264943088E-3</v>
      </c>
      <c r="AP329" s="2068">
        <f t="shared" si="574"/>
        <v>-2.0643570077557016E-2</v>
      </c>
      <c r="AQ329" s="2068">
        <f t="shared" si="574"/>
        <v>3.252348879935596E-2</v>
      </c>
      <c r="AR329" s="2095">
        <f t="shared" si="574"/>
        <v>0.11546277196121868</v>
      </c>
      <c r="AS329" s="2068">
        <f t="shared" si="574"/>
        <v>5.8514934048041312E-2</v>
      </c>
      <c r="AT329" s="2068">
        <f t="shared" si="574"/>
        <v>4.1198303952140414E-2</v>
      </c>
      <c r="AU329" s="2068">
        <f t="shared" si="574"/>
        <v>5.4270855510731408E-2</v>
      </c>
      <c r="AV329" s="2095">
        <f t="shared" si="574"/>
        <v>0.10086404940814964</v>
      </c>
      <c r="AW329" s="2068">
        <f t="shared" si="574"/>
        <v>5.0098187486610213E-2</v>
      </c>
      <c r="AX329" s="2068">
        <f t="shared" si="574"/>
        <v>3.0428120632886246E-2</v>
      </c>
      <c r="AY329" s="2068">
        <f t="shared" si="574"/>
        <v>4.3463707118508443E-2</v>
      </c>
      <c r="AZ329" s="2095">
        <f t="shared" si="574"/>
        <v>8.5292152010366218E-2</v>
      </c>
      <c r="BA329" s="2068">
        <f t="shared" si="574"/>
        <v>4.3894419792865236E-2</v>
      </c>
      <c r="BB329" s="2068">
        <f t="shared" si="574"/>
        <v>2.8932505948149778E-2</v>
      </c>
      <c r="BC329" s="2068">
        <f t="shared" si="574"/>
        <v>4.1346182558457123E-2</v>
      </c>
      <c r="BD329" s="2095">
        <f t="shared" si="574"/>
        <v>7.936695066811561E-2</v>
      </c>
      <c r="BE329" s="955"/>
      <c r="BF329" s="805"/>
      <c r="BG329" s="14"/>
      <c r="BH329" s="14"/>
      <c r="BI329" s="14"/>
      <c r="BJ329" s="14"/>
      <c r="BK329" s="14"/>
      <c r="BL329" s="14"/>
      <c r="BM329" s="197"/>
      <c r="BN329" s="2396" t="s">
        <v>515</v>
      </c>
      <c r="BO329" s="199" t="s">
        <v>515</v>
      </c>
      <c r="BP329" s="199" t="s">
        <v>515</v>
      </c>
      <c r="BQ329" s="199" t="s">
        <v>515</v>
      </c>
      <c r="BR329" s="199" t="s">
        <v>515</v>
      </c>
      <c r="BS329" s="199" t="s">
        <v>515</v>
      </c>
      <c r="BT329" s="199" t="s">
        <v>515</v>
      </c>
      <c r="BU329" s="199" t="s">
        <v>515</v>
      </c>
      <c r="BV329" s="199" t="s">
        <v>515</v>
      </c>
      <c r="BW329" s="199" t="s">
        <v>515</v>
      </c>
      <c r="BX329" s="199" t="s">
        <v>515</v>
      </c>
      <c r="BY329" s="620" t="s">
        <v>515</v>
      </c>
      <c r="BZ329" s="248"/>
    </row>
    <row r="330" spans="1:85" s="54" customFormat="1" ht="11.25" hidden="1" customHeight="1" outlineLevel="1">
      <c r="H330" s="83"/>
      <c r="I330" s="994" t="s">
        <v>380</v>
      </c>
      <c r="J330" s="13"/>
      <c r="K330" s="5"/>
      <c r="L330" s="5"/>
      <c r="M330" s="14"/>
      <c r="N330" s="924"/>
      <c r="O330" s="924"/>
      <c r="P330" s="924"/>
      <c r="Q330" s="2391">
        <f t="shared" ref="Q330:AB330" si="575">Q326-M326</f>
        <v>0.26045281004490967</v>
      </c>
      <c r="R330" s="2392">
        <f t="shared" si="575"/>
        <v>1.0068212633680906E-2</v>
      </c>
      <c r="S330" s="2392">
        <f t="shared" si="575"/>
        <v>2.6158736097512236E-2</v>
      </c>
      <c r="T330" s="2392">
        <f t="shared" si="575"/>
        <v>3.538221673144204E-2</v>
      </c>
      <c r="U330" s="2391">
        <f t="shared" si="575"/>
        <v>5.2464330230803657E-2</v>
      </c>
      <c r="V330" s="2392">
        <f t="shared" si="575"/>
        <v>6.568747766577171E-2</v>
      </c>
      <c r="W330" s="2392">
        <f t="shared" si="575"/>
        <v>7.2205768898280065E-2</v>
      </c>
      <c r="X330" s="2393">
        <f t="shared" si="575"/>
        <v>0.11350586580158945</v>
      </c>
      <c r="Y330" s="2392">
        <f t="shared" si="575"/>
        <v>9.9749756440767945E-2</v>
      </c>
      <c r="Z330" s="2392">
        <f t="shared" si="575"/>
        <v>8.9182219287697651E-2</v>
      </c>
      <c r="AA330" s="2392">
        <f t="shared" si="575"/>
        <v>0.1018436326871226</v>
      </c>
      <c r="AB330" s="2392">
        <f t="shared" si="575"/>
        <v>8.9223904271718446E-2</v>
      </c>
      <c r="AC330" s="2391">
        <f t="shared" ref="AC330:BC330" si="576">AC326-Y326</f>
        <v>0.10384034191065517</v>
      </c>
      <c r="AD330" s="2392">
        <f t="shared" si="576"/>
        <v>0.13375421100316071</v>
      </c>
      <c r="AE330" s="2392">
        <f t="shared" si="576"/>
        <v>0.16047527960630942</v>
      </c>
      <c r="AF330" s="2393">
        <f t="shared" si="576"/>
        <v>0.18859634141178611</v>
      </c>
      <c r="AG330" s="2392">
        <f t="shared" si="576"/>
        <v>0.1929867511518889</v>
      </c>
      <c r="AH330" s="2392">
        <f t="shared" si="576"/>
        <v>0.19331056095136201</v>
      </c>
      <c r="AI330" s="2392">
        <f t="shared" si="576"/>
        <v>0.18003052484008397</v>
      </c>
      <c r="AJ330" s="2393">
        <f t="shared" si="576"/>
        <v>0.19494186060910268</v>
      </c>
      <c r="AK330" s="2392">
        <f t="shared" si="576"/>
        <v>0.25483149695343499</v>
      </c>
      <c r="AL330" s="2392">
        <f t="shared" si="576"/>
        <v>0.298614316971894</v>
      </c>
      <c r="AM330" s="2392">
        <f t="shared" si="576"/>
        <v>0.34902331643859241</v>
      </c>
      <c r="AN330" s="2393">
        <f t="shared" si="576"/>
        <v>0.36427613399192027</v>
      </c>
      <c r="AO330" s="2392">
        <f t="shared" si="576"/>
        <v>0.27953427335018277</v>
      </c>
      <c r="AP330" s="2392">
        <f t="shared" si="576"/>
        <v>0.16608605684043853</v>
      </c>
      <c r="AQ330" s="2392">
        <f t="shared" si="576"/>
        <v>0.1144732128903001</v>
      </c>
      <c r="AR330" s="2393">
        <f t="shared" si="576"/>
        <v>0.16625873753238762</v>
      </c>
      <c r="AS330" s="2392">
        <f t="shared" si="576"/>
        <v>0.24126933894775227</v>
      </c>
      <c r="AT330" s="2392">
        <f t="shared" si="576"/>
        <v>0.32813184510169435</v>
      </c>
      <c r="AU330" s="2392">
        <f t="shared" si="576"/>
        <v>0.37243209290433499</v>
      </c>
      <c r="AV330" s="2393">
        <f t="shared" si="576"/>
        <v>0.39163480556753716</v>
      </c>
      <c r="AW330" s="2392">
        <f t="shared" si="576"/>
        <v>0.39944604446940168</v>
      </c>
      <c r="AX330" s="2392">
        <f t="shared" si="576"/>
        <v>0.39560532424752948</v>
      </c>
      <c r="AY330" s="2392">
        <f t="shared" si="576"/>
        <v>0.39608855442704383</v>
      </c>
      <c r="AZ330" s="2393">
        <f t="shared" si="576"/>
        <v>0.40448596806424475</v>
      </c>
      <c r="BA330" s="2392">
        <f t="shared" si="576"/>
        <v>0.41110695618224447</v>
      </c>
      <c r="BB330" s="2392">
        <f t="shared" si="576"/>
        <v>0.42018271237820537</v>
      </c>
      <c r="BC330" s="2392">
        <f t="shared" si="576"/>
        <v>0.43344360186311226</v>
      </c>
      <c r="BD330" s="2393">
        <f>BD326-AZ326</f>
        <v>0.45583833162262399</v>
      </c>
      <c r="BE330" s="955"/>
      <c r="BF330" s="805"/>
      <c r="BG330" s="14"/>
      <c r="BH330" s="14"/>
      <c r="BI330" s="14"/>
      <c r="BJ330" s="14"/>
      <c r="BK330" s="14"/>
      <c r="BL330" s="14"/>
      <c r="BM330" s="197"/>
      <c r="BN330" s="2391">
        <f>BN326-BM326</f>
        <v>0.62906692136601916</v>
      </c>
      <c r="BO330" s="2392">
        <f>BO326-BN326</f>
        <v>0.75074806164737895</v>
      </c>
      <c r="BP330" s="2392">
        <f t="shared" ref="BP330:BY330" si="577">BP326-BO326</f>
        <v>1.3149990819288302</v>
      </c>
      <c r="BQ330" s="2392">
        <f t="shared" si="577"/>
        <v>1.0629759629801514</v>
      </c>
      <c r="BR330" s="2392">
        <f t="shared" si="577"/>
        <v>1.1370276132500452</v>
      </c>
      <c r="BS330" s="2392">
        <f t="shared" si="577"/>
        <v>1.6418595842516996</v>
      </c>
      <c r="BT330" s="2392">
        <f t="shared" si="577"/>
        <v>1.7540496423991279</v>
      </c>
      <c r="BU330" s="2392">
        <f t="shared" si="577"/>
        <v>1.8824758185566033</v>
      </c>
      <c r="BV330" s="2392">
        <f t="shared" si="577"/>
        <v>2.2780221619683338</v>
      </c>
      <c r="BW330" s="2392">
        <f t="shared" si="577"/>
        <v>2.778873359320519</v>
      </c>
      <c r="BX330" s="2392">
        <f t="shared" si="577"/>
        <v>3.5849172958237183</v>
      </c>
      <c r="BY330" s="2393">
        <f t="shared" si="577"/>
        <v>4.8831704527187689</v>
      </c>
      <c r="BZ330" s="248"/>
    </row>
    <row r="331" spans="1:85" s="54" customFormat="1" ht="11.25" hidden="1" customHeight="1" outlineLevel="1">
      <c r="H331" s="83"/>
      <c r="I331" s="994" t="s">
        <v>377</v>
      </c>
      <c r="J331" s="13"/>
      <c r="K331" s="5"/>
      <c r="L331" s="5"/>
      <c r="M331" s="14"/>
      <c r="N331" s="924"/>
      <c r="O331" s="2392">
        <f t="shared" ref="O331:AB331" si="578">O326-N326</f>
        <v>-7.887885716692411E-3</v>
      </c>
      <c r="P331" s="2392">
        <f t="shared" si="578"/>
        <v>-2.7453313859179818E-3</v>
      </c>
      <c r="Q331" s="2391">
        <f t="shared" si="578"/>
        <v>9.6070285428017654E-3</v>
      </c>
      <c r="R331" s="2392">
        <f t="shared" si="578"/>
        <v>1.1094401193489534E-2</v>
      </c>
      <c r="S331" s="2392">
        <f t="shared" si="578"/>
        <v>8.2026377471389189E-3</v>
      </c>
      <c r="T331" s="2392">
        <f t="shared" si="578"/>
        <v>6.4781492480118219E-3</v>
      </c>
      <c r="U331" s="2391">
        <f t="shared" si="578"/>
        <v>2.6689142042163383E-2</v>
      </c>
      <c r="V331" s="2392">
        <f t="shared" si="578"/>
        <v>2.4317548628457586E-2</v>
      </c>
      <c r="W331" s="2392">
        <f t="shared" si="578"/>
        <v>1.4720928979647274E-2</v>
      </c>
      <c r="X331" s="2392">
        <f t="shared" si="578"/>
        <v>4.7778246151321202E-2</v>
      </c>
      <c r="Y331" s="2392">
        <f t="shared" si="578"/>
        <v>1.2933032681341883E-2</v>
      </c>
      <c r="Z331" s="2392">
        <f t="shared" si="578"/>
        <v>1.3750011475387292E-2</v>
      </c>
      <c r="AA331" s="2392">
        <f t="shared" si="578"/>
        <v>2.7382342379072222E-2</v>
      </c>
      <c r="AB331" s="2392">
        <f t="shared" si="578"/>
        <v>3.515851773591705E-2</v>
      </c>
      <c r="AC331" s="2391">
        <f t="shared" ref="AC331:BC331" si="579">AC326-AB326</f>
        <v>2.7549470320278602E-2</v>
      </c>
      <c r="AD331" s="2392">
        <f t="shared" si="579"/>
        <v>4.3663880567892832E-2</v>
      </c>
      <c r="AE331" s="2392">
        <f t="shared" si="579"/>
        <v>5.4103410982220934E-2</v>
      </c>
      <c r="AF331" s="2393">
        <f t="shared" si="579"/>
        <v>6.3279579541393738E-2</v>
      </c>
      <c r="AG331" s="2392">
        <f t="shared" si="579"/>
        <v>3.1939880060381398E-2</v>
      </c>
      <c r="AH331" s="2392">
        <f t="shared" si="579"/>
        <v>4.3987690367365939E-2</v>
      </c>
      <c r="AI331" s="2392">
        <f t="shared" si="579"/>
        <v>4.0823374870942897E-2</v>
      </c>
      <c r="AJ331" s="2393">
        <f t="shared" si="579"/>
        <v>7.8190915310412445E-2</v>
      </c>
      <c r="AK331" s="2392">
        <f t="shared" si="579"/>
        <v>9.1829516404713707E-2</v>
      </c>
      <c r="AL331" s="2392">
        <f t="shared" si="579"/>
        <v>8.7770510385824951E-2</v>
      </c>
      <c r="AM331" s="2392">
        <f t="shared" si="579"/>
        <v>9.1232374337641309E-2</v>
      </c>
      <c r="AN331" s="2393">
        <f t="shared" si="579"/>
        <v>9.3443732863740303E-2</v>
      </c>
      <c r="AO331" s="2392">
        <f t="shared" si="579"/>
        <v>7.0876557629762083E-3</v>
      </c>
      <c r="AP331" s="2392">
        <f t="shared" si="579"/>
        <v>-2.5677706123919286E-2</v>
      </c>
      <c r="AQ331" s="2392">
        <f t="shared" si="579"/>
        <v>3.9619530387502877E-2</v>
      </c>
      <c r="AR331" s="2393">
        <f t="shared" si="579"/>
        <v>0.14522925750582782</v>
      </c>
      <c r="AS331" s="2392">
        <f t="shared" si="579"/>
        <v>8.209825717834085E-2</v>
      </c>
      <c r="AT331" s="2392">
        <f t="shared" si="579"/>
        <v>6.1184800030022801E-2</v>
      </c>
      <c r="AU331" s="2392">
        <f t="shared" si="579"/>
        <v>8.3919778190143512E-2</v>
      </c>
      <c r="AV331" s="2393">
        <f t="shared" si="579"/>
        <v>0.16443197016903</v>
      </c>
      <c r="AW331" s="2392">
        <f t="shared" si="579"/>
        <v>8.9909496080205376E-2</v>
      </c>
      <c r="AX331" s="2392">
        <f t="shared" si="579"/>
        <v>5.7344079808150594E-2</v>
      </c>
      <c r="AY331" s="2392">
        <f t="shared" si="579"/>
        <v>8.4403008369657861E-2</v>
      </c>
      <c r="AZ331" s="2393">
        <f t="shared" si="579"/>
        <v>0.17282938380623092</v>
      </c>
      <c r="BA331" s="2392">
        <f t="shared" si="579"/>
        <v>9.6530484198205091E-2</v>
      </c>
      <c r="BB331" s="2392">
        <f t="shared" si="579"/>
        <v>6.6419836004111499E-2</v>
      </c>
      <c r="BC331" s="2392">
        <f t="shared" si="579"/>
        <v>9.7663897854564752E-2</v>
      </c>
      <c r="BD331" s="2393">
        <f>BD326-BC326</f>
        <v>0.19522411356574265</v>
      </c>
      <c r="BE331" s="955"/>
      <c r="BF331" s="805"/>
      <c r="BG331" s="14"/>
      <c r="BH331" s="14"/>
      <c r="BI331" s="14"/>
      <c r="BJ331" s="14"/>
      <c r="BK331" s="14"/>
      <c r="BL331" s="14"/>
      <c r="BM331" s="197"/>
      <c r="BN331" s="2396" t="s">
        <v>515</v>
      </c>
      <c r="BO331" s="199" t="s">
        <v>515</v>
      </c>
      <c r="BP331" s="199" t="s">
        <v>515</v>
      </c>
      <c r="BQ331" s="199" t="s">
        <v>515</v>
      </c>
      <c r="BR331" s="199" t="s">
        <v>515</v>
      </c>
      <c r="BS331" s="199" t="s">
        <v>515</v>
      </c>
      <c r="BT331" s="199" t="s">
        <v>515</v>
      </c>
      <c r="BU331" s="199" t="s">
        <v>515</v>
      </c>
      <c r="BV331" s="199" t="s">
        <v>515</v>
      </c>
      <c r="BW331" s="199" t="s">
        <v>515</v>
      </c>
      <c r="BX331" s="199" t="s">
        <v>515</v>
      </c>
      <c r="BY331" s="620" t="s">
        <v>515</v>
      </c>
      <c r="BZ331" s="248"/>
    </row>
    <row r="332" spans="1:85" s="42" customFormat="1" ht="11.25" hidden="1" customHeight="1" outlineLevel="1">
      <c r="I332" s="457"/>
      <c r="J332" s="321"/>
      <c r="K332" s="321"/>
      <c r="L332" s="321"/>
      <c r="M332" s="68"/>
      <c r="N332" s="68"/>
      <c r="O332" s="68"/>
      <c r="P332" s="68"/>
      <c r="Q332" s="68"/>
      <c r="R332" s="68"/>
      <c r="S332" s="68"/>
      <c r="T332" s="68"/>
      <c r="U332" s="507"/>
      <c r="V332" s="68"/>
      <c r="W332" s="68"/>
      <c r="X332" s="475"/>
      <c r="Y332" s="68"/>
      <c r="Z332" s="68"/>
      <c r="AA332" s="68"/>
      <c r="AB332" s="68"/>
      <c r="AC332" s="507"/>
      <c r="AD332" s="68"/>
      <c r="AE332" s="68"/>
      <c r="AF332" s="475"/>
      <c r="AG332" s="68"/>
      <c r="AH332" s="68"/>
      <c r="AI332" s="68"/>
      <c r="AJ332" s="475"/>
      <c r="AK332" s="68"/>
      <c r="AL332" s="68"/>
      <c r="AM332" s="68"/>
      <c r="AN332" s="475"/>
      <c r="AO332" s="68"/>
      <c r="AP332" s="68"/>
      <c r="AQ332" s="68"/>
      <c r="AR332" s="475"/>
      <c r="AS332" s="68"/>
      <c r="AT332" s="68"/>
      <c r="AU332" s="68"/>
      <c r="AV332" s="475"/>
      <c r="AW332" s="68"/>
      <c r="AX332" s="68"/>
      <c r="AY332" s="68"/>
      <c r="AZ332" s="475"/>
      <c r="BA332" s="68"/>
      <c r="BB332" s="68"/>
      <c r="BC332" s="68"/>
      <c r="BD332" s="475"/>
      <c r="BE332" s="68"/>
      <c r="BF332" s="507"/>
      <c r="BG332" s="68"/>
      <c r="BH332" s="68"/>
      <c r="BI332" s="68"/>
      <c r="BJ332" s="68"/>
      <c r="BK332" s="68"/>
      <c r="BL332" s="68"/>
      <c r="BM332" s="68"/>
      <c r="BN332" s="507"/>
      <c r="BO332" s="292"/>
      <c r="BP332" s="68"/>
      <c r="BQ332" s="68"/>
      <c r="BR332" s="68"/>
      <c r="BS332" s="68"/>
      <c r="BT332" s="68"/>
      <c r="BU332" s="68"/>
      <c r="BV332" s="68"/>
      <c r="BW332" s="68"/>
      <c r="BX332" s="68"/>
      <c r="BY332" s="475"/>
      <c r="BZ332" s="292"/>
    </row>
    <row r="333" spans="1:85" s="54" customFormat="1" ht="11.25" customHeight="1" collapsed="1">
      <c r="H333" s="83"/>
      <c r="I333" s="783" t="s">
        <v>276</v>
      </c>
      <c r="J333" s="343"/>
      <c r="K333" s="331"/>
      <c r="L333" s="331"/>
      <c r="M333" s="344"/>
      <c r="N333" s="344"/>
      <c r="O333" s="344"/>
      <c r="P333" s="344"/>
      <c r="Q333" s="937">
        <f t="shared" ref="Q333:X333" si="580">Q320-Q341</f>
        <v>40.262619999999998</v>
      </c>
      <c r="R333" s="937">
        <f t="shared" si="580"/>
        <v>43.310400000000001</v>
      </c>
      <c r="S333" s="937">
        <f t="shared" si="580"/>
        <v>50.02984</v>
      </c>
      <c r="T333" s="937">
        <f t="shared" si="580"/>
        <v>52.636800000000008</v>
      </c>
      <c r="U333" s="938">
        <f t="shared" si="580"/>
        <v>55.729439999999997</v>
      </c>
      <c r="V333" s="937">
        <f t="shared" si="580"/>
        <v>59.53004</v>
      </c>
      <c r="W333" s="937">
        <f t="shared" si="580"/>
        <v>62.653499999999994</v>
      </c>
      <c r="X333" s="939">
        <f t="shared" si="580"/>
        <v>53.333399999999997</v>
      </c>
      <c r="Y333" s="932">
        <v>71.808999999999997</v>
      </c>
      <c r="Z333" s="932">
        <v>73.366</v>
      </c>
      <c r="AA333" s="932">
        <v>78.718999999999994</v>
      </c>
      <c r="AB333" s="932">
        <v>77.712999999999994</v>
      </c>
      <c r="AC333" s="933">
        <v>82.210999999999999</v>
      </c>
      <c r="AD333" s="932">
        <v>81.884</v>
      </c>
      <c r="AE333" s="932">
        <v>80.468000000000004</v>
      </c>
      <c r="AF333" s="1182">
        <v>77.628</v>
      </c>
      <c r="AG333" s="933">
        <v>79.543000000000006</v>
      </c>
      <c r="AH333" s="932">
        <v>79.174999999999997</v>
      </c>
      <c r="AI333" s="932">
        <v>78.900999999999996</v>
      </c>
      <c r="AJ333" s="2472">
        <v>74.606999999999999</v>
      </c>
      <c r="AK333" s="2473">
        <v>77.433000000000007</v>
      </c>
      <c r="AL333" s="2473">
        <v>73.406000000000006</v>
      </c>
      <c r="AM333" s="2473">
        <v>71.409000000000006</v>
      </c>
      <c r="AN333" s="2472">
        <v>67.888000000000005</v>
      </c>
      <c r="AO333" s="2473">
        <v>78.167000000000002</v>
      </c>
      <c r="AP333" s="2473">
        <v>82.998000000000005</v>
      </c>
      <c r="AQ333" s="2473">
        <v>83.591999999999999</v>
      </c>
      <c r="AR333" s="2472">
        <v>76.748000000000005</v>
      </c>
      <c r="AS333" s="944">
        <f t="shared" ref="AS333:BD333" si="581">AR333+AS335</f>
        <v>75.498000000000005</v>
      </c>
      <c r="AT333" s="944">
        <f t="shared" si="581"/>
        <v>73.998000000000005</v>
      </c>
      <c r="AU333" s="944">
        <f t="shared" si="581"/>
        <v>72.498000000000005</v>
      </c>
      <c r="AV333" s="943">
        <f t="shared" si="581"/>
        <v>70.998000000000005</v>
      </c>
      <c r="AW333" s="944">
        <f t="shared" si="581"/>
        <v>69.748000000000005</v>
      </c>
      <c r="AX333" s="944">
        <f t="shared" si="581"/>
        <v>68.248000000000005</v>
      </c>
      <c r="AY333" s="944">
        <f t="shared" si="581"/>
        <v>66.748000000000005</v>
      </c>
      <c r="AZ333" s="943">
        <f t="shared" si="581"/>
        <v>65.248000000000005</v>
      </c>
      <c r="BA333" s="944">
        <f t="shared" si="581"/>
        <v>63.998000000000005</v>
      </c>
      <c r="BB333" s="944">
        <f t="shared" si="581"/>
        <v>62.498000000000005</v>
      </c>
      <c r="BC333" s="944">
        <f t="shared" si="581"/>
        <v>60.998000000000005</v>
      </c>
      <c r="BD333" s="943">
        <f t="shared" si="581"/>
        <v>59.498000000000005</v>
      </c>
      <c r="BE333" s="1201"/>
      <c r="BF333" s="810"/>
      <c r="BG333" s="345"/>
      <c r="BH333" s="345"/>
      <c r="BI333" s="345"/>
      <c r="BJ333" s="345"/>
      <c r="BK333" s="345"/>
      <c r="BL333" s="216">
        <f>X333</f>
        <v>53.333399999999997</v>
      </c>
      <c r="BM333" s="1241">
        <f>AB333</f>
        <v>77.712999999999994</v>
      </c>
      <c r="BN333" s="1405">
        <f>+AF333</f>
        <v>77.628</v>
      </c>
      <c r="BO333" s="216">
        <f>+AJ333</f>
        <v>74.606999999999999</v>
      </c>
      <c r="BP333" s="428">
        <f>+AN333</f>
        <v>67.888000000000005</v>
      </c>
      <c r="BQ333" s="428">
        <f>AR333</f>
        <v>76.748000000000005</v>
      </c>
      <c r="BR333" s="428">
        <f>AV333</f>
        <v>70.998000000000005</v>
      </c>
      <c r="BS333" s="428">
        <f>AZ333</f>
        <v>65.248000000000005</v>
      </c>
      <c r="BT333" s="428">
        <f>BD333</f>
        <v>59.498000000000005</v>
      </c>
      <c r="BU333" s="322">
        <f>BT333+BU336</f>
        <v>53.748000000000005</v>
      </c>
      <c r="BV333" s="322">
        <f>BU333+BV336</f>
        <v>47.998000000000005</v>
      </c>
      <c r="BW333" s="322">
        <f>BV333+BW336</f>
        <v>42.248000000000005</v>
      </c>
      <c r="BX333" s="322">
        <f>BW333+BX336</f>
        <v>36.498000000000005</v>
      </c>
      <c r="BY333" s="734">
        <f>BX333+BY336</f>
        <v>30.748000000000005</v>
      </c>
      <c r="BZ333" s="269"/>
      <c r="CA333" s="200" t="str">
        <f>IF(ISERROR(RATE(5,,-BI333,BN333)),"NM",(RATE(5,,-BI333,BN333)))</f>
        <v>NM</v>
      </c>
      <c r="CB333" s="200" t="str">
        <f t="shared" ref="CB333:CG333" si="582">IF(ISERROR(RATE(3,,-BK333,BN333)),"NM",(RATE(3,,-BK333,BN333)))</f>
        <v>NM</v>
      </c>
      <c r="CC333" s="200">
        <f t="shared" si="582"/>
        <v>0.11839041256851046</v>
      </c>
      <c r="CD333" s="200">
        <f t="shared" si="582"/>
        <v>-4.4054543754972919E-2</v>
      </c>
      <c r="CE333" s="200">
        <f t="shared" si="582"/>
        <v>-3.7930745014187529E-3</v>
      </c>
      <c r="CF333" s="200">
        <f t="shared" si="582"/>
        <v>-1.6391712491139663E-2</v>
      </c>
      <c r="CG333" s="200">
        <f t="shared" si="582"/>
        <v>-1.3134280578378293E-2</v>
      </c>
    </row>
    <row r="334" spans="1:85" s="54" customFormat="1" ht="11.25" customHeight="1">
      <c r="H334" s="83"/>
      <c r="I334" s="653" t="s">
        <v>132</v>
      </c>
      <c r="M334" s="198"/>
      <c r="N334" s="198"/>
      <c r="O334" s="198"/>
      <c r="P334" s="198"/>
      <c r="Q334" s="198" t="str">
        <f t="shared" ref="Q334:AJ334" si="583">IF(ISERROR(Q333/M333-1),"NA",(IF(Q333&lt;=0,"NM",Q333/M333-1)))</f>
        <v>NA</v>
      </c>
      <c r="R334" s="198" t="str">
        <f t="shared" si="583"/>
        <v>NA</v>
      </c>
      <c r="S334" s="198" t="str">
        <f t="shared" si="583"/>
        <v>NA</v>
      </c>
      <c r="T334" s="198" t="str">
        <f t="shared" si="583"/>
        <v>NA</v>
      </c>
      <c r="U334" s="751">
        <f t="shared" si="583"/>
        <v>0.38414837385147815</v>
      </c>
      <c r="V334" s="198">
        <f t="shared" si="583"/>
        <v>0.3744975802578594</v>
      </c>
      <c r="W334" s="198">
        <f t="shared" si="583"/>
        <v>0.25232261386404575</v>
      </c>
      <c r="X334" s="752">
        <f t="shared" si="583"/>
        <v>1.3234087178551679E-2</v>
      </c>
      <c r="Y334" s="198">
        <f t="shared" si="583"/>
        <v>0.28852900728950437</v>
      </c>
      <c r="Z334" s="198">
        <f t="shared" si="583"/>
        <v>0.23241980015467822</v>
      </c>
      <c r="AA334" s="198">
        <f t="shared" si="583"/>
        <v>0.25641823681039377</v>
      </c>
      <c r="AB334" s="198">
        <f t="shared" si="583"/>
        <v>0.45711692860383923</v>
      </c>
      <c r="AC334" s="751">
        <f t="shared" si="583"/>
        <v>0.14485649431129799</v>
      </c>
      <c r="AD334" s="198">
        <f t="shared" si="583"/>
        <v>0.11610282692255258</v>
      </c>
      <c r="AE334" s="198">
        <f t="shared" si="583"/>
        <v>2.2218270049162436E-2</v>
      </c>
      <c r="AF334" s="752">
        <f t="shared" si="583"/>
        <v>-1.0937680954279383E-3</v>
      </c>
      <c r="AG334" s="198">
        <f t="shared" si="583"/>
        <v>-3.2453078055247997E-2</v>
      </c>
      <c r="AH334" s="198">
        <f t="shared" si="583"/>
        <v>-3.3083386253724867E-2</v>
      </c>
      <c r="AI334" s="198">
        <f t="shared" si="583"/>
        <v>-1.9473579559576515E-2</v>
      </c>
      <c r="AJ334" s="752">
        <f t="shared" si="583"/>
        <v>-3.8916370381821053E-2</v>
      </c>
      <c r="AK334" s="198">
        <f t="shared" ref="AK334:AR334" si="584">IF(ISERROR(AK333/AG333-1),"NA",(IF(AK333&lt;=0,"NM",AK333/AG333-1)))</f>
        <v>-2.6526532818726967E-2</v>
      </c>
      <c r="AL334" s="198">
        <f t="shared" si="584"/>
        <v>-7.2863909062203858E-2</v>
      </c>
      <c r="AM334" s="198">
        <f t="shared" si="584"/>
        <v>-9.4954436572413425E-2</v>
      </c>
      <c r="AN334" s="752">
        <f t="shared" si="584"/>
        <v>-9.0058573592290192E-2</v>
      </c>
      <c r="AO334" s="198">
        <f t="shared" si="584"/>
        <v>9.4791626309196353E-3</v>
      </c>
      <c r="AP334" s="198">
        <f t="shared" si="584"/>
        <v>0.13067051739639801</v>
      </c>
      <c r="AQ334" s="198">
        <f t="shared" si="584"/>
        <v>0.17060874679662219</v>
      </c>
      <c r="AR334" s="752">
        <f t="shared" si="584"/>
        <v>0.13050907376855991</v>
      </c>
      <c r="AS334" s="198">
        <f t="shared" ref="AS334:BD334" si="585">IF(ISERROR(AS333/AO333-1),"NA",(IF(AS333&lt;=0,"NM",AS333/AO333-1)))</f>
        <v>-3.4144843732009655E-2</v>
      </c>
      <c r="AT334" s="198">
        <f t="shared" si="585"/>
        <v>-0.10843634786380396</v>
      </c>
      <c r="AU334" s="198">
        <f t="shared" si="585"/>
        <v>-0.13271604938271597</v>
      </c>
      <c r="AV334" s="752">
        <f t="shared" si="585"/>
        <v>-7.4920519101474903E-2</v>
      </c>
      <c r="AW334" s="198">
        <f t="shared" si="585"/>
        <v>-7.6160957906169724E-2</v>
      </c>
      <c r="AX334" s="198">
        <f t="shared" si="585"/>
        <v>-7.7704802832509023E-2</v>
      </c>
      <c r="AY334" s="198">
        <f t="shared" si="585"/>
        <v>-7.9312532759524434E-2</v>
      </c>
      <c r="AZ334" s="752">
        <f t="shared" si="585"/>
        <v>-8.0988196850615535E-2</v>
      </c>
      <c r="BA334" s="198">
        <f t="shared" si="585"/>
        <v>-8.2439639846303869E-2</v>
      </c>
      <c r="BB334" s="198">
        <f t="shared" si="585"/>
        <v>-8.4251553159066961E-2</v>
      </c>
      <c r="BC334" s="198">
        <f t="shared" si="585"/>
        <v>-8.6144903218073998E-2</v>
      </c>
      <c r="BD334" s="752">
        <f t="shared" si="585"/>
        <v>-8.8125306522805258E-2</v>
      </c>
      <c r="BE334" s="264"/>
      <c r="BF334" s="633"/>
      <c r="BH334" s="198"/>
      <c r="BI334" s="198"/>
      <c r="BJ334" s="198"/>
      <c r="BK334" s="198"/>
      <c r="BL334" s="198"/>
      <c r="BM334" s="752">
        <f t="shared" ref="BM334:BT334" si="586">IF(ISERROR(BM333/BL333-1),"NA",(IF(BM333&lt;=0,"NM",BM333/BL333-1)))</f>
        <v>0.45711692860383923</v>
      </c>
      <c r="BN334" s="751">
        <f t="shared" si="586"/>
        <v>-1.0937680954279383E-3</v>
      </c>
      <c r="BO334" s="198">
        <f t="shared" si="586"/>
        <v>-3.8916370381821053E-2</v>
      </c>
      <c r="BP334" s="198">
        <f t="shared" si="586"/>
        <v>-9.0058573592290192E-2</v>
      </c>
      <c r="BQ334" s="198">
        <f t="shared" si="586"/>
        <v>0.13050907376855991</v>
      </c>
      <c r="BR334" s="198">
        <f t="shared" si="586"/>
        <v>-7.4920519101474903E-2</v>
      </c>
      <c r="BS334" s="198">
        <f t="shared" si="586"/>
        <v>-8.0988196850615535E-2</v>
      </c>
      <c r="BT334" s="198">
        <f t="shared" si="586"/>
        <v>-8.8125306522805258E-2</v>
      </c>
      <c r="BU334" s="198">
        <f>IF(ISERROR(BU333/BT333-1),"NA",(IF(BU333&lt;=0,"NM",BU333/BT333-1)))</f>
        <v>-9.664190392954386E-2</v>
      </c>
      <c r="BV334" s="198">
        <f>IF(ISERROR(BV333/BU333-1),"NA",(IF(BV333&lt;=0,"NM",BV333/BU333-1)))</f>
        <v>-0.10698072486418098</v>
      </c>
      <c r="BW334" s="198">
        <f>IF(ISERROR(BW333/BV333-1),"NA",(IF(BW333&lt;=0,"NM",BW333/BV333-1)))</f>
        <v>-0.11979665819409135</v>
      </c>
      <c r="BX334" s="198">
        <f>IF(ISERROR(BX333/BW333-1),"NA",(IF(BX333&lt;=0,"NM",BX333/BW333-1)))</f>
        <v>-0.13610111721264906</v>
      </c>
      <c r="BY334" s="752">
        <f>IF(ISERROR(BY333/BX333-1),"NA",(IF(BY333&lt;=0,"NM",BY333/BX333-1)))</f>
        <v>-0.15754287906186637</v>
      </c>
      <c r="BZ334" s="264"/>
      <c r="CA334" s="201"/>
      <c r="CB334" s="201"/>
      <c r="CC334" s="201"/>
      <c r="CD334" s="201"/>
      <c r="CE334" s="201"/>
      <c r="CF334" s="201"/>
      <c r="CG334" s="201"/>
    </row>
    <row r="335" spans="1:85" s="36" customFormat="1" ht="11.25" customHeight="1">
      <c r="A335" s="86"/>
      <c r="B335" s="86"/>
      <c r="C335" s="86"/>
      <c r="D335" s="86"/>
      <c r="E335" s="86"/>
      <c r="F335" s="86"/>
      <c r="G335" s="86"/>
      <c r="H335" s="328"/>
      <c r="I335" s="2740" t="s">
        <v>687</v>
      </c>
      <c r="J335" s="347"/>
      <c r="K335" s="67"/>
      <c r="L335" s="67"/>
      <c r="M335" s="198"/>
      <c r="N335" s="198"/>
      <c r="O335" s="198"/>
      <c r="P335" s="198"/>
      <c r="Q335" s="198"/>
      <c r="R335" s="1003">
        <f>R333-Q333</f>
        <v>3.047780000000003</v>
      </c>
      <c r="S335" s="1003">
        <f t="shared" ref="S335:AR335" si="587">S333-R333</f>
        <v>6.7194399999999987</v>
      </c>
      <c r="T335" s="1003">
        <f t="shared" si="587"/>
        <v>2.6069600000000079</v>
      </c>
      <c r="U335" s="1004">
        <f t="shared" si="587"/>
        <v>3.0926399999999887</v>
      </c>
      <c r="V335" s="1003">
        <f t="shared" si="587"/>
        <v>3.8006000000000029</v>
      </c>
      <c r="W335" s="1003">
        <f t="shared" si="587"/>
        <v>3.1234599999999944</v>
      </c>
      <c r="X335" s="1005">
        <f t="shared" si="587"/>
        <v>-9.3200999999999965</v>
      </c>
      <c r="Y335" s="1003">
        <f t="shared" si="587"/>
        <v>18.4756</v>
      </c>
      <c r="Z335" s="1003">
        <f t="shared" si="587"/>
        <v>1.5570000000000022</v>
      </c>
      <c r="AA335" s="1003">
        <f t="shared" si="587"/>
        <v>5.3529999999999944</v>
      </c>
      <c r="AB335" s="1003">
        <f t="shared" si="587"/>
        <v>-1.0060000000000002</v>
      </c>
      <c r="AC335" s="1004">
        <f t="shared" si="587"/>
        <v>4.4980000000000047</v>
      </c>
      <c r="AD335" s="1003">
        <f t="shared" si="587"/>
        <v>-0.32699999999999818</v>
      </c>
      <c r="AE335" s="1003">
        <f t="shared" si="587"/>
        <v>-1.4159999999999968</v>
      </c>
      <c r="AF335" s="1005">
        <f t="shared" si="587"/>
        <v>-2.8400000000000034</v>
      </c>
      <c r="AG335" s="1004">
        <f t="shared" si="587"/>
        <v>1.9150000000000063</v>
      </c>
      <c r="AH335" s="1003">
        <f t="shared" si="587"/>
        <v>-0.36800000000000921</v>
      </c>
      <c r="AI335" s="1003">
        <f t="shared" si="587"/>
        <v>-0.27400000000000091</v>
      </c>
      <c r="AJ335" s="1005">
        <f t="shared" si="587"/>
        <v>-4.2939999999999969</v>
      </c>
      <c r="AK335" s="1003">
        <f t="shared" si="587"/>
        <v>2.8260000000000076</v>
      </c>
      <c r="AL335" s="1003">
        <f t="shared" si="587"/>
        <v>-4.027000000000001</v>
      </c>
      <c r="AM335" s="1003">
        <f t="shared" si="587"/>
        <v>-1.9969999999999999</v>
      </c>
      <c r="AN335" s="1005">
        <f t="shared" si="587"/>
        <v>-3.5210000000000008</v>
      </c>
      <c r="AO335" s="1003">
        <f t="shared" si="587"/>
        <v>10.278999999999996</v>
      </c>
      <c r="AP335" s="1003">
        <f t="shared" si="587"/>
        <v>4.8310000000000031</v>
      </c>
      <c r="AQ335" s="1003">
        <f t="shared" si="587"/>
        <v>0.59399999999999409</v>
      </c>
      <c r="AR335" s="1005">
        <f t="shared" si="587"/>
        <v>-6.8439999999999941</v>
      </c>
      <c r="AS335" s="390">
        <v>-1.25</v>
      </c>
      <c r="AT335" s="390">
        <v>-1.5</v>
      </c>
      <c r="AU335" s="390">
        <v>-1.5</v>
      </c>
      <c r="AV335" s="884">
        <v>-1.5</v>
      </c>
      <c r="AW335" s="390">
        <v>-1.25</v>
      </c>
      <c r="AX335" s="390">
        <v>-1.5</v>
      </c>
      <c r="AY335" s="390">
        <v>-1.5</v>
      </c>
      <c r="AZ335" s="884">
        <v>-1.5</v>
      </c>
      <c r="BA335" s="390">
        <v>-1.25</v>
      </c>
      <c r="BB335" s="390">
        <v>-1.5</v>
      </c>
      <c r="BC335" s="390">
        <v>-1.5</v>
      </c>
      <c r="BD335" s="884">
        <v>-1.5</v>
      </c>
      <c r="BE335" s="1202"/>
      <c r="BF335" s="449"/>
      <c r="BG335" s="199"/>
      <c r="BH335" s="198"/>
      <c r="BI335" s="198"/>
      <c r="BJ335" s="198"/>
      <c r="BK335" s="198"/>
      <c r="BL335" s="198"/>
      <c r="BM335" s="752"/>
      <c r="BN335" s="751"/>
      <c r="BO335" s="198"/>
      <c r="BP335" s="198"/>
      <c r="BQ335" s="198"/>
      <c r="BR335" s="198"/>
      <c r="BS335" s="198"/>
      <c r="BT335" s="198"/>
      <c r="BU335" s="198"/>
      <c r="BV335" s="198"/>
      <c r="BW335" s="198"/>
      <c r="BX335" s="198"/>
      <c r="BY335" s="752"/>
      <c r="BZ335" s="264"/>
      <c r="CA335" s="80"/>
      <c r="CB335" s="88"/>
      <c r="CC335" s="88"/>
      <c r="CD335" s="88"/>
      <c r="CE335" s="88"/>
      <c r="CF335" s="88"/>
      <c r="CG335" s="88"/>
    </row>
    <row r="336" spans="1:85" ht="11.25" customHeight="1">
      <c r="A336" s="36"/>
      <c r="B336" s="36"/>
      <c r="C336" s="36"/>
      <c r="D336" s="36"/>
      <c r="E336" s="36"/>
      <c r="F336" s="36"/>
      <c r="G336" s="36"/>
      <c r="I336" s="994" t="s">
        <v>380</v>
      </c>
      <c r="J336" s="342"/>
      <c r="K336" s="336"/>
      <c r="L336" s="336"/>
      <c r="M336" s="336"/>
      <c r="N336" s="336"/>
      <c r="O336" s="336"/>
      <c r="P336" s="336"/>
      <c r="Q336" s="336"/>
      <c r="R336" s="336"/>
      <c r="S336" s="336"/>
      <c r="T336" s="336"/>
      <c r="U336" s="626">
        <f>U333-Q333</f>
        <v>15.466819999999998</v>
      </c>
      <c r="V336" s="336">
        <f t="shared" ref="V336:AJ336" si="588">V333-R333</f>
        <v>16.219639999999998</v>
      </c>
      <c r="W336" s="336">
        <f t="shared" si="588"/>
        <v>12.623659999999994</v>
      </c>
      <c r="X336" s="613">
        <f t="shared" si="588"/>
        <v>0.69659999999998945</v>
      </c>
      <c r="Y336" s="336">
        <f t="shared" si="588"/>
        <v>16.079560000000001</v>
      </c>
      <c r="Z336" s="336">
        <f t="shared" si="588"/>
        <v>13.83596</v>
      </c>
      <c r="AA336" s="336">
        <f t="shared" si="588"/>
        <v>16.0655</v>
      </c>
      <c r="AB336" s="336">
        <f t="shared" si="588"/>
        <v>24.379599999999996</v>
      </c>
      <c r="AC336" s="626">
        <f t="shared" si="588"/>
        <v>10.402000000000001</v>
      </c>
      <c r="AD336" s="336">
        <f t="shared" si="588"/>
        <v>8.5180000000000007</v>
      </c>
      <c r="AE336" s="336">
        <f t="shared" si="588"/>
        <v>1.7490000000000094</v>
      </c>
      <c r="AF336" s="613">
        <f t="shared" si="588"/>
        <v>-8.4999999999993747E-2</v>
      </c>
      <c r="AG336" s="336">
        <f t="shared" si="588"/>
        <v>-2.6679999999999922</v>
      </c>
      <c r="AH336" s="336">
        <f t="shared" si="588"/>
        <v>-2.7090000000000032</v>
      </c>
      <c r="AI336" s="336">
        <f t="shared" si="588"/>
        <v>-1.5670000000000073</v>
      </c>
      <c r="AJ336" s="613">
        <f t="shared" si="588"/>
        <v>-3.0210000000000008</v>
      </c>
      <c r="AK336" s="336">
        <f t="shared" ref="AK336:AR336" si="589">AK333-AG333</f>
        <v>-2.1099999999999994</v>
      </c>
      <c r="AL336" s="336">
        <f t="shared" si="589"/>
        <v>-5.7689999999999912</v>
      </c>
      <c r="AM336" s="336">
        <f t="shared" si="589"/>
        <v>-7.4919999999999902</v>
      </c>
      <c r="AN336" s="613">
        <f t="shared" si="589"/>
        <v>-6.7189999999999941</v>
      </c>
      <c r="AO336" s="336">
        <f t="shared" si="589"/>
        <v>0.73399999999999466</v>
      </c>
      <c r="AP336" s="336">
        <f t="shared" si="589"/>
        <v>9.5919999999999987</v>
      </c>
      <c r="AQ336" s="336">
        <f t="shared" si="589"/>
        <v>12.182999999999993</v>
      </c>
      <c r="AR336" s="613">
        <f t="shared" si="589"/>
        <v>8.86</v>
      </c>
      <c r="AS336" s="336">
        <f t="shared" ref="AS336:BD336" si="590">AS333-AO333</f>
        <v>-2.6689999999999969</v>
      </c>
      <c r="AT336" s="336">
        <f t="shared" si="590"/>
        <v>-9</v>
      </c>
      <c r="AU336" s="336">
        <f t="shared" si="590"/>
        <v>-11.093999999999994</v>
      </c>
      <c r="AV336" s="613">
        <f t="shared" si="590"/>
        <v>-5.75</v>
      </c>
      <c r="AW336" s="336">
        <f t="shared" si="590"/>
        <v>-5.75</v>
      </c>
      <c r="AX336" s="336">
        <f t="shared" si="590"/>
        <v>-5.75</v>
      </c>
      <c r="AY336" s="336">
        <f t="shared" si="590"/>
        <v>-5.75</v>
      </c>
      <c r="AZ336" s="613">
        <f t="shared" si="590"/>
        <v>-5.75</v>
      </c>
      <c r="BA336" s="336">
        <f t="shared" si="590"/>
        <v>-5.75</v>
      </c>
      <c r="BB336" s="336">
        <f t="shared" si="590"/>
        <v>-5.75</v>
      </c>
      <c r="BC336" s="336">
        <f t="shared" si="590"/>
        <v>-5.75</v>
      </c>
      <c r="BD336" s="613">
        <f t="shared" si="590"/>
        <v>-5.75</v>
      </c>
      <c r="BE336" s="110"/>
      <c r="BF336" s="626"/>
      <c r="BG336" s="336"/>
      <c r="BH336" s="336"/>
      <c r="BI336" s="336"/>
      <c r="BJ336" s="336"/>
      <c r="BK336" s="336"/>
      <c r="BL336" s="336"/>
      <c r="BM336" s="613">
        <f t="shared" ref="BM336:BR336" si="591">BM333-BL333</f>
        <v>24.379599999999996</v>
      </c>
      <c r="BN336" s="626">
        <f t="shared" si="591"/>
        <v>-8.4999999999993747E-2</v>
      </c>
      <c r="BO336" s="336">
        <f t="shared" si="591"/>
        <v>-3.0210000000000008</v>
      </c>
      <c r="BP336" s="336">
        <f t="shared" si="591"/>
        <v>-6.7189999999999941</v>
      </c>
      <c r="BQ336" s="336">
        <f t="shared" si="591"/>
        <v>8.86</v>
      </c>
      <c r="BR336" s="336">
        <f t="shared" si="591"/>
        <v>-5.75</v>
      </c>
      <c r="BS336" s="336">
        <f>BS333-BR333</f>
        <v>-5.75</v>
      </c>
      <c r="BT336" s="336">
        <f>BT333-BS333</f>
        <v>-5.75</v>
      </c>
      <c r="BU336" s="368">
        <f>+BT336</f>
        <v>-5.75</v>
      </c>
      <c r="BV336" s="368">
        <f>+BU336</f>
        <v>-5.75</v>
      </c>
      <c r="BW336" s="368">
        <f>+BV336</f>
        <v>-5.75</v>
      </c>
      <c r="BX336" s="368">
        <f>+BW336</f>
        <v>-5.75</v>
      </c>
      <c r="BY336" s="786">
        <f>+BX336</f>
        <v>-5.75</v>
      </c>
      <c r="BZ336" s="110"/>
      <c r="CA336" s="36"/>
      <c r="CB336" s="36"/>
      <c r="CC336" s="36"/>
      <c r="CD336" s="36"/>
      <c r="CE336" s="36"/>
      <c r="CF336" s="36"/>
      <c r="CG336" s="36"/>
    </row>
    <row r="337" spans="1:85" s="54" customFormat="1" ht="11.25" customHeight="1">
      <c r="H337" s="83"/>
      <c r="I337" s="653" t="s">
        <v>146</v>
      </c>
      <c r="M337" s="198"/>
      <c r="N337" s="198"/>
      <c r="O337" s="198"/>
      <c r="P337" s="198"/>
      <c r="Q337" s="198" t="str">
        <f t="shared" ref="Q337:AJ337" si="592">IF(ISERROR(Q333/P333-1),"NA",(IF(Q333&lt;=0,"NM",Q333/P333-1)))</f>
        <v>NA</v>
      </c>
      <c r="R337" s="198">
        <f t="shared" si="592"/>
        <v>7.5697508011152825E-2</v>
      </c>
      <c r="S337" s="198">
        <f t="shared" si="592"/>
        <v>0.15514610809412988</v>
      </c>
      <c r="T337" s="198">
        <f t="shared" si="592"/>
        <v>5.210810188479531E-2</v>
      </c>
      <c r="U337" s="751">
        <f t="shared" si="592"/>
        <v>5.8754331570308072E-2</v>
      </c>
      <c r="V337" s="198">
        <f t="shared" si="592"/>
        <v>6.8197347757307458E-2</v>
      </c>
      <c r="W337" s="198">
        <f t="shared" si="592"/>
        <v>5.2468636002932278E-2</v>
      </c>
      <c r="X337" s="752">
        <f t="shared" si="592"/>
        <v>-0.14875625463860753</v>
      </c>
      <c r="Y337" s="198">
        <f t="shared" si="592"/>
        <v>0.34641706697866637</v>
      </c>
      <c r="Z337" s="198">
        <f t="shared" si="592"/>
        <v>2.1682518904315717E-2</v>
      </c>
      <c r="AA337" s="198">
        <f t="shared" si="592"/>
        <v>7.2962952866450381E-2</v>
      </c>
      <c r="AB337" s="198">
        <f t="shared" si="592"/>
        <v>-1.2779633887625597E-2</v>
      </c>
      <c r="AC337" s="751">
        <f t="shared" si="592"/>
        <v>5.7879634038063177E-2</v>
      </c>
      <c r="AD337" s="198">
        <f t="shared" si="592"/>
        <v>-3.9775699115689456E-3</v>
      </c>
      <c r="AE337" s="198">
        <f t="shared" si="592"/>
        <v>-1.7292755605490706E-2</v>
      </c>
      <c r="AF337" s="752">
        <f t="shared" si="592"/>
        <v>-3.5293532832927466E-2</v>
      </c>
      <c r="AG337" s="198">
        <f t="shared" si="592"/>
        <v>2.46689338898336E-2</v>
      </c>
      <c r="AH337" s="198">
        <f t="shared" si="592"/>
        <v>-4.626428472650157E-3</v>
      </c>
      <c r="AI337" s="198">
        <f t="shared" si="592"/>
        <v>-3.4606883485949202E-3</v>
      </c>
      <c r="AJ337" s="752">
        <f t="shared" si="592"/>
        <v>-5.4422630891877155E-2</v>
      </c>
      <c r="AK337" s="198">
        <f t="shared" ref="AK337:AR337" si="593">IF(ISERROR(AK333/AJ333-1),"NA",(IF(AK333&lt;=0,"NM",AK333/AJ333-1)))</f>
        <v>3.7878483252241857E-2</v>
      </c>
      <c r="AL337" s="198">
        <f t="shared" si="593"/>
        <v>-5.200625056500463E-2</v>
      </c>
      <c r="AM337" s="198">
        <f t="shared" si="593"/>
        <v>-2.7204860638095019E-2</v>
      </c>
      <c r="AN337" s="752">
        <f t="shared" si="593"/>
        <v>-4.9307510257810661E-2</v>
      </c>
      <c r="AO337" s="198">
        <f t="shared" si="593"/>
        <v>0.15141114777280218</v>
      </c>
      <c r="AP337" s="198">
        <f t="shared" si="593"/>
        <v>6.180357439840356E-2</v>
      </c>
      <c r="AQ337" s="198">
        <f t="shared" si="593"/>
        <v>7.1567989590108905E-3</v>
      </c>
      <c r="AR337" s="752">
        <f t="shared" si="593"/>
        <v>-8.187386352761028E-2</v>
      </c>
      <c r="AS337" s="198">
        <f t="shared" ref="AS337:BD337" si="594">IF(ISERROR(AS333/AR333-1),"NA",(IF(AS333&lt;=0,"NM",AS333/AR333-1)))</f>
        <v>-1.6287069369885887E-2</v>
      </c>
      <c r="AT337" s="198">
        <f t="shared" si="594"/>
        <v>-1.9868075975522537E-2</v>
      </c>
      <c r="AU337" s="198">
        <f t="shared" si="594"/>
        <v>-2.0270818130219692E-2</v>
      </c>
      <c r="AV337" s="752">
        <f t="shared" si="594"/>
        <v>-2.0690225937267215E-2</v>
      </c>
      <c r="AW337" s="198">
        <f t="shared" si="594"/>
        <v>-1.7606129750133759E-2</v>
      </c>
      <c r="AX337" s="198">
        <f t="shared" si="594"/>
        <v>-2.1505993003383628E-2</v>
      </c>
      <c r="AY337" s="198">
        <f t="shared" si="594"/>
        <v>-2.1978666041495676E-2</v>
      </c>
      <c r="AZ337" s="752">
        <f t="shared" si="594"/>
        <v>-2.2472583448193251E-2</v>
      </c>
      <c r="BA337" s="198">
        <f t="shared" si="594"/>
        <v>-1.9157675331044621E-2</v>
      </c>
      <c r="BB337" s="198">
        <f t="shared" si="594"/>
        <v>-2.3438232444763951E-2</v>
      </c>
      <c r="BC337" s="198">
        <f t="shared" si="594"/>
        <v>-2.4000768024576735E-2</v>
      </c>
      <c r="BD337" s="752">
        <f t="shared" si="594"/>
        <v>-2.4590970195744077E-2</v>
      </c>
      <c r="BE337" s="264"/>
      <c r="BF337" s="633"/>
      <c r="BM337" s="619"/>
      <c r="BN337" s="633"/>
      <c r="BP337" s="199"/>
      <c r="BQ337" s="199"/>
      <c r="BR337" s="199"/>
      <c r="BS337" s="199"/>
      <c r="BT337" s="199"/>
      <c r="BU337" s="199"/>
      <c r="BV337" s="199"/>
      <c r="BW337" s="199"/>
      <c r="BX337" s="199"/>
      <c r="BY337" s="620"/>
      <c r="BZ337" s="265"/>
      <c r="CA337" s="201"/>
      <c r="CB337" s="201"/>
      <c r="CC337" s="201"/>
      <c r="CD337" s="201"/>
      <c r="CE337" s="201"/>
      <c r="CF337" s="201"/>
      <c r="CG337" s="201"/>
    </row>
    <row r="338" spans="1:85" s="36" customFormat="1" ht="11.25" customHeight="1">
      <c r="A338" s="86"/>
      <c r="B338" s="86"/>
      <c r="C338" s="86"/>
      <c r="D338" s="86"/>
      <c r="E338" s="86"/>
      <c r="F338" s="86"/>
      <c r="G338" s="86"/>
      <c r="H338" s="328"/>
      <c r="I338" s="653" t="s">
        <v>278</v>
      </c>
      <c r="J338" s="347"/>
      <c r="K338" s="67"/>
      <c r="L338" s="67"/>
      <c r="M338" s="198"/>
      <c r="N338" s="198"/>
      <c r="O338" s="198"/>
      <c r="P338" s="198"/>
      <c r="Q338" s="198">
        <f t="shared" ref="Q338:AJ338" si="595">Q333/Q$320</f>
        <v>0.86</v>
      </c>
      <c r="R338" s="198">
        <f t="shared" si="595"/>
        <v>0.84</v>
      </c>
      <c r="S338" s="198">
        <f t="shared" si="595"/>
        <v>0.82</v>
      </c>
      <c r="T338" s="198">
        <f t="shared" si="595"/>
        <v>0.8</v>
      </c>
      <c r="U338" s="751">
        <f t="shared" si="595"/>
        <v>0.78</v>
      </c>
      <c r="V338" s="198">
        <f t="shared" si="595"/>
        <v>0.76</v>
      </c>
      <c r="W338" s="198">
        <f t="shared" si="595"/>
        <v>0.75</v>
      </c>
      <c r="X338" s="752">
        <f t="shared" si="595"/>
        <v>0.61799999999999999</v>
      </c>
      <c r="Y338" s="198">
        <f t="shared" si="595"/>
        <v>0.70356145593494346</v>
      </c>
      <c r="Z338" s="198">
        <f t="shared" si="595"/>
        <v>0.67895019341464768</v>
      </c>
      <c r="AA338" s="198">
        <f t="shared" si="595"/>
        <v>0.67025126227149256</v>
      </c>
      <c r="AB338" s="198">
        <f t="shared" si="595"/>
        <v>0.64758135077705092</v>
      </c>
      <c r="AC338" s="751">
        <f t="shared" si="595"/>
        <v>0.62064774271478174</v>
      </c>
      <c r="AD338" s="198">
        <f t="shared" si="595"/>
        <v>0.5943917364130632</v>
      </c>
      <c r="AE338" s="198">
        <f t="shared" si="595"/>
        <v>0.57717081008191196</v>
      </c>
      <c r="AF338" s="752">
        <f t="shared" si="595"/>
        <v>0.57334889286083579</v>
      </c>
      <c r="AG338" s="198">
        <f t="shared" si="595"/>
        <v>0.55832970673704607</v>
      </c>
      <c r="AH338" s="198">
        <f t="shared" si="595"/>
        <v>0.55024671624157351</v>
      </c>
      <c r="AI338" s="198">
        <f>AI333/AI$320</f>
        <v>0.53305003445526888</v>
      </c>
      <c r="AJ338" s="752">
        <f t="shared" si="595"/>
        <v>0.53113542682622972</v>
      </c>
      <c r="AK338" s="198">
        <f t="shared" ref="AK338:AP338" si="596">AK333/AK$320</f>
        <v>0.53042114204296364</v>
      </c>
      <c r="AL338" s="198">
        <f t="shared" si="596"/>
        <v>0.51428891706893298</v>
      </c>
      <c r="AM338" s="198">
        <f t="shared" si="596"/>
        <v>0.49780061206421794</v>
      </c>
      <c r="AN338" s="752">
        <f t="shared" si="596"/>
        <v>0.50952048574366371</v>
      </c>
      <c r="AO338" s="198">
        <f t="shared" si="596"/>
        <v>0.51643443733111349</v>
      </c>
      <c r="AP338" s="198">
        <f t="shared" si="596"/>
        <v>0.5283165392523187</v>
      </c>
      <c r="AQ338" s="198">
        <f t="shared" ref="AQ338:AR338" si="597">AQ333/AQ$320</f>
        <v>0.53209420751113945</v>
      </c>
      <c r="AR338" s="752">
        <f t="shared" si="597"/>
        <v>0.54443175449921621</v>
      </c>
      <c r="AS338" s="198">
        <f t="shared" ref="AS338:BD338" si="598">AS333/AS$320</f>
        <v>0.51755358621008773</v>
      </c>
      <c r="AT338" s="198">
        <f t="shared" si="598"/>
        <v>0.51038946527671447</v>
      </c>
      <c r="AU338" s="198">
        <f t="shared" si="598"/>
        <v>0.50758919288291315</v>
      </c>
      <c r="AV338" s="752">
        <f t="shared" si="598"/>
        <v>0.54481957906514011</v>
      </c>
      <c r="AW338" s="198">
        <f t="shared" si="598"/>
        <v>0.5166629983776504</v>
      </c>
      <c r="AX338" s="198">
        <f t="shared" si="598"/>
        <v>0.50661235722020614</v>
      </c>
      <c r="AY338" s="198">
        <f t="shared" si="598"/>
        <v>0.50051952483939133</v>
      </c>
      <c r="AZ338" s="752">
        <f t="shared" si="598"/>
        <v>0.52962739185336671</v>
      </c>
      <c r="BA338" s="198">
        <f t="shared" si="598"/>
        <v>0.50456259316498653</v>
      </c>
      <c r="BB338" s="198">
        <f t="shared" si="598"/>
        <v>0.49513828363448903</v>
      </c>
      <c r="BC338" s="198">
        <f t="shared" si="598"/>
        <v>0.48917810429807207</v>
      </c>
      <c r="BD338" s="752">
        <f t="shared" si="598"/>
        <v>0.51432068963871092</v>
      </c>
      <c r="BE338" s="264"/>
      <c r="BF338" s="449"/>
      <c r="BG338" s="199"/>
      <c r="BH338" s="198"/>
      <c r="BI338" s="198"/>
      <c r="BJ338" s="198"/>
      <c r="BK338" s="198"/>
      <c r="BL338" s="198">
        <f t="shared" ref="BL338:BT338" si="599">BL333/BL$320</f>
        <v>0.61799999999999999</v>
      </c>
      <c r="BM338" s="752">
        <f t="shared" si="599"/>
        <v>0.64758135077705092</v>
      </c>
      <c r="BN338" s="751">
        <f t="shared" si="599"/>
        <v>0.57334889286083579</v>
      </c>
      <c r="BO338" s="198">
        <f t="shared" si="599"/>
        <v>0.53113542682622972</v>
      </c>
      <c r="BP338" s="198">
        <f t="shared" si="599"/>
        <v>0.50952048574366371</v>
      </c>
      <c r="BQ338" s="198">
        <f t="shared" si="599"/>
        <v>0.54443175449921621</v>
      </c>
      <c r="BR338" s="198">
        <f>BR333/BR$320</f>
        <v>0.54481957906514011</v>
      </c>
      <c r="BS338" s="198">
        <f t="shared" si="599"/>
        <v>0.52962739185336671</v>
      </c>
      <c r="BT338" s="198">
        <f t="shared" si="599"/>
        <v>0.51432068963871092</v>
      </c>
      <c r="BU338" s="198">
        <f>BU333/BU$320</f>
        <v>0.5002342245449416</v>
      </c>
      <c r="BV338" s="198">
        <f>BV333/BV$320</f>
        <v>0.49225008045401986</v>
      </c>
      <c r="BW338" s="198">
        <f>BW333/BW$320</f>
        <v>0.48623593039662055</v>
      </c>
      <c r="BX338" s="198">
        <f>BX333/BX$320</f>
        <v>0.48274378921106703</v>
      </c>
      <c r="BY338" s="752">
        <f>BY333/BY$320</f>
        <v>0.4828818005498921</v>
      </c>
      <c r="BZ338" s="264"/>
      <c r="CA338" s="80"/>
      <c r="CB338" s="88"/>
      <c r="CC338" s="88"/>
      <c r="CD338" s="88"/>
      <c r="CE338" s="88"/>
      <c r="CF338" s="88"/>
      <c r="CG338" s="88"/>
    </row>
    <row r="339" spans="1:85" s="54" customFormat="1" ht="11.25" customHeight="1" collapsed="1">
      <c r="H339" s="83"/>
      <c r="I339" s="651"/>
      <c r="J339" s="13"/>
      <c r="K339" s="5"/>
      <c r="L339" s="5"/>
      <c r="M339" s="14"/>
      <c r="N339" s="14"/>
      <c r="O339" s="14"/>
      <c r="P339" s="14"/>
      <c r="Q339" s="14"/>
      <c r="R339" s="14"/>
      <c r="S339" s="14"/>
      <c r="T339" s="14"/>
      <c r="U339" s="805"/>
      <c r="V339" s="14"/>
      <c r="W339" s="14"/>
      <c r="X339" s="784"/>
      <c r="Y339" s="15"/>
      <c r="Z339" s="15"/>
      <c r="AA339" s="15"/>
      <c r="AB339" s="15"/>
      <c r="AC339" s="791"/>
      <c r="AD339" s="15"/>
      <c r="AE339" s="15"/>
      <c r="AF339" s="784"/>
      <c r="AG339" s="15"/>
      <c r="AH339" s="15"/>
      <c r="AI339" s="15"/>
      <c r="AJ339" s="784"/>
      <c r="AK339" s="15"/>
      <c r="AL339" s="15"/>
      <c r="AM339" s="15"/>
      <c r="AN339" s="784"/>
      <c r="AO339" s="15"/>
      <c r="AP339" s="15"/>
      <c r="AQ339" s="15"/>
      <c r="AR339" s="784"/>
      <c r="AS339" s="15"/>
      <c r="AT339" s="15"/>
      <c r="AU339" s="15"/>
      <c r="AV339" s="784"/>
      <c r="AW339" s="15"/>
      <c r="AX339" s="15"/>
      <c r="AY339" s="15"/>
      <c r="AZ339" s="784"/>
      <c r="BA339" s="15"/>
      <c r="BB339" s="15"/>
      <c r="BC339" s="15"/>
      <c r="BD339" s="784"/>
      <c r="BE339" s="248"/>
      <c r="BF339" s="805"/>
      <c r="BG339" s="14"/>
      <c r="BH339" s="14"/>
      <c r="BI339" s="14"/>
      <c r="BJ339" s="14"/>
      <c r="BK339" s="14"/>
      <c r="BL339" s="14"/>
      <c r="BM339" s="1401"/>
      <c r="BN339" s="1404"/>
      <c r="BO339" s="197"/>
      <c r="BP339" s="15"/>
      <c r="BQ339" s="15"/>
      <c r="BR339" s="15"/>
      <c r="BS339" s="15"/>
      <c r="BT339" s="15"/>
      <c r="BU339" s="15"/>
      <c r="BV339" s="15"/>
      <c r="BW339" s="15"/>
      <c r="BX339" s="15"/>
      <c r="BY339" s="784"/>
      <c r="BZ339" s="248"/>
    </row>
    <row r="340" spans="1:85" s="54" customFormat="1" ht="11.25" customHeight="1">
      <c r="H340" s="83"/>
      <c r="I340" s="651"/>
      <c r="J340" s="13"/>
      <c r="K340" s="5"/>
      <c r="L340" s="5"/>
      <c r="M340" s="14"/>
      <c r="N340" s="14"/>
      <c r="O340" s="14"/>
      <c r="P340" s="14"/>
      <c r="Q340" s="14"/>
      <c r="R340" s="14"/>
      <c r="S340" s="14"/>
      <c r="T340" s="14"/>
      <c r="U340" s="805"/>
      <c r="V340" s="14"/>
      <c r="W340" s="14"/>
      <c r="X340" s="784"/>
      <c r="Y340" s="1414"/>
      <c r="Z340" s="1414"/>
      <c r="AA340" s="1414"/>
      <c r="AB340" s="1414"/>
      <c r="AC340" s="1415"/>
      <c r="AD340" s="1414"/>
      <c r="AE340" s="1414"/>
      <c r="AF340" s="1416"/>
      <c r="AG340" s="15"/>
      <c r="AH340" s="15"/>
      <c r="AI340" s="15"/>
      <c r="AJ340" s="784"/>
      <c r="AK340" s="15"/>
      <c r="AL340" s="15"/>
      <c r="AM340" s="15"/>
      <c r="AN340" s="784"/>
      <c r="AO340" s="15"/>
      <c r="AP340" s="15"/>
      <c r="AQ340" s="15"/>
      <c r="AR340" s="784"/>
      <c r="AS340" s="15"/>
      <c r="AT340" s="15"/>
      <c r="AU340" s="15"/>
      <c r="AV340" s="784"/>
      <c r="AW340" s="15"/>
      <c r="AX340" s="15"/>
      <c r="AY340" s="15"/>
      <c r="AZ340" s="784"/>
      <c r="BA340" s="15"/>
      <c r="BB340" s="15"/>
      <c r="BC340" s="15"/>
      <c r="BD340" s="784"/>
      <c r="BE340" s="248"/>
      <c r="BF340" s="805"/>
      <c r="BG340" s="14"/>
      <c r="BH340" s="14"/>
      <c r="BI340" s="14"/>
      <c r="BJ340" s="14"/>
      <c r="BK340" s="14"/>
      <c r="BL340" s="14"/>
      <c r="BM340" s="1402"/>
      <c r="BN340" s="1407"/>
      <c r="BO340" s="1807"/>
      <c r="BP340" s="15"/>
      <c r="BQ340" s="15"/>
      <c r="BR340" s="15"/>
      <c r="BS340" s="15"/>
      <c r="BT340" s="15"/>
      <c r="BU340" s="15"/>
      <c r="BV340" s="15"/>
      <c r="BW340" s="15"/>
      <c r="BX340" s="15"/>
      <c r="BY340" s="784"/>
      <c r="BZ340" s="248"/>
    </row>
    <row r="341" spans="1:85" s="54" customFormat="1" ht="11.25" customHeight="1">
      <c r="H341" s="83"/>
      <c r="I341" s="783" t="s">
        <v>277</v>
      </c>
      <c r="J341" s="343"/>
      <c r="K341" s="331"/>
      <c r="L341" s="331"/>
      <c r="M341" s="931"/>
      <c r="N341" s="931"/>
      <c r="O341" s="931"/>
      <c r="P341" s="931"/>
      <c r="Q341" s="932">
        <f t="shared" ref="Q341:X341" si="600">Q$320*Q346</f>
        <v>6.5543800000000019</v>
      </c>
      <c r="R341" s="932">
        <f t="shared" si="600"/>
        <v>8.2496000000000027</v>
      </c>
      <c r="S341" s="932">
        <f t="shared" si="600"/>
        <v>10.982160000000002</v>
      </c>
      <c r="T341" s="932">
        <f t="shared" si="600"/>
        <v>13.159200000000002</v>
      </c>
      <c r="U341" s="933">
        <f t="shared" si="600"/>
        <v>15.718559999999998</v>
      </c>
      <c r="V341" s="932">
        <f t="shared" si="600"/>
        <v>18.798959999999997</v>
      </c>
      <c r="W341" s="932">
        <f t="shared" si="600"/>
        <v>20.884499999999999</v>
      </c>
      <c r="X341" s="934">
        <f t="shared" si="600"/>
        <v>32.9666</v>
      </c>
      <c r="Y341" s="932">
        <v>40.167999999999999</v>
      </c>
      <c r="Z341" s="932">
        <v>45.064</v>
      </c>
      <c r="AA341" s="932">
        <v>50.454999999999998</v>
      </c>
      <c r="AB341" s="932">
        <v>52.905000000000001</v>
      </c>
      <c r="AC341" s="933">
        <v>61.19</v>
      </c>
      <c r="AD341" s="932">
        <v>67.885999999999996</v>
      </c>
      <c r="AE341" s="932">
        <v>73.44</v>
      </c>
      <c r="AF341" s="934">
        <v>72.307000000000002</v>
      </c>
      <c r="AG341" s="933">
        <v>78.962000000000003</v>
      </c>
      <c r="AH341" s="1744">
        <v>82.811999999999998</v>
      </c>
      <c r="AI341" s="1744">
        <v>89.238</v>
      </c>
      <c r="AJ341" s="2291">
        <f t="shared" ref="AJ341:AO341" si="601">AJ349+AJ357</f>
        <v>85.866</v>
      </c>
      <c r="AK341" s="2287">
        <f t="shared" si="601"/>
        <v>89.736999999999995</v>
      </c>
      <c r="AL341" s="2287">
        <f t="shared" si="601"/>
        <v>92.337000000000003</v>
      </c>
      <c r="AM341" s="2287">
        <f t="shared" si="601"/>
        <v>96.94</v>
      </c>
      <c r="AN341" s="2291">
        <f t="shared" si="601"/>
        <v>89.424000000000007</v>
      </c>
      <c r="AO341" s="2287">
        <f t="shared" si="601"/>
        <v>99.018999999999991</v>
      </c>
      <c r="AP341" s="2287">
        <f>AP349+AP357</f>
        <v>102.08799999999999</v>
      </c>
      <c r="AQ341" s="2287">
        <f>AQ349+AQ357</f>
        <v>103.66999999999999</v>
      </c>
      <c r="AR341" s="2291">
        <f t="shared" ref="AR341" si="602">AR349+AR357</f>
        <v>93.066000000000003</v>
      </c>
      <c r="AS341" s="936">
        <f t="shared" ref="AS341:BD341" si="603">AR341+AS343</f>
        <v>101.22174999999999</v>
      </c>
      <c r="AT341" s="936">
        <f t="shared" si="603"/>
        <v>103.83039999999998</v>
      </c>
      <c r="AU341" s="936">
        <f t="shared" si="603"/>
        <v>105.17509999999997</v>
      </c>
      <c r="AV341" s="935">
        <f t="shared" si="603"/>
        <v>96.161699999999982</v>
      </c>
      <c r="AW341" s="936">
        <f t="shared" si="603"/>
        <v>103.09408749999997</v>
      </c>
      <c r="AX341" s="936">
        <f t="shared" si="603"/>
        <v>105.31143999999998</v>
      </c>
      <c r="AY341" s="936">
        <f t="shared" si="603"/>
        <v>106.45443499999998</v>
      </c>
      <c r="AZ341" s="935">
        <f t="shared" si="603"/>
        <v>98.793044999999992</v>
      </c>
      <c r="BA341" s="936">
        <f t="shared" si="603"/>
        <v>104.68557437499999</v>
      </c>
      <c r="BB341" s="936">
        <f t="shared" si="603"/>
        <v>106.57032399999999</v>
      </c>
      <c r="BC341" s="936">
        <f t="shared" si="603"/>
        <v>107.54186974999998</v>
      </c>
      <c r="BD341" s="935">
        <f t="shared" si="603"/>
        <v>101.02968824999999</v>
      </c>
      <c r="BE341" s="1203"/>
      <c r="BF341" s="810"/>
      <c r="BG341" s="345"/>
      <c r="BH341" s="345"/>
      <c r="BI341" s="345"/>
      <c r="BJ341" s="345"/>
      <c r="BK341" s="345"/>
      <c r="BL341" s="216">
        <f>X341</f>
        <v>32.9666</v>
      </c>
      <c r="BM341" s="1241">
        <f>AB341</f>
        <v>52.905000000000001</v>
      </c>
      <c r="BN341" s="1405">
        <f>+AF341</f>
        <v>72.307000000000002</v>
      </c>
      <c r="BO341" s="216">
        <f>+AJ341</f>
        <v>85.866</v>
      </c>
      <c r="BP341" s="428">
        <f>+AN341</f>
        <v>89.424000000000007</v>
      </c>
      <c r="BQ341" s="428">
        <f>AR341</f>
        <v>93.066000000000003</v>
      </c>
      <c r="BR341" s="428">
        <f>AV341</f>
        <v>96.161699999999982</v>
      </c>
      <c r="BS341" s="428">
        <f>AZ341</f>
        <v>98.793044999999992</v>
      </c>
      <c r="BT341" s="428">
        <f>BD341</f>
        <v>101.02968824999999</v>
      </c>
      <c r="BU341" s="322">
        <f>BT341+BU344</f>
        <v>103.04266717499999</v>
      </c>
      <c r="BV341" s="322">
        <f>BU341+BV344</f>
        <v>104.8543482075</v>
      </c>
      <c r="BW341" s="322">
        <f>BV341+BW344</f>
        <v>106.48486113675</v>
      </c>
      <c r="BX341" s="322">
        <f>BW341+BX344</f>
        <v>107.952322773075</v>
      </c>
      <c r="BY341" s="734">
        <f>BX341+BY344</f>
        <v>109.27303824576749</v>
      </c>
      <c r="BZ341" s="269"/>
      <c r="CA341" s="200" t="str">
        <f>IF(ISERROR(RATE(5,,-BI341,BN341)),"NM",(RATE(5,,-BI341,BN341)))</f>
        <v>NM</v>
      </c>
      <c r="CB341" s="200" t="str">
        <f t="shared" ref="CB341:CG341" si="604">IF(ISERROR(RATE(3,,-BK341,BN341)),"NM",(RATE(3,,-BK341,BN341)))</f>
        <v>NM</v>
      </c>
      <c r="CC341" s="200">
        <f t="shared" si="604"/>
        <v>0.37588570286253975</v>
      </c>
      <c r="CD341" s="200">
        <f t="shared" si="604"/>
        <v>0.19120303478765935</v>
      </c>
      <c r="CE341" s="200">
        <f t="shared" si="604"/>
        <v>8.7769560722238044E-2</v>
      </c>
      <c r="CF341" s="200">
        <f t="shared" si="604"/>
        <v>3.8469231410979764E-2</v>
      </c>
      <c r="CG341" s="200">
        <f t="shared" si="604"/>
        <v>3.3770400549260761E-2</v>
      </c>
    </row>
    <row r="342" spans="1:85" s="54" customFormat="1" ht="11.25" customHeight="1">
      <c r="H342" s="83"/>
      <c r="I342" s="653" t="s">
        <v>132</v>
      </c>
      <c r="M342" s="198"/>
      <c r="N342" s="198"/>
      <c r="O342" s="198"/>
      <c r="P342" s="198"/>
      <c r="Q342" s="198" t="str">
        <f t="shared" ref="Q342:AR342" si="605">IF(ISERROR(Q341/M341-1),"NA",(IF(Q341&lt;=0,"NM",Q341/M341-1)))</f>
        <v>NA</v>
      </c>
      <c r="R342" s="198" t="str">
        <f t="shared" si="605"/>
        <v>NA</v>
      </c>
      <c r="S342" s="198" t="str">
        <f t="shared" si="605"/>
        <v>NA</v>
      </c>
      <c r="T342" s="198" t="str">
        <f t="shared" si="605"/>
        <v>NA</v>
      </c>
      <c r="U342" s="751">
        <f t="shared" si="605"/>
        <v>1.3981764865631829</v>
      </c>
      <c r="V342" s="198">
        <f t="shared" si="605"/>
        <v>1.2787723041117136</v>
      </c>
      <c r="W342" s="198">
        <f t="shared" si="605"/>
        <v>0.90167508031206922</v>
      </c>
      <c r="X342" s="752">
        <f t="shared" si="605"/>
        <v>1.5052130828621797</v>
      </c>
      <c r="Y342" s="198">
        <f t="shared" si="605"/>
        <v>1.555450372044259</v>
      </c>
      <c r="Z342" s="198">
        <f t="shared" si="605"/>
        <v>1.3971538851085383</v>
      </c>
      <c r="AA342" s="198">
        <f t="shared" si="605"/>
        <v>1.4159065335535925</v>
      </c>
      <c r="AB342" s="198">
        <f t="shared" si="605"/>
        <v>0.60480607645313755</v>
      </c>
      <c r="AC342" s="751">
        <f t="shared" si="605"/>
        <v>0.52335192192790281</v>
      </c>
      <c r="AD342" s="198">
        <f t="shared" si="605"/>
        <v>0.50643529202911397</v>
      </c>
      <c r="AE342" s="198">
        <f t="shared" si="605"/>
        <v>0.45555445446437415</v>
      </c>
      <c r="AF342" s="752">
        <f t="shared" si="605"/>
        <v>0.36673282298459497</v>
      </c>
      <c r="AG342" s="198">
        <f t="shared" si="605"/>
        <v>0.2904396143160648</v>
      </c>
      <c r="AH342" s="198">
        <f t="shared" si="605"/>
        <v>0.21986860324661928</v>
      </c>
      <c r="AI342" s="198">
        <f t="shared" si="605"/>
        <v>0.21511437908496744</v>
      </c>
      <c r="AJ342" s="752">
        <f t="shared" si="605"/>
        <v>0.1875198805094942</v>
      </c>
      <c r="AK342" s="198">
        <f t="shared" si="605"/>
        <v>0.13645804310934362</v>
      </c>
      <c r="AL342" s="198">
        <f t="shared" si="605"/>
        <v>0.11501956238226341</v>
      </c>
      <c r="AM342" s="198">
        <f t="shared" si="605"/>
        <v>8.6308523274837956E-2</v>
      </c>
      <c r="AN342" s="752">
        <f t="shared" si="605"/>
        <v>4.1436657116903142E-2</v>
      </c>
      <c r="AO342" s="198">
        <f t="shared" si="605"/>
        <v>0.10343559512798506</v>
      </c>
      <c r="AP342" s="198">
        <f t="shared" si="605"/>
        <v>0.10560230460162212</v>
      </c>
      <c r="AQ342" s="198">
        <f t="shared" si="605"/>
        <v>6.9424386218279288E-2</v>
      </c>
      <c r="AR342" s="752">
        <f t="shared" si="605"/>
        <v>4.0727321524422821E-2</v>
      </c>
      <c r="AS342" s="198">
        <f t="shared" ref="AS342:BD342" si="606">IF(ISERROR(AS341/AO341-1),"NA",(IF(AS341&lt;=0,"NM",AS341/AO341-1)))</f>
        <v>2.2245730617356241E-2</v>
      </c>
      <c r="AT342" s="198">
        <f t="shared" si="606"/>
        <v>1.706762792884553E-2</v>
      </c>
      <c r="AU342" s="198">
        <f t="shared" si="606"/>
        <v>1.4518182695089976E-2</v>
      </c>
      <c r="AV342" s="752">
        <f t="shared" si="606"/>
        <v>3.3263490426149067E-2</v>
      </c>
      <c r="AW342" s="198">
        <f t="shared" si="606"/>
        <v>1.8497383220503316E-2</v>
      </c>
      <c r="AX342" s="198">
        <f t="shared" si="606"/>
        <v>1.4264030572934239E-2</v>
      </c>
      <c r="AY342" s="198">
        <f t="shared" si="606"/>
        <v>1.2163858175556763E-2</v>
      </c>
      <c r="AZ342" s="752">
        <f t="shared" si="606"/>
        <v>2.7363752928661E-2</v>
      </c>
      <c r="BA342" s="198">
        <f t="shared" si="606"/>
        <v>1.5437227425869837E-2</v>
      </c>
      <c r="BB342" s="198">
        <f t="shared" si="606"/>
        <v>1.1953914978277913E-2</v>
      </c>
      <c r="BC342" s="198">
        <f t="shared" si="606"/>
        <v>1.0215025329851191E-2</v>
      </c>
      <c r="BD342" s="752">
        <f t="shared" si="606"/>
        <v>2.2639683289446211E-2</v>
      </c>
      <c r="BE342" s="264"/>
      <c r="BF342" s="633"/>
      <c r="BH342" s="198"/>
      <c r="BI342" s="198"/>
      <c r="BJ342" s="198"/>
      <c r="BK342" s="198"/>
      <c r="BL342" s="198"/>
      <c r="BM342" s="752">
        <f t="shared" ref="BM342:BT342" si="607">IF(ISERROR(BM341/BL341-1),"NA",(IF(BM341&lt;=0,"NM",BM341/BL341-1)))</f>
        <v>0.60480607645313755</v>
      </c>
      <c r="BN342" s="751">
        <f t="shared" si="607"/>
        <v>0.36673282298459497</v>
      </c>
      <c r="BO342" s="198">
        <f t="shared" si="607"/>
        <v>0.1875198805094942</v>
      </c>
      <c r="BP342" s="198">
        <f t="shared" si="607"/>
        <v>4.1436657116903142E-2</v>
      </c>
      <c r="BQ342" s="198">
        <f t="shared" si="607"/>
        <v>4.0727321524422821E-2</v>
      </c>
      <c r="BR342" s="198">
        <f t="shared" si="607"/>
        <v>3.3263490426149067E-2</v>
      </c>
      <c r="BS342" s="198">
        <f t="shared" si="607"/>
        <v>2.7363752928661E-2</v>
      </c>
      <c r="BT342" s="198">
        <f t="shared" si="607"/>
        <v>2.2639683289446211E-2</v>
      </c>
      <c r="BU342" s="198">
        <f>IF(ISERROR(BU341/BT341-1),"NA",(IF(BU341&lt;=0,"NM",BU341/BT341-1)))</f>
        <v>1.992462769971981E-2</v>
      </c>
      <c r="BV342" s="198">
        <f>IF(ISERROR(BV341/BU341-1),"NA",(IF(BV341&lt;=0,"NM",BV341/BU341-1)))</f>
        <v>1.7581853053387775E-2</v>
      </c>
      <c r="BW342" s="198">
        <f>IF(ISERROR(BW341/BV341-1),"NA",(IF(BW341&lt;=0,"NM",BW341/BV341-1)))</f>
        <v>1.5550265269145713E-2</v>
      </c>
      <c r="BX342" s="198">
        <f>IF(ISERROR(BX341/BW341-1),"NA",(IF(BX341&lt;=0,"NM",BX341/BW341-1)))</f>
        <v>1.3780941447070649E-2</v>
      </c>
      <c r="BY342" s="752">
        <f>IF(ISERROR(BY341/BX341-1),"NA",(IF(BY341&lt;=0,"NM",BY341/BX341-1)))</f>
        <v>1.2234247849105984E-2</v>
      </c>
      <c r="BZ342" s="264"/>
      <c r="CA342" s="201"/>
      <c r="CB342" s="201"/>
      <c r="CC342" s="201"/>
      <c r="CD342" s="201"/>
      <c r="CE342" s="201"/>
      <c r="CF342" s="201"/>
      <c r="CG342" s="201"/>
    </row>
    <row r="343" spans="1:85" s="36" customFormat="1" ht="11.25" customHeight="1">
      <c r="A343" s="86"/>
      <c r="B343" s="86"/>
      <c r="C343" s="86"/>
      <c r="D343" s="86"/>
      <c r="E343" s="86"/>
      <c r="F343" s="86"/>
      <c r="G343" s="86"/>
      <c r="H343" s="328"/>
      <c r="I343" s="2740" t="s">
        <v>687</v>
      </c>
      <c r="J343" s="347"/>
      <c r="K343" s="67"/>
      <c r="L343" s="67"/>
      <c r="M343" s="198"/>
      <c r="N343" s="198"/>
      <c r="O343" s="198"/>
      <c r="P343" s="198"/>
      <c r="Q343" s="198"/>
      <c r="R343" s="1006">
        <f>R341-Q341</f>
        <v>1.6952200000000008</v>
      </c>
      <c r="S343" s="1006">
        <f t="shared" ref="S343:AR343" si="608">S341-R341</f>
        <v>2.7325599999999994</v>
      </c>
      <c r="T343" s="1006">
        <f t="shared" si="608"/>
        <v>2.1770399999999999</v>
      </c>
      <c r="U343" s="1007">
        <f t="shared" si="608"/>
        <v>2.5593599999999963</v>
      </c>
      <c r="V343" s="1006">
        <f t="shared" si="608"/>
        <v>3.0803999999999991</v>
      </c>
      <c r="W343" s="1006">
        <f t="shared" si="608"/>
        <v>2.0855400000000017</v>
      </c>
      <c r="X343" s="1008">
        <f t="shared" si="608"/>
        <v>12.082100000000001</v>
      </c>
      <c r="Y343" s="1006">
        <f t="shared" si="608"/>
        <v>7.2013999999999996</v>
      </c>
      <c r="Z343" s="1006">
        <f t="shared" si="608"/>
        <v>4.8960000000000008</v>
      </c>
      <c r="AA343" s="1006">
        <f t="shared" si="608"/>
        <v>5.3909999999999982</v>
      </c>
      <c r="AB343" s="1006">
        <f t="shared" si="608"/>
        <v>2.4500000000000028</v>
      </c>
      <c r="AC343" s="1007">
        <f t="shared" si="608"/>
        <v>8.2849999999999966</v>
      </c>
      <c r="AD343" s="1006">
        <f t="shared" si="608"/>
        <v>6.695999999999998</v>
      </c>
      <c r="AE343" s="1006">
        <f t="shared" si="608"/>
        <v>5.554000000000002</v>
      </c>
      <c r="AF343" s="1006">
        <f t="shared" si="608"/>
        <v>-1.1329999999999956</v>
      </c>
      <c r="AG343" s="1007">
        <f t="shared" si="608"/>
        <v>6.6550000000000011</v>
      </c>
      <c r="AH343" s="1006">
        <f t="shared" si="608"/>
        <v>3.8499999999999943</v>
      </c>
      <c r="AI343" s="1006">
        <f t="shared" si="608"/>
        <v>6.4260000000000019</v>
      </c>
      <c r="AJ343" s="1008">
        <f t="shared" si="608"/>
        <v>-3.3719999999999999</v>
      </c>
      <c r="AK343" s="1006">
        <f t="shared" si="608"/>
        <v>3.8709999999999951</v>
      </c>
      <c r="AL343" s="1006">
        <f t="shared" si="608"/>
        <v>2.6000000000000085</v>
      </c>
      <c r="AM343" s="1006">
        <f t="shared" si="608"/>
        <v>4.6029999999999944</v>
      </c>
      <c r="AN343" s="1008">
        <f t="shared" si="608"/>
        <v>-7.5159999999999911</v>
      </c>
      <c r="AO343" s="1006">
        <f t="shared" si="608"/>
        <v>9.5949999999999847</v>
      </c>
      <c r="AP343" s="1006">
        <f t="shared" si="608"/>
        <v>3.0690000000000026</v>
      </c>
      <c r="AQ343" s="1006">
        <f t="shared" si="608"/>
        <v>1.5819999999999936</v>
      </c>
      <c r="AR343" s="1008">
        <f t="shared" si="608"/>
        <v>-10.603999999999985</v>
      </c>
      <c r="AS343" s="390">
        <f t="shared" ref="AS343:BD343" si="609">+AO343*0.85</f>
        <v>8.155749999999987</v>
      </c>
      <c r="AT343" s="390">
        <f t="shared" si="609"/>
        <v>2.6086500000000021</v>
      </c>
      <c r="AU343" s="390">
        <f t="shared" si="609"/>
        <v>1.3446999999999945</v>
      </c>
      <c r="AV343" s="884">
        <f t="shared" si="609"/>
        <v>-9.0133999999999865</v>
      </c>
      <c r="AW343" s="390">
        <f t="shared" si="609"/>
        <v>6.9323874999999884</v>
      </c>
      <c r="AX343" s="390">
        <f t="shared" si="609"/>
        <v>2.2173525000000018</v>
      </c>
      <c r="AY343" s="390">
        <f t="shared" si="609"/>
        <v>1.1429949999999953</v>
      </c>
      <c r="AZ343" s="884">
        <f t="shared" si="609"/>
        <v>-7.6613899999999884</v>
      </c>
      <c r="BA343" s="390">
        <f t="shared" si="609"/>
        <v>5.8925293749999899</v>
      </c>
      <c r="BB343" s="390">
        <f t="shared" si="609"/>
        <v>1.8847496250000015</v>
      </c>
      <c r="BC343" s="390">
        <f t="shared" si="609"/>
        <v>0.97154574999999599</v>
      </c>
      <c r="BD343" s="884">
        <f t="shared" si="609"/>
        <v>-6.5121814999999899</v>
      </c>
      <c r="BE343" s="1202"/>
      <c r="BF343" s="449"/>
      <c r="BG343" s="199"/>
      <c r="BH343" s="198"/>
      <c r="BI343" s="198"/>
      <c r="BJ343" s="198"/>
      <c r="BK343" s="198"/>
      <c r="BL343" s="198"/>
      <c r="BM343" s="752"/>
      <c r="BN343" s="751"/>
      <c r="BO343" s="198"/>
      <c r="BP343" s="198"/>
      <c r="BQ343" s="198"/>
      <c r="BR343" s="198"/>
      <c r="BS343" s="198"/>
      <c r="BT343" s="198"/>
      <c r="BU343" s="198"/>
      <c r="BV343" s="198"/>
      <c r="BW343" s="198"/>
      <c r="BX343" s="198"/>
      <c r="BY343" s="752"/>
      <c r="BZ343" s="264"/>
      <c r="CA343" s="80"/>
      <c r="CB343" s="88"/>
      <c r="CC343" s="88"/>
      <c r="CD343" s="88"/>
      <c r="CE343" s="88"/>
      <c r="CF343" s="88"/>
      <c r="CG343" s="88"/>
    </row>
    <row r="344" spans="1:85" ht="11.25" customHeight="1">
      <c r="A344" s="36"/>
      <c r="B344" s="36"/>
      <c r="C344" s="36"/>
      <c r="D344" s="36"/>
      <c r="E344" s="36"/>
      <c r="F344" s="36"/>
      <c r="G344" s="36"/>
      <c r="I344" s="994" t="s">
        <v>380</v>
      </c>
      <c r="J344" s="342"/>
      <c r="K344" s="336"/>
      <c r="L344" s="336"/>
      <c r="M344" s="336"/>
      <c r="N344" s="336"/>
      <c r="O344" s="336"/>
      <c r="P344" s="336"/>
      <c r="Q344" s="336"/>
      <c r="R344" s="336"/>
      <c r="S344" s="336"/>
      <c r="T344" s="336"/>
      <c r="U344" s="626">
        <f t="shared" ref="U344:AJ344" si="610">U341-Q341</f>
        <v>9.1641799999999964</v>
      </c>
      <c r="V344" s="336">
        <f t="shared" si="610"/>
        <v>10.549359999999995</v>
      </c>
      <c r="W344" s="336">
        <f t="shared" si="610"/>
        <v>9.902339999999997</v>
      </c>
      <c r="X344" s="613">
        <f t="shared" si="610"/>
        <v>19.807399999999998</v>
      </c>
      <c r="Y344" s="336">
        <f t="shared" si="610"/>
        <v>24.449440000000003</v>
      </c>
      <c r="Z344" s="336">
        <f t="shared" si="610"/>
        <v>26.265040000000003</v>
      </c>
      <c r="AA344" s="336">
        <f t="shared" si="610"/>
        <v>29.570499999999999</v>
      </c>
      <c r="AB344" s="336">
        <f t="shared" si="610"/>
        <v>19.938400000000001</v>
      </c>
      <c r="AC344" s="626">
        <f t="shared" si="610"/>
        <v>21.021999999999998</v>
      </c>
      <c r="AD344" s="336">
        <f t="shared" si="610"/>
        <v>22.821999999999996</v>
      </c>
      <c r="AE344" s="336">
        <f t="shared" si="610"/>
        <v>22.984999999999999</v>
      </c>
      <c r="AF344" s="336">
        <f t="shared" si="610"/>
        <v>19.402000000000001</v>
      </c>
      <c r="AG344" s="626">
        <f t="shared" si="610"/>
        <v>17.772000000000006</v>
      </c>
      <c r="AH344" s="336">
        <f t="shared" si="610"/>
        <v>14.926000000000002</v>
      </c>
      <c r="AI344" s="336">
        <f t="shared" si="610"/>
        <v>15.798000000000002</v>
      </c>
      <c r="AJ344" s="613">
        <f t="shared" si="610"/>
        <v>13.558999999999997</v>
      </c>
      <c r="AK344" s="336">
        <f t="shared" ref="AK344:AR344" si="611">AK341-AG341</f>
        <v>10.774999999999991</v>
      </c>
      <c r="AL344" s="336">
        <f t="shared" si="611"/>
        <v>9.5250000000000057</v>
      </c>
      <c r="AM344" s="336">
        <f t="shared" si="611"/>
        <v>7.7019999999999982</v>
      </c>
      <c r="AN344" s="613">
        <f t="shared" si="611"/>
        <v>3.5580000000000069</v>
      </c>
      <c r="AO344" s="336">
        <f t="shared" si="611"/>
        <v>9.2819999999999965</v>
      </c>
      <c r="AP344" s="336">
        <f t="shared" si="611"/>
        <v>9.7509999999999906</v>
      </c>
      <c r="AQ344" s="336">
        <f t="shared" si="611"/>
        <v>6.7299999999999898</v>
      </c>
      <c r="AR344" s="613">
        <f t="shared" si="611"/>
        <v>3.6419999999999959</v>
      </c>
      <c r="AS344" s="336">
        <f t="shared" ref="AS344:BD344" si="612">AS341-AO341</f>
        <v>2.2027499999999947</v>
      </c>
      <c r="AT344" s="336">
        <f t="shared" si="612"/>
        <v>1.7423999999999893</v>
      </c>
      <c r="AU344" s="336">
        <f t="shared" si="612"/>
        <v>1.5050999999999846</v>
      </c>
      <c r="AV344" s="613">
        <f t="shared" si="612"/>
        <v>3.0956999999999795</v>
      </c>
      <c r="AW344" s="336">
        <f t="shared" si="612"/>
        <v>1.8723374999999862</v>
      </c>
      <c r="AX344" s="336">
        <f t="shared" si="612"/>
        <v>1.481039999999993</v>
      </c>
      <c r="AY344" s="336">
        <f t="shared" si="612"/>
        <v>1.2793350000000032</v>
      </c>
      <c r="AZ344" s="613">
        <f t="shared" si="612"/>
        <v>2.6313450000000103</v>
      </c>
      <c r="BA344" s="336">
        <f t="shared" si="612"/>
        <v>1.5914868750000153</v>
      </c>
      <c r="BB344" s="336">
        <f t="shared" si="612"/>
        <v>1.258884000000009</v>
      </c>
      <c r="BC344" s="336">
        <f t="shared" si="612"/>
        <v>1.0874347499999999</v>
      </c>
      <c r="BD344" s="613">
        <f t="shared" si="612"/>
        <v>2.2366432500000002</v>
      </c>
      <c r="BE344" s="110"/>
      <c r="BF344" s="626"/>
      <c r="BG344" s="336"/>
      <c r="BH344" s="336"/>
      <c r="BI344" s="336"/>
      <c r="BJ344" s="336"/>
      <c r="BK344" s="336"/>
      <c r="BL344" s="336"/>
      <c r="BM344" s="613">
        <f t="shared" ref="BM344:BT344" si="613">BM341-BL341</f>
        <v>19.938400000000001</v>
      </c>
      <c r="BN344" s="626">
        <f t="shared" si="613"/>
        <v>19.402000000000001</v>
      </c>
      <c r="BO344" s="336">
        <f t="shared" si="613"/>
        <v>13.558999999999997</v>
      </c>
      <c r="BP344" s="336">
        <f t="shared" si="613"/>
        <v>3.5580000000000069</v>
      </c>
      <c r="BQ344" s="336">
        <f t="shared" si="613"/>
        <v>3.6419999999999959</v>
      </c>
      <c r="BR344" s="336">
        <f t="shared" si="613"/>
        <v>3.0956999999999795</v>
      </c>
      <c r="BS344" s="336">
        <f t="shared" si="613"/>
        <v>2.6313450000000103</v>
      </c>
      <c r="BT344" s="336">
        <f t="shared" si="613"/>
        <v>2.2366432500000002</v>
      </c>
      <c r="BU344" s="368">
        <f>+BT344*0.9</f>
        <v>2.0129789250000001</v>
      </c>
      <c r="BV344" s="368">
        <f>+BU344*0.9</f>
        <v>1.8116810325000001</v>
      </c>
      <c r="BW344" s="368">
        <f>+BV344*0.9</f>
        <v>1.6305129292500002</v>
      </c>
      <c r="BX344" s="368">
        <f>+BW344*0.9</f>
        <v>1.4674616363250002</v>
      </c>
      <c r="BY344" s="786">
        <f>+BX344*0.9</f>
        <v>1.3207154726925001</v>
      </c>
      <c r="BZ344" s="110"/>
      <c r="CA344" s="36"/>
      <c r="CB344" s="36"/>
      <c r="CC344" s="36"/>
      <c r="CD344" s="36"/>
      <c r="CE344" s="36"/>
      <c r="CF344" s="36"/>
      <c r="CG344" s="36"/>
    </row>
    <row r="345" spans="1:85" s="54" customFormat="1" ht="11.25" customHeight="1">
      <c r="H345" s="83"/>
      <c r="I345" s="653" t="s">
        <v>146</v>
      </c>
      <c r="M345" s="198"/>
      <c r="N345" s="198"/>
      <c r="O345" s="198"/>
      <c r="P345" s="198"/>
      <c r="Q345" s="198" t="str">
        <f t="shared" ref="Q345:AJ345" si="614">IF(ISERROR(Q341/P341-1),"NA",(IF(Q341&lt;=0,"NM",Q341/P341-1)))</f>
        <v>NA</v>
      </c>
      <c r="R345" s="198">
        <f t="shared" si="614"/>
        <v>0.25863926107427404</v>
      </c>
      <c r="S345" s="198">
        <f t="shared" si="614"/>
        <v>0.33123545384018604</v>
      </c>
      <c r="T345" s="198">
        <f t="shared" si="614"/>
        <v>0.19823422714657224</v>
      </c>
      <c r="U345" s="751">
        <f t="shared" si="614"/>
        <v>0.194492066387014</v>
      </c>
      <c r="V345" s="198">
        <f t="shared" si="614"/>
        <v>0.19597215012062175</v>
      </c>
      <c r="W345" s="198">
        <f t="shared" si="614"/>
        <v>0.11093911578087301</v>
      </c>
      <c r="X345" s="752">
        <f t="shared" si="614"/>
        <v>0.57851995499054332</v>
      </c>
      <c r="Y345" s="198">
        <f t="shared" si="614"/>
        <v>0.21844533558207391</v>
      </c>
      <c r="Z345" s="198">
        <f t="shared" si="614"/>
        <v>0.12188807010555669</v>
      </c>
      <c r="AA345" s="198">
        <f t="shared" si="614"/>
        <v>0.11962985975501494</v>
      </c>
      <c r="AB345" s="198">
        <f t="shared" si="614"/>
        <v>4.8558121098008167E-2</v>
      </c>
      <c r="AC345" s="751">
        <f t="shared" si="614"/>
        <v>0.15660145543899429</v>
      </c>
      <c r="AD345" s="198">
        <f t="shared" si="614"/>
        <v>0.10942964536688993</v>
      </c>
      <c r="AE345" s="198">
        <f t="shared" si="614"/>
        <v>8.1813628730518895E-2</v>
      </c>
      <c r="AF345" s="198">
        <f t="shared" si="614"/>
        <v>-1.5427559912853939E-2</v>
      </c>
      <c r="AG345" s="751">
        <f t="shared" si="614"/>
        <v>9.2038115258550324E-2</v>
      </c>
      <c r="AH345" s="198">
        <f t="shared" si="614"/>
        <v>4.8757630252526551E-2</v>
      </c>
      <c r="AI345" s="198">
        <f t="shared" si="614"/>
        <v>7.7597449644978944E-2</v>
      </c>
      <c r="AJ345" s="752">
        <f t="shared" si="614"/>
        <v>-3.7786593155382242E-2</v>
      </c>
      <c r="AK345" s="198">
        <f t="shared" ref="AK345:AR345" si="615">IF(ISERROR(AK341/AJ341-1),"NA",(IF(AK341&lt;=0,"NM",AK341/AJ341-1)))</f>
        <v>4.5081871753662517E-2</v>
      </c>
      <c r="AL345" s="198">
        <f t="shared" si="615"/>
        <v>2.8973556058259131E-2</v>
      </c>
      <c r="AM345" s="198">
        <f t="shared" si="615"/>
        <v>4.9850005956442178E-2</v>
      </c>
      <c r="AN345" s="752">
        <f t="shared" si="615"/>
        <v>-7.7532494326387313E-2</v>
      </c>
      <c r="AO345" s="198">
        <f t="shared" si="615"/>
        <v>0.1072978171408121</v>
      </c>
      <c r="AP345" s="198">
        <f t="shared" si="615"/>
        <v>3.0994051646653809E-2</v>
      </c>
      <c r="AQ345" s="198">
        <f t="shared" si="615"/>
        <v>1.5496434448710961E-2</v>
      </c>
      <c r="AR345" s="752">
        <f t="shared" si="615"/>
        <v>-0.10228610012539774</v>
      </c>
      <c r="AS345" s="198">
        <f t="shared" ref="AS345:BD345" si="616">IF(ISERROR(AS341/AR341-1),"NA",(IF(AS341&lt;=0,"NM",AS341/AR341-1)))</f>
        <v>8.7634044656480059E-2</v>
      </c>
      <c r="AT345" s="198">
        <f t="shared" si="616"/>
        <v>2.5771635048791319E-2</v>
      </c>
      <c r="AU345" s="198">
        <f t="shared" si="616"/>
        <v>1.2950927666656398E-2</v>
      </c>
      <c r="AV345" s="752">
        <f t="shared" si="616"/>
        <v>-8.5698991491331977E-2</v>
      </c>
      <c r="AW345" s="198">
        <f t="shared" si="616"/>
        <v>7.2090941611889114E-2</v>
      </c>
      <c r="AX345" s="198">
        <f t="shared" si="616"/>
        <v>2.1508047200087921E-2</v>
      </c>
      <c r="AY345" s="198">
        <f t="shared" si="616"/>
        <v>1.0853474228440962E-2</v>
      </c>
      <c r="AZ345" s="752">
        <f t="shared" si="616"/>
        <v>-7.19687253988055E-2</v>
      </c>
      <c r="BA345" s="198">
        <f t="shared" si="616"/>
        <v>5.9645184283974695E-2</v>
      </c>
      <c r="BB345" s="198">
        <f t="shared" si="616"/>
        <v>1.8003909671914675E-2</v>
      </c>
      <c r="BC345" s="198">
        <f t="shared" si="616"/>
        <v>9.1164755208963388E-3</v>
      </c>
      <c r="BD345" s="752">
        <f t="shared" si="616"/>
        <v>-6.0554847290071212E-2</v>
      </c>
      <c r="BE345" s="264"/>
      <c r="BF345" s="633"/>
      <c r="BM345" s="619"/>
      <c r="BN345" s="633"/>
      <c r="BP345" s="199"/>
      <c r="BQ345" s="199"/>
      <c r="BR345" s="199"/>
      <c r="BS345" s="199"/>
      <c r="BT345" s="199"/>
      <c r="BU345" s="199"/>
      <c r="BV345" s="199"/>
      <c r="BW345" s="199"/>
      <c r="BX345" s="199"/>
      <c r="BY345" s="620"/>
      <c r="BZ345" s="265"/>
      <c r="CA345" s="201"/>
      <c r="CB345" s="201"/>
      <c r="CC345" s="201"/>
      <c r="CD345" s="201"/>
      <c r="CE345" s="201"/>
      <c r="CF345" s="201"/>
      <c r="CG345" s="201"/>
    </row>
    <row r="346" spans="1:85" s="36" customFormat="1" ht="11.25" customHeight="1">
      <c r="A346" s="86"/>
      <c r="B346" s="86"/>
      <c r="C346" s="86"/>
      <c r="D346" s="86"/>
      <c r="E346" s="86"/>
      <c r="F346" s="86"/>
      <c r="G346" s="86"/>
      <c r="H346" s="328"/>
      <c r="I346" s="653" t="s">
        <v>278</v>
      </c>
      <c r="J346" s="347"/>
      <c r="K346" s="67"/>
      <c r="L346" s="67"/>
      <c r="M346" s="198"/>
      <c r="N346" s="198"/>
      <c r="O346" s="198"/>
      <c r="P346" s="198"/>
      <c r="Q346" s="348">
        <f>R346-2%</f>
        <v>0.14000000000000004</v>
      </c>
      <c r="R346" s="348">
        <f>S346-2%</f>
        <v>0.16000000000000003</v>
      </c>
      <c r="S346" s="348">
        <f>T346-2%</f>
        <v>0.18000000000000002</v>
      </c>
      <c r="T346" s="348">
        <f>U346-2%</f>
        <v>0.2</v>
      </c>
      <c r="U346" s="806">
        <f>V346-2%</f>
        <v>0.22</v>
      </c>
      <c r="V346" s="341">
        <v>0.24</v>
      </c>
      <c r="W346" s="341">
        <v>0.25</v>
      </c>
      <c r="X346" s="807">
        <v>0.38200000000000001</v>
      </c>
      <c r="Y346" s="349">
        <f>Y341/Y320</f>
        <v>0.39355312790868563</v>
      </c>
      <c r="Z346" s="341">
        <v>0.3</v>
      </c>
      <c r="AA346" s="341">
        <v>0.33</v>
      </c>
      <c r="AB346" s="349">
        <f t="shared" ref="AB346:AJ346" si="617">AB341/AB320</f>
        <v>0.44085663097370947</v>
      </c>
      <c r="AC346" s="802">
        <f t="shared" si="617"/>
        <v>0.46195077759323566</v>
      </c>
      <c r="AD346" s="349">
        <f t="shared" si="617"/>
        <v>0.49278097574785312</v>
      </c>
      <c r="AE346" s="349">
        <f t="shared" si="617"/>
        <v>0.52676125034070198</v>
      </c>
      <c r="AF346" s="349">
        <f t="shared" si="617"/>
        <v>0.53404877616437951</v>
      </c>
      <c r="AG346" s="802">
        <f t="shared" si="617"/>
        <v>0.55425154071848726</v>
      </c>
      <c r="AH346" s="349">
        <f>AH341/AH320</f>
        <v>0.57552296893460286</v>
      </c>
      <c r="AI346" s="349">
        <f>AI341/AI320</f>
        <v>0.60288613547001035</v>
      </c>
      <c r="AJ346" s="1009">
        <f t="shared" si="617"/>
        <v>0.61128948436287533</v>
      </c>
      <c r="AK346" s="349">
        <f t="shared" ref="AK346:AP346" si="618">AK341/AK320</f>
        <v>0.61470435116177113</v>
      </c>
      <c r="AL346" s="349">
        <f t="shared" si="618"/>
        <v>0.64692117450064102</v>
      </c>
      <c r="AM346" s="349">
        <f t="shared" si="618"/>
        <v>0.67578024245550672</v>
      </c>
      <c r="AN346" s="1009">
        <f t="shared" si="618"/>
        <v>0.67115484205075093</v>
      </c>
      <c r="AO346" s="349">
        <f t="shared" si="618"/>
        <v>0.65419961812644112</v>
      </c>
      <c r="AP346" s="349">
        <f t="shared" si="618"/>
        <v>0.64983227137028243</v>
      </c>
      <c r="AQ346" s="349">
        <f t="shared" ref="AQ346:AR346" si="619">AQ341/AQ320</f>
        <v>0.65989815404201135</v>
      </c>
      <c r="AR346" s="1009">
        <f t="shared" si="619"/>
        <v>0.66018770084202916</v>
      </c>
      <c r="AS346" s="349">
        <f t="shared" ref="AS346:BD346" si="620">AS341/AS320</f>
        <v>0.69389493383878964</v>
      </c>
      <c r="AT346" s="349">
        <f t="shared" si="620"/>
        <v>0.7161537113904074</v>
      </c>
      <c r="AU346" s="349">
        <f t="shared" si="620"/>
        <v>0.73637540511986077</v>
      </c>
      <c r="AV346" s="1009">
        <f t="shared" si="620"/>
        <v>0.73791905287738058</v>
      </c>
      <c r="AW346" s="349">
        <f t="shared" si="620"/>
        <v>0.76367638301826324</v>
      </c>
      <c r="AX346" s="349">
        <f t="shared" si="620"/>
        <v>0.7817383199603547</v>
      </c>
      <c r="AY346" s="349">
        <f t="shared" si="620"/>
        <v>0.79826396630978991</v>
      </c>
      <c r="AZ346" s="1009">
        <f t="shared" si="620"/>
        <v>0.80191734239520429</v>
      </c>
      <c r="BA346" s="349">
        <f t="shared" si="620"/>
        <v>0.82534493067933457</v>
      </c>
      <c r="BB346" s="349">
        <f t="shared" si="620"/>
        <v>0.84429977458048877</v>
      </c>
      <c r="BC346" s="349">
        <f t="shared" si="620"/>
        <v>0.8624402107769954</v>
      </c>
      <c r="BD346" s="1009">
        <f t="shared" si="620"/>
        <v>0.87333454796335952</v>
      </c>
      <c r="BE346" s="1204"/>
      <c r="BF346" s="449"/>
      <c r="BG346" s="199"/>
      <c r="BH346" s="198"/>
      <c r="BI346" s="198"/>
      <c r="BJ346" s="198"/>
      <c r="BK346" s="198"/>
      <c r="BL346" s="198">
        <f t="shared" ref="BL346:BT346" si="621">BL341/BL$320</f>
        <v>0.38200000000000001</v>
      </c>
      <c r="BM346" s="752">
        <f t="shared" si="621"/>
        <v>0.44085663097370947</v>
      </c>
      <c r="BN346" s="751">
        <f t="shared" si="621"/>
        <v>0.53404877616437951</v>
      </c>
      <c r="BO346" s="198">
        <f t="shared" si="621"/>
        <v>0.61128948436287533</v>
      </c>
      <c r="BP346" s="198">
        <f t="shared" si="621"/>
        <v>0.67115484205075093</v>
      </c>
      <c r="BQ346" s="198">
        <f t="shared" si="621"/>
        <v>0.66018770084202916</v>
      </c>
      <c r="BR346" s="198">
        <f>BR341/BR$320</f>
        <v>0.73791905287738058</v>
      </c>
      <c r="BS346" s="198">
        <f t="shared" si="621"/>
        <v>0.80191734239520429</v>
      </c>
      <c r="BT346" s="198">
        <f t="shared" si="621"/>
        <v>0.87333454796335952</v>
      </c>
      <c r="BU346" s="198">
        <f>BU341/BU$320</f>
        <v>0.95902114886746703</v>
      </c>
      <c r="BV346" s="198">
        <f>BV341/BV$320</f>
        <v>1.0753481674464702</v>
      </c>
      <c r="BW346" s="198">
        <f>BW341/BW$320</f>
        <v>1.2255435885244881</v>
      </c>
      <c r="BX346" s="198">
        <f>BX341/BX$320</f>
        <v>1.4278402474001419</v>
      </c>
      <c r="BY346" s="752">
        <f>BY341/BY$320</f>
        <v>1.7160778411497797</v>
      </c>
      <c r="BZ346" s="281"/>
      <c r="CA346" s="80"/>
      <c r="CB346" s="88"/>
      <c r="CC346" s="88"/>
      <c r="CD346" s="88"/>
      <c r="CE346" s="88"/>
      <c r="CF346" s="88"/>
      <c r="CG346" s="88"/>
    </row>
    <row r="347" spans="1:85" s="36" customFormat="1" ht="11.25" customHeight="1">
      <c r="A347" s="86"/>
      <c r="B347" s="86"/>
      <c r="C347" s="86"/>
      <c r="D347" s="86"/>
      <c r="E347" s="86"/>
      <c r="F347" s="86"/>
      <c r="G347" s="86"/>
      <c r="H347" s="328"/>
      <c r="I347" s="994"/>
      <c r="J347" s="347"/>
      <c r="K347" s="67"/>
      <c r="L347" s="67"/>
      <c r="M347" s="198"/>
      <c r="N347" s="198"/>
      <c r="O347" s="198"/>
      <c r="P347" s="198"/>
      <c r="Q347" s="348"/>
      <c r="R347" s="348"/>
      <c r="S347" s="348"/>
      <c r="T347" s="348"/>
      <c r="U347" s="806"/>
      <c r="V347" s="341"/>
      <c r="W347" s="341"/>
      <c r="X347" s="807"/>
      <c r="Y347" s="349"/>
      <c r="Z347" s="341"/>
      <c r="AA347" s="341"/>
      <c r="AB347" s="349"/>
      <c r="AC347" s="802"/>
      <c r="AD347" s="349"/>
      <c r="AE347" s="349"/>
      <c r="AF347" s="1000"/>
      <c r="AG347" s="1648"/>
      <c r="AH347" s="1000"/>
      <c r="AI347" s="1000"/>
      <c r="AJ347" s="999"/>
      <c r="AK347" s="1000"/>
      <c r="AL347" s="1000"/>
      <c r="AM347" s="1000"/>
      <c r="AN347" s="999"/>
      <c r="AO347" s="1000"/>
      <c r="AP347" s="1000"/>
      <c r="AQ347" s="1000"/>
      <c r="AR347" s="999"/>
      <c r="AS347" s="1000"/>
      <c r="AT347" s="1000"/>
      <c r="AU347" s="1000"/>
      <c r="AV347" s="999"/>
      <c r="AW347" s="1000"/>
      <c r="AX347" s="1000"/>
      <c r="AY347" s="1000"/>
      <c r="AZ347" s="999"/>
      <c r="BA347" s="1000"/>
      <c r="BB347" s="1000"/>
      <c r="BC347" s="1000"/>
      <c r="BD347" s="999"/>
      <c r="BE347" s="1000"/>
      <c r="BF347" s="449"/>
      <c r="BG347" s="199"/>
      <c r="BH347" s="198"/>
      <c r="BI347" s="198"/>
      <c r="BJ347" s="198"/>
      <c r="BK347" s="198"/>
      <c r="BL347" s="198"/>
      <c r="BM347" s="752"/>
      <c r="BN347" s="751"/>
      <c r="BO347" s="198"/>
      <c r="BP347" s="15"/>
      <c r="BQ347" s="15"/>
      <c r="BR347" s="15"/>
      <c r="BS347" s="15"/>
      <c r="BT347" s="15"/>
      <c r="BU347" s="15"/>
      <c r="BV347" s="15"/>
      <c r="BW347" s="15"/>
      <c r="BX347" s="15"/>
      <c r="BY347" s="784"/>
      <c r="BZ347" s="281"/>
      <c r="CA347" s="80"/>
      <c r="CB347" s="88"/>
      <c r="CC347" s="88"/>
      <c r="CD347" s="88"/>
      <c r="CE347" s="88"/>
      <c r="CF347" s="88"/>
      <c r="CG347" s="88"/>
    </row>
    <row r="348" spans="1:85" s="54" customFormat="1" ht="11.25" customHeight="1" collapsed="1">
      <c r="H348" s="83"/>
      <c r="I348" s="651"/>
      <c r="J348" s="13"/>
      <c r="K348" s="5"/>
      <c r="L348" s="5"/>
      <c r="M348" s="14"/>
      <c r="N348" s="14"/>
      <c r="O348" s="14"/>
      <c r="P348" s="14"/>
      <c r="Q348" s="14"/>
      <c r="R348" s="14"/>
      <c r="S348" s="206"/>
      <c r="T348" s="14"/>
      <c r="U348" s="805"/>
      <c r="V348" s="14"/>
      <c r="W348" s="14"/>
      <c r="X348" s="784"/>
      <c r="Y348" s="15"/>
      <c r="Z348" s="15"/>
      <c r="AA348" s="15"/>
      <c r="AB348" s="15"/>
      <c r="AC348" s="791"/>
      <c r="AD348" s="15"/>
      <c r="AE348" s="15"/>
      <c r="AF348" s="15"/>
      <c r="AG348" s="791"/>
      <c r="AH348" s="15"/>
      <c r="AI348" s="15"/>
      <c r="AJ348" s="784"/>
      <c r="AK348" s="15"/>
      <c r="AL348" s="15"/>
      <c r="AM348" s="15"/>
      <c r="AN348" s="784"/>
      <c r="AO348" s="15"/>
      <c r="AP348" s="15"/>
      <c r="AQ348" s="15"/>
      <c r="AR348" s="784"/>
      <c r="AS348" s="15"/>
      <c r="AT348" s="15"/>
      <c r="AU348" s="15"/>
      <c r="AV348" s="784"/>
      <c r="AW348" s="15"/>
      <c r="AX348" s="15"/>
      <c r="AY348" s="15"/>
      <c r="AZ348" s="784"/>
      <c r="BA348" s="15"/>
      <c r="BB348" s="15"/>
      <c r="BC348" s="15"/>
      <c r="BD348" s="784"/>
      <c r="BE348" s="248"/>
      <c r="BF348" s="805"/>
      <c r="BG348" s="14"/>
      <c r="BH348" s="14"/>
      <c r="BI348" s="14"/>
      <c r="BJ348" s="14"/>
      <c r="BK348" s="14"/>
      <c r="BL348" s="14"/>
      <c r="BM348" s="1401"/>
      <c r="BN348" s="1404"/>
      <c r="BO348" s="197"/>
      <c r="BP348" s="15"/>
      <c r="BQ348" s="15"/>
      <c r="BR348" s="15"/>
      <c r="BS348" s="15"/>
      <c r="BT348" s="15"/>
      <c r="BU348" s="15"/>
      <c r="BV348" s="15"/>
      <c r="BW348" s="15"/>
      <c r="BX348" s="15"/>
      <c r="BY348" s="784"/>
      <c r="BZ348" s="248"/>
    </row>
    <row r="349" spans="1:85" s="54" customFormat="1" ht="11.25" customHeight="1">
      <c r="H349" s="83"/>
      <c r="I349" s="787" t="s">
        <v>503</v>
      </c>
      <c r="J349" s="343"/>
      <c r="K349" s="331"/>
      <c r="L349" s="331"/>
      <c r="M349" s="344"/>
      <c r="N349" s="344"/>
      <c r="O349" s="344"/>
      <c r="P349" s="344"/>
      <c r="Q349" s="1205">
        <f t="shared" ref="Q349:AI349" si="622">Q341-Q357</f>
        <v>3.0543800000000019</v>
      </c>
      <c r="R349" s="1205">
        <f t="shared" si="622"/>
        <v>4.0143058823529438</v>
      </c>
      <c r="S349" s="1205">
        <f t="shared" si="622"/>
        <v>6.1041112195121974</v>
      </c>
      <c r="T349" s="1205">
        <f t="shared" si="622"/>
        <v>7.4592000000000018</v>
      </c>
      <c r="U349" s="1897">
        <f t="shared" si="622"/>
        <v>9.4185599999999994</v>
      </c>
      <c r="V349" s="1205">
        <f t="shared" si="622"/>
        <v>11.598959999999998</v>
      </c>
      <c r="W349" s="1205">
        <f t="shared" si="622"/>
        <v>12.884499999999999</v>
      </c>
      <c r="X349" s="1898">
        <f t="shared" si="622"/>
        <v>23.7666</v>
      </c>
      <c r="Y349" s="1205">
        <f>Y320-Y333</f>
        <v>30.256</v>
      </c>
      <c r="Z349" s="1205">
        <f t="shared" ref="Z349:AE349" si="623">Z320-Z333</f>
        <v>34.692000000000007</v>
      </c>
      <c r="AA349" s="1205">
        <f t="shared" si="623"/>
        <v>38.728000000000009</v>
      </c>
      <c r="AB349" s="1205">
        <f t="shared" si="623"/>
        <v>42.292000000000002</v>
      </c>
      <c r="AC349" s="1897">
        <f t="shared" si="623"/>
        <v>50.249000000000009</v>
      </c>
      <c r="AD349" s="1205">
        <f t="shared" si="623"/>
        <v>55.876999999999995</v>
      </c>
      <c r="AE349" s="1205">
        <f t="shared" si="623"/>
        <v>58.95</v>
      </c>
      <c r="AF349" s="1205">
        <f t="shared" si="622"/>
        <v>57.766000000000005</v>
      </c>
      <c r="AG349" s="2420">
        <f t="shared" si="622"/>
        <v>62.923000000000002</v>
      </c>
      <c r="AH349" s="1205">
        <f t="shared" si="622"/>
        <v>64.715000000000003</v>
      </c>
      <c r="AI349" s="1205">
        <f t="shared" si="622"/>
        <v>69.117000000000004</v>
      </c>
      <c r="AJ349" s="2474">
        <v>65.86</v>
      </c>
      <c r="AK349" s="2475">
        <v>68.551000000000002</v>
      </c>
      <c r="AL349" s="2475">
        <v>69.326999999999998</v>
      </c>
      <c r="AM349" s="2475">
        <v>72.040000000000006</v>
      </c>
      <c r="AN349" s="2474">
        <v>65.350999999999999</v>
      </c>
      <c r="AO349" s="2475">
        <v>73.191999999999993</v>
      </c>
      <c r="AP349" s="2475">
        <v>74.100999999999999</v>
      </c>
      <c r="AQ349" s="2475">
        <v>73.507999999999996</v>
      </c>
      <c r="AR349" s="2474">
        <v>64.221000000000004</v>
      </c>
      <c r="AS349" s="350">
        <f t="shared" ref="AS349:BD349" si="624">AS341-AS357</f>
        <v>70.376749999999987</v>
      </c>
      <c r="AT349" s="350">
        <f t="shared" si="624"/>
        <v>70.985399999999984</v>
      </c>
      <c r="AU349" s="350">
        <f t="shared" si="624"/>
        <v>70.330099999999973</v>
      </c>
      <c r="AV349" s="797">
        <f t="shared" si="624"/>
        <v>59.316699999999983</v>
      </c>
      <c r="AW349" s="350">
        <f t="shared" si="624"/>
        <v>65.249087499999973</v>
      </c>
      <c r="AX349" s="350">
        <f t="shared" si="624"/>
        <v>66.466439999999977</v>
      </c>
      <c r="AY349" s="350">
        <f t="shared" si="624"/>
        <v>66.609434999999976</v>
      </c>
      <c r="AZ349" s="797">
        <f t="shared" si="624"/>
        <v>57.948044999999993</v>
      </c>
      <c r="BA349" s="350">
        <f t="shared" si="624"/>
        <v>62.840574374999989</v>
      </c>
      <c r="BB349" s="350">
        <f t="shared" si="624"/>
        <v>63.725323999999986</v>
      </c>
      <c r="BC349" s="350">
        <f t="shared" si="624"/>
        <v>63.696869749999976</v>
      </c>
      <c r="BD349" s="797">
        <f t="shared" si="624"/>
        <v>56.184688249999994</v>
      </c>
      <c r="BE349" s="1205"/>
      <c r="BF349" s="810"/>
      <c r="BG349" s="345"/>
      <c r="BH349" s="345"/>
      <c r="BI349" s="345"/>
      <c r="BJ349" s="345"/>
      <c r="BK349" s="216">
        <f>T349</f>
        <v>7.4592000000000018</v>
      </c>
      <c r="BL349" s="216">
        <f>X349</f>
        <v>23.7666</v>
      </c>
      <c r="BM349" s="1241">
        <f>AB349</f>
        <v>42.292000000000002</v>
      </c>
      <c r="BN349" s="1405">
        <f>+AF349</f>
        <v>57.766000000000005</v>
      </c>
      <c r="BO349" s="216">
        <f>+AJ349</f>
        <v>65.86</v>
      </c>
      <c r="BP349" s="428">
        <f>+AN349</f>
        <v>65.350999999999999</v>
      </c>
      <c r="BQ349" s="428">
        <f>AR349</f>
        <v>64.221000000000004</v>
      </c>
      <c r="BR349" s="428">
        <f>AV349</f>
        <v>59.316699999999983</v>
      </c>
      <c r="BS349" s="428">
        <f>AZ349</f>
        <v>57.948044999999993</v>
      </c>
      <c r="BT349" s="428">
        <f>BD349</f>
        <v>56.184688249999994</v>
      </c>
      <c r="BU349" s="322">
        <f>BU341-BU357</f>
        <v>53.697667174999992</v>
      </c>
      <c r="BV349" s="322">
        <f>BV341-BV357</f>
        <v>49.509348207499997</v>
      </c>
      <c r="BW349" s="322">
        <f>BW341-BW357</f>
        <v>44.63986113675</v>
      </c>
      <c r="BX349" s="322">
        <f>BX341-BX357</f>
        <v>39.107322773074998</v>
      </c>
      <c r="BY349" s="734">
        <f>BY341-BY357</f>
        <v>32.928038245767496</v>
      </c>
      <c r="BZ349" s="282"/>
      <c r="CA349" s="200"/>
      <c r="CB349" s="200"/>
      <c r="CC349" s="200"/>
      <c r="CD349" s="200"/>
      <c r="CE349" s="200"/>
      <c r="CF349" s="200"/>
      <c r="CG349" s="200"/>
    </row>
    <row r="350" spans="1:85" s="54" customFormat="1" ht="11.25" customHeight="1">
      <c r="H350" s="83"/>
      <c r="I350" s="798" t="s">
        <v>132</v>
      </c>
      <c r="M350" s="198"/>
      <c r="N350" s="198"/>
      <c r="O350" s="198"/>
      <c r="P350" s="198"/>
      <c r="Q350" s="198" t="str">
        <f>IF(ISERROR(Q349/M349-1),"NA",(IF(Q349&lt;=0,"NM",Q349/M349-1)))</f>
        <v>NA</v>
      </c>
      <c r="R350" s="198" t="str">
        <f>IF(ISERROR(R349/N349-1),"NA",(IF(R349&lt;=0,"NM",R349/N349-1)))</f>
        <v>NA</v>
      </c>
      <c r="S350" s="198" t="str">
        <f>IF(ISERROR(S349/O349-1),"NA",(IF(S349&lt;=0,"NM",S349/O349-1)))</f>
        <v>NA</v>
      </c>
      <c r="T350" s="198" t="str">
        <f>IF(ISERROR(T349/P349-1),"NA",(IF(T349&lt;=0,"NM",T349/P349-1)))</f>
        <v>NA</v>
      </c>
      <c r="U350" s="751">
        <f t="shared" ref="U350:AJ350" si="625">IF(ISERROR(U349/Q349-1),"NA",(IF(U349&lt;=0,"NM",U349/Q349-1)))</f>
        <v>2.0836241724998179</v>
      </c>
      <c r="V350" s="198">
        <f t="shared" si="625"/>
        <v>1.8894061239801156</v>
      </c>
      <c r="W350" s="198">
        <f t="shared" si="625"/>
        <v>1.1107905044085431</v>
      </c>
      <c r="X350" s="752">
        <f t="shared" si="625"/>
        <v>2.1862129987129979</v>
      </c>
      <c r="Y350" s="198">
        <f t="shared" si="625"/>
        <v>2.2123806611626406</v>
      </c>
      <c r="Z350" s="198">
        <f t="shared" si="625"/>
        <v>1.9909578100105536</v>
      </c>
      <c r="AA350" s="198">
        <f t="shared" si="625"/>
        <v>2.00578214133261</v>
      </c>
      <c r="AB350" s="198">
        <f t="shared" si="625"/>
        <v>0.77947203217961336</v>
      </c>
      <c r="AC350" s="751">
        <f t="shared" si="625"/>
        <v>0.66079455314648361</v>
      </c>
      <c r="AD350" s="198">
        <f t="shared" si="625"/>
        <v>0.61065951804450536</v>
      </c>
      <c r="AE350" s="198">
        <f t="shared" si="625"/>
        <v>0.5221545135302621</v>
      </c>
      <c r="AF350" s="198">
        <f t="shared" si="625"/>
        <v>0.36588480090797315</v>
      </c>
      <c r="AG350" s="751">
        <f t="shared" si="625"/>
        <v>0.25222392485422573</v>
      </c>
      <c r="AH350" s="198">
        <f t="shared" si="625"/>
        <v>0.15816883511999591</v>
      </c>
      <c r="AI350" s="198">
        <f t="shared" si="625"/>
        <v>0.17246819338422403</v>
      </c>
      <c r="AJ350" s="752">
        <f t="shared" si="625"/>
        <v>0.14011702385486258</v>
      </c>
      <c r="AK350" s="198">
        <f t="shared" ref="AK350:AR350" si="626">IF(ISERROR(AK349/AG349-1),"NA",(IF(AK349&lt;=0,"NM",AK349/AG349-1)))</f>
        <v>8.9442652130381495E-2</v>
      </c>
      <c r="AL350" s="198">
        <f t="shared" si="626"/>
        <v>7.1266321563779655E-2</v>
      </c>
      <c r="AM350" s="198">
        <f t="shared" si="626"/>
        <v>4.2290608678038799E-2</v>
      </c>
      <c r="AN350" s="752">
        <f t="shared" si="626"/>
        <v>-7.7285150318858742E-3</v>
      </c>
      <c r="AO350" s="198">
        <f t="shared" si="626"/>
        <v>6.7701419381190453E-2</v>
      </c>
      <c r="AP350" s="198">
        <f t="shared" si="626"/>
        <v>6.8862059515051977E-2</v>
      </c>
      <c r="AQ350" s="198">
        <f t="shared" si="626"/>
        <v>2.03775680177678E-2</v>
      </c>
      <c r="AR350" s="752">
        <f t="shared" si="626"/>
        <v>-1.7291242674174812E-2</v>
      </c>
      <c r="AS350" s="198">
        <f t="shared" ref="AS350:BD350" si="627">IF(ISERROR(AS349/AO349-1),"NA",(IF(AS349&lt;=0,"NM",AS349/AO349-1)))</f>
        <v>-3.8463903158815205E-2</v>
      </c>
      <c r="AT350" s="198">
        <f t="shared" si="627"/>
        <v>-4.2045316527442478E-2</v>
      </c>
      <c r="AU350" s="198">
        <f t="shared" si="627"/>
        <v>-4.3232029166893726E-2</v>
      </c>
      <c r="AV350" s="752">
        <f t="shared" si="627"/>
        <v>-7.6365986203890013E-2</v>
      </c>
      <c r="AW350" s="198">
        <f t="shared" si="627"/>
        <v>-7.2860177544430749E-2</v>
      </c>
      <c r="AX350" s="198">
        <f t="shared" si="627"/>
        <v>-6.3660414676820931E-2</v>
      </c>
      <c r="AY350" s="198">
        <f t="shared" si="627"/>
        <v>-5.2902882265203677E-2</v>
      </c>
      <c r="AZ350" s="752">
        <f t="shared" si="627"/>
        <v>-2.3073687511274033E-2</v>
      </c>
      <c r="BA350" s="198">
        <f t="shared" si="627"/>
        <v>-3.6912594754677341E-2</v>
      </c>
      <c r="BB350" s="198">
        <f t="shared" si="627"/>
        <v>-4.1240602024119166E-2</v>
      </c>
      <c r="BC350" s="198">
        <f t="shared" si="627"/>
        <v>-4.3726016441965054E-2</v>
      </c>
      <c r="BD350" s="752">
        <f t="shared" si="627"/>
        <v>-3.0429961010764006E-2</v>
      </c>
      <c r="BE350" s="264"/>
      <c r="BF350" s="633"/>
      <c r="BH350" s="198"/>
      <c r="BI350" s="198"/>
      <c r="BJ350" s="198"/>
      <c r="BK350" s="198"/>
      <c r="BL350" s="198">
        <f t="shared" ref="BL350:BT350" si="628">IF(ISERROR(BL349/BK349-1),"NA",(IF(BL349&lt;=0,"NM",BL349/BK349-1)))</f>
        <v>2.1862129987129979</v>
      </c>
      <c r="BM350" s="752">
        <f t="shared" si="628"/>
        <v>0.77947203217961336</v>
      </c>
      <c r="BN350" s="751">
        <f t="shared" si="628"/>
        <v>0.36588480090797315</v>
      </c>
      <c r="BO350" s="198">
        <f t="shared" si="628"/>
        <v>0.14011702385486258</v>
      </c>
      <c r="BP350" s="198">
        <f t="shared" si="628"/>
        <v>-7.7285150318858742E-3</v>
      </c>
      <c r="BQ350" s="198">
        <f t="shared" si="628"/>
        <v>-1.7291242674174812E-2</v>
      </c>
      <c r="BR350" s="198">
        <f t="shared" si="628"/>
        <v>-7.6365986203890013E-2</v>
      </c>
      <c r="BS350" s="198">
        <f t="shared" si="628"/>
        <v>-2.3073687511274033E-2</v>
      </c>
      <c r="BT350" s="198">
        <f t="shared" si="628"/>
        <v>-3.0429961010764006E-2</v>
      </c>
      <c r="BU350" s="198">
        <f>IF(ISERROR(BU349/BT349-1),"NA",(IF(BU349&lt;=0,"NM",BU349/BT349-1)))</f>
        <v>-4.426510411401996E-2</v>
      </c>
      <c r="BV350" s="198">
        <f>IF(ISERROR(BV349/BU349-1),"NA",(IF(BV349&lt;=0,"NM",BV349/BU349-1)))</f>
        <v>-7.7998155000855385E-2</v>
      </c>
      <c r="BW350" s="198">
        <f>IF(ISERROR(BW349/BV349-1),"NA",(IF(BW349&lt;=0,"NM",BW349/BV349-1)))</f>
        <v>-9.8354901590329114E-2</v>
      </c>
      <c r="BX350" s="198">
        <f>IF(ISERROR(BX349/BW349-1),"NA",(IF(BX349&lt;=0,"NM",BX349/BW349-1)))</f>
        <v>-0.12393717683678707</v>
      </c>
      <c r="BY350" s="752">
        <f>IF(ISERROR(BY349/BX349-1),"NA",(IF(BY349&lt;=0,"NM",BY349/BX349-1)))</f>
        <v>-0.15800837513637922</v>
      </c>
      <c r="BZ350" s="264"/>
      <c r="CA350" s="201"/>
      <c r="CB350" s="201"/>
      <c r="CC350" s="201"/>
      <c r="CD350" s="201"/>
      <c r="CE350" s="201"/>
      <c r="CF350" s="201"/>
      <c r="CG350" s="201"/>
    </row>
    <row r="351" spans="1:85" s="54" customFormat="1" ht="11.25" customHeight="1">
      <c r="H351" s="83"/>
      <c r="I351" s="798" t="s">
        <v>146</v>
      </c>
      <c r="M351" s="198"/>
      <c r="N351" s="198"/>
      <c r="O351" s="198"/>
      <c r="P351" s="198"/>
      <c r="Q351" s="198" t="str">
        <f>IF(ISERROR(Q349/P349-1),"NA",(IF(Q349&lt;=0,"NM",Q349/P349-1)))</f>
        <v>NA</v>
      </c>
      <c r="R351" s="198">
        <f>IF(ISERROR(R349/Q349-1),"NA",(IF(R349&lt;=0,"NM",R349/Q349-1)))</f>
        <v>0.31427847299711931</v>
      </c>
      <c r="S351" s="198">
        <f>IF(ISERROR(S349/R349-1),"NA",(IF(S349&lt;=0,"NM",S349/R349-1)))</f>
        <v>0.52058946139259721</v>
      </c>
      <c r="T351" s="198">
        <f>IF(ISERROR(T349/S349-1),"NA",(IF(T349&lt;=0,"NM",T349/S349-1)))</f>
        <v>0.22199608292787532</v>
      </c>
      <c r="U351" s="751">
        <f t="shared" ref="U351:AJ351" si="629">IF(ISERROR(U349/T349-1),"NA",(IF(U349&lt;=0,"NM",U349/T349-1)))</f>
        <v>0.26267696267696228</v>
      </c>
      <c r="V351" s="198">
        <f t="shared" si="629"/>
        <v>0.23150035674243186</v>
      </c>
      <c r="W351" s="198">
        <f t="shared" si="629"/>
        <v>0.11083235048659557</v>
      </c>
      <c r="X351" s="752">
        <f t="shared" si="629"/>
        <v>0.84458845900112545</v>
      </c>
      <c r="Y351" s="198">
        <f t="shared" si="629"/>
        <v>0.27304704922033451</v>
      </c>
      <c r="Z351" s="198">
        <f t="shared" si="629"/>
        <v>0.14661554732945548</v>
      </c>
      <c r="AA351" s="198">
        <f t="shared" si="629"/>
        <v>0.11633806064798802</v>
      </c>
      <c r="AB351" s="198">
        <f t="shared" si="629"/>
        <v>9.20264408180127E-2</v>
      </c>
      <c r="AC351" s="751">
        <f t="shared" si="629"/>
        <v>0.18814432989690744</v>
      </c>
      <c r="AD351" s="198">
        <f t="shared" si="629"/>
        <v>0.11200222890007727</v>
      </c>
      <c r="AE351" s="198">
        <f t="shared" si="629"/>
        <v>5.4995794333983605E-2</v>
      </c>
      <c r="AF351" s="198">
        <f t="shared" si="629"/>
        <v>-2.0084817642069486E-2</v>
      </c>
      <c r="AG351" s="751">
        <f t="shared" si="629"/>
        <v>8.9273967385659292E-2</v>
      </c>
      <c r="AH351" s="198">
        <f t="shared" si="629"/>
        <v>2.8479252419624013E-2</v>
      </c>
      <c r="AI351" s="198">
        <f t="shared" si="629"/>
        <v>6.8021324267944161E-2</v>
      </c>
      <c r="AJ351" s="752">
        <f t="shared" si="629"/>
        <v>-4.7122994342925884E-2</v>
      </c>
      <c r="AK351" s="198">
        <f t="shared" ref="AK351:AR351" si="630">IF(ISERROR(AK349/AJ349-1),"NA",(IF(AK349&lt;=0,"NM",AK349/AJ349-1)))</f>
        <v>4.0859398724567342E-2</v>
      </c>
      <c r="AL351" s="198">
        <f t="shared" si="630"/>
        <v>1.1320039094980361E-2</v>
      </c>
      <c r="AM351" s="198">
        <f t="shared" si="630"/>
        <v>3.913338237627495E-2</v>
      </c>
      <c r="AN351" s="752">
        <f t="shared" si="630"/>
        <v>-9.2851193781232744E-2</v>
      </c>
      <c r="AO351" s="198">
        <f t="shared" si="630"/>
        <v>0.11998286177717232</v>
      </c>
      <c r="AP351" s="198">
        <f t="shared" si="630"/>
        <v>1.2419390097278438E-2</v>
      </c>
      <c r="AQ351" s="198">
        <f t="shared" si="630"/>
        <v>-8.0025910581503767E-3</v>
      </c>
      <c r="AR351" s="752">
        <f t="shared" si="630"/>
        <v>-0.12633999020514763</v>
      </c>
      <c r="AS351" s="198">
        <f t="shared" ref="AS351:BD351" si="631">IF(ISERROR(AS349/AR349-1),"NA",(IF(AS349&lt;=0,"NM",AS349/AR349-1)))</f>
        <v>9.585260273119367E-2</v>
      </c>
      <c r="AT351" s="198">
        <f t="shared" si="631"/>
        <v>8.6484527915824394E-3</v>
      </c>
      <c r="AU351" s="198">
        <f t="shared" si="631"/>
        <v>-9.2314757682567805E-3</v>
      </c>
      <c r="AV351" s="752">
        <f t="shared" si="631"/>
        <v>-0.1565958245473843</v>
      </c>
      <c r="AW351" s="198">
        <f t="shared" si="631"/>
        <v>0.10001209608761097</v>
      </c>
      <c r="AX351" s="198">
        <f t="shared" si="631"/>
        <v>1.8657004207146999E-2</v>
      </c>
      <c r="AY351" s="198">
        <f t="shared" si="631"/>
        <v>2.1513864741364852E-3</v>
      </c>
      <c r="AZ351" s="752">
        <f t="shared" si="631"/>
        <v>-0.13003247963295272</v>
      </c>
      <c r="BA351" s="198">
        <f t="shared" si="631"/>
        <v>8.4429584725420836E-2</v>
      </c>
      <c r="BB351" s="198">
        <f t="shared" si="631"/>
        <v>1.4079273364375533E-2</v>
      </c>
      <c r="BC351" s="198">
        <f t="shared" si="631"/>
        <v>-4.4651401066253538E-4</v>
      </c>
      <c r="BD351" s="752">
        <f t="shared" si="631"/>
        <v>-0.11793643124825592</v>
      </c>
      <c r="BE351" s="264"/>
      <c r="BF351" s="633"/>
      <c r="BM351" s="619"/>
      <c r="BN351" s="633"/>
      <c r="BY351" s="619"/>
      <c r="BZ351" s="83"/>
      <c r="CA351" s="201"/>
      <c r="CB351" s="201"/>
      <c r="CC351" s="201"/>
      <c r="CD351" s="201"/>
      <c r="CE351" s="201"/>
      <c r="CF351" s="201"/>
      <c r="CG351" s="201"/>
    </row>
    <row r="352" spans="1:85" s="54" customFormat="1" ht="11.25" customHeight="1" collapsed="1">
      <c r="A352" s="191"/>
      <c r="B352" s="191"/>
      <c r="C352" s="191"/>
      <c r="D352" s="191"/>
      <c r="E352" s="191"/>
      <c r="F352" s="191"/>
      <c r="G352" s="191"/>
      <c r="H352" s="1163"/>
      <c r="I352" s="798" t="s">
        <v>278</v>
      </c>
      <c r="J352" s="193"/>
      <c r="K352" s="67"/>
      <c r="L352" s="67"/>
      <c r="M352" s="67"/>
      <c r="N352" s="67"/>
      <c r="O352" s="67"/>
      <c r="P352" s="67"/>
      <c r="Q352" s="198">
        <f>Q349/Q$320</f>
        <v>6.5240831321955739E-2</v>
      </c>
      <c r="R352" s="198">
        <f>R349/R$320</f>
        <v>7.7856979874960111E-2</v>
      </c>
      <c r="S352" s="198">
        <f>S349/S$320</f>
        <v>0.10004771552337569</v>
      </c>
      <c r="T352" s="198">
        <f>T349/T$320</f>
        <v>0.11336859383549154</v>
      </c>
      <c r="U352" s="751">
        <f t="shared" ref="U352:AJ352" si="632">U349/U$320</f>
        <v>0.13182398387638564</v>
      </c>
      <c r="V352" s="198">
        <f t="shared" si="632"/>
        <v>0.14808002144799498</v>
      </c>
      <c r="W352" s="198">
        <f t="shared" si="632"/>
        <v>0.15423519835284541</v>
      </c>
      <c r="X352" s="752">
        <f t="shared" si="632"/>
        <v>0.27539513325608345</v>
      </c>
      <c r="Y352" s="198">
        <f t="shared" si="632"/>
        <v>0.2964385440650566</v>
      </c>
      <c r="Z352" s="198">
        <f t="shared" si="632"/>
        <v>0.32104980658535237</v>
      </c>
      <c r="AA352" s="198">
        <f t="shared" si="632"/>
        <v>0.32974873772850738</v>
      </c>
      <c r="AB352" s="198">
        <f t="shared" si="632"/>
        <v>0.35241864922294908</v>
      </c>
      <c r="AC352" s="751">
        <f t="shared" si="632"/>
        <v>0.37935225728521821</v>
      </c>
      <c r="AD352" s="198">
        <f t="shared" si="632"/>
        <v>0.4056082635869368</v>
      </c>
      <c r="AE352" s="198">
        <f t="shared" si="632"/>
        <v>0.42282918991808804</v>
      </c>
      <c r="AF352" s="198">
        <f t="shared" si="632"/>
        <v>0.42665110713916427</v>
      </c>
      <c r="AG352" s="751">
        <f t="shared" si="632"/>
        <v>0.44167029326295393</v>
      </c>
      <c r="AH352" s="198">
        <f t="shared" si="632"/>
        <v>0.44975328375842666</v>
      </c>
      <c r="AI352" s="198">
        <f t="shared" si="632"/>
        <v>0.46694996554473106</v>
      </c>
      <c r="AJ352" s="752">
        <f t="shared" si="632"/>
        <v>0.46886457317377039</v>
      </c>
      <c r="AK352" s="198">
        <f t="shared" ref="AK352:AP352" si="633">AK349/AK$320</f>
        <v>0.46957885795703636</v>
      </c>
      <c r="AL352" s="198">
        <f t="shared" si="633"/>
        <v>0.48571108293106707</v>
      </c>
      <c r="AM352" s="198">
        <f t="shared" si="633"/>
        <v>0.502199387935782</v>
      </c>
      <c r="AN352" s="752">
        <f t="shared" si="633"/>
        <v>0.49047951425633635</v>
      </c>
      <c r="AO352" s="198">
        <f t="shared" si="633"/>
        <v>0.48356556266888656</v>
      </c>
      <c r="AP352" s="198">
        <f t="shared" si="633"/>
        <v>0.47168346074768142</v>
      </c>
      <c r="AQ352" s="198">
        <f t="shared" ref="AQ352:AR352" si="634">AQ349/AQ$320</f>
        <v>0.46790579248886061</v>
      </c>
      <c r="AR352" s="752">
        <f t="shared" si="634"/>
        <v>0.4555682455007839</v>
      </c>
      <c r="AS352" s="198">
        <f t="shared" ref="AS352:BD352" si="635">AS349/AS$320</f>
        <v>0.48244641378991215</v>
      </c>
      <c r="AT352" s="198">
        <f t="shared" si="635"/>
        <v>0.48961053472328547</v>
      </c>
      <c r="AU352" s="198">
        <f t="shared" si="635"/>
        <v>0.49241080711708679</v>
      </c>
      <c r="AV352" s="752">
        <f t="shared" si="635"/>
        <v>0.45518042093485989</v>
      </c>
      <c r="AW352" s="198">
        <f t="shared" si="635"/>
        <v>0.48333700162234977</v>
      </c>
      <c r="AX352" s="198">
        <f t="shared" si="635"/>
        <v>0.49338764277979402</v>
      </c>
      <c r="AY352" s="198">
        <f t="shared" si="635"/>
        <v>0.49948047516060867</v>
      </c>
      <c r="AZ352" s="752">
        <f t="shared" si="635"/>
        <v>0.47037260814663323</v>
      </c>
      <c r="BA352" s="198">
        <f t="shared" si="635"/>
        <v>0.49543740683501347</v>
      </c>
      <c r="BB352" s="198">
        <f t="shared" si="635"/>
        <v>0.50486171636551092</v>
      </c>
      <c r="BC352" s="198">
        <f t="shared" si="635"/>
        <v>0.51082189570192793</v>
      </c>
      <c r="BD352" s="752">
        <f t="shared" si="635"/>
        <v>0.48567931036128903</v>
      </c>
      <c r="BE352" s="264"/>
      <c r="BF352" s="631"/>
      <c r="BG352" s="67"/>
      <c r="BH352" s="67"/>
      <c r="BI352" s="67"/>
      <c r="BJ352" s="67"/>
      <c r="BK352" s="198"/>
      <c r="BL352" s="198">
        <f t="shared" ref="BL352:BT352" si="636">BL349/BL$320</f>
        <v>0.27539513325608345</v>
      </c>
      <c r="BM352" s="752">
        <f t="shared" si="636"/>
        <v>0.35241864922294908</v>
      </c>
      <c r="BN352" s="751">
        <f t="shared" si="636"/>
        <v>0.42665110713916427</v>
      </c>
      <c r="BO352" s="198">
        <f t="shared" si="636"/>
        <v>0.46886457317377039</v>
      </c>
      <c r="BP352" s="198">
        <f t="shared" si="636"/>
        <v>0.49047951425633635</v>
      </c>
      <c r="BQ352" s="198">
        <f t="shared" si="636"/>
        <v>0.4555682455007839</v>
      </c>
      <c r="BR352" s="198">
        <f>BR349/BR$320</f>
        <v>0.45518042093485989</v>
      </c>
      <c r="BS352" s="198">
        <f t="shared" si="636"/>
        <v>0.47037260814663323</v>
      </c>
      <c r="BT352" s="198">
        <f t="shared" si="636"/>
        <v>0.48567931036128903</v>
      </c>
      <c r="BU352" s="198">
        <f>BU349/BU$320</f>
        <v>0.49976577545505846</v>
      </c>
      <c r="BV352" s="198">
        <f>BV349/BV$320</f>
        <v>0.50774991954598014</v>
      </c>
      <c r="BW352" s="198">
        <f>BW349/BW$320</f>
        <v>0.5137640696033795</v>
      </c>
      <c r="BX352" s="198">
        <f>BX349/BX$320</f>
        <v>0.51725621078893302</v>
      </c>
      <c r="BY352" s="752">
        <f>BY349/BY$320</f>
        <v>0.51711819945010784</v>
      </c>
      <c r="BZ352" s="264"/>
      <c r="CA352" s="201"/>
      <c r="CB352" s="198"/>
      <c r="CC352" s="198"/>
      <c r="CD352" s="198"/>
      <c r="CE352" s="198"/>
      <c r="CF352" s="198"/>
      <c r="CG352" s="198"/>
    </row>
    <row r="353" spans="1:85" s="54" customFormat="1" ht="11.25" customHeight="1">
      <c r="A353" s="191"/>
      <c r="B353" s="191"/>
      <c r="C353" s="191"/>
      <c r="D353" s="191"/>
      <c r="E353" s="191"/>
      <c r="F353" s="191"/>
      <c r="G353" s="191"/>
      <c r="H353" s="1163"/>
      <c r="I353" s="798" t="s">
        <v>340</v>
      </c>
      <c r="J353" s="193"/>
      <c r="K353" s="67"/>
      <c r="L353" s="67"/>
      <c r="M353" s="67"/>
      <c r="N353" s="67"/>
      <c r="O353" s="67"/>
      <c r="P353" s="67"/>
      <c r="Q353" s="198">
        <f>Q349/Q$341</f>
        <v>0.46600593801396945</v>
      </c>
      <c r="R353" s="198">
        <f>R349/R$341</f>
        <v>0.48660612421850058</v>
      </c>
      <c r="S353" s="198">
        <f>S349/S$341</f>
        <v>0.55582064179653146</v>
      </c>
      <c r="T353" s="198">
        <f>T349/T$341</f>
        <v>0.56684296917745769</v>
      </c>
      <c r="U353" s="751">
        <f t="shared" ref="U353:AJ353" si="637">U349/U$341</f>
        <v>0.59919992671084377</v>
      </c>
      <c r="V353" s="198">
        <f t="shared" si="637"/>
        <v>0.61700008936664585</v>
      </c>
      <c r="W353" s="198">
        <f t="shared" si="637"/>
        <v>0.61694079341138164</v>
      </c>
      <c r="X353" s="752">
        <f t="shared" si="637"/>
        <v>0.72092966820964255</v>
      </c>
      <c r="Y353" s="198">
        <f t="shared" si="637"/>
        <v>0.75323640709022111</v>
      </c>
      <c r="Z353" s="198">
        <f t="shared" si="637"/>
        <v>0.76983845197940726</v>
      </c>
      <c r="AA353" s="198">
        <f t="shared" si="637"/>
        <v>0.76757506689128951</v>
      </c>
      <c r="AB353" s="198">
        <f t="shared" si="637"/>
        <v>0.79939514223608354</v>
      </c>
      <c r="AC353" s="751">
        <f t="shared" si="637"/>
        <v>0.82119627390096439</v>
      </c>
      <c r="AD353" s="198">
        <f t="shared" si="637"/>
        <v>0.82310049200129631</v>
      </c>
      <c r="AE353" s="198">
        <f t="shared" si="637"/>
        <v>0.80269607843137258</v>
      </c>
      <c r="AF353" s="198">
        <f t="shared" si="637"/>
        <v>0.79889913839600601</v>
      </c>
      <c r="AG353" s="751">
        <f t="shared" si="637"/>
        <v>0.79687697879992903</v>
      </c>
      <c r="AH353" s="198">
        <f t="shared" si="637"/>
        <v>0.78146886924600301</v>
      </c>
      <c r="AI353" s="198">
        <f t="shared" si="637"/>
        <v>0.77452430578901366</v>
      </c>
      <c r="AJ353" s="752">
        <f t="shared" si="637"/>
        <v>0.7670090606293527</v>
      </c>
      <c r="AK353" s="198">
        <f t="shared" ref="AK353:AP353" si="638">AK349/AK$341</f>
        <v>0.76391009282681621</v>
      </c>
      <c r="AL353" s="198">
        <f t="shared" si="638"/>
        <v>0.75080411969199778</v>
      </c>
      <c r="AM353" s="198">
        <f t="shared" si="638"/>
        <v>0.74314008665153708</v>
      </c>
      <c r="AN353" s="752">
        <f t="shared" si="638"/>
        <v>0.73079933798532826</v>
      </c>
      <c r="AO353" s="198">
        <f t="shared" si="638"/>
        <v>0.73917127016027229</v>
      </c>
      <c r="AP353" s="198">
        <f t="shared" si="638"/>
        <v>0.72585416503408828</v>
      </c>
      <c r="AQ353" s="198">
        <f t="shared" ref="AQ353:AR353" si="639">AQ349/AQ$341</f>
        <v>0.70905758657277906</v>
      </c>
      <c r="AR353" s="752">
        <f t="shared" si="639"/>
        <v>0.69005866804203475</v>
      </c>
      <c r="AS353" s="198">
        <f t="shared" ref="AS353:BD353" si="640">AS349/AS$341</f>
        <v>0.69527300209688137</v>
      </c>
      <c r="AT353" s="198">
        <f t="shared" si="640"/>
        <v>0.6836668259006996</v>
      </c>
      <c r="AU353" s="198">
        <f t="shared" si="640"/>
        <v>0.66869534709261025</v>
      </c>
      <c r="AV353" s="752">
        <f t="shared" si="640"/>
        <v>0.61684329623956313</v>
      </c>
      <c r="AW353" s="198">
        <f t="shared" si="640"/>
        <v>0.63290814325312295</v>
      </c>
      <c r="AX353" s="198">
        <f t="shared" si="640"/>
        <v>0.6311416879305799</v>
      </c>
      <c r="AY353" s="198">
        <f t="shared" si="640"/>
        <v>0.6257084075454441</v>
      </c>
      <c r="AZ353" s="752">
        <f t="shared" si="640"/>
        <v>0.58655996482343464</v>
      </c>
      <c r="BA353" s="198">
        <f t="shared" si="640"/>
        <v>0.60027921468812206</v>
      </c>
      <c r="BB353" s="198">
        <f t="shared" si="640"/>
        <v>0.59796500196433666</v>
      </c>
      <c r="BC353" s="198">
        <f t="shared" si="640"/>
        <v>0.59229832899571644</v>
      </c>
      <c r="BD353" s="752">
        <f t="shared" si="640"/>
        <v>0.55612057429069617</v>
      </c>
      <c r="BE353" s="264"/>
      <c r="BF353" s="631"/>
      <c r="BG353" s="67"/>
      <c r="BH353" s="67"/>
      <c r="BI353" s="67"/>
      <c r="BJ353" s="67"/>
      <c r="BK353" s="198"/>
      <c r="BL353" s="198">
        <f t="shared" ref="BL353:BT353" si="641">BL349/BL$341</f>
        <v>0.72092966820964255</v>
      </c>
      <c r="BM353" s="752">
        <f t="shared" si="641"/>
        <v>0.79939514223608354</v>
      </c>
      <c r="BN353" s="751">
        <f t="shared" si="641"/>
        <v>0.79889913839600601</v>
      </c>
      <c r="BO353" s="198">
        <f t="shared" si="641"/>
        <v>0.7670090606293527</v>
      </c>
      <c r="BP353" s="198">
        <f t="shared" si="641"/>
        <v>0.73079933798532826</v>
      </c>
      <c r="BQ353" s="198">
        <f t="shared" si="641"/>
        <v>0.69005866804203475</v>
      </c>
      <c r="BR353" s="198">
        <f>BR349/BR$341</f>
        <v>0.61684329623956313</v>
      </c>
      <c r="BS353" s="198">
        <f t="shared" si="641"/>
        <v>0.58655996482343464</v>
      </c>
      <c r="BT353" s="198">
        <f t="shared" si="641"/>
        <v>0.55612057429069617</v>
      </c>
      <c r="BU353" s="198">
        <f>BU349/BU$341</f>
        <v>0.52112070317244286</v>
      </c>
      <c r="BV353" s="198">
        <f>BV349/BV$341</f>
        <v>0.47217258085972924</v>
      </c>
      <c r="BW353" s="198">
        <f>BW349/BW$341</f>
        <v>0.419213216416018</v>
      </c>
      <c r="BX353" s="198">
        <f>BX349/BX$341</f>
        <v>0.36226476437456495</v>
      </c>
      <c r="BY353" s="752">
        <f>BY349/BY$341</f>
        <v>0.30133726282698015</v>
      </c>
      <c r="BZ353" s="264"/>
      <c r="CA353" s="201"/>
      <c r="CB353" s="198"/>
      <c r="CC353" s="198"/>
      <c r="CD353" s="198"/>
      <c r="CE353" s="198"/>
      <c r="CF353" s="198"/>
      <c r="CG353" s="198"/>
    </row>
    <row r="354" spans="1:85" s="54" customFormat="1" ht="11.25" customHeight="1">
      <c r="A354" s="191"/>
      <c r="B354" s="191"/>
      <c r="C354" s="191"/>
      <c r="D354" s="191"/>
      <c r="E354" s="191"/>
      <c r="F354" s="191"/>
      <c r="G354" s="191"/>
      <c r="H354" s="1163"/>
      <c r="I354" s="1012" t="s">
        <v>380</v>
      </c>
      <c r="J354" s="193"/>
      <c r="K354" s="67"/>
      <c r="L354" s="67"/>
      <c r="M354" s="67"/>
      <c r="N354" s="67"/>
      <c r="O354" s="67"/>
      <c r="P354" s="67"/>
      <c r="Q354" s="198"/>
      <c r="R354" s="198"/>
      <c r="S354" s="198"/>
      <c r="T354" s="198"/>
      <c r="U354" s="751"/>
      <c r="V354" s="198"/>
      <c r="W354" s="198"/>
      <c r="X354" s="752"/>
      <c r="Y354" s="1013">
        <f>Y349-U349</f>
        <v>20.837440000000001</v>
      </c>
      <c r="Z354" s="1013">
        <f t="shared" ref="Z354:AJ354" si="642">Z349-V349</f>
        <v>23.093040000000009</v>
      </c>
      <c r="AA354" s="1013">
        <f t="shared" si="642"/>
        <v>25.843500000000009</v>
      </c>
      <c r="AB354" s="1013">
        <f t="shared" si="642"/>
        <v>18.525400000000001</v>
      </c>
      <c r="AC354" s="1014">
        <f t="shared" si="642"/>
        <v>19.993000000000009</v>
      </c>
      <c r="AD354" s="1013">
        <f t="shared" si="642"/>
        <v>21.184999999999988</v>
      </c>
      <c r="AE354" s="1013">
        <f t="shared" si="642"/>
        <v>20.221999999999994</v>
      </c>
      <c r="AF354" s="1013">
        <f t="shared" si="642"/>
        <v>15.474000000000004</v>
      </c>
      <c r="AG354" s="1014">
        <f t="shared" si="642"/>
        <v>12.673999999999992</v>
      </c>
      <c r="AH354" s="1013">
        <f t="shared" si="642"/>
        <v>8.8380000000000081</v>
      </c>
      <c r="AI354" s="1013">
        <f t="shared" si="642"/>
        <v>10.167000000000002</v>
      </c>
      <c r="AJ354" s="1015">
        <f t="shared" si="642"/>
        <v>8.0939999999999941</v>
      </c>
      <c r="AK354" s="1013">
        <f t="shared" ref="AK354:AR354" si="643">AK349-AG349</f>
        <v>5.6280000000000001</v>
      </c>
      <c r="AL354" s="1013">
        <f t="shared" si="643"/>
        <v>4.6119999999999948</v>
      </c>
      <c r="AM354" s="1013">
        <f t="shared" si="643"/>
        <v>2.9230000000000018</v>
      </c>
      <c r="AN354" s="1015">
        <f t="shared" si="643"/>
        <v>-0.50900000000000034</v>
      </c>
      <c r="AO354" s="1013">
        <f t="shared" si="643"/>
        <v>4.6409999999999911</v>
      </c>
      <c r="AP354" s="1013">
        <f t="shared" si="643"/>
        <v>4.7740000000000009</v>
      </c>
      <c r="AQ354" s="1013">
        <f t="shared" si="643"/>
        <v>1.4679999999999893</v>
      </c>
      <c r="AR354" s="1015">
        <f t="shared" si="643"/>
        <v>-1.1299999999999955</v>
      </c>
      <c r="AS354" s="1013">
        <f t="shared" ref="AS354:BD354" si="644">AS349-AO349</f>
        <v>-2.815250000000006</v>
      </c>
      <c r="AT354" s="1013">
        <f t="shared" si="644"/>
        <v>-3.1156000000000148</v>
      </c>
      <c r="AU354" s="1013">
        <f t="shared" si="644"/>
        <v>-3.1779000000000224</v>
      </c>
      <c r="AV354" s="1015">
        <f t="shared" si="644"/>
        <v>-4.9043000000000205</v>
      </c>
      <c r="AW354" s="1013">
        <f t="shared" si="644"/>
        <v>-5.1276625000000138</v>
      </c>
      <c r="AX354" s="1013">
        <f t="shared" si="644"/>
        <v>-4.518960000000007</v>
      </c>
      <c r="AY354" s="1013">
        <f t="shared" si="644"/>
        <v>-3.7206649999999968</v>
      </c>
      <c r="AZ354" s="1015">
        <f t="shared" si="644"/>
        <v>-1.3686549999999897</v>
      </c>
      <c r="BA354" s="1013">
        <f t="shared" si="644"/>
        <v>-2.4085131249999847</v>
      </c>
      <c r="BB354" s="1013">
        <f t="shared" si="644"/>
        <v>-2.741115999999991</v>
      </c>
      <c r="BC354" s="1013">
        <f t="shared" si="644"/>
        <v>-2.9125652500000001</v>
      </c>
      <c r="BD354" s="1015">
        <f t="shared" si="644"/>
        <v>-1.7633567499999998</v>
      </c>
      <c r="BE354" s="1206"/>
      <c r="BF354" s="631"/>
      <c r="BG354" s="67"/>
      <c r="BH354" s="67"/>
      <c r="BI354" s="67"/>
      <c r="BJ354" s="67"/>
      <c r="BK354" s="198"/>
      <c r="BL354" s="198"/>
      <c r="BM354" s="1017">
        <f>BM349-BL349</f>
        <v>18.525400000000001</v>
      </c>
      <c r="BN354" s="1406">
        <f t="shared" ref="BN354:BT354" si="645">BN349-BM349</f>
        <v>15.474000000000004</v>
      </c>
      <c r="BO354" s="1016">
        <f t="shared" si="645"/>
        <v>8.0939999999999941</v>
      </c>
      <c r="BP354" s="1016">
        <f t="shared" si="645"/>
        <v>-0.50900000000000034</v>
      </c>
      <c r="BQ354" s="1016">
        <f t="shared" si="645"/>
        <v>-1.1299999999999955</v>
      </c>
      <c r="BR354" s="1016">
        <f t="shared" si="645"/>
        <v>-4.9043000000000205</v>
      </c>
      <c r="BS354" s="1016">
        <f t="shared" si="645"/>
        <v>-1.3686549999999897</v>
      </c>
      <c r="BT354" s="1016">
        <f t="shared" si="645"/>
        <v>-1.7633567499999998</v>
      </c>
      <c r="BU354" s="1016">
        <f>BU349-BT349</f>
        <v>-2.4870210750000012</v>
      </c>
      <c r="BV354" s="1016">
        <f>BV349-BU349</f>
        <v>-4.1883189674999954</v>
      </c>
      <c r="BW354" s="1016">
        <f>BW349-BV349</f>
        <v>-4.8694870707499973</v>
      </c>
      <c r="BX354" s="1016">
        <f>BX349-BW349</f>
        <v>-5.5325383636750018</v>
      </c>
      <c r="BY354" s="1017">
        <f>BY349-BX349</f>
        <v>-6.1792845273075017</v>
      </c>
      <c r="BZ354" s="264"/>
      <c r="CA354" s="201"/>
      <c r="CB354" s="198"/>
      <c r="CC354" s="198"/>
      <c r="CD354" s="198"/>
      <c r="CE354" s="198"/>
      <c r="CF354" s="198"/>
      <c r="CG354" s="198"/>
    </row>
    <row r="355" spans="1:85" s="54" customFormat="1" ht="11.25" customHeight="1">
      <c r="A355" s="191"/>
      <c r="B355" s="191"/>
      <c r="C355" s="191"/>
      <c r="D355" s="191"/>
      <c r="E355" s="191"/>
      <c r="F355" s="191"/>
      <c r="G355" s="191"/>
      <c r="H355" s="1163"/>
      <c r="I355" s="1012" t="s">
        <v>377</v>
      </c>
      <c r="J355" s="193"/>
      <c r="K355" s="67"/>
      <c r="L355" s="67"/>
      <c r="M355" s="67"/>
      <c r="N355" s="67"/>
      <c r="O355" s="67"/>
      <c r="P355" s="67"/>
      <c r="Q355" s="198"/>
      <c r="R355" s="198"/>
      <c r="S355" s="198"/>
      <c r="T355" s="198"/>
      <c r="U355" s="751"/>
      <c r="V355" s="1013">
        <f>V349-U349</f>
        <v>2.1803999999999988</v>
      </c>
      <c r="W355" s="1013">
        <f t="shared" ref="W355:AJ355" si="646">W349-V349</f>
        <v>1.285540000000001</v>
      </c>
      <c r="X355" s="1015">
        <f t="shared" si="646"/>
        <v>10.882100000000001</v>
      </c>
      <c r="Y355" s="1013">
        <f t="shared" si="646"/>
        <v>6.4893999999999998</v>
      </c>
      <c r="Z355" s="1013">
        <f t="shared" si="646"/>
        <v>4.436000000000007</v>
      </c>
      <c r="AA355" s="1013">
        <f t="shared" si="646"/>
        <v>4.0360000000000014</v>
      </c>
      <c r="AB355" s="1013">
        <f t="shared" si="646"/>
        <v>3.563999999999993</v>
      </c>
      <c r="AC355" s="1014">
        <f t="shared" si="646"/>
        <v>7.9570000000000078</v>
      </c>
      <c r="AD355" s="1013">
        <f t="shared" si="646"/>
        <v>5.6279999999999859</v>
      </c>
      <c r="AE355" s="1013">
        <f t="shared" si="646"/>
        <v>3.0730000000000075</v>
      </c>
      <c r="AF355" s="1013">
        <f t="shared" si="646"/>
        <v>-1.1839999999999975</v>
      </c>
      <c r="AG355" s="1014">
        <f t="shared" si="646"/>
        <v>5.1569999999999965</v>
      </c>
      <c r="AH355" s="1013">
        <f t="shared" si="646"/>
        <v>1.7920000000000016</v>
      </c>
      <c r="AI355" s="1013">
        <f t="shared" si="646"/>
        <v>4.402000000000001</v>
      </c>
      <c r="AJ355" s="1015">
        <f t="shared" si="646"/>
        <v>-3.257000000000005</v>
      </c>
      <c r="AK355" s="1013">
        <f t="shared" ref="AK355:AR355" si="647">AK349-AJ349</f>
        <v>2.6910000000000025</v>
      </c>
      <c r="AL355" s="1013">
        <f t="shared" si="647"/>
        <v>0.77599999999999625</v>
      </c>
      <c r="AM355" s="1013">
        <f t="shared" si="647"/>
        <v>2.7130000000000081</v>
      </c>
      <c r="AN355" s="1015">
        <f t="shared" si="647"/>
        <v>-6.6890000000000072</v>
      </c>
      <c r="AO355" s="1013">
        <f t="shared" si="647"/>
        <v>7.840999999999994</v>
      </c>
      <c r="AP355" s="1013">
        <f t="shared" si="647"/>
        <v>0.90900000000000603</v>
      </c>
      <c r="AQ355" s="1013">
        <f t="shared" si="647"/>
        <v>-0.59300000000000352</v>
      </c>
      <c r="AR355" s="1015">
        <f t="shared" si="647"/>
        <v>-9.2869999999999919</v>
      </c>
      <c r="AS355" s="1013">
        <f t="shared" ref="AS355:BD355" si="648">AS349-AR349</f>
        <v>6.1557499999999834</v>
      </c>
      <c r="AT355" s="1013">
        <f t="shared" si="648"/>
        <v>0.60864999999999725</v>
      </c>
      <c r="AU355" s="1013">
        <f t="shared" si="648"/>
        <v>-0.6553000000000111</v>
      </c>
      <c r="AV355" s="1015">
        <f t="shared" si="648"/>
        <v>-11.01339999999999</v>
      </c>
      <c r="AW355" s="1013">
        <f t="shared" si="648"/>
        <v>5.9323874999999902</v>
      </c>
      <c r="AX355" s="1013">
        <f t="shared" si="648"/>
        <v>1.2173525000000041</v>
      </c>
      <c r="AY355" s="1013">
        <f t="shared" si="648"/>
        <v>0.1429949999999991</v>
      </c>
      <c r="AZ355" s="1015">
        <f t="shared" si="648"/>
        <v>-8.661389999999983</v>
      </c>
      <c r="BA355" s="1013">
        <f t="shared" si="648"/>
        <v>4.8925293749999952</v>
      </c>
      <c r="BB355" s="1013">
        <f t="shared" si="648"/>
        <v>0.88474962499999776</v>
      </c>
      <c r="BC355" s="1013">
        <f t="shared" si="648"/>
        <v>-2.8454250000010006E-2</v>
      </c>
      <c r="BD355" s="1015">
        <f t="shared" si="648"/>
        <v>-7.5121814999999827</v>
      </c>
      <c r="BE355" s="1206"/>
      <c r="BF355" s="631"/>
      <c r="BG355" s="67"/>
      <c r="BH355" s="67"/>
      <c r="BI355" s="67"/>
      <c r="BJ355" s="67"/>
      <c r="BK355" s="198"/>
      <c r="BL355" s="198"/>
      <c r="BM355" s="752"/>
      <c r="BN355" s="751"/>
      <c r="BO355" s="198"/>
      <c r="BP355" s="198"/>
      <c r="BQ355" s="198"/>
      <c r="BR355" s="198"/>
      <c r="BS355" s="198"/>
      <c r="BT355" s="198"/>
      <c r="BU355" s="198"/>
      <c r="BV355" s="198"/>
      <c r="BW355" s="198"/>
      <c r="BX355" s="198"/>
      <c r="BY355" s="752"/>
      <c r="BZ355" s="264"/>
      <c r="CA355" s="201"/>
      <c r="CB355" s="198"/>
      <c r="CC355" s="198"/>
      <c r="CD355" s="198"/>
      <c r="CE355" s="198"/>
      <c r="CF355" s="198"/>
      <c r="CG355" s="198"/>
    </row>
    <row r="356" spans="1:85" s="54" customFormat="1" ht="11.25" customHeight="1">
      <c r="H356" s="83"/>
      <c r="I356" s="651"/>
      <c r="J356" s="13"/>
      <c r="K356" s="5"/>
      <c r="L356" s="5"/>
      <c r="M356" s="14"/>
      <c r="N356" s="14"/>
      <c r="O356" s="14"/>
      <c r="P356" s="14"/>
      <c r="Q356" s="14"/>
      <c r="R356" s="14"/>
      <c r="S356" s="206"/>
      <c r="T356" s="14"/>
      <c r="U356" s="805"/>
      <c r="V356" s="14"/>
      <c r="W356" s="14"/>
      <c r="X356" s="784"/>
      <c r="Y356" s="15"/>
      <c r="Z356" s="15"/>
      <c r="AA356" s="15"/>
      <c r="AB356" s="15"/>
      <c r="AC356" s="791"/>
      <c r="AD356" s="15"/>
      <c r="AE356" s="15"/>
      <c r="AF356" s="784"/>
      <c r="AG356" s="15"/>
      <c r="AH356" s="15"/>
      <c r="AI356" s="15"/>
      <c r="AJ356" s="784"/>
      <c r="AK356" s="15"/>
      <c r="AL356" s="15"/>
      <c r="AM356" s="15"/>
      <c r="AN356" s="784"/>
      <c r="AO356" s="15"/>
      <c r="AP356" s="15"/>
      <c r="AQ356" s="15"/>
      <c r="AR356" s="784"/>
      <c r="AS356" s="15"/>
      <c r="AT356" s="15"/>
      <c r="AU356" s="15"/>
      <c r="AV356" s="784"/>
      <c r="AW356" s="15"/>
      <c r="AX356" s="15"/>
      <c r="AY356" s="15"/>
      <c r="AZ356" s="784"/>
      <c r="BA356" s="15"/>
      <c r="BB356" s="15"/>
      <c r="BC356" s="15"/>
      <c r="BD356" s="784"/>
      <c r="BE356" s="248"/>
      <c r="BF356" s="805"/>
      <c r="BG356" s="14"/>
      <c r="BH356" s="14"/>
      <c r="BI356" s="14"/>
      <c r="BJ356" s="14"/>
      <c r="BK356" s="14"/>
      <c r="BL356" s="197"/>
      <c r="BM356" s="1401"/>
      <c r="BN356" s="1404"/>
      <c r="BO356" s="197"/>
      <c r="BP356" s="15"/>
      <c r="BQ356" s="15"/>
      <c r="BR356" s="15"/>
      <c r="BS356" s="15"/>
      <c r="BT356" s="15"/>
      <c r="BU356" s="15"/>
      <c r="BV356" s="15"/>
      <c r="BW356" s="15"/>
      <c r="BX356" s="15"/>
      <c r="BY356" s="784"/>
      <c r="BZ356" s="248"/>
    </row>
    <row r="357" spans="1:85" s="54" customFormat="1" ht="11.25" customHeight="1">
      <c r="H357" s="83"/>
      <c r="I357" s="787" t="s">
        <v>626</v>
      </c>
      <c r="J357" s="343"/>
      <c r="K357" s="331"/>
      <c r="L357" s="331"/>
      <c r="M357" s="344"/>
      <c r="N357" s="344"/>
      <c r="O357" s="344"/>
      <c r="P357" s="344"/>
      <c r="Q357" s="925">
        <f>U357/(1+80%)</f>
        <v>3.5</v>
      </c>
      <c r="R357" s="925">
        <f>V357/(1+70%)</f>
        <v>4.2352941176470589</v>
      </c>
      <c r="S357" s="925">
        <f>W357/(1+64%)</f>
        <v>4.8780487804878048</v>
      </c>
      <c r="T357" s="926">
        <v>5.7</v>
      </c>
      <c r="U357" s="927">
        <v>6.3</v>
      </c>
      <c r="V357" s="928">
        <v>7.2</v>
      </c>
      <c r="W357" s="928">
        <v>8</v>
      </c>
      <c r="X357" s="929">
        <v>9.1999999999999993</v>
      </c>
      <c r="Y357" s="1899">
        <v>9.9120000000000008</v>
      </c>
      <c r="Z357" s="1899">
        <v>10.372</v>
      </c>
      <c r="AA357" s="1899">
        <v>11.186999999999999</v>
      </c>
      <c r="AB357" s="1899">
        <v>10.614000000000001</v>
      </c>
      <c r="AC357" s="1900">
        <v>10.941000000000001</v>
      </c>
      <c r="AD357" s="1207">
        <v>12.009</v>
      </c>
      <c r="AE357" s="1207">
        <v>14.491</v>
      </c>
      <c r="AF357" s="1901">
        <v>14.541</v>
      </c>
      <c r="AG357" s="927">
        <v>16.039000000000001</v>
      </c>
      <c r="AH357" s="1207">
        <v>18.097000000000001</v>
      </c>
      <c r="AI357" s="1207">
        <v>20.120999999999999</v>
      </c>
      <c r="AJ357" s="2476">
        <v>20.006</v>
      </c>
      <c r="AK357" s="2477">
        <v>21.186</v>
      </c>
      <c r="AL357" s="2477">
        <v>23.01</v>
      </c>
      <c r="AM357" s="2477">
        <v>24.9</v>
      </c>
      <c r="AN357" s="2476">
        <v>24.073</v>
      </c>
      <c r="AO357" s="2477">
        <v>25.827000000000002</v>
      </c>
      <c r="AP357" s="2477">
        <v>27.986999999999998</v>
      </c>
      <c r="AQ357" s="2477">
        <v>30.161999999999999</v>
      </c>
      <c r="AR357" s="2476">
        <v>28.844999999999999</v>
      </c>
      <c r="AS357" s="1421">
        <f t="shared" ref="AS357:BD357" si="649">AR357+AS358</f>
        <v>30.844999999999999</v>
      </c>
      <c r="AT357" s="1421">
        <f t="shared" si="649"/>
        <v>32.844999999999999</v>
      </c>
      <c r="AU357" s="1421">
        <f t="shared" si="649"/>
        <v>34.844999999999999</v>
      </c>
      <c r="AV357" s="1424">
        <f t="shared" si="649"/>
        <v>36.844999999999999</v>
      </c>
      <c r="AW357" s="1421">
        <f t="shared" si="649"/>
        <v>37.844999999999999</v>
      </c>
      <c r="AX357" s="1421">
        <f t="shared" si="649"/>
        <v>38.844999999999999</v>
      </c>
      <c r="AY357" s="1421">
        <f t="shared" si="649"/>
        <v>39.844999999999999</v>
      </c>
      <c r="AZ357" s="1424">
        <f t="shared" si="649"/>
        <v>40.844999999999999</v>
      </c>
      <c r="BA357" s="1421">
        <f t="shared" si="649"/>
        <v>41.844999999999999</v>
      </c>
      <c r="BB357" s="1421">
        <f t="shared" si="649"/>
        <v>42.844999999999999</v>
      </c>
      <c r="BC357" s="1421">
        <f t="shared" si="649"/>
        <v>43.844999999999999</v>
      </c>
      <c r="BD357" s="1424">
        <f t="shared" si="649"/>
        <v>44.844999999999999</v>
      </c>
      <c r="BE357" s="1207"/>
      <c r="BF357" s="810"/>
      <c r="BG357" s="345"/>
      <c r="BH357" s="345"/>
      <c r="BI357" s="345"/>
      <c r="BJ357" s="345"/>
      <c r="BK357" s="216">
        <f>T357</f>
        <v>5.7</v>
      </c>
      <c r="BL357" s="216">
        <f>X357</f>
        <v>9.1999999999999993</v>
      </c>
      <c r="BM357" s="1241">
        <f>AB357</f>
        <v>10.614000000000001</v>
      </c>
      <c r="BN357" s="1405">
        <f>+AF357</f>
        <v>14.541</v>
      </c>
      <c r="BO357" s="216">
        <f>+AJ357</f>
        <v>20.006</v>
      </c>
      <c r="BP357" s="428">
        <f>+AN357</f>
        <v>24.073</v>
      </c>
      <c r="BQ357" s="2071">
        <f>AR357</f>
        <v>28.844999999999999</v>
      </c>
      <c r="BR357" s="2071">
        <f>AV357</f>
        <v>36.844999999999999</v>
      </c>
      <c r="BS357" s="428">
        <f>AZ357</f>
        <v>40.844999999999999</v>
      </c>
      <c r="BT357" s="428">
        <f>BD357</f>
        <v>44.844999999999999</v>
      </c>
      <c r="BU357" s="367">
        <f>BT357+BU359</f>
        <v>49.344999999999999</v>
      </c>
      <c r="BV357" s="367">
        <f>BU357+BV359</f>
        <v>55.344999999999999</v>
      </c>
      <c r="BW357" s="367">
        <f>BV357+BW359</f>
        <v>61.844999999999999</v>
      </c>
      <c r="BX357" s="367">
        <f>BW357+BX359</f>
        <v>68.844999999999999</v>
      </c>
      <c r="BY357" s="811">
        <f>BX357+BY359</f>
        <v>76.344999999999999</v>
      </c>
      <c r="BZ357" s="283"/>
      <c r="CA357" s="200" t="str">
        <f>IF(ISERROR(RATE(5,,-BI357,BN357)),"NM",(RATE(5,,-BI357,BN357)))</f>
        <v>NM</v>
      </c>
      <c r="CB357" s="200">
        <f t="shared" ref="CB357:CG357" si="650">IF(ISERROR(RATE(3,,-BK357,BN357)),"NM",(RATE(3,,-BK357,BN357)))</f>
        <v>0.36638516941823007</v>
      </c>
      <c r="CC357" s="200">
        <f t="shared" si="650"/>
        <v>0.29555984547082431</v>
      </c>
      <c r="CD357" s="200">
        <f t="shared" si="650"/>
        <v>0.31386389237934886</v>
      </c>
      <c r="CE357" s="200">
        <f t="shared" si="650"/>
        <v>0.25648918919295544</v>
      </c>
      <c r="CF357" s="200">
        <f t="shared" si="650"/>
        <v>0.22576184529961651</v>
      </c>
      <c r="CG357" s="200">
        <f t="shared" si="650"/>
        <v>0.19271375607718688</v>
      </c>
    </row>
    <row r="358" spans="1:85" ht="11.25" customHeight="1">
      <c r="A358" s="86"/>
      <c r="B358" s="86"/>
      <c r="C358" s="86"/>
      <c r="D358" s="86"/>
      <c r="E358" s="86"/>
      <c r="F358" s="86"/>
      <c r="G358" s="86"/>
      <c r="H358" s="328"/>
      <c r="I358" s="2740" t="s">
        <v>687</v>
      </c>
      <c r="J358" s="193"/>
      <c r="K358" s="67"/>
      <c r="L358" s="67"/>
      <c r="M358" s="199"/>
      <c r="N358" s="330"/>
      <c r="O358" s="330"/>
      <c r="P358" s="330"/>
      <c r="Q358" s="930"/>
      <c r="R358" s="919">
        <f t="shared" ref="R358:AC359" si="651">R357-Q357</f>
        <v>0.73529411764705888</v>
      </c>
      <c r="S358" s="919">
        <f t="shared" si="651"/>
        <v>0.64275466284074589</v>
      </c>
      <c r="T358" s="919">
        <f t="shared" si="651"/>
        <v>0.82195121951219541</v>
      </c>
      <c r="U358" s="920">
        <f t="shared" si="651"/>
        <v>0.59999999999999964</v>
      </c>
      <c r="V358" s="919">
        <f t="shared" si="651"/>
        <v>0.90000000000000036</v>
      </c>
      <c r="W358" s="919">
        <f t="shared" si="651"/>
        <v>0.79999999999999982</v>
      </c>
      <c r="X358" s="921">
        <f t="shared" si="651"/>
        <v>1.1999999999999993</v>
      </c>
      <c r="Y358" s="919">
        <f t="shared" si="651"/>
        <v>0.71200000000000152</v>
      </c>
      <c r="Z358" s="919">
        <f t="shared" si="651"/>
        <v>0.45999999999999908</v>
      </c>
      <c r="AA358" s="919">
        <f t="shared" si="651"/>
        <v>0.8149999999999995</v>
      </c>
      <c r="AB358" s="919">
        <f t="shared" si="651"/>
        <v>-0.57299999999999862</v>
      </c>
      <c r="AC358" s="919">
        <f t="shared" ref="AC358:AR358" si="652">AC357-AB357</f>
        <v>0.32699999999999996</v>
      </c>
      <c r="AD358" s="919">
        <f t="shared" si="652"/>
        <v>1.0679999999999996</v>
      </c>
      <c r="AE358" s="919">
        <f t="shared" si="652"/>
        <v>2.4819999999999993</v>
      </c>
      <c r="AF358" s="919">
        <f t="shared" si="652"/>
        <v>5.0000000000000711E-2</v>
      </c>
      <c r="AG358" s="1522">
        <f t="shared" si="652"/>
        <v>1.4980000000000011</v>
      </c>
      <c r="AH358" s="919">
        <f t="shared" si="652"/>
        <v>2.0579999999999998</v>
      </c>
      <c r="AI358" s="919">
        <f t="shared" si="652"/>
        <v>2.0239999999999974</v>
      </c>
      <c r="AJ358" s="921">
        <f t="shared" si="652"/>
        <v>-0.11499999999999844</v>
      </c>
      <c r="AK358" s="919">
        <f t="shared" si="652"/>
        <v>1.1799999999999997</v>
      </c>
      <c r="AL358" s="919">
        <f t="shared" si="652"/>
        <v>1.8240000000000016</v>
      </c>
      <c r="AM358" s="919">
        <f t="shared" si="652"/>
        <v>1.889999999999997</v>
      </c>
      <c r="AN358" s="921">
        <f t="shared" si="652"/>
        <v>-0.82699999999999818</v>
      </c>
      <c r="AO358" s="919">
        <f t="shared" si="652"/>
        <v>1.7540000000000013</v>
      </c>
      <c r="AP358" s="919">
        <f t="shared" si="652"/>
        <v>2.1599999999999966</v>
      </c>
      <c r="AQ358" s="919">
        <f t="shared" si="652"/>
        <v>2.1750000000000007</v>
      </c>
      <c r="AR358" s="921">
        <f t="shared" si="652"/>
        <v>-1.3170000000000002</v>
      </c>
      <c r="AS358" s="923">
        <v>2</v>
      </c>
      <c r="AT358" s="923">
        <f>+AS358</f>
        <v>2</v>
      </c>
      <c r="AU358" s="923">
        <f>+AT358</f>
        <v>2</v>
      </c>
      <c r="AV358" s="922">
        <f>+AU358</f>
        <v>2</v>
      </c>
      <c r="AW358" s="923">
        <v>1</v>
      </c>
      <c r="AX358" s="923">
        <v>1</v>
      </c>
      <c r="AY358" s="923">
        <v>1</v>
      </c>
      <c r="AZ358" s="922">
        <v>1</v>
      </c>
      <c r="BA358" s="923">
        <v>1</v>
      </c>
      <c r="BB358" s="923">
        <v>1</v>
      </c>
      <c r="BC358" s="923">
        <v>1</v>
      </c>
      <c r="BD358" s="922">
        <v>1</v>
      </c>
      <c r="BE358" s="1208"/>
      <c r="BF358" s="790"/>
      <c r="BG358" s="330"/>
      <c r="BH358" s="330"/>
      <c r="BI358" s="330"/>
      <c r="BJ358" s="330"/>
      <c r="BK358" s="369"/>
      <c r="BL358" s="1245"/>
      <c r="BM358" s="1403">
        <f>+BM357/BL357-1</f>
        <v>0.15369565217391323</v>
      </c>
      <c r="BN358" s="1804">
        <f>+BN357/BM357-1</f>
        <v>0.36998304126625214</v>
      </c>
      <c r="BO358" s="369"/>
      <c r="BP358" s="106"/>
      <c r="BQ358" s="106"/>
      <c r="BR358" s="106"/>
      <c r="BS358" s="106"/>
      <c r="BT358" s="106"/>
      <c r="BV358" s="106"/>
      <c r="BW358" s="106"/>
      <c r="BX358" s="106"/>
      <c r="BY358" s="830"/>
      <c r="BZ358" s="279"/>
      <c r="CA358" s="80"/>
      <c r="CB358" s="88"/>
      <c r="CC358" s="88"/>
      <c r="CD358" s="88"/>
      <c r="CE358" s="88"/>
      <c r="CF358" s="88"/>
      <c r="CG358" s="88"/>
    </row>
    <row r="359" spans="1:85" ht="11.25" customHeight="1">
      <c r="A359" s="36"/>
      <c r="B359" s="36"/>
      <c r="C359" s="36"/>
      <c r="D359" s="36"/>
      <c r="E359" s="36"/>
      <c r="F359" s="36"/>
      <c r="G359" s="36"/>
      <c r="I359" s="994" t="s">
        <v>380</v>
      </c>
      <c r="J359" s="342"/>
      <c r="K359" s="336"/>
      <c r="L359" s="336"/>
      <c r="M359" s="336"/>
      <c r="N359" s="336"/>
      <c r="O359" s="336"/>
      <c r="P359" s="336"/>
      <c r="Q359" s="336"/>
      <c r="R359" s="336"/>
      <c r="S359" s="336"/>
      <c r="T359" s="336"/>
      <c r="U359" s="626"/>
      <c r="V359" s="336"/>
      <c r="W359" s="336">
        <f>W358-V358</f>
        <v>-0.10000000000000053</v>
      </c>
      <c r="X359" s="613"/>
      <c r="Y359" s="336"/>
      <c r="Z359" s="336"/>
      <c r="AA359" s="336">
        <f t="shared" si="651"/>
        <v>0.35500000000000043</v>
      </c>
      <c r="AB359" s="336">
        <f t="shared" si="651"/>
        <v>-1.3879999999999981</v>
      </c>
      <c r="AC359" s="626">
        <f t="shared" si="651"/>
        <v>0.89999999999999858</v>
      </c>
      <c r="AD359" s="336">
        <f t="shared" ref="AD359:AJ359" si="653">AD358-AC358</f>
        <v>0.74099999999999966</v>
      </c>
      <c r="AE359" s="336">
        <f t="shared" si="653"/>
        <v>1.4139999999999997</v>
      </c>
      <c r="AF359" s="469">
        <f t="shared" si="653"/>
        <v>-2.4319999999999986</v>
      </c>
      <c r="AG359" s="626">
        <f t="shared" si="653"/>
        <v>1.4480000000000004</v>
      </c>
      <c r="AH359" s="336">
        <f t="shared" si="653"/>
        <v>0.55999999999999872</v>
      </c>
      <c r="AI359" s="336">
        <f t="shared" si="653"/>
        <v>-3.4000000000002473E-2</v>
      </c>
      <c r="AJ359" s="613">
        <f t="shared" si="653"/>
        <v>-2.1389999999999958</v>
      </c>
      <c r="AK359" s="336">
        <f t="shared" ref="AK359:AR359" si="654">AK358-AJ358</f>
        <v>1.2949999999999982</v>
      </c>
      <c r="AL359" s="336">
        <f t="shared" si="654"/>
        <v>0.6440000000000019</v>
      </c>
      <c r="AM359" s="336">
        <f t="shared" si="654"/>
        <v>6.5999999999995396E-2</v>
      </c>
      <c r="AN359" s="613">
        <f t="shared" si="654"/>
        <v>-2.7169999999999952</v>
      </c>
      <c r="AO359" s="336">
        <f t="shared" si="654"/>
        <v>2.5809999999999995</v>
      </c>
      <c r="AP359" s="336">
        <f t="shared" si="654"/>
        <v>0.40599999999999525</v>
      </c>
      <c r="AQ359" s="336">
        <f t="shared" si="654"/>
        <v>1.5000000000004121E-2</v>
      </c>
      <c r="AR359" s="613">
        <f t="shared" si="654"/>
        <v>-3.4920000000000009</v>
      </c>
      <c r="AS359" s="336">
        <f t="shared" ref="AS359:BD359" si="655">AS358-AR358</f>
        <v>3.3170000000000002</v>
      </c>
      <c r="AT359" s="336">
        <f t="shared" si="655"/>
        <v>0</v>
      </c>
      <c r="AU359" s="336">
        <f t="shared" si="655"/>
        <v>0</v>
      </c>
      <c r="AV359" s="613">
        <f t="shared" si="655"/>
        <v>0</v>
      </c>
      <c r="AW359" s="336">
        <f t="shared" si="655"/>
        <v>-1</v>
      </c>
      <c r="AX359" s="336">
        <f t="shared" si="655"/>
        <v>0</v>
      </c>
      <c r="AY359" s="336">
        <f t="shared" si="655"/>
        <v>0</v>
      </c>
      <c r="AZ359" s="613">
        <f t="shared" si="655"/>
        <v>0</v>
      </c>
      <c r="BA359" s="336">
        <f t="shared" si="655"/>
        <v>0</v>
      </c>
      <c r="BB359" s="336">
        <f t="shared" si="655"/>
        <v>0</v>
      </c>
      <c r="BC359" s="336">
        <f t="shared" si="655"/>
        <v>0</v>
      </c>
      <c r="BD359" s="613">
        <f t="shared" si="655"/>
        <v>0</v>
      </c>
      <c r="BE359" s="110"/>
      <c r="BF359" s="626"/>
      <c r="BG359" s="336"/>
      <c r="BH359" s="336"/>
      <c r="BI359" s="336"/>
      <c r="BJ359" s="336"/>
      <c r="BK359" s="336"/>
      <c r="BL359" s="336">
        <f t="shared" ref="BL359:BR359" si="656">BL357-BK357</f>
        <v>3.4999999999999991</v>
      </c>
      <c r="BM359" s="613">
        <f t="shared" si="656"/>
        <v>1.4140000000000015</v>
      </c>
      <c r="BN359" s="626">
        <f t="shared" si="656"/>
        <v>3.9269999999999996</v>
      </c>
      <c r="BO359" s="336">
        <f t="shared" si="656"/>
        <v>5.4649999999999999</v>
      </c>
      <c r="BP359" s="336">
        <f t="shared" si="656"/>
        <v>4.0670000000000002</v>
      </c>
      <c r="BQ359" s="336">
        <f t="shared" si="656"/>
        <v>4.7719999999999985</v>
      </c>
      <c r="BR359" s="336">
        <f t="shared" si="656"/>
        <v>8</v>
      </c>
      <c r="BS359" s="336">
        <f>BS357-BR357</f>
        <v>4</v>
      </c>
      <c r="BT359" s="336">
        <f>BT357-BS357</f>
        <v>4</v>
      </c>
      <c r="BU359" s="368">
        <f>BT359+0.5</f>
        <v>4.5</v>
      </c>
      <c r="BV359" s="368">
        <v>6</v>
      </c>
      <c r="BW359" s="368">
        <f>BV359+0.5</f>
        <v>6.5</v>
      </c>
      <c r="BX359" s="368">
        <f>BW359+0.5</f>
        <v>7</v>
      </c>
      <c r="BY359" s="786">
        <f>BX359+0.5</f>
        <v>7.5</v>
      </c>
      <c r="BZ359" s="110"/>
      <c r="CA359" s="36"/>
      <c r="CB359" s="36"/>
      <c r="CC359" s="36"/>
      <c r="CD359" s="36"/>
      <c r="CE359" s="36"/>
      <c r="CF359" s="36"/>
      <c r="CG359" s="36"/>
    </row>
    <row r="360" spans="1:85" s="54" customFormat="1" ht="11.25" customHeight="1">
      <c r="H360" s="83"/>
      <c r="I360" s="798" t="s">
        <v>132</v>
      </c>
      <c r="M360" s="198"/>
      <c r="N360" s="198"/>
      <c r="O360" s="198"/>
      <c r="P360" s="198"/>
      <c r="Q360" s="198" t="str">
        <f t="shared" ref="Q360:AB360" si="657">IF(ISERROR(Q357/M357-1),"NA",(IF(Q357&lt;=0,"NM",Q357/M357-1)))</f>
        <v>NA</v>
      </c>
      <c r="R360" s="198" t="str">
        <f t="shared" si="657"/>
        <v>NA</v>
      </c>
      <c r="S360" s="198" t="str">
        <f t="shared" si="657"/>
        <v>NA</v>
      </c>
      <c r="T360" s="198" t="str">
        <f t="shared" si="657"/>
        <v>NA</v>
      </c>
      <c r="U360" s="751">
        <f t="shared" si="657"/>
        <v>0.8</v>
      </c>
      <c r="V360" s="198">
        <f t="shared" si="657"/>
        <v>0.7</v>
      </c>
      <c r="W360" s="198">
        <f t="shared" si="657"/>
        <v>0.64000000000000012</v>
      </c>
      <c r="X360" s="752">
        <f t="shared" si="657"/>
        <v>0.61403508771929816</v>
      </c>
      <c r="Y360" s="198">
        <f t="shared" si="657"/>
        <v>0.57333333333333347</v>
      </c>
      <c r="Z360" s="198">
        <f t="shared" si="657"/>
        <v>0.44055555555555559</v>
      </c>
      <c r="AA360" s="198">
        <f t="shared" si="657"/>
        <v>0.39837499999999992</v>
      </c>
      <c r="AB360" s="198">
        <f t="shared" si="657"/>
        <v>0.15369565217391323</v>
      </c>
      <c r="AC360" s="751">
        <f t="shared" ref="AC360:AJ360" si="658">IF(ISERROR(AC357/Y357-1),"NA",(IF(AC357&lt;=0,"NM",AC357/Y357-1)))</f>
        <v>0.10381355932203395</v>
      </c>
      <c r="AD360" s="198">
        <f t="shared" si="658"/>
        <v>0.15782876976475135</v>
      </c>
      <c r="AE360" s="198">
        <f t="shared" si="658"/>
        <v>0.29534280861714501</v>
      </c>
      <c r="AF360" s="1242">
        <f t="shared" si="658"/>
        <v>0.36998304126625214</v>
      </c>
      <c r="AG360" s="751">
        <f t="shared" si="658"/>
        <v>0.46595375194223565</v>
      </c>
      <c r="AH360" s="198">
        <f t="shared" si="658"/>
        <v>0.50695311849446245</v>
      </c>
      <c r="AI360" s="198">
        <f t="shared" si="658"/>
        <v>0.38851701055827759</v>
      </c>
      <c r="AJ360" s="752">
        <f t="shared" si="658"/>
        <v>0.37583384911629181</v>
      </c>
      <c r="AK360" s="198">
        <f t="shared" ref="AK360:AR360" si="659">IF(ISERROR(AK357/AG357-1),"NA",(IF(AK357&lt;=0,"NM",AK357/AG357-1)))</f>
        <v>0.32090529334746543</v>
      </c>
      <c r="AL360" s="198">
        <f t="shared" si="659"/>
        <v>0.27148146101563797</v>
      </c>
      <c r="AM360" s="198">
        <f t="shared" si="659"/>
        <v>0.23751304607126889</v>
      </c>
      <c r="AN360" s="752">
        <f t="shared" si="659"/>
        <v>0.20328901329601123</v>
      </c>
      <c r="AO360" s="198">
        <f t="shared" si="659"/>
        <v>0.21905975644293418</v>
      </c>
      <c r="AP360" s="198">
        <f t="shared" si="659"/>
        <v>0.21629726205997368</v>
      </c>
      <c r="AQ360" s="198">
        <f t="shared" si="659"/>
        <v>0.21132530120481929</v>
      </c>
      <c r="AR360" s="752">
        <f t="shared" si="659"/>
        <v>0.19823038258629988</v>
      </c>
      <c r="AS360" s="198">
        <f t="shared" ref="AS360:BD360" si="660">IF(ISERROR(AS357/AO357-1),"NA",(IF(AS357&lt;=0,"NM",AS357/AO357-1)))</f>
        <v>0.19429279436248881</v>
      </c>
      <c r="AT360" s="198">
        <f t="shared" si="660"/>
        <v>0.1735805909886734</v>
      </c>
      <c r="AU360" s="198">
        <f t="shared" si="660"/>
        <v>0.15526158742788931</v>
      </c>
      <c r="AV360" s="752">
        <f t="shared" si="660"/>
        <v>0.27734442711041773</v>
      </c>
      <c r="AW360" s="198">
        <f t="shared" si="660"/>
        <v>0.22694115739990273</v>
      </c>
      <c r="AX360" s="198">
        <f t="shared" si="660"/>
        <v>0.1826762064241132</v>
      </c>
      <c r="AY360" s="198">
        <f t="shared" si="660"/>
        <v>0.14349261013057824</v>
      </c>
      <c r="AZ360" s="752">
        <f t="shared" si="660"/>
        <v>0.10856289862939339</v>
      </c>
      <c r="BA360" s="198">
        <f t="shared" si="660"/>
        <v>0.10569427929713315</v>
      </c>
      <c r="BB360" s="198">
        <f t="shared" si="660"/>
        <v>0.10297335564422716</v>
      </c>
      <c r="BC360" s="198">
        <f t="shared" si="660"/>
        <v>0.10038900740368928</v>
      </c>
      <c r="BD360" s="752">
        <f t="shared" si="660"/>
        <v>9.7931203329660876E-2</v>
      </c>
      <c r="BE360" s="264"/>
      <c r="BF360" s="633"/>
      <c r="BH360" s="198"/>
      <c r="BI360" s="198"/>
      <c r="BJ360" s="198"/>
      <c r="BK360" s="198" t="str">
        <f t="shared" ref="BK360:BT360" si="661">IF(ISERROR(BK357/BJ357-1),"NA",(IF(BK357&lt;=0,"NM",BK357/BJ357-1)))</f>
        <v>NA</v>
      </c>
      <c r="BL360" s="198">
        <f t="shared" si="661"/>
        <v>0.61403508771929816</v>
      </c>
      <c r="BM360" s="752">
        <f t="shared" si="661"/>
        <v>0.15369565217391323</v>
      </c>
      <c r="BN360" s="751">
        <f t="shared" si="661"/>
        <v>0.36998304126625214</v>
      </c>
      <c r="BO360" s="198">
        <f t="shared" si="661"/>
        <v>0.37583384911629181</v>
      </c>
      <c r="BP360" s="198">
        <f t="shared" si="661"/>
        <v>0.20328901329601123</v>
      </c>
      <c r="BQ360" s="198">
        <f t="shared" si="661"/>
        <v>0.19823038258629988</v>
      </c>
      <c r="BR360" s="198">
        <f t="shared" si="661"/>
        <v>0.27734442711041773</v>
      </c>
      <c r="BS360" s="198">
        <f t="shared" si="661"/>
        <v>0.10856289862939339</v>
      </c>
      <c r="BT360" s="198">
        <f t="shared" si="661"/>
        <v>9.7931203329660876E-2</v>
      </c>
      <c r="BU360" s="198">
        <f>IF(ISERROR(BU357/BT357-1),"NA",(IF(BU357&lt;=0,"NM",BU357/BT357-1)))</f>
        <v>0.10034563496487903</v>
      </c>
      <c r="BV360" s="198">
        <f>IF(ISERROR(BV357/BU357-1),"NA",(IF(BV357&lt;=0,"NM",BV357/BU357-1)))</f>
        <v>0.12159286655182888</v>
      </c>
      <c r="BW360" s="198">
        <f>IF(ISERROR(BW357/BV357-1),"NA",(IF(BW357&lt;=0,"NM",BW357/BV357-1)))</f>
        <v>0.11744511699340499</v>
      </c>
      <c r="BX360" s="198">
        <f>IF(ISERROR(BX357/BW357-1),"NA",(IF(BX357&lt;=0,"NM",BX357/BW357-1)))</f>
        <v>0.11318619128466323</v>
      </c>
      <c r="BY360" s="752">
        <f>IF(ISERROR(BY357/BX357-1),"NA",(IF(BY357&lt;=0,"NM",BY357/BX357-1)))</f>
        <v>0.10894037330234596</v>
      </c>
      <c r="BZ360" s="264"/>
      <c r="CA360" s="201"/>
      <c r="CB360" s="201"/>
      <c r="CC360" s="201"/>
      <c r="CD360" s="201"/>
      <c r="CE360" s="201"/>
      <c r="CF360" s="201"/>
      <c r="CG360" s="201"/>
    </row>
    <row r="361" spans="1:85" s="54" customFormat="1" ht="11.25" customHeight="1">
      <c r="H361" s="83"/>
      <c r="I361" s="798" t="s">
        <v>146</v>
      </c>
      <c r="M361" s="198"/>
      <c r="N361" s="198"/>
      <c r="O361" s="198"/>
      <c r="P361" s="198"/>
      <c r="Q361" s="198" t="str">
        <f t="shared" ref="Q361:Y361" si="662">IF(ISERROR(Q357/P357-1),"NA",(IF(Q357&lt;=0,"NM",Q357/P357-1)))</f>
        <v>NA</v>
      </c>
      <c r="R361" s="198">
        <f t="shared" si="662"/>
        <v>0.2100840336134453</v>
      </c>
      <c r="S361" s="198">
        <f t="shared" si="662"/>
        <v>0.15176151761517609</v>
      </c>
      <c r="T361" s="198">
        <f t="shared" si="662"/>
        <v>0.16850000000000009</v>
      </c>
      <c r="U361" s="751">
        <f t="shared" si="662"/>
        <v>0.10526315789473673</v>
      </c>
      <c r="V361" s="198">
        <f t="shared" si="662"/>
        <v>0.14285714285714302</v>
      </c>
      <c r="W361" s="198">
        <f t="shared" si="662"/>
        <v>0.11111111111111116</v>
      </c>
      <c r="X361" s="752">
        <f t="shared" si="662"/>
        <v>0.14999999999999991</v>
      </c>
      <c r="Y361" s="198">
        <f t="shared" si="662"/>
        <v>7.7391304347826262E-2</v>
      </c>
      <c r="Z361" s="198">
        <f t="shared" ref="Z361:AI361" si="663">IF(ISERROR(Z357/Y357-1),"NA",(IF(Z357&lt;=0,"NM",Z357/Y357-1)))</f>
        <v>4.6408393866020914E-2</v>
      </c>
      <c r="AA361" s="198">
        <f t="shared" si="663"/>
        <v>7.857693790975695E-2</v>
      </c>
      <c r="AB361" s="198">
        <f t="shared" si="663"/>
        <v>-5.1220166264413947E-2</v>
      </c>
      <c r="AC361" s="751">
        <f t="shared" si="663"/>
        <v>3.0808366308648916E-2</v>
      </c>
      <c r="AD361" s="198">
        <f t="shared" si="663"/>
        <v>9.761447765286535E-2</v>
      </c>
      <c r="AE361" s="198">
        <f t="shared" si="663"/>
        <v>0.20667832458989088</v>
      </c>
      <c r="AF361" s="1242">
        <f t="shared" si="663"/>
        <v>3.4504175005176663E-3</v>
      </c>
      <c r="AG361" s="751">
        <f t="shared" si="663"/>
        <v>0.10301904958393515</v>
      </c>
      <c r="AH361" s="198">
        <f t="shared" si="663"/>
        <v>0.12831223891763832</v>
      </c>
      <c r="AI361" s="198">
        <f t="shared" si="663"/>
        <v>0.1118417417251476</v>
      </c>
      <c r="AJ361" s="752">
        <f t="shared" ref="AJ361:AR361" si="664">IF(ISERROR(AJ357/AI357-1),"NA",(IF(AJ357&lt;=0,"NM",AJ357/AI357-1)))</f>
        <v>-5.7154216987226336E-3</v>
      </c>
      <c r="AK361" s="198">
        <f t="shared" si="664"/>
        <v>5.8982305308407534E-2</v>
      </c>
      <c r="AL361" s="198">
        <f t="shared" si="664"/>
        <v>8.6094590767487933E-2</v>
      </c>
      <c r="AM361" s="198">
        <f t="shared" si="664"/>
        <v>8.2138200782268411E-2</v>
      </c>
      <c r="AN361" s="752">
        <f t="shared" si="664"/>
        <v>-3.3212851405622468E-2</v>
      </c>
      <c r="AO361" s="198">
        <f t="shared" si="664"/>
        <v>7.2861712291779179E-2</v>
      </c>
      <c r="AP361" s="198">
        <f t="shared" si="664"/>
        <v>8.3633406899755958E-2</v>
      </c>
      <c r="AQ361" s="198">
        <f t="shared" si="664"/>
        <v>7.7714653231857778E-2</v>
      </c>
      <c r="AR361" s="752">
        <f t="shared" si="664"/>
        <v>-4.3664213248458372E-2</v>
      </c>
      <c r="AS361" s="198">
        <f t="shared" ref="AS361:BD361" si="665">IF(ISERROR(AS357/AR357-1),"NA",(IF(AS357&lt;=0,"NM",AS357/AR357-1)))</f>
        <v>6.9336106777604378E-2</v>
      </c>
      <c r="AT361" s="198">
        <f t="shared" si="665"/>
        <v>6.4840330685686398E-2</v>
      </c>
      <c r="AU361" s="198">
        <f t="shared" si="665"/>
        <v>6.0892068808037658E-2</v>
      </c>
      <c r="AV361" s="752">
        <f t="shared" si="665"/>
        <v>5.7397044052231339E-2</v>
      </c>
      <c r="AW361" s="198">
        <f t="shared" si="665"/>
        <v>2.7140724657348292E-2</v>
      </c>
      <c r="AX361" s="198">
        <f t="shared" si="665"/>
        <v>2.6423569824283177E-2</v>
      </c>
      <c r="AY361" s="198">
        <f t="shared" si="665"/>
        <v>2.5743338911056846E-2</v>
      </c>
      <c r="AZ361" s="752">
        <f t="shared" si="665"/>
        <v>2.5097251850922264E-2</v>
      </c>
      <c r="BA361" s="198">
        <f t="shared" si="665"/>
        <v>2.4482800832415164E-2</v>
      </c>
      <c r="BB361" s="198">
        <f t="shared" si="665"/>
        <v>2.3897717767953131E-2</v>
      </c>
      <c r="BC361" s="198">
        <f t="shared" si="665"/>
        <v>2.3339946318123417E-2</v>
      </c>
      <c r="BD361" s="752">
        <f t="shared" si="665"/>
        <v>2.2807617744326603E-2</v>
      </c>
      <c r="BE361" s="264"/>
      <c r="BF361" s="633"/>
      <c r="BM361" s="619"/>
      <c r="BN361" s="633"/>
      <c r="BP361" s="199"/>
      <c r="BQ361" s="199"/>
      <c r="BR361" s="199"/>
      <c r="BS361" s="199"/>
      <c r="BT361" s="199"/>
      <c r="BU361" s="199"/>
      <c r="BV361" s="199"/>
      <c r="BW361" s="199"/>
      <c r="BX361" s="199"/>
      <c r="BY361" s="620"/>
      <c r="BZ361" s="265"/>
      <c r="CA361" s="201"/>
      <c r="CB361" s="201"/>
      <c r="CC361" s="201"/>
      <c r="CD361" s="201"/>
      <c r="CE361" s="201"/>
      <c r="CF361" s="201"/>
      <c r="CG361" s="201"/>
    </row>
    <row r="362" spans="1:85" s="54" customFormat="1" ht="11.25" customHeight="1" collapsed="1">
      <c r="A362" s="191"/>
      <c r="B362" s="191"/>
      <c r="C362" s="191"/>
      <c r="D362" s="191"/>
      <c r="E362" s="191"/>
      <c r="F362" s="191"/>
      <c r="G362" s="191"/>
      <c r="H362" s="1163"/>
      <c r="I362" s="798" t="s">
        <v>278</v>
      </c>
      <c r="J362" s="193"/>
      <c r="K362" s="67"/>
      <c r="L362" s="67"/>
      <c r="M362" s="67"/>
      <c r="N362" s="67"/>
      <c r="O362" s="67"/>
      <c r="P362" s="67"/>
      <c r="Q362" s="198">
        <f t="shared" ref="Q362:AJ362" si="666">Q357/Q$320</f>
        <v>7.4759168678044302E-2</v>
      </c>
      <c r="R362" s="198">
        <f t="shared" si="666"/>
        <v>8.2143020125039934E-2</v>
      </c>
      <c r="S362" s="198">
        <f t="shared" si="666"/>
        <v>7.995228447662435E-2</v>
      </c>
      <c r="T362" s="198">
        <f t="shared" si="666"/>
        <v>8.663140616450847E-2</v>
      </c>
      <c r="U362" s="751">
        <f t="shared" si="666"/>
        <v>8.8176016123614379E-2</v>
      </c>
      <c r="V362" s="198">
        <f t="shared" si="666"/>
        <v>9.1919978552005011E-2</v>
      </c>
      <c r="W362" s="198">
        <f t="shared" si="666"/>
        <v>9.576480164715459E-2</v>
      </c>
      <c r="X362" s="752">
        <f t="shared" si="666"/>
        <v>0.10660486674391656</v>
      </c>
      <c r="Y362" s="198">
        <f t="shared" si="666"/>
        <v>9.7114583843629074E-2</v>
      </c>
      <c r="Z362" s="198">
        <f t="shared" si="666"/>
        <v>9.5985489274278621E-2</v>
      </c>
      <c r="AA362" s="198">
        <f t="shared" si="666"/>
        <v>9.525147513346445E-2</v>
      </c>
      <c r="AB362" s="198">
        <f t="shared" si="666"/>
        <v>8.8446314736885967E-2</v>
      </c>
      <c r="AC362" s="751">
        <f t="shared" si="666"/>
        <v>8.2598520308017509E-2</v>
      </c>
      <c r="AD362" s="198">
        <f t="shared" si="666"/>
        <v>8.7172712160916377E-2</v>
      </c>
      <c r="AE362" s="198">
        <f t="shared" si="666"/>
        <v>0.10393923309759141</v>
      </c>
      <c r="AF362" s="752">
        <f t="shared" si="666"/>
        <v>0.10739766902521529</v>
      </c>
      <c r="AG362" s="751">
        <f>AG357/AG$320</f>
        <v>0.11258124745553326</v>
      </c>
      <c r="AH362" s="198">
        <f>AH357/AH$320</f>
        <v>0.12576968517617626</v>
      </c>
      <c r="AI362" s="198">
        <f>AI357/AI$320</f>
        <v>0.13593616992527935</v>
      </c>
      <c r="AJ362" s="752">
        <f t="shared" si="666"/>
        <v>0.14242491118910494</v>
      </c>
      <c r="AK362" s="198">
        <f t="shared" ref="AK362:AP362" si="667">AK357/AK$320</f>
        <v>0.14512549320473475</v>
      </c>
      <c r="AL362" s="198">
        <f t="shared" si="667"/>
        <v>0.16121009156957397</v>
      </c>
      <c r="AM362" s="198">
        <f t="shared" si="667"/>
        <v>0.17358085451972474</v>
      </c>
      <c r="AN362" s="752">
        <f t="shared" si="667"/>
        <v>0.18067532779441456</v>
      </c>
      <c r="AO362" s="198">
        <f t="shared" si="667"/>
        <v>0.17063405545755458</v>
      </c>
      <c r="AP362" s="198">
        <f t="shared" si="667"/>
        <v>0.17814881062260104</v>
      </c>
      <c r="AQ362" s="198">
        <f t="shared" ref="AQ362:AR362" si="668">AQ357/AQ$320</f>
        <v>0.19199236155315086</v>
      </c>
      <c r="AR362" s="752">
        <f t="shared" si="668"/>
        <v>0.20461945534124523</v>
      </c>
      <c r="AS362" s="198">
        <f t="shared" ref="AS362:BD362" si="669">AS357/AS$320</f>
        <v>0.21144852004887754</v>
      </c>
      <c r="AT362" s="198">
        <f t="shared" si="669"/>
        <v>0.2265431766671219</v>
      </c>
      <c r="AU362" s="198">
        <f t="shared" si="669"/>
        <v>0.24396459800277398</v>
      </c>
      <c r="AV362" s="752">
        <f t="shared" si="669"/>
        <v>0.28273863194252069</v>
      </c>
      <c r="AW362" s="198">
        <f t="shared" si="669"/>
        <v>0.28033938139591352</v>
      </c>
      <c r="AX362" s="198">
        <f t="shared" si="669"/>
        <v>0.28835067718056068</v>
      </c>
      <c r="AY362" s="198">
        <f t="shared" si="669"/>
        <v>0.29878349114918118</v>
      </c>
      <c r="AZ362" s="752">
        <f t="shared" si="669"/>
        <v>0.33154473424857106</v>
      </c>
      <c r="BA362" s="198">
        <f t="shared" si="669"/>
        <v>0.32990752384432104</v>
      </c>
      <c r="BB362" s="198">
        <f t="shared" si="669"/>
        <v>0.3394380582149778</v>
      </c>
      <c r="BC362" s="198">
        <f t="shared" si="669"/>
        <v>0.35161831507506752</v>
      </c>
      <c r="BD362" s="752">
        <f t="shared" si="669"/>
        <v>0.38765523760207049</v>
      </c>
      <c r="BE362" s="264"/>
      <c r="BF362" s="631"/>
      <c r="BG362" s="67"/>
      <c r="BH362" s="67"/>
      <c r="BI362" s="67"/>
      <c r="BJ362" s="67"/>
      <c r="BK362" s="198">
        <f t="shared" ref="BK362:BT362" si="670">BK357/BK$320</f>
        <v>8.663140616450847E-2</v>
      </c>
      <c r="BL362" s="198">
        <f t="shared" si="670"/>
        <v>0.10660486674391656</v>
      </c>
      <c r="BM362" s="752">
        <f t="shared" si="670"/>
        <v>8.8446314736885967E-2</v>
      </c>
      <c r="BN362" s="751">
        <f t="shared" si="670"/>
        <v>0.10739766902521529</v>
      </c>
      <c r="BO362" s="198">
        <f t="shared" si="670"/>
        <v>0.14242491118910494</v>
      </c>
      <c r="BP362" s="198">
        <f t="shared" si="670"/>
        <v>0.18067532779441456</v>
      </c>
      <c r="BQ362" s="198">
        <f t="shared" si="670"/>
        <v>0.20461945534124523</v>
      </c>
      <c r="BR362" s="198">
        <f>BR357/BR$320</f>
        <v>0.28273863194252069</v>
      </c>
      <c r="BS362" s="198">
        <f t="shared" si="670"/>
        <v>0.33154473424857106</v>
      </c>
      <c r="BT362" s="198">
        <f t="shared" si="670"/>
        <v>0.38765523760207049</v>
      </c>
      <c r="BU362" s="198">
        <f>BU357/BU$320</f>
        <v>0.45925537341240863</v>
      </c>
      <c r="BV362" s="198">
        <f>BV357/BV$320</f>
        <v>0.56759824790049018</v>
      </c>
      <c r="BW362" s="198">
        <f>BW357/BW$320</f>
        <v>0.71177951892110847</v>
      </c>
      <c r="BX362" s="198">
        <f>BX357/BX$320</f>
        <v>0.91058403661120901</v>
      </c>
      <c r="BY362" s="752">
        <f>BY357/BY$320</f>
        <v>1.1989596416996717</v>
      </c>
      <c r="BZ362" s="264"/>
      <c r="CA362" s="201"/>
      <c r="CB362" s="198"/>
      <c r="CC362" s="198"/>
      <c r="CD362" s="198"/>
      <c r="CE362" s="198"/>
      <c r="CF362" s="198"/>
      <c r="CG362" s="198"/>
    </row>
    <row r="363" spans="1:85" s="54" customFormat="1" ht="11.25" customHeight="1">
      <c r="A363" s="191"/>
      <c r="B363" s="191"/>
      <c r="C363" s="191"/>
      <c r="D363" s="191"/>
      <c r="E363" s="191"/>
      <c r="F363" s="191"/>
      <c r="G363" s="191"/>
      <c r="H363" s="1163"/>
      <c r="I363" s="798" t="s">
        <v>340</v>
      </c>
      <c r="J363" s="193"/>
      <c r="K363" s="67"/>
      <c r="L363" s="67"/>
      <c r="M363" s="67"/>
      <c r="N363" s="67"/>
      <c r="O363" s="67"/>
      <c r="P363" s="67"/>
      <c r="Q363" s="198">
        <f t="shared" ref="Q363:Z363" si="671">Q357/Q$341</f>
        <v>0.53399406198603061</v>
      </c>
      <c r="R363" s="198">
        <f t="shared" si="671"/>
        <v>0.51339387578149942</v>
      </c>
      <c r="S363" s="198">
        <f t="shared" si="671"/>
        <v>0.44417935820346854</v>
      </c>
      <c r="T363" s="198">
        <f t="shared" si="671"/>
        <v>0.43315703082254237</v>
      </c>
      <c r="U363" s="751">
        <f t="shared" si="671"/>
        <v>0.40080007328915629</v>
      </c>
      <c r="V363" s="198">
        <f t="shared" si="671"/>
        <v>0.38299991063335426</v>
      </c>
      <c r="W363" s="198">
        <f t="shared" si="671"/>
        <v>0.38305920658861836</v>
      </c>
      <c r="X363" s="752">
        <f t="shared" si="671"/>
        <v>0.27907033179035751</v>
      </c>
      <c r="Y363" s="198">
        <f t="shared" si="671"/>
        <v>0.24676359290977895</v>
      </c>
      <c r="Z363" s="198">
        <f t="shared" si="671"/>
        <v>0.23016154802059294</v>
      </c>
      <c r="AA363" s="198">
        <f t="shared" ref="AA363:AF363" si="672">AA357/AA$341</f>
        <v>0.22172232682588444</v>
      </c>
      <c r="AB363" s="198">
        <f t="shared" si="672"/>
        <v>0.20062375956903886</v>
      </c>
      <c r="AC363" s="751">
        <f t="shared" si="672"/>
        <v>0.1788037260990358</v>
      </c>
      <c r="AD363" s="198">
        <f t="shared" si="672"/>
        <v>0.17689950799870371</v>
      </c>
      <c r="AE363" s="198">
        <f t="shared" si="672"/>
        <v>0.19731753812636166</v>
      </c>
      <c r="AF363" s="752">
        <f t="shared" si="672"/>
        <v>0.20110086160399407</v>
      </c>
      <c r="AG363" s="751">
        <f t="shared" ref="AG363:AN363" si="673">AG357/AG$341</f>
        <v>0.20312302120007092</v>
      </c>
      <c r="AH363" s="198">
        <f t="shared" si="673"/>
        <v>0.21853113075399702</v>
      </c>
      <c r="AI363" s="198">
        <f t="shared" si="673"/>
        <v>0.22547569421098634</v>
      </c>
      <c r="AJ363" s="752">
        <f t="shared" si="673"/>
        <v>0.2329909393706473</v>
      </c>
      <c r="AK363" s="198">
        <f t="shared" si="673"/>
        <v>0.23608990717318387</v>
      </c>
      <c r="AL363" s="198">
        <f t="shared" si="673"/>
        <v>0.24919588030800222</v>
      </c>
      <c r="AM363" s="198">
        <f t="shared" si="673"/>
        <v>0.25685991334846298</v>
      </c>
      <c r="AN363" s="752">
        <f t="shared" si="673"/>
        <v>0.26920066201467169</v>
      </c>
      <c r="AO363" s="198">
        <f>AO357/AO$341</f>
        <v>0.26082872983972777</v>
      </c>
      <c r="AP363" s="198">
        <f>AP357/AP$341</f>
        <v>0.27414583496591177</v>
      </c>
      <c r="AQ363" s="198">
        <f>AQ357/AQ$341</f>
        <v>0.29094241342722099</v>
      </c>
      <c r="AR363" s="752">
        <f t="shared" ref="AR363" si="674">AR357/AR$341</f>
        <v>0.3099413319579653</v>
      </c>
      <c r="AS363" s="198">
        <f t="shared" ref="AS363:AV363" si="675">AS357/AS$341</f>
        <v>0.30472699790311869</v>
      </c>
      <c r="AT363" s="198">
        <f t="shared" si="675"/>
        <v>0.31633317409930045</v>
      </c>
      <c r="AU363" s="198">
        <f t="shared" si="675"/>
        <v>0.33130465290738975</v>
      </c>
      <c r="AV363" s="752">
        <f t="shared" si="675"/>
        <v>0.38315670376043692</v>
      </c>
      <c r="AW363" s="198">
        <f t="shared" ref="AW363:BD363" si="676">AW357/AW$341</f>
        <v>0.36709185674687705</v>
      </c>
      <c r="AX363" s="198">
        <f t="shared" si="676"/>
        <v>0.36885831206942005</v>
      </c>
      <c r="AY363" s="198">
        <f t="shared" si="676"/>
        <v>0.37429159245455584</v>
      </c>
      <c r="AZ363" s="752">
        <f t="shared" si="676"/>
        <v>0.41344003517656536</v>
      </c>
      <c r="BA363" s="198">
        <f t="shared" si="676"/>
        <v>0.39972078531187794</v>
      </c>
      <c r="BB363" s="198">
        <f t="shared" si="676"/>
        <v>0.40203499803566334</v>
      </c>
      <c r="BC363" s="198">
        <f t="shared" si="676"/>
        <v>0.40770167100428351</v>
      </c>
      <c r="BD363" s="752">
        <f t="shared" si="676"/>
        <v>0.44387942570930383</v>
      </c>
      <c r="BE363" s="264"/>
      <c r="BF363" s="631"/>
      <c r="BG363" s="67"/>
      <c r="BH363" s="67"/>
      <c r="BI363" s="67"/>
      <c r="BJ363" s="67"/>
      <c r="BK363" s="198"/>
      <c r="BL363" s="198">
        <f t="shared" ref="BL363:BT363" si="677">BL357/BL$341</f>
        <v>0.27907033179035751</v>
      </c>
      <c r="BM363" s="752">
        <f t="shared" si="677"/>
        <v>0.20062375956903886</v>
      </c>
      <c r="BN363" s="751">
        <f t="shared" si="677"/>
        <v>0.20110086160399407</v>
      </c>
      <c r="BO363" s="198">
        <f>BO357/BO$341</f>
        <v>0.2329909393706473</v>
      </c>
      <c r="BP363" s="198">
        <f t="shared" si="677"/>
        <v>0.26920066201467169</v>
      </c>
      <c r="BQ363" s="198">
        <f t="shared" si="677"/>
        <v>0.3099413319579653</v>
      </c>
      <c r="BR363" s="198">
        <f>BR357/BR$341</f>
        <v>0.38315670376043692</v>
      </c>
      <c r="BS363" s="198">
        <f t="shared" si="677"/>
        <v>0.41344003517656536</v>
      </c>
      <c r="BT363" s="198">
        <f t="shared" si="677"/>
        <v>0.44387942570930383</v>
      </c>
      <c r="BU363" s="198">
        <f>BU357/BU$341</f>
        <v>0.47887929682755714</v>
      </c>
      <c r="BV363" s="198">
        <f>BV357/BV$341</f>
        <v>0.52782741914027076</v>
      </c>
      <c r="BW363" s="198">
        <f>BW357/BW$341</f>
        <v>0.58078678358398206</v>
      </c>
      <c r="BX363" s="198">
        <f>BX357/BX$341</f>
        <v>0.63773523562543499</v>
      </c>
      <c r="BY363" s="752">
        <f>BY357/BY$341</f>
        <v>0.69866273717301985</v>
      </c>
      <c r="BZ363" s="264"/>
      <c r="CA363" s="201"/>
      <c r="CB363" s="198"/>
      <c r="CC363" s="198"/>
      <c r="CD363" s="198"/>
      <c r="CE363" s="198"/>
      <c r="CF363" s="198"/>
      <c r="CG363" s="198"/>
    </row>
    <row r="364" spans="1:85" s="54" customFormat="1" ht="11.25" customHeight="1">
      <c r="A364" s="191"/>
      <c r="B364" s="191"/>
      <c r="C364" s="191"/>
      <c r="D364" s="191"/>
      <c r="E364" s="191"/>
      <c r="F364" s="191"/>
      <c r="G364" s="191"/>
      <c r="H364" s="1163"/>
      <c r="I364" s="799"/>
      <c r="J364" s="777"/>
      <c r="K364" s="109"/>
      <c r="L364" s="109"/>
      <c r="M364" s="109"/>
      <c r="N364" s="109"/>
      <c r="O364" s="109"/>
      <c r="P364" s="109"/>
      <c r="Q364" s="109"/>
      <c r="R364" s="109"/>
      <c r="S364" s="109"/>
      <c r="T364" s="109"/>
      <c r="U364" s="804"/>
      <c r="V364" s="778"/>
      <c r="W364" s="778"/>
      <c r="X364" s="800"/>
      <c r="Y364" s="778"/>
      <c r="Z364" s="778"/>
      <c r="AA364" s="778"/>
      <c r="AB364" s="778"/>
      <c r="AC364" s="804"/>
      <c r="AD364" s="778"/>
      <c r="AE364" s="778"/>
      <c r="AF364" s="800"/>
      <c r="AG364" s="778"/>
      <c r="AH364" s="778"/>
      <c r="AI364" s="778"/>
      <c r="AJ364" s="800"/>
      <c r="AK364" s="778"/>
      <c r="AL364" s="778"/>
      <c r="AM364" s="778"/>
      <c r="AN364" s="800"/>
      <c r="AO364" s="778"/>
      <c r="AP364" s="778"/>
      <c r="AQ364" s="778"/>
      <c r="AR364" s="800"/>
      <c r="AS364" s="778"/>
      <c r="AT364" s="778"/>
      <c r="AU364" s="778"/>
      <c r="AV364" s="800"/>
      <c r="AW364" s="778"/>
      <c r="AX364" s="778"/>
      <c r="AY364" s="778"/>
      <c r="AZ364" s="800"/>
      <c r="BA364" s="778"/>
      <c r="BB364" s="778"/>
      <c r="BC364" s="778"/>
      <c r="BD364" s="800"/>
      <c r="BE364" s="266"/>
      <c r="BF364" s="812"/>
      <c r="BG364" s="109"/>
      <c r="BH364" s="109"/>
      <c r="BI364" s="109"/>
      <c r="BJ364" s="109"/>
      <c r="BK364" s="109"/>
      <c r="BL364" s="109"/>
      <c r="BM364" s="109"/>
      <c r="BN364" s="812"/>
      <c r="BO364" s="778"/>
      <c r="BP364" s="778"/>
      <c r="BQ364" s="778"/>
      <c r="BR364" s="778"/>
      <c r="BS364" s="778"/>
      <c r="BT364" s="778"/>
      <c r="BU364" s="778"/>
      <c r="BV364" s="778"/>
      <c r="BW364" s="778"/>
      <c r="BX364" s="778"/>
      <c r="BY364" s="800"/>
      <c r="BZ364" s="266"/>
      <c r="CA364" s="201"/>
      <c r="CB364" s="198"/>
      <c r="CC364" s="198"/>
      <c r="CD364" s="198"/>
      <c r="CE364" s="198"/>
      <c r="CF364" s="198"/>
      <c r="CG364" s="198"/>
    </row>
    <row r="365" spans="1:85" s="54" customFormat="1" ht="11.25" customHeight="1">
      <c r="A365" s="191"/>
      <c r="B365" s="191"/>
      <c r="C365" s="191"/>
      <c r="D365" s="191"/>
      <c r="E365" s="191"/>
      <c r="F365" s="191"/>
      <c r="G365" s="191"/>
      <c r="H365" s="1163"/>
      <c r="I365" s="192"/>
      <c r="J365" s="193"/>
      <c r="K365" s="67"/>
      <c r="L365" s="67"/>
      <c r="M365" s="67"/>
      <c r="N365" s="67"/>
      <c r="O365" s="67"/>
      <c r="P365" s="67"/>
      <c r="Q365" s="67"/>
      <c r="R365" s="67"/>
      <c r="S365" s="67"/>
      <c r="T365" s="67"/>
      <c r="U365" s="194"/>
      <c r="V365" s="194"/>
      <c r="W365" s="194"/>
      <c r="X365" s="194"/>
      <c r="Y365" s="194"/>
      <c r="Z365" s="194"/>
      <c r="AA365" s="194"/>
      <c r="AB365" s="194"/>
      <c r="AC365" s="194"/>
      <c r="AD365" s="194"/>
      <c r="AE365" s="194"/>
      <c r="AF365" s="194"/>
      <c r="AG365" s="194"/>
      <c r="AH365" s="194"/>
      <c r="AI365" s="194"/>
      <c r="AJ365" s="194"/>
      <c r="AK365" s="194"/>
      <c r="AL365" s="194"/>
      <c r="AM365" s="194"/>
      <c r="AN365" s="194"/>
      <c r="AO365" s="194"/>
      <c r="AP365" s="194"/>
      <c r="AQ365" s="194"/>
      <c r="AR365" s="194"/>
      <c r="AS365" s="194"/>
      <c r="AT365" s="194"/>
      <c r="AU365" s="194"/>
      <c r="AV365" s="194"/>
      <c r="AW365" s="194"/>
      <c r="AX365" s="194"/>
      <c r="AY365" s="194"/>
      <c r="AZ365" s="194"/>
      <c r="BA365" s="194"/>
      <c r="BB365" s="194"/>
      <c r="BC365" s="194"/>
      <c r="BD365" s="194"/>
      <c r="BE365" s="266"/>
      <c r="BF365" s="67"/>
      <c r="BG365" s="67"/>
      <c r="BH365" s="67"/>
      <c r="BI365" s="67"/>
      <c r="BJ365" s="67"/>
      <c r="BK365" s="67"/>
      <c r="BL365" s="67"/>
      <c r="BM365" s="67"/>
      <c r="BN365" s="67"/>
      <c r="BO365" s="194"/>
      <c r="BP365" s="194"/>
      <c r="BQ365" s="194"/>
      <c r="BR365" s="194"/>
      <c r="BS365" s="194"/>
      <c r="BT365" s="194"/>
      <c r="BU365" s="194"/>
      <c r="BV365" s="194"/>
      <c r="BW365" s="194"/>
      <c r="BX365" s="194"/>
      <c r="BY365" s="194"/>
      <c r="BZ365" s="266"/>
      <c r="CA365" s="201"/>
      <c r="CB365" s="198"/>
      <c r="CC365" s="198"/>
      <c r="CD365" s="198"/>
      <c r="CE365" s="198"/>
      <c r="CF365" s="198"/>
      <c r="CG365" s="198"/>
    </row>
    <row r="366" spans="1:85" ht="11.25" customHeight="1">
      <c r="A366" s="36"/>
      <c r="B366" s="36"/>
      <c r="C366" s="36"/>
      <c r="D366" s="36"/>
      <c r="E366" s="36"/>
      <c r="F366" s="36"/>
      <c r="G366" s="36"/>
      <c r="I366" s="106"/>
      <c r="J366" s="54"/>
      <c r="K366" s="54"/>
      <c r="L366" s="54"/>
      <c r="M366" s="54"/>
      <c r="N366" s="54"/>
      <c r="O366" s="54"/>
      <c r="P366" s="54"/>
      <c r="Q366" s="54"/>
      <c r="R366" s="54"/>
      <c r="S366" s="54"/>
      <c r="T366" s="54"/>
      <c r="U366" s="54"/>
      <c r="V366" s="54"/>
      <c r="W366" s="54"/>
      <c r="X366" s="54"/>
      <c r="Y366" s="54"/>
      <c r="Z366" s="54"/>
      <c r="AA366" s="54"/>
      <c r="AB366" s="54"/>
      <c r="AC366" s="54"/>
      <c r="AD366" s="54"/>
      <c r="AE366" s="54"/>
      <c r="AF366" s="54"/>
      <c r="AG366" s="54"/>
      <c r="AH366" s="54"/>
      <c r="AI366" s="54"/>
      <c r="AJ366" s="54"/>
      <c r="AK366" s="54"/>
      <c r="AL366" s="54"/>
      <c r="AM366" s="54"/>
      <c r="AN366" s="54"/>
      <c r="AO366" s="54"/>
      <c r="AP366" s="54"/>
      <c r="AQ366" s="54"/>
      <c r="AR366" s="54"/>
      <c r="AS366" s="54"/>
      <c r="AT366" s="54"/>
      <c r="AU366" s="54"/>
      <c r="AV366" s="54"/>
      <c r="AW366" s="54"/>
      <c r="AX366" s="54"/>
      <c r="AY366" s="54"/>
      <c r="AZ366" s="54"/>
      <c r="BA366" s="54"/>
      <c r="BB366" s="54"/>
      <c r="BC366" s="54"/>
      <c r="BD366" s="54"/>
      <c r="BE366" s="83"/>
      <c r="BF366" s="54"/>
      <c r="BG366" s="54"/>
      <c r="BH366" s="54"/>
      <c r="BI366" s="54"/>
      <c r="BJ366" s="54"/>
      <c r="BK366" s="54"/>
      <c r="BL366" s="54"/>
      <c r="BM366" s="54"/>
      <c r="BN366" s="54"/>
      <c r="BO366" s="54"/>
      <c r="BP366" s="54"/>
      <c r="BQ366" s="54"/>
      <c r="BR366" s="54"/>
      <c r="BS366" s="54"/>
      <c r="BT366" s="54"/>
      <c r="BU366" s="54"/>
      <c r="BV366" s="54"/>
      <c r="BW366" s="54"/>
      <c r="BX366" s="54"/>
      <c r="BY366" s="54"/>
      <c r="CA366" s="36"/>
      <c r="CB366" s="36"/>
      <c r="CC366" s="36"/>
      <c r="CD366" s="36"/>
      <c r="CE366" s="36"/>
      <c r="CF366" s="36"/>
      <c r="CG366" s="36"/>
    </row>
    <row r="367" spans="1:85" s="106" customFormat="1" ht="11.25" customHeight="1">
      <c r="A367" s="54"/>
      <c r="B367" s="54"/>
      <c r="C367" s="54"/>
      <c r="D367" s="54"/>
      <c r="E367" s="54"/>
      <c r="F367" s="54"/>
      <c r="G367" s="54"/>
      <c r="H367" s="83"/>
      <c r="I367" s="769" t="s">
        <v>293</v>
      </c>
      <c r="J367" s="324"/>
      <c r="K367" s="324"/>
      <c r="L367" s="324"/>
      <c r="M367" s="325"/>
      <c r="N367" s="325"/>
      <c r="O367" s="325"/>
      <c r="P367" s="325"/>
      <c r="Q367" s="325"/>
      <c r="R367" s="325"/>
      <c r="S367" s="325"/>
      <c r="T367" s="325"/>
      <c r="U367" s="788"/>
      <c r="V367" s="325"/>
      <c r="W367" s="325"/>
      <c r="X367" s="747"/>
      <c r="Y367" s="746"/>
      <c r="Z367" s="325"/>
      <c r="AA367" s="325"/>
      <c r="AB367" s="325"/>
      <c r="AC367" s="746"/>
      <c r="AD367" s="325"/>
      <c r="AE367" s="325"/>
      <c r="AF367" s="747"/>
      <c r="AG367" s="325"/>
      <c r="AH367" s="325"/>
      <c r="AI367" s="325"/>
      <c r="AJ367" s="747"/>
      <c r="AK367" s="325"/>
      <c r="AL367" s="325"/>
      <c r="AM367" s="325"/>
      <c r="AN367" s="747"/>
      <c r="AO367" s="325"/>
      <c r="AP367" s="325"/>
      <c r="AQ367" s="325"/>
      <c r="AR367" s="747"/>
      <c r="AS367" s="325"/>
      <c r="AT367" s="325"/>
      <c r="AU367" s="325"/>
      <c r="AV367" s="747"/>
      <c r="AW367" s="325"/>
      <c r="AX367" s="325"/>
      <c r="AY367" s="325"/>
      <c r="AZ367" s="747"/>
      <c r="BA367" s="325"/>
      <c r="BB367" s="325"/>
      <c r="BC367" s="325"/>
      <c r="BD367" s="747"/>
      <c r="BE367" s="335"/>
      <c r="BF367" s="781"/>
      <c r="BG367" s="323"/>
      <c r="BH367" s="323"/>
      <c r="BI367" s="323"/>
      <c r="BJ367" s="323"/>
      <c r="BK367" s="323"/>
      <c r="BL367" s="323"/>
      <c r="BM367" s="323"/>
      <c r="BN367" s="1418"/>
      <c r="BO367" s="323"/>
      <c r="BP367" s="323"/>
      <c r="BQ367" s="323"/>
      <c r="BR367" s="323"/>
      <c r="BS367" s="323"/>
      <c r="BT367" s="323"/>
      <c r="BU367" s="323"/>
      <c r="BV367" s="323"/>
      <c r="BW367" s="323"/>
      <c r="BX367" s="323"/>
      <c r="BY367" s="782"/>
      <c r="BZ367" s="68"/>
      <c r="CA367" s="54"/>
      <c r="CB367" s="54"/>
      <c r="CC367" s="54"/>
      <c r="CD367" s="54"/>
      <c r="CE367" s="54"/>
      <c r="CF367" s="54"/>
      <c r="CG367" s="54"/>
    </row>
    <row r="368" spans="1:85" s="36" customFormat="1" ht="11.25" customHeight="1">
      <c r="A368" s="86"/>
      <c r="B368" s="86"/>
      <c r="C368" s="86"/>
      <c r="D368" s="86"/>
      <c r="E368" s="86"/>
      <c r="F368" s="86"/>
      <c r="G368" s="86"/>
      <c r="H368" s="328"/>
      <c r="I368" s="798"/>
      <c r="J368" s="347"/>
      <c r="K368" s="67"/>
      <c r="L368" s="67"/>
      <c r="M368" s="198"/>
      <c r="N368" s="198"/>
      <c r="O368" s="198"/>
      <c r="P368" s="198"/>
      <c r="Q368" s="198"/>
      <c r="R368" s="198"/>
      <c r="S368" s="198"/>
      <c r="T368" s="198"/>
      <c r="U368" s="751"/>
      <c r="V368" s="198"/>
      <c r="W368" s="198"/>
      <c r="X368" s="826"/>
      <c r="Y368" s="827"/>
      <c r="Z368" s="358"/>
      <c r="AA368" s="358"/>
      <c r="AB368" s="358"/>
      <c r="AC368" s="827"/>
      <c r="AD368" s="358"/>
      <c r="AE368" s="358"/>
      <c r="AF368" s="826"/>
      <c r="AG368" s="827"/>
      <c r="AH368" s="358"/>
      <c r="AI368" s="358"/>
      <c r="AJ368" s="826"/>
      <c r="AK368" s="827"/>
      <c r="AL368" s="358"/>
      <c r="AM368" s="358"/>
      <c r="AN368" s="826"/>
      <c r="AO368" s="827"/>
      <c r="AP368" s="358"/>
      <c r="AQ368" s="358"/>
      <c r="AR368" s="826"/>
      <c r="AS368" s="827"/>
      <c r="AT368" s="358"/>
      <c r="AU368" s="358"/>
      <c r="AV368" s="826"/>
      <c r="AW368" s="827"/>
      <c r="AX368" s="358"/>
      <c r="AY368" s="358"/>
      <c r="AZ368" s="826"/>
      <c r="BA368" s="827"/>
      <c r="BB368" s="358"/>
      <c r="BC368" s="358"/>
      <c r="BD368" s="826"/>
      <c r="BE368" s="287"/>
      <c r="BF368" s="751"/>
      <c r="BG368" s="198"/>
      <c r="BH368" s="198"/>
      <c r="BI368" s="198"/>
      <c r="BJ368" s="198"/>
      <c r="BK368" s="198"/>
      <c r="BL368" s="198"/>
      <c r="BM368" s="198"/>
      <c r="BN368" s="751"/>
      <c r="BO368" s="358"/>
      <c r="BP368" s="358"/>
      <c r="BQ368" s="358"/>
      <c r="BR368" s="358"/>
      <c r="BS368" s="358"/>
      <c r="BT368" s="358"/>
      <c r="BU368" s="358"/>
      <c r="BV368" s="358"/>
      <c r="BW368" s="358"/>
      <c r="BX368" s="358"/>
      <c r="BY368" s="826"/>
      <c r="BZ368" s="287"/>
      <c r="CA368" s="202"/>
      <c r="CB368" s="203"/>
      <c r="CC368" s="203"/>
      <c r="CD368" s="203"/>
      <c r="CE368" s="203"/>
      <c r="CF368" s="203"/>
      <c r="CG368" s="203"/>
    </row>
    <row r="369" spans="1:85" s="106" customFormat="1" ht="11.25" customHeight="1">
      <c r="A369" s="86"/>
      <c r="B369" s="86"/>
      <c r="C369" s="86"/>
      <c r="D369" s="86"/>
      <c r="E369" s="86"/>
      <c r="F369" s="86"/>
      <c r="G369" s="86"/>
      <c r="H369" s="83"/>
      <c r="I369" s="1497" t="s">
        <v>295</v>
      </c>
      <c r="J369" s="339"/>
      <c r="K369" s="339"/>
      <c r="L369" s="339"/>
      <c r="M369" s="339"/>
      <c r="N369" s="339"/>
      <c r="O369" s="339"/>
      <c r="P369" s="339"/>
      <c r="Q369" s="339"/>
      <c r="R369" s="339"/>
      <c r="S369" s="339"/>
      <c r="T369" s="339"/>
      <c r="U369" s="757"/>
      <c r="V369" s="339"/>
      <c r="W369" s="339"/>
      <c r="X369" s="758"/>
      <c r="Y369" s="757"/>
      <c r="Z369" s="339"/>
      <c r="AA369" s="339"/>
      <c r="AB369" s="339"/>
      <c r="AC369" s="1479"/>
      <c r="AD369" s="339"/>
      <c r="AE369" s="339"/>
      <c r="AF369" s="758"/>
      <c r="AG369" s="757"/>
      <c r="AH369" s="339"/>
      <c r="AI369" s="339"/>
      <c r="AJ369" s="758"/>
      <c r="AK369" s="757"/>
      <c r="AL369" s="339"/>
      <c r="AM369" s="339"/>
      <c r="AN369" s="758"/>
      <c r="AO369" s="1646"/>
      <c r="AP369" s="339"/>
      <c r="AQ369" s="339"/>
      <c r="AR369" s="758"/>
      <c r="AS369" s="1646"/>
      <c r="AT369" s="339"/>
      <c r="AU369" s="339"/>
      <c r="AV369" s="758"/>
      <c r="AW369" s="1646"/>
      <c r="AX369" s="339"/>
      <c r="AY369" s="339"/>
      <c r="AZ369" s="758"/>
      <c r="BA369" s="1646"/>
      <c r="BB369" s="339"/>
      <c r="BC369" s="339"/>
      <c r="BD369" s="758"/>
      <c r="BE369" s="277"/>
      <c r="BF369" s="757"/>
      <c r="BG369" s="339"/>
      <c r="BH369" s="339"/>
      <c r="BI369" s="339"/>
      <c r="BJ369" s="339"/>
      <c r="BK369" s="339"/>
      <c r="BL369" s="339"/>
      <c r="BM369" s="339"/>
      <c r="BN369" s="1646"/>
      <c r="BO369" s="339"/>
      <c r="BP369" s="339"/>
      <c r="BQ369" s="339"/>
      <c r="BR369" s="339"/>
      <c r="BS369" s="339"/>
      <c r="BT369" s="339"/>
      <c r="BU369" s="339"/>
      <c r="BV369" s="339"/>
      <c r="BW369" s="339"/>
      <c r="BX369" s="339"/>
      <c r="BY369" s="758"/>
      <c r="BZ369" s="277"/>
      <c r="CA369" s="99"/>
      <c r="CB369" s="327"/>
      <c r="CC369" s="327"/>
      <c r="CD369" s="327"/>
      <c r="CE369" s="327"/>
      <c r="CF369" s="327"/>
      <c r="CG369" s="327"/>
    </row>
    <row r="370" spans="1:85" s="83" customFormat="1" ht="11.25" customHeight="1">
      <c r="I370" s="455"/>
      <c r="J370" s="334"/>
      <c r="K370" s="334"/>
      <c r="L370" s="334"/>
      <c r="M370" s="335"/>
      <c r="N370" s="335"/>
      <c r="O370" s="335"/>
      <c r="P370" s="335"/>
      <c r="Q370" s="335"/>
      <c r="R370" s="335"/>
      <c r="S370" s="335"/>
      <c r="T370" s="335"/>
      <c r="U370" s="789"/>
      <c r="V370" s="335"/>
      <c r="W370" s="335"/>
      <c r="X370" s="749"/>
      <c r="Y370" s="748"/>
      <c r="Z370" s="335"/>
      <c r="AA370" s="335"/>
      <c r="AB370" s="335"/>
      <c r="AC370" s="1480"/>
      <c r="AD370" s="335"/>
      <c r="AE370" s="335"/>
      <c r="AF370" s="749"/>
      <c r="AG370" s="748"/>
      <c r="AH370" s="335"/>
      <c r="AI370" s="335"/>
      <c r="AJ370" s="749"/>
      <c r="AK370" s="748"/>
      <c r="AL370" s="335"/>
      <c r="AM370" s="335"/>
      <c r="AN370" s="749"/>
      <c r="AO370" s="335"/>
      <c r="AP370" s="335"/>
      <c r="AQ370" s="335"/>
      <c r="AR370" s="749"/>
      <c r="AS370" s="1480"/>
      <c r="AT370" s="335"/>
      <c r="AU370" s="335"/>
      <c r="AV370" s="749"/>
      <c r="AW370" s="1480"/>
      <c r="AX370" s="335"/>
      <c r="AY370" s="335"/>
      <c r="AZ370" s="749"/>
      <c r="BA370" s="1480"/>
      <c r="BB370" s="335"/>
      <c r="BC370" s="335"/>
      <c r="BD370" s="749"/>
      <c r="BE370" s="335"/>
      <c r="BF370" s="507"/>
      <c r="BG370" s="68"/>
      <c r="BH370" s="68"/>
      <c r="BI370" s="68"/>
      <c r="BJ370" s="68"/>
      <c r="BK370" s="68"/>
      <c r="BL370" s="68"/>
      <c r="BM370" s="68"/>
      <c r="BN370" s="507"/>
      <c r="BO370" s="68"/>
      <c r="BP370" s="68"/>
      <c r="BQ370" s="68"/>
      <c r="BR370" s="68"/>
      <c r="BS370" s="68"/>
      <c r="BT370" s="68"/>
      <c r="BU370" s="68"/>
      <c r="BV370" s="68"/>
      <c r="BW370" s="68"/>
      <c r="BX370" s="68"/>
      <c r="BY370" s="475"/>
      <c r="BZ370" s="68"/>
    </row>
    <row r="371" spans="1:85" s="29" customFormat="1" ht="11.25" customHeight="1">
      <c r="A371" s="91"/>
      <c r="B371" s="91"/>
      <c r="C371" s="91"/>
      <c r="D371" s="91"/>
      <c r="E371" s="91"/>
      <c r="F371" s="91"/>
      <c r="G371" s="91"/>
      <c r="H371" s="1349"/>
      <c r="I371" s="783" t="s">
        <v>264</v>
      </c>
      <c r="J371" s="343"/>
      <c r="K371" s="331"/>
      <c r="L371" s="331"/>
      <c r="M371" s="352">
        <v>10.244</v>
      </c>
      <c r="N371" s="352">
        <v>11.696</v>
      </c>
      <c r="O371" s="352">
        <v>13.475</v>
      </c>
      <c r="P371" s="352">
        <v>15.115</v>
      </c>
      <c r="Q371" s="352">
        <v>17.338999999999999</v>
      </c>
      <c r="R371" s="352">
        <v>19.704999999999998</v>
      </c>
      <c r="S371" s="352">
        <v>22.39</v>
      </c>
      <c r="T371" s="352">
        <v>24.817</v>
      </c>
      <c r="U371" s="840">
        <v>27.568999999999999</v>
      </c>
      <c r="V371" s="377">
        <v>30.259</v>
      </c>
      <c r="W371" s="377">
        <v>33.258000000000003</v>
      </c>
      <c r="X371" s="841">
        <v>36</v>
      </c>
      <c r="Y371" s="840">
        <v>39.103000000000002</v>
      </c>
      <c r="Z371" s="377">
        <v>42.526000000000003</v>
      </c>
      <c r="AA371" s="377">
        <v>47.322000000000003</v>
      </c>
      <c r="AB371" s="377">
        <v>52.756999999999998</v>
      </c>
      <c r="AC371" s="1481">
        <v>57</v>
      </c>
      <c r="AD371" s="377">
        <v>61.341999999999999</v>
      </c>
      <c r="AE371" s="377">
        <v>66.591999999999999</v>
      </c>
      <c r="AF371" s="841">
        <v>71.231999999999999</v>
      </c>
      <c r="AG371" s="2479">
        <v>77.346000000000004</v>
      </c>
      <c r="AH371" s="2479">
        <v>83.102000000000004</v>
      </c>
      <c r="AI371" s="2479">
        <v>89.635000000000005</v>
      </c>
      <c r="AJ371" s="2478">
        <v>95.21</v>
      </c>
      <c r="AK371" s="2479">
        <v>101.56399999999999</v>
      </c>
      <c r="AL371" s="2479">
        <v>108.251</v>
      </c>
      <c r="AM371" s="2479">
        <v>115.259</v>
      </c>
      <c r="AN371" s="2478">
        <v>121.02200000000001</v>
      </c>
      <c r="AO371" s="2479">
        <v>127.47799999999999</v>
      </c>
      <c r="AP371" s="2479">
        <v>134.59100000000001</v>
      </c>
      <c r="AQ371" s="2479">
        <v>142.036</v>
      </c>
      <c r="AR371" s="2478">
        <v>148.298</v>
      </c>
      <c r="AS371" s="992">
        <f t="shared" ref="AS371:BD371" si="678">AR371+AS372</f>
        <v>154.56</v>
      </c>
      <c r="AT371" s="991">
        <f t="shared" si="678"/>
        <v>160.822</v>
      </c>
      <c r="AU371" s="991">
        <f t="shared" si="678"/>
        <v>167.029</v>
      </c>
      <c r="AV371" s="993">
        <f t="shared" si="678"/>
        <v>173.18600000000001</v>
      </c>
      <c r="AW371" s="992">
        <f t="shared" si="678"/>
        <v>179.34300000000002</v>
      </c>
      <c r="AX371" s="991">
        <f t="shared" si="678"/>
        <v>185.50000000000003</v>
      </c>
      <c r="AY371" s="991">
        <f t="shared" si="678"/>
        <v>191.60200000000003</v>
      </c>
      <c r="AZ371" s="993">
        <f t="shared" si="678"/>
        <v>197.65400000000002</v>
      </c>
      <c r="BA371" s="992">
        <f t="shared" si="678"/>
        <v>203.70600000000002</v>
      </c>
      <c r="BB371" s="991">
        <f t="shared" si="678"/>
        <v>209.75800000000001</v>
      </c>
      <c r="BC371" s="991">
        <f t="shared" si="678"/>
        <v>215.75500000000002</v>
      </c>
      <c r="BD371" s="993">
        <f t="shared" si="678"/>
        <v>221.70200000000003</v>
      </c>
      <c r="BE371" s="433"/>
      <c r="BF371" s="842">
        <v>0.61099999999999999</v>
      </c>
      <c r="BG371" s="352">
        <v>1.9930000000000001</v>
      </c>
      <c r="BH371" s="352">
        <v>4.8689999999999998</v>
      </c>
      <c r="BI371" s="352">
        <v>8.8339999999999996</v>
      </c>
      <c r="BJ371" s="108">
        <f>P371</f>
        <v>15.115</v>
      </c>
      <c r="BK371" s="108">
        <f>T371</f>
        <v>24.817</v>
      </c>
      <c r="BL371" s="108">
        <f>X371</f>
        <v>36</v>
      </c>
      <c r="BM371" s="108">
        <f>AB371</f>
        <v>52.756999999999998</v>
      </c>
      <c r="BN371" s="709">
        <f>AF371</f>
        <v>71.231999999999999</v>
      </c>
      <c r="BO371" s="108">
        <f>AJ371</f>
        <v>95.21</v>
      </c>
      <c r="BP371" s="428">
        <f>+AN371</f>
        <v>121.02200000000001</v>
      </c>
      <c r="BQ371" s="428">
        <f>AR371</f>
        <v>148.298</v>
      </c>
      <c r="BR371" s="428">
        <f>AV371</f>
        <v>173.18600000000001</v>
      </c>
      <c r="BS371" s="428">
        <f>AZ371</f>
        <v>197.65400000000002</v>
      </c>
      <c r="BT371" s="428">
        <f>BD371</f>
        <v>221.70200000000003</v>
      </c>
      <c r="BU371" s="322">
        <f>BT371+BU373</f>
        <v>241.70200000000003</v>
      </c>
      <c r="BV371" s="322">
        <f>BU371+BV373</f>
        <v>261.702</v>
      </c>
      <c r="BW371" s="322">
        <f>BV371+BW373</f>
        <v>281.702</v>
      </c>
      <c r="BX371" s="322">
        <f>BW371+BX373</f>
        <v>301.702</v>
      </c>
      <c r="BY371" s="734">
        <f>BX371+BY373</f>
        <v>321.702</v>
      </c>
      <c r="BZ371" s="270"/>
      <c r="CA371" s="94">
        <f>IF(ISERROR(RATE(5,,-BI371,BN371)),"NM",(RATE(5,,-BI371,BN371)))</f>
        <v>0.51811107539848111</v>
      </c>
      <c r="CB371" s="94">
        <f t="shared" ref="CB371:CG371" si="679">IF(ISERROR(RATE(3,,-BK371,BN371)),"NM",(RATE(3,,-BK371,BN371)))</f>
        <v>0.42115665309067202</v>
      </c>
      <c r="CC371" s="94">
        <f t="shared" si="679"/>
        <v>0.38290820955299759</v>
      </c>
      <c r="CD371" s="94">
        <f t="shared" si="679"/>
        <v>0.31884799887702153</v>
      </c>
      <c r="CE371" s="94">
        <f t="shared" si="679"/>
        <v>0.27688970434475374</v>
      </c>
      <c r="CF371" s="94">
        <f t="shared" si="679"/>
        <v>0.22070316937808648</v>
      </c>
      <c r="CG371" s="94">
        <f t="shared" si="679"/>
        <v>0.17764328666422446</v>
      </c>
    </row>
    <row r="372" spans="1:85" ht="11.25" customHeight="1">
      <c r="A372" s="86"/>
      <c r="B372" s="86"/>
      <c r="C372" s="86"/>
      <c r="D372" s="86"/>
      <c r="E372" s="86"/>
      <c r="F372" s="86"/>
      <c r="G372" s="86"/>
      <c r="H372" s="328"/>
      <c r="I372" s="2740" t="s">
        <v>687</v>
      </c>
      <c r="J372" s="193"/>
      <c r="K372" s="67"/>
      <c r="L372" s="67"/>
      <c r="M372" s="199"/>
      <c r="N372" s="330">
        <f t="shared" ref="N372:AR373" si="680">N371-M371</f>
        <v>1.452</v>
      </c>
      <c r="O372" s="330">
        <f t="shared" si="680"/>
        <v>1.7789999999999999</v>
      </c>
      <c r="P372" s="330">
        <f t="shared" si="680"/>
        <v>1.6400000000000006</v>
      </c>
      <c r="Q372" s="330">
        <f t="shared" si="680"/>
        <v>2.2239999999999984</v>
      </c>
      <c r="R372" s="330">
        <f t="shared" si="680"/>
        <v>2.3659999999999997</v>
      </c>
      <c r="S372" s="330">
        <f t="shared" si="680"/>
        <v>2.6850000000000023</v>
      </c>
      <c r="T372" s="330">
        <f t="shared" si="680"/>
        <v>2.4269999999999996</v>
      </c>
      <c r="U372" s="803">
        <f t="shared" si="680"/>
        <v>2.7519999999999989</v>
      </c>
      <c r="V372" s="369">
        <f t="shared" si="680"/>
        <v>2.6900000000000013</v>
      </c>
      <c r="W372" s="369">
        <f t="shared" si="680"/>
        <v>2.9990000000000023</v>
      </c>
      <c r="X372" s="808">
        <f t="shared" si="680"/>
        <v>2.7419999999999973</v>
      </c>
      <c r="Y372" s="803">
        <f t="shared" si="680"/>
        <v>3.1030000000000015</v>
      </c>
      <c r="Z372" s="369">
        <f t="shared" si="680"/>
        <v>3.4230000000000018</v>
      </c>
      <c r="AA372" s="369">
        <f t="shared" si="680"/>
        <v>4.7959999999999994</v>
      </c>
      <c r="AB372" s="369">
        <f t="shared" si="680"/>
        <v>5.4349999999999952</v>
      </c>
      <c r="AC372" s="1482">
        <f t="shared" si="680"/>
        <v>4.2430000000000021</v>
      </c>
      <c r="AD372" s="369">
        <f t="shared" si="680"/>
        <v>4.3419999999999987</v>
      </c>
      <c r="AE372" s="369">
        <f t="shared" si="680"/>
        <v>5.25</v>
      </c>
      <c r="AF372" s="808">
        <f t="shared" si="680"/>
        <v>4.6400000000000006</v>
      </c>
      <c r="AG372" s="1482">
        <f t="shared" si="680"/>
        <v>6.1140000000000043</v>
      </c>
      <c r="AH372" s="369">
        <f t="shared" si="680"/>
        <v>5.7560000000000002</v>
      </c>
      <c r="AI372" s="369">
        <f t="shared" si="680"/>
        <v>6.5330000000000013</v>
      </c>
      <c r="AJ372" s="808">
        <f t="shared" si="680"/>
        <v>5.5749999999999886</v>
      </c>
      <c r="AK372" s="369">
        <f t="shared" si="680"/>
        <v>6.3539999999999992</v>
      </c>
      <c r="AL372" s="369">
        <f t="shared" si="680"/>
        <v>6.6870000000000118</v>
      </c>
      <c r="AM372" s="369">
        <f t="shared" si="680"/>
        <v>7.0079999999999956</v>
      </c>
      <c r="AN372" s="808">
        <f t="shared" si="680"/>
        <v>5.7630000000000052</v>
      </c>
      <c r="AO372" s="369">
        <f t="shared" si="680"/>
        <v>6.4559999999999889</v>
      </c>
      <c r="AP372" s="369">
        <f t="shared" si="680"/>
        <v>7.1130000000000138</v>
      </c>
      <c r="AQ372" s="369">
        <f t="shared" si="680"/>
        <v>7.4449999999999932</v>
      </c>
      <c r="AR372" s="808">
        <f t="shared" si="680"/>
        <v>6.2620000000000005</v>
      </c>
      <c r="AS372" s="836">
        <f>+AR372</f>
        <v>6.2620000000000005</v>
      </c>
      <c r="AT372" s="371">
        <f>+AS372</f>
        <v>6.2620000000000005</v>
      </c>
      <c r="AU372" s="371">
        <f>+AT372-0.055</f>
        <v>6.2070000000000007</v>
      </c>
      <c r="AV372" s="828">
        <f>+AU372-0.05</f>
        <v>6.1570000000000009</v>
      </c>
      <c r="AW372" s="836">
        <f>+AV372</f>
        <v>6.1570000000000009</v>
      </c>
      <c r="AX372" s="371">
        <f>+AW372</f>
        <v>6.1570000000000009</v>
      </c>
      <c r="AY372" s="371">
        <f>+AX372-0.055</f>
        <v>6.1020000000000012</v>
      </c>
      <c r="AZ372" s="828">
        <f>+AY372-0.05</f>
        <v>6.0520000000000014</v>
      </c>
      <c r="BA372" s="836">
        <f>+AZ372</f>
        <v>6.0520000000000014</v>
      </c>
      <c r="BB372" s="371">
        <f>+BA372</f>
        <v>6.0520000000000014</v>
      </c>
      <c r="BC372" s="371">
        <f>+BB372-0.055</f>
        <v>5.9970000000000017</v>
      </c>
      <c r="BD372" s="828">
        <f>+BC372-0.05</f>
        <v>5.9470000000000018</v>
      </c>
      <c r="BE372" s="1210"/>
      <c r="BF372" s="790"/>
      <c r="BG372" s="330"/>
      <c r="BH372" s="330"/>
      <c r="BI372" s="336"/>
      <c r="BJ372" s="336"/>
      <c r="BK372" s="336"/>
      <c r="BL372" s="336"/>
      <c r="BM372" s="336"/>
      <c r="BN372" s="626"/>
      <c r="BO372" s="336"/>
      <c r="BP372" s="106"/>
      <c r="BQ372" s="106"/>
      <c r="BR372" s="106"/>
      <c r="BS372" s="106"/>
      <c r="BT372" s="106"/>
      <c r="BV372" s="106"/>
      <c r="BW372" s="106"/>
      <c r="BX372" s="106"/>
      <c r="BY372" s="830"/>
      <c r="BZ372" s="288"/>
      <c r="CA372" s="202"/>
      <c r="CB372" s="203"/>
      <c r="CC372" s="203"/>
      <c r="CD372" s="203"/>
      <c r="CE372" s="203"/>
      <c r="CF372" s="203"/>
      <c r="CG372" s="203"/>
    </row>
    <row r="373" spans="1:85" ht="11.25" customHeight="1">
      <c r="A373" s="36"/>
      <c r="B373" s="36"/>
      <c r="C373" s="36"/>
      <c r="D373" s="36"/>
      <c r="E373" s="36"/>
      <c r="F373" s="36"/>
      <c r="G373" s="36"/>
      <c r="I373" s="796" t="s">
        <v>371</v>
      </c>
      <c r="J373" s="342"/>
      <c r="K373" s="336"/>
      <c r="L373" s="336"/>
      <c r="M373" s="336"/>
      <c r="N373" s="336"/>
      <c r="O373" s="336"/>
      <c r="P373" s="336"/>
      <c r="Q373" s="336"/>
      <c r="R373" s="336"/>
      <c r="S373" s="336"/>
      <c r="T373" s="336"/>
      <c r="U373" s="626"/>
      <c r="V373" s="336"/>
      <c r="W373" s="336">
        <f>W372-V372</f>
        <v>0.30900000000000105</v>
      </c>
      <c r="X373" s="613"/>
      <c r="Y373" s="336"/>
      <c r="Z373" s="336"/>
      <c r="AA373" s="336">
        <f t="shared" si="680"/>
        <v>1.3729999999999976</v>
      </c>
      <c r="AB373" s="336">
        <f t="shared" si="680"/>
        <v>0.63899999999999579</v>
      </c>
      <c r="AC373" s="626">
        <f t="shared" si="680"/>
        <v>-1.1919999999999931</v>
      </c>
      <c r="AD373" s="336">
        <f t="shared" si="680"/>
        <v>9.8999999999996646E-2</v>
      </c>
      <c r="AE373" s="336">
        <f t="shared" si="680"/>
        <v>0.90800000000000125</v>
      </c>
      <c r="AF373" s="613">
        <f t="shared" si="680"/>
        <v>-0.60999999999999943</v>
      </c>
      <c r="AG373" s="626">
        <f t="shared" si="680"/>
        <v>1.4740000000000038</v>
      </c>
      <c r="AH373" s="336">
        <f t="shared" ref="AH373:AR373" si="681">AH372-AG372</f>
        <v>-0.35800000000000409</v>
      </c>
      <c r="AI373" s="336">
        <f t="shared" si="681"/>
        <v>0.77700000000000102</v>
      </c>
      <c r="AJ373" s="613">
        <f t="shared" si="681"/>
        <v>-0.95800000000001262</v>
      </c>
      <c r="AK373" s="336">
        <f t="shared" si="681"/>
        <v>0.77900000000001057</v>
      </c>
      <c r="AL373" s="336">
        <f t="shared" si="681"/>
        <v>0.33300000000001262</v>
      </c>
      <c r="AM373" s="336">
        <f t="shared" si="681"/>
        <v>0.32099999999998374</v>
      </c>
      <c r="AN373" s="613">
        <f t="shared" si="681"/>
        <v>-1.2449999999999903</v>
      </c>
      <c r="AO373" s="336">
        <f t="shared" si="681"/>
        <v>0.69299999999998363</v>
      </c>
      <c r="AP373" s="336">
        <f t="shared" si="681"/>
        <v>0.6570000000000249</v>
      </c>
      <c r="AQ373" s="336">
        <f t="shared" si="681"/>
        <v>0.33199999999997942</v>
      </c>
      <c r="AR373" s="613">
        <f t="shared" si="681"/>
        <v>-1.1829999999999927</v>
      </c>
      <c r="AS373" s="336">
        <f t="shared" ref="AS373:AV373" si="682">AS372-AR372</f>
        <v>0</v>
      </c>
      <c r="AT373" s="336">
        <f t="shared" si="682"/>
        <v>0</v>
      </c>
      <c r="AU373" s="336">
        <f t="shared" si="682"/>
        <v>-5.4999999999999716E-2</v>
      </c>
      <c r="AV373" s="613">
        <f t="shared" si="682"/>
        <v>-4.9999999999999822E-2</v>
      </c>
      <c r="AW373" s="336">
        <f t="shared" ref="AW373:BD373" si="683">AW372-AV372</f>
        <v>0</v>
      </c>
      <c r="AX373" s="336">
        <f t="shared" si="683"/>
        <v>0</v>
      </c>
      <c r="AY373" s="336">
        <f t="shared" si="683"/>
        <v>-5.4999999999999716E-2</v>
      </c>
      <c r="AZ373" s="613">
        <f t="shared" si="683"/>
        <v>-4.9999999999999822E-2</v>
      </c>
      <c r="BA373" s="336">
        <f t="shared" si="683"/>
        <v>0</v>
      </c>
      <c r="BB373" s="336">
        <f t="shared" si="683"/>
        <v>0</v>
      </c>
      <c r="BC373" s="336">
        <f t="shared" si="683"/>
        <v>-5.4999999999999716E-2</v>
      </c>
      <c r="BD373" s="613">
        <f t="shared" si="683"/>
        <v>-4.9999999999999822E-2</v>
      </c>
      <c r="BE373" s="110"/>
      <c r="BF373" s="626"/>
      <c r="BG373" s="336">
        <f t="shared" ref="BG373:BM373" si="684">BG371-BF371</f>
        <v>1.3820000000000001</v>
      </c>
      <c r="BH373" s="336">
        <f t="shared" si="684"/>
        <v>2.8759999999999994</v>
      </c>
      <c r="BI373" s="336">
        <f t="shared" si="684"/>
        <v>3.9649999999999999</v>
      </c>
      <c r="BJ373" s="336">
        <f t="shared" si="684"/>
        <v>6.2810000000000006</v>
      </c>
      <c r="BK373" s="336">
        <f t="shared" si="684"/>
        <v>9.702</v>
      </c>
      <c r="BL373" s="336">
        <f t="shared" si="684"/>
        <v>11.183</v>
      </c>
      <c r="BM373" s="336">
        <f t="shared" si="684"/>
        <v>16.756999999999998</v>
      </c>
      <c r="BN373" s="626">
        <f t="shared" ref="BN373:BT373" si="685">BN371-BM371</f>
        <v>18.475000000000001</v>
      </c>
      <c r="BO373" s="336">
        <f t="shared" si="685"/>
        <v>23.977999999999994</v>
      </c>
      <c r="BP373" s="336">
        <f t="shared" si="685"/>
        <v>25.812000000000012</v>
      </c>
      <c r="BQ373" s="336">
        <f t="shared" si="685"/>
        <v>27.275999999999996</v>
      </c>
      <c r="BR373" s="336">
        <f t="shared" si="685"/>
        <v>24.888000000000005</v>
      </c>
      <c r="BS373" s="336">
        <f t="shared" si="685"/>
        <v>24.468000000000018</v>
      </c>
      <c r="BT373" s="336">
        <f t="shared" si="685"/>
        <v>24.048000000000002</v>
      </c>
      <c r="BU373" s="371">
        <f>MIN(BT373+2,20)</f>
        <v>20</v>
      </c>
      <c r="BV373" s="371">
        <f>MIN(BU373+2,20)</f>
        <v>20</v>
      </c>
      <c r="BW373" s="371">
        <f>MIN(BV373+2,20)</f>
        <v>20</v>
      </c>
      <c r="BX373" s="371">
        <f>MIN(BW373+2,20)</f>
        <v>20</v>
      </c>
      <c r="BY373" s="828">
        <f>MIN(BX373+2,20)</f>
        <v>20</v>
      </c>
      <c r="BZ373" s="110"/>
      <c r="CA373" s="36"/>
      <c r="CB373" s="36"/>
      <c r="CC373" s="36"/>
      <c r="CD373" s="36"/>
      <c r="CE373" s="36"/>
      <c r="CF373" s="36"/>
      <c r="CG373" s="36"/>
    </row>
    <row r="374" spans="1:85" ht="11.25" customHeight="1">
      <c r="A374" s="86"/>
      <c r="B374" s="86"/>
      <c r="C374" s="86"/>
      <c r="D374" s="86"/>
      <c r="E374" s="86"/>
      <c r="F374" s="86"/>
      <c r="G374" s="86"/>
      <c r="H374" s="328"/>
      <c r="I374" s="770" t="s">
        <v>132</v>
      </c>
      <c r="J374" s="347"/>
      <c r="K374" s="67"/>
      <c r="L374" s="67"/>
      <c r="M374" s="198" t="str">
        <f t="shared" ref="M374:V374" si="686">IF(ISERROR(M371/I371-1),"NA",(IF(M371&lt;=0,"NM",M371/I371-1)))</f>
        <v>NA</v>
      </c>
      <c r="N374" s="198" t="str">
        <f t="shared" si="686"/>
        <v>NA</v>
      </c>
      <c r="O374" s="198" t="str">
        <f t="shared" si="686"/>
        <v>NA</v>
      </c>
      <c r="P374" s="198" t="str">
        <f t="shared" si="686"/>
        <v>NA</v>
      </c>
      <c r="Q374" s="198">
        <f t="shared" si="686"/>
        <v>0.6926005466614602</v>
      </c>
      <c r="R374" s="198">
        <f t="shared" si="686"/>
        <v>0.68476402188782481</v>
      </c>
      <c r="S374" s="198">
        <f t="shared" si="686"/>
        <v>0.66159554730983317</v>
      </c>
      <c r="T374" s="198">
        <f t="shared" si="686"/>
        <v>0.64187892821700299</v>
      </c>
      <c r="U374" s="751">
        <f t="shared" si="686"/>
        <v>0.58999942326547106</v>
      </c>
      <c r="V374" s="198">
        <f t="shared" si="686"/>
        <v>0.53560010149708215</v>
      </c>
      <c r="W374" s="198">
        <f t="shared" ref="W374:AB374" si="687">IF(ISERROR(W371/S371-1),"NA",(IF(W371&lt;=0,"NM",W371/S371-1)))</f>
        <v>0.48539526574363556</v>
      </c>
      <c r="X374" s="752">
        <f t="shared" si="687"/>
        <v>0.45061852762219434</v>
      </c>
      <c r="Y374" s="751">
        <f t="shared" si="687"/>
        <v>0.41836845732525663</v>
      </c>
      <c r="Z374" s="198">
        <f t="shared" si="687"/>
        <v>0.40540004626722648</v>
      </c>
      <c r="AA374" s="198">
        <f t="shared" si="687"/>
        <v>0.42287569907992051</v>
      </c>
      <c r="AB374" s="198">
        <f t="shared" si="687"/>
        <v>0.46547222222222207</v>
      </c>
      <c r="AC374" s="751">
        <f t="shared" ref="AC374:AJ374" si="688">IF(ISERROR(AC371/Y371-1),"NA",(IF(AC371&lt;=0,"NM",AC371/Y371-1)))</f>
        <v>0.45768866838861455</v>
      </c>
      <c r="AD374" s="198">
        <f t="shared" si="688"/>
        <v>0.44245873112919143</v>
      </c>
      <c r="AE374" s="198">
        <f t="shared" si="688"/>
        <v>0.4072101770846539</v>
      </c>
      <c r="AF374" s="752">
        <f t="shared" si="688"/>
        <v>0.35019049604791785</v>
      </c>
      <c r="AG374" s="751">
        <f t="shared" si="688"/>
        <v>0.35694736842105268</v>
      </c>
      <c r="AH374" s="198">
        <f t="shared" si="688"/>
        <v>0.35473248345342512</v>
      </c>
      <c r="AI374" s="198">
        <f t="shared" si="688"/>
        <v>0.34603255646323894</v>
      </c>
      <c r="AJ374" s="752">
        <f t="shared" si="688"/>
        <v>0.33661837376460002</v>
      </c>
      <c r="AK374" s="751">
        <f t="shared" ref="AK374:AR374" si="689">IF(ISERROR(AK371/AG371-1),"NA",(IF(AK371&lt;=0,"NM",AK371/AG371-1)))</f>
        <v>0.313112507434127</v>
      </c>
      <c r="AL374" s="198">
        <f t="shared" si="689"/>
        <v>0.30262809559336712</v>
      </c>
      <c r="AM374" s="198">
        <f t="shared" si="689"/>
        <v>0.2858704747029619</v>
      </c>
      <c r="AN374" s="752">
        <f t="shared" si="689"/>
        <v>0.27110597626299771</v>
      </c>
      <c r="AO374" s="751">
        <f t="shared" si="689"/>
        <v>0.25514946240793979</v>
      </c>
      <c r="AP374" s="198">
        <f t="shared" si="689"/>
        <v>0.24332338731281933</v>
      </c>
      <c r="AQ374" s="198">
        <f t="shared" si="689"/>
        <v>0.23232025264838319</v>
      </c>
      <c r="AR374" s="752">
        <f t="shared" si="689"/>
        <v>0.22538050932888232</v>
      </c>
      <c r="AS374" s="751">
        <f t="shared" ref="AS374:BD374" si="690">IF(ISERROR(AS371/AO371-1),"NA",(IF(AS371&lt;=0,"NM",AS371/AO371-1)))</f>
        <v>0.2124445002274904</v>
      </c>
      <c r="AT374" s="198">
        <f t="shared" si="690"/>
        <v>0.19489416082798994</v>
      </c>
      <c r="AU374" s="198">
        <f t="shared" si="690"/>
        <v>0.17596243205947792</v>
      </c>
      <c r="AV374" s="752">
        <f t="shared" si="690"/>
        <v>0.16782424577539823</v>
      </c>
      <c r="AW374" s="751">
        <f t="shared" si="690"/>
        <v>0.16034549689441002</v>
      </c>
      <c r="AX374" s="198">
        <f t="shared" si="690"/>
        <v>0.15344915496636058</v>
      </c>
      <c r="AY374" s="198">
        <f t="shared" si="690"/>
        <v>0.14711816510905318</v>
      </c>
      <c r="AZ374" s="752">
        <f t="shared" si="690"/>
        <v>0.14128162784520693</v>
      </c>
      <c r="BA374" s="751">
        <f t="shared" si="690"/>
        <v>0.13584583730616751</v>
      </c>
      <c r="BB374" s="198">
        <f t="shared" si="690"/>
        <v>0.13077088948787052</v>
      </c>
      <c r="BC374" s="198">
        <f t="shared" si="690"/>
        <v>0.12605818310873573</v>
      </c>
      <c r="BD374" s="752">
        <f t="shared" si="690"/>
        <v>0.12166715573679254</v>
      </c>
      <c r="BE374" s="264"/>
      <c r="BF374" s="449"/>
      <c r="BG374" s="199"/>
      <c r="BH374" s="199"/>
      <c r="BI374" s="199">
        <f t="shared" ref="BI374:BR374" si="691">IF(ISERROR(BI371/BH371-1),"NA",(IF(BI371&lt;=0,"NM",BI371/BH371-1)))</f>
        <v>0.81433559252413223</v>
      </c>
      <c r="BJ374" s="199">
        <f t="shared" si="691"/>
        <v>0.71100294317410007</v>
      </c>
      <c r="BK374" s="199">
        <f t="shared" si="691"/>
        <v>0.64187892821700299</v>
      </c>
      <c r="BL374" s="199">
        <f t="shared" si="691"/>
        <v>0.45061852762219434</v>
      </c>
      <c r="BM374" s="199">
        <f t="shared" si="691"/>
        <v>0.46547222222222207</v>
      </c>
      <c r="BN374" s="449">
        <f t="shared" si="691"/>
        <v>0.35019049604791785</v>
      </c>
      <c r="BO374" s="199">
        <f t="shared" si="691"/>
        <v>0.33661837376460002</v>
      </c>
      <c r="BP374" s="199">
        <f t="shared" si="691"/>
        <v>0.27110597626299771</v>
      </c>
      <c r="BQ374" s="199">
        <f t="shared" si="691"/>
        <v>0.22538050932888232</v>
      </c>
      <c r="BR374" s="199">
        <f t="shared" si="691"/>
        <v>0.16782424577539823</v>
      </c>
      <c r="BS374" s="199">
        <f t="shared" ref="BS374:BY374" si="692">IF(ISERROR(BS371/BR371-1),"NA",(IF(BS371&lt;=0,"NM",BS371/BR371-1)))</f>
        <v>0.14128162784520693</v>
      </c>
      <c r="BT374" s="199">
        <f t="shared" si="692"/>
        <v>0.12166715573679254</v>
      </c>
      <c r="BU374" s="199">
        <f t="shared" si="692"/>
        <v>9.0211184382639642E-2</v>
      </c>
      <c r="BV374" s="199">
        <f t="shared" si="692"/>
        <v>8.2746522577388459E-2</v>
      </c>
      <c r="BW374" s="199">
        <f t="shared" si="692"/>
        <v>7.6422801507057603E-2</v>
      </c>
      <c r="BX374" s="199">
        <f t="shared" si="692"/>
        <v>7.0997011025835777E-2</v>
      </c>
      <c r="BY374" s="620">
        <f t="shared" si="692"/>
        <v>6.6290578120131727E-2</v>
      </c>
      <c r="BZ374" s="265"/>
      <c r="CA374" s="202"/>
      <c r="CB374" s="203"/>
      <c r="CC374" s="203"/>
      <c r="CD374" s="203"/>
      <c r="CE374" s="203"/>
      <c r="CF374" s="203"/>
      <c r="CG374" s="203"/>
    </row>
    <row r="375" spans="1:85" ht="11.25" customHeight="1">
      <c r="A375" s="86"/>
      <c r="B375" s="86"/>
      <c r="C375" s="86"/>
      <c r="D375" s="86"/>
      <c r="E375" s="86"/>
      <c r="F375" s="86"/>
      <c r="G375" s="86"/>
      <c r="H375" s="328"/>
      <c r="I375" s="770" t="s">
        <v>146</v>
      </c>
      <c r="J375" s="347"/>
      <c r="K375" s="67"/>
      <c r="L375" s="67"/>
      <c r="M375" s="198" t="str">
        <f t="shared" ref="M375:V375" si="693">IF(ISERROR(M371/L371-1),"NA",(IF(M371&lt;=0,"NM",M371/L371-1)))</f>
        <v>NA</v>
      </c>
      <c r="N375" s="198">
        <f t="shared" si="693"/>
        <v>0.14174150722374068</v>
      </c>
      <c r="O375" s="198">
        <f t="shared" si="693"/>
        <v>0.15210328317373456</v>
      </c>
      <c r="P375" s="198">
        <f t="shared" si="693"/>
        <v>0.12170686456400737</v>
      </c>
      <c r="Q375" s="198">
        <f t="shared" si="693"/>
        <v>0.14713860403572609</v>
      </c>
      <c r="R375" s="198">
        <f t="shared" si="693"/>
        <v>0.13645538958417447</v>
      </c>
      <c r="S375" s="198">
        <f t="shared" si="693"/>
        <v>0.13625983252981499</v>
      </c>
      <c r="T375" s="198">
        <f t="shared" si="693"/>
        <v>0.1083966056275123</v>
      </c>
      <c r="U375" s="751">
        <f t="shared" si="693"/>
        <v>0.11089172744489662</v>
      </c>
      <c r="V375" s="198">
        <f t="shared" si="693"/>
        <v>9.7573361384163393E-2</v>
      </c>
      <c r="W375" s="198">
        <f t="shared" ref="W375:AB375" si="694">IF(ISERROR(W371/V371-1),"NA",(IF(W371&lt;=0,"NM",W371/V371-1)))</f>
        <v>9.9111008295052816E-2</v>
      </c>
      <c r="X375" s="752">
        <f t="shared" si="694"/>
        <v>8.2446328702868499E-2</v>
      </c>
      <c r="Y375" s="751">
        <f t="shared" si="694"/>
        <v>8.6194444444444462E-2</v>
      </c>
      <c r="Z375" s="198">
        <f t="shared" si="694"/>
        <v>8.7538040559547836E-2</v>
      </c>
      <c r="AA375" s="198">
        <f t="shared" si="694"/>
        <v>0.1127780651836523</v>
      </c>
      <c r="AB375" s="198">
        <f t="shared" si="694"/>
        <v>0.11485144330332608</v>
      </c>
      <c r="AC375" s="751">
        <f t="shared" ref="AC375:AJ375" si="695">IF(ISERROR(AC371/AB371-1),"NA",(IF(AC371&lt;=0,"NM",AC371/AB371-1)))</f>
        <v>8.0425346399529918E-2</v>
      </c>
      <c r="AD375" s="198">
        <f t="shared" si="695"/>
        <v>7.617543859649123E-2</v>
      </c>
      <c r="AE375" s="198">
        <f t="shared" si="695"/>
        <v>8.5585732450849328E-2</v>
      </c>
      <c r="AF375" s="752">
        <f t="shared" si="695"/>
        <v>6.967803940413253E-2</v>
      </c>
      <c r="AG375" s="751">
        <f t="shared" si="695"/>
        <v>8.5832210242587692E-2</v>
      </c>
      <c r="AH375" s="198">
        <f t="shared" si="695"/>
        <v>7.4418845189150096E-2</v>
      </c>
      <c r="AI375" s="198">
        <f t="shared" si="695"/>
        <v>7.8614233111116372E-2</v>
      </c>
      <c r="AJ375" s="752">
        <f t="shared" si="695"/>
        <v>6.219668656216859E-2</v>
      </c>
      <c r="AK375" s="751">
        <f t="shared" ref="AK375:AR375" si="696">IF(ISERROR(AK371/AJ371-1),"NA",(IF(AK371&lt;=0,"NM",AK371/AJ371-1)))</f>
        <v>6.6736687322760169E-2</v>
      </c>
      <c r="AL375" s="198">
        <f t="shared" si="696"/>
        <v>6.5840258359261217E-2</v>
      </c>
      <c r="AM375" s="198">
        <f t="shared" si="696"/>
        <v>6.4738431977533706E-2</v>
      </c>
      <c r="AN375" s="752">
        <f t="shared" si="696"/>
        <v>5.000043380560304E-2</v>
      </c>
      <c r="AO375" s="751">
        <f t="shared" si="696"/>
        <v>5.3345672687610479E-2</v>
      </c>
      <c r="AP375" s="198">
        <f t="shared" si="696"/>
        <v>5.5797863160702343E-2</v>
      </c>
      <c r="AQ375" s="198">
        <f t="shared" si="696"/>
        <v>5.5315734335876776E-2</v>
      </c>
      <c r="AR375" s="752">
        <f t="shared" si="696"/>
        <v>4.4087414458306329E-2</v>
      </c>
      <c r="AS375" s="751">
        <f t="shared" ref="AS375:BD375" si="697">IF(ISERROR(AS371/AR371-1),"NA",(IF(AS371&lt;=0,"NM",AS371/AR371-1)))</f>
        <v>4.2225788614816073E-2</v>
      </c>
      <c r="AT375" s="198">
        <f t="shared" si="697"/>
        <v>4.0515010351966918E-2</v>
      </c>
      <c r="AU375" s="198">
        <f t="shared" si="697"/>
        <v>3.8595465794480921E-2</v>
      </c>
      <c r="AV375" s="752">
        <f t="shared" si="697"/>
        <v>3.6861862311335258E-2</v>
      </c>
      <c r="AW375" s="751">
        <f t="shared" si="697"/>
        <v>3.5551372512789836E-2</v>
      </c>
      <c r="AX375" s="198">
        <f t="shared" si="697"/>
        <v>3.4330863206258444E-2</v>
      </c>
      <c r="AY375" s="198">
        <f t="shared" si="697"/>
        <v>3.289487870619956E-2</v>
      </c>
      <c r="AZ375" s="752">
        <f t="shared" si="697"/>
        <v>3.1586309119946421E-2</v>
      </c>
      <c r="BA375" s="751">
        <f t="shared" si="697"/>
        <v>3.0619162779402354E-2</v>
      </c>
      <c r="BB375" s="198">
        <f t="shared" si="697"/>
        <v>2.9709483274915849E-2</v>
      </c>
      <c r="BC375" s="198">
        <f t="shared" si="697"/>
        <v>2.8590089531746132E-2</v>
      </c>
      <c r="BD375" s="752">
        <f t="shared" si="697"/>
        <v>2.7563671757317332E-2</v>
      </c>
      <c r="BE375" s="264"/>
      <c r="BF375" s="631"/>
      <c r="BG375" s="67"/>
      <c r="BH375" s="67"/>
      <c r="BI375" s="67"/>
      <c r="BJ375" s="67"/>
      <c r="BK375" s="67"/>
      <c r="BL375" s="67"/>
      <c r="BM375" s="67"/>
      <c r="BN375" s="631"/>
      <c r="BO375" s="67"/>
      <c r="BP375" s="351"/>
      <c r="BQ375" s="351"/>
      <c r="BR375" s="351"/>
      <c r="BS375" s="351"/>
      <c r="BT375" s="351"/>
      <c r="BU375" s="351"/>
      <c r="BV375" s="351"/>
      <c r="BW375" s="351"/>
      <c r="BX375" s="351"/>
      <c r="BY375" s="809"/>
      <c r="BZ375" s="280"/>
      <c r="CA375" s="202"/>
      <c r="CB375" s="203"/>
      <c r="CC375" s="203"/>
      <c r="CD375" s="203"/>
      <c r="CE375" s="203"/>
      <c r="CF375" s="203"/>
      <c r="CG375" s="203"/>
    </row>
    <row r="376" spans="1:85" ht="11.25" hidden="1" customHeight="1" outlineLevel="1">
      <c r="A376" s="86"/>
      <c r="B376" s="86"/>
      <c r="C376" s="86"/>
      <c r="D376" s="86"/>
      <c r="E376" s="86"/>
      <c r="F376" s="86"/>
      <c r="G376" s="86"/>
      <c r="H376" s="328"/>
      <c r="I376" s="770"/>
      <c r="J376" s="347"/>
      <c r="K376" s="67"/>
      <c r="L376" s="67"/>
      <c r="M376" s="198"/>
      <c r="N376" s="198"/>
      <c r="O376" s="198"/>
      <c r="P376" s="198"/>
      <c r="Q376" s="198"/>
      <c r="R376" s="198"/>
      <c r="S376" s="198"/>
      <c r="T376" s="198"/>
      <c r="U376" s="751"/>
      <c r="V376" s="198"/>
      <c r="W376" s="198"/>
      <c r="X376" s="752"/>
      <c r="Y376" s="751"/>
      <c r="Z376" s="198"/>
      <c r="AA376" s="198"/>
      <c r="AB376" s="198"/>
      <c r="AC376" s="751"/>
      <c r="AD376" s="198"/>
      <c r="AE376" s="198"/>
      <c r="AF376" s="752"/>
      <c r="AG376" s="751"/>
      <c r="AH376" s="198"/>
      <c r="AI376" s="198"/>
      <c r="AJ376" s="752"/>
      <c r="AK376" s="751"/>
      <c r="AL376" s="198"/>
      <c r="AM376" s="198"/>
      <c r="AN376" s="752"/>
      <c r="AO376" s="751"/>
      <c r="AP376" s="198"/>
      <c r="AQ376" s="198"/>
      <c r="AR376" s="752"/>
      <c r="AS376" s="751"/>
      <c r="AT376" s="198"/>
      <c r="AU376" s="198"/>
      <c r="AV376" s="752"/>
      <c r="AW376" s="751"/>
      <c r="AX376" s="198"/>
      <c r="AY376" s="198"/>
      <c r="AZ376" s="752"/>
      <c r="BA376" s="751"/>
      <c r="BB376" s="198"/>
      <c r="BC376" s="198"/>
      <c r="BD376" s="752"/>
      <c r="BE376" s="264"/>
      <c r="BF376" s="631"/>
      <c r="BG376" s="67"/>
      <c r="BH376" s="67"/>
      <c r="BI376" s="67"/>
      <c r="BJ376" s="67"/>
      <c r="BK376" s="67"/>
      <c r="BL376" s="67"/>
      <c r="BM376" s="67"/>
      <c r="BN376" s="631"/>
      <c r="BO376" s="67"/>
      <c r="BP376" s="351"/>
      <c r="BQ376" s="351"/>
      <c r="BR376" s="351"/>
      <c r="BS376" s="351"/>
      <c r="BT376" s="351"/>
      <c r="BU376" s="351"/>
      <c r="BV376" s="351"/>
      <c r="BW376" s="351"/>
      <c r="BX376" s="351"/>
      <c r="BY376" s="809"/>
      <c r="BZ376" s="280"/>
      <c r="CA376" s="202"/>
      <c r="CB376" s="203"/>
      <c r="CC376" s="203"/>
      <c r="CD376" s="203"/>
      <c r="CE376" s="203"/>
      <c r="CF376" s="203"/>
      <c r="CG376" s="203"/>
    </row>
    <row r="377" spans="1:85" s="29" customFormat="1" ht="11.25" hidden="1" customHeight="1" outlineLevel="1">
      <c r="A377" s="91"/>
      <c r="B377" s="91"/>
      <c r="C377" s="91"/>
      <c r="D377" s="91"/>
      <c r="E377" s="91"/>
      <c r="F377" s="91"/>
      <c r="G377" s="91"/>
      <c r="H377" s="1349"/>
      <c r="I377" s="787" t="s">
        <v>289</v>
      </c>
      <c r="J377" s="343"/>
      <c r="K377" s="331"/>
      <c r="L377" s="331"/>
      <c r="M377" s="352"/>
      <c r="N377" s="352"/>
      <c r="O377" s="352"/>
      <c r="P377" s="352"/>
      <c r="Q377" s="352"/>
      <c r="R377" s="352"/>
      <c r="S377" s="352"/>
      <c r="T377" s="352">
        <v>18</v>
      </c>
      <c r="U377" s="840">
        <v>19.899999999999999</v>
      </c>
      <c r="V377" s="377">
        <v>21.6</v>
      </c>
      <c r="W377" s="377">
        <v>23.4</v>
      </c>
      <c r="X377" s="841">
        <f>33.3-X382</f>
        <v>25.199999999999996</v>
      </c>
      <c r="Y377" s="840">
        <f>36.2-Y382</f>
        <v>27.200000000000003</v>
      </c>
      <c r="Z377" s="377">
        <f>39.35-Z382</f>
        <v>29.35</v>
      </c>
      <c r="AA377" s="377">
        <f>43.9-AA382</f>
        <v>32.9</v>
      </c>
      <c r="AB377" s="377">
        <f>49.1-AB382</f>
        <v>36.5</v>
      </c>
      <c r="AC377" s="1481">
        <f>52.9-AC382</f>
        <v>39.4</v>
      </c>
      <c r="AD377" s="377">
        <f>57-AD382</f>
        <v>42.5</v>
      </c>
      <c r="AE377" s="377">
        <f>62-AE382</f>
        <v>46.7</v>
      </c>
      <c r="AF377" s="734">
        <f t="shared" ref="AF377:AK377" si="698">AF371-AF382-AF387</f>
        <v>49.653060600315385</v>
      </c>
      <c r="AG377" s="750">
        <f t="shared" si="698"/>
        <v>54.078258077701129</v>
      </c>
      <c r="AH377" s="322">
        <f t="shared" si="698"/>
        <v>58.014938085865488</v>
      </c>
      <c r="AI377" s="322">
        <f t="shared" si="698"/>
        <v>62.623068358201138</v>
      </c>
      <c r="AJ377" s="734">
        <f t="shared" si="698"/>
        <v>66.49287861236931</v>
      </c>
      <c r="AK377" s="750">
        <f t="shared" si="698"/>
        <v>70.943800394941036</v>
      </c>
      <c r="AL377" s="322">
        <f t="shared" ref="AL377:AQ377" si="699">AL371-AL382-AL387</f>
        <v>75.607613504069533</v>
      </c>
      <c r="AM377" s="322">
        <f t="shared" si="699"/>
        <v>80.506135646091352</v>
      </c>
      <c r="AN377" s="734">
        <f t="shared" si="699"/>
        <v>84.529480357525983</v>
      </c>
      <c r="AO377" s="750">
        <f t="shared" si="699"/>
        <v>89.039814112091378</v>
      </c>
      <c r="AP377" s="322">
        <f t="shared" si="699"/>
        <v>94.007490251229882</v>
      </c>
      <c r="AQ377" s="322">
        <f t="shared" si="699"/>
        <v>99.207876576147243</v>
      </c>
      <c r="AR377" s="734">
        <f t="shared" ref="AR377" si="700">AR371-AR382-AR387</f>
        <v>103.58154240587545</v>
      </c>
      <c r="AS377" s="750">
        <f t="shared" ref="AS377:AV377" si="701">AS371-AS382-AS387</f>
        <v>107.955434420166</v>
      </c>
      <c r="AT377" s="322">
        <f t="shared" si="701"/>
        <v>112.32920849858989</v>
      </c>
      <c r="AU377" s="322">
        <f t="shared" si="701"/>
        <v>116.66462815542236</v>
      </c>
      <c r="AV377" s="734">
        <f t="shared" si="701"/>
        <v>120.96509245197454</v>
      </c>
      <c r="AW377" s="750">
        <f t="shared" ref="AW377:BD377" si="702">AW371-AW382-AW387</f>
        <v>125.26557329476884</v>
      </c>
      <c r="AX377" s="322">
        <f t="shared" si="702"/>
        <v>129.56604556679403</v>
      </c>
      <c r="AY377" s="322">
        <f t="shared" si="702"/>
        <v>133.82810646392605</v>
      </c>
      <c r="AZ377" s="734">
        <f t="shared" si="702"/>
        <v>138.05524160736653</v>
      </c>
      <c r="BA377" s="750">
        <f t="shared" si="702"/>
        <v>142.28237793301579</v>
      </c>
      <c r="BB377" s="322">
        <f t="shared" si="702"/>
        <v>146.50951364927491</v>
      </c>
      <c r="BC377" s="322">
        <f t="shared" si="702"/>
        <v>150.69823387040873</v>
      </c>
      <c r="BD377" s="734">
        <f t="shared" si="702"/>
        <v>154.85203046739852</v>
      </c>
      <c r="BE377" s="428"/>
      <c r="BF377" s="842"/>
      <c r="BG377" s="352"/>
      <c r="BH377" s="352"/>
      <c r="BI377" s="352"/>
      <c r="BJ377" s="108"/>
      <c r="BK377" s="108">
        <f>T377</f>
        <v>18</v>
      </c>
      <c r="BL377" s="108">
        <f>X377</f>
        <v>25.199999999999996</v>
      </c>
      <c r="BM377" s="108">
        <f>AB377</f>
        <v>36.5</v>
      </c>
      <c r="BN377" s="709">
        <f>AF377</f>
        <v>49.653060600315385</v>
      </c>
      <c r="BO377" s="108">
        <f>AJ377</f>
        <v>66.49287861236931</v>
      </c>
      <c r="BP377" s="428">
        <f>+AN377</f>
        <v>84.529480357525983</v>
      </c>
      <c r="BQ377" s="428">
        <f>AR377</f>
        <v>103.58154240587545</v>
      </c>
      <c r="BR377" s="428">
        <f>AV377</f>
        <v>120.96509245197454</v>
      </c>
      <c r="BS377" s="428">
        <f>AZ377</f>
        <v>138.05524160736653</v>
      </c>
      <c r="BT377" s="428">
        <f>BD377</f>
        <v>154.85203046739852</v>
      </c>
      <c r="BU377" s="322">
        <f>BU$371*BU380</f>
        <v>168.82141553991914</v>
      </c>
      <c r="BV377" s="322">
        <f>BV$371*BV380</f>
        <v>182.79080061243977</v>
      </c>
      <c r="BW377" s="322">
        <f>BW$371*BW380</f>
        <v>196.76018568496039</v>
      </c>
      <c r="BX377" s="322">
        <f>BX$371*BX380</f>
        <v>210.72957075748101</v>
      </c>
      <c r="BY377" s="734">
        <f>BY$371*BY380</f>
        <v>224.69895583000167</v>
      </c>
      <c r="BZ377" s="278"/>
      <c r="CA377" s="94" t="str">
        <f>IF(ISERROR(RATE(5,,-BI377,BN377)),"NM",(RATE(5,,-BI377,BN377)))</f>
        <v>NM</v>
      </c>
      <c r="CB377" s="94">
        <f t="shared" ref="CB377:CG377" si="703">IF(ISERROR(RATE(3,,-BK377,BN377)),"NM",(RATE(3,,-BK377,BN377)))</f>
        <v>0.40246222602305448</v>
      </c>
      <c r="CC377" s="94">
        <f t="shared" si="703"/>
        <v>0.38184139366252295</v>
      </c>
      <c r="CD377" s="94">
        <f t="shared" si="703"/>
        <v>0.3230363554381</v>
      </c>
      <c r="CE377" s="94">
        <f t="shared" si="703"/>
        <v>0.27774870680957486</v>
      </c>
      <c r="CF377" s="94">
        <f t="shared" si="703"/>
        <v>0.22075442993532451</v>
      </c>
      <c r="CG377" s="94">
        <f t="shared" si="703"/>
        <v>0.17764637719321932</v>
      </c>
    </row>
    <row r="378" spans="1:85" ht="11.25" hidden="1" customHeight="1" outlineLevel="1">
      <c r="A378" s="86"/>
      <c r="B378" s="86"/>
      <c r="C378" s="86"/>
      <c r="D378" s="86"/>
      <c r="E378" s="86"/>
      <c r="F378" s="86"/>
      <c r="G378" s="86"/>
      <c r="H378" s="328"/>
      <c r="I378" s="829" t="s">
        <v>132</v>
      </c>
      <c r="J378" s="347"/>
      <c r="K378" s="67"/>
      <c r="L378" s="67"/>
      <c r="M378" s="198"/>
      <c r="N378" s="198"/>
      <c r="O378" s="198"/>
      <c r="P378" s="198"/>
      <c r="Q378" s="198"/>
      <c r="R378" s="198"/>
      <c r="S378" s="198"/>
      <c r="T378" s="198" t="str">
        <f t="shared" ref="T378:AJ378" si="704">IF(ISERROR(T377/P377-1),"NA",(IF(T377&lt;=0,"NM",T377/P377-1)))</f>
        <v>NA</v>
      </c>
      <c r="U378" s="751" t="str">
        <f t="shared" si="704"/>
        <v>NA</v>
      </c>
      <c r="V378" s="198" t="str">
        <f t="shared" si="704"/>
        <v>NA</v>
      </c>
      <c r="W378" s="198" t="str">
        <f t="shared" si="704"/>
        <v>NA</v>
      </c>
      <c r="X378" s="752">
        <f t="shared" si="704"/>
        <v>0.39999999999999969</v>
      </c>
      <c r="Y378" s="751">
        <f t="shared" si="704"/>
        <v>0.3668341708542715</v>
      </c>
      <c r="Z378" s="198">
        <f t="shared" si="704"/>
        <v>0.35879629629629628</v>
      </c>
      <c r="AA378" s="198">
        <f t="shared" si="704"/>
        <v>0.40598290598290609</v>
      </c>
      <c r="AB378" s="198">
        <f t="shared" si="704"/>
        <v>0.4484126984126986</v>
      </c>
      <c r="AC378" s="751">
        <f t="shared" si="704"/>
        <v>0.44852941176470562</v>
      </c>
      <c r="AD378" s="198">
        <f t="shared" si="704"/>
        <v>0.44804088586030666</v>
      </c>
      <c r="AE378" s="198">
        <f t="shared" si="704"/>
        <v>0.41945288753799415</v>
      </c>
      <c r="AF378" s="752">
        <f t="shared" si="704"/>
        <v>0.36035782466617494</v>
      </c>
      <c r="AG378" s="751">
        <f t="shared" si="704"/>
        <v>0.37254462126145005</v>
      </c>
      <c r="AH378" s="198">
        <f t="shared" si="704"/>
        <v>0.36505736672624667</v>
      </c>
      <c r="AI378" s="198">
        <f t="shared" si="704"/>
        <v>0.34096506120345049</v>
      </c>
      <c r="AJ378" s="752">
        <f t="shared" si="704"/>
        <v>0.33914964774491585</v>
      </c>
      <c r="AK378" s="751">
        <f t="shared" ref="AK378:AR378" si="705">IF(ISERROR(AK377/AG377-1),"NA",(IF(AK377&lt;=0,"NM",AK377/AG377-1)))</f>
        <v>0.31187288416366954</v>
      </c>
      <c r="AL378" s="198">
        <f t="shared" si="705"/>
        <v>0.30324388853377493</v>
      </c>
      <c r="AM378" s="198">
        <f t="shared" si="705"/>
        <v>0.28556676887181376</v>
      </c>
      <c r="AN378" s="752">
        <f t="shared" si="705"/>
        <v>0.27125614233523976</v>
      </c>
      <c r="AO378" s="751">
        <f t="shared" si="705"/>
        <v>0.25507533591956766</v>
      </c>
      <c r="AP378" s="198">
        <f t="shared" si="705"/>
        <v>0.24336010481497317</v>
      </c>
      <c r="AQ378" s="198">
        <f t="shared" si="705"/>
        <v>0.2323020572279062</v>
      </c>
      <c r="AR378" s="752">
        <f t="shared" si="705"/>
        <v>0.22538955601959043</v>
      </c>
      <c r="AS378" s="751">
        <f t="shared" ref="AS378:BD378" si="706">IF(ISERROR(AS377/AO377-1),"NA",(IF(AS377&lt;=0,"NM",AS377/AO377-1)))</f>
        <v>0.21244002468673084</v>
      </c>
      <c r="AT378" s="198">
        <f t="shared" si="706"/>
        <v>0.19489636621928974</v>
      </c>
      <c r="AU378" s="198">
        <f t="shared" si="706"/>
        <v>0.1759613468379817</v>
      </c>
      <c r="AV378" s="752">
        <f t="shared" si="706"/>
        <v>0.16782478463183259</v>
      </c>
      <c r="AW378" s="751">
        <f t="shared" si="706"/>
        <v>0.16034522919180927</v>
      </c>
      <c r="AX378" s="198">
        <f t="shared" si="706"/>
        <v>0.15344928802218449</v>
      </c>
      <c r="AY378" s="198">
        <f t="shared" si="706"/>
        <v>0.14711809894630834</v>
      </c>
      <c r="AZ378" s="752">
        <f t="shared" si="706"/>
        <v>0.14128166075826454</v>
      </c>
      <c r="BA378" s="751">
        <f t="shared" si="706"/>
        <v>0.13584582092802022</v>
      </c>
      <c r="BB378" s="198">
        <f t="shared" si="706"/>
        <v>0.13077089764035565</v>
      </c>
      <c r="BC378" s="198">
        <f t="shared" si="706"/>
        <v>0.12605817904948169</v>
      </c>
      <c r="BD378" s="752">
        <f t="shared" si="706"/>
        <v>0.12166715775850512</v>
      </c>
      <c r="BE378" s="264"/>
      <c r="BF378" s="449"/>
      <c r="BG378" s="199"/>
      <c r="BH378" s="199"/>
      <c r="BI378" s="199"/>
      <c r="BJ378" s="199"/>
      <c r="BK378" s="199" t="str">
        <f t="shared" ref="BK378:BT378" si="707">IF(ISERROR(BK377/BJ377-1),"NA",(IF(BK377&lt;=0,"NM",BK377/BJ377-1)))</f>
        <v>NA</v>
      </c>
      <c r="BL378" s="199">
        <f t="shared" si="707"/>
        <v>0.39999999999999969</v>
      </c>
      <c r="BM378" s="199">
        <f t="shared" si="707"/>
        <v>0.4484126984126986</v>
      </c>
      <c r="BN378" s="449">
        <f t="shared" si="707"/>
        <v>0.36035782466617494</v>
      </c>
      <c r="BO378" s="199">
        <f t="shared" si="707"/>
        <v>0.33914964774491585</v>
      </c>
      <c r="BP378" s="199">
        <f t="shared" si="707"/>
        <v>0.27125614233523976</v>
      </c>
      <c r="BQ378" s="199">
        <f t="shared" si="707"/>
        <v>0.22538955601959043</v>
      </c>
      <c r="BR378" s="199">
        <f t="shared" si="707"/>
        <v>0.16782478463183259</v>
      </c>
      <c r="BS378" s="199">
        <f t="shared" si="707"/>
        <v>0.14128166075826454</v>
      </c>
      <c r="BT378" s="199">
        <f t="shared" si="707"/>
        <v>0.12166715775850512</v>
      </c>
      <c r="BU378" s="199">
        <f>IF(ISERROR(BU377/BT377-1),"NA",(IF(BU377&lt;=0,"NM",BU377/BT377-1)))</f>
        <v>9.0211184382639642E-2</v>
      </c>
      <c r="BV378" s="199">
        <f>IF(ISERROR(BV377/BU377-1),"NA",(IF(BV377&lt;=0,"NM",BV377/BU377-1)))</f>
        <v>8.2746522577388681E-2</v>
      </c>
      <c r="BW378" s="199">
        <f>IF(ISERROR(BW377/BV377-1),"NA",(IF(BW377&lt;=0,"NM",BW377/BV377-1)))</f>
        <v>7.6422801507057603E-2</v>
      </c>
      <c r="BX378" s="199">
        <f>IF(ISERROR(BX377/BW377-1),"NA",(IF(BX377&lt;=0,"NM",BX377/BW377-1)))</f>
        <v>7.0997011025835777E-2</v>
      </c>
      <c r="BY378" s="620">
        <f>IF(ISERROR(BY377/BX377-1),"NA",(IF(BY377&lt;=0,"NM",BY377/BX377-1)))</f>
        <v>6.6290578120131949E-2</v>
      </c>
      <c r="BZ378" s="265"/>
      <c r="CA378" s="202"/>
      <c r="CB378" s="203"/>
      <c r="CC378" s="203"/>
      <c r="CD378" s="203"/>
      <c r="CE378" s="203"/>
      <c r="CF378" s="203"/>
      <c r="CG378" s="203"/>
    </row>
    <row r="379" spans="1:85" ht="11.25" hidden="1" customHeight="1" outlineLevel="1">
      <c r="A379" s="86"/>
      <c r="B379" s="86"/>
      <c r="C379" s="86"/>
      <c r="D379" s="86"/>
      <c r="E379" s="86"/>
      <c r="F379" s="86"/>
      <c r="G379" s="86"/>
      <c r="H379" s="328"/>
      <c r="I379" s="829" t="s">
        <v>146</v>
      </c>
      <c r="J379" s="347"/>
      <c r="K379" s="67"/>
      <c r="L379" s="67"/>
      <c r="M379" s="198"/>
      <c r="N379" s="198"/>
      <c r="O379" s="198"/>
      <c r="P379" s="198"/>
      <c r="Q379" s="198"/>
      <c r="R379" s="198"/>
      <c r="S379" s="198"/>
      <c r="T379" s="198" t="str">
        <f t="shared" ref="T379:AJ379" si="708">IF(ISERROR(T377/S377-1),"NA",(IF(T377&lt;=0,"NM",T377/S377-1)))</f>
        <v>NA</v>
      </c>
      <c r="U379" s="751">
        <f t="shared" si="708"/>
        <v>0.1055555555555554</v>
      </c>
      <c r="V379" s="198">
        <f t="shared" si="708"/>
        <v>8.5427135678392219E-2</v>
      </c>
      <c r="W379" s="198">
        <f t="shared" si="708"/>
        <v>8.3333333333333259E-2</v>
      </c>
      <c r="X379" s="752">
        <f t="shared" si="708"/>
        <v>7.6923076923076872E-2</v>
      </c>
      <c r="Y379" s="751">
        <f t="shared" si="708"/>
        <v>7.9365079365079749E-2</v>
      </c>
      <c r="Z379" s="198">
        <f t="shared" si="708"/>
        <v>7.9044117647058654E-2</v>
      </c>
      <c r="AA379" s="198">
        <f t="shared" si="708"/>
        <v>0.12095400340715501</v>
      </c>
      <c r="AB379" s="198">
        <f t="shared" si="708"/>
        <v>0.10942249240121593</v>
      </c>
      <c r="AC379" s="751">
        <f t="shared" si="708"/>
        <v>7.9452054794520555E-2</v>
      </c>
      <c r="AD379" s="198">
        <f t="shared" si="708"/>
        <v>7.8680203045685237E-2</v>
      </c>
      <c r="AE379" s="198">
        <f t="shared" si="708"/>
        <v>9.8823529411764754E-2</v>
      </c>
      <c r="AF379" s="752">
        <f t="shared" si="708"/>
        <v>6.3234702362213735E-2</v>
      </c>
      <c r="AG379" s="751">
        <f t="shared" si="708"/>
        <v>8.9122350644335491E-2</v>
      </c>
      <c r="AH379" s="198">
        <f t="shared" si="708"/>
        <v>7.2795983970268319E-2</v>
      </c>
      <c r="AI379" s="198">
        <f t="shared" si="708"/>
        <v>7.9430064469177664E-2</v>
      </c>
      <c r="AJ379" s="752">
        <f t="shared" si="708"/>
        <v>6.1795283361604669E-2</v>
      </c>
      <c r="AK379" s="751">
        <f t="shared" ref="AK379:AR379" si="709">IF(ISERROR(AK377/AJ377-1),"NA",(IF(AK377&lt;=0,"NM",AK377/AJ377-1)))</f>
        <v>6.6938322952132534E-2</v>
      </c>
      <c r="AL379" s="198">
        <f t="shared" si="709"/>
        <v>6.5739544303593078E-2</v>
      </c>
      <c r="AM379" s="198">
        <f t="shared" si="709"/>
        <v>6.4788741702026531E-2</v>
      </c>
      <c r="AN379" s="752">
        <f t="shared" si="709"/>
        <v>4.997562830641189E-2</v>
      </c>
      <c r="AO379" s="751">
        <f t="shared" si="709"/>
        <v>5.3358115245574433E-2</v>
      </c>
      <c r="AP379" s="198">
        <f t="shared" si="709"/>
        <v>5.5791627472230987E-2</v>
      </c>
      <c r="AQ379" s="198">
        <f t="shared" si="709"/>
        <v>5.5318850774758621E-2</v>
      </c>
      <c r="AR379" s="752">
        <f t="shared" si="709"/>
        <v>4.4085872822519301E-2</v>
      </c>
      <c r="AS379" s="751">
        <f t="shared" ref="AS379:BD379" si="710">IF(ISERROR(AS377/AR377-1),"NA",(IF(AS377&lt;=0,"NM",AS377/AR377-1)))</f>
        <v>4.222655805946407E-2</v>
      </c>
      <c r="AT379" s="198">
        <f t="shared" si="710"/>
        <v>4.0514626261435094E-2</v>
      </c>
      <c r="AU379" s="198">
        <f t="shared" si="710"/>
        <v>3.8595657485531953E-2</v>
      </c>
      <c r="AV379" s="752">
        <f t="shared" si="710"/>
        <v>3.6861766625810866E-2</v>
      </c>
      <c r="AW379" s="751">
        <f t="shared" si="710"/>
        <v>3.5551420295087732E-2</v>
      </c>
      <c r="AX379" s="198">
        <f t="shared" si="710"/>
        <v>3.433083934326886E-2</v>
      </c>
      <c r="AY379" s="198">
        <f t="shared" si="710"/>
        <v>3.2894890621129935E-2</v>
      </c>
      <c r="AZ379" s="752">
        <f t="shared" si="710"/>
        <v>3.1586303170028973E-2</v>
      </c>
      <c r="BA379" s="751">
        <f t="shared" si="710"/>
        <v>3.0619165751571975E-2</v>
      </c>
      <c r="BB379" s="198">
        <f t="shared" si="710"/>
        <v>2.9709481790142656E-2</v>
      </c>
      <c r="BC379" s="198">
        <f t="shared" si="710"/>
        <v>2.8590090273325819E-2</v>
      </c>
      <c r="BD379" s="752">
        <f t="shared" si="710"/>
        <v>2.7563671386897637E-2</v>
      </c>
      <c r="BE379" s="264"/>
      <c r="BF379" s="631"/>
      <c r="BG379" s="67"/>
      <c r="BH379" s="67"/>
      <c r="BI379" s="67"/>
      <c r="BJ379" s="67"/>
      <c r="BK379" s="67"/>
      <c r="BL379" s="67"/>
      <c r="BM379" s="67"/>
      <c r="BN379" s="631"/>
      <c r="BO379" s="67"/>
      <c r="BP379" s="351"/>
      <c r="BQ379" s="351"/>
      <c r="BR379" s="351"/>
      <c r="BS379" s="351"/>
      <c r="BT379" s="351"/>
      <c r="BU379" s="351"/>
      <c r="BV379" s="351"/>
      <c r="BW379" s="351"/>
      <c r="BX379" s="351"/>
      <c r="BY379" s="809"/>
      <c r="BZ379" s="280"/>
      <c r="CA379" s="202"/>
      <c r="CB379" s="203"/>
      <c r="CC379" s="203"/>
      <c r="CD379" s="203"/>
      <c r="CE379" s="203"/>
      <c r="CF379" s="203"/>
      <c r="CG379" s="203"/>
    </row>
    <row r="380" spans="1:85" ht="11.25" hidden="1" customHeight="1" outlineLevel="1">
      <c r="A380" s="86"/>
      <c r="B380" s="86"/>
      <c r="C380" s="86"/>
      <c r="D380" s="86"/>
      <c r="E380" s="86"/>
      <c r="F380" s="86"/>
      <c r="G380" s="86"/>
      <c r="H380" s="328"/>
      <c r="I380" s="829" t="s">
        <v>270</v>
      </c>
      <c r="J380" s="347"/>
      <c r="K380" s="67"/>
      <c r="L380" s="67"/>
      <c r="M380" s="198"/>
      <c r="N380" s="198"/>
      <c r="O380" s="198"/>
      <c r="P380" s="198"/>
      <c r="Q380" s="198"/>
      <c r="R380" s="198"/>
      <c r="S380" s="198"/>
      <c r="T380" s="198">
        <f t="shared" ref="T380:AJ380" si="711">T377/T$371</f>
        <v>0.72530926381109717</v>
      </c>
      <c r="U380" s="751">
        <f t="shared" si="711"/>
        <v>0.72182523849250968</v>
      </c>
      <c r="V380" s="198">
        <f t="shared" si="711"/>
        <v>0.71383720545953278</v>
      </c>
      <c r="W380" s="198">
        <f t="shared" si="711"/>
        <v>0.70359011365686441</v>
      </c>
      <c r="X380" s="752">
        <f t="shared" si="711"/>
        <v>0.69999999999999984</v>
      </c>
      <c r="Y380" s="751">
        <f t="shared" si="711"/>
        <v>0.69559880316088285</v>
      </c>
      <c r="Z380" s="198">
        <f t="shared" si="711"/>
        <v>0.69016601608427786</v>
      </c>
      <c r="AA380" s="198">
        <f t="shared" si="711"/>
        <v>0.69523688770550685</v>
      </c>
      <c r="AB380" s="198">
        <f t="shared" si="711"/>
        <v>0.69185131830847091</v>
      </c>
      <c r="AC380" s="751">
        <f t="shared" si="711"/>
        <v>0.69122807017543852</v>
      </c>
      <c r="AD380" s="198">
        <f t="shared" si="711"/>
        <v>0.69283688174497082</v>
      </c>
      <c r="AE380" s="198">
        <f t="shared" si="711"/>
        <v>0.7012854396924556</v>
      </c>
      <c r="AF380" s="752">
        <f t="shared" si="711"/>
        <v>0.69706116071871327</v>
      </c>
      <c r="AG380" s="751">
        <f t="shared" si="711"/>
        <v>0.69917330020558432</v>
      </c>
      <c r="AH380" s="198">
        <f t="shared" si="711"/>
        <v>0.6981172304621488</v>
      </c>
      <c r="AI380" s="198">
        <f t="shared" si="711"/>
        <v>0.69864526533386662</v>
      </c>
      <c r="AJ380" s="752">
        <f t="shared" si="711"/>
        <v>0.69838124789800771</v>
      </c>
      <c r="AK380" s="751">
        <f t="shared" ref="AK380:AM380" si="712">AK377/AK$371</f>
        <v>0.69851325661593711</v>
      </c>
      <c r="AL380" s="198">
        <f t="shared" si="712"/>
        <v>0.69844725225697246</v>
      </c>
      <c r="AM380" s="198">
        <f t="shared" si="712"/>
        <v>0.69848025443645489</v>
      </c>
      <c r="AN380" s="752">
        <f>AN377/AN$371</f>
        <v>0.69846375334671362</v>
      </c>
      <c r="AO380" s="751">
        <f>AO377/AO$371</f>
        <v>0.69847200389158426</v>
      </c>
      <c r="AP380" s="198">
        <f>AP377/AP$371</f>
        <v>0.69846787861914894</v>
      </c>
      <c r="AQ380" s="198">
        <f>AQ377/AQ$371</f>
        <v>0.69846994125536654</v>
      </c>
      <c r="AR380" s="752">
        <f>AR377/AR$371</f>
        <v>0.69846890993725774</v>
      </c>
      <c r="AS380" s="751">
        <f t="shared" ref="AS380:BD380" si="713">AS377/AS$371</f>
        <v>0.69846942559631209</v>
      </c>
      <c r="AT380" s="198">
        <f t="shared" si="713"/>
        <v>0.69846916776678492</v>
      </c>
      <c r="AU380" s="198">
        <f t="shared" si="713"/>
        <v>0.69846929668154856</v>
      </c>
      <c r="AV380" s="752">
        <f t="shared" si="713"/>
        <v>0.69846923222416668</v>
      </c>
      <c r="AW380" s="751">
        <f t="shared" si="713"/>
        <v>0.69846926445285751</v>
      </c>
      <c r="AX380" s="198">
        <f t="shared" si="713"/>
        <v>0.69846924833851221</v>
      </c>
      <c r="AY380" s="198">
        <f t="shared" si="713"/>
        <v>0.69846925639568491</v>
      </c>
      <c r="AZ380" s="752">
        <f t="shared" si="713"/>
        <v>0.69846925236709856</v>
      </c>
      <c r="BA380" s="751">
        <f t="shared" si="713"/>
        <v>0.69846925438139174</v>
      </c>
      <c r="BB380" s="198">
        <f t="shared" si="713"/>
        <v>0.69846925337424504</v>
      </c>
      <c r="BC380" s="198">
        <f t="shared" si="713"/>
        <v>0.69846925387781844</v>
      </c>
      <c r="BD380" s="752">
        <f t="shared" si="713"/>
        <v>0.69846925362603185</v>
      </c>
      <c r="BE380" s="264"/>
      <c r="BF380" s="631"/>
      <c r="BG380" s="67"/>
      <c r="BH380" s="67"/>
      <c r="BI380" s="67"/>
      <c r="BJ380" s="67"/>
      <c r="BK380" s="198">
        <f>BK377/BK$371</f>
        <v>0.72530926381109717</v>
      </c>
      <c r="BL380" s="198">
        <f>BL377/BL$371</f>
        <v>0.69999999999999984</v>
      </c>
      <c r="BM380" s="198">
        <f>BM377/BM$371</f>
        <v>0.69185131830847091</v>
      </c>
      <c r="BN380" s="751">
        <f>BN377/BN$371</f>
        <v>0.69706116071871327</v>
      </c>
      <c r="BO380" s="198">
        <f>BO377/BO$371</f>
        <v>0.69838124789800771</v>
      </c>
      <c r="BP380" s="359">
        <f t="shared" ref="BP380:BY380" si="714">(1-BP385-BP390)</f>
        <v>0.69846375334671362</v>
      </c>
      <c r="BQ380" s="359">
        <f t="shared" si="714"/>
        <v>0.69846890993725774</v>
      </c>
      <c r="BR380" s="359">
        <f>(1-BR385-BR390)</f>
        <v>0.69846923222416679</v>
      </c>
      <c r="BS380" s="359">
        <f t="shared" si="714"/>
        <v>0.69846925236709856</v>
      </c>
      <c r="BT380" s="359">
        <f t="shared" si="714"/>
        <v>0.69846925362603174</v>
      </c>
      <c r="BU380" s="359">
        <f t="shared" si="714"/>
        <v>0.69846925362603174</v>
      </c>
      <c r="BV380" s="359">
        <f t="shared" si="714"/>
        <v>0.69846925362603174</v>
      </c>
      <c r="BW380" s="359">
        <f t="shared" si="714"/>
        <v>0.69846925362603174</v>
      </c>
      <c r="BX380" s="359">
        <f t="shared" si="714"/>
        <v>0.69846925362603174</v>
      </c>
      <c r="BY380" s="843">
        <f t="shared" si="714"/>
        <v>0.69846925362603174</v>
      </c>
      <c r="BZ380" s="289"/>
      <c r="CA380" s="202"/>
      <c r="CB380" s="203"/>
      <c r="CC380" s="203"/>
      <c r="CD380" s="203"/>
      <c r="CE380" s="203"/>
      <c r="CF380" s="203"/>
      <c r="CG380" s="203"/>
    </row>
    <row r="381" spans="1:85" ht="11.25" hidden="1" customHeight="1" outlineLevel="1">
      <c r="I381" s="814"/>
      <c r="J381" s="106"/>
      <c r="K381" s="106"/>
      <c r="L381" s="106"/>
      <c r="M381" s="106"/>
      <c r="N381" s="106"/>
      <c r="O381" s="106"/>
      <c r="P381" s="106"/>
      <c r="Q381" s="106"/>
      <c r="R381" s="106"/>
      <c r="S381" s="106"/>
      <c r="T381" s="106"/>
      <c r="U381" s="814"/>
      <c r="V381" s="106"/>
      <c r="W381" s="106"/>
      <c r="X381" s="830"/>
      <c r="Y381" s="814"/>
      <c r="Z381" s="106"/>
      <c r="AA381" s="106"/>
      <c r="AB381" s="106"/>
      <c r="AC381" s="814"/>
      <c r="AD381" s="106"/>
      <c r="AE381" s="106"/>
      <c r="AF381" s="830"/>
      <c r="AG381" s="814"/>
      <c r="AH381" s="106"/>
      <c r="AI381" s="106"/>
      <c r="AJ381" s="830"/>
      <c r="AK381" s="814"/>
      <c r="AM381" s="106"/>
      <c r="AN381" s="830"/>
      <c r="AO381" s="814"/>
      <c r="AP381" s="106"/>
      <c r="AQ381" s="106"/>
      <c r="AR381" s="830"/>
      <c r="AS381" s="814"/>
      <c r="AT381" s="106"/>
      <c r="AU381" s="106"/>
      <c r="AV381" s="830"/>
      <c r="AW381" s="814"/>
      <c r="AX381" s="106"/>
      <c r="AY381" s="106"/>
      <c r="AZ381" s="830"/>
      <c r="BA381" s="814"/>
      <c r="BB381" s="106"/>
      <c r="BC381" s="106"/>
      <c r="BD381" s="830"/>
      <c r="BE381" s="83"/>
      <c r="BF381" s="814"/>
      <c r="BG381" s="106"/>
      <c r="BH381" s="106"/>
      <c r="BI381" s="106"/>
      <c r="BJ381" s="106"/>
      <c r="BK381" s="106"/>
      <c r="BL381" s="106"/>
      <c r="BN381" s="814"/>
      <c r="BP381" s="106"/>
      <c r="BQ381" s="106"/>
      <c r="BR381" s="106"/>
      <c r="BS381" s="106"/>
      <c r="BT381" s="106"/>
      <c r="BV381" s="106"/>
      <c r="BW381" s="106"/>
      <c r="BX381" s="106"/>
      <c r="BY381" s="830"/>
      <c r="CA381" s="89"/>
      <c r="CB381" s="89"/>
      <c r="CC381" s="89"/>
      <c r="CD381" s="89"/>
      <c r="CE381" s="89"/>
      <c r="CF381" s="89"/>
      <c r="CG381" s="89"/>
    </row>
    <row r="382" spans="1:85" s="29" customFormat="1" ht="11.25" hidden="1" customHeight="1" outlineLevel="1">
      <c r="A382" s="91"/>
      <c r="B382" s="91"/>
      <c r="C382" s="91"/>
      <c r="D382" s="91"/>
      <c r="E382" s="91"/>
      <c r="F382" s="91"/>
      <c r="G382" s="91"/>
      <c r="H382" s="1349"/>
      <c r="I382" s="787" t="s">
        <v>290</v>
      </c>
      <c r="J382" s="343"/>
      <c r="K382" s="331"/>
      <c r="L382" s="331"/>
      <c r="M382" s="352"/>
      <c r="N382" s="352"/>
      <c r="O382" s="352"/>
      <c r="P382" s="352"/>
      <c r="Q382" s="352"/>
      <c r="R382" s="352"/>
      <c r="S382" s="352"/>
      <c r="T382" s="377">
        <v>5</v>
      </c>
      <c r="U382" s="840">
        <v>5.6</v>
      </c>
      <c r="V382" s="377">
        <v>6.3</v>
      </c>
      <c r="W382" s="377">
        <v>7.4</v>
      </c>
      <c r="X382" s="841">
        <v>8.1</v>
      </c>
      <c r="Y382" s="840">
        <v>9</v>
      </c>
      <c r="Z382" s="377">
        <v>10</v>
      </c>
      <c r="AA382" s="377">
        <v>11</v>
      </c>
      <c r="AB382" s="377">
        <v>12.6</v>
      </c>
      <c r="AC382" s="1481">
        <v>13.5</v>
      </c>
      <c r="AD382" s="377">
        <v>14.5</v>
      </c>
      <c r="AE382" s="377">
        <v>15.3</v>
      </c>
      <c r="AF382" s="458">
        <f t="shared" ref="AF382:AM382" si="715">AF$371*AF385</f>
        <v>16.601934331166763</v>
      </c>
      <c r="AG382" s="499">
        <f t="shared" si="715"/>
        <v>17.898862678328779</v>
      </c>
      <c r="AH382" s="378">
        <f t="shared" si="715"/>
        <v>19.299666309220097</v>
      </c>
      <c r="AI382" s="378">
        <f t="shared" si="715"/>
        <v>20.779795331831167</v>
      </c>
      <c r="AJ382" s="458">
        <f t="shared" si="715"/>
        <v>22.091933201937703</v>
      </c>
      <c r="AK382" s="499">
        <f t="shared" si="715"/>
        <v>23.555766442285506</v>
      </c>
      <c r="AL382" s="378">
        <f t="shared" si="715"/>
        <v>25.112284753907808</v>
      </c>
      <c r="AM382" s="378">
        <f t="shared" si="715"/>
        <v>26.735033124802957</v>
      </c>
      <c r="AN382" s="458">
        <f>AN$371*AN385</f>
        <v>28.073361702406221</v>
      </c>
      <c r="AO382" s="499">
        <f>AO$371*AO385</f>
        <v>29.570129653626672</v>
      </c>
      <c r="AP382" s="378">
        <f>AP$371*AP385</f>
        <v>31.220514908635419</v>
      </c>
      <c r="AQ382" s="378">
        <f>AQ$371*AQ385</f>
        <v>32.947270976778995</v>
      </c>
      <c r="AR382" s="458">
        <f>AR$371*AR385</f>
        <v>34.399950849913395</v>
      </c>
      <c r="AS382" s="499">
        <f t="shared" ref="AS382:AV382" si="716">AS$371*AS385</f>
        <v>35.852453430643827</v>
      </c>
      <c r="AT382" s="378">
        <f t="shared" si="716"/>
        <v>37.305048454170091</v>
      </c>
      <c r="AU382" s="378">
        <f t="shared" si="716"/>
        <v>38.74483729771633</v>
      </c>
      <c r="AV382" s="458">
        <f t="shared" si="716"/>
        <v>40.173052905551678</v>
      </c>
      <c r="AW382" s="499">
        <f t="shared" ref="AW382:BD382" si="717">AW$371*AW385</f>
        <v>41.601255543788156</v>
      </c>
      <c r="AX382" s="378">
        <f t="shared" si="717"/>
        <v>43.029464900132389</v>
      </c>
      <c r="AY382" s="378">
        <f t="shared" si="717"/>
        <v>44.444912718746629</v>
      </c>
      <c r="AZ382" s="458">
        <f t="shared" si="717"/>
        <v>45.848764094834934</v>
      </c>
      <c r="BA382" s="499">
        <f t="shared" si="717"/>
        <v>47.252614544261242</v>
      </c>
      <c r="BB382" s="378">
        <f t="shared" si="717"/>
        <v>48.656465471351645</v>
      </c>
      <c r="BC382" s="378">
        <f t="shared" si="717"/>
        <v>50.047558090312947</v>
      </c>
      <c r="BD382" s="458">
        <f t="shared" si="717"/>
        <v>51.427052597524785</v>
      </c>
      <c r="BE382" s="437"/>
      <c r="BF382" s="842"/>
      <c r="BG382" s="352"/>
      <c r="BH382" s="352"/>
      <c r="BI382" s="352"/>
      <c r="BJ382" s="108"/>
      <c r="BK382" s="108">
        <f>T382</f>
        <v>5</v>
      </c>
      <c r="BL382" s="108">
        <f>X382</f>
        <v>8.1</v>
      </c>
      <c r="BM382" s="108">
        <f>AB382</f>
        <v>12.6</v>
      </c>
      <c r="BN382" s="709">
        <f>AF382</f>
        <v>16.601934331166763</v>
      </c>
      <c r="BO382" s="108">
        <f>AJ382</f>
        <v>22.091933201937703</v>
      </c>
      <c r="BP382" s="428">
        <f>+AN382</f>
        <v>28.073361702406221</v>
      </c>
      <c r="BQ382" s="428">
        <f>AR382</f>
        <v>34.399950849913395</v>
      </c>
      <c r="BR382" s="428">
        <f>AV382</f>
        <v>40.173052905551678</v>
      </c>
      <c r="BS382" s="428">
        <f>AZ382</f>
        <v>45.848764094834934</v>
      </c>
      <c r="BT382" s="428">
        <f>BD382</f>
        <v>51.427052597524785</v>
      </c>
      <c r="BU382" s="322">
        <f>BU$371*BU385</f>
        <v>56.066347921655804</v>
      </c>
      <c r="BV382" s="322">
        <f>BV$371*BV385</f>
        <v>60.705643245786824</v>
      </c>
      <c r="BW382" s="322">
        <f>BW$371*BW385</f>
        <v>65.344938569917844</v>
      </c>
      <c r="BX382" s="322">
        <f>BX$371*BX385</f>
        <v>69.984233894048856</v>
      </c>
      <c r="BY382" s="734">
        <f>BY$371*BY385</f>
        <v>74.623529218179883</v>
      </c>
      <c r="BZ382" s="278"/>
      <c r="CA382" s="94" t="str">
        <f>IF(ISERROR(RATE(5,,-BI382,BN382)),"NM",(RATE(5,,-BI382,BN382)))</f>
        <v>NM</v>
      </c>
      <c r="CB382" s="94">
        <f t="shared" ref="CB382:CG382" si="718">IF(ISERROR(RATE(3,,-BK382,BN382)),"NM",(RATE(3,,-BK382,BN382)))</f>
        <v>0.4918651276894927</v>
      </c>
      <c r="CC382" s="94">
        <f t="shared" si="718"/>
        <v>0.3971710153273032</v>
      </c>
      <c r="CD382" s="94">
        <f t="shared" si="718"/>
        <v>0.30609457440144833</v>
      </c>
      <c r="CE382" s="94">
        <f t="shared" si="718"/>
        <v>0.27487139520395998</v>
      </c>
      <c r="CF382" s="94">
        <f t="shared" si="718"/>
        <v>0.22058221734450817</v>
      </c>
      <c r="CG382" s="94">
        <f t="shared" si="718"/>
        <v>0.17763599246536932</v>
      </c>
    </row>
    <row r="383" spans="1:85" ht="11.25" hidden="1" customHeight="1" outlineLevel="1">
      <c r="A383" s="86"/>
      <c r="B383" s="86"/>
      <c r="C383" s="86"/>
      <c r="D383" s="86"/>
      <c r="E383" s="86"/>
      <c r="F383" s="86"/>
      <c r="G383" s="86"/>
      <c r="H383" s="328"/>
      <c r="I383" s="829" t="s">
        <v>132</v>
      </c>
      <c r="J383" s="347"/>
      <c r="K383" s="67"/>
      <c r="L383" s="67"/>
      <c r="M383" s="198"/>
      <c r="N383" s="198"/>
      <c r="O383" s="198"/>
      <c r="P383" s="198"/>
      <c r="Q383" s="198"/>
      <c r="R383" s="198"/>
      <c r="S383" s="198"/>
      <c r="T383" s="198" t="str">
        <f t="shared" ref="T383:AJ383" si="719">IF(ISERROR(T382/P382-1),"NA",(IF(T382&lt;=0,"NM",T382/P382-1)))</f>
        <v>NA</v>
      </c>
      <c r="U383" s="751" t="str">
        <f t="shared" si="719"/>
        <v>NA</v>
      </c>
      <c r="V383" s="198" t="str">
        <f t="shared" si="719"/>
        <v>NA</v>
      </c>
      <c r="W383" s="198" t="str">
        <f t="shared" si="719"/>
        <v>NA</v>
      </c>
      <c r="X383" s="752">
        <f t="shared" si="719"/>
        <v>0.61999999999999988</v>
      </c>
      <c r="Y383" s="751">
        <f t="shared" si="719"/>
        <v>0.60714285714285721</v>
      </c>
      <c r="Z383" s="198">
        <f t="shared" si="719"/>
        <v>0.58730158730158744</v>
      </c>
      <c r="AA383" s="198">
        <f t="shared" si="719"/>
        <v>0.4864864864864864</v>
      </c>
      <c r="AB383" s="198">
        <f t="shared" si="719"/>
        <v>0.55555555555555558</v>
      </c>
      <c r="AC383" s="751">
        <f t="shared" si="719"/>
        <v>0.5</v>
      </c>
      <c r="AD383" s="198">
        <f t="shared" si="719"/>
        <v>0.44999999999999996</v>
      </c>
      <c r="AE383" s="198">
        <f t="shared" si="719"/>
        <v>0.39090909090909087</v>
      </c>
      <c r="AF383" s="752">
        <f t="shared" si="719"/>
        <v>0.31761383580688607</v>
      </c>
      <c r="AG383" s="751">
        <f t="shared" si="719"/>
        <v>0.32584167987620583</v>
      </c>
      <c r="AH383" s="198">
        <f t="shared" si="719"/>
        <v>0.33101146960138594</v>
      </c>
      <c r="AI383" s="198">
        <f t="shared" si="719"/>
        <v>0.35815655763602394</v>
      </c>
      <c r="AJ383" s="752">
        <f t="shared" si="719"/>
        <v>0.33068429023144486</v>
      </c>
      <c r="AK383" s="751">
        <f t="shared" ref="AK383:AR383" si="720">IF(ISERROR(AK382/AG382-1),"NA",(IF(AK382&lt;=0,"NM",AK382/AG382-1)))</f>
        <v>0.31604822415928568</v>
      </c>
      <c r="AL383" s="198">
        <f t="shared" si="720"/>
        <v>0.30117714739507329</v>
      </c>
      <c r="AM383" s="198">
        <f t="shared" si="720"/>
        <v>0.28658789453278977</v>
      </c>
      <c r="AN383" s="752">
        <f t="shared" si="720"/>
        <v>0.27075170134698223</v>
      </c>
      <c r="AO383" s="751">
        <f t="shared" si="720"/>
        <v>0.25532445425102535</v>
      </c>
      <c r="AP383" s="198">
        <f t="shared" si="720"/>
        <v>0.24323673511137178</v>
      </c>
      <c r="AQ383" s="198">
        <f t="shared" si="720"/>
        <v>0.23236320011186917</v>
      </c>
      <c r="AR383" s="752">
        <f t="shared" si="720"/>
        <v>0.22535915771586801</v>
      </c>
      <c r="AS383" s="751">
        <f t="shared" ref="AS383:BD383" si="721">IF(ISERROR(AS382/AO382-1),"NA",(IF(AS382&lt;=0,"NM",AS382/AO382-1)))</f>
        <v>0.21245506362690736</v>
      </c>
      <c r="AT383" s="198">
        <f t="shared" si="721"/>
        <v>0.19488895565433872</v>
      </c>
      <c r="AU383" s="198">
        <f t="shared" si="721"/>
        <v>0.17596499342914984</v>
      </c>
      <c r="AV383" s="752">
        <f t="shared" si="721"/>
        <v>0.16782297395790668</v>
      </c>
      <c r="AW383" s="751">
        <f t="shared" si="721"/>
        <v>0.16034612873189613</v>
      </c>
      <c r="AX383" s="198">
        <f t="shared" si="721"/>
        <v>0.15344884092550748</v>
      </c>
      <c r="AY383" s="198">
        <f t="shared" si="721"/>
        <v>0.14711832126770252</v>
      </c>
      <c r="AZ383" s="752">
        <f t="shared" si="721"/>
        <v>0.14128155016316679</v>
      </c>
      <c r="BA383" s="751">
        <f t="shared" si="721"/>
        <v>0.13584587596219655</v>
      </c>
      <c r="BB383" s="198">
        <f t="shared" si="721"/>
        <v>0.13077087024621448</v>
      </c>
      <c r="BC383" s="198">
        <f t="shared" si="721"/>
        <v>0.12605819268946727</v>
      </c>
      <c r="BD383" s="752">
        <f t="shared" si="721"/>
        <v>0.12166715096510683</v>
      </c>
      <c r="BE383" s="264"/>
      <c r="BF383" s="449"/>
      <c r="BG383" s="199"/>
      <c r="BH383" s="199"/>
      <c r="BI383" s="199"/>
      <c r="BJ383" s="199"/>
      <c r="BK383" s="199" t="str">
        <f t="shared" ref="BK383:BT383" si="722">IF(ISERROR(BK382/BJ382-1),"NA",(IF(BK382&lt;=0,"NM",BK382/BJ382-1)))</f>
        <v>NA</v>
      </c>
      <c r="BL383" s="199">
        <f t="shared" si="722"/>
        <v>0.61999999999999988</v>
      </c>
      <c r="BM383" s="199">
        <f t="shared" si="722"/>
        <v>0.55555555555555558</v>
      </c>
      <c r="BN383" s="449">
        <f t="shared" si="722"/>
        <v>0.31761383580688607</v>
      </c>
      <c r="BO383" s="199">
        <f t="shared" si="722"/>
        <v>0.33068429023144486</v>
      </c>
      <c r="BP383" s="199">
        <f t="shared" si="722"/>
        <v>0.27075170134698223</v>
      </c>
      <c r="BQ383" s="199">
        <f t="shared" si="722"/>
        <v>0.22535915771586801</v>
      </c>
      <c r="BR383" s="199">
        <f t="shared" si="722"/>
        <v>0.16782297395790668</v>
      </c>
      <c r="BS383" s="199">
        <f t="shared" si="722"/>
        <v>0.14128155016316679</v>
      </c>
      <c r="BT383" s="199">
        <f t="shared" si="722"/>
        <v>0.12166715096510683</v>
      </c>
      <c r="BU383" s="199">
        <f>IF(ISERROR(BU382/BT382-1),"NA",(IF(BU382&lt;=0,"NM",BU382/BT382-1)))</f>
        <v>9.0211184382639642E-2</v>
      </c>
      <c r="BV383" s="199">
        <f>IF(ISERROR(BV382/BU382-1),"NA",(IF(BV382&lt;=0,"NM",BV382/BU382-1)))</f>
        <v>8.2746522577388681E-2</v>
      </c>
      <c r="BW383" s="199">
        <f>IF(ISERROR(BW382/BV382-1),"NA",(IF(BW382&lt;=0,"NM",BW382/BV382-1)))</f>
        <v>7.6422801507057603E-2</v>
      </c>
      <c r="BX383" s="199">
        <f>IF(ISERROR(BX382/BW382-1),"NA",(IF(BX382&lt;=0,"NM",BX382/BW382-1)))</f>
        <v>7.0997011025835777E-2</v>
      </c>
      <c r="BY383" s="620">
        <f>IF(ISERROR(BY382/BX382-1),"NA",(IF(BY382&lt;=0,"NM",BY382/BX382-1)))</f>
        <v>6.6290578120131949E-2</v>
      </c>
      <c r="BZ383" s="265"/>
      <c r="CA383" s="202"/>
      <c r="CB383" s="203"/>
      <c r="CC383" s="203"/>
      <c r="CD383" s="203"/>
      <c r="CE383" s="203"/>
      <c r="CF383" s="203"/>
      <c r="CG383" s="203"/>
    </row>
    <row r="384" spans="1:85" ht="11.25" hidden="1" customHeight="1" outlineLevel="1">
      <c r="A384" s="86"/>
      <c r="B384" s="86"/>
      <c r="C384" s="86"/>
      <c r="D384" s="86"/>
      <c r="E384" s="86"/>
      <c r="F384" s="86"/>
      <c r="G384" s="86"/>
      <c r="H384" s="328"/>
      <c r="I384" s="829" t="s">
        <v>146</v>
      </c>
      <c r="J384" s="347"/>
      <c r="K384" s="67"/>
      <c r="L384" s="67"/>
      <c r="M384" s="198"/>
      <c r="N384" s="198"/>
      <c r="O384" s="198"/>
      <c r="P384" s="198"/>
      <c r="Q384" s="198"/>
      <c r="R384" s="198"/>
      <c r="S384" s="198"/>
      <c r="T384" s="198" t="str">
        <f t="shared" ref="T384:AJ384" si="723">IF(ISERROR(T382/S382-1),"NA",(IF(T382&lt;=0,"NM",T382/S382-1)))</f>
        <v>NA</v>
      </c>
      <c r="U384" s="751">
        <f t="shared" si="723"/>
        <v>0.11999999999999988</v>
      </c>
      <c r="V384" s="198">
        <f t="shared" si="723"/>
        <v>0.125</v>
      </c>
      <c r="W384" s="198">
        <f t="shared" si="723"/>
        <v>0.17460317460317465</v>
      </c>
      <c r="X384" s="752">
        <f t="shared" si="723"/>
        <v>9.4594594594594517E-2</v>
      </c>
      <c r="Y384" s="751">
        <f t="shared" si="723"/>
        <v>0.11111111111111116</v>
      </c>
      <c r="Z384" s="198">
        <f t="shared" si="723"/>
        <v>0.11111111111111116</v>
      </c>
      <c r="AA384" s="198">
        <f t="shared" si="723"/>
        <v>0.10000000000000009</v>
      </c>
      <c r="AB384" s="198">
        <f t="shared" si="723"/>
        <v>0.1454545454545455</v>
      </c>
      <c r="AC384" s="751">
        <f t="shared" si="723"/>
        <v>7.1428571428571397E-2</v>
      </c>
      <c r="AD384" s="198">
        <f t="shared" si="723"/>
        <v>7.4074074074074181E-2</v>
      </c>
      <c r="AE384" s="198">
        <f t="shared" si="723"/>
        <v>5.5172413793103559E-2</v>
      </c>
      <c r="AF384" s="752">
        <f t="shared" si="723"/>
        <v>8.5093747135082554E-2</v>
      </c>
      <c r="AG384" s="751">
        <f t="shared" si="723"/>
        <v>7.8119110778994916E-2</v>
      </c>
      <c r="AH384" s="198">
        <f t="shared" si="723"/>
        <v>7.8262158667061765E-2</v>
      </c>
      <c r="AI384" s="198">
        <f t="shared" si="723"/>
        <v>7.6691948912296137E-2</v>
      </c>
      <c r="AJ384" s="752">
        <f t="shared" si="723"/>
        <v>6.3144889020950057E-2</v>
      </c>
      <c r="AK384" s="751">
        <f t="shared" ref="AK384:AR384" si="724">IF(ISERROR(AK382/AJ382-1),"NA",(IF(AK382&lt;=0,"NM",AK382/AJ382-1)))</f>
        <v>6.6260984358734509E-2</v>
      </c>
      <c r="AL384" s="198">
        <f t="shared" si="724"/>
        <v>6.6078015989671224E-2</v>
      </c>
      <c r="AM384" s="198">
        <f t="shared" si="724"/>
        <v>6.4619702539914448E-2</v>
      </c>
      <c r="AN384" s="752">
        <f t="shared" si="724"/>
        <v>5.0058983333058027E-2</v>
      </c>
      <c r="AO384" s="751">
        <f t="shared" si="724"/>
        <v>5.3316306293740512E-2</v>
      </c>
      <c r="AP384" s="198">
        <f t="shared" si="724"/>
        <v>5.5812580950463708E-2</v>
      </c>
      <c r="AQ384" s="198">
        <f t="shared" si="724"/>
        <v>5.5308378903961231E-2</v>
      </c>
      <c r="AR384" s="752">
        <f t="shared" si="724"/>
        <v>4.4091053069561958E-2</v>
      </c>
      <c r="AS384" s="751">
        <f t="shared" ref="AS384:BD384" si="725">IF(ISERROR(AS382/AR382-1),"NA",(IF(AS382&lt;=0,"NM",AS382/AR382-1)))</f>
        <v>4.2223972559370271E-2</v>
      </c>
      <c r="AT384" s="198">
        <f t="shared" si="725"/>
        <v>4.0515916890772719E-2</v>
      </c>
      <c r="AU384" s="198">
        <f t="shared" si="725"/>
        <v>3.8595013361664599E-2</v>
      </c>
      <c r="AV384" s="752">
        <f t="shared" si="725"/>
        <v>3.686208815024572E-2</v>
      </c>
      <c r="AW384" s="751">
        <f t="shared" si="725"/>
        <v>3.5551259736078089E-2</v>
      </c>
      <c r="AX384" s="198">
        <f t="shared" si="725"/>
        <v>3.4330919528160475E-2</v>
      </c>
      <c r="AY384" s="198">
        <f t="shared" si="725"/>
        <v>3.2894850584346491E-2</v>
      </c>
      <c r="AZ384" s="752">
        <f t="shared" si="725"/>
        <v>3.1586323163059538E-2</v>
      </c>
      <c r="BA384" s="751">
        <f t="shared" si="725"/>
        <v>3.0619155764428863E-2</v>
      </c>
      <c r="BB384" s="198">
        <f t="shared" si="725"/>
        <v>2.9709486779306626E-2</v>
      </c>
      <c r="BC384" s="198">
        <f t="shared" si="725"/>
        <v>2.8590087781455553E-2</v>
      </c>
      <c r="BD384" s="752">
        <f t="shared" si="725"/>
        <v>2.756367263158932E-2</v>
      </c>
      <c r="BE384" s="264"/>
      <c r="BF384" s="631"/>
      <c r="BG384" s="67"/>
      <c r="BH384" s="67"/>
      <c r="BI384" s="67"/>
      <c r="BJ384" s="67"/>
      <c r="BK384" s="67"/>
      <c r="BL384" s="67"/>
      <c r="BM384" s="67"/>
      <c r="BN384" s="631"/>
      <c r="BO384" s="67"/>
      <c r="BP384" s="351"/>
      <c r="BQ384" s="351"/>
      <c r="BR384" s="351"/>
      <c r="BS384" s="351"/>
      <c r="BT384" s="351"/>
      <c r="BU384" s="351"/>
      <c r="BV384" s="351"/>
      <c r="BW384" s="351"/>
      <c r="BX384" s="351"/>
      <c r="BY384" s="809"/>
      <c r="BZ384" s="280"/>
      <c r="CA384" s="202"/>
      <c r="CB384" s="203"/>
      <c r="CC384" s="203"/>
      <c r="CD384" s="203"/>
      <c r="CE384" s="203"/>
      <c r="CF384" s="203"/>
      <c r="CG384" s="203"/>
    </row>
    <row r="385" spans="1:85" ht="11.25" hidden="1" customHeight="1" outlineLevel="1">
      <c r="A385" s="86"/>
      <c r="B385" s="86"/>
      <c r="C385" s="86"/>
      <c r="D385" s="86"/>
      <c r="E385" s="86"/>
      <c r="F385" s="86"/>
      <c r="G385" s="86"/>
      <c r="H385" s="328"/>
      <c r="I385" s="829" t="s">
        <v>270</v>
      </c>
      <c r="J385" s="347"/>
      <c r="K385" s="67"/>
      <c r="L385" s="67"/>
      <c r="M385" s="198"/>
      <c r="N385" s="198"/>
      <c r="O385" s="198"/>
      <c r="P385" s="198"/>
      <c r="Q385" s="198"/>
      <c r="R385" s="198"/>
      <c r="S385" s="198"/>
      <c r="T385" s="198">
        <f t="shared" ref="T385:AE385" si="726">T382/T$371</f>
        <v>0.20147479550308256</v>
      </c>
      <c r="U385" s="751">
        <f t="shared" si="726"/>
        <v>0.20312670027929922</v>
      </c>
      <c r="V385" s="198">
        <f t="shared" si="726"/>
        <v>0.20820251825903036</v>
      </c>
      <c r="W385" s="198">
        <f t="shared" si="726"/>
        <v>0.22250285645558962</v>
      </c>
      <c r="X385" s="752">
        <f t="shared" si="726"/>
        <v>0.22499999999999998</v>
      </c>
      <c r="Y385" s="751">
        <f t="shared" si="726"/>
        <v>0.23016136869293916</v>
      </c>
      <c r="Z385" s="198">
        <f t="shared" si="726"/>
        <v>0.23515026101678971</v>
      </c>
      <c r="AA385" s="198">
        <f t="shared" si="726"/>
        <v>0.2324500232450023</v>
      </c>
      <c r="AB385" s="198">
        <f t="shared" si="726"/>
        <v>0.23883086604621187</v>
      </c>
      <c r="AC385" s="751">
        <f t="shared" si="726"/>
        <v>0.23684210526315788</v>
      </c>
      <c r="AD385" s="198">
        <f t="shared" si="726"/>
        <v>0.2363796420071077</v>
      </c>
      <c r="AE385" s="198">
        <f t="shared" si="726"/>
        <v>0.22975732820759251</v>
      </c>
      <c r="AF385" s="831">
        <f t="shared" ref="AF385:AR385" si="727">AVERAGE(AD385:AE385)</f>
        <v>0.23306848510735012</v>
      </c>
      <c r="AG385" s="837">
        <f t="shared" si="727"/>
        <v>0.23141290665747133</v>
      </c>
      <c r="AH385" s="372">
        <f t="shared" si="727"/>
        <v>0.23224069588241072</v>
      </c>
      <c r="AI385" s="372">
        <f t="shared" si="727"/>
        <v>0.23182680126994104</v>
      </c>
      <c r="AJ385" s="831">
        <f t="shared" si="727"/>
        <v>0.23203374857617587</v>
      </c>
      <c r="AK385" s="837">
        <f t="shared" si="727"/>
        <v>0.23193027492305845</v>
      </c>
      <c r="AL385" s="372">
        <f t="shared" si="727"/>
        <v>0.23198201174961716</v>
      </c>
      <c r="AM385" s="372">
        <f t="shared" si="727"/>
        <v>0.23195614333633779</v>
      </c>
      <c r="AN385" s="831">
        <f t="shared" si="727"/>
        <v>0.23196907754297746</v>
      </c>
      <c r="AO385" s="837">
        <f t="shared" si="727"/>
        <v>0.23196261043965763</v>
      </c>
      <c r="AP385" s="372">
        <f t="shared" si="727"/>
        <v>0.23196584399131753</v>
      </c>
      <c r="AQ385" s="372">
        <f t="shared" si="727"/>
        <v>0.2319642272154876</v>
      </c>
      <c r="AR385" s="831">
        <f t="shared" si="727"/>
        <v>0.23196503560340256</v>
      </c>
      <c r="AS385" s="837">
        <f t="shared" ref="AS385:AV385" si="728">AVERAGE(AQ385:AR385)</f>
        <v>0.23196463140944507</v>
      </c>
      <c r="AT385" s="372">
        <f t="shared" si="728"/>
        <v>0.23196483350642383</v>
      </c>
      <c r="AU385" s="372">
        <f t="shared" si="728"/>
        <v>0.23196473245793445</v>
      </c>
      <c r="AV385" s="831">
        <f t="shared" si="728"/>
        <v>0.23196478298217915</v>
      </c>
      <c r="AW385" s="837">
        <f t="shared" ref="AW385:BD385" si="729">AVERAGE(AU385:AV385)</f>
        <v>0.23196475772005681</v>
      </c>
      <c r="AX385" s="372">
        <f t="shared" si="729"/>
        <v>0.23196477035111798</v>
      </c>
      <c r="AY385" s="372">
        <f t="shared" si="729"/>
        <v>0.23196476403558741</v>
      </c>
      <c r="AZ385" s="831">
        <f t="shared" si="729"/>
        <v>0.23196476719335268</v>
      </c>
      <c r="BA385" s="837">
        <f t="shared" si="729"/>
        <v>0.23196476561447005</v>
      </c>
      <c r="BB385" s="372">
        <f t="shared" si="729"/>
        <v>0.23196476640391137</v>
      </c>
      <c r="BC385" s="372">
        <f t="shared" si="729"/>
        <v>0.23196476600919069</v>
      </c>
      <c r="BD385" s="831">
        <f t="shared" si="729"/>
        <v>0.23196476620655104</v>
      </c>
      <c r="BE385" s="1211"/>
      <c r="BF385" s="631"/>
      <c r="BG385" s="67"/>
      <c r="BH385" s="67"/>
      <c r="BI385" s="198"/>
      <c r="BJ385" s="67"/>
      <c r="BK385" s="198">
        <f t="shared" ref="BK385:BT385" si="730">BK382/BK$371</f>
        <v>0.20147479550308256</v>
      </c>
      <c r="BL385" s="198">
        <f t="shared" si="730"/>
        <v>0.22499999999999998</v>
      </c>
      <c r="BM385" s="198">
        <f t="shared" si="730"/>
        <v>0.23883086604621187</v>
      </c>
      <c r="BN385" s="751">
        <f t="shared" si="730"/>
        <v>0.23306848510735012</v>
      </c>
      <c r="BO385" s="198">
        <f t="shared" si="730"/>
        <v>0.23203374857617587</v>
      </c>
      <c r="BP385" s="198">
        <f t="shared" si="730"/>
        <v>0.23196907754297746</v>
      </c>
      <c r="BQ385" s="198">
        <f t="shared" si="730"/>
        <v>0.23196503560340256</v>
      </c>
      <c r="BR385" s="198">
        <f t="shared" si="730"/>
        <v>0.23196478298217915</v>
      </c>
      <c r="BS385" s="198">
        <f t="shared" si="730"/>
        <v>0.23196476719335266</v>
      </c>
      <c r="BT385" s="198">
        <f t="shared" si="730"/>
        <v>0.23196476620655104</v>
      </c>
      <c r="BU385" s="372">
        <f>BT385</f>
        <v>0.23196476620655104</v>
      </c>
      <c r="BV385" s="372">
        <f>BU385</f>
        <v>0.23196476620655104</v>
      </c>
      <c r="BW385" s="372">
        <f>BV385</f>
        <v>0.23196476620655104</v>
      </c>
      <c r="BX385" s="372">
        <f>BW385</f>
        <v>0.23196476620655104</v>
      </c>
      <c r="BY385" s="831">
        <f>BX385</f>
        <v>0.23196476620655104</v>
      </c>
      <c r="BZ385" s="287"/>
      <c r="CA385" s="202"/>
      <c r="CB385" s="203"/>
      <c r="CC385" s="203"/>
      <c r="CD385" s="203"/>
      <c r="CE385" s="203"/>
      <c r="CF385" s="203"/>
      <c r="CG385" s="203"/>
    </row>
    <row r="386" spans="1:85" ht="11.25" hidden="1" customHeight="1" outlineLevel="1">
      <c r="A386" s="86"/>
      <c r="B386" s="86"/>
      <c r="C386" s="86"/>
      <c r="D386" s="86"/>
      <c r="E386" s="86"/>
      <c r="F386" s="86"/>
      <c r="G386" s="86"/>
      <c r="H386" s="328"/>
      <c r="I386" s="829"/>
      <c r="J386" s="347"/>
      <c r="K386" s="67"/>
      <c r="L386" s="67"/>
      <c r="M386" s="198"/>
      <c r="N386" s="198"/>
      <c r="O386" s="198"/>
      <c r="P386" s="198"/>
      <c r="Q386" s="198"/>
      <c r="R386" s="198"/>
      <c r="S386" s="198"/>
      <c r="T386" s="198"/>
      <c r="U386" s="751"/>
      <c r="V386" s="198"/>
      <c r="W386" s="198"/>
      <c r="X386" s="752"/>
      <c r="Y386" s="751"/>
      <c r="Z386" s="198"/>
      <c r="AA386" s="198"/>
      <c r="AB386" s="198"/>
      <c r="AC386" s="751"/>
      <c r="AD386" s="198"/>
      <c r="AE386" s="198"/>
      <c r="AF386" s="752"/>
      <c r="AG386" s="751"/>
      <c r="AH386" s="198"/>
      <c r="AI386" s="198"/>
      <c r="AJ386" s="752"/>
      <c r="AK386" s="751"/>
      <c r="AL386" s="198"/>
      <c r="AM386" s="198"/>
      <c r="AN386" s="752"/>
      <c r="AO386" s="751"/>
      <c r="AP386" s="198"/>
      <c r="AQ386" s="198"/>
      <c r="AR386" s="752"/>
      <c r="AS386" s="751"/>
      <c r="AT386" s="198"/>
      <c r="AU386" s="198"/>
      <c r="AV386" s="752"/>
      <c r="AW386" s="751"/>
      <c r="AX386" s="198"/>
      <c r="AY386" s="198"/>
      <c r="AZ386" s="752"/>
      <c r="BA386" s="751"/>
      <c r="BB386" s="198"/>
      <c r="BC386" s="198"/>
      <c r="BD386" s="752"/>
      <c r="BE386" s="264"/>
      <c r="BF386" s="631"/>
      <c r="BG386" s="67"/>
      <c r="BH386" s="67"/>
      <c r="BI386" s="67"/>
      <c r="BJ386" s="67"/>
      <c r="BK386" s="67"/>
      <c r="BL386" s="67"/>
      <c r="BM386" s="67"/>
      <c r="BN386" s="631"/>
      <c r="BO386" s="67"/>
      <c r="BP386" s="351"/>
      <c r="BQ386" s="351"/>
      <c r="BR386" s="351"/>
      <c r="BS386" s="351"/>
      <c r="BT386" s="351"/>
      <c r="BU386" s="351"/>
      <c r="BV386" s="351"/>
      <c r="BW386" s="351"/>
      <c r="BX386" s="351"/>
      <c r="BY386" s="809"/>
      <c r="BZ386" s="280"/>
      <c r="CA386" s="202"/>
      <c r="CB386" s="203"/>
      <c r="CC386" s="203"/>
      <c r="CD386" s="203"/>
      <c r="CE386" s="203"/>
      <c r="CF386" s="203"/>
      <c r="CG386" s="203"/>
    </row>
    <row r="387" spans="1:85" s="29" customFormat="1" ht="11.25" hidden="1" customHeight="1" outlineLevel="1">
      <c r="A387" s="91"/>
      <c r="B387" s="91"/>
      <c r="C387" s="91"/>
      <c r="D387" s="91"/>
      <c r="E387" s="91"/>
      <c r="F387" s="91"/>
      <c r="G387" s="91"/>
      <c r="H387" s="1349"/>
      <c r="I387" s="787" t="s">
        <v>291</v>
      </c>
      <c r="J387" s="343"/>
      <c r="K387" s="331"/>
      <c r="L387" s="331"/>
      <c r="M387" s="352"/>
      <c r="N387" s="352"/>
      <c r="O387" s="352"/>
      <c r="P387" s="352"/>
      <c r="Q387" s="352"/>
      <c r="R387" s="352"/>
      <c r="S387" s="352"/>
      <c r="T387" s="331">
        <f t="shared" ref="T387:AE387" si="731">T371-T377-T382</f>
        <v>1.8170000000000002</v>
      </c>
      <c r="U387" s="658">
        <f t="shared" si="731"/>
        <v>2.0690000000000008</v>
      </c>
      <c r="V387" s="331">
        <f t="shared" si="731"/>
        <v>2.3589999999999991</v>
      </c>
      <c r="W387" s="331">
        <f t="shared" si="731"/>
        <v>2.4580000000000037</v>
      </c>
      <c r="X387" s="694">
        <f t="shared" si="731"/>
        <v>2.7000000000000046</v>
      </c>
      <c r="Y387" s="658">
        <f t="shared" si="731"/>
        <v>2.9029999999999987</v>
      </c>
      <c r="Z387" s="331">
        <f t="shared" si="731"/>
        <v>3.1760000000000019</v>
      </c>
      <c r="AA387" s="331">
        <f t="shared" si="731"/>
        <v>3.4220000000000041</v>
      </c>
      <c r="AB387" s="331">
        <f t="shared" si="731"/>
        <v>3.6569999999999983</v>
      </c>
      <c r="AC387" s="658">
        <f t="shared" si="731"/>
        <v>4.1000000000000014</v>
      </c>
      <c r="AD387" s="331">
        <f t="shared" si="731"/>
        <v>4.3419999999999987</v>
      </c>
      <c r="AE387" s="331">
        <f t="shared" si="731"/>
        <v>4.5919999999999952</v>
      </c>
      <c r="AF387" s="734">
        <f t="shared" ref="AF387:AM387" si="732">AF$371*AF390</f>
        <v>4.9770050685178564</v>
      </c>
      <c r="AG387" s="750">
        <f t="shared" si="732"/>
        <v>5.368879243970091</v>
      </c>
      <c r="AH387" s="322">
        <f t="shared" si="732"/>
        <v>5.7873956049144137</v>
      </c>
      <c r="AI387" s="322">
        <f t="shared" si="732"/>
        <v>6.2321363099677036</v>
      </c>
      <c r="AJ387" s="734">
        <f t="shared" si="732"/>
        <v>6.6251881856929815</v>
      </c>
      <c r="AK387" s="750">
        <f t="shared" si="732"/>
        <v>7.06443316277345</v>
      </c>
      <c r="AL387" s="322">
        <f t="shared" si="732"/>
        <v>7.5311017420226696</v>
      </c>
      <c r="AM387" s="322">
        <f t="shared" si="732"/>
        <v>8.0178312291056972</v>
      </c>
      <c r="AN387" s="734">
        <f>AN$371*AN390</f>
        <v>8.4191579400678034</v>
      </c>
      <c r="AO387" s="750">
        <f>AO$371*AO390</f>
        <v>8.8680562342819496</v>
      </c>
      <c r="AP387" s="322">
        <f>AP$371*AP390</f>
        <v>9.3629948401347072</v>
      </c>
      <c r="AQ387" s="322">
        <f>AQ$371*AQ390</f>
        <v>9.8808524470737584</v>
      </c>
      <c r="AR387" s="734">
        <f>AR$371*AR390</f>
        <v>10.316506744211155</v>
      </c>
      <c r="AS387" s="750">
        <f t="shared" ref="AS387:AV387" si="733">AS$371*AS390</f>
        <v>10.752112149190161</v>
      </c>
      <c r="AT387" s="322">
        <f t="shared" si="733"/>
        <v>11.187743047240019</v>
      </c>
      <c r="AU387" s="322">
        <f t="shared" si="733"/>
        <v>11.619534546861294</v>
      </c>
      <c r="AV387" s="734">
        <f t="shared" si="733"/>
        <v>12.047854642473782</v>
      </c>
      <c r="AW387" s="750">
        <f t="shared" ref="AW387:BD387" si="734">AW$371*AW390</f>
        <v>12.476171161443006</v>
      </c>
      <c r="AX387" s="322">
        <f t="shared" si="734"/>
        <v>12.904489533073606</v>
      </c>
      <c r="AY387" s="322">
        <f t="shared" si="734"/>
        <v>13.328980817327368</v>
      </c>
      <c r="AZ387" s="734">
        <f t="shared" si="734"/>
        <v>13.749994297798574</v>
      </c>
      <c r="BA387" s="750">
        <f t="shared" si="734"/>
        <v>14.171007522722986</v>
      </c>
      <c r="BB387" s="322">
        <f t="shared" si="734"/>
        <v>14.592020879373452</v>
      </c>
      <c r="BC387" s="322">
        <f t="shared" si="734"/>
        <v>15.009208039278349</v>
      </c>
      <c r="BD387" s="734">
        <f t="shared" si="734"/>
        <v>15.422916935076728</v>
      </c>
      <c r="BE387" s="428"/>
      <c r="BF387" s="842"/>
      <c r="BG387" s="352"/>
      <c r="BH387" s="352"/>
      <c r="BI387" s="352"/>
      <c r="BJ387" s="108"/>
      <c r="BK387" s="108">
        <f>T387</f>
        <v>1.8170000000000002</v>
      </c>
      <c r="BL387" s="108">
        <f>X387</f>
        <v>2.7000000000000046</v>
      </c>
      <c r="BM387" s="108">
        <f>AB387</f>
        <v>3.6569999999999983</v>
      </c>
      <c r="BN387" s="709">
        <f>AF387</f>
        <v>4.9770050685178564</v>
      </c>
      <c r="BO387" s="108">
        <f>AJ387</f>
        <v>6.6251881856929815</v>
      </c>
      <c r="BP387" s="428">
        <f>+AN387</f>
        <v>8.4191579400678034</v>
      </c>
      <c r="BQ387" s="428">
        <f>AR387</f>
        <v>10.316506744211155</v>
      </c>
      <c r="BR387" s="428">
        <f>AV387</f>
        <v>12.047854642473782</v>
      </c>
      <c r="BS387" s="428">
        <f>AZ387</f>
        <v>13.749994297798574</v>
      </c>
      <c r="BT387" s="428">
        <f>BD387</f>
        <v>15.422916935076728</v>
      </c>
      <c r="BU387" s="322">
        <f>BU$371*BU390</f>
        <v>16.814236538425071</v>
      </c>
      <c r="BV387" s="322">
        <f>BV$371*BV390</f>
        <v>18.205556141773414</v>
      </c>
      <c r="BW387" s="322">
        <f>BW$371*BW390</f>
        <v>19.596875745121757</v>
      </c>
      <c r="BX387" s="322">
        <f>BX$371*BX390</f>
        <v>20.9881953484701</v>
      </c>
      <c r="BY387" s="734">
        <f>BY$371*BY390</f>
        <v>22.379514951818447</v>
      </c>
      <c r="BZ387" s="278"/>
      <c r="CA387" s="94" t="str">
        <f>IF(ISERROR(RATE(5,,-BI387,BN387)),"NM",(RATE(5,,-BI387,BN387)))</f>
        <v>NM</v>
      </c>
      <c r="CB387" s="94">
        <f t="shared" ref="CB387:CG387" si="735">IF(ISERROR(RATE(3,,-BK387,BN387)),"NM",(RATE(3,,-BK387,BN387)))</f>
        <v>0.39917182724364197</v>
      </c>
      <c r="CC387" s="94">
        <f t="shared" si="735"/>
        <v>0.34879149316762387</v>
      </c>
      <c r="CD387" s="94">
        <f t="shared" si="735"/>
        <v>0.32042751477193016</v>
      </c>
      <c r="CE387" s="94">
        <f t="shared" si="735"/>
        <v>0.2750333012581419</v>
      </c>
      <c r="CF387" s="94">
        <f t="shared" si="735"/>
        <v>0.2205919464569665</v>
      </c>
      <c r="CG387" s="94">
        <f t="shared" si="735"/>
        <v>0.17763657929477839</v>
      </c>
    </row>
    <row r="388" spans="1:85" ht="11.25" hidden="1" customHeight="1" outlineLevel="1">
      <c r="A388" s="86"/>
      <c r="B388" s="86"/>
      <c r="C388" s="86"/>
      <c r="D388" s="86"/>
      <c r="E388" s="86"/>
      <c r="F388" s="86"/>
      <c r="G388" s="86"/>
      <c r="H388" s="328"/>
      <c r="I388" s="829" t="s">
        <v>132</v>
      </c>
      <c r="J388" s="347"/>
      <c r="K388" s="67"/>
      <c r="L388" s="67"/>
      <c r="M388" s="198"/>
      <c r="N388" s="198"/>
      <c r="O388" s="198"/>
      <c r="P388" s="198"/>
      <c r="Q388" s="198"/>
      <c r="R388" s="198"/>
      <c r="S388" s="198"/>
      <c r="T388" s="198" t="str">
        <f t="shared" ref="T388:AJ388" si="736">IF(ISERROR(T387/P387-1),"NA",(IF(T387&lt;=0,"NM",T387/P387-1)))</f>
        <v>NA</v>
      </c>
      <c r="U388" s="751" t="str">
        <f t="shared" si="736"/>
        <v>NA</v>
      </c>
      <c r="V388" s="198" t="str">
        <f t="shared" si="736"/>
        <v>NA</v>
      </c>
      <c r="W388" s="198" t="str">
        <f t="shared" si="736"/>
        <v>NA</v>
      </c>
      <c r="X388" s="752">
        <f t="shared" si="736"/>
        <v>0.48596587782058576</v>
      </c>
      <c r="Y388" s="751">
        <f t="shared" si="736"/>
        <v>0.4030932817786359</v>
      </c>
      <c r="Z388" s="198">
        <f t="shared" si="736"/>
        <v>0.34633319203052282</v>
      </c>
      <c r="AA388" s="198">
        <f t="shared" si="736"/>
        <v>0.3921887713588279</v>
      </c>
      <c r="AB388" s="198">
        <f t="shared" si="736"/>
        <v>0.35444444444444145</v>
      </c>
      <c r="AC388" s="751">
        <f t="shared" si="736"/>
        <v>0.41233207027213337</v>
      </c>
      <c r="AD388" s="198">
        <f t="shared" si="736"/>
        <v>0.3671284634760692</v>
      </c>
      <c r="AE388" s="198">
        <f t="shared" si="736"/>
        <v>0.3419053185271741</v>
      </c>
      <c r="AF388" s="752">
        <f t="shared" si="736"/>
        <v>0.36095298564885381</v>
      </c>
      <c r="AG388" s="751">
        <f t="shared" si="736"/>
        <v>0.30948274243172902</v>
      </c>
      <c r="AH388" s="198">
        <f t="shared" si="736"/>
        <v>0.33288705778775118</v>
      </c>
      <c r="AI388" s="198">
        <f t="shared" si="736"/>
        <v>0.35717254136927479</v>
      </c>
      <c r="AJ388" s="752">
        <f t="shared" si="736"/>
        <v>0.33115962199852667</v>
      </c>
      <c r="AK388" s="751">
        <f t="shared" ref="AK388:AR388" si="737">IF(ISERROR(AK387/AG387-1),"NA",(IF(AK387&lt;=0,"NM",AK387/AG387-1)))</f>
        <v>0.31581152075783292</v>
      </c>
      <c r="AL388" s="198">
        <f t="shared" si="737"/>
        <v>0.30129375217197407</v>
      </c>
      <c r="AM388" s="198">
        <f t="shared" si="737"/>
        <v>0.28653014477265937</v>
      </c>
      <c r="AN388" s="752">
        <f t="shared" si="737"/>
        <v>0.27078019583638069</v>
      </c>
      <c r="AO388" s="751">
        <f t="shared" si="737"/>
        <v>0.25531037380505262</v>
      </c>
      <c r="AP388" s="198">
        <f t="shared" si="737"/>
        <v>0.24324370601585255</v>
      </c>
      <c r="AQ388" s="198">
        <f t="shared" si="737"/>
        <v>0.23235974476552568</v>
      </c>
      <c r="AR388" s="752">
        <f t="shared" si="737"/>
        <v>0.2253608754758758</v>
      </c>
      <c r="AS388" s="751">
        <f t="shared" ref="AS388:BD388" si="738">IF(ISERROR(AS387/AO387-1),"NA",(IF(AS387&lt;=0,"NM",AS387/AO387-1)))</f>
        <v>0.21245421376838669</v>
      </c>
      <c r="AT388" s="198">
        <f t="shared" si="738"/>
        <v>0.19488937442147081</v>
      </c>
      <c r="AU388" s="198">
        <f t="shared" si="738"/>
        <v>0.17596478736026988</v>
      </c>
      <c r="AV388" s="752">
        <f t="shared" si="738"/>
        <v>0.16782307627861814</v>
      </c>
      <c r="AW388" s="751">
        <f t="shared" si="738"/>
        <v>0.16034607789900135</v>
      </c>
      <c r="AX388" s="198">
        <f t="shared" si="738"/>
        <v>0.15344886619085374</v>
      </c>
      <c r="AY388" s="198">
        <f t="shared" si="738"/>
        <v>0.14711830870435638</v>
      </c>
      <c r="AZ388" s="752">
        <f t="shared" si="738"/>
        <v>0.14128155641287621</v>
      </c>
      <c r="BA388" s="751">
        <f t="shared" si="738"/>
        <v>0.13584587285222471</v>
      </c>
      <c r="BB388" s="198">
        <f t="shared" si="738"/>
        <v>0.13077087179425284</v>
      </c>
      <c r="BC388" s="198">
        <f t="shared" si="738"/>
        <v>0.12605819191867429</v>
      </c>
      <c r="BD388" s="752">
        <f t="shared" si="738"/>
        <v>0.12166715134900064</v>
      </c>
      <c r="BE388" s="264"/>
      <c r="BF388" s="449"/>
      <c r="BG388" s="199"/>
      <c r="BH388" s="199"/>
      <c r="BI388" s="199"/>
      <c r="BJ388" s="199"/>
      <c r="BK388" s="199" t="str">
        <f t="shared" ref="BK388:BY388" si="739">IF(ISERROR(BK387/BJ387-1),"NA",(IF(BK387&lt;=0,"NM",BK387/BJ387-1)))</f>
        <v>NA</v>
      </c>
      <c r="BL388" s="199">
        <f t="shared" si="739"/>
        <v>0.48596587782058576</v>
      </c>
      <c r="BM388" s="199">
        <f t="shared" si="739"/>
        <v>0.35444444444444145</v>
      </c>
      <c r="BN388" s="449">
        <f t="shared" si="739"/>
        <v>0.36095298564885381</v>
      </c>
      <c r="BO388" s="199">
        <f t="shared" si="739"/>
        <v>0.33115962199852667</v>
      </c>
      <c r="BP388" s="199">
        <f t="shared" si="739"/>
        <v>0.27078019583638069</v>
      </c>
      <c r="BQ388" s="199">
        <f t="shared" si="739"/>
        <v>0.2253608754758758</v>
      </c>
      <c r="BR388" s="199">
        <f t="shared" si="739"/>
        <v>0.16782307627861814</v>
      </c>
      <c r="BS388" s="199">
        <f t="shared" si="739"/>
        <v>0.14128155641287621</v>
      </c>
      <c r="BT388" s="199">
        <f t="shared" si="739"/>
        <v>0.12166715134900064</v>
      </c>
      <c r="BU388" s="199">
        <f t="shared" si="739"/>
        <v>9.0211184382639642E-2</v>
      </c>
      <c r="BV388" s="199">
        <f t="shared" si="739"/>
        <v>8.2746522577388681E-2</v>
      </c>
      <c r="BW388" s="199">
        <f t="shared" si="739"/>
        <v>7.6422801507057603E-2</v>
      </c>
      <c r="BX388" s="199">
        <f t="shared" si="739"/>
        <v>7.0997011025835777E-2</v>
      </c>
      <c r="BY388" s="620">
        <f t="shared" si="739"/>
        <v>6.6290578120131949E-2</v>
      </c>
      <c r="BZ388" s="265"/>
      <c r="CA388" s="202"/>
      <c r="CB388" s="203"/>
      <c r="CC388" s="203"/>
      <c r="CD388" s="203"/>
      <c r="CE388" s="203"/>
      <c r="CF388" s="203"/>
      <c r="CG388" s="203"/>
    </row>
    <row r="389" spans="1:85" ht="11.25" hidden="1" customHeight="1" outlineLevel="1">
      <c r="A389" s="86"/>
      <c r="B389" s="86"/>
      <c r="C389" s="86"/>
      <c r="D389" s="86"/>
      <c r="E389" s="86"/>
      <c r="F389" s="86"/>
      <c r="G389" s="86"/>
      <c r="H389" s="328"/>
      <c r="I389" s="829" t="s">
        <v>146</v>
      </c>
      <c r="J389" s="347"/>
      <c r="K389" s="67"/>
      <c r="L389" s="67"/>
      <c r="M389" s="198"/>
      <c r="N389" s="198"/>
      <c r="O389" s="198"/>
      <c r="P389" s="198"/>
      <c r="Q389" s="198"/>
      <c r="R389" s="198"/>
      <c r="S389" s="198"/>
      <c r="T389" s="198" t="str">
        <f t="shared" ref="T389:AJ389" si="740">IF(ISERROR(T387/S387-1),"NA",(IF(T387&lt;=0,"NM",T387/S387-1)))</f>
        <v>NA</v>
      </c>
      <c r="U389" s="751">
        <f t="shared" si="740"/>
        <v>0.13869014859658813</v>
      </c>
      <c r="V389" s="198">
        <f t="shared" si="740"/>
        <v>0.14016433059448929</v>
      </c>
      <c r="W389" s="198">
        <f t="shared" si="740"/>
        <v>4.196693514201133E-2</v>
      </c>
      <c r="X389" s="752">
        <f t="shared" si="740"/>
        <v>9.8454027664768295E-2</v>
      </c>
      <c r="Y389" s="751">
        <f t="shared" si="740"/>
        <v>7.5185185185182801E-2</v>
      </c>
      <c r="Z389" s="198">
        <f t="shared" si="740"/>
        <v>9.404064760592612E-2</v>
      </c>
      <c r="AA389" s="198">
        <f t="shared" si="740"/>
        <v>7.7455919395466699E-2</v>
      </c>
      <c r="AB389" s="198">
        <f t="shared" si="740"/>
        <v>6.8673290473405535E-2</v>
      </c>
      <c r="AC389" s="751">
        <f t="shared" si="740"/>
        <v>0.12113754443533042</v>
      </c>
      <c r="AD389" s="198">
        <f t="shared" si="740"/>
        <v>5.9024390243901825E-2</v>
      </c>
      <c r="AE389" s="198">
        <f t="shared" si="740"/>
        <v>5.7577153385535818E-2</v>
      </c>
      <c r="AF389" s="752">
        <f t="shared" si="740"/>
        <v>8.3842567185945516E-2</v>
      </c>
      <c r="AG389" s="751">
        <f t="shared" si="740"/>
        <v>7.8736945222548149E-2</v>
      </c>
      <c r="AH389" s="198">
        <f t="shared" si="740"/>
        <v>7.7952276802345288E-2</v>
      </c>
      <c r="AI389" s="198">
        <f t="shared" si="740"/>
        <v>7.6846432387589703E-2</v>
      </c>
      <c r="AJ389" s="752">
        <f t="shared" si="740"/>
        <v>6.3068562075035084E-2</v>
      </c>
      <c r="AK389" s="751">
        <f t="shared" ref="AK389:AR389" si="741">IF(ISERROR(AK387/AJ387-1),"NA",(IF(AK387&lt;=0,"NM",AK387/AJ387-1)))</f>
        <v>6.6299245360156522E-2</v>
      </c>
      <c r="AL389" s="198">
        <f t="shared" si="741"/>
        <v>6.6058885192426198E-2</v>
      </c>
      <c r="AM389" s="198">
        <f t="shared" si="741"/>
        <v>6.4629253959899824E-2</v>
      </c>
      <c r="AN389" s="752">
        <f t="shared" si="741"/>
        <v>5.0054272719690207E-2</v>
      </c>
      <c r="AO389" s="751">
        <f t="shared" si="741"/>
        <v>5.3318668851404238E-2</v>
      </c>
      <c r="AP389" s="198">
        <f t="shared" si="741"/>
        <v>5.5811396858246543E-2</v>
      </c>
      <c r="AQ389" s="198">
        <f t="shared" si="741"/>
        <v>5.5308970663877854E-2</v>
      </c>
      <c r="AR389" s="752">
        <f t="shared" si="741"/>
        <v>4.4090760333782342E-2</v>
      </c>
      <c r="AS389" s="751">
        <f t="shared" ref="AS389:BD389" si="742">IF(ISERROR(AS387/AR387-1),"NA",(IF(AS387&lt;=0,"NM",AS387/AR387-1)))</f>
        <v>4.2224118665306509E-2</v>
      </c>
      <c r="AT389" s="198">
        <f t="shared" si="742"/>
        <v>4.0515843957474873E-2</v>
      </c>
      <c r="AU389" s="198">
        <f t="shared" si="742"/>
        <v>3.8595049760978828E-2</v>
      </c>
      <c r="AV389" s="752">
        <f t="shared" si="742"/>
        <v>3.6862069980951873E-2</v>
      </c>
      <c r="AW389" s="751">
        <f t="shared" si="742"/>
        <v>3.5551268809238978E-2</v>
      </c>
      <c r="AX389" s="198">
        <f t="shared" si="742"/>
        <v>3.4330914996926198E-2</v>
      </c>
      <c r="AY389" s="198">
        <f t="shared" si="742"/>
        <v>3.2894852846818257E-2</v>
      </c>
      <c r="AZ389" s="752">
        <f t="shared" si="742"/>
        <v>3.1586322033256842E-2</v>
      </c>
      <c r="BA389" s="751">
        <f t="shared" si="742"/>
        <v>3.0619156328800523E-2</v>
      </c>
      <c r="BB389" s="198">
        <f t="shared" si="742"/>
        <v>2.970948649736993E-2</v>
      </c>
      <c r="BC389" s="198">
        <f t="shared" si="742"/>
        <v>2.8590087922270691E-2</v>
      </c>
      <c r="BD389" s="752">
        <f t="shared" si="742"/>
        <v>2.7563672561252028E-2</v>
      </c>
      <c r="BE389" s="264"/>
      <c r="BF389" s="631"/>
      <c r="BG389" s="67"/>
      <c r="BH389" s="67"/>
      <c r="BI389" s="67"/>
      <c r="BJ389" s="67"/>
      <c r="BK389" s="67"/>
      <c r="BL389" s="67"/>
      <c r="BM389" s="67"/>
      <c r="BN389" s="631"/>
      <c r="BO389" s="67"/>
      <c r="BP389" s="351"/>
      <c r="BQ389" s="351"/>
      <c r="BR389" s="351"/>
      <c r="BS389" s="351"/>
      <c r="BT389" s="351"/>
      <c r="BU389" s="351"/>
      <c r="BV389" s="351"/>
      <c r="BW389" s="351"/>
      <c r="BX389" s="351"/>
      <c r="BY389" s="809"/>
      <c r="BZ389" s="280"/>
      <c r="CA389" s="202"/>
      <c r="CB389" s="203"/>
      <c r="CC389" s="203"/>
      <c r="CD389" s="203"/>
      <c r="CE389" s="203"/>
      <c r="CF389" s="203"/>
      <c r="CG389" s="203"/>
    </row>
    <row r="390" spans="1:85" ht="11.25" hidden="1" customHeight="1" outlineLevel="1">
      <c r="A390" s="86"/>
      <c r="B390" s="86"/>
      <c r="C390" s="86"/>
      <c r="D390" s="86"/>
      <c r="E390" s="86"/>
      <c r="F390" s="86"/>
      <c r="G390" s="86"/>
      <c r="H390" s="328"/>
      <c r="I390" s="829" t="s">
        <v>270</v>
      </c>
      <c r="J390" s="347"/>
      <c r="K390" s="67"/>
      <c r="L390" s="67"/>
      <c r="M390" s="198"/>
      <c r="N390" s="198"/>
      <c r="O390" s="198"/>
      <c r="P390" s="198"/>
      <c r="Q390" s="198"/>
      <c r="R390" s="198"/>
      <c r="S390" s="198"/>
      <c r="T390" s="198">
        <f t="shared" ref="T390:AE390" si="743">T387/T$371</f>
        <v>7.3215940685820213E-2</v>
      </c>
      <c r="U390" s="751">
        <f t="shared" si="743"/>
        <v>7.5048061228191118E-2</v>
      </c>
      <c r="V390" s="198">
        <f t="shared" si="743"/>
        <v>7.7960276281436897E-2</v>
      </c>
      <c r="W390" s="198">
        <f t="shared" si="743"/>
        <v>7.3907029887545966E-2</v>
      </c>
      <c r="X390" s="752">
        <f t="shared" si="743"/>
        <v>7.5000000000000122E-2</v>
      </c>
      <c r="Y390" s="751">
        <f t="shared" si="743"/>
        <v>7.4239828146178008E-2</v>
      </c>
      <c r="Z390" s="198">
        <f t="shared" si="743"/>
        <v>7.4683722898932464E-2</v>
      </c>
      <c r="AA390" s="198">
        <f t="shared" si="743"/>
        <v>7.2313089049490811E-2</v>
      </c>
      <c r="AB390" s="198">
        <f t="shared" si="743"/>
        <v>6.931781564531718E-2</v>
      </c>
      <c r="AC390" s="751">
        <f t="shared" si="743"/>
        <v>7.1929824561403538E-2</v>
      </c>
      <c r="AD390" s="198">
        <f t="shared" si="743"/>
        <v>7.0783476247921473E-2</v>
      </c>
      <c r="AE390" s="198">
        <f t="shared" si="743"/>
        <v>6.8957232099951873E-2</v>
      </c>
      <c r="AF390" s="831">
        <f t="shared" ref="AF390:AR390" si="744">AVERAGE(AD390:AE390)</f>
        <v>6.9870354173936666E-2</v>
      </c>
      <c r="AG390" s="837">
        <f t="shared" si="744"/>
        <v>6.9413793136944263E-2</v>
      </c>
      <c r="AH390" s="372">
        <f t="shared" si="744"/>
        <v>6.9642073655440465E-2</v>
      </c>
      <c r="AI390" s="372">
        <f t="shared" si="744"/>
        <v>6.9527933396192371E-2</v>
      </c>
      <c r="AJ390" s="831">
        <f t="shared" si="744"/>
        <v>6.9585003525816425E-2</v>
      </c>
      <c r="AK390" s="837">
        <f t="shared" si="744"/>
        <v>6.9556468461004398E-2</v>
      </c>
      <c r="AL390" s="372">
        <f t="shared" si="744"/>
        <v>6.9570735993410404E-2</v>
      </c>
      <c r="AM390" s="372">
        <f t="shared" si="744"/>
        <v>6.9563602227207394E-2</v>
      </c>
      <c r="AN390" s="831">
        <f t="shared" si="744"/>
        <v>6.9567169110308899E-2</v>
      </c>
      <c r="AO390" s="837">
        <f t="shared" si="744"/>
        <v>6.956538566875814E-2</v>
      </c>
      <c r="AP390" s="372">
        <f t="shared" si="744"/>
        <v>6.9566277389533526E-2</v>
      </c>
      <c r="AQ390" s="372">
        <f t="shared" si="744"/>
        <v>6.9565831529145833E-2</v>
      </c>
      <c r="AR390" s="831">
        <f t="shared" si="744"/>
        <v>6.956605445933968E-2</v>
      </c>
      <c r="AS390" s="837">
        <f t="shared" ref="AS390:AV390" si="745">AVERAGE(AQ390:AR390)</f>
        <v>6.9565942994242763E-2</v>
      </c>
      <c r="AT390" s="372">
        <f t="shared" si="745"/>
        <v>6.9565998726791228E-2</v>
      </c>
      <c r="AU390" s="372">
        <f t="shared" si="745"/>
        <v>6.9565970860516996E-2</v>
      </c>
      <c r="AV390" s="831">
        <f t="shared" si="745"/>
        <v>6.9565984793654112E-2</v>
      </c>
      <c r="AW390" s="837">
        <f t="shared" ref="AW390:BD390" si="746">AVERAGE(AU390:AV390)</f>
        <v>6.9565977827085554E-2</v>
      </c>
      <c r="AX390" s="372">
        <f t="shared" si="746"/>
        <v>6.956598131036984E-2</v>
      </c>
      <c r="AY390" s="372">
        <f t="shared" si="746"/>
        <v>6.9565979568727704E-2</v>
      </c>
      <c r="AZ390" s="831">
        <f t="shared" si="746"/>
        <v>6.9565980439548772E-2</v>
      </c>
      <c r="BA390" s="837">
        <f t="shared" si="746"/>
        <v>6.9565980004138245E-2</v>
      </c>
      <c r="BB390" s="372">
        <f t="shared" si="746"/>
        <v>6.9565980221843515E-2</v>
      </c>
      <c r="BC390" s="372">
        <f t="shared" si="746"/>
        <v>6.956598011299088E-2</v>
      </c>
      <c r="BD390" s="831">
        <f t="shared" si="746"/>
        <v>6.9565980167417191E-2</v>
      </c>
      <c r="BE390" s="1211"/>
      <c r="BF390" s="631"/>
      <c r="BG390" s="67"/>
      <c r="BH390" s="67"/>
      <c r="BI390" s="67"/>
      <c r="BJ390" s="67"/>
      <c r="BK390" s="198">
        <f t="shared" ref="BK390:BT390" si="747">BK387/BK$371</f>
        <v>7.3215940685820213E-2</v>
      </c>
      <c r="BL390" s="198">
        <f t="shared" si="747"/>
        <v>7.5000000000000122E-2</v>
      </c>
      <c r="BM390" s="198">
        <f t="shared" si="747"/>
        <v>6.931781564531718E-2</v>
      </c>
      <c r="BN390" s="751">
        <f t="shared" si="747"/>
        <v>6.9870354173936666E-2</v>
      </c>
      <c r="BO390" s="198">
        <f t="shared" si="747"/>
        <v>6.9585003525816425E-2</v>
      </c>
      <c r="BP390" s="198">
        <f t="shared" si="747"/>
        <v>6.9567169110308899E-2</v>
      </c>
      <c r="BQ390" s="198">
        <f t="shared" si="747"/>
        <v>6.956605445933968E-2</v>
      </c>
      <c r="BR390" s="198">
        <f t="shared" si="747"/>
        <v>6.9565984793654112E-2</v>
      </c>
      <c r="BS390" s="198">
        <f t="shared" si="747"/>
        <v>6.9565980439548772E-2</v>
      </c>
      <c r="BT390" s="198">
        <f t="shared" si="747"/>
        <v>6.9565980167417191E-2</v>
      </c>
      <c r="BU390" s="372">
        <f>BT390</f>
        <v>6.9565980167417191E-2</v>
      </c>
      <c r="BV390" s="372">
        <f>BU390</f>
        <v>6.9565980167417191E-2</v>
      </c>
      <c r="BW390" s="372">
        <f>BV390</f>
        <v>6.9565980167417191E-2</v>
      </c>
      <c r="BX390" s="372">
        <f>BW390</f>
        <v>6.9565980167417191E-2</v>
      </c>
      <c r="BY390" s="831">
        <f>BX390</f>
        <v>6.9565980167417191E-2</v>
      </c>
      <c r="BZ390" s="287"/>
      <c r="CA390" s="202"/>
      <c r="CB390" s="203"/>
      <c r="CC390" s="203"/>
      <c r="CD390" s="203"/>
      <c r="CE390" s="203"/>
      <c r="CF390" s="203"/>
      <c r="CG390" s="203"/>
    </row>
    <row r="391" spans="1:85" ht="11.25" customHeight="1" collapsed="1">
      <c r="A391" s="86"/>
      <c r="B391" s="86"/>
      <c r="C391" s="86"/>
      <c r="D391" s="86"/>
      <c r="E391" s="86"/>
      <c r="F391" s="86"/>
      <c r="G391" s="86"/>
      <c r="H391" s="328"/>
      <c r="I391" s="829"/>
      <c r="J391" s="347"/>
      <c r="K391" s="67"/>
      <c r="L391" s="67"/>
      <c r="M391" s="198"/>
      <c r="N391" s="198"/>
      <c r="O391" s="198"/>
      <c r="P391" s="198"/>
      <c r="Q391" s="198"/>
      <c r="R391" s="198"/>
      <c r="S391" s="198"/>
      <c r="T391" s="198"/>
      <c r="U391" s="751"/>
      <c r="V391" s="198"/>
      <c r="W391" s="198"/>
      <c r="X391" s="752"/>
      <c r="Y391" s="751"/>
      <c r="Z391" s="198"/>
      <c r="AA391" s="198"/>
      <c r="AB391" s="198"/>
      <c r="AC391" s="751"/>
      <c r="AD391" s="198"/>
      <c r="AE391" s="198"/>
      <c r="AF391" s="752"/>
      <c r="AG391" s="751"/>
      <c r="AH391" s="198"/>
      <c r="AI391" s="198"/>
      <c r="AJ391" s="752"/>
      <c r="AK391" s="751"/>
      <c r="AL391" s="198"/>
      <c r="AM391" s="198"/>
      <c r="AN391" s="752"/>
      <c r="AO391" s="751"/>
      <c r="AP391" s="198"/>
      <c r="AQ391" s="198"/>
      <c r="AR391" s="752"/>
      <c r="AS391" s="751"/>
      <c r="AT391" s="198"/>
      <c r="AU391" s="198"/>
      <c r="AV391" s="752"/>
      <c r="AW391" s="751"/>
      <c r="AX391" s="198"/>
      <c r="AY391" s="198"/>
      <c r="AZ391" s="752"/>
      <c r="BA391" s="751"/>
      <c r="BB391" s="198"/>
      <c r="BC391" s="198"/>
      <c r="BD391" s="752"/>
      <c r="BE391" s="264"/>
      <c r="BF391" s="631"/>
      <c r="BG391" s="67"/>
      <c r="BH391" s="67"/>
      <c r="BI391" s="67"/>
      <c r="BJ391" s="67"/>
      <c r="BK391" s="67"/>
      <c r="BL391" s="67"/>
      <c r="BM391" s="67"/>
      <c r="BN391" s="631"/>
      <c r="BO391" s="67"/>
      <c r="BP391" s="351"/>
      <c r="BQ391" s="351"/>
      <c r="BR391" s="351"/>
      <c r="BS391" s="351"/>
      <c r="BT391" s="351"/>
      <c r="BU391" s="351"/>
      <c r="BV391" s="351"/>
      <c r="BW391" s="351"/>
      <c r="BX391" s="351"/>
      <c r="BY391" s="809"/>
      <c r="BZ391" s="280"/>
      <c r="CA391" s="202"/>
      <c r="CB391" s="203"/>
      <c r="CC391" s="203"/>
      <c r="CD391" s="203"/>
      <c r="CE391" s="203"/>
      <c r="CF391" s="203"/>
      <c r="CG391" s="203"/>
    </row>
    <row r="392" spans="1:85" s="36" customFormat="1" ht="11.25" customHeight="1">
      <c r="H392" s="42"/>
      <c r="I392" s="832" t="s">
        <v>299</v>
      </c>
      <c r="J392" s="54"/>
      <c r="K392" s="54"/>
      <c r="L392" s="54"/>
      <c r="M392" s="360"/>
      <c r="N392" s="360"/>
      <c r="O392" s="360"/>
      <c r="P392" s="360">
        <f>P371/P446</f>
        <v>0.30846938775510202</v>
      </c>
      <c r="Q392" s="360"/>
      <c r="R392" s="360"/>
      <c r="S392" s="360"/>
      <c r="T392" s="360">
        <f t="shared" ref="T392:BD392" si="748">T371/T446</f>
        <v>0.34953521126760562</v>
      </c>
      <c r="U392" s="838">
        <f t="shared" si="748"/>
        <v>0.3362073170731707</v>
      </c>
      <c r="V392" s="360">
        <f t="shared" si="748"/>
        <v>0.33621111111111113</v>
      </c>
      <c r="W392" s="360">
        <f t="shared" si="748"/>
        <v>0.34643750000000001</v>
      </c>
      <c r="X392" s="833">
        <f t="shared" si="748"/>
        <v>0.37113402061855671</v>
      </c>
      <c r="Y392" s="838">
        <f t="shared" si="748"/>
        <v>0.39102999999999999</v>
      </c>
      <c r="Z392" s="360">
        <f t="shared" si="748"/>
        <v>0.40118867924528306</v>
      </c>
      <c r="AA392" s="360">
        <f t="shared" si="748"/>
        <v>0.42632432432432432</v>
      </c>
      <c r="AB392" s="360">
        <f t="shared" si="748"/>
        <v>0.4509145299145299</v>
      </c>
      <c r="AC392" s="838">
        <f t="shared" si="748"/>
        <v>0.47499999999999998</v>
      </c>
      <c r="AD392" s="360">
        <f t="shared" si="748"/>
        <v>0.49469354838709678</v>
      </c>
      <c r="AE392" s="360">
        <f t="shared" si="748"/>
        <v>0.52434645669291335</v>
      </c>
      <c r="AF392" s="833">
        <f t="shared" si="748"/>
        <v>0.53963636363636358</v>
      </c>
      <c r="AG392" s="838">
        <f t="shared" si="748"/>
        <v>0.56456934306569351</v>
      </c>
      <c r="AH392" s="360">
        <f t="shared" si="748"/>
        <v>0.58522535211267612</v>
      </c>
      <c r="AI392" s="360">
        <f t="shared" si="748"/>
        <v>0.60976190476190484</v>
      </c>
      <c r="AJ392" s="833">
        <f t="shared" si="748"/>
        <v>0.62638157894736834</v>
      </c>
      <c r="AK392" s="838">
        <f t="shared" si="748"/>
        <v>0.64690445859872603</v>
      </c>
      <c r="AL392" s="360">
        <f t="shared" si="748"/>
        <v>0.66821604938271606</v>
      </c>
      <c r="AM392" s="360">
        <f t="shared" si="748"/>
        <v>0.69017365269461073</v>
      </c>
      <c r="AN392" s="833">
        <f t="shared" si="748"/>
        <v>0.70361627906976743</v>
      </c>
      <c r="AO392" s="838">
        <f t="shared" si="748"/>
        <v>0.72021468926553667</v>
      </c>
      <c r="AP392" s="360">
        <f>AP371/AP446</f>
        <v>0.73951098901098911</v>
      </c>
      <c r="AQ392" s="360">
        <f>AQ371/AQ446</f>
        <v>0.75955080213903747</v>
      </c>
      <c r="AR392" s="833">
        <f t="shared" ref="AR392" si="749">AR371/AR446</f>
        <v>0.77238541666666671</v>
      </c>
      <c r="AS392" s="838">
        <f t="shared" si="748"/>
        <v>0.78456852791878173</v>
      </c>
      <c r="AT392" s="360">
        <f t="shared" si="748"/>
        <v>0.79614851485148519</v>
      </c>
      <c r="AU392" s="360">
        <f t="shared" si="748"/>
        <v>0.80690338164251207</v>
      </c>
      <c r="AV392" s="833">
        <f t="shared" si="748"/>
        <v>0.81691509433962273</v>
      </c>
      <c r="AW392" s="838">
        <f t="shared" si="748"/>
        <v>0.82646543778801851</v>
      </c>
      <c r="AX392" s="360">
        <f t="shared" si="748"/>
        <v>0.83558558558558571</v>
      </c>
      <c r="AY392" s="360">
        <f t="shared" si="748"/>
        <v>0.84406167400881071</v>
      </c>
      <c r="AZ392" s="833">
        <f t="shared" si="748"/>
        <v>0.85195689655172424</v>
      </c>
      <c r="BA392" s="838">
        <f t="shared" si="748"/>
        <v>0.85951898734177223</v>
      </c>
      <c r="BB392" s="360">
        <f t="shared" si="748"/>
        <v>0.86676859504132231</v>
      </c>
      <c r="BC392" s="360">
        <f t="shared" si="748"/>
        <v>0.87350202429149804</v>
      </c>
      <c r="BD392" s="833">
        <f t="shared" si="748"/>
        <v>0.87976984126984137</v>
      </c>
      <c r="BE392" s="290"/>
      <c r="BF392" s="633"/>
      <c r="BG392" s="54"/>
      <c r="BH392" s="360">
        <f t="shared" ref="BH392:BY392" si="750">BH371/BH446</f>
        <v>0.24345</v>
      </c>
      <c r="BI392" s="360">
        <f t="shared" si="750"/>
        <v>0.32718518518518519</v>
      </c>
      <c r="BJ392" s="360">
        <f t="shared" si="750"/>
        <v>0.30846938775510202</v>
      </c>
      <c r="BK392" s="360">
        <f t="shared" si="750"/>
        <v>0.34953521126760562</v>
      </c>
      <c r="BL392" s="360">
        <f t="shared" si="750"/>
        <v>0.37113402061855671</v>
      </c>
      <c r="BM392" s="360">
        <f t="shared" si="750"/>
        <v>0.4509145299145299</v>
      </c>
      <c r="BN392" s="838">
        <f t="shared" si="750"/>
        <v>0.53963636363636358</v>
      </c>
      <c r="BO392" s="360">
        <f t="shared" si="750"/>
        <v>0.62638157894736834</v>
      </c>
      <c r="BP392" s="360">
        <f t="shared" si="750"/>
        <v>0.70361627906976743</v>
      </c>
      <c r="BQ392" s="360">
        <f t="shared" si="750"/>
        <v>0.77238541666666671</v>
      </c>
      <c r="BR392" s="360">
        <f t="shared" si="750"/>
        <v>0.81691509433962273</v>
      </c>
      <c r="BS392" s="360">
        <f t="shared" si="750"/>
        <v>0.85195689655172424</v>
      </c>
      <c r="BT392" s="360">
        <f t="shared" si="750"/>
        <v>0.87976984126984137</v>
      </c>
      <c r="BU392" s="360">
        <f t="shared" si="750"/>
        <v>0.88861029411764714</v>
      </c>
      <c r="BV392" s="360">
        <f t="shared" si="750"/>
        <v>0.89623972602739721</v>
      </c>
      <c r="BW392" s="360">
        <f t="shared" si="750"/>
        <v>0.90289102564102564</v>
      </c>
      <c r="BX392" s="360">
        <f t="shared" si="750"/>
        <v>0.90874096385542169</v>
      </c>
      <c r="BY392" s="833">
        <f t="shared" si="750"/>
        <v>0.9139261363636364</v>
      </c>
      <c r="BZ392" s="290"/>
      <c r="CA392" s="204">
        <f>IF(ISERROR(RATE(5,,-BI392,BN392)),"NM",(RATE(5,,-BI392,BN392)))</f>
        <v>0.10525252379165854</v>
      </c>
      <c r="CB392" s="204">
        <f t="shared" ref="CB392:CG392" si="751">IF(ISERROR(RATE(3,,-BK392,BN392)),"NM",(RATE(3,,-BK392,BN392)))</f>
        <v>0.15576647196048979</v>
      </c>
      <c r="CC392" s="204">
        <f t="shared" si="751"/>
        <v>0.19060966465024104</v>
      </c>
      <c r="CD392" s="204">
        <f t="shared" si="751"/>
        <v>0.15988219827942624</v>
      </c>
      <c r="CE392" s="204">
        <f t="shared" si="751"/>
        <v>0.12696636053228819</v>
      </c>
      <c r="CF392" s="204">
        <f t="shared" si="751"/>
        <v>9.2561722664415799E-2</v>
      </c>
      <c r="CG392" s="204">
        <f t="shared" si="751"/>
        <v>6.5844662428254583E-2</v>
      </c>
    </row>
    <row r="393" spans="1:85" s="36" customFormat="1" ht="11.25" customHeight="1">
      <c r="A393" s="86"/>
      <c r="B393" s="86"/>
      <c r="C393" s="86"/>
      <c r="D393" s="86"/>
      <c r="E393" s="86"/>
      <c r="F393" s="86"/>
      <c r="G393" s="86"/>
      <c r="H393" s="328"/>
      <c r="I393" s="653" t="s">
        <v>132</v>
      </c>
      <c r="J393" s="347"/>
      <c r="K393" s="67"/>
      <c r="L393" s="67"/>
      <c r="M393" s="198"/>
      <c r="N393" s="198"/>
      <c r="O393" s="198"/>
      <c r="P393" s="198"/>
      <c r="Q393" s="198"/>
      <c r="R393" s="198"/>
      <c r="S393" s="198"/>
      <c r="T393" s="198">
        <f t="shared" ref="T393:AJ393" si="752">IF(ISERROR(T392/P392-1),"NA",(IF(T392&lt;=0,"NM",T392/P392-1)))</f>
        <v>0.13312771102300203</v>
      </c>
      <c r="U393" s="751" t="str">
        <f t="shared" si="752"/>
        <v>NA</v>
      </c>
      <c r="V393" s="198" t="str">
        <f t="shared" si="752"/>
        <v>NA</v>
      </c>
      <c r="W393" s="198" t="str">
        <f t="shared" si="752"/>
        <v>NA</v>
      </c>
      <c r="X393" s="752">
        <f t="shared" si="752"/>
        <v>6.1792942898719838E-2</v>
      </c>
      <c r="Y393" s="751">
        <f t="shared" si="752"/>
        <v>0.16306213500671052</v>
      </c>
      <c r="Z393" s="198">
        <f t="shared" si="752"/>
        <v>0.19326419022689034</v>
      </c>
      <c r="AA393" s="198">
        <f t="shared" si="752"/>
        <v>0.23059519920425564</v>
      </c>
      <c r="AB393" s="198">
        <f t="shared" si="752"/>
        <v>0.21496415004748326</v>
      </c>
      <c r="AC393" s="751">
        <f t="shared" si="752"/>
        <v>0.21474055699051231</v>
      </c>
      <c r="AD393" s="198">
        <f t="shared" si="752"/>
        <v>0.23306956048140548</v>
      </c>
      <c r="AE393" s="198">
        <f t="shared" si="752"/>
        <v>0.22992385556217787</v>
      </c>
      <c r="AF393" s="752">
        <f t="shared" si="752"/>
        <v>0.19675975786065436</v>
      </c>
      <c r="AG393" s="751">
        <f t="shared" si="752"/>
        <v>0.18856703803303909</v>
      </c>
      <c r="AH393" s="198">
        <f t="shared" si="752"/>
        <v>0.18300583062130094</v>
      </c>
      <c r="AI393" s="198">
        <f t="shared" si="752"/>
        <v>0.16289887531177794</v>
      </c>
      <c r="AJ393" s="752">
        <f t="shared" si="752"/>
        <v>0.16074753511136319</v>
      </c>
      <c r="AK393" s="751">
        <f t="shared" ref="AK393:AR393" si="753">IF(ISERROR(AK392/AG392-1),"NA",(IF(AK392&lt;=0,"NM",AK392/AG392-1)))</f>
        <v>0.14583702878009785</v>
      </c>
      <c r="AL393" s="198">
        <f t="shared" si="753"/>
        <v>0.14180981218677857</v>
      </c>
      <c r="AM393" s="198">
        <f t="shared" si="753"/>
        <v>0.13187401066667892</v>
      </c>
      <c r="AN393" s="752">
        <f t="shared" si="753"/>
        <v>0.12330295576730022</v>
      </c>
      <c r="AO393" s="751">
        <f t="shared" si="753"/>
        <v>0.11332466439574329</v>
      </c>
      <c r="AP393" s="198">
        <f t="shared" si="753"/>
        <v>0.10669444365207004</v>
      </c>
      <c r="AQ393" s="198">
        <f t="shared" si="753"/>
        <v>0.10052129514588248</v>
      </c>
      <c r="AR393" s="752">
        <f t="shared" si="753"/>
        <v>9.7736706273790608E-2</v>
      </c>
      <c r="AS393" s="751">
        <f t="shared" ref="AS393:BD393" si="754">IF(ISERROR(AS392/AO392-1),"NA",(IF(AS392&lt;=0,"NM",AS392/AO392-1)))</f>
        <v>8.9353688021653666E-2</v>
      </c>
      <c r="AT393" s="198">
        <f t="shared" si="754"/>
        <v>7.6587808270763169E-2</v>
      </c>
      <c r="AU393" s="198">
        <f t="shared" si="754"/>
        <v>6.2342873406388222E-2</v>
      </c>
      <c r="AV393" s="752">
        <f t="shared" si="754"/>
        <v>5.7652147117341901E-2</v>
      </c>
      <c r="AW393" s="751">
        <f t="shared" si="754"/>
        <v>5.3401211466353793E-2</v>
      </c>
      <c r="AX393" s="198">
        <f t="shared" si="754"/>
        <v>4.9534816681102711E-2</v>
      </c>
      <c r="AY393" s="198">
        <f t="shared" si="754"/>
        <v>4.6050485363761995E-2</v>
      </c>
      <c r="AZ393" s="752">
        <f t="shared" si="754"/>
        <v>4.2895280617171849E-2</v>
      </c>
      <c r="BA393" s="751">
        <f t="shared" si="754"/>
        <v>3.9993867913241887E-2</v>
      </c>
      <c r="BB393" s="198">
        <f t="shared" si="754"/>
        <v>3.7318749860773659E-2</v>
      </c>
      <c r="BC393" s="198">
        <f t="shared" si="754"/>
        <v>3.4879382857016195E-2</v>
      </c>
      <c r="BD393" s="752">
        <f t="shared" si="754"/>
        <v>3.2645952900539177E-2</v>
      </c>
      <c r="BE393" s="264"/>
      <c r="BF393" s="449"/>
      <c r="BG393" s="199"/>
      <c r="BH393" s="198" t="str">
        <f t="shared" ref="BH393:BT393" si="755">IF(ISERROR(BH392/BG392-1),"NA",(IF(BH392&lt;=0,"NM",BH392/BG392-1)))</f>
        <v>NA</v>
      </c>
      <c r="BI393" s="198">
        <f t="shared" si="755"/>
        <v>0.34395229075861655</v>
      </c>
      <c r="BJ393" s="198">
        <f t="shared" si="755"/>
        <v>-5.720245988365924E-2</v>
      </c>
      <c r="BK393" s="198">
        <f t="shared" si="755"/>
        <v>0.13312771102300203</v>
      </c>
      <c r="BL393" s="198">
        <f t="shared" si="755"/>
        <v>6.1792942898719838E-2</v>
      </c>
      <c r="BM393" s="198">
        <f t="shared" si="755"/>
        <v>0.21496415004748326</v>
      </c>
      <c r="BN393" s="751">
        <f t="shared" si="755"/>
        <v>0.19675975786065436</v>
      </c>
      <c r="BO393" s="198">
        <f t="shared" si="755"/>
        <v>0.16074753511136319</v>
      </c>
      <c r="BP393" s="198">
        <f t="shared" si="755"/>
        <v>0.12330295576730022</v>
      </c>
      <c r="BQ393" s="198">
        <f t="shared" si="755"/>
        <v>9.7736706273790608E-2</v>
      </c>
      <c r="BR393" s="198">
        <f t="shared" si="755"/>
        <v>5.7652147117341901E-2</v>
      </c>
      <c r="BS393" s="198">
        <f t="shared" si="755"/>
        <v>4.2895280617171849E-2</v>
      </c>
      <c r="BT393" s="198">
        <f t="shared" si="755"/>
        <v>3.2645952900539177E-2</v>
      </c>
      <c r="BU393" s="198">
        <f>IF(ISERROR(BU392/BT392-1),"NA",(IF(BU392&lt;=0,"NM",BU392/BT392-1)))</f>
        <v>1.0048597295680972E-2</v>
      </c>
      <c r="BV393" s="198">
        <f>IF(ISERROR(BV392/BU392-1),"NA",(IF(BV392&lt;=0,"NM",BV392/BU392-1)))</f>
        <v>8.5858018529099134E-3</v>
      </c>
      <c r="BW393" s="198">
        <f>IF(ISERROR(BW392/BV392-1),"NA",(IF(BW392&lt;=0,"NM",BW392/BV392-1)))</f>
        <v>7.421339871990007E-3</v>
      </c>
      <c r="BX393" s="198">
        <f>IF(ISERROR(BX392/BW392-1),"NA",(IF(BX392&lt;=0,"NM",BX392/BW392-1)))</f>
        <v>6.4791187953638918E-3</v>
      </c>
      <c r="BY393" s="752">
        <f>IF(ISERROR(BY392/BX392-1),"NA",(IF(BY392&lt;=0,"NM",BY392/BX392-1)))</f>
        <v>5.7058861814880402E-3</v>
      </c>
      <c r="BZ393" s="264"/>
      <c r="CA393" s="202"/>
      <c r="CB393" s="203"/>
      <c r="CC393" s="203"/>
      <c r="CD393" s="203"/>
      <c r="CE393" s="203"/>
      <c r="CF393" s="203"/>
      <c r="CG393" s="203"/>
    </row>
    <row r="394" spans="1:85" s="36" customFormat="1" ht="11.25" customHeight="1">
      <c r="A394" s="86"/>
      <c r="B394" s="86"/>
      <c r="C394" s="86"/>
      <c r="D394" s="86"/>
      <c r="E394" s="86"/>
      <c r="F394" s="86"/>
      <c r="G394" s="86"/>
      <c r="H394" s="328"/>
      <c r="I394" s="653" t="s">
        <v>146</v>
      </c>
      <c r="J394" s="347"/>
      <c r="K394" s="67"/>
      <c r="L394" s="67"/>
      <c r="M394" s="198"/>
      <c r="N394" s="198"/>
      <c r="O394" s="198"/>
      <c r="P394" s="198"/>
      <c r="Q394" s="198"/>
      <c r="R394" s="198"/>
      <c r="S394" s="198"/>
      <c r="T394" s="198" t="str">
        <f t="shared" ref="T394:AJ394" si="756">IF(ISERROR(T392/S392-1),"NA",(IF(T392&lt;=0,"NM",T392/S392-1)))</f>
        <v>NA</v>
      </c>
      <c r="U394" s="751">
        <f t="shared" si="756"/>
        <v>-3.8130333553809015E-2</v>
      </c>
      <c r="V394" s="198">
        <f t="shared" si="756"/>
        <v>1.1284816682444188E-5</v>
      </c>
      <c r="W394" s="198">
        <f t="shared" si="756"/>
        <v>3.0416570276611932E-2</v>
      </c>
      <c r="X394" s="752">
        <f t="shared" si="756"/>
        <v>7.1287088200777005E-2</v>
      </c>
      <c r="Y394" s="751">
        <f t="shared" si="756"/>
        <v>5.3608611111111149E-2</v>
      </c>
      <c r="Z394" s="198">
        <f t="shared" si="756"/>
        <v>2.5979283546743392E-2</v>
      </c>
      <c r="AA394" s="198">
        <f t="shared" si="756"/>
        <v>6.2652927112316625E-2</v>
      </c>
      <c r="AB394" s="198">
        <f t="shared" si="756"/>
        <v>5.7679574415976154E-2</v>
      </c>
      <c r="AC394" s="751">
        <f t="shared" si="756"/>
        <v>5.3414712739541681E-2</v>
      </c>
      <c r="AD394" s="198">
        <f t="shared" si="756"/>
        <v>4.1460101867572208E-2</v>
      </c>
      <c r="AE394" s="198">
        <f t="shared" si="756"/>
        <v>5.994197499138032E-2</v>
      </c>
      <c r="AF394" s="752">
        <f t="shared" si="756"/>
        <v>2.9159931850945675E-2</v>
      </c>
      <c r="AG394" s="751">
        <f t="shared" si="756"/>
        <v>4.6203297460011727E-2</v>
      </c>
      <c r="AH394" s="198">
        <f t="shared" si="756"/>
        <v>3.6587195710658937E-2</v>
      </c>
      <c r="AI394" s="198">
        <f t="shared" si="756"/>
        <v>4.192667416175877E-2</v>
      </c>
      <c r="AJ394" s="752">
        <f t="shared" si="756"/>
        <v>2.7256006083149931E-2</v>
      </c>
      <c r="AK394" s="751">
        <f t="shared" ref="AK394:AR394" si="757">IF(ISERROR(AK392/AJ392-1),"NA",(IF(AK392&lt;=0,"NM",AK392/AJ392-1)))</f>
        <v>3.2764181357067157E-2</v>
      </c>
      <c r="AL394" s="198">
        <f t="shared" si="757"/>
        <v>3.2943954088913818E-2</v>
      </c>
      <c r="AM394" s="198">
        <f t="shared" si="757"/>
        <v>3.2860035810541532E-2</v>
      </c>
      <c r="AN394" s="752">
        <f t="shared" si="757"/>
        <v>1.9477165381021511E-2</v>
      </c>
      <c r="AO394" s="751">
        <f t="shared" si="757"/>
        <v>2.3590145210559355E-2</v>
      </c>
      <c r="AP394" s="198">
        <f t="shared" si="757"/>
        <v>2.6792427359584314E-2</v>
      </c>
      <c r="AQ394" s="198">
        <f t="shared" si="757"/>
        <v>2.709873609160196E-2</v>
      </c>
      <c r="AR394" s="752">
        <f t="shared" si="757"/>
        <v>1.6897638040121343E-2</v>
      </c>
      <c r="AS394" s="751">
        <f t="shared" ref="AS394:BD394" si="758">IF(ISERROR(AS392/AR392-1),"NA",(IF(AS392&lt;=0,"NM",AS392/AR392-1)))</f>
        <v>1.5773357431698942E-2</v>
      </c>
      <c r="AT394" s="198">
        <f t="shared" si="758"/>
        <v>1.47596883135519E-2</v>
      </c>
      <c r="AU394" s="198">
        <f t="shared" si="758"/>
        <v>1.3508618794614069E-2</v>
      </c>
      <c r="AV394" s="752">
        <f t="shared" si="758"/>
        <v>1.2407573105879255E-2</v>
      </c>
      <c r="AW394" s="751">
        <f t="shared" si="758"/>
        <v>1.1690741809730065E-2</v>
      </c>
      <c r="AX394" s="198">
        <f t="shared" si="758"/>
        <v>1.1035123043955375E-2</v>
      </c>
      <c r="AY394" s="198">
        <f t="shared" si="758"/>
        <v>1.0143890188441862E-2</v>
      </c>
      <c r="AZ394" s="752">
        <f t="shared" si="758"/>
        <v>9.3538455613269011E-3</v>
      </c>
      <c r="BA394" s="751">
        <f t="shared" si="758"/>
        <v>8.8761424676007117E-3</v>
      </c>
      <c r="BB394" s="198">
        <f t="shared" si="758"/>
        <v>8.4344939510538897E-3</v>
      </c>
      <c r="BC394" s="198">
        <f t="shared" si="758"/>
        <v>7.7684278003342655E-3</v>
      </c>
      <c r="BD394" s="752">
        <f t="shared" si="758"/>
        <v>7.175503666894345E-3</v>
      </c>
      <c r="BE394" s="264"/>
      <c r="BF394" s="631"/>
      <c r="BG394" s="67"/>
      <c r="BH394" s="198"/>
      <c r="BI394" s="198"/>
      <c r="BJ394" s="360"/>
      <c r="BK394" s="360"/>
      <c r="BL394" s="360"/>
      <c r="BM394" s="360"/>
      <c r="BN394" s="838"/>
      <c r="BO394" s="360"/>
      <c r="BP394" s="360"/>
      <c r="BQ394" s="360"/>
      <c r="BR394" s="360"/>
      <c r="BS394" s="360"/>
      <c r="BT394" s="360"/>
      <c r="BU394" s="360"/>
      <c r="BV394" s="360"/>
      <c r="BW394" s="360"/>
      <c r="BX394" s="360"/>
      <c r="BY394" s="833"/>
      <c r="BZ394" s="290"/>
      <c r="CA394" s="202"/>
      <c r="CB394" s="203"/>
      <c r="CC394" s="203"/>
      <c r="CD394" s="203"/>
      <c r="CE394" s="203"/>
      <c r="CF394" s="203"/>
      <c r="CG394" s="203"/>
    </row>
    <row r="395" spans="1:85" s="36" customFormat="1" ht="11.25" customHeight="1">
      <c r="H395" s="42"/>
      <c r="I395" s="633"/>
      <c r="J395" s="54"/>
      <c r="K395" s="54"/>
      <c r="L395" s="54"/>
      <c r="M395" s="54"/>
      <c r="N395" s="54"/>
      <c r="O395" s="54"/>
      <c r="P395" s="54"/>
      <c r="Q395" s="54"/>
      <c r="R395" s="54"/>
      <c r="S395" s="54"/>
      <c r="T395" s="54"/>
      <c r="U395" s="633"/>
      <c r="V395" s="54"/>
      <c r="W395" s="54"/>
      <c r="X395" s="619"/>
      <c r="Y395" s="633"/>
      <c r="Z395" s="54"/>
      <c r="AA395" s="54"/>
      <c r="AB395" s="54"/>
      <c r="AC395" s="633"/>
      <c r="AD395" s="54"/>
      <c r="AE395" s="54"/>
      <c r="AF395" s="619"/>
      <c r="AG395" s="633"/>
      <c r="AH395" s="54"/>
      <c r="AI395" s="54"/>
      <c r="AJ395" s="619"/>
      <c r="AK395" s="633"/>
      <c r="AL395" s="54"/>
      <c r="AM395" s="54"/>
      <c r="AN395" s="619"/>
      <c r="AO395" s="633"/>
      <c r="AP395" s="54"/>
      <c r="AQ395" s="54"/>
      <c r="AR395" s="619"/>
      <c r="AS395" s="633"/>
      <c r="AT395" s="54"/>
      <c r="AU395" s="54"/>
      <c r="AV395" s="619"/>
      <c r="AW395" s="633"/>
      <c r="AX395" s="54"/>
      <c r="AY395" s="54"/>
      <c r="AZ395" s="619"/>
      <c r="BA395" s="633"/>
      <c r="BB395" s="54"/>
      <c r="BC395" s="54"/>
      <c r="BD395" s="619"/>
      <c r="BE395" s="83"/>
      <c r="BF395" s="633"/>
      <c r="BG395" s="54"/>
      <c r="BH395" s="54"/>
      <c r="BI395" s="54"/>
      <c r="BJ395" s="54"/>
      <c r="BK395" s="54"/>
      <c r="BL395" s="54"/>
      <c r="BM395" s="54"/>
      <c r="BN395" s="633"/>
      <c r="BO395" s="54"/>
      <c r="BP395" s="54"/>
      <c r="BQ395" s="54"/>
      <c r="BR395" s="54"/>
      <c r="BS395" s="54"/>
      <c r="BT395" s="54"/>
      <c r="BU395" s="54"/>
      <c r="BV395" s="54"/>
      <c r="BW395" s="54"/>
      <c r="BX395" s="54"/>
      <c r="BY395" s="619"/>
      <c r="BZ395" s="83"/>
    </row>
    <row r="396" spans="1:85" s="36" customFormat="1" ht="11.25" customHeight="1">
      <c r="H396" s="42"/>
      <c r="I396" s="783" t="s">
        <v>298</v>
      </c>
      <c r="J396" s="54"/>
      <c r="K396" s="54"/>
      <c r="L396" s="54"/>
      <c r="M396" s="361">
        <f t="shared" ref="M396:BD396" si="759">M371/M416</f>
        <v>64.427672955974842</v>
      </c>
      <c r="N396" s="361">
        <f t="shared" si="759"/>
        <v>58.773869346733662</v>
      </c>
      <c r="O396" s="361">
        <f t="shared" si="759"/>
        <v>54.554655870445345</v>
      </c>
      <c r="P396" s="361">
        <f t="shared" si="759"/>
        <v>49.234527687296421</v>
      </c>
      <c r="Q396" s="361">
        <f t="shared" si="759"/>
        <v>45.628947368421052</v>
      </c>
      <c r="R396" s="361">
        <f t="shared" si="759"/>
        <v>43.498896247240616</v>
      </c>
      <c r="S396" s="361">
        <f t="shared" si="759"/>
        <v>42.32514177693762</v>
      </c>
      <c r="T396" s="361">
        <f t="shared" si="759"/>
        <v>40.952145214521451</v>
      </c>
      <c r="U396" s="839">
        <f t="shared" si="759"/>
        <v>39.384285714285717</v>
      </c>
      <c r="V396" s="361">
        <f t="shared" si="759"/>
        <v>38.254108723135268</v>
      </c>
      <c r="W396" s="361">
        <f t="shared" si="759"/>
        <v>37.410573678290213</v>
      </c>
      <c r="X396" s="834">
        <f t="shared" si="759"/>
        <v>36.217303822937623</v>
      </c>
      <c r="Y396" s="839">
        <f t="shared" si="759"/>
        <v>35.451495920217589</v>
      </c>
      <c r="Z396" s="361">
        <f t="shared" si="759"/>
        <v>34.800327332242226</v>
      </c>
      <c r="AA396" s="361">
        <f t="shared" si="759"/>
        <v>35.209821428571431</v>
      </c>
      <c r="AB396" s="361">
        <f t="shared" si="759"/>
        <v>35.454973118279568</v>
      </c>
      <c r="AC396" s="839">
        <f t="shared" si="759"/>
        <v>35.625</v>
      </c>
      <c r="AD396" s="361">
        <f t="shared" si="759"/>
        <v>35.032552826956028</v>
      </c>
      <c r="AE396" s="361">
        <f t="shared" si="759"/>
        <v>35.308589607635206</v>
      </c>
      <c r="AF396" s="834">
        <f t="shared" si="759"/>
        <v>35.106949236076886</v>
      </c>
      <c r="AG396" s="839">
        <f t="shared" si="759"/>
        <v>35.269493844049251</v>
      </c>
      <c r="AH396" s="361">
        <f t="shared" si="759"/>
        <v>35.37760749255002</v>
      </c>
      <c r="AI396" s="361">
        <f t="shared" si="759"/>
        <v>35.811026767878545</v>
      </c>
      <c r="AJ396" s="834">
        <f t="shared" si="759"/>
        <v>35.955438066465256</v>
      </c>
      <c r="AK396" s="839">
        <f t="shared" si="759"/>
        <v>35.837685250529283</v>
      </c>
      <c r="AL396" s="361">
        <f t="shared" si="759"/>
        <v>35.963787375415286</v>
      </c>
      <c r="AM396" s="361">
        <f t="shared" si="759"/>
        <v>36.108709273182953</v>
      </c>
      <c r="AN396" s="834">
        <f t="shared" si="759"/>
        <v>35.986321736544753</v>
      </c>
      <c r="AO396" s="839">
        <f t="shared" si="759"/>
        <v>35.818488339421179</v>
      </c>
      <c r="AP396" s="361">
        <f>AP371/AP416</f>
        <v>35.862243538502533</v>
      </c>
      <c r="AQ396" s="361">
        <f>AQ371/AQ416</f>
        <v>35.732327044025155</v>
      </c>
      <c r="AR396" s="834">
        <f t="shared" ref="AR396" si="760">AR371/AR416</f>
        <v>35.401766531391743</v>
      </c>
      <c r="AS396" s="839">
        <f t="shared" si="759"/>
        <v>36.044776119402982</v>
      </c>
      <c r="AT396" s="361">
        <f t="shared" si="759"/>
        <v>36.658764531570547</v>
      </c>
      <c r="AU396" s="361">
        <f t="shared" si="759"/>
        <v>37.73813827383642</v>
      </c>
      <c r="AV396" s="834">
        <f t="shared" si="759"/>
        <v>38.735405949452023</v>
      </c>
      <c r="AW396" s="839">
        <f t="shared" si="759"/>
        <v>39.243544857768057</v>
      </c>
      <c r="AX396" s="361">
        <f t="shared" si="759"/>
        <v>39.730134932533737</v>
      </c>
      <c r="AY396" s="361">
        <f t="shared" si="759"/>
        <v>40.697111299915044</v>
      </c>
      <c r="AZ396" s="834">
        <f t="shared" si="759"/>
        <v>41.585104144750687</v>
      </c>
      <c r="BA396" s="839">
        <f t="shared" si="759"/>
        <v>41.983924154987633</v>
      </c>
      <c r="BB396" s="361">
        <f t="shared" si="759"/>
        <v>42.366794586952132</v>
      </c>
      <c r="BC396" s="361">
        <f t="shared" si="759"/>
        <v>43.237474949899806</v>
      </c>
      <c r="BD396" s="834">
        <f t="shared" si="759"/>
        <v>44.032174776564055</v>
      </c>
      <c r="BE396" s="291"/>
      <c r="BF396" s="633"/>
      <c r="BG396" s="54"/>
      <c r="BH396" s="361">
        <f t="shared" ref="BH396:BY396" si="761">BH371/BH416</f>
        <v>194.76</v>
      </c>
      <c r="BI396" s="361">
        <f t="shared" si="761"/>
        <v>73.61666666666666</v>
      </c>
      <c r="BJ396" s="361">
        <f t="shared" si="761"/>
        <v>49.234527687296421</v>
      </c>
      <c r="BK396" s="361">
        <f t="shared" si="761"/>
        <v>40.952145214521451</v>
      </c>
      <c r="BL396" s="361">
        <f t="shared" si="761"/>
        <v>36.217303822937623</v>
      </c>
      <c r="BM396" s="361">
        <f t="shared" si="761"/>
        <v>35.454973118279568</v>
      </c>
      <c r="BN396" s="839">
        <f t="shared" si="761"/>
        <v>35.106949236076886</v>
      </c>
      <c r="BO396" s="361">
        <f t="shared" si="761"/>
        <v>35.955438066465256</v>
      </c>
      <c r="BP396" s="361">
        <f t="shared" si="761"/>
        <v>35.986321736544753</v>
      </c>
      <c r="BQ396" s="361">
        <f t="shared" si="761"/>
        <v>35.401766531391743</v>
      </c>
      <c r="BR396" s="361">
        <f t="shared" si="761"/>
        <v>38.735405949452023</v>
      </c>
      <c r="BS396" s="361">
        <f t="shared" si="761"/>
        <v>41.585104144750687</v>
      </c>
      <c r="BT396" s="361">
        <f t="shared" si="761"/>
        <v>44.032174776564055</v>
      </c>
      <c r="BU396" s="361">
        <f t="shared" si="761"/>
        <v>45.458341169832615</v>
      </c>
      <c r="BV396" s="361">
        <f t="shared" si="761"/>
        <v>46.740846579746382</v>
      </c>
      <c r="BW396" s="361">
        <f t="shared" si="761"/>
        <v>47.900357082128885</v>
      </c>
      <c r="BX396" s="361">
        <f t="shared" si="761"/>
        <v>48.95375628752231</v>
      </c>
      <c r="BY396" s="834">
        <f t="shared" si="761"/>
        <v>49.914972847168343</v>
      </c>
      <c r="BZ396" s="291"/>
      <c r="CA396" s="204">
        <f>IF(ISERROR(RATE(5,,-BI396,BN396)),"NM",(RATE(5,,-BI396,BN396)))</f>
        <v>-0.13765035586435664</v>
      </c>
      <c r="CB396" s="204">
        <f t="shared" ref="CB396:CG396" si="762">IF(ISERROR(RATE(3,,-BK396,BN396)),"NM",(RATE(3,,-BK396,BN396)))</f>
        <v>-5.0039651268697971E-2</v>
      </c>
      <c r="CC396" s="204">
        <f t="shared" si="762"/>
        <v>-2.4159670287562489E-3</v>
      </c>
      <c r="CD396" s="204">
        <f t="shared" si="762"/>
        <v>4.9707754930603601E-3</v>
      </c>
      <c r="CE396" s="204">
        <f t="shared" si="762"/>
        <v>2.7914308418854274E-3</v>
      </c>
      <c r="CF396" s="204">
        <f t="shared" si="762"/>
        <v>2.5135270045694397E-2</v>
      </c>
      <c r="CG396" s="204">
        <f t="shared" si="762"/>
        <v>4.9381600119949909E-2</v>
      </c>
    </row>
    <row r="397" spans="1:85" s="36" customFormat="1" ht="11.25" customHeight="1">
      <c r="A397" s="86"/>
      <c r="B397" s="86"/>
      <c r="C397" s="86"/>
      <c r="D397" s="86"/>
      <c r="E397" s="86"/>
      <c r="F397" s="86"/>
      <c r="G397" s="86"/>
      <c r="H397" s="328"/>
      <c r="I397" s="653" t="s">
        <v>132</v>
      </c>
      <c r="J397" s="347"/>
      <c r="K397" s="67"/>
      <c r="L397" s="67"/>
      <c r="M397" s="198" t="str">
        <f t="shared" ref="M397:R397" si="763">IF(ISERROR(M396/I396-1),"NA",(IF(M396&lt;=0,"NM",M396/I396-1)))</f>
        <v>NA</v>
      </c>
      <c r="N397" s="198" t="str">
        <f t="shared" si="763"/>
        <v>NA</v>
      </c>
      <c r="O397" s="198" t="str">
        <f t="shared" si="763"/>
        <v>NA</v>
      </c>
      <c r="P397" s="198" t="str">
        <f t="shared" si="763"/>
        <v>NA</v>
      </c>
      <c r="Q397" s="198">
        <f t="shared" si="763"/>
        <v>-0.29178029758112578</v>
      </c>
      <c r="R397" s="198">
        <f t="shared" si="763"/>
        <v>-0.25989395064971921</v>
      </c>
      <c r="S397" s="198">
        <f t="shared" ref="S397:AJ397" si="764">IF(ISERROR(S396/O396-1),"NA",(IF(S396&lt;=0,"NM",S396/O396-1)))</f>
        <v>-0.22416994293850889</v>
      </c>
      <c r="T397" s="198">
        <f t="shared" si="764"/>
        <v>-0.16822305121679892</v>
      </c>
      <c r="U397" s="751">
        <f t="shared" si="764"/>
        <v>-0.13685745594160148</v>
      </c>
      <c r="V397" s="198">
        <f t="shared" si="764"/>
        <v>-0.12057288751178497</v>
      </c>
      <c r="W397" s="198">
        <f t="shared" si="764"/>
        <v>-0.11611462814580076</v>
      </c>
      <c r="X397" s="752">
        <f t="shared" si="764"/>
        <v>-0.11561888557439659</v>
      </c>
      <c r="Y397" s="751">
        <f t="shared" si="764"/>
        <v>-9.9856826720145397E-2</v>
      </c>
      <c r="Z397" s="198">
        <f t="shared" si="764"/>
        <v>-9.0285240100346886E-2</v>
      </c>
      <c r="AA397" s="198">
        <f t="shared" si="764"/>
        <v>-5.8827011546094043E-2</v>
      </c>
      <c r="AB397" s="198">
        <f t="shared" si="764"/>
        <v>-2.1048797789725238E-2</v>
      </c>
      <c r="AC397" s="751">
        <f t="shared" si="764"/>
        <v>4.8941257704011587E-3</v>
      </c>
      <c r="AD397" s="198">
        <f t="shared" si="764"/>
        <v>6.6730836321371445E-3</v>
      </c>
      <c r="AE397" s="198">
        <f t="shared" si="764"/>
        <v>2.805131496169011E-3</v>
      </c>
      <c r="AF397" s="752">
        <f t="shared" si="764"/>
        <v>-9.8159398130597264E-3</v>
      </c>
      <c r="AG397" s="751">
        <f t="shared" si="764"/>
        <v>-9.9791201670386132E-3</v>
      </c>
      <c r="AH397" s="198">
        <f t="shared" si="764"/>
        <v>9.8495438599177643E-3</v>
      </c>
      <c r="AI397" s="198">
        <f t="shared" si="764"/>
        <v>1.4229884734186404E-2</v>
      </c>
      <c r="AJ397" s="752">
        <f t="shared" si="764"/>
        <v>2.4168685939718104E-2</v>
      </c>
      <c r="AK397" s="751">
        <f t="shared" ref="AK397:AR397" si="765">IF(ISERROR(AK396/AG396-1),"NA",(IF(AK396&lt;=0,"NM",AK396/AG396-1)))</f>
        <v>1.6109996049061603E-2</v>
      </c>
      <c r="AL397" s="198">
        <f t="shared" si="765"/>
        <v>1.656923473382732E-2</v>
      </c>
      <c r="AM397" s="198">
        <f t="shared" si="765"/>
        <v>8.3125934152612491E-3</v>
      </c>
      <c r="AN397" s="198">
        <f t="shared" si="765"/>
        <v>8.5894295106081486E-4</v>
      </c>
      <c r="AO397" s="751">
        <f t="shared" si="765"/>
        <v>-5.356626962345068E-4</v>
      </c>
      <c r="AP397" s="198">
        <f t="shared" si="765"/>
        <v>-2.8235023150584571E-3</v>
      </c>
      <c r="AQ397" s="198">
        <f t="shared" si="765"/>
        <v>-1.042358579782654E-2</v>
      </c>
      <c r="AR397" s="198">
        <f t="shared" si="765"/>
        <v>-1.6243816454277527E-2</v>
      </c>
      <c r="AS397" s="751">
        <f t="shared" ref="AS397:BD397" si="766">IF(ISERROR(AS396/AO396-1),"NA",(IF(AS396&lt;=0,"NM",AS396/AO396-1)))</f>
        <v>6.3176250722103422E-3</v>
      </c>
      <c r="AT397" s="198">
        <f t="shared" si="766"/>
        <v>2.2210573418610879E-2</v>
      </c>
      <c r="AU397" s="198">
        <f t="shared" si="766"/>
        <v>5.6134357757890774E-2</v>
      </c>
      <c r="AV397" s="752">
        <f t="shared" si="766"/>
        <v>9.4165905961338003E-2</v>
      </c>
      <c r="AW397" s="751">
        <f t="shared" si="766"/>
        <v>8.8744308683420314E-2</v>
      </c>
      <c r="AX397" s="198">
        <f t="shared" si="766"/>
        <v>8.3782703541962711E-2</v>
      </c>
      <c r="AY397" s="198">
        <f t="shared" si="766"/>
        <v>7.8408028626310244E-2</v>
      </c>
      <c r="AZ397" s="752">
        <f t="shared" si="766"/>
        <v>7.3568305932236511E-2</v>
      </c>
      <c r="BA397" s="751">
        <f t="shared" si="766"/>
        <v>6.9830065228603688E-2</v>
      </c>
      <c r="BB397" s="198">
        <f t="shared" si="766"/>
        <v>6.6364226018757355E-2</v>
      </c>
      <c r="BC397" s="198">
        <f t="shared" si="766"/>
        <v>6.2421227670526713E-2</v>
      </c>
      <c r="BD397" s="752">
        <f t="shared" si="766"/>
        <v>5.8844884055009983E-2</v>
      </c>
      <c r="BE397" s="264"/>
      <c r="BF397" s="449"/>
      <c r="BG397" s="199"/>
      <c r="BH397" s="198" t="str">
        <f t="shared" ref="BH397:BT397" si="767">IF(ISERROR(BH396/BG396-1),"NA",(IF(BH396&lt;=0,"NM",BH396/BG396-1)))</f>
        <v>NA</v>
      </c>
      <c r="BI397" s="198">
        <f t="shared" si="767"/>
        <v>-0.62201341822413914</v>
      </c>
      <c r="BJ397" s="198">
        <f t="shared" si="767"/>
        <v>-0.33120406130002589</v>
      </c>
      <c r="BK397" s="198">
        <f t="shared" si="767"/>
        <v>-0.16822305121679892</v>
      </c>
      <c r="BL397" s="198">
        <f t="shared" si="767"/>
        <v>-0.11561888557439659</v>
      </c>
      <c r="BM397" s="198">
        <f t="shared" si="767"/>
        <v>-2.1048797789725238E-2</v>
      </c>
      <c r="BN397" s="751">
        <f t="shared" si="767"/>
        <v>-9.8159398130597264E-3</v>
      </c>
      <c r="BO397" s="198">
        <f t="shared" si="767"/>
        <v>2.4168685939718104E-2</v>
      </c>
      <c r="BP397" s="198">
        <f t="shared" si="767"/>
        <v>8.5894295106081486E-4</v>
      </c>
      <c r="BQ397" s="198">
        <f t="shared" si="767"/>
        <v>-1.6243816454277527E-2</v>
      </c>
      <c r="BR397" s="198">
        <f t="shared" si="767"/>
        <v>9.4165905961338003E-2</v>
      </c>
      <c r="BS397" s="198">
        <f t="shared" si="767"/>
        <v>7.3568305932236511E-2</v>
      </c>
      <c r="BT397" s="198">
        <f t="shared" si="767"/>
        <v>5.8844884055009983E-2</v>
      </c>
      <c r="BU397" s="198">
        <f>IF(ISERROR(BU396/BT396-1),"NA",(IF(BU396&lt;=0,"NM",BU396/BT396-1)))</f>
        <v>3.2389188144929637E-2</v>
      </c>
      <c r="BV397" s="198">
        <f>IF(ISERROR(BV396/BU396-1),"NA",(IF(BV396&lt;=0,"NM",BV396/BU396-1)))</f>
        <v>2.8212763090547543E-2</v>
      </c>
      <c r="BW397" s="198">
        <f>IF(ISERROR(BW396/BV396-1),"NA",(IF(BW396&lt;=0,"NM",BW396/BV396-1)))</f>
        <v>2.480722081925113E-2</v>
      </c>
      <c r="BX397" s="198">
        <f>IF(ISERROR(BX396/BW396-1),"NA",(IF(BX396&lt;=0,"NM",BX396/BW396-1)))</f>
        <v>2.1991468739727571E-2</v>
      </c>
      <c r="BY397" s="752">
        <f>IF(ISERROR(BY396/BX396-1),"NA",(IF(BY396&lt;=0,"NM",BY396/BX396-1)))</f>
        <v>1.9635195182990062E-2</v>
      </c>
      <c r="BZ397" s="264"/>
      <c r="CA397" s="202"/>
      <c r="CB397" s="203"/>
      <c r="CC397" s="203"/>
      <c r="CD397" s="203"/>
      <c r="CE397" s="203"/>
      <c r="CF397" s="203"/>
      <c r="CG397" s="203"/>
    </row>
    <row r="398" spans="1:85" s="36" customFormat="1" ht="11.25" customHeight="1">
      <c r="A398" s="86"/>
      <c r="B398" s="86"/>
      <c r="C398" s="86"/>
      <c r="D398" s="86"/>
      <c r="E398" s="86"/>
      <c r="F398" s="86"/>
      <c r="G398" s="86"/>
      <c r="H398" s="328"/>
      <c r="I398" s="653" t="s">
        <v>146</v>
      </c>
      <c r="J398" s="347"/>
      <c r="K398" s="67"/>
      <c r="L398" s="67"/>
      <c r="M398" s="198" t="str">
        <f t="shared" ref="M398:R398" si="768">IF(ISERROR(M396/L396-1),"NA",(IF(M396&lt;=0,"NM",M396/L396-1)))</f>
        <v>NA</v>
      </c>
      <c r="N398" s="198">
        <f t="shared" si="768"/>
        <v>-8.7754273122739868E-2</v>
      </c>
      <c r="O398" s="198">
        <f t="shared" si="768"/>
        <v>-7.1787233394440375E-2</v>
      </c>
      <c r="P398" s="198">
        <f t="shared" si="768"/>
        <v>-9.7519232744919027E-2</v>
      </c>
      <c r="Q398" s="198">
        <f t="shared" si="768"/>
        <v>-7.3232759371137157E-2</v>
      </c>
      <c r="R398" s="198">
        <f t="shared" si="768"/>
        <v>-4.6682013152348212E-2</v>
      </c>
      <c r="S398" s="198">
        <f t="shared" ref="S398:AJ398" si="769">IF(ISERROR(S396/R396-1),"NA",(IF(S396&lt;=0,"NM",S396/R396-1)))</f>
        <v>-2.698354605669917E-2</v>
      </c>
      <c r="T398" s="198">
        <f t="shared" si="769"/>
        <v>-3.2439266704696434E-2</v>
      </c>
      <c r="U398" s="751">
        <f t="shared" si="769"/>
        <v>-3.8285161669132206E-2</v>
      </c>
      <c r="V398" s="198">
        <f t="shared" si="769"/>
        <v>-2.8696140367997169E-2</v>
      </c>
      <c r="W398" s="198">
        <f t="shared" si="769"/>
        <v>-2.2050835139047487E-2</v>
      </c>
      <c r="X398" s="752">
        <f t="shared" si="769"/>
        <v>-3.1896593343209267E-2</v>
      </c>
      <c r="Y398" s="751">
        <f t="shared" si="769"/>
        <v>-2.1144807091769802E-2</v>
      </c>
      <c r="Z398" s="198">
        <f t="shared" si="769"/>
        <v>-1.8367873373828725E-2</v>
      </c>
      <c r="AA398" s="198">
        <f t="shared" si="769"/>
        <v>1.1766961052398273E-2</v>
      </c>
      <c r="AB398" s="198">
        <f t="shared" si="769"/>
        <v>6.962593951391316E-3</v>
      </c>
      <c r="AC398" s="751">
        <f t="shared" si="769"/>
        <v>4.7955721515628991E-3</v>
      </c>
      <c r="AD398" s="198">
        <f t="shared" si="769"/>
        <v>-1.6630096085444857E-2</v>
      </c>
      <c r="AE398" s="198">
        <f t="shared" si="769"/>
        <v>7.8794366497545454E-3</v>
      </c>
      <c r="AF398" s="752">
        <f t="shared" si="769"/>
        <v>-5.7108022098598665E-3</v>
      </c>
      <c r="AG398" s="751">
        <f t="shared" si="769"/>
        <v>4.6299838496171031E-3</v>
      </c>
      <c r="AH398" s="198">
        <f t="shared" si="769"/>
        <v>3.0653586631783636E-3</v>
      </c>
      <c r="AI398" s="198">
        <f t="shared" si="769"/>
        <v>1.2251231952861596E-2</v>
      </c>
      <c r="AJ398" s="752">
        <f t="shared" si="769"/>
        <v>4.0325930759472772E-3</v>
      </c>
      <c r="AK398" s="751">
        <f t="shared" ref="AK398:AR398" si="770">IF(ISERROR(AK396/AJ396-1),"NA",(IF(AK396&lt;=0,"NM",AK396/AJ396-1)))</f>
        <v>-3.2749654090794555E-3</v>
      </c>
      <c r="AL398" s="198">
        <f t="shared" si="770"/>
        <v>3.5187017243012431E-3</v>
      </c>
      <c r="AM398" s="198">
        <f t="shared" si="770"/>
        <v>4.029661733200296E-3</v>
      </c>
      <c r="AN398" s="198">
        <f t="shared" si="770"/>
        <v>-3.3894187607834692E-3</v>
      </c>
      <c r="AO398" s="751">
        <f t="shared" si="770"/>
        <v>-4.6638108321344074E-3</v>
      </c>
      <c r="AP398" s="198">
        <f t="shared" si="770"/>
        <v>1.2215813985985147E-3</v>
      </c>
      <c r="AQ398" s="198">
        <f t="shared" si="770"/>
        <v>-3.6226538459005475E-3</v>
      </c>
      <c r="AR398" s="198">
        <f t="shared" si="770"/>
        <v>-9.2510211335000703E-3</v>
      </c>
      <c r="AS398" s="751">
        <f t="shared" ref="AS398:BD398" si="771">IF(ISERROR(AS396/AR396-1),"NA",(IF(AS396&lt;=0,"NM",AS396/AR396-1)))</f>
        <v>1.8163206275061627E-2</v>
      </c>
      <c r="AT398" s="198">
        <f t="shared" si="771"/>
        <v>1.7034047045642486E-2</v>
      </c>
      <c r="AU398" s="198">
        <f t="shared" si="771"/>
        <v>2.944381121563211E-2</v>
      </c>
      <c r="AV398" s="752">
        <f t="shared" si="771"/>
        <v>2.6425990290755763E-2</v>
      </c>
      <c r="AW398" s="751">
        <f t="shared" si="771"/>
        <v>1.3118202736254636E-2</v>
      </c>
      <c r="AX398" s="198">
        <f t="shared" si="771"/>
        <v>1.2399238563418402E-2</v>
      </c>
      <c r="AY398" s="198">
        <f t="shared" si="771"/>
        <v>2.4338612718616259E-2</v>
      </c>
      <c r="AZ398" s="752">
        <f t="shared" si="771"/>
        <v>2.1819554667937835E-2</v>
      </c>
      <c r="BA398" s="751">
        <f t="shared" si="771"/>
        <v>9.5904535635817911E-3</v>
      </c>
      <c r="BB398" s="198">
        <f t="shared" si="771"/>
        <v>9.1194532114504678E-3</v>
      </c>
      <c r="BC398" s="198">
        <f t="shared" si="771"/>
        <v>2.0551008671678472E-2</v>
      </c>
      <c r="BD398" s="752">
        <f t="shared" si="771"/>
        <v>1.8379885217281622E-2</v>
      </c>
      <c r="BE398" s="264"/>
      <c r="BF398" s="631"/>
      <c r="BG398" s="67"/>
      <c r="BH398" s="198"/>
      <c r="BI398" s="198"/>
      <c r="BJ398" s="198"/>
      <c r="BK398" s="198"/>
      <c r="BL398" s="198"/>
      <c r="BM398" s="198"/>
      <c r="BN398" s="751"/>
      <c r="BO398" s="198"/>
      <c r="BP398" s="198"/>
      <c r="BQ398" s="198"/>
      <c r="BR398" s="198"/>
      <c r="BS398" s="198"/>
      <c r="BT398" s="198"/>
      <c r="BU398" s="198"/>
      <c r="BV398" s="198"/>
      <c r="BW398" s="198"/>
      <c r="BX398" s="198"/>
      <c r="BY398" s="752"/>
      <c r="BZ398" s="264"/>
      <c r="CA398" s="202"/>
      <c r="CB398" s="203"/>
      <c r="CC398" s="203"/>
      <c r="CD398" s="203"/>
      <c r="CE398" s="203"/>
      <c r="CF398" s="203"/>
      <c r="CG398" s="203"/>
    </row>
    <row r="399" spans="1:85" ht="11.25" customHeight="1">
      <c r="A399" s="86"/>
      <c r="B399" s="86"/>
      <c r="C399" s="86"/>
      <c r="D399" s="86"/>
      <c r="E399" s="86"/>
      <c r="F399" s="86"/>
      <c r="G399" s="86"/>
      <c r="H399" s="328"/>
      <c r="I399" s="829"/>
      <c r="J399" s="347"/>
      <c r="K399" s="67"/>
      <c r="L399" s="67"/>
      <c r="M399" s="198"/>
      <c r="N399" s="198"/>
      <c r="O399" s="198"/>
      <c r="P399" s="198"/>
      <c r="Q399" s="198"/>
      <c r="R399" s="198"/>
      <c r="S399" s="198"/>
      <c r="T399" s="198"/>
      <c r="U399" s="751"/>
      <c r="V399" s="198"/>
      <c r="W399" s="198"/>
      <c r="X399" s="752"/>
      <c r="Y399" s="751"/>
      <c r="Z399" s="198"/>
      <c r="AA399" s="198"/>
      <c r="AB399" s="198"/>
      <c r="AC399" s="751"/>
      <c r="AD399" s="198"/>
      <c r="AE399" s="198"/>
      <c r="AF399" s="752"/>
      <c r="AG399" s="751"/>
      <c r="AH399" s="198"/>
      <c r="AI399" s="198"/>
      <c r="AJ399" s="752"/>
      <c r="AK399" s="751"/>
      <c r="AL399" s="198"/>
      <c r="AM399" s="198"/>
      <c r="AN399" s="752"/>
      <c r="AO399" s="751"/>
      <c r="AP399" s="198"/>
      <c r="AQ399" s="198"/>
      <c r="AR399" s="752"/>
      <c r="AS399" s="751"/>
      <c r="AT399" s="198"/>
      <c r="AU399" s="198"/>
      <c r="AV399" s="752"/>
      <c r="AW399" s="751"/>
      <c r="AX399" s="198"/>
      <c r="AY399" s="198"/>
      <c r="AZ399" s="752"/>
      <c r="BA399" s="751"/>
      <c r="BB399" s="198"/>
      <c r="BC399" s="198"/>
      <c r="BD399" s="752"/>
      <c r="BE399" s="264"/>
      <c r="BF399" s="631"/>
      <c r="BG399" s="67"/>
      <c r="BH399" s="67"/>
      <c r="BI399" s="67"/>
      <c r="BJ399" s="67"/>
      <c r="BK399" s="67"/>
      <c r="BL399" s="67"/>
      <c r="BM399" s="67"/>
      <c r="BN399" s="631"/>
      <c r="BO399" s="351"/>
      <c r="BP399" s="351"/>
      <c r="BQ399" s="351"/>
      <c r="BR399" s="351"/>
      <c r="BS399" s="351"/>
      <c r="BT399" s="351"/>
      <c r="BU399" s="351"/>
      <c r="BV399" s="351"/>
      <c r="BW399" s="351"/>
      <c r="BX399" s="351"/>
      <c r="BY399" s="809"/>
      <c r="BZ399" s="280"/>
      <c r="CA399" s="202"/>
      <c r="CB399" s="203"/>
      <c r="CC399" s="203"/>
      <c r="CD399" s="203"/>
      <c r="CE399" s="203"/>
      <c r="CF399" s="203"/>
      <c r="CG399" s="203"/>
    </row>
    <row r="400" spans="1:85" s="106" customFormat="1" ht="11.25" hidden="1" customHeight="1" outlineLevel="1">
      <c r="A400" s="86"/>
      <c r="B400" s="191"/>
      <c r="C400" s="191"/>
      <c r="D400" s="191"/>
      <c r="E400" s="191"/>
      <c r="F400" s="191"/>
      <c r="G400" s="191"/>
      <c r="H400" s="1163"/>
      <c r="I400" s="1497" t="s">
        <v>351</v>
      </c>
      <c r="J400" s="339"/>
      <c r="K400" s="339"/>
      <c r="L400" s="339"/>
      <c r="M400" s="339"/>
      <c r="N400" s="339"/>
      <c r="O400" s="339"/>
      <c r="P400" s="339"/>
      <c r="Q400" s="339"/>
      <c r="R400" s="339"/>
      <c r="S400" s="339"/>
      <c r="T400" s="758"/>
      <c r="U400" s="757"/>
      <c r="V400" s="339"/>
      <c r="W400" s="339"/>
      <c r="X400" s="758"/>
      <c r="Y400" s="757"/>
      <c r="Z400" s="339"/>
      <c r="AA400" s="339"/>
      <c r="AB400" s="339"/>
      <c r="AC400" s="1479"/>
      <c r="AD400" s="339"/>
      <c r="AE400" s="339"/>
      <c r="AF400" s="758"/>
      <c r="AG400" s="757"/>
      <c r="AH400" s="339"/>
      <c r="AI400" s="339"/>
      <c r="AJ400" s="758"/>
      <c r="AK400" s="757"/>
      <c r="AL400" s="339"/>
      <c r="AM400" s="339"/>
      <c r="AN400" s="758"/>
      <c r="AO400" s="1646"/>
      <c r="AP400" s="339"/>
      <c r="AQ400" s="339"/>
      <c r="AR400" s="758"/>
      <c r="AS400" s="1646"/>
      <c r="AT400" s="339"/>
      <c r="AU400" s="339"/>
      <c r="AV400" s="758"/>
      <c r="AW400" s="1646"/>
      <c r="AX400" s="339"/>
      <c r="AY400" s="339"/>
      <c r="AZ400" s="758"/>
      <c r="BA400" s="1646"/>
      <c r="BB400" s="339"/>
      <c r="BC400" s="339"/>
      <c r="BD400" s="758"/>
      <c r="BE400" s="277"/>
      <c r="BF400" s="757"/>
      <c r="BG400" s="339"/>
      <c r="BH400" s="339"/>
      <c r="BI400" s="339"/>
      <c r="BJ400" s="339"/>
      <c r="BK400" s="339"/>
      <c r="BL400" s="339"/>
      <c r="BM400" s="339"/>
      <c r="BN400" s="1646"/>
      <c r="BO400" s="339"/>
      <c r="BP400" s="339"/>
      <c r="BQ400" s="339"/>
      <c r="BR400" s="339"/>
      <c r="BS400" s="339"/>
      <c r="BT400" s="339"/>
      <c r="BU400" s="339"/>
      <c r="BV400" s="339"/>
      <c r="BW400" s="339"/>
      <c r="BX400" s="339"/>
      <c r="BY400" s="758"/>
      <c r="BZ400" s="277"/>
      <c r="CA400" s="99"/>
      <c r="CB400" s="327"/>
      <c r="CC400" s="327"/>
      <c r="CD400" s="327"/>
      <c r="CE400" s="327"/>
      <c r="CF400" s="327"/>
      <c r="CG400" s="327"/>
    </row>
    <row r="401" spans="1:85" s="42" customFormat="1" ht="11.25" hidden="1" customHeight="1" outlineLevel="1">
      <c r="B401" s="83"/>
      <c r="C401" s="83"/>
      <c r="D401" s="83"/>
      <c r="E401" s="83"/>
      <c r="F401" s="83"/>
      <c r="G401" s="83"/>
      <c r="H401" s="83"/>
      <c r="I401" s="457"/>
      <c r="J401" s="321"/>
      <c r="K401" s="321"/>
      <c r="L401" s="321"/>
      <c r="M401" s="68"/>
      <c r="N401" s="68"/>
      <c r="O401" s="68"/>
      <c r="P401" s="68"/>
      <c r="Q401" s="68"/>
      <c r="R401" s="68"/>
      <c r="S401" s="68"/>
      <c r="T401" s="475"/>
      <c r="U401" s="507"/>
      <c r="V401" s="68"/>
      <c r="W401" s="68"/>
      <c r="X401" s="475"/>
      <c r="Y401" s="507"/>
      <c r="Z401" s="68"/>
      <c r="AA401" s="68"/>
      <c r="AB401" s="68"/>
      <c r="AC401" s="507"/>
      <c r="AD401" s="68"/>
      <c r="AE401" s="68"/>
      <c r="AF401" s="475"/>
      <c r="AG401" s="507"/>
      <c r="AH401" s="68"/>
      <c r="AI401" s="68"/>
      <c r="AJ401" s="475"/>
      <c r="AK401" s="507"/>
      <c r="AL401" s="68"/>
      <c r="AM401" s="68"/>
      <c r="AN401" s="475"/>
      <c r="AO401" s="507"/>
      <c r="AP401" s="68"/>
      <c r="AQ401" s="68"/>
      <c r="AR401" s="475"/>
      <c r="AS401" s="507"/>
      <c r="AT401" s="68"/>
      <c r="AU401" s="68"/>
      <c r="AV401" s="475"/>
      <c r="AW401" s="507"/>
      <c r="AX401" s="68"/>
      <c r="AY401" s="68"/>
      <c r="AZ401" s="475"/>
      <c r="BA401" s="507"/>
      <c r="BB401" s="68"/>
      <c r="BC401" s="68"/>
      <c r="BD401" s="475"/>
      <c r="BE401" s="68"/>
      <c r="BF401" s="507"/>
      <c r="BG401" s="68"/>
      <c r="BH401" s="68"/>
      <c r="BI401" s="68"/>
      <c r="BJ401" s="68"/>
      <c r="BK401" s="68"/>
      <c r="BL401" s="68"/>
      <c r="BM401" s="68"/>
      <c r="BN401" s="507"/>
      <c r="BO401" s="292"/>
      <c r="BP401" s="68"/>
      <c r="BQ401" s="68"/>
      <c r="BR401" s="68"/>
      <c r="BS401" s="68"/>
      <c r="BT401" s="68"/>
      <c r="BU401" s="68"/>
      <c r="BV401" s="68"/>
      <c r="BW401" s="68"/>
      <c r="BX401" s="68"/>
      <c r="BY401" s="475"/>
      <c r="BZ401" s="292"/>
    </row>
    <row r="402" spans="1:85" ht="11.25" hidden="1" customHeight="1" outlineLevel="1">
      <c r="A402" s="86"/>
      <c r="B402" s="191"/>
      <c r="C402" s="191"/>
      <c r="D402" s="191"/>
      <c r="E402" s="191"/>
      <c r="F402" s="191"/>
      <c r="G402" s="191"/>
      <c r="H402" s="1163"/>
      <c r="I402" s="622" t="s">
        <v>352</v>
      </c>
      <c r="J402" s="193"/>
      <c r="K402" s="67"/>
      <c r="L402" s="67"/>
      <c r="M402" s="67"/>
      <c r="N402" s="67"/>
      <c r="O402" s="67"/>
      <c r="P402" s="67"/>
      <c r="Q402" s="67"/>
      <c r="R402" s="67"/>
      <c r="S402" s="67"/>
      <c r="T402" s="581"/>
      <c r="U402" s="627"/>
      <c r="V402" s="76"/>
      <c r="W402" s="76"/>
      <c r="X402" s="614"/>
      <c r="Y402" s="627"/>
      <c r="Z402" s="76"/>
      <c r="AA402" s="76">
        <f t="shared" ref="AA402:BD402" si="772">AA371-AA408</f>
        <v>43.536239999999999</v>
      </c>
      <c r="AB402" s="76">
        <f t="shared" si="772"/>
        <v>48.272655</v>
      </c>
      <c r="AC402" s="627">
        <f t="shared" si="772"/>
        <v>51.87</v>
      </c>
      <c r="AD402" s="76">
        <f t="shared" si="772"/>
        <v>55.514510000000001</v>
      </c>
      <c r="AE402" s="76">
        <f t="shared" si="772"/>
        <v>59.9328</v>
      </c>
      <c r="AF402" s="614">
        <f t="shared" si="772"/>
        <v>63.75264</v>
      </c>
      <c r="AG402" s="627">
        <f t="shared" si="772"/>
        <v>68.686999999999998</v>
      </c>
      <c r="AH402" s="76">
        <f t="shared" si="772"/>
        <v>73.545270000000002</v>
      </c>
      <c r="AI402" s="76">
        <f t="shared" si="772"/>
        <v>78.878799999999998</v>
      </c>
      <c r="AJ402" s="614">
        <f t="shared" si="772"/>
        <v>83.308749999999989</v>
      </c>
      <c r="AK402" s="627">
        <f t="shared" si="772"/>
        <v>88.360679999999988</v>
      </c>
      <c r="AL402" s="76">
        <f t="shared" si="772"/>
        <v>93.637114999999994</v>
      </c>
      <c r="AM402" s="76">
        <f t="shared" si="772"/>
        <v>99.122739999999993</v>
      </c>
      <c r="AN402" s="614">
        <f t="shared" si="772"/>
        <v>103.776365</v>
      </c>
      <c r="AO402" s="627">
        <f t="shared" si="772"/>
        <v>108.674995</v>
      </c>
      <c r="AP402" s="76">
        <f t="shared" si="772"/>
        <v>114.40235</v>
      </c>
      <c r="AQ402" s="76">
        <f t="shared" ref="AQ402:AR402" si="773">AQ371-AQ408</f>
        <v>120.37550999999999</v>
      </c>
      <c r="AR402" s="614">
        <f t="shared" si="773"/>
        <v>125.31180999999999</v>
      </c>
      <c r="AS402" s="627">
        <f t="shared" si="772"/>
        <v>129.8304</v>
      </c>
      <c r="AT402" s="76">
        <f t="shared" si="772"/>
        <v>134.28636999999998</v>
      </c>
      <c r="AU402" s="76">
        <f t="shared" si="772"/>
        <v>138.63406999999998</v>
      </c>
      <c r="AV402" s="614">
        <f t="shared" si="772"/>
        <v>142.87844999999999</v>
      </c>
      <c r="AW402" s="627">
        <f t="shared" si="772"/>
        <v>147.06126</v>
      </c>
      <c r="AX402" s="76">
        <f t="shared" si="772"/>
        <v>151.1825</v>
      </c>
      <c r="AY402" s="76">
        <f t="shared" si="772"/>
        <v>155.19762</v>
      </c>
      <c r="AZ402" s="614">
        <f t="shared" si="772"/>
        <v>159.11147</v>
      </c>
      <c r="BA402" s="627">
        <f t="shared" si="772"/>
        <v>162.9648</v>
      </c>
      <c r="BB402" s="76">
        <f t="shared" si="772"/>
        <v>166.75761</v>
      </c>
      <c r="BC402" s="76">
        <f t="shared" si="772"/>
        <v>170.44645</v>
      </c>
      <c r="BD402" s="614">
        <f t="shared" si="772"/>
        <v>174.03607</v>
      </c>
      <c r="BE402" s="74"/>
      <c r="BF402" s="627"/>
      <c r="BG402" s="76"/>
      <c r="BH402" s="76"/>
      <c r="BI402" s="76"/>
      <c r="BJ402" s="76"/>
      <c r="BK402" s="76"/>
      <c r="BL402" s="76"/>
      <c r="BM402" s="76">
        <f>AB402</f>
        <v>48.272655</v>
      </c>
      <c r="BN402" s="627">
        <f>AF402</f>
        <v>63.75264</v>
      </c>
      <c r="BO402" s="76">
        <f>AJ402</f>
        <v>83.308749999999989</v>
      </c>
      <c r="BP402" s="428">
        <f>+AN402</f>
        <v>103.776365</v>
      </c>
      <c r="BQ402" s="428">
        <f>AR402</f>
        <v>125.31180999999999</v>
      </c>
      <c r="BR402" s="428">
        <f>AV402</f>
        <v>142.87844999999999</v>
      </c>
      <c r="BS402" s="428">
        <f>AZ402</f>
        <v>159.11147</v>
      </c>
      <c r="BT402" s="428">
        <f>BD402</f>
        <v>174.03607</v>
      </c>
      <c r="BU402" s="322">
        <f>BU371-BU408</f>
        <v>184.90203</v>
      </c>
      <c r="BV402" s="322">
        <f>BV371-BV408</f>
        <v>194.96798999999999</v>
      </c>
      <c r="BW402" s="322">
        <f>BW371-BW408</f>
        <v>204.23394999999996</v>
      </c>
      <c r="BX402" s="322">
        <f>BX371-BX408</f>
        <v>212.69990999999996</v>
      </c>
      <c r="BY402" s="734">
        <f>BY371-BY408</f>
        <v>220.36586999999994</v>
      </c>
      <c r="BZ402" s="274"/>
      <c r="CA402" s="202"/>
      <c r="CB402" s="203"/>
      <c r="CC402" s="203"/>
      <c r="CD402" s="203"/>
      <c r="CE402" s="203"/>
      <c r="CF402" s="203"/>
      <c r="CG402" s="203"/>
    </row>
    <row r="403" spans="1:85" ht="11.25" hidden="1" customHeight="1" outlineLevel="1">
      <c r="A403" s="86"/>
      <c r="B403" s="191"/>
      <c r="C403" s="191"/>
      <c r="D403" s="191"/>
      <c r="E403" s="191"/>
      <c r="F403" s="191"/>
      <c r="G403" s="191"/>
      <c r="H403" s="1163"/>
      <c r="I403" s="770" t="s">
        <v>132</v>
      </c>
      <c r="J403" s="193"/>
      <c r="K403" s="67"/>
      <c r="L403" s="67"/>
      <c r="M403" s="67"/>
      <c r="N403" s="67"/>
      <c r="O403" s="67"/>
      <c r="P403" s="67"/>
      <c r="Q403" s="67"/>
      <c r="R403" s="67"/>
      <c r="S403" s="67"/>
      <c r="T403" s="581"/>
      <c r="U403" s="751"/>
      <c r="V403" s="198"/>
      <c r="W403" s="198"/>
      <c r="X403" s="752"/>
      <c r="Y403" s="751"/>
      <c r="Z403" s="198"/>
      <c r="AA403" s="198" t="str">
        <f t="shared" ref="AA403:AJ403" si="774">IF(ISERROR(AA402/W402-1),"NA",(IF(AA402&lt;=0,"NM",AA402/W402-1)))</f>
        <v>NA</v>
      </c>
      <c r="AB403" s="198" t="str">
        <f t="shared" si="774"/>
        <v>NA</v>
      </c>
      <c r="AC403" s="751" t="str">
        <f t="shared" si="774"/>
        <v>NA</v>
      </c>
      <c r="AD403" s="198" t="str">
        <f t="shared" si="774"/>
        <v>NA</v>
      </c>
      <c r="AE403" s="198">
        <f t="shared" si="774"/>
        <v>0.37661865149585738</v>
      </c>
      <c r="AF403" s="752">
        <f t="shared" si="774"/>
        <v>0.32067813547856439</v>
      </c>
      <c r="AG403" s="751">
        <f t="shared" si="774"/>
        <v>0.32421438210911901</v>
      </c>
      <c r="AH403" s="198">
        <f t="shared" si="774"/>
        <v>0.32479364404008981</v>
      </c>
      <c r="AI403" s="198">
        <f t="shared" si="774"/>
        <v>0.31612072187516671</v>
      </c>
      <c r="AJ403" s="752">
        <f t="shared" si="774"/>
        <v>0.30674980675310048</v>
      </c>
      <c r="AK403" s="751">
        <f t="shared" ref="AK403:AR403" si="775">IF(ISERROR(AK402/AG402-1),"NA",(IF(AK402&lt;=0,"NM",AK402/AG402-1)))</f>
        <v>0.28642508771674402</v>
      </c>
      <c r="AL403" s="198">
        <f t="shared" si="775"/>
        <v>0.27319017252911015</v>
      </c>
      <c r="AM403" s="198">
        <f t="shared" si="775"/>
        <v>0.25664614573244005</v>
      </c>
      <c r="AN403" s="752">
        <f t="shared" si="775"/>
        <v>0.24568385673773774</v>
      </c>
      <c r="AO403" s="751">
        <f t="shared" si="775"/>
        <v>0.2299022031066309</v>
      </c>
      <c r="AP403" s="198">
        <f t="shared" si="775"/>
        <v>0.22176286614554508</v>
      </c>
      <c r="AQ403" s="198">
        <f t="shared" si="775"/>
        <v>0.21440862106919156</v>
      </c>
      <c r="AR403" s="752">
        <f t="shared" si="775"/>
        <v>0.20751781968851968</v>
      </c>
      <c r="AS403" s="751">
        <f t="shared" ref="AS403:BD403" si="776">IF(ISERROR(AS402/AO402-1),"NA",(IF(AS402&lt;=0,"NM",AS402/AO402-1)))</f>
        <v>0.19466672163177923</v>
      </c>
      <c r="AT403" s="198">
        <f t="shared" si="776"/>
        <v>0.17380779328396634</v>
      </c>
      <c r="AU403" s="198">
        <f t="shared" si="776"/>
        <v>0.1516800219579546</v>
      </c>
      <c r="AV403" s="752">
        <f t="shared" si="776"/>
        <v>0.14018343522450105</v>
      </c>
      <c r="AW403" s="751">
        <f t="shared" si="776"/>
        <v>0.13271822315882886</v>
      </c>
      <c r="AX403" s="198">
        <f t="shared" si="776"/>
        <v>0.12582163029650761</v>
      </c>
      <c r="AY403" s="198">
        <f t="shared" si="776"/>
        <v>0.11947676354016035</v>
      </c>
      <c r="AZ403" s="752">
        <f t="shared" si="776"/>
        <v>0.113614194442899</v>
      </c>
      <c r="BA403" s="751">
        <f t="shared" si="776"/>
        <v>0.10814228029869999</v>
      </c>
      <c r="BB403" s="198">
        <f t="shared" si="776"/>
        <v>0.10302191060473276</v>
      </c>
      <c r="BC403" s="198">
        <f t="shared" si="776"/>
        <v>9.8254277352964658E-2</v>
      </c>
      <c r="BD403" s="752">
        <f t="shared" si="776"/>
        <v>9.3799648761965448E-2</v>
      </c>
      <c r="BE403" s="264"/>
      <c r="BF403" s="751"/>
      <c r="BG403" s="198"/>
      <c r="BH403" s="198"/>
      <c r="BI403" s="198"/>
      <c r="BJ403" s="198"/>
      <c r="BK403" s="198"/>
      <c r="BL403" s="198"/>
      <c r="BM403" s="198"/>
      <c r="BN403" s="751">
        <f t="shared" ref="BN403:BT403" si="777">IF(ISERROR(BN402/BM402-1),"NA",(IF(BN402&lt;=0,"NM",BN402/BM402-1)))</f>
        <v>0.32067813547856439</v>
      </c>
      <c r="BO403" s="198">
        <f t="shared" si="777"/>
        <v>0.30674980675310048</v>
      </c>
      <c r="BP403" s="198">
        <f t="shared" si="777"/>
        <v>0.24568385673773774</v>
      </c>
      <c r="BQ403" s="198">
        <f t="shared" si="777"/>
        <v>0.20751781968851968</v>
      </c>
      <c r="BR403" s="198">
        <f t="shared" si="777"/>
        <v>0.14018343522450105</v>
      </c>
      <c r="BS403" s="198">
        <f t="shared" si="777"/>
        <v>0.113614194442899</v>
      </c>
      <c r="BT403" s="198">
        <f t="shared" si="777"/>
        <v>9.3799648761965448E-2</v>
      </c>
      <c r="BU403" s="198">
        <f>IF(ISERROR(BU402/BT402-1),"NA",(IF(BU402&lt;=0,"NM",BU402/BT402-1)))</f>
        <v>6.243510325187196E-2</v>
      </c>
      <c r="BV403" s="198">
        <f>IF(ISERROR(BV402/BU402-1),"NA",(IF(BV402&lt;=0,"NM",BV402/BU402-1)))</f>
        <v>5.4439423947914456E-2</v>
      </c>
      <c r="BW403" s="198">
        <f>IF(ISERROR(BW402/BV402-1),"NA",(IF(BW402&lt;=0,"NM",BW402/BV402-1)))</f>
        <v>4.752554509076079E-2</v>
      </c>
      <c r="BX403" s="198">
        <f>IF(ISERROR(BX402/BW402-1),"NA",(IF(BX402&lt;=0,"NM",BX402/BW402-1)))</f>
        <v>4.1452265894088569E-2</v>
      </c>
      <c r="BY403" s="752">
        <f>IF(ISERROR(BY402/BX402-1),"NA",(IF(BY402&lt;=0,"NM",BY402/BX402-1)))</f>
        <v>3.604120001743305E-2</v>
      </c>
      <c r="BZ403" s="264"/>
      <c r="CA403" s="202"/>
      <c r="CB403" s="203"/>
      <c r="CC403" s="203"/>
      <c r="CD403" s="203"/>
      <c r="CE403" s="203"/>
      <c r="CF403" s="203"/>
      <c r="CG403" s="203"/>
    </row>
    <row r="404" spans="1:85" ht="11.25" hidden="1" customHeight="1" outlineLevel="1">
      <c r="A404" s="86"/>
      <c r="B404" s="191"/>
      <c r="C404" s="191"/>
      <c r="D404" s="191"/>
      <c r="E404" s="191"/>
      <c r="F404" s="191"/>
      <c r="G404" s="191"/>
      <c r="H404" s="1163"/>
      <c r="I404" s="770" t="s">
        <v>146</v>
      </c>
      <c r="J404" s="193"/>
      <c r="K404" s="67"/>
      <c r="L404" s="67"/>
      <c r="M404" s="67"/>
      <c r="N404" s="67"/>
      <c r="O404" s="67"/>
      <c r="P404" s="67"/>
      <c r="Q404" s="67"/>
      <c r="R404" s="67"/>
      <c r="S404" s="67"/>
      <c r="T404" s="581"/>
      <c r="U404" s="751"/>
      <c r="V404" s="198"/>
      <c r="W404" s="198"/>
      <c r="X404" s="752"/>
      <c r="Y404" s="751"/>
      <c r="Z404" s="198"/>
      <c r="AA404" s="198" t="str">
        <f t="shared" ref="AA404:AJ404" si="778">IF(ISERROR(AA402/Z402-1),"NA",(IF(AA402&lt;=0,"NM",AA402/Z402-1)))</f>
        <v>NA</v>
      </c>
      <c r="AB404" s="198">
        <f t="shared" si="778"/>
        <v>0.10879246806798193</v>
      </c>
      <c r="AC404" s="751">
        <f t="shared" si="778"/>
        <v>7.4521382758002463E-2</v>
      </c>
      <c r="AD404" s="198">
        <f t="shared" si="778"/>
        <v>7.0262386736070992E-2</v>
      </c>
      <c r="AE404" s="198">
        <f t="shared" si="778"/>
        <v>7.9588021221839167E-2</v>
      </c>
      <c r="AF404" s="752">
        <f t="shared" si="778"/>
        <v>6.3735383629665243E-2</v>
      </c>
      <c r="AG404" s="751">
        <f t="shared" si="778"/>
        <v>7.7398520280885563E-2</v>
      </c>
      <c r="AH404" s="198">
        <f t="shared" si="778"/>
        <v>7.0730560368046369E-2</v>
      </c>
      <c r="AI404" s="198">
        <f t="shared" si="778"/>
        <v>7.2520367387324702E-2</v>
      </c>
      <c r="AJ404" s="752">
        <f t="shared" si="778"/>
        <v>5.616147811579264E-2</v>
      </c>
      <c r="AK404" s="751">
        <f t="shared" ref="AK404:AR404" si="779">IF(ISERROR(AK402/AJ402-1),"NA",(IF(AK402&lt;=0,"NM",AK402/AJ402-1)))</f>
        <v>6.0641049109487311E-2</v>
      </c>
      <c r="AL404" s="198">
        <f t="shared" si="779"/>
        <v>5.9714739633058622E-2</v>
      </c>
      <c r="AM404" s="198">
        <f t="shared" si="779"/>
        <v>5.8583874567258887E-2</v>
      </c>
      <c r="AN404" s="752">
        <f t="shared" si="779"/>
        <v>4.6948106963144998E-2</v>
      </c>
      <c r="AO404" s="751">
        <f t="shared" si="779"/>
        <v>4.7203715412464042E-2</v>
      </c>
      <c r="AP404" s="198">
        <f t="shared" si="779"/>
        <v>5.2701681743808626E-2</v>
      </c>
      <c r="AQ404" s="198">
        <f t="shared" si="779"/>
        <v>5.2211864529006613E-2</v>
      </c>
      <c r="AR404" s="752">
        <f t="shared" si="779"/>
        <v>4.1007510580848283E-2</v>
      </c>
      <c r="AS404" s="751">
        <f t="shared" ref="AS404:BD404" si="780">IF(ISERROR(AS402/AR402-1),"NA",(IF(AS402&lt;=0,"NM",AS402/AR402-1)))</f>
        <v>3.6058772114136772E-2</v>
      </c>
      <c r="AT404" s="198">
        <f t="shared" si="780"/>
        <v>3.4321468623681239E-2</v>
      </c>
      <c r="AU404" s="198">
        <f t="shared" si="780"/>
        <v>3.237633126876549E-2</v>
      </c>
      <c r="AV404" s="752">
        <f t="shared" si="780"/>
        <v>3.0615706514278918E-2</v>
      </c>
      <c r="AW404" s="751">
        <f t="shared" si="780"/>
        <v>2.9275303588469859E-2</v>
      </c>
      <c r="AX404" s="198">
        <f t="shared" si="780"/>
        <v>2.8023967698903141E-2</v>
      </c>
      <c r="AY404" s="198">
        <f t="shared" si="780"/>
        <v>2.6558100309228783E-2</v>
      </c>
      <c r="AZ404" s="752">
        <f t="shared" si="780"/>
        <v>2.5218492396983816E-2</v>
      </c>
      <c r="BA404" s="751">
        <f t="shared" si="780"/>
        <v>2.4217801519903048E-2</v>
      </c>
      <c r="BB404" s="198">
        <f t="shared" si="780"/>
        <v>2.3273799004447593E-2</v>
      </c>
      <c r="BC404" s="198">
        <f t="shared" si="780"/>
        <v>2.2120969471798091E-2</v>
      </c>
      <c r="BD404" s="752">
        <f t="shared" si="780"/>
        <v>2.1060104214549513E-2</v>
      </c>
      <c r="BE404" s="264"/>
      <c r="BF404" s="751"/>
      <c r="BG404" s="198"/>
      <c r="BH404" s="198"/>
      <c r="BI404" s="198"/>
      <c r="BJ404" s="198"/>
      <c r="BK404" s="198"/>
      <c r="BL404" s="198"/>
      <c r="BM404" s="198"/>
      <c r="BN404" s="751"/>
      <c r="BO404" s="198"/>
      <c r="BP404" s="198"/>
      <c r="BQ404" s="198"/>
      <c r="BR404" s="198"/>
      <c r="BS404" s="198"/>
      <c r="BT404" s="198"/>
      <c r="BU404" s="198"/>
      <c r="BV404" s="198"/>
      <c r="BW404" s="198"/>
      <c r="BX404" s="198"/>
      <c r="BY404" s="752"/>
      <c r="BZ404" s="264"/>
      <c r="CA404" s="202"/>
      <c r="CB404" s="203"/>
      <c r="CC404" s="203"/>
      <c r="CD404" s="203"/>
      <c r="CE404" s="203"/>
      <c r="CF404" s="203"/>
      <c r="CG404" s="203"/>
    </row>
    <row r="405" spans="1:85" ht="11.25" hidden="1" customHeight="1" outlineLevel="1">
      <c r="A405" s="86"/>
      <c r="B405" s="191"/>
      <c r="C405" s="191"/>
      <c r="D405" s="191"/>
      <c r="E405" s="191"/>
      <c r="F405" s="191"/>
      <c r="G405" s="191"/>
      <c r="H405" s="1163"/>
      <c r="I405" s="773" t="s">
        <v>350</v>
      </c>
      <c r="J405" s="192"/>
      <c r="K405" s="331"/>
      <c r="L405" s="331"/>
      <c r="M405" s="67"/>
      <c r="N405" s="67"/>
      <c r="O405" s="67"/>
      <c r="P405" s="67"/>
      <c r="Q405" s="67"/>
      <c r="R405" s="67"/>
      <c r="S405" s="67"/>
      <c r="T405" s="581"/>
      <c r="U405" s="767"/>
      <c r="V405" s="186"/>
      <c r="W405" s="259"/>
      <c r="X405" s="774"/>
      <c r="Y405" s="767"/>
      <c r="Z405" s="259"/>
      <c r="AA405" s="259">
        <f t="shared" ref="AA405:AJ405" si="781">AA402/AA$371</f>
        <v>0.91999999999999993</v>
      </c>
      <c r="AB405" s="259">
        <f t="shared" si="781"/>
        <v>0.91500000000000004</v>
      </c>
      <c r="AC405" s="759">
        <f t="shared" si="781"/>
        <v>0.90999999999999992</v>
      </c>
      <c r="AD405" s="259">
        <f t="shared" si="781"/>
        <v>0.90500000000000003</v>
      </c>
      <c r="AE405" s="259">
        <f t="shared" si="781"/>
        <v>0.9</v>
      </c>
      <c r="AF405" s="760">
        <f t="shared" si="781"/>
        <v>0.89500000000000002</v>
      </c>
      <c r="AG405" s="759">
        <f t="shared" si="781"/>
        <v>0.88804850929589108</v>
      </c>
      <c r="AH405" s="259">
        <f t="shared" si="781"/>
        <v>0.88500000000000001</v>
      </c>
      <c r="AI405" s="259">
        <f t="shared" si="781"/>
        <v>0.87999999999999989</v>
      </c>
      <c r="AJ405" s="760">
        <f t="shared" si="781"/>
        <v>0.87499999999999989</v>
      </c>
      <c r="AK405" s="759">
        <f t="shared" ref="AK405:AP405" si="782">AK402/AK$371</f>
        <v>0.87</v>
      </c>
      <c r="AL405" s="259">
        <f t="shared" si="782"/>
        <v>0.86499999999999988</v>
      </c>
      <c r="AM405" s="259">
        <f t="shared" si="782"/>
        <v>0.86</v>
      </c>
      <c r="AN405" s="760">
        <f t="shared" si="782"/>
        <v>0.85749999999999993</v>
      </c>
      <c r="AO405" s="759">
        <f>AO402/AO$371</f>
        <v>0.85250000000000004</v>
      </c>
      <c r="AP405" s="259">
        <f t="shared" si="782"/>
        <v>0.85</v>
      </c>
      <c r="AQ405" s="259">
        <f t="shared" ref="AQ405:AR405" si="783">AQ402/AQ$371</f>
        <v>0.84749999999999992</v>
      </c>
      <c r="AR405" s="760">
        <f t="shared" si="783"/>
        <v>0.84499999999999997</v>
      </c>
      <c r="AS405" s="759">
        <f t="shared" ref="AS405:BD405" si="784">AS402/AS$371</f>
        <v>0.84</v>
      </c>
      <c r="AT405" s="259">
        <f t="shared" si="784"/>
        <v>0.83499999999999985</v>
      </c>
      <c r="AU405" s="259">
        <f t="shared" si="784"/>
        <v>0.82999999999999985</v>
      </c>
      <c r="AV405" s="760">
        <f t="shared" si="784"/>
        <v>0.82499999999999984</v>
      </c>
      <c r="AW405" s="759">
        <f t="shared" si="784"/>
        <v>0.82</v>
      </c>
      <c r="AX405" s="259">
        <f t="shared" si="784"/>
        <v>0.81499999999999995</v>
      </c>
      <c r="AY405" s="259">
        <f t="shared" si="784"/>
        <v>0.80999999999999983</v>
      </c>
      <c r="AZ405" s="760">
        <f t="shared" si="784"/>
        <v>0.80499999999999994</v>
      </c>
      <c r="BA405" s="759">
        <f t="shared" si="784"/>
        <v>0.79999999999999993</v>
      </c>
      <c r="BB405" s="259">
        <f t="shared" si="784"/>
        <v>0.79499999999999993</v>
      </c>
      <c r="BC405" s="259">
        <f t="shared" si="784"/>
        <v>0.78999999999999992</v>
      </c>
      <c r="BD405" s="760">
        <f t="shared" si="784"/>
        <v>0.78499999999999992</v>
      </c>
      <c r="BE405" s="261"/>
      <c r="BF405" s="767"/>
      <c r="BG405" s="186"/>
      <c r="BH405" s="186"/>
      <c r="BI405" s="186"/>
      <c r="BJ405" s="186"/>
      <c r="BK405" s="186"/>
      <c r="BL405" s="186"/>
      <c r="BM405" s="259">
        <f t="shared" ref="BM405:BT405" si="785">BM402/BM$371</f>
        <v>0.91500000000000004</v>
      </c>
      <c r="BN405" s="759">
        <f t="shared" si="785"/>
        <v>0.89500000000000002</v>
      </c>
      <c r="BO405" s="259">
        <f t="shared" si="785"/>
        <v>0.87499999999999989</v>
      </c>
      <c r="BP405" s="259">
        <f t="shared" si="785"/>
        <v>0.85749999999999993</v>
      </c>
      <c r="BQ405" s="259">
        <f t="shared" si="785"/>
        <v>0.84499999999999997</v>
      </c>
      <c r="BR405" s="259">
        <f>BR402/BR$371</f>
        <v>0.82499999999999984</v>
      </c>
      <c r="BS405" s="259">
        <f t="shared" si="785"/>
        <v>0.80499999999999994</v>
      </c>
      <c r="BT405" s="259">
        <f t="shared" si="785"/>
        <v>0.78499999999999992</v>
      </c>
      <c r="BU405" s="259">
        <f>BU402/BU$371</f>
        <v>0.7649999999999999</v>
      </c>
      <c r="BV405" s="259">
        <f>BV402/BV$371</f>
        <v>0.745</v>
      </c>
      <c r="BW405" s="259">
        <f>BW402/BW$371</f>
        <v>0.72499999999999987</v>
      </c>
      <c r="BX405" s="259">
        <f>BX402/BX$371</f>
        <v>0.70499999999999985</v>
      </c>
      <c r="BY405" s="760">
        <f>BY402/BY$371</f>
        <v>0.68499999999999983</v>
      </c>
      <c r="BZ405" s="261"/>
      <c r="CA405" s="202"/>
      <c r="CB405" s="203"/>
      <c r="CC405" s="203"/>
      <c r="CD405" s="203"/>
      <c r="CE405" s="203"/>
      <c r="CF405" s="203"/>
      <c r="CG405" s="203"/>
    </row>
    <row r="406" spans="1:85" ht="11.25" hidden="1" customHeight="1" outlineLevel="1">
      <c r="A406" s="86"/>
      <c r="B406" s="191"/>
      <c r="C406" s="191"/>
      <c r="D406" s="191"/>
      <c r="E406" s="191"/>
      <c r="F406" s="191"/>
      <c r="G406" s="191"/>
      <c r="H406" s="1163"/>
      <c r="I406" s="770"/>
      <c r="J406" s="193"/>
      <c r="K406" s="67"/>
      <c r="L406" s="67"/>
      <c r="M406" s="67"/>
      <c r="N406" s="67"/>
      <c r="O406" s="67"/>
      <c r="P406" s="67"/>
      <c r="Q406" s="67"/>
      <c r="R406" s="67"/>
      <c r="S406" s="67"/>
      <c r="T406" s="581"/>
      <c r="U406" s="755"/>
      <c r="V406" s="332"/>
      <c r="W406" s="332"/>
      <c r="X406" s="756"/>
      <c r="Y406" s="755"/>
      <c r="Z406" s="332"/>
      <c r="AA406" s="332"/>
      <c r="AB406" s="332"/>
      <c r="AC406" s="755"/>
      <c r="AD406" s="332"/>
      <c r="AE406" s="332"/>
      <c r="AF406" s="756"/>
      <c r="AG406" s="755"/>
      <c r="AH406" s="332"/>
      <c r="AI406" s="332"/>
      <c r="AJ406" s="756"/>
      <c r="AK406" s="755"/>
      <c r="AL406" s="332"/>
      <c r="AM406" s="332"/>
      <c r="AN406" s="756"/>
      <c r="AO406" s="755"/>
      <c r="AP406" s="332"/>
      <c r="AQ406" s="332"/>
      <c r="AR406" s="756"/>
      <c r="AS406" s="755"/>
      <c r="AT406" s="332"/>
      <c r="AU406" s="332"/>
      <c r="AV406" s="756"/>
      <c r="AW406" s="755"/>
      <c r="AX406" s="332"/>
      <c r="AY406" s="332"/>
      <c r="AZ406" s="756"/>
      <c r="BA406" s="755"/>
      <c r="BB406" s="332"/>
      <c r="BC406" s="332"/>
      <c r="BD406" s="756"/>
      <c r="BE406" s="276"/>
      <c r="BF406" s="755"/>
      <c r="BG406" s="332"/>
      <c r="BH406" s="332"/>
      <c r="BI406" s="332"/>
      <c r="BJ406" s="332"/>
      <c r="BK406" s="332"/>
      <c r="BL406" s="332"/>
      <c r="BM406" s="332"/>
      <c r="BN406" s="755"/>
      <c r="BO406" s="332"/>
      <c r="BP406" s="332"/>
      <c r="BQ406" s="332"/>
      <c r="BR406" s="332"/>
      <c r="BS406" s="332"/>
      <c r="BT406" s="332"/>
      <c r="BU406" s="332"/>
      <c r="BV406" s="332"/>
      <c r="BW406" s="332"/>
      <c r="BX406" s="332"/>
      <c r="BY406" s="756"/>
      <c r="BZ406" s="276"/>
      <c r="CA406" s="202"/>
      <c r="CB406" s="203"/>
      <c r="CC406" s="203"/>
      <c r="CD406" s="203"/>
      <c r="CE406" s="203"/>
      <c r="CF406" s="203"/>
      <c r="CG406" s="203"/>
    </row>
    <row r="407" spans="1:85" ht="11.25" hidden="1" customHeight="1" outlineLevel="1">
      <c r="A407" s="86"/>
      <c r="B407" s="191"/>
      <c r="C407" s="191"/>
      <c r="D407" s="191"/>
      <c r="E407" s="191"/>
      <c r="F407" s="191"/>
      <c r="G407" s="191"/>
      <c r="H407" s="1163"/>
      <c r="I407" s="770"/>
      <c r="J407" s="193"/>
      <c r="K407" s="67"/>
      <c r="L407" s="67"/>
      <c r="M407" s="67"/>
      <c r="N407" s="67"/>
      <c r="O407" s="67"/>
      <c r="P407" s="67"/>
      <c r="Q407" s="67"/>
      <c r="R407" s="67"/>
      <c r="S407" s="67"/>
      <c r="T407" s="581"/>
      <c r="U407" s="755"/>
      <c r="V407" s="332"/>
      <c r="W407" s="332"/>
      <c r="X407" s="756"/>
      <c r="Y407" s="755"/>
      <c r="Z407" s="332"/>
      <c r="AA407" s="332"/>
      <c r="AB407" s="332"/>
      <c r="AC407" s="755"/>
      <c r="AD407" s="332"/>
      <c r="AE407" s="332"/>
      <c r="AF407" s="756"/>
      <c r="AG407" s="755"/>
      <c r="AH407" s="332"/>
      <c r="AI407" s="332"/>
      <c r="AJ407" s="756"/>
      <c r="AK407" s="755"/>
      <c r="AL407" s="332"/>
      <c r="AM407" s="332"/>
      <c r="AN407" s="756"/>
      <c r="AO407" s="755"/>
      <c r="AP407" s="332"/>
      <c r="AQ407" s="332"/>
      <c r="AR407" s="756"/>
      <c r="AS407" s="755"/>
      <c r="AT407" s="332"/>
      <c r="AU407" s="332"/>
      <c r="AV407" s="756"/>
      <c r="AW407" s="755"/>
      <c r="AX407" s="332"/>
      <c r="AY407" s="332"/>
      <c r="AZ407" s="756"/>
      <c r="BA407" s="755"/>
      <c r="BB407" s="332"/>
      <c r="BC407" s="332"/>
      <c r="BD407" s="756"/>
      <c r="BE407" s="276"/>
      <c r="BF407" s="755"/>
      <c r="BG407" s="332"/>
      <c r="BH407" s="332"/>
      <c r="BI407" s="332"/>
      <c r="BJ407" s="332"/>
      <c r="BK407" s="332"/>
      <c r="BL407" s="332"/>
      <c r="BM407" s="332"/>
      <c r="BN407" s="755"/>
      <c r="BO407" s="332"/>
      <c r="BP407" s="332"/>
      <c r="BQ407" s="332"/>
      <c r="BR407" s="332"/>
      <c r="BS407" s="332"/>
      <c r="BT407" s="332"/>
      <c r="BU407" s="332"/>
      <c r="BV407" s="332"/>
      <c r="BW407" s="332"/>
      <c r="BX407" s="332"/>
      <c r="BY407" s="756"/>
      <c r="BZ407" s="276"/>
      <c r="CA407" s="202"/>
      <c r="CB407" s="203"/>
      <c r="CC407" s="203"/>
      <c r="CD407" s="203"/>
      <c r="CE407" s="203"/>
      <c r="CF407" s="203"/>
      <c r="CG407" s="203"/>
    </row>
    <row r="408" spans="1:85" ht="11.25" hidden="1" customHeight="1" outlineLevel="1">
      <c r="A408" s="86"/>
      <c r="B408" s="191"/>
      <c r="C408" s="191"/>
      <c r="D408" s="191"/>
      <c r="E408" s="191"/>
      <c r="F408" s="191"/>
      <c r="G408" s="191"/>
      <c r="H408" s="1163"/>
      <c r="I408" s="622" t="s">
        <v>353</v>
      </c>
      <c r="J408" s="193"/>
      <c r="K408" s="67"/>
      <c r="L408" s="67"/>
      <c r="M408" s="67"/>
      <c r="N408" s="67"/>
      <c r="O408" s="67"/>
      <c r="P408" s="67"/>
      <c r="Q408" s="67"/>
      <c r="R408" s="67"/>
      <c r="S408" s="67"/>
      <c r="T408" s="581"/>
      <c r="U408" s="627"/>
      <c r="V408" s="76"/>
      <c r="W408" s="76"/>
      <c r="X408" s="614"/>
      <c r="Y408" s="627"/>
      <c r="Z408" s="76"/>
      <c r="AA408" s="76">
        <f t="shared" ref="AA408:AF408" si="786">AA371*AA411</f>
        <v>3.7857600000000002</v>
      </c>
      <c r="AB408" s="76">
        <f t="shared" si="786"/>
        <v>4.4843450000000002</v>
      </c>
      <c r="AC408" s="627">
        <f t="shared" si="786"/>
        <v>5.1300000000000008</v>
      </c>
      <c r="AD408" s="76">
        <f t="shared" si="786"/>
        <v>5.8274900000000009</v>
      </c>
      <c r="AE408" s="76">
        <f t="shared" si="786"/>
        <v>6.6592000000000011</v>
      </c>
      <c r="AF408" s="614">
        <f t="shared" si="786"/>
        <v>7.4793600000000016</v>
      </c>
      <c r="AG408" s="627">
        <v>8.6590000000000007</v>
      </c>
      <c r="AH408" s="76">
        <f t="shared" ref="AH408:BD408" si="787">AH371*AH411</f>
        <v>9.5567300000000035</v>
      </c>
      <c r="AI408" s="76">
        <f t="shared" si="787"/>
        <v>10.756200000000003</v>
      </c>
      <c r="AJ408" s="614">
        <f t="shared" si="787"/>
        <v>11.901250000000001</v>
      </c>
      <c r="AK408" s="627">
        <f t="shared" si="787"/>
        <v>13.203320000000001</v>
      </c>
      <c r="AL408" s="76">
        <f t="shared" si="787"/>
        <v>14.613885000000005</v>
      </c>
      <c r="AM408" s="76">
        <f t="shared" si="787"/>
        <v>16.136260000000004</v>
      </c>
      <c r="AN408" s="614">
        <f t="shared" si="787"/>
        <v>17.245635000000007</v>
      </c>
      <c r="AO408" s="627">
        <f t="shared" si="787"/>
        <v>18.803005000000006</v>
      </c>
      <c r="AP408" s="76">
        <f t="shared" si="787"/>
        <v>20.188650000000006</v>
      </c>
      <c r="AQ408" s="76">
        <f t="shared" ref="AQ408:AR408" si="788">AQ371*AQ411</f>
        <v>21.660490000000006</v>
      </c>
      <c r="AR408" s="614">
        <f t="shared" si="788"/>
        <v>22.986190000000008</v>
      </c>
      <c r="AS408" s="627">
        <f t="shared" si="787"/>
        <v>24.729600000000008</v>
      </c>
      <c r="AT408" s="76">
        <f t="shared" si="787"/>
        <v>26.535630000000012</v>
      </c>
      <c r="AU408" s="76">
        <f t="shared" si="787"/>
        <v>28.394930000000009</v>
      </c>
      <c r="AV408" s="614">
        <f t="shared" si="787"/>
        <v>30.307550000000013</v>
      </c>
      <c r="AW408" s="627">
        <f t="shared" si="787"/>
        <v>32.281740000000013</v>
      </c>
      <c r="AX408" s="76">
        <f t="shared" si="787"/>
        <v>34.317500000000017</v>
      </c>
      <c r="AY408" s="76">
        <f t="shared" si="787"/>
        <v>36.404380000000025</v>
      </c>
      <c r="AZ408" s="614">
        <f t="shared" si="787"/>
        <v>38.542530000000021</v>
      </c>
      <c r="BA408" s="627">
        <f t="shared" si="787"/>
        <v>40.741200000000021</v>
      </c>
      <c r="BB408" s="76">
        <f t="shared" si="787"/>
        <v>43.000390000000024</v>
      </c>
      <c r="BC408" s="76">
        <f t="shared" si="787"/>
        <v>45.308550000000025</v>
      </c>
      <c r="BD408" s="614">
        <f t="shared" si="787"/>
        <v>47.665930000000031</v>
      </c>
      <c r="BE408" s="74"/>
      <c r="BF408" s="627"/>
      <c r="BG408" s="76"/>
      <c r="BH408" s="76"/>
      <c r="BI408" s="76"/>
      <c r="BJ408" s="76"/>
      <c r="BK408" s="76"/>
      <c r="BL408" s="76"/>
      <c r="BM408" s="76">
        <f>AB408</f>
        <v>4.4843450000000002</v>
      </c>
      <c r="BN408" s="627">
        <f>AF408</f>
        <v>7.4793600000000016</v>
      </c>
      <c r="BO408" s="76">
        <f>AJ408</f>
        <v>11.901250000000001</v>
      </c>
      <c r="BP408" s="428">
        <f>+AN408</f>
        <v>17.245635000000007</v>
      </c>
      <c r="BQ408" s="428">
        <f>AR408</f>
        <v>22.986190000000008</v>
      </c>
      <c r="BR408" s="428">
        <f>AV408</f>
        <v>30.307550000000013</v>
      </c>
      <c r="BS408" s="428">
        <f>AZ408</f>
        <v>38.542530000000021</v>
      </c>
      <c r="BT408" s="428">
        <f>BD408</f>
        <v>47.665930000000031</v>
      </c>
      <c r="BU408" s="322">
        <f>BU371*BU411</f>
        <v>56.79997000000003</v>
      </c>
      <c r="BV408" s="322">
        <f>BV371*BV411</f>
        <v>66.734010000000026</v>
      </c>
      <c r="BW408" s="322">
        <f>BW371*BW411</f>
        <v>77.468050000000034</v>
      </c>
      <c r="BX408" s="322">
        <f>BX371*BX411</f>
        <v>89.002090000000038</v>
      </c>
      <c r="BY408" s="734">
        <f>BY371*BY411</f>
        <v>101.33613000000005</v>
      </c>
      <c r="BZ408" s="274"/>
      <c r="CA408" s="202"/>
      <c r="CB408" s="203"/>
      <c r="CC408" s="203"/>
      <c r="CD408" s="203"/>
      <c r="CE408" s="203"/>
      <c r="CF408" s="203"/>
      <c r="CG408" s="203"/>
    </row>
    <row r="409" spans="1:85" ht="11.25" hidden="1" customHeight="1" outlineLevel="1">
      <c r="A409" s="86"/>
      <c r="B409" s="191"/>
      <c r="C409" s="191"/>
      <c r="D409" s="191"/>
      <c r="E409" s="191"/>
      <c r="F409" s="191"/>
      <c r="G409" s="191"/>
      <c r="H409" s="1163"/>
      <c r="I409" s="770" t="s">
        <v>132</v>
      </c>
      <c r="J409" s="193"/>
      <c r="K409" s="67"/>
      <c r="L409" s="67"/>
      <c r="M409" s="67"/>
      <c r="N409" s="67"/>
      <c r="O409" s="67"/>
      <c r="P409" s="67"/>
      <c r="Q409" s="67"/>
      <c r="R409" s="67"/>
      <c r="S409" s="67"/>
      <c r="T409" s="581"/>
      <c r="U409" s="751"/>
      <c r="V409" s="198"/>
      <c r="W409" s="198"/>
      <c r="X409" s="752"/>
      <c r="Y409" s="751"/>
      <c r="Z409" s="198"/>
      <c r="AA409" s="198" t="str">
        <f t="shared" ref="AA409:AJ409" si="789">IF(ISERROR(AA408/W408-1),"NA",(IF(AA408&lt;=0,"NM",AA408/W408-1)))</f>
        <v>NA</v>
      </c>
      <c r="AB409" s="198" t="str">
        <f t="shared" si="789"/>
        <v>NA</v>
      </c>
      <c r="AC409" s="751" t="str">
        <f t="shared" si="789"/>
        <v>NA</v>
      </c>
      <c r="AD409" s="198" t="str">
        <f t="shared" si="789"/>
        <v>NA</v>
      </c>
      <c r="AE409" s="198">
        <f t="shared" si="789"/>
        <v>0.75901272135581777</v>
      </c>
      <c r="AF409" s="752">
        <f t="shared" si="789"/>
        <v>0.66788237747095747</v>
      </c>
      <c r="AG409" s="751">
        <f t="shared" si="789"/>
        <v>0.68791423001949314</v>
      </c>
      <c r="AH409" s="198">
        <f t="shared" si="789"/>
        <v>0.63993932207519899</v>
      </c>
      <c r="AI409" s="198">
        <f t="shared" si="789"/>
        <v>0.61523906775588677</v>
      </c>
      <c r="AJ409" s="752">
        <f t="shared" si="789"/>
        <v>0.59121234971976189</v>
      </c>
      <c r="AK409" s="751">
        <f t="shared" ref="AK409:AR409" si="790">IF(ISERROR(AK408/AG408-1),"NA",(IF(AK408&lt;=0,"NM",AK408/AG408-1)))</f>
        <v>0.52480886938445548</v>
      </c>
      <c r="AL409" s="198">
        <f t="shared" si="790"/>
        <v>0.52917211221830063</v>
      </c>
      <c r="AM409" s="198">
        <f t="shared" si="790"/>
        <v>0.50018222048678895</v>
      </c>
      <c r="AN409" s="752">
        <f t="shared" si="790"/>
        <v>0.4490608129398177</v>
      </c>
      <c r="AO409" s="751">
        <f t="shared" si="790"/>
        <v>0.42411189003977823</v>
      </c>
      <c r="AP409" s="198">
        <f t="shared" si="790"/>
        <v>0.38147043034757688</v>
      </c>
      <c r="AQ409" s="198">
        <f t="shared" si="790"/>
        <v>0.3423488466348461</v>
      </c>
      <c r="AR409" s="752">
        <f t="shared" si="790"/>
        <v>0.332870027691065</v>
      </c>
      <c r="AS409" s="751">
        <f t="shared" ref="AS409:BD409" si="791">IF(ISERROR(AS408/AO408-1),"NA",(IF(AS408&lt;=0,"NM",AS408/AO408-1)))</f>
        <v>0.31519403414507408</v>
      </c>
      <c r="AT409" s="198">
        <f t="shared" si="791"/>
        <v>0.31438357691078922</v>
      </c>
      <c r="AU409" s="198">
        <f t="shared" si="791"/>
        <v>0.31090894065646713</v>
      </c>
      <c r="AV409" s="752">
        <f t="shared" si="791"/>
        <v>0.31851124523028851</v>
      </c>
      <c r="AW409" s="751">
        <f t="shared" si="791"/>
        <v>0.30538868400621122</v>
      </c>
      <c r="AX409" s="198">
        <f t="shared" si="791"/>
        <v>0.29326117375016159</v>
      </c>
      <c r="AY409" s="198">
        <f t="shared" si="791"/>
        <v>0.28207324335717732</v>
      </c>
      <c r="AZ409" s="752">
        <f t="shared" si="791"/>
        <v>0.27171381388465932</v>
      </c>
      <c r="BA409" s="751">
        <f t="shared" si="791"/>
        <v>0.26205093034018634</v>
      </c>
      <c r="BB409" s="198">
        <f t="shared" si="791"/>
        <v>0.25301639105412699</v>
      </c>
      <c r="BC409" s="198">
        <f t="shared" si="791"/>
        <v>0.24459062343597093</v>
      </c>
      <c r="BD409" s="752">
        <f t="shared" si="791"/>
        <v>0.23670994094056641</v>
      </c>
      <c r="BE409" s="264"/>
      <c r="BF409" s="751"/>
      <c r="BG409" s="198"/>
      <c r="BH409" s="198"/>
      <c r="BI409" s="198"/>
      <c r="BJ409" s="198"/>
      <c r="BK409" s="198"/>
      <c r="BL409" s="198"/>
      <c r="BM409" s="198"/>
      <c r="BN409" s="751">
        <f t="shared" ref="BN409:BT409" si="792">IF(ISERROR(BN408/BM408-1),"NA",(IF(BN408&lt;=0,"NM",BN408/BM408-1)))</f>
        <v>0.66788237747095747</v>
      </c>
      <c r="BO409" s="198">
        <f t="shared" si="792"/>
        <v>0.59121234971976189</v>
      </c>
      <c r="BP409" s="198">
        <f t="shared" si="792"/>
        <v>0.4490608129398177</v>
      </c>
      <c r="BQ409" s="198">
        <f t="shared" si="792"/>
        <v>0.332870027691065</v>
      </c>
      <c r="BR409" s="198">
        <f t="shared" si="792"/>
        <v>0.31851124523028851</v>
      </c>
      <c r="BS409" s="198">
        <f t="shared" si="792"/>
        <v>0.27171381388465932</v>
      </c>
      <c r="BT409" s="198">
        <f t="shared" si="792"/>
        <v>0.23670994094056641</v>
      </c>
      <c r="BU409" s="198">
        <f>IF(ISERROR(BU408/BT408-1),"NA",(IF(BU408&lt;=0,"NM",BU408/BT408-1)))</f>
        <v>0.19162617827869921</v>
      </c>
      <c r="BV409" s="198">
        <f>IF(ISERROR(BV408/BU408-1),"NA",(IF(BV408&lt;=0,"NM",BV408/BU408-1)))</f>
        <v>0.17489516279674078</v>
      </c>
      <c r="BW409" s="198">
        <f>IF(ISERROR(BW408/BV408-1),"NA",(IF(BW408&lt;=0,"NM",BW408/BV408-1)))</f>
        <v>0.16084811927231701</v>
      </c>
      <c r="BX409" s="198">
        <f>IF(ISERROR(BX408/BW408-1),"NA",(IF(BX408&lt;=0,"NM",BX408/BW408-1)))</f>
        <v>0.14888770273680563</v>
      </c>
      <c r="BY409" s="752">
        <f>IF(ISERROR(BY408/BX408-1),"NA",(IF(BY408&lt;=0,"NM",BY408/BX408-1)))</f>
        <v>0.13858146477234423</v>
      </c>
      <c r="BZ409" s="264"/>
      <c r="CA409" s="202"/>
      <c r="CB409" s="203"/>
      <c r="CC409" s="203"/>
      <c r="CD409" s="203"/>
      <c r="CE409" s="203"/>
      <c r="CF409" s="203"/>
      <c r="CG409" s="203"/>
    </row>
    <row r="410" spans="1:85" ht="11.25" hidden="1" customHeight="1" outlineLevel="1">
      <c r="A410" s="86"/>
      <c r="B410" s="191"/>
      <c r="C410" s="191"/>
      <c r="D410" s="191"/>
      <c r="E410" s="191"/>
      <c r="F410" s="191"/>
      <c r="G410" s="191"/>
      <c r="H410" s="1163"/>
      <c r="I410" s="770" t="s">
        <v>146</v>
      </c>
      <c r="J410" s="193"/>
      <c r="K410" s="67"/>
      <c r="L410" s="67"/>
      <c r="M410" s="67"/>
      <c r="N410" s="67"/>
      <c r="O410" s="67"/>
      <c r="P410" s="67"/>
      <c r="Q410" s="67"/>
      <c r="R410" s="67"/>
      <c r="S410" s="67"/>
      <c r="T410" s="581"/>
      <c r="U410" s="751"/>
      <c r="V410" s="198"/>
      <c r="W410" s="198"/>
      <c r="X410" s="752"/>
      <c r="Y410" s="751"/>
      <c r="Z410" s="198"/>
      <c r="AA410" s="198" t="str">
        <f t="shared" ref="AA410:AJ410" si="793">IF(ISERROR(AA408/Z408-1),"NA",(IF(AA408&lt;=0,"NM",AA408/Z408-1)))</f>
        <v>NA</v>
      </c>
      <c r="AB410" s="198">
        <f t="shared" si="793"/>
        <v>0.18452965850978398</v>
      </c>
      <c r="AC410" s="751">
        <f t="shared" si="793"/>
        <v>0.14397977854067889</v>
      </c>
      <c r="AD410" s="198">
        <f t="shared" si="793"/>
        <v>0.13596296296296306</v>
      </c>
      <c r="AE410" s="198">
        <f t="shared" si="793"/>
        <v>0.14272182363247299</v>
      </c>
      <c r="AF410" s="752">
        <f t="shared" si="793"/>
        <v>0.12316194137433922</v>
      </c>
      <c r="AG410" s="751">
        <f t="shared" si="793"/>
        <v>0.15771937705899952</v>
      </c>
      <c r="AH410" s="198">
        <f t="shared" si="793"/>
        <v>0.1036759441044004</v>
      </c>
      <c r="AI410" s="198">
        <f t="shared" si="793"/>
        <v>0.12551050411594744</v>
      </c>
      <c r="AJ410" s="752">
        <f t="shared" si="793"/>
        <v>0.10645488183559215</v>
      </c>
      <c r="AK410" s="751">
        <f t="shared" ref="AK410:AR410" si="794">IF(ISERROR(AK408/AJ408-1),"NA",(IF(AK408&lt;=0,"NM",AK408/AJ408-1)))</f>
        <v>0.10940615481567062</v>
      </c>
      <c r="AL410" s="198">
        <f t="shared" si="794"/>
        <v>0.10683411445000224</v>
      </c>
      <c r="AM410" s="198">
        <f t="shared" si="794"/>
        <v>0.10417318871744219</v>
      </c>
      <c r="AN410" s="752">
        <f t="shared" si="794"/>
        <v>6.8750441552131836E-2</v>
      </c>
      <c r="AO410" s="751">
        <f t="shared" si="794"/>
        <v>9.0305169974894905E-2</v>
      </c>
      <c r="AP410" s="198">
        <f t="shared" si="794"/>
        <v>7.3692742197324357E-2</v>
      </c>
      <c r="AQ410" s="198">
        <f t="shared" si="794"/>
        <v>7.2904329908141552E-2</v>
      </c>
      <c r="AR410" s="752">
        <f t="shared" si="794"/>
        <v>6.1203601580573697E-2</v>
      </c>
      <c r="AS410" s="751">
        <f t="shared" ref="AS410:BD410" si="795">IF(ISERROR(AS408/AR408-1),"NA",(IF(AS408&lt;=0,"NM",AS408/AR408-1)))</f>
        <v>7.5845975344326355E-2</v>
      </c>
      <c r="AT410" s="198">
        <f t="shared" si="795"/>
        <v>7.3031104425465898E-2</v>
      </c>
      <c r="AU410" s="198">
        <f t="shared" si="795"/>
        <v>7.0068055667040774E-2</v>
      </c>
      <c r="AV410" s="752">
        <f t="shared" si="795"/>
        <v>6.7357799438139354E-2</v>
      </c>
      <c r="AW410" s="751">
        <f t="shared" si="795"/>
        <v>6.513855458458373E-2</v>
      </c>
      <c r="AX410" s="198">
        <f t="shared" si="795"/>
        <v>6.3062276073099E-2</v>
      </c>
      <c r="AY410" s="198">
        <f t="shared" si="795"/>
        <v>6.081095650906998E-2</v>
      </c>
      <c r="AZ410" s="752">
        <f t="shared" si="795"/>
        <v>5.8733317254681783E-2</v>
      </c>
      <c r="BA410" s="751">
        <f t="shared" si="795"/>
        <v>5.704529515836132E-2</v>
      </c>
      <c r="BB410" s="198">
        <f t="shared" si="795"/>
        <v>5.5452220356788873E-2</v>
      </c>
      <c r="BC410" s="198">
        <f t="shared" si="795"/>
        <v>5.3677652691056954E-2</v>
      </c>
      <c r="BD410" s="752">
        <f t="shared" si="795"/>
        <v>5.2029473465825093E-2</v>
      </c>
      <c r="BE410" s="264"/>
      <c r="BF410" s="751"/>
      <c r="BG410" s="198"/>
      <c r="BH410" s="198"/>
      <c r="BI410" s="198"/>
      <c r="BJ410" s="198"/>
      <c r="BK410" s="198"/>
      <c r="BL410" s="198"/>
      <c r="BM410" s="198"/>
      <c r="BN410" s="751"/>
      <c r="BO410" s="198"/>
      <c r="BP410" s="198"/>
      <c r="BQ410" s="198"/>
      <c r="BR410" s="198"/>
      <c r="BS410" s="198"/>
      <c r="BT410" s="198"/>
      <c r="BU410" s="198"/>
      <c r="BV410" s="198"/>
      <c r="BW410" s="198"/>
      <c r="BX410" s="198"/>
      <c r="BY410" s="752"/>
      <c r="BZ410" s="264"/>
      <c r="CA410" s="202"/>
      <c r="CB410" s="203"/>
      <c r="CC410" s="203"/>
      <c r="CD410" s="203"/>
      <c r="CE410" s="203"/>
      <c r="CF410" s="203"/>
      <c r="CG410" s="203"/>
    </row>
    <row r="411" spans="1:85" ht="11.25" hidden="1" customHeight="1" outlineLevel="1">
      <c r="A411" s="86"/>
      <c r="B411" s="191"/>
      <c r="C411" s="191"/>
      <c r="D411" s="191"/>
      <c r="E411" s="191"/>
      <c r="F411" s="191"/>
      <c r="G411" s="191"/>
      <c r="H411" s="1163"/>
      <c r="I411" s="773" t="s">
        <v>350</v>
      </c>
      <c r="J411" s="192"/>
      <c r="K411" s="331"/>
      <c r="L411" s="331"/>
      <c r="M411" s="67"/>
      <c r="N411" s="67"/>
      <c r="O411" s="67"/>
      <c r="P411" s="67"/>
      <c r="Q411" s="67"/>
      <c r="R411" s="67"/>
      <c r="S411" s="67"/>
      <c r="T411" s="581"/>
      <c r="U411" s="768"/>
      <c r="V411" s="247"/>
      <c r="W411" s="259"/>
      <c r="X411" s="775"/>
      <c r="Y411" s="768"/>
      <c r="Z411" s="259"/>
      <c r="AA411" s="259">
        <v>0.08</v>
      </c>
      <c r="AB411" s="340">
        <f t="shared" ref="AB411:AJ411" si="796">MIN(AA411+0.5%,50%)</f>
        <v>8.5000000000000006E-2</v>
      </c>
      <c r="AC411" s="1483">
        <f t="shared" si="796"/>
        <v>9.0000000000000011E-2</v>
      </c>
      <c r="AD411" s="340">
        <f t="shared" si="796"/>
        <v>9.5000000000000015E-2</v>
      </c>
      <c r="AE411" s="340">
        <f t="shared" si="796"/>
        <v>0.10000000000000002</v>
      </c>
      <c r="AF411" s="761">
        <f t="shared" si="796"/>
        <v>0.10500000000000002</v>
      </c>
      <c r="AG411" s="340">
        <f t="shared" si="796"/>
        <v>0.11000000000000003</v>
      </c>
      <c r="AH411" s="340">
        <f t="shared" si="796"/>
        <v>0.11500000000000003</v>
      </c>
      <c r="AI411" s="340">
        <f t="shared" si="796"/>
        <v>0.12000000000000004</v>
      </c>
      <c r="AJ411" s="761">
        <f t="shared" si="796"/>
        <v>0.12500000000000003</v>
      </c>
      <c r="AK411" s="340">
        <f>MIN(AJ411+0.5%,50%)</f>
        <v>0.13000000000000003</v>
      </c>
      <c r="AL411" s="340">
        <f>MIN(AK411+0.5%,50%)</f>
        <v>0.13500000000000004</v>
      </c>
      <c r="AM411" s="340">
        <f>MIN(AL411+0.5%,50%)</f>
        <v>0.14000000000000004</v>
      </c>
      <c r="AN411" s="761">
        <f>MIN(AM411+0.25%,50%)</f>
        <v>0.14250000000000004</v>
      </c>
      <c r="AO411" s="340">
        <f>MIN(AN411+0.5%,50%)</f>
        <v>0.14750000000000005</v>
      </c>
      <c r="AP411" s="340">
        <f>MIN(AO411+0.25%,50%)</f>
        <v>0.15000000000000005</v>
      </c>
      <c r="AQ411" s="340">
        <f>MIN(AP411+0.25%,50%)</f>
        <v>0.15250000000000005</v>
      </c>
      <c r="AR411" s="761">
        <f>MIN(AQ411+0.25%,50%)</f>
        <v>0.15500000000000005</v>
      </c>
      <c r="AS411" s="340">
        <f t="shared" ref="AS411:BD411" si="797">MIN(AR411+0.5%,50%)</f>
        <v>0.16000000000000006</v>
      </c>
      <c r="AT411" s="340">
        <f t="shared" si="797"/>
        <v>0.16500000000000006</v>
      </c>
      <c r="AU411" s="340">
        <f t="shared" si="797"/>
        <v>0.17000000000000007</v>
      </c>
      <c r="AV411" s="761">
        <f t="shared" si="797"/>
        <v>0.17500000000000007</v>
      </c>
      <c r="AW411" s="340">
        <f t="shared" si="797"/>
        <v>0.18000000000000008</v>
      </c>
      <c r="AX411" s="340">
        <f t="shared" si="797"/>
        <v>0.18500000000000008</v>
      </c>
      <c r="AY411" s="340">
        <f t="shared" si="797"/>
        <v>0.19000000000000009</v>
      </c>
      <c r="AZ411" s="761">
        <f t="shared" si="797"/>
        <v>0.19500000000000009</v>
      </c>
      <c r="BA411" s="340">
        <f t="shared" si="797"/>
        <v>0.20000000000000009</v>
      </c>
      <c r="BB411" s="340">
        <f t="shared" si="797"/>
        <v>0.2050000000000001</v>
      </c>
      <c r="BC411" s="340">
        <f t="shared" si="797"/>
        <v>0.2100000000000001</v>
      </c>
      <c r="BD411" s="761">
        <f t="shared" si="797"/>
        <v>0.21500000000000011</v>
      </c>
      <c r="BE411" s="1000"/>
      <c r="BF411" s="768"/>
      <c r="BG411" s="247"/>
      <c r="BH411" s="247"/>
      <c r="BI411" s="247"/>
      <c r="BJ411" s="247"/>
      <c r="BK411" s="247"/>
      <c r="BL411" s="247"/>
      <c r="BM411" s="259">
        <f t="shared" ref="BM411:BT411" si="798">BM408/BM$371</f>
        <v>8.5000000000000006E-2</v>
      </c>
      <c r="BN411" s="759">
        <f t="shared" si="798"/>
        <v>0.10500000000000002</v>
      </c>
      <c r="BO411" s="259">
        <f t="shared" si="798"/>
        <v>0.12500000000000003</v>
      </c>
      <c r="BP411" s="259">
        <f t="shared" si="798"/>
        <v>0.14250000000000004</v>
      </c>
      <c r="BQ411" s="259">
        <f t="shared" si="798"/>
        <v>0.15500000000000005</v>
      </c>
      <c r="BR411" s="259">
        <f t="shared" si="798"/>
        <v>0.17500000000000007</v>
      </c>
      <c r="BS411" s="259">
        <f t="shared" si="798"/>
        <v>0.19500000000000009</v>
      </c>
      <c r="BT411" s="259">
        <f t="shared" si="798"/>
        <v>0.21500000000000011</v>
      </c>
      <c r="BU411" s="340">
        <f>MIN(BT411+2%,75%)</f>
        <v>0.2350000000000001</v>
      </c>
      <c r="BV411" s="340">
        <f>MIN(BU411+2%,75%)</f>
        <v>0.25500000000000012</v>
      </c>
      <c r="BW411" s="340">
        <f>MIN(BV411+2%,75%)</f>
        <v>0.27500000000000013</v>
      </c>
      <c r="BX411" s="340">
        <f>MIN(BW411+2%,75%)</f>
        <v>0.29500000000000015</v>
      </c>
      <c r="BY411" s="761">
        <f>MIN(BX411+2%,75%)</f>
        <v>0.31500000000000017</v>
      </c>
      <c r="BZ411" s="260"/>
      <c r="CA411" s="202"/>
      <c r="CB411" s="203"/>
      <c r="CC411" s="203"/>
      <c r="CD411" s="203"/>
      <c r="CE411" s="203"/>
      <c r="CF411" s="203"/>
      <c r="CG411" s="203"/>
    </row>
    <row r="412" spans="1:85" ht="11.25" hidden="1" customHeight="1" outlineLevel="1">
      <c r="A412" s="86"/>
      <c r="B412" s="191"/>
      <c r="C412" s="191"/>
      <c r="D412" s="191"/>
      <c r="E412" s="191"/>
      <c r="F412" s="191"/>
      <c r="G412" s="191"/>
      <c r="H412" s="1163"/>
      <c r="I412" s="829"/>
      <c r="J412" s="347"/>
      <c r="K412" s="67"/>
      <c r="L412" s="67"/>
      <c r="M412" s="198"/>
      <c r="N412" s="198"/>
      <c r="O412" s="198"/>
      <c r="P412" s="198"/>
      <c r="Q412" s="198"/>
      <c r="R412" s="198"/>
      <c r="S412" s="198"/>
      <c r="T412" s="752"/>
      <c r="U412" s="751"/>
      <c r="V412" s="198"/>
      <c r="W412" s="198"/>
      <c r="X412" s="752"/>
      <c r="Y412" s="198"/>
      <c r="Z412" s="198"/>
      <c r="AA412" s="198"/>
      <c r="AB412" s="198"/>
      <c r="AC412" s="751"/>
      <c r="AD412" s="198"/>
      <c r="AE412" s="198"/>
      <c r="AF412" s="752"/>
      <c r="AG412" s="198"/>
      <c r="AH412" s="198"/>
      <c r="AI412" s="198"/>
      <c r="AJ412" s="752"/>
      <c r="AK412" s="198"/>
      <c r="AL412" s="198"/>
      <c r="AM412" s="198"/>
      <c r="AN412" s="752"/>
      <c r="AO412" s="198"/>
      <c r="AP412" s="198"/>
      <c r="AQ412" s="198"/>
      <c r="AR412" s="752"/>
      <c r="AS412" s="198"/>
      <c r="AT412" s="198"/>
      <c r="AU412" s="198"/>
      <c r="AV412" s="752"/>
      <c r="AW412" s="198"/>
      <c r="AX412" s="198"/>
      <c r="AY412" s="198"/>
      <c r="AZ412" s="752"/>
      <c r="BA412" s="198"/>
      <c r="BB412" s="198"/>
      <c r="BC412" s="198"/>
      <c r="BD412" s="752"/>
      <c r="BE412" s="264"/>
      <c r="BF412" s="631"/>
      <c r="BG412" s="67"/>
      <c r="BH412" s="67"/>
      <c r="BI412" s="67"/>
      <c r="BJ412" s="67"/>
      <c r="BK412" s="67"/>
      <c r="BL412" s="67"/>
      <c r="BM412" s="67"/>
      <c r="BN412" s="631"/>
      <c r="BO412" s="351"/>
      <c r="BP412" s="351"/>
      <c r="BQ412" s="351"/>
      <c r="BR412" s="351"/>
      <c r="BS412" s="351"/>
      <c r="BT412" s="351"/>
      <c r="BU412" s="351"/>
      <c r="BV412" s="351"/>
      <c r="BW412" s="351"/>
      <c r="BX412" s="351"/>
      <c r="BY412" s="809"/>
      <c r="BZ412" s="280"/>
      <c r="CA412" s="202"/>
      <c r="CB412" s="203"/>
      <c r="CC412" s="203"/>
      <c r="CD412" s="203"/>
      <c r="CE412" s="203"/>
      <c r="CF412" s="203"/>
      <c r="CG412" s="203"/>
    </row>
    <row r="413" spans="1:85" ht="11.25" customHeight="1" collapsed="1">
      <c r="A413" s="86"/>
      <c r="B413" s="191"/>
      <c r="C413" s="191"/>
      <c r="D413" s="191"/>
      <c r="E413" s="191"/>
      <c r="F413" s="191"/>
      <c r="G413" s="191"/>
      <c r="H413" s="1163"/>
      <c r="I413" s="829"/>
      <c r="J413" s="347"/>
      <c r="K413" s="67"/>
      <c r="L413" s="67"/>
      <c r="M413" s="198"/>
      <c r="N413" s="198"/>
      <c r="O413" s="198"/>
      <c r="P413" s="198"/>
      <c r="Q413" s="198"/>
      <c r="R413" s="198"/>
      <c r="S413" s="198"/>
      <c r="T413" s="752"/>
      <c r="U413" s="751"/>
      <c r="V413" s="198"/>
      <c r="W413" s="198"/>
      <c r="X413" s="752"/>
      <c r="Y413" s="198"/>
      <c r="Z413" s="198"/>
      <c r="AA413" s="198"/>
      <c r="AB413" s="198"/>
      <c r="AC413" s="751"/>
      <c r="AD413" s="198"/>
      <c r="AE413" s="198"/>
      <c r="AF413" s="752"/>
      <c r="AG413" s="198"/>
      <c r="AH413" s="198"/>
      <c r="AI413" s="198"/>
      <c r="AJ413" s="752"/>
      <c r="AK413" s="198"/>
      <c r="AL413" s="198"/>
      <c r="AM413" s="198"/>
      <c r="AN413" s="752"/>
      <c r="AO413" s="198"/>
      <c r="AP413" s="198"/>
      <c r="AQ413" s="198"/>
      <c r="AR413" s="752"/>
      <c r="AS413" s="198"/>
      <c r="AT413" s="198"/>
      <c r="AU413" s="198"/>
      <c r="AV413" s="752"/>
      <c r="AW413" s="198"/>
      <c r="AX413" s="198"/>
      <c r="AY413" s="198"/>
      <c r="AZ413" s="752"/>
      <c r="BA413" s="198"/>
      <c r="BB413" s="198"/>
      <c r="BC413" s="198"/>
      <c r="BD413" s="752"/>
      <c r="BE413" s="264"/>
      <c r="BF413" s="631"/>
      <c r="BG413" s="67"/>
      <c r="BH413" s="67"/>
      <c r="BI413" s="67"/>
      <c r="BJ413" s="67"/>
      <c r="BK413" s="67"/>
      <c r="BL413" s="67"/>
      <c r="BM413" s="67"/>
      <c r="BN413" s="631"/>
      <c r="BO413" s="351"/>
      <c r="BP413" s="351"/>
      <c r="BQ413" s="351"/>
      <c r="BR413" s="351"/>
      <c r="BS413" s="351"/>
      <c r="BT413" s="351"/>
      <c r="BU413" s="351"/>
      <c r="BV413" s="351"/>
      <c r="BW413" s="351"/>
      <c r="BX413" s="351"/>
      <c r="BY413" s="809"/>
      <c r="BZ413" s="280"/>
      <c r="CA413" s="202"/>
      <c r="CB413" s="203"/>
      <c r="CC413" s="203"/>
      <c r="CD413" s="203"/>
      <c r="CE413" s="203"/>
      <c r="CF413" s="203"/>
      <c r="CG413" s="203"/>
    </row>
    <row r="414" spans="1:85" s="106" customFormat="1" ht="11.25" customHeight="1">
      <c r="A414" s="86"/>
      <c r="B414" s="191"/>
      <c r="C414" s="191"/>
      <c r="D414" s="191"/>
      <c r="E414" s="191"/>
      <c r="F414" s="191"/>
      <c r="G414" s="191"/>
      <c r="H414" s="1163"/>
      <c r="I414" s="1497" t="s">
        <v>296</v>
      </c>
      <c r="J414" s="339"/>
      <c r="K414" s="339"/>
      <c r="L414" s="339"/>
      <c r="M414" s="339"/>
      <c r="N414" s="339"/>
      <c r="O414" s="339"/>
      <c r="P414" s="339"/>
      <c r="Q414" s="339"/>
      <c r="R414" s="339"/>
      <c r="S414" s="339"/>
      <c r="T414" s="758"/>
      <c r="U414" s="757"/>
      <c r="V414" s="339"/>
      <c r="W414" s="339"/>
      <c r="X414" s="758"/>
      <c r="Y414" s="339"/>
      <c r="Z414" s="339"/>
      <c r="AA414" s="339"/>
      <c r="AB414" s="339"/>
      <c r="AC414" s="1479"/>
      <c r="AD414" s="339"/>
      <c r="AE414" s="339"/>
      <c r="AF414" s="758"/>
      <c r="AG414" s="339"/>
      <c r="AH414" s="339"/>
      <c r="AI414" s="339"/>
      <c r="AJ414" s="758"/>
      <c r="AK414" s="339"/>
      <c r="AL414" s="339"/>
      <c r="AM414" s="339"/>
      <c r="AN414" s="758"/>
      <c r="AO414" s="339"/>
      <c r="AP414" s="339"/>
      <c r="AQ414" s="339"/>
      <c r="AR414" s="758"/>
      <c r="AS414" s="339"/>
      <c r="AT414" s="339"/>
      <c r="AU414" s="339"/>
      <c r="AV414" s="758"/>
      <c r="AW414" s="339"/>
      <c r="AX414" s="339"/>
      <c r="AY414" s="339"/>
      <c r="AZ414" s="758"/>
      <c r="BA414" s="339"/>
      <c r="BB414" s="339"/>
      <c r="BC414" s="339"/>
      <c r="BD414" s="758"/>
      <c r="BE414" s="277"/>
      <c r="BF414" s="757"/>
      <c r="BG414" s="339"/>
      <c r="BH414" s="339"/>
      <c r="BI414" s="339"/>
      <c r="BJ414" s="339"/>
      <c r="BK414" s="339"/>
      <c r="BL414" s="339"/>
      <c r="BM414" s="339"/>
      <c r="BN414" s="1646"/>
      <c r="BO414" s="339"/>
      <c r="BP414" s="339"/>
      <c r="BQ414" s="339"/>
      <c r="BR414" s="339"/>
      <c r="BS414" s="339"/>
      <c r="BT414" s="339"/>
      <c r="BU414" s="339"/>
      <c r="BV414" s="339"/>
      <c r="BW414" s="339"/>
      <c r="BX414" s="339"/>
      <c r="BY414" s="758"/>
      <c r="BZ414" s="277"/>
      <c r="CA414" s="99"/>
      <c r="CB414" s="327"/>
      <c r="CC414" s="327"/>
      <c r="CD414" s="327"/>
      <c r="CE414" s="327"/>
      <c r="CF414" s="327"/>
      <c r="CG414" s="327"/>
    </row>
    <row r="415" spans="1:85" s="42" customFormat="1" ht="11.25" customHeight="1">
      <c r="B415" s="83"/>
      <c r="C415" s="83"/>
      <c r="D415" s="83"/>
      <c r="E415" s="83"/>
      <c r="F415" s="83"/>
      <c r="G415" s="83"/>
      <c r="H415" s="83"/>
      <c r="I415" s="457"/>
      <c r="J415" s="321"/>
      <c r="K415" s="321"/>
      <c r="L415" s="321"/>
      <c r="M415" s="68"/>
      <c r="N415" s="68"/>
      <c r="O415" s="68"/>
      <c r="P415" s="68"/>
      <c r="Q415" s="68"/>
      <c r="R415" s="68"/>
      <c r="S415" s="68"/>
      <c r="T415" s="475"/>
      <c r="U415" s="507"/>
      <c r="V415" s="68"/>
      <c r="W415" s="68"/>
      <c r="X415" s="475"/>
      <c r="Y415" s="68"/>
      <c r="Z415" s="68"/>
      <c r="AA415" s="68"/>
      <c r="AB415" s="68"/>
      <c r="AC415" s="507"/>
      <c r="AD415" s="68"/>
      <c r="AE415" s="68"/>
      <c r="AF415" s="1388"/>
      <c r="AG415" s="68"/>
      <c r="AH415" s="68"/>
      <c r="AI415" s="68"/>
      <c r="AJ415" s="475"/>
      <c r="AK415" s="68"/>
      <c r="AL415" s="68"/>
      <c r="AM415" s="68"/>
      <c r="AN415" s="475"/>
      <c r="AO415" s="68"/>
      <c r="AP415" s="68"/>
      <c r="AQ415" s="68"/>
      <c r="AR415" s="475"/>
      <c r="AS415" s="68"/>
      <c r="AT415" s="68"/>
      <c r="AU415" s="68"/>
      <c r="AV415" s="475"/>
      <c r="AW415" s="68"/>
      <c r="AX415" s="68"/>
      <c r="AY415" s="68"/>
      <c r="AZ415" s="475"/>
      <c r="BA415" s="68"/>
      <c r="BB415" s="68"/>
      <c r="BC415" s="68"/>
      <c r="BD415" s="475"/>
      <c r="BE415" s="68"/>
      <c r="BF415" s="507"/>
      <c r="BG415" s="68"/>
      <c r="BH415" s="68"/>
      <c r="BI415" s="68"/>
      <c r="BJ415" s="68"/>
      <c r="BK415" s="68"/>
      <c r="BL415" s="68"/>
      <c r="BM415" s="68"/>
      <c r="BN415" s="507"/>
      <c r="BO415" s="292"/>
      <c r="BP415" s="68"/>
      <c r="BQ415" s="68"/>
      <c r="BR415" s="68"/>
      <c r="BS415" s="68"/>
      <c r="BT415" s="68"/>
      <c r="BU415" s="68"/>
      <c r="BV415" s="68"/>
      <c r="BW415" s="68"/>
      <c r="BX415" s="68"/>
      <c r="BY415" s="475"/>
      <c r="BZ415" s="292"/>
    </row>
    <row r="416" spans="1:85" s="190" customFormat="1" ht="11.25" customHeight="1">
      <c r="A416" s="189"/>
      <c r="B416" s="1498"/>
      <c r="C416" s="1498"/>
      <c r="D416" s="1498"/>
      <c r="E416" s="1498"/>
      <c r="F416" s="1498"/>
      <c r="G416" s="1498"/>
      <c r="H416" s="1499"/>
      <c r="I416" s="832" t="s">
        <v>265</v>
      </c>
      <c r="J416" s="362"/>
      <c r="K416" s="360"/>
      <c r="L416" s="360"/>
      <c r="M416" s="375">
        <v>0.159</v>
      </c>
      <c r="N416" s="375">
        <v>0.19900000000000001</v>
      </c>
      <c r="O416" s="375">
        <v>0.247</v>
      </c>
      <c r="P416" s="375">
        <v>0.307</v>
      </c>
      <c r="Q416" s="375">
        <v>0.38</v>
      </c>
      <c r="R416" s="375">
        <v>0.45300000000000001</v>
      </c>
      <c r="S416" s="375">
        <v>0.52900000000000003</v>
      </c>
      <c r="T416" s="849">
        <v>0.60599999999999998</v>
      </c>
      <c r="U416" s="848">
        <v>0.7</v>
      </c>
      <c r="V416" s="375">
        <v>0.79100000000000004</v>
      </c>
      <c r="W416" s="375">
        <v>0.88900000000000001</v>
      </c>
      <c r="X416" s="849">
        <v>0.99399999999999999</v>
      </c>
      <c r="Y416" s="375">
        <v>1.103</v>
      </c>
      <c r="Z416" s="375">
        <v>1.222</v>
      </c>
      <c r="AA416" s="375">
        <v>1.3440000000000001</v>
      </c>
      <c r="AB416" s="375">
        <v>1.488</v>
      </c>
      <c r="AC416" s="1484">
        <v>1.6</v>
      </c>
      <c r="AD416" s="375">
        <v>1.7509999999999999</v>
      </c>
      <c r="AE416" s="375">
        <v>1.8859999999999999</v>
      </c>
      <c r="AF416" s="849">
        <v>2.0289999999999999</v>
      </c>
      <c r="AG416" s="2763">
        <v>2.1930000000000001</v>
      </c>
      <c r="AH416" s="2763">
        <v>2.3490000000000002</v>
      </c>
      <c r="AI416" s="2763">
        <v>2.5030000000000001</v>
      </c>
      <c r="AJ416" s="2764">
        <v>2.6480000000000001</v>
      </c>
      <c r="AK416" s="2763">
        <v>2.8340000000000001</v>
      </c>
      <c r="AL416" s="2763">
        <v>3.01</v>
      </c>
      <c r="AM416" s="2763">
        <v>3.1920000000000002</v>
      </c>
      <c r="AN416" s="2765">
        <v>3.363</v>
      </c>
      <c r="AO416" s="2763">
        <v>3.5590000000000002</v>
      </c>
      <c r="AP416" s="2763">
        <v>3.7530000000000001</v>
      </c>
      <c r="AQ416" s="2763">
        <v>3.9750000000000001</v>
      </c>
      <c r="AR416" s="2765">
        <v>4.1890000000000001</v>
      </c>
      <c r="AS416" s="374">
        <f t="shared" ref="AS416:BD416" si="799">AR416+AS417</f>
        <v>4.2880000000000003</v>
      </c>
      <c r="AT416" s="374">
        <f t="shared" si="799"/>
        <v>4.3870000000000005</v>
      </c>
      <c r="AU416" s="374">
        <f t="shared" si="799"/>
        <v>4.4260000000000002</v>
      </c>
      <c r="AV416" s="844">
        <f t="shared" si="799"/>
        <v>4.4710000000000001</v>
      </c>
      <c r="AW416" s="374">
        <f t="shared" si="799"/>
        <v>4.57</v>
      </c>
      <c r="AX416" s="374">
        <f t="shared" si="799"/>
        <v>4.6690000000000005</v>
      </c>
      <c r="AY416" s="374">
        <f t="shared" si="799"/>
        <v>4.7080000000000002</v>
      </c>
      <c r="AZ416" s="844">
        <f t="shared" si="799"/>
        <v>4.7530000000000001</v>
      </c>
      <c r="BA416" s="374">
        <f t="shared" si="799"/>
        <v>4.8520000000000003</v>
      </c>
      <c r="BB416" s="374">
        <f t="shared" si="799"/>
        <v>4.9510000000000005</v>
      </c>
      <c r="BC416" s="374">
        <f t="shared" si="799"/>
        <v>4.99</v>
      </c>
      <c r="BD416" s="844">
        <f t="shared" si="799"/>
        <v>5.0350000000000001</v>
      </c>
      <c r="BE416" s="1212"/>
      <c r="BF416" s="854"/>
      <c r="BG416" s="363"/>
      <c r="BH416" s="375">
        <v>2.5000000000000001E-2</v>
      </c>
      <c r="BI416" s="375">
        <v>0.12</v>
      </c>
      <c r="BJ416" s="364">
        <f>P416</f>
        <v>0.307</v>
      </c>
      <c r="BK416" s="364">
        <f>T416</f>
        <v>0.60599999999999998</v>
      </c>
      <c r="BL416" s="364">
        <f>X416</f>
        <v>0.99399999999999999</v>
      </c>
      <c r="BM416" s="364">
        <f>AB416</f>
        <v>1.488</v>
      </c>
      <c r="BN416" s="1805">
        <f>AF416</f>
        <v>2.0289999999999999</v>
      </c>
      <c r="BO416" s="364">
        <f>AJ416</f>
        <v>2.6480000000000001</v>
      </c>
      <c r="BP416" s="428">
        <f>+AN416</f>
        <v>3.363</v>
      </c>
      <c r="BQ416" s="567">
        <f>AR416</f>
        <v>4.1890000000000001</v>
      </c>
      <c r="BR416" s="567">
        <f>AV416</f>
        <v>4.4710000000000001</v>
      </c>
      <c r="BS416" s="428">
        <f>AZ416</f>
        <v>4.7530000000000001</v>
      </c>
      <c r="BT416" s="428">
        <f>BD416</f>
        <v>5.0350000000000001</v>
      </c>
      <c r="BU416" s="374">
        <f>BT416+BU417</f>
        <v>5.3170000000000002</v>
      </c>
      <c r="BV416" s="333">
        <f>BU416+BV417</f>
        <v>5.5990000000000002</v>
      </c>
      <c r="BW416" s="333">
        <f>BV416+BW417</f>
        <v>5.8810000000000002</v>
      </c>
      <c r="BX416" s="333">
        <f>BW416+BX417</f>
        <v>6.1630000000000003</v>
      </c>
      <c r="BY416" s="855">
        <f>BX416+BY417</f>
        <v>6.4450000000000003</v>
      </c>
      <c r="BZ416" s="271"/>
      <c r="CA416" s="204">
        <f>IF(ISERROR(RATE(5,,-BI416,BN416)),"NM",(RATE(5,,-BI416,BN416)))</f>
        <v>0.76043567214547592</v>
      </c>
      <c r="CB416" s="204">
        <f t="shared" ref="CB416:CG416" si="800">IF(ISERROR(RATE(3,,-BK416,BN416)),"NM",(RATE(3,,-BK416,BN416)))</f>
        <v>0.49601681269082915</v>
      </c>
      <c r="CC416" s="204">
        <f t="shared" si="800"/>
        <v>0.38625736163213636</v>
      </c>
      <c r="CD416" s="204">
        <f t="shared" si="800"/>
        <v>0.31232472728373312</v>
      </c>
      <c r="CE416" s="204">
        <f t="shared" si="800"/>
        <v>0.27333527698056925</v>
      </c>
      <c r="CF416" s="204">
        <f t="shared" si="800"/>
        <v>0.19077277413734578</v>
      </c>
      <c r="CG416" s="204">
        <f t="shared" si="800"/>
        <v>0.1222259724485862</v>
      </c>
    </row>
    <row r="417" spans="1:85" ht="11.25" customHeight="1">
      <c r="A417" s="86"/>
      <c r="B417" s="191"/>
      <c r="C417" s="191"/>
      <c r="D417" s="191"/>
      <c r="E417" s="191"/>
      <c r="F417" s="191"/>
      <c r="G417" s="191"/>
      <c r="H417" s="1163"/>
      <c r="I417" s="2740" t="s">
        <v>687</v>
      </c>
      <c r="J417" s="193"/>
      <c r="K417" s="67"/>
      <c r="L417" s="67"/>
      <c r="M417" s="365"/>
      <c r="N417" s="376">
        <f t="shared" ref="N417:AR418" si="801">N416-M416</f>
        <v>4.0000000000000008E-2</v>
      </c>
      <c r="O417" s="376">
        <f t="shared" si="801"/>
        <v>4.7999999999999987E-2</v>
      </c>
      <c r="P417" s="376">
        <f t="shared" si="801"/>
        <v>0.06</v>
      </c>
      <c r="Q417" s="376">
        <f t="shared" si="801"/>
        <v>7.3000000000000009E-2</v>
      </c>
      <c r="R417" s="376">
        <f t="shared" si="801"/>
        <v>7.3000000000000009E-2</v>
      </c>
      <c r="S417" s="376">
        <f t="shared" si="801"/>
        <v>7.6000000000000012E-2</v>
      </c>
      <c r="T417" s="851">
        <f t="shared" si="801"/>
        <v>7.6999999999999957E-2</v>
      </c>
      <c r="U417" s="850">
        <f t="shared" si="801"/>
        <v>9.3999999999999972E-2</v>
      </c>
      <c r="V417" s="376">
        <f t="shared" si="801"/>
        <v>9.1000000000000081E-2</v>
      </c>
      <c r="W417" s="376">
        <f t="shared" si="801"/>
        <v>9.7999999999999976E-2</v>
      </c>
      <c r="X417" s="851">
        <f t="shared" si="801"/>
        <v>0.10499999999999998</v>
      </c>
      <c r="Y417" s="376">
        <f t="shared" si="801"/>
        <v>0.10899999999999999</v>
      </c>
      <c r="Z417" s="376">
        <f t="shared" si="801"/>
        <v>0.11899999999999999</v>
      </c>
      <c r="AA417" s="376">
        <f t="shared" si="801"/>
        <v>0.12200000000000011</v>
      </c>
      <c r="AB417" s="376">
        <f t="shared" si="801"/>
        <v>0.14399999999999991</v>
      </c>
      <c r="AC417" s="850">
        <f t="shared" si="801"/>
        <v>0.1120000000000001</v>
      </c>
      <c r="AD417" s="376">
        <f t="shared" si="801"/>
        <v>0.1509999999999998</v>
      </c>
      <c r="AE417" s="376">
        <f t="shared" si="801"/>
        <v>0.13500000000000001</v>
      </c>
      <c r="AF417" s="851">
        <f t="shared" si="801"/>
        <v>0.14300000000000002</v>
      </c>
      <c r="AG417" s="850">
        <f t="shared" si="801"/>
        <v>0.16400000000000015</v>
      </c>
      <c r="AH417" s="376">
        <f t="shared" si="801"/>
        <v>0.15600000000000014</v>
      </c>
      <c r="AI417" s="376">
        <f t="shared" si="801"/>
        <v>0.15399999999999991</v>
      </c>
      <c r="AJ417" s="851">
        <f t="shared" si="801"/>
        <v>0.14500000000000002</v>
      </c>
      <c r="AK417" s="376">
        <f t="shared" si="801"/>
        <v>0.18599999999999994</v>
      </c>
      <c r="AL417" s="376">
        <f t="shared" si="801"/>
        <v>0.17599999999999971</v>
      </c>
      <c r="AM417" s="376">
        <f t="shared" si="801"/>
        <v>0.18200000000000038</v>
      </c>
      <c r="AN417" s="851">
        <f t="shared" si="801"/>
        <v>0.17099999999999982</v>
      </c>
      <c r="AO417" s="376">
        <f t="shared" si="801"/>
        <v>0.19600000000000017</v>
      </c>
      <c r="AP417" s="376">
        <f t="shared" si="801"/>
        <v>0.19399999999999995</v>
      </c>
      <c r="AQ417" s="376">
        <f t="shared" si="801"/>
        <v>0.22199999999999998</v>
      </c>
      <c r="AR417" s="851">
        <f t="shared" si="801"/>
        <v>0.21399999999999997</v>
      </c>
      <c r="AS417" s="1878">
        <v>9.9000000000000005E-2</v>
      </c>
      <c r="AT417" s="373">
        <v>9.9000000000000005E-2</v>
      </c>
      <c r="AU417" s="373">
        <v>3.9E-2</v>
      </c>
      <c r="AV417" s="845">
        <v>4.4999999999999998E-2</v>
      </c>
      <c r="AW417" s="1878">
        <v>9.9000000000000005E-2</v>
      </c>
      <c r="AX417" s="373">
        <v>9.9000000000000005E-2</v>
      </c>
      <c r="AY417" s="373">
        <v>3.9E-2</v>
      </c>
      <c r="AZ417" s="845">
        <v>4.4999999999999998E-2</v>
      </c>
      <c r="BA417" s="1878">
        <v>9.9000000000000005E-2</v>
      </c>
      <c r="BB417" s="373">
        <v>9.9000000000000005E-2</v>
      </c>
      <c r="BC417" s="373">
        <v>3.9E-2</v>
      </c>
      <c r="BD417" s="845">
        <v>4.4999999999999998E-2</v>
      </c>
      <c r="BE417" s="1213"/>
      <c r="BF417" s="856"/>
      <c r="BG417" s="366"/>
      <c r="BH417" s="366"/>
      <c r="BI417" s="376"/>
      <c r="BJ417" s="376"/>
      <c r="BK417" s="376"/>
      <c r="BL417" s="376"/>
      <c r="BM417" s="376"/>
      <c r="BN417" s="850"/>
      <c r="BO417" s="376">
        <f t="shared" ref="BO417:BT417" si="802">BO416-BN416</f>
        <v>0.61900000000000022</v>
      </c>
      <c r="BP417" s="376">
        <f t="shared" si="802"/>
        <v>0.71499999999999986</v>
      </c>
      <c r="BQ417" s="376">
        <f t="shared" si="802"/>
        <v>0.82600000000000007</v>
      </c>
      <c r="BR417" s="376">
        <f t="shared" si="802"/>
        <v>0.28200000000000003</v>
      </c>
      <c r="BS417" s="376">
        <f t="shared" si="802"/>
        <v>0.28200000000000003</v>
      </c>
      <c r="BT417" s="376">
        <f t="shared" si="802"/>
        <v>0.28200000000000003</v>
      </c>
      <c r="BU417" s="2500">
        <f>BT417</f>
        <v>0.28200000000000003</v>
      </c>
      <c r="BV417" s="2500">
        <f>BU417</f>
        <v>0.28200000000000003</v>
      </c>
      <c r="BW417" s="2500">
        <f>BV417</f>
        <v>0.28200000000000003</v>
      </c>
      <c r="BX417" s="2500">
        <f>BW417</f>
        <v>0.28200000000000003</v>
      </c>
      <c r="BY417" s="2499">
        <f>BX417</f>
        <v>0.28200000000000003</v>
      </c>
      <c r="BZ417" s="293"/>
      <c r="CA417" s="80"/>
      <c r="CB417" s="88"/>
      <c r="CC417" s="88"/>
      <c r="CD417" s="88"/>
      <c r="CE417" s="88"/>
      <c r="CF417" s="88"/>
      <c r="CG417" s="88"/>
    </row>
    <row r="418" spans="1:85" ht="11.25" customHeight="1">
      <c r="A418" s="36"/>
      <c r="B418" s="54"/>
      <c r="C418" s="54"/>
      <c r="D418" s="54"/>
      <c r="E418" s="54"/>
      <c r="F418" s="54"/>
      <c r="G418" s="54"/>
      <c r="H418" s="83"/>
      <c r="I418" s="796" t="s">
        <v>371</v>
      </c>
      <c r="J418" s="342"/>
      <c r="K418" s="336"/>
      <c r="L418" s="336"/>
      <c r="M418" s="336"/>
      <c r="N418" s="336"/>
      <c r="O418" s="336"/>
      <c r="P418" s="336"/>
      <c r="Q418" s="336"/>
      <c r="R418" s="336"/>
      <c r="S418" s="336"/>
      <c r="T418" s="613"/>
      <c r="U418" s="626"/>
      <c r="V418" s="336"/>
      <c r="W418" s="336">
        <f>W417-V417</f>
        <v>6.9999999999998952E-3</v>
      </c>
      <c r="X418" s="613"/>
      <c r="Y418" s="336"/>
      <c r="Z418" s="336"/>
      <c r="AA418" s="336">
        <f t="shared" si="801"/>
        <v>3.0000000000001137E-3</v>
      </c>
      <c r="AB418" s="336">
        <f t="shared" si="801"/>
        <v>2.1999999999999797E-2</v>
      </c>
      <c r="AC418" s="626">
        <f t="shared" si="801"/>
        <v>-3.1999999999999806E-2</v>
      </c>
      <c r="AD418" s="336">
        <f t="shared" si="801"/>
        <v>3.8999999999999702E-2</v>
      </c>
      <c r="AE418" s="336">
        <f t="shared" si="801"/>
        <v>-1.5999999999999792E-2</v>
      </c>
      <c r="AF418" s="613">
        <f t="shared" si="801"/>
        <v>8.0000000000000071E-3</v>
      </c>
      <c r="AG418" s="626">
        <f t="shared" si="801"/>
        <v>2.100000000000013E-2</v>
      </c>
      <c r="AH418" s="1732">
        <f t="shared" ref="AH418:AR418" si="803">AH417-AG417</f>
        <v>-8.0000000000000071E-3</v>
      </c>
      <c r="AI418" s="1732">
        <f t="shared" si="803"/>
        <v>-2.0000000000002238E-3</v>
      </c>
      <c r="AJ418" s="613">
        <f t="shared" si="803"/>
        <v>-8.999999999999897E-3</v>
      </c>
      <c r="AK418" s="336">
        <f t="shared" si="803"/>
        <v>4.0999999999999925E-2</v>
      </c>
      <c r="AL418" s="1732">
        <f t="shared" si="803"/>
        <v>-1.0000000000000231E-2</v>
      </c>
      <c r="AM418" s="1732">
        <f t="shared" si="803"/>
        <v>6.0000000000006715E-3</v>
      </c>
      <c r="AN418" s="613">
        <f t="shared" si="803"/>
        <v>-1.1000000000000565E-2</v>
      </c>
      <c r="AO418" s="336">
        <f t="shared" ref="AO418:AV418" si="804">AO417-AN417</f>
        <v>2.5000000000000355E-2</v>
      </c>
      <c r="AP418" s="1732">
        <f t="shared" si="803"/>
        <v>-2.0000000000002238E-3</v>
      </c>
      <c r="AQ418" s="1732">
        <f t="shared" si="803"/>
        <v>2.8000000000000025E-2</v>
      </c>
      <c r="AR418" s="613">
        <f t="shared" si="803"/>
        <v>-8.0000000000000071E-3</v>
      </c>
      <c r="AS418" s="336">
        <f t="shared" si="804"/>
        <v>-0.11499999999999996</v>
      </c>
      <c r="AT418" s="336">
        <f t="shared" si="804"/>
        <v>0</v>
      </c>
      <c r="AU418" s="336">
        <f t="shared" si="804"/>
        <v>-6.0000000000000005E-2</v>
      </c>
      <c r="AV418" s="613">
        <f t="shared" si="804"/>
        <v>5.9999999999999984E-3</v>
      </c>
      <c r="AW418" s="336">
        <f t="shared" ref="AW418:BD418" si="805">AW417-AV417</f>
        <v>5.4000000000000006E-2</v>
      </c>
      <c r="AX418" s="336">
        <f t="shared" si="805"/>
        <v>0</v>
      </c>
      <c r="AY418" s="336">
        <f t="shared" si="805"/>
        <v>-6.0000000000000005E-2</v>
      </c>
      <c r="AZ418" s="613">
        <f t="shared" si="805"/>
        <v>5.9999999999999984E-3</v>
      </c>
      <c r="BA418" s="336">
        <f t="shared" si="805"/>
        <v>5.4000000000000006E-2</v>
      </c>
      <c r="BB418" s="336">
        <f t="shared" si="805"/>
        <v>0</v>
      </c>
      <c r="BC418" s="336">
        <f t="shared" si="805"/>
        <v>-6.0000000000000005E-2</v>
      </c>
      <c r="BD418" s="613">
        <f t="shared" si="805"/>
        <v>5.9999999999999984E-3</v>
      </c>
      <c r="BE418" s="110"/>
      <c r="BF418" s="626"/>
      <c r="BG418" s="336"/>
      <c r="BH418" s="336"/>
      <c r="BI418" s="376">
        <f>BI416-BH416</f>
        <v>9.5000000000000001E-2</v>
      </c>
      <c r="BJ418" s="376">
        <f>BJ416-BI416</f>
        <v>0.187</v>
      </c>
      <c r="BK418" s="376">
        <f t="shared" ref="BK418:BT418" si="806">BK416-BJ416</f>
        <v>0.29899999999999999</v>
      </c>
      <c r="BL418" s="376">
        <f t="shared" si="806"/>
        <v>0.38800000000000001</v>
      </c>
      <c r="BM418" s="376">
        <f t="shared" si="806"/>
        <v>0.49399999999999999</v>
      </c>
      <c r="BN418" s="850">
        <f t="shared" si="806"/>
        <v>0.54099999999999993</v>
      </c>
      <c r="BO418" s="376">
        <f t="shared" si="806"/>
        <v>0.61900000000000022</v>
      </c>
      <c r="BP418" s="376">
        <f t="shared" si="806"/>
        <v>0.71499999999999986</v>
      </c>
      <c r="BQ418" s="376">
        <f t="shared" si="806"/>
        <v>0.82600000000000007</v>
      </c>
      <c r="BR418" s="376">
        <f t="shared" si="806"/>
        <v>0.28200000000000003</v>
      </c>
      <c r="BS418" s="376">
        <f t="shared" si="806"/>
        <v>0.28200000000000003</v>
      </c>
      <c r="BT418" s="376">
        <f t="shared" si="806"/>
        <v>0.28200000000000003</v>
      </c>
      <c r="BU418" s="376">
        <f>BU416-BT416</f>
        <v>0.28200000000000003</v>
      </c>
      <c r="BV418" s="376">
        <f>BV416-BU416</f>
        <v>0.28200000000000003</v>
      </c>
      <c r="BW418" s="376">
        <f>BW416-BV416</f>
        <v>0.28200000000000003</v>
      </c>
      <c r="BX418" s="376">
        <f>BX416-BW416</f>
        <v>0.28200000000000003</v>
      </c>
      <c r="BY418" s="851">
        <f>BY416-BX416</f>
        <v>0.28200000000000003</v>
      </c>
      <c r="BZ418" s="110"/>
      <c r="CA418" s="36"/>
      <c r="CB418" s="36"/>
      <c r="CC418" s="36"/>
      <c r="CD418" s="36"/>
      <c r="CE418" s="36"/>
      <c r="CF418" s="36"/>
      <c r="CG418" s="36"/>
    </row>
    <row r="419" spans="1:85" ht="11.25" customHeight="1">
      <c r="A419" s="86"/>
      <c r="B419" s="191"/>
      <c r="C419" s="191"/>
      <c r="D419" s="191"/>
      <c r="E419" s="191"/>
      <c r="F419" s="191"/>
      <c r="G419" s="191"/>
      <c r="H419" s="1163"/>
      <c r="I419" s="770" t="s">
        <v>132</v>
      </c>
      <c r="J419" s="347"/>
      <c r="K419" s="67"/>
      <c r="L419" s="67"/>
      <c r="M419" s="198" t="str">
        <f t="shared" ref="M419:R419" si="807">IF(ISERROR(M416/I416-1),"NA",(IF(M416&lt;=0,"NM",M416/I416-1)))</f>
        <v>NA</v>
      </c>
      <c r="N419" s="198" t="str">
        <f t="shared" si="807"/>
        <v>NA</v>
      </c>
      <c r="O419" s="198" t="str">
        <f t="shared" si="807"/>
        <v>NA</v>
      </c>
      <c r="P419" s="198" t="str">
        <f t="shared" si="807"/>
        <v>NA</v>
      </c>
      <c r="Q419" s="198">
        <f t="shared" si="807"/>
        <v>1.3899371069182389</v>
      </c>
      <c r="R419" s="198">
        <f t="shared" si="807"/>
        <v>1.2763819095477387</v>
      </c>
      <c r="S419" s="198">
        <f>IF(ISERROR(S416/O416-1),"NA",(IF(S416&lt;=0,"NM",S416/O416-1)))</f>
        <v>1.1417004048582999</v>
      </c>
      <c r="T419" s="752">
        <f>IF(ISERROR(T416/P416-1),"NA",(IF(T416&lt;=0,"NM",T416/P416-1)))</f>
        <v>0.97394136807817588</v>
      </c>
      <c r="U419" s="751">
        <f>IF(ISERROR(U416/Q416-1),"NA",(IF(U416&lt;=0,"NM",U416/Q416-1)))</f>
        <v>0.84210526315789469</v>
      </c>
      <c r="V419" s="198">
        <f>IF(ISERROR(V416/R416-1),"NA",(IF(V416&lt;=0,"NM",V416/R416-1)))</f>
        <v>0.74613686534216339</v>
      </c>
      <c r="W419" s="198">
        <f>IF(ISERROR(W416/S416-1),"NA",(IF(W416&lt;=0,"NM",W416/S416-1)))</f>
        <v>0.68052930056710759</v>
      </c>
      <c r="X419" s="752">
        <f t="shared" ref="X419:AG419" si="808">IF(ISERROR(X416/T416-1),"NA",(IF(X416&lt;=0,"NM",X416/T416-1)))</f>
        <v>0.64026402640264024</v>
      </c>
      <c r="Y419" s="198">
        <f t="shared" si="808"/>
        <v>0.57571428571428584</v>
      </c>
      <c r="Z419" s="198">
        <f t="shared" si="808"/>
        <v>0.54487989886219967</v>
      </c>
      <c r="AA419" s="198">
        <f t="shared" si="808"/>
        <v>0.51181102362204722</v>
      </c>
      <c r="AB419" s="198">
        <f t="shared" si="808"/>
        <v>0.49698189134808857</v>
      </c>
      <c r="AC419" s="751">
        <f t="shared" si="808"/>
        <v>0.45058930190389868</v>
      </c>
      <c r="AD419" s="198">
        <f t="shared" si="808"/>
        <v>0.43289689034369871</v>
      </c>
      <c r="AE419" s="198">
        <f t="shared" si="808"/>
        <v>0.40327380952380931</v>
      </c>
      <c r="AF419" s="752">
        <f t="shared" si="808"/>
        <v>0.36357526881720426</v>
      </c>
      <c r="AG419" s="751">
        <f t="shared" si="808"/>
        <v>0.37062499999999998</v>
      </c>
      <c r="AH419" s="1740">
        <f t="shared" ref="AH419:AR419" si="809">IF(ISERROR(AH416/AD416-1),"NA",(IF(AH416&lt;=0,"NM",AH416/AD416-1)))</f>
        <v>0.34151913192461469</v>
      </c>
      <c r="AI419" s="1740">
        <f t="shared" si="809"/>
        <v>0.32714740190880187</v>
      </c>
      <c r="AJ419" s="752">
        <f t="shared" si="809"/>
        <v>0.30507639231148365</v>
      </c>
      <c r="AK419" s="198">
        <f t="shared" si="809"/>
        <v>0.2922936616507068</v>
      </c>
      <c r="AL419" s="1740">
        <f t="shared" si="809"/>
        <v>0.28139633886760307</v>
      </c>
      <c r="AM419" s="1740">
        <f t="shared" si="809"/>
        <v>0.27526967638833399</v>
      </c>
      <c r="AN419" s="752">
        <f t="shared" si="809"/>
        <v>0.27001510574018117</v>
      </c>
      <c r="AO419" s="198">
        <f t="shared" ref="AO419:AV419" si="810">IF(ISERROR(AO416/AK416-1),"NA",(IF(AO416&lt;=0,"NM",AO416/AK416-1)))</f>
        <v>0.25582215949188436</v>
      </c>
      <c r="AP419" s="1740">
        <f t="shared" si="809"/>
        <v>0.24684385382059815</v>
      </c>
      <c r="AQ419" s="1740">
        <f t="shared" si="809"/>
        <v>0.24530075187969924</v>
      </c>
      <c r="AR419" s="752">
        <f t="shared" si="809"/>
        <v>0.2456140350877194</v>
      </c>
      <c r="AS419" s="198">
        <f t="shared" si="810"/>
        <v>0.20483281820736154</v>
      </c>
      <c r="AT419" s="198">
        <f t="shared" si="810"/>
        <v>0.16893152144950707</v>
      </c>
      <c r="AU419" s="198">
        <f t="shared" si="810"/>
        <v>0.11345911949685528</v>
      </c>
      <c r="AV419" s="752">
        <f t="shared" si="810"/>
        <v>6.7319169252805011E-2</v>
      </c>
      <c r="AW419" s="198">
        <f t="shared" ref="AW419:BD419" si="811">IF(ISERROR(AW416/AS416-1),"NA",(IF(AW416&lt;=0,"NM",AW416/AS416-1)))</f>
        <v>6.5764925373134275E-2</v>
      </c>
      <c r="AX419" s="198">
        <f t="shared" si="811"/>
        <v>6.4280829724185029E-2</v>
      </c>
      <c r="AY419" s="198">
        <f t="shared" si="811"/>
        <v>6.3714414821509191E-2</v>
      </c>
      <c r="AZ419" s="752">
        <f t="shared" si="811"/>
        <v>6.3073138000447226E-2</v>
      </c>
      <c r="BA419" s="198">
        <f t="shared" si="811"/>
        <v>6.1706783369803064E-2</v>
      </c>
      <c r="BB419" s="198">
        <f t="shared" si="811"/>
        <v>6.0398372242450149E-2</v>
      </c>
      <c r="BC419" s="198">
        <f t="shared" si="811"/>
        <v>5.9898045879354322E-2</v>
      </c>
      <c r="BD419" s="752">
        <f t="shared" si="811"/>
        <v>5.9330948874395162E-2</v>
      </c>
      <c r="BE419" s="264"/>
      <c r="BF419" s="449"/>
      <c r="BG419" s="199"/>
      <c r="BH419" s="199" t="str">
        <f t="shared" ref="BH419:BT419" si="812">IF(ISERROR(BH416/BG416-1),"NA",(IF(BH416&lt;=0,"NM",BH416/BG416-1)))</f>
        <v>NA</v>
      </c>
      <c r="BI419" s="199">
        <f t="shared" si="812"/>
        <v>3.8</v>
      </c>
      <c r="BJ419" s="199">
        <f t="shared" si="812"/>
        <v>1.5583333333333336</v>
      </c>
      <c r="BK419" s="199">
        <f t="shared" si="812"/>
        <v>0.97394136807817588</v>
      </c>
      <c r="BL419" s="199">
        <f t="shared" si="812"/>
        <v>0.64026402640264024</v>
      </c>
      <c r="BM419" s="199">
        <f t="shared" si="812"/>
        <v>0.49698189134808857</v>
      </c>
      <c r="BN419" s="449">
        <f t="shared" si="812"/>
        <v>0.36357526881720426</v>
      </c>
      <c r="BO419" s="199">
        <f t="shared" si="812"/>
        <v>0.30507639231148365</v>
      </c>
      <c r="BP419" s="199">
        <f t="shared" si="812"/>
        <v>0.27001510574018117</v>
      </c>
      <c r="BQ419" s="199">
        <f t="shared" si="812"/>
        <v>0.2456140350877194</v>
      </c>
      <c r="BR419" s="199">
        <f t="shared" si="812"/>
        <v>6.7319169252805011E-2</v>
      </c>
      <c r="BS419" s="199">
        <f t="shared" si="812"/>
        <v>6.3073138000447226E-2</v>
      </c>
      <c r="BT419" s="199">
        <f t="shared" si="812"/>
        <v>5.9330948874395162E-2</v>
      </c>
      <c r="BU419" s="199">
        <f>IF(ISERROR(BU416/BT416-1),"NA",(IF(BU416&lt;=0,"NM",BU416/BT416-1)))</f>
        <v>5.6007944389275144E-2</v>
      </c>
      <c r="BV419" s="199">
        <f>IF(ISERROR(BV416/BU416-1),"NA",(IF(BV416&lt;=0,"NM",BV416/BU416-1)))</f>
        <v>5.3037427120556702E-2</v>
      </c>
      <c r="BW419" s="199">
        <f>IF(ISERROR(BW416/BV416-1),"NA",(IF(BW416&lt;=0,"NM",BW416/BV416-1)))</f>
        <v>5.0366136810144679E-2</v>
      </c>
      <c r="BX419" s="199">
        <f>IF(ISERROR(BX416/BW416-1),"NA",(IF(BX416&lt;=0,"NM",BX416/BW416-1)))</f>
        <v>4.7951028736609391E-2</v>
      </c>
      <c r="BY419" s="620">
        <f>IF(ISERROR(BY416/BX416-1),"NA",(IF(BY416&lt;=0,"NM",BY416/BX416-1)))</f>
        <v>4.5756936556871741E-2</v>
      </c>
      <c r="BZ419" s="265"/>
      <c r="CA419" s="80"/>
      <c r="CB419" s="88"/>
      <c r="CC419" s="88"/>
      <c r="CD419" s="88"/>
      <c r="CE419" s="88"/>
      <c r="CF419" s="88"/>
      <c r="CG419" s="88"/>
    </row>
    <row r="420" spans="1:85" ht="11.25" customHeight="1">
      <c r="A420" s="86"/>
      <c r="B420" s="191"/>
      <c r="C420" s="191"/>
      <c r="D420" s="191"/>
      <c r="E420" s="191"/>
      <c r="F420" s="191"/>
      <c r="G420" s="191"/>
      <c r="H420" s="1163"/>
      <c r="I420" s="770" t="s">
        <v>146</v>
      </c>
      <c r="J420" s="347"/>
      <c r="K420" s="67"/>
      <c r="L420" s="67"/>
      <c r="M420" s="198" t="str">
        <f t="shared" ref="M420:R420" si="813">IF(ISERROR(M416/L416-1),"NA",(IF(M416&lt;=0,"NM",M416/L416-1)))</f>
        <v>NA</v>
      </c>
      <c r="N420" s="198">
        <f t="shared" si="813"/>
        <v>0.2515723270440251</v>
      </c>
      <c r="O420" s="198">
        <f t="shared" si="813"/>
        <v>0.2412060301507537</v>
      </c>
      <c r="P420" s="198">
        <f t="shared" si="813"/>
        <v>0.24291497975708509</v>
      </c>
      <c r="Q420" s="198">
        <f t="shared" si="813"/>
        <v>0.23778501628664506</v>
      </c>
      <c r="R420" s="198">
        <f t="shared" si="813"/>
        <v>0.19210526315789478</v>
      </c>
      <c r="S420" s="198">
        <f t="shared" ref="S420:Y420" si="814">IF(ISERROR(S416/R416-1),"NA",(IF(S416&lt;=0,"NM",S416/R416-1)))</f>
        <v>0.16777041942604853</v>
      </c>
      <c r="T420" s="752">
        <f t="shared" si="814"/>
        <v>0.14555765595463122</v>
      </c>
      <c r="U420" s="751">
        <f t="shared" si="814"/>
        <v>0.15511551155115511</v>
      </c>
      <c r="V420" s="198">
        <f t="shared" si="814"/>
        <v>0.13000000000000012</v>
      </c>
      <c r="W420" s="198">
        <f t="shared" si="814"/>
        <v>0.12389380530973448</v>
      </c>
      <c r="X420" s="752">
        <f t="shared" si="814"/>
        <v>0.11811023622047245</v>
      </c>
      <c r="Y420" s="198">
        <f t="shared" si="814"/>
        <v>0.10965794768611659</v>
      </c>
      <c r="Z420" s="198">
        <f t="shared" ref="Z420:AG420" si="815">IF(ISERROR(Z416/Y416-1),"NA",(IF(Z416&lt;=0,"NM",Z416/Y416-1)))</f>
        <v>0.10788757932910253</v>
      </c>
      <c r="AA420" s="198">
        <f t="shared" si="815"/>
        <v>9.983633387888724E-2</v>
      </c>
      <c r="AB420" s="198">
        <f t="shared" si="815"/>
        <v>0.10714285714285698</v>
      </c>
      <c r="AC420" s="751">
        <f t="shared" si="815"/>
        <v>7.526881720430123E-2</v>
      </c>
      <c r="AD420" s="198">
        <f t="shared" si="815"/>
        <v>9.4374999999999876E-2</v>
      </c>
      <c r="AE420" s="198">
        <f t="shared" si="815"/>
        <v>7.7098800685322599E-2</v>
      </c>
      <c r="AF420" s="752">
        <f t="shared" si="815"/>
        <v>7.5821845174973479E-2</v>
      </c>
      <c r="AG420" s="751">
        <f t="shared" si="815"/>
        <v>8.0827994085756583E-2</v>
      </c>
      <c r="AH420" s="1740">
        <f t="shared" ref="AH420:AR420" si="816">IF(ISERROR(AH416/AG416-1),"NA",(IF(AH416&lt;=0,"NM",AH416/AG416-1)))</f>
        <v>7.1135430916552833E-2</v>
      </c>
      <c r="AI420" s="1740">
        <f t="shared" si="816"/>
        <v>6.555981268624933E-2</v>
      </c>
      <c r="AJ420" s="752">
        <f t="shared" si="816"/>
        <v>5.793048341989615E-2</v>
      </c>
      <c r="AK420" s="198">
        <f t="shared" si="816"/>
        <v>7.02416918429003E-2</v>
      </c>
      <c r="AL420" s="1740">
        <f t="shared" si="816"/>
        <v>6.2103034580098804E-2</v>
      </c>
      <c r="AM420" s="1740">
        <f t="shared" si="816"/>
        <v>6.0465116279069919E-2</v>
      </c>
      <c r="AN420" s="752">
        <f t="shared" si="816"/>
        <v>5.3571428571428603E-2</v>
      </c>
      <c r="AO420" s="198">
        <f t="shared" ref="AO420:AV420" si="817">IF(ISERROR(AO416/AN416-1),"NA",(IF(AO416&lt;=0,"NM",AO416/AN416-1)))</f>
        <v>5.8281296461492715E-2</v>
      </c>
      <c r="AP420" s="1740">
        <f t="shared" si="816"/>
        <v>5.4509693734194897E-2</v>
      </c>
      <c r="AQ420" s="1740">
        <f t="shared" si="816"/>
        <v>5.9152677857713831E-2</v>
      </c>
      <c r="AR420" s="752">
        <f t="shared" si="816"/>
        <v>5.3836477987421416E-2</v>
      </c>
      <c r="AS420" s="198">
        <f t="shared" si="817"/>
        <v>2.3633325375984837E-2</v>
      </c>
      <c r="AT420" s="198">
        <f t="shared" si="817"/>
        <v>2.3087686567164312E-2</v>
      </c>
      <c r="AU420" s="198">
        <f t="shared" si="817"/>
        <v>8.8899019831318871E-3</v>
      </c>
      <c r="AV420" s="752">
        <f t="shared" si="817"/>
        <v>1.0167193854496048E-2</v>
      </c>
      <c r="AW420" s="198">
        <f t="shared" ref="AW420:BD420" si="818">IF(ISERROR(AW416/AV416-1),"NA",(IF(AW416&lt;=0,"NM",AW416/AV416-1)))</f>
        <v>2.214269738313579E-2</v>
      </c>
      <c r="AX420" s="198">
        <f t="shared" si="818"/>
        <v>2.1663019693654251E-2</v>
      </c>
      <c r="AY420" s="198">
        <f t="shared" si="818"/>
        <v>8.3529663739558835E-3</v>
      </c>
      <c r="AZ420" s="752">
        <f t="shared" si="818"/>
        <v>9.5581988105353233E-3</v>
      </c>
      <c r="BA420" s="198">
        <f t="shared" si="818"/>
        <v>2.0828950136755786E-2</v>
      </c>
      <c r="BB420" s="198">
        <f t="shared" si="818"/>
        <v>2.0403957131079897E-2</v>
      </c>
      <c r="BC420" s="198">
        <f t="shared" si="818"/>
        <v>7.8771965259543109E-3</v>
      </c>
      <c r="BD420" s="752">
        <f t="shared" si="818"/>
        <v>9.0180360721443531E-3</v>
      </c>
      <c r="BE420" s="264"/>
      <c r="BF420" s="631"/>
      <c r="BG420" s="67"/>
      <c r="BH420" s="67"/>
      <c r="BI420" s="67"/>
      <c r="BJ420" s="67"/>
      <c r="BK420" s="67"/>
      <c r="BL420" s="67"/>
      <c r="BM420" s="67"/>
      <c r="BN420" s="631"/>
      <c r="BO420" s="67"/>
      <c r="BP420" s="351"/>
      <c r="BQ420" s="351"/>
      <c r="BR420" s="351"/>
      <c r="BS420" s="351"/>
      <c r="BT420" s="351"/>
      <c r="BU420" s="351"/>
      <c r="BV420" s="351"/>
      <c r="BW420" s="351"/>
      <c r="BX420" s="351"/>
      <c r="BY420" s="809"/>
      <c r="BZ420" s="280"/>
      <c r="CA420" s="80"/>
      <c r="CB420" s="88"/>
      <c r="CC420" s="88"/>
      <c r="CD420" s="88"/>
      <c r="CE420" s="88"/>
      <c r="CF420" s="88"/>
      <c r="CG420" s="88"/>
    </row>
    <row r="421" spans="1:85" ht="11.25" customHeight="1">
      <c r="B421" s="106"/>
      <c r="C421" s="106"/>
      <c r="D421" s="106"/>
      <c r="E421" s="106"/>
      <c r="F421" s="106"/>
      <c r="G421" s="106"/>
      <c r="H421" s="83"/>
      <c r="I421" s="814"/>
      <c r="J421" s="106"/>
      <c r="K421" s="106"/>
      <c r="L421" s="106"/>
      <c r="M421" s="106"/>
      <c r="N421" s="106"/>
      <c r="O421" s="106"/>
      <c r="P421" s="106"/>
      <c r="Q421" s="106"/>
      <c r="R421" s="106"/>
      <c r="S421" s="106"/>
      <c r="T421" s="830"/>
      <c r="U421" s="814"/>
      <c r="V421" s="106"/>
      <c r="W421" s="106"/>
      <c r="X421" s="830"/>
      <c r="Y421" s="106"/>
      <c r="Z421" s="106"/>
      <c r="AA421" s="106"/>
      <c r="AB421" s="106"/>
      <c r="AC421" s="814"/>
      <c r="AD421" s="106"/>
      <c r="AE421" s="106"/>
      <c r="AF421" s="830"/>
      <c r="AG421" s="106"/>
      <c r="AH421" s="106"/>
      <c r="AI421" s="106"/>
      <c r="AJ421" s="830"/>
      <c r="AK421" s="106"/>
      <c r="AM421" s="106"/>
      <c r="AN421" s="830"/>
      <c r="AO421" s="106"/>
      <c r="AP421" s="106"/>
      <c r="AQ421" s="106"/>
      <c r="AR421" s="830"/>
      <c r="AS421" s="106"/>
      <c r="AT421" s="106"/>
      <c r="AU421" s="106"/>
      <c r="AV421" s="830"/>
      <c r="AW421" s="106"/>
      <c r="AX421" s="106"/>
      <c r="AY421" s="106"/>
      <c r="AZ421" s="830"/>
      <c r="BA421" s="106"/>
      <c r="BB421" s="106"/>
      <c r="BC421" s="106"/>
      <c r="BD421" s="830"/>
      <c r="BE421" s="83"/>
      <c r="BF421" s="814"/>
      <c r="BG421" s="106"/>
      <c r="BH421" s="106"/>
      <c r="BI421" s="106"/>
      <c r="BJ421" s="106"/>
      <c r="BK421" s="106"/>
      <c r="BL421" s="106"/>
      <c r="BN421" s="814"/>
      <c r="BP421" s="106"/>
      <c r="BQ421" s="106"/>
      <c r="BR421" s="106"/>
      <c r="BS421" s="106"/>
      <c r="BT421" s="106"/>
      <c r="BV421" s="106"/>
      <c r="BW421" s="106"/>
      <c r="BX421" s="106"/>
      <c r="BY421" s="830"/>
    </row>
    <row r="422" spans="1:85" ht="11.25" customHeight="1">
      <c r="B422" s="106"/>
      <c r="C422" s="106"/>
      <c r="D422" s="106"/>
      <c r="E422" s="106"/>
      <c r="F422" s="106"/>
      <c r="G422" s="106"/>
      <c r="H422" s="83"/>
      <c r="I422" s="832" t="s">
        <v>297</v>
      </c>
      <c r="J422" s="106"/>
      <c r="K422" s="106"/>
      <c r="L422" s="106"/>
      <c r="M422" s="360">
        <f t="shared" ref="M422:BD422" si="819">M562/1000</f>
        <v>8.0000000000000002E-3</v>
      </c>
      <c r="N422" s="360">
        <f t="shared" si="819"/>
        <v>8.9999999999999993E-3</v>
      </c>
      <c r="O422" s="360">
        <f t="shared" si="819"/>
        <v>1.0999999999999999E-2</v>
      </c>
      <c r="P422" s="360">
        <f t="shared" si="819"/>
        <v>1.0999999999999999E-2</v>
      </c>
      <c r="Q422" s="360">
        <f t="shared" si="819"/>
        <v>1.2999999999999999E-2</v>
      </c>
      <c r="R422" s="360">
        <f t="shared" si="819"/>
        <v>1.4999999999999999E-2</v>
      </c>
      <c r="S422" s="360">
        <f t="shared" si="819"/>
        <v>1.9E-2</v>
      </c>
      <c r="T422" s="833">
        <f t="shared" si="819"/>
        <v>2.3699999999999999E-2</v>
      </c>
      <c r="U422" s="838">
        <f t="shared" si="819"/>
        <v>2.7E-2</v>
      </c>
      <c r="V422" s="360">
        <f t="shared" si="819"/>
        <v>3.1800000000000002E-2</v>
      </c>
      <c r="W422" s="360">
        <f t="shared" si="819"/>
        <v>3.5999999999999997E-2</v>
      </c>
      <c r="X422" s="833">
        <f t="shared" si="819"/>
        <v>3.9799999999999995E-2</v>
      </c>
      <c r="Y422" s="360">
        <f t="shared" si="819"/>
        <v>4.4700000000000004E-2</v>
      </c>
      <c r="Z422" s="360">
        <f t="shared" si="819"/>
        <v>5.1400000000000001E-2</v>
      </c>
      <c r="AA422" s="360">
        <f t="shared" si="819"/>
        <v>5.7200000000000001E-2</v>
      </c>
      <c r="AB422" s="360">
        <f t="shared" si="819"/>
        <v>6.720000000000001E-2</v>
      </c>
      <c r="AC422" s="838">
        <f t="shared" si="819"/>
        <v>7.3999999999999996E-2</v>
      </c>
      <c r="AD422" s="360">
        <f t="shared" si="819"/>
        <v>7.9899999999999999E-2</v>
      </c>
      <c r="AE422" s="360">
        <f t="shared" si="819"/>
        <v>8.6199999999999999E-2</v>
      </c>
      <c r="AF422" s="833">
        <f t="shared" si="819"/>
        <v>9.3700000000000006E-2</v>
      </c>
      <c r="AG422" s="360">
        <f t="shared" si="819"/>
        <v>9.9699999999999997E-2</v>
      </c>
      <c r="AH422" s="360">
        <f t="shared" si="819"/>
        <v>0.1057</v>
      </c>
      <c r="AI422" s="360">
        <f t="shared" si="819"/>
        <v>0.11270000000000001</v>
      </c>
      <c r="AJ422" s="833">
        <f t="shared" si="819"/>
        <v>0.1217</v>
      </c>
      <c r="AK422" s="360">
        <f t="shared" si="819"/>
        <v>0.13069999999999998</v>
      </c>
      <c r="AL422" s="360">
        <f t="shared" si="819"/>
        <v>0.13969999999999999</v>
      </c>
      <c r="AM422" s="360">
        <f t="shared" si="819"/>
        <v>0.1487</v>
      </c>
      <c r="AN422" s="833">
        <f t="shared" si="819"/>
        <v>0.15769999999999998</v>
      </c>
      <c r="AO422" s="360">
        <f t="shared" si="819"/>
        <v>0.16669999999999999</v>
      </c>
      <c r="AP422" s="360">
        <f>AP562/1000</f>
        <v>0.1757</v>
      </c>
      <c r="AQ422" s="360">
        <f>AQ562/1000</f>
        <v>0.18469999999999998</v>
      </c>
      <c r="AR422" s="833">
        <f t="shared" ref="AR422" si="820">AR562/1000</f>
        <v>0.19369999999999998</v>
      </c>
      <c r="AS422" s="360">
        <f t="shared" si="819"/>
        <v>0.20269999999999999</v>
      </c>
      <c r="AT422" s="360">
        <f t="shared" si="819"/>
        <v>0.2117</v>
      </c>
      <c r="AU422" s="360">
        <f t="shared" si="819"/>
        <v>0.22069999999999998</v>
      </c>
      <c r="AV422" s="833">
        <f t="shared" si="819"/>
        <v>0.22969999999999999</v>
      </c>
      <c r="AW422" s="360">
        <f t="shared" si="819"/>
        <v>0.2387</v>
      </c>
      <c r="AX422" s="360">
        <f t="shared" si="819"/>
        <v>0.24769999999999998</v>
      </c>
      <c r="AY422" s="360">
        <f t="shared" si="819"/>
        <v>0.25669999999999998</v>
      </c>
      <c r="AZ422" s="833">
        <f t="shared" si="819"/>
        <v>0.26569999999999999</v>
      </c>
      <c r="BA422" s="360">
        <f t="shared" si="819"/>
        <v>0.2747</v>
      </c>
      <c r="BB422" s="360">
        <f t="shared" si="819"/>
        <v>0.28370000000000001</v>
      </c>
      <c r="BC422" s="360">
        <f t="shared" si="819"/>
        <v>0.29270000000000002</v>
      </c>
      <c r="BD422" s="833">
        <f t="shared" si="819"/>
        <v>0.30169999999999997</v>
      </c>
      <c r="BE422" s="290"/>
      <c r="BF422" s="814"/>
      <c r="BG422" s="106"/>
      <c r="BH422" s="360">
        <f t="shared" ref="BH422:BO422" si="821">BH562/1000</f>
        <v>4.0000000000000001E-3</v>
      </c>
      <c r="BI422" s="360">
        <f t="shared" si="821"/>
        <v>7.0000000000000001E-3</v>
      </c>
      <c r="BJ422" s="360">
        <f t="shared" si="821"/>
        <v>1.0999999999999999E-2</v>
      </c>
      <c r="BK422" s="360">
        <f t="shared" si="821"/>
        <v>2.3699999999999999E-2</v>
      </c>
      <c r="BL422" s="360">
        <f t="shared" si="821"/>
        <v>3.9799999999999995E-2</v>
      </c>
      <c r="BM422" s="360">
        <f t="shared" si="821"/>
        <v>6.720000000000001E-2</v>
      </c>
      <c r="BN422" s="838">
        <f t="shared" si="821"/>
        <v>9.3700000000000006E-2</v>
      </c>
      <c r="BO422" s="360">
        <f t="shared" si="821"/>
        <v>0.1217</v>
      </c>
      <c r="BP422" s="360">
        <f>AN422</f>
        <v>0.15769999999999998</v>
      </c>
      <c r="BQ422" s="360">
        <f>AR422</f>
        <v>0.19369999999999998</v>
      </c>
      <c r="BR422" s="360">
        <f>AV422</f>
        <v>0.22969999999999999</v>
      </c>
      <c r="BS422" s="360">
        <f>AZ422</f>
        <v>0.26569999999999999</v>
      </c>
      <c r="BT422" s="360">
        <f>BD422</f>
        <v>0.30169999999999997</v>
      </c>
      <c r="BU422" s="360">
        <f>BU416*BU425</f>
        <v>0.32923159682224423</v>
      </c>
      <c r="BV422" s="360">
        <f>BV416*BV425</f>
        <v>0.34669319364448853</v>
      </c>
      <c r="BW422" s="360">
        <f>BW416*BW425</f>
        <v>0.36415479046673283</v>
      </c>
      <c r="BX422" s="360">
        <f>BX416*BX425</f>
        <v>0.38161638728897712</v>
      </c>
      <c r="BY422" s="833">
        <f>BY416*BY425</f>
        <v>0.39907798411122142</v>
      </c>
      <c r="BZ422" s="290"/>
    </row>
    <row r="423" spans="1:85" ht="11.25" customHeight="1">
      <c r="B423" s="106"/>
      <c r="C423" s="106"/>
      <c r="D423" s="106"/>
      <c r="E423" s="106"/>
      <c r="F423" s="106"/>
      <c r="G423" s="106"/>
      <c r="H423" s="83"/>
      <c r="I423" s="770" t="s">
        <v>132</v>
      </c>
      <c r="J423" s="106"/>
      <c r="K423" s="106"/>
      <c r="L423" s="106"/>
      <c r="M423" s="198" t="str">
        <f t="shared" ref="M423:AB423" si="822">IF(ISERROR(M422/I422-1),"NA",(IF(M422&lt;=0,"NM",M422/I422-1)))</f>
        <v>NA</v>
      </c>
      <c r="N423" s="198" t="str">
        <f t="shared" si="822"/>
        <v>NA</v>
      </c>
      <c r="O423" s="198" t="str">
        <f t="shared" si="822"/>
        <v>NA</v>
      </c>
      <c r="P423" s="198" t="str">
        <f t="shared" si="822"/>
        <v>NA</v>
      </c>
      <c r="Q423" s="198">
        <f t="shared" si="822"/>
        <v>0.625</v>
      </c>
      <c r="R423" s="198">
        <f t="shared" si="822"/>
        <v>0.66666666666666674</v>
      </c>
      <c r="S423" s="198">
        <f t="shared" si="822"/>
        <v>0.72727272727272729</v>
      </c>
      <c r="T423" s="752">
        <f t="shared" si="822"/>
        <v>1.1545454545454548</v>
      </c>
      <c r="U423" s="751">
        <f t="shared" si="822"/>
        <v>1.0769230769230771</v>
      </c>
      <c r="V423" s="198">
        <f t="shared" si="822"/>
        <v>1.1200000000000001</v>
      </c>
      <c r="W423" s="198">
        <f t="shared" si="822"/>
        <v>0.89473684210526305</v>
      </c>
      <c r="X423" s="752">
        <f t="shared" si="822"/>
        <v>0.67932489451476785</v>
      </c>
      <c r="Y423" s="198">
        <f t="shared" si="822"/>
        <v>0.65555555555555567</v>
      </c>
      <c r="Z423" s="198">
        <f t="shared" si="822"/>
        <v>0.6163522012578615</v>
      </c>
      <c r="AA423" s="198">
        <f t="shared" si="822"/>
        <v>0.58888888888888902</v>
      </c>
      <c r="AB423" s="198">
        <f t="shared" si="822"/>
        <v>0.68844221105527681</v>
      </c>
      <c r="AC423" s="751">
        <f t="shared" ref="AC423:AJ423" si="823">IF(ISERROR(AC422/Y422-1),"NA",(IF(AC422&lt;=0,"NM",AC422/Y422-1)))</f>
        <v>0.65548098434004443</v>
      </c>
      <c r="AD423" s="198">
        <f t="shared" si="823"/>
        <v>0.55447470817120625</v>
      </c>
      <c r="AE423" s="198">
        <f t="shared" si="823"/>
        <v>0.50699300699300687</v>
      </c>
      <c r="AF423" s="752">
        <f t="shared" si="823"/>
        <v>0.39434523809523792</v>
      </c>
      <c r="AG423" s="198">
        <f t="shared" si="823"/>
        <v>0.34729729729729741</v>
      </c>
      <c r="AH423" s="198">
        <f t="shared" si="823"/>
        <v>0.3229036295369212</v>
      </c>
      <c r="AI423" s="198">
        <f t="shared" si="823"/>
        <v>0.30742459396751753</v>
      </c>
      <c r="AJ423" s="752">
        <f t="shared" si="823"/>
        <v>0.29882604055496254</v>
      </c>
      <c r="AK423" s="198">
        <f t="shared" ref="AK423:AR423" si="824">IF(ISERROR(AK422/AG422-1),"NA",(IF(AK422&lt;=0,"NM",AK422/AG422-1)))</f>
        <v>0.31093279839518551</v>
      </c>
      <c r="AL423" s="198">
        <f t="shared" si="824"/>
        <v>0.32166508987701037</v>
      </c>
      <c r="AM423" s="198">
        <f t="shared" si="824"/>
        <v>0.31943212067435667</v>
      </c>
      <c r="AN423" s="752">
        <f t="shared" si="824"/>
        <v>0.29580936729663088</v>
      </c>
      <c r="AO423" s="198">
        <f t="shared" si="824"/>
        <v>0.27543993879112483</v>
      </c>
      <c r="AP423" s="198">
        <f t="shared" si="824"/>
        <v>0.25769506084466709</v>
      </c>
      <c r="AQ423" s="198">
        <f t="shared" si="824"/>
        <v>0.24209818426361784</v>
      </c>
      <c r="AR423" s="752">
        <f t="shared" si="824"/>
        <v>0.22828154724159799</v>
      </c>
      <c r="AS423" s="198">
        <f t="shared" ref="AS423:BD423" si="825">IF(ISERROR(AS422/AO422-1),"NA",(IF(AS422&lt;=0,"NM",AS422/AO422-1)))</f>
        <v>0.21595680863827238</v>
      </c>
      <c r="AT423" s="198">
        <f t="shared" si="825"/>
        <v>0.20489470688673883</v>
      </c>
      <c r="AU423" s="198">
        <f t="shared" si="825"/>
        <v>0.19491066594477546</v>
      </c>
      <c r="AV423" s="752">
        <f t="shared" si="825"/>
        <v>0.18585441404233349</v>
      </c>
      <c r="AW423" s="198">
        <f t="shared" si="825"/>
        <v>0.1776023680315737</v>
      </c>
      <c r="AX423" s="198">
        <f t="shared" si="825"/>
        <v>0.17005196032120917</v>
      </c>
      <c r="AY423" s="198">
        <f t="shared" si="825"/>
        <v>0.16311735387403714</v>
      </c>
      <c r="AZ423" s="752">
        <f t="shared" si="825"/>
        <v>0.1567261645624729</v>
      </c>
      <c r="BA423" s="198">
        <f t="shared" si="825"/>
        <v>0.15081692501047339</v>
      </c>
      <c r="BB423" s="198">
        <f t="shared" si="825"/>
        <v>0.14533710133225686</v>
      </c>
      <c r="BC423" s="198">
        <f t="shared" si="825"/>
        <v>0.14024152707440596</v>
      </c>
      <c r="BD423" s="752">
        <f t="shared" si="825"/>
        <v>0.13549115543846435</v>
      </c>
      <c r="BE423" s="264"/>
      <c r="BF423" s="814"/>
      <c r="BG423" s="106"/>
      <c r="BH423" s="198" t="str">
        <f t="shared" ref="BH423:BT423" si="826">IF(ISERROR(BH422/BG422-1),"NA",(IF(BH422&lt;=0,"NM",BH422/BG422-1)))</f>
        <v>NA</v>
      </c>
      <c r="BI423" s="198">
        <f t="shared" si="826"/>
        <v>0.75</v>
      </c>
      <c r="BJ423" s="198">
        <f t="shared" si="826"/>
        <v>0.5714285714285714</v>
      </c>
      <c r="BK423" s="198">
        <f t="shared" si="826"/>
        <v>1.1545454545454548</v>
      </c>
      <c r="BL423" s="198">
        <f t="shared" si="826"/>
        <v>0.67932489451476785</v>
      </c>
      <c r="BM423" s="198">
        <f t="shared" si="826"/>
        <v>0.68844221105527681</v>
      </c>
      <c r="BN423" s="751">
        <f t="shared" si="826"/>
        <v>0.39434523809523792</v>
      </c>
      <c r="BO423" s="198">
        <f t="shared" si="826"/>
        <v>0.29882604055496254</v>
      </c>
      <c r="BP423" s="198">
        <f t="shared" si="826"/>
        <v>0.29580936729663088</v>
      </c>
      <c r="BQ423" s="198">
        <f t="shared" si="826"/>
        <v>0.22828154724159799</v>
      </c>
      <c r="BR423" s="198">
        <f t="shared" si="826"/>
        <v>0.18585441404233349</v>
      </c>
      <c r="BS423" s="198">
        <f t="shared" si="826"/>
        <v>0.1567261645624729</v>
      </c>
      <c r="BT423" s="198">
        <f t="shared" si="826"/>
        <v>0.13549115543846435</v>
      </c>
      <c r="BU423" s="198">
        <f>IF(ISERROR(BU422/BT422-1),"NA",(IF(BU422&lt;=0,"NM",BU422/BT422-1)))</f>
        <v>9.1254878429712472E-2</v>
      </c>
      <c r="BV423" s="198">
        <f>IF(ISERROR(BV422/BU422-1),"NA",(IF(BV422&lt;=0,"NM",BV422/BU422-1)))</f>
        <v>5.3037427120556702E-2</v>
      </c>
      <c r="BW423" s="198">
        <f>IF(ISERROR(BW422/BV422-1),"NA",(IF(BW422&lt;=0,"NM",BW422/BV422-1)))</f>
        <v>5.0366136810144679E-2</v>
      </c>
      <c r="BX423" s="198">
        <f>IF(ISERROR(BX422/BW422-1),"NA",(IF(BX422&lt;=0,"NM",BX422/BW422-1)))</f>
        <v>4.7951028736609391E-2</v>
      </c>
      <c r="BY423" s="752">
        <f>IF(ISERROR(BY422/BX422-1),"NA",(IF(BY422&lt;=0,"NM",BY422/BX422-1)))</f>
        <v>4.5756936556871741E-2</v>
      </c>
      <c r="BZ423" s="264"/>
    </row>
    <row r="424" spans="1:85" ht="11.25" customHeight="1">
      <c r="B424" s="106"/>
      <c r="C424" s="106"/>
      <c r="D424" s="106"/>
      <c r="E424" s="106"/>
      <c r="F424" s="106"/>
      <c r="G424" s="106"/>
      <c r="H424" s="83"/>
      <c r="I424" s="770" t="s">
        <v>146</v>
      </c>
      <c r="J424" s="106"/>
      <c r="K424" s="106"/>
      <c r="L424" s="106"/>
      <c r="M424" s="198" t="str">
        <f t="shared" ref="M424:AB424" si="827">IF(ISERROR(M422/L422-1),"NA",(IF(M422&lt;=0,"NM",M422/L422-1)))</f>
        <v>NA</v>
      </c>
      <c r="N424" s="198">
        <f t="shared" si="827"/>
        <v>0.125</v>
      </c>
      <c r="O424" s="198">
        <f t="shared" si="827"/>
        <v>0.22222222222222232</v>
      </c>
      <c r="P424" s="198">
        <f t="shared" si="827"/>
        <v>0</v>
      </c>
      <c r="Q424" s="198">
        <f t="shared" si="827"/>
        <v>0.18181818181818188</v>
      </c>
      <c r="R424" s="198">
        <f t="shared" si="827"/>
        <v>0.15384615384615397</v>
      </c>
      <c r="S424" s="198">
        <f t="shared" si="827"/>
        <v>0.26666666666666661</v>
      </c>
      <c r="T424" s="752">
        <f t="shared" si="827"/>
        <v>0.24736842105263146</v>
      </c>
      <c r="U424" s="751">
        <f t="shared" si="827"/>
        <v>0.139240506329114</v>
      </c>
      <c r="V424" s="198">
        <f t="shared" si="827"/>
        <v>0.17777777777777781</v>
      </c>
      <c r="W424" s="198">
        <f t="shared" si="827"/>
        <v>0.13207547169811296</v>
      </c>
      <c r="X424" s="198">
        <f t="shared" si="827"/>
        <v>0.1055555555555554</v>
      </c>
      <c r="Y424" s="751">
        <f t="shared" si="827"/>
        <v>0.12311557788944749</v>
      </c>
      <c r="Z424" s="198">
        <f t="shared" si="827"/>
        <v>0.14988814317673382</v>
      </c>
      <c r="AA424" s="198">
        <f t="shared" si="827"/>
        <v>0.11284046692607008</v>
      </c>
      <c r="AB424" s="198">
        <f t="shared" si="827"/>
        <v>0.17482517482517501</v>
      </c>
      <c r="AC424" s="751">
        <f t="shared" ref="AC424:AJ424" si="828">IF(ISERROR(AC422/AB422-1),"NA",(IF(AC422&lt;=0,"NM",AC422/AB422-1)))</f>
        <v>0.10119047619047605</v>
      </c>
      <c r="AD424" s="198">
        <f t="shared" si="828"/>
        <v>7.9729729729729693E-2</v>
      </c>
      <c r="AE424" s="198">
        <f t="shared" si="828"/>
        <v>7.8848560700876202E-2</v>
      </c>
      <c r="AF424" s="752">
        <f t="shared" si="828"/>
        <v>8.7006960556844648E-2</v>
      </c>
      <c r="AG424" s="198">
        <f t="shared" si="828"/>
        <v>6.4034151547491813E-2</v>
      </c>
      <c r="AH424" s="198">
        <f t="shared" si="828"/>
        <v>6.0180541624874628E-2</v>
      </c>
      <c r="AI424" s="198">
        <f t="shared" si="828"/>
        <v>6.6225165562914023E-2</v>
      </c>
      <c r="AJ424" s="752">
        <f t="shared" si="828"/>
        <v>7.9858030168589167E-2</v>
      </c>
      <c r="AK424" s="198">
        <f t="shared" ref="AK424:AR424" si="829">IF(ISERROR(AK422/AJ422-1),"NA",(IF(AK422&lt;=0,"NM",AK422/AJ422-1)))</f>
        <v>7.3952341824157664E-2</v>
      </c>
      <c r="AL424" s="198">
        <f t="shared" si="829"/>
        <v>6.8859984697781318E-2</v>
      </c>
      <c r="AM424" s="198">
        <f t="shared" si="829"/>
        <v>6.4423765211166772E-2</v>
      </c>
      <c r="AN424" s="752">
        <f t="shared" si="829"/>
        <v>6.0524546065904294E-2</v>
      </c>
      <c r="AO424" s="198">
        <f t="shared" si="829"/>
        <v>5.7070386810399443E-2</v>
      </c>
      <c r="AP424" s="198">
        <f t="shared" si="829"/>
        <v>5.3989202159568039E-2</v>
      </c>
      <c r="AQ424" s="198">
        <f t="shared" si="829"/>
        <v>5.1223676721684486E-2</v>
      </c>
      <c r="AR424" s="752">
        <f t="shared" si="829"/>
        <v>4.8727666486193977E-2</v>
      </c>
      <c r="AS424" s="198">
        <f t="shared" ref="AS424:BD424" si="830">IF(ISERROR(AS422/AR422-1),"NA",(IF(AS422&lt;=0,"NM",AS422/AR422-1)))</f>
        <v>4.6463603510583429E-2</v>
      </c>
      <c r="AT424" s="198">
        <f t="shared" si="830"/>
        <v>4.4400592007893369E-2</v>
      </c>
      <c r="AU424" s="198">
        <f t="shared" si="830"/>
        <v>4.2512990080302293E-2</v>
      </c>
      <c r="AV424" s="752">
        <f t="shared" si="830"/>
        <v>4.0779338468509341E-2</v>
      </c>
      <c r="AW424" s="198">
        <f t="shared" si="830"/>
        <v>3.9181541140618226E-2</v>
      </c>
      <c r="AX424" s="198">
        <f t="shared" si="830"/>
        <v>3.7704231252618348E-2</v>
      </c>
      <c r="AY424" s="198">
        <f t="shared" si="830"/>
        <v>3.6334275333064214E-2</v>
      </c>
      <c r="AZ424" s="752">
        <f t="shared" si="830"/>
        <v>3.506038176860149E-2</v>
      </c>
      <c r="BA424" s="198">
        <f t="shared" si="830"/>
        <v>3.3872788859616199E-2</v>
      </c>
      <c r="BB424" s="198">
        <f t="shared" si="830"/>
        <v>3.2763014197306095E-2</v>
      </c>
      <c r="BC424" s="198">
        <f t="shared" si="830"/>
        <v>3.1723651744800963E-2</v>
      </c>
      <c r="BD424" s="752">
        <f t="shared" si="830"/>
        <v>3.074820635462916E-2</v>
      </c>
      <c r="BE424" s="264"/>
      <c r="BF424" s="814"/>
      <c r="BG424" s="106"/>
      <c r="BH424" s="198"/>
      <c r="BI424" s="198"/>
      <c r="BJ424" s="198"/>
      <c r="BK424" s="198"/>
      <c r="BL424" s="198"/>
      <c r="BM424" s="198"/>
      <c r="BN424" s="751"/>
      <c r="BO424" s="198"/>
      <c r="BP424" s="198"/>
      <c r="BQ424" s="198"/>
      <c r="BR424" s="198"/>
      <c r="BS424" s="198"/>
      <c r="BT424" s="198"/>
      <c r="BU424" s="198"/>
      <c r="BV424" s="198"/>
      <c r="BW424" s="198"/>
      <c r="BX424" s="198"/>
      <c r="BY424" s="752"/>
      <c r="BZ424" s="264"/>
    </row>
    <row r="425" spans="1:85" s="41" customFormat="1" ht="11.25" customHeight="1">
      <c r="B425" s="231"/>
      <c r="C425" s="231"/>
      <c r="D425" s="231"/>
      <c r="E425" s="231"/>
      <c r="F425" s="231"/>
      <c r="G425" s="231"/>
      <c r="H425" s="226"/>
      <c r="I425" s="773" t="s">
        <v>360</v>
      </c>
      <c r="J425" s="231"/>
      <c r="K425" s="231"/>
      <c r="L425" s="231"/>
      <c r="M425" s="359">
        <f t="shared" ref="M425:AV425" si="831">M422/M416</f>
        <v>5.0314465408805034E-2</v>
      </c>
      <c r="N425" s="359">
        <f t="shared" si="831"/>
        <v>4.5226130653266326E-2</v>
      </c>
      <c r="O425" s="359">
        <f t="shared" si="831"/>
        <v>4.4534412955465584E-2</v>
      </c>
      <c r="P425" s="359">
        <f t="shared" si="831"/>
        <v>3.5830618892508138E-2</v>
      </c>
      <c r="Q425" s="359">
        <f t="shared" si="831"/>
        <v>3.4210526315789469E-2</v>
      </c>
      <c r="R425" s="359">
        <f t="shared" si="831"/>
        <v>3.3112582781456949E-2</v>
      </c>
      <c r="S425" s="359">
        <f t="shared" si="831"/>
        <v>3.5916824196597349E-2</v>
      </c>
      <c r="T425" s="843">
        <f t="shared" si="831"/>
        <v>3.9108910891089109E-2</v>
      </c>
      <c r="U425" s="852">
        <f t="shared" si="831"/>
        <v>3.8571428571428576E-2</v>
      </c>
      <c r="V425" s="359">
        <f t="shared" si="831"/>
        <v>4.0202275600505689E-2</v>
      </c>
      <c r="W425" s="359">
        <f t="shared" si="831"/>
        <v>4.0494938132733402E-2</v>
      </c>
      <c r="X425" s="359">
        <f t="shared" si="831"/>
        <v>4.004024144869215E-2</v>
      </c>
      <c r="Y425" s="852">
        <f t="shared" si="831"/>
        <v>4.0525838621940168E-2</v>
      </c>
      <c r="Z425" s="359">
        <f t="shared" si="831"/>
        <v>4.2062193126022912E-2</v>
      </c>
      <c r="AA425" s="359">
        <f t="shared" si="831"/>
        <v>4.2559523809523811E-2</v>
      </c>
      <c r="AB425" s="359">
        <f t="shared" si="831"/>
        <v>4.5161290322580649E-2</v>
      </c>
      <c r="AC425" s="852">
        <f t="shared" si="831"/>
        <v>4.6249999999999993E-2</v>
      </c>
      <c r="AD425" s="359">
        <f t="shared" si="831"/>
        <v>4.5631067961165048E-2</v>
      </c>
      <c r="AE425" s="359">
        <f t="shared" si="831"/>
        <v>4.5705196182396608E-2</v>
      </c>
      <c r="AF425" s="843">
        <f t="shared" si="831"/>
        <v>4.6180384425825532E-2</v>
      </c>
      <c r="AG425" s="359">
        <f t="shared" si="831"/>
        <v>4.5462836297309621E-2</v>
      </c>
      <c r="AH425" s="359">
        <f t="shared" si="831"/>
        <v>4.4997871434653038E-2</v>
      </c>
      <c r="AI425" s="359">
        <f t="shared" si="831"/>
        <v>4.5025968837395125E-2</v>
      </c>
      <c r="AJ425" s="843">
        <f t="shared" si="831"/>
        <v>4.5959214501510574E-2</v>
      </c>
      <c r="AK425" s="359">
        <f t="shared" si="831"/>
        <v>4.6118560338743821E-2</v>
      </c>
      <c r="AL425" s="359">
        <f t="shared" si="831"/>
        <v>4.6411960132890367E-2</v>
      </c>
      <c r="AM425" s="359">
        <f t="shared" si="831"/>
        <v>4.6585213032581452E-2</v>
      </c>
      <c r="AN425" s="843">
        <f t="shared" si="831"/>
        <v>4.6892655367231632E-2</v>
      </c>
      <c r="AO425" s="359">
        <f t="shared" si="831"/>
        <v>4.6838999719022188E-2</v>
      </c>
      <c r="AP425" s="359">
        <f>AP422/AP416</f>
        <v>4.681588062883027E-2</v>
      </c>
      <c r="AQ425" s="359">
        <f>AQ422/AQ416</f>
        <v>4.6465408805031437E-2</v>
      </c>
      <c r="AR425" s="843">
        <f t="shared" ref="AR425" si="832">AR422/AR416</f>
        <v>4.6240152781093335E-2</v>
      </c>
      <c r="AS425" s="359">
        <f t="shared" si="831"/>
        <v>4.7271455223880592E-2</v>
      </c>
      <c r="AT425" s="359">
        <f t="shared" si="831"/>
        <v>4.8256211534077956E-2</v>
      </c>
      <c r="AU425" s="359">
        <f t="shared" si="831"/>
        <v>4.9864437415273376E-2</v>
      </c>
      <c r="AV425" s="843">
        <f t="shared" si="831"/>
        <v>5.1375531201073583E-2</v>
      </c>
      <c r="AW425" s="359">
        <f t="shared" ref="AW425:BD425" si="833">AW422/AW416</f>
        <v>5.2231947483588614E-2</v>
      </c>
      <c r="AX425" s="359">
        <f t="shared" si="833"/>
        <v>5.3052045405868484E-2</v>
      </c>
      <c r="AY425" s="359">
        <f t="shared" si="833"/>
        <v>5.4524214103653351E-2</v>
      </c>
      <c r="AZ425" s="843">
        <f t="shared" si="833"/>
        <v>5.5901535872080785E-2</v>
      </c>
      <c r="BA425" s="359">
        <f t="shared" si="833"/>
        <v>5.6615828524319865E-2</v>
      </c>
      <c r="BB425" s="359">
        <f t="shared" si="833"/>
        <v>5.7301555241365376E-2</v>
      </c>
      <c r="BC425" s="359">
        <f t="shared" si="833"/>
        <v>5.8657314629258515E-2</v>
      </c>
      <c r="BD425" s="843">
        <f t="shared" si="833"/>
        <v>5.9920556107249244E-2</v>
      </c>
      <c r="BE425" s="289"/>
      <c r="BF425" s="857"/>
      <c r="BG425" s="231"/>
      <c r="BH425" s="359">
        <f t="shared" ref="BH425:BT425" si="834">BH422/BH416</f>
        <v>0.16</v>
      </c>
      <c r="BI425" s="359">
        <f t="shared" si="834"/>
        <v>5.8333333333333334E-2</v>
      </c>
      <c r="BJ425" s="359">
        <f t="shared" si="834"/>
        <v>3.5830618892508138E-2</v>
      </c>
      <c r="BK425" s="359">
        <f t="shared" si="834"/>
        <v>3.9108910891089109E-2</v>
      </c>
      <c r="BL425" s="359">
        <f t="shared" si="834"/>
        <v>4.004024144869215E-2</v>
      </c>
      <c r="BM425" s="359">
        <f t="shared" si="834"/>
        <v>4.5161290322580649E-2</v>
      </c>
      <c r="BN425" s="852">
        <f t="shared" si="834"/>
        <v>4.6180384425825532E-2</v>
      </c>
      <c r="BO425" s="359">
        <f t="shared" si="834"/>
        <v>4.5959214501510574E-2</v>
      </c>
      <c r="BP425" s="359">
        <f t="shared" si="834"/>
        <v>4.6892655367231632E-2</v>
      </c>
      <c r="BQ425" s="359">
        <f t="shared" si="834"/>
        <v>4.6240152781093335E-2</v>
      </c>
      <c r="BR425" s="359">
        <f t="shared" si="834"/>
        <v>5.1375531201073583E-2</v>
      </c>
      <c r="BS425" s="359">
        <f t="shared" si="834"/>
        <v>5.5901535872080785E-2</v>
      </c>
      <c r="BT425" s="359">
        <f t="shared" si="834"/>
        <v>5.9920556107249244E-2</v>
      </c>
      <c r="BU425" s="340">
        <f>BT425+0.2%</f>
        <v>6.1920556107249246E-2</v>
      </c>
      <c r="BV425" s="340">
        <f>BU425</f>
        <v>6.1920556107249246E-2</v>
      </c>
      <c r="BW425" s="340">
        <f>BV425</f>
        <v>6.1920556107249246E-2</v>
      </c>
      <c r="BX425" s="340">
        <f>BW425</f>
        <v>6.1920556107249246E-2</v>
      </c>
      <c r="BY425" s="761">
        <f>BX425</f>
        <v>6.1920556107249246E-2</v>
      </c>
      <c r="BZ425" s="281"/>
    </row>
    <row r="426" spans="1:85" ht="11.25" customHeight="1">
      <c r="B426" s="106"/>
      <c r="C426" s="106"/>
      <c r="D426" s="106"/>
      <c r="E426" s="106"/>
      <c r="F426" s="106"/>
      <c r="G426" s="106"/>
      <c r="H426" s="83"/>
      <c r="I426" s="814"/>
      <c r="J426" s="106"/>
      <c r="K426" s="106"/>
      <c r="L426" s="106"/>
      <c r="M426" s="106"/>
      <c r="N426" s="106"/>
      <c r="O426" s="106"/>
      <c r="P426" s="106"/>
      <c r="Q426" s="106"/>
      <c r="R426" s="106"/>
      <c r="S426" s="106"/>
      <c r="T426" s="830"/>
      <c r="U426" s="814"/>
      <c r="Y426" s="814"/>
      <c r="Z426" s="106"/>
      <c r="AA426" s="106"/>
      <c r="AB426" s="830"/>
      <c r="AC426" s="814"/>
      <c r="AD426" s="106"/>
      <c r="AE426" s="106"/>
      <c r="AF426" s="830"/>
      <c r="AG426" s="814"/>
      <c r="AH426" s="106"/>
      <c r="AI426" s="106"/>
      <c r="AJ426" s="830"/>
      <c r="AK426" s="814"/>
      <c r="AM426" s="360"/>
      <c r="AN426" s="830"/>
      <c r="AO426" s="814"/>
      <c r="AP426" s="106"/>
      <c r="AQ426" s="106"/>
      <c r="AR426" s="830"/>
      <c r="AS426" s="106"/>
      <c r="AT426" s="106"/>
      <c r="AU426" s="106"/>
      <c r="AV426" s="830"/>
      <c r="AW426" s="106"/>
      <c r="AX426" s="106"/>
      <c r="AY426" s="106"/>
      <c r="AZ426" s="830"/>
      <c r="BA426" s="106"/>
      <c r="BB426" s="106"/>
      <c r="BC426" s="106"/>
      <c r="BD426" s="830"/>
      <c r="BE426" s="83"/>
      <c r="BF426" s="814"/>
      <c r="BG426" s="106"/>
      <c r="BH426" s="106"/>
      <c r="BI426" s="106"/>
      <c r="BJ426" s="106"/>
      <c r="BK426" s="106"/>
      <c r="BL426" s="106"/>
      <c r="BN426" s="814"/>
      <c r="BP426" s="106"/>
      <c r="BQ426" s="83"/>
      <c r="BR426" s="83"/>
      <c r="BS426" s="83"/>
      <c r="BT426" s="83"/>
      <c r="BU426" s="83"/>
      <c r="BV426" s="83"/>
      <c r="BW426" s="83"/>
      <c r="BX426" s="83"/>
      <c r="BY426" s="883"/>
    </row>
    <row r="427" spans="1:85" s="41" customFormat="1" ht="11.25" customHeight="1">
      <c r="B427" s="231"/>
      <c r="C427" s="231"/>
      <c r="D427" s="231"/>
      <c r="E427" s="231"/>
      <c r="F427" s="231"/>
      <c r="G427" s="231"/>
      <c r="H427" s="226"/>
      <c r="I427" s="832" t="s">
        <v>686</v>
      </c>
      <c r="J427" s="231"/>
      <c r="K427" s="231"/>
      <c r="L427" s="231"/>
      <c r="M427" s="359"/>
      <c r="N427" s="359"/>
      <c r="O427" s="359"/>
      <c r="P427" s="359"/>
      <c r="Q427" s="359"/>
      <c r="R427" s="359"/>
      <c r="S427" s="359"/>
      <c r="T427" s="843"/>
      <c r="U427" s="852"/>
      <c r="V427" s="359"/>
      <c r="W427" s="359"/>
      <c r="X427" s="359"/>
      <c r="Y427" s="838"/>
      <c r="Z427" s="360"/>
      <c r="AA427" s="360"/>
      <c r="AB427" s="833"/>
      <c r="AC427" s="1484"/>
      <c r="AD427" s="375"/>
      <c r="AE427" s="375"/>
      <c r="AF427" s="849"/>
      <c r="AG427" s="2739">
        <f t="shared" ref="AG427:BD427" si="835">AG83/1000</f>
        <v>8.8999999999999996E-2</v>
      </c>
      <c r="AH427" s="2430">
        <f t="shared" si="835"/>
        <v>9.5000000000000001E-2</v>
      </c>
      <c r="AI427" s="2430">
        <f t="shared" si="835"/>
        <v>0.10199999999999999</v>
      </c>
      <c r="AJ427" s="2430">
        <f t="shared" si="835"/>
        <v>0.109</v>
      </c>
      <c r="AK427" s="2739">
        <f t="shared" si="835"/>
        <v>0.11899999999999999</v>
      </c>
      <c r="AL427" s="2430">
        <f t="shared" si="835"/>
        <v>0.125</v>
      </c>
      <c r="AM427" s="2430">
        <f t="shared" si="835"/>
        <v>0.13200000000000001</v>
      </c>
      <c r="AN427" s="2430">
        <f t="shared" si="835"/>
        <v>0.13500000000000001</v>
      </c>
      <c r="AO427" s="2739">
        <f t="shared" si="835"/>
        <v>0.13900000000000001</v>
      </c>
      <c r="AP427" s="2430">
        <f>AP83/1000</f>
        <v>0.14749999999999999</v>
      </c>
      <c r="AQ427" s="2430">
        <f>AQ83/1000</f>
        <v>0.155</v>
      </c>
      <c r="AR427" s="2430">
        <f t="shared" ref="AR427" si="836">AR83/1000</f>
        <v>0.16300000000000001</v>
      </c>
      <c r="AS427" s="2739">
        <f t="shared" si="835"/>
        <v>0.16800000000000001</v>
      </c>
      <c r="AT427" s="2430">
        <f t="shared" si="835"/>
        <v>0.17299999999999999</v>
      </c>
      <c r="AU427" s="2430">
        <f t="shared" si="835"/>
        <v>0.18</v>
      </c>
      <c r="AV427" s="2430">
        <f t="shared" si="835"/>
        <v>0.187</v>
      </c>
      <c r="AW427" s="2739">
        <f t="shared" si="835"/>
        <v>0.1915</v>
      </c>
      <c r="AX427" s="2430">
        <f t="shared" si="835"/>
        <v>0.19600000000000001</v>
      </c>
      <c r="AY427" s="2430">
        <f t="shared" si="835"/>
        <v>0.20230000000000001</v>
      </c>
      <c r="AZ427" s="2430">
        <f t="shared" si="835"/>
        <v>0.20860000000000004</v>
      </c>
      <c r="BA427" s="2739">
        <f t="shared" si="835"/>
        <v>0.21265000000000003</v>
      </c>
      <c r="BB427" s="2430">
        <f t="shared" si="835"/>
        <v>0.21670000000000006</v>
      </c>
      <c r="BC427" s="2430">
        <f t="shared" si="835"/>
        <v>0.22237000000000004</v>
      </c>
      <c r="BD427" s="230">
        <f t="shared" si="835"/>
        <v>0.22804000000000002</v>
      </c>
      <c r="BE427" s="289"/>
      <c r="BF427" s="857"/>
      <c r="BG427" s="231"/>
      <c r="BH427" s="359"/>
      <c r="BI427" s="359"/>
      <c r="BJ427" s="359"/>
      <c r="BK427" s="359"/>
      <c r="BL427" s="359"/>
      <c r="BM427" s="331"/>
      <c r="BN427" s="658"/>
      <c r="BO427" s="331"/>
      <c r="BP427" s="1383"/>
      <c r="BQ427" s="1383"/>
      <c r="BR427" s="1383"/>
      <c r="BS427" s="1383"/>
      <c r="BT427" s="1383"/>
      <c r="BU427" s="1383"/>
      <c r="BV427" s="1383"/>
      <c r="BW427" s="1383"/>
      <c r="BX427" s="1383"/>
      <c r="BY427" s="1384"/>
      <c r="BZ427" s="281"/>
    </row>
    <row r="428" spans="1:85" s="41" customFormat="1" ht="11.25" customHeight="1">
      <c r="B428" s="231"/>
      <c r="C428" s="231"/>
      <c r="D428" s="231"/>
      <c r="E428" s="231"/>
      <c r="F428" s="231"/>
      <c r="G428" s="231"/>
      <c r="H428" s="226"/>
      <c r="I428" s="770" t="s">
        <v>132</v>
      </c>
      <c r="J428" s="231"/>
      <c r="K428" s="231"/>
      <c r="L428" s="231"/>
      <c r="M428" s="359"/>
      <c r="N428" s="359"/>
      <c r="O428" s="359"/>
      <c r="P428" s="359"/>
      <c r="Q428" s="359"/>
      <c r="R428" s="359"/>
      <c r="S428" s="359"/>
      <c r="T428" s="843"/>
      <c r="U428" s="852"/>
      <c r="V428" s="359"/>
      <c r="W428" s="359"/>
      <c r="X428" s="359"/>
      <c r="Y428" s="852"/>
      <c r="Z428" s="359"/>
      <c r="AA428" s="359"/>
      <c r="AB428" s="843"/>
      <c r="AC428" s="751"/>
      <c r="AD428" s="198"/>
      <c r="AE428" s="198"/>
      <c r="AF428" s="752"/>
      <c r="AG428" s="751" t="str">
        <f t="shared" ref="AG428:BD428" si="837">IF(ISERROR(AG427/AC427-1),"NA",(IF(AG427&lt;=0,"NM",AG427/AC427-1)))</f>
        <v>NA</v>
      </c>
      <c r="AH428" s="198" t="str">
        <f t="shared" si="837"/>
        <v>NA</v>
      </c>
      <c r="AI428" s="198" t="str">
        <f t="shared" si="837"/>
        <v>NA</v>
      </c>
      <c r="AJ428" s="752" t="str">
        <f t="shared" si="837"/>
        <v>NA</v>
      </c>
      <c r="AK428" s="198">
        <f t="shared" si="837"/>
        <v>0.33707865168539319</v>
      </c>
      <c r="AL428" s="198">
        <f t="shared" si="837"/>
        <v>0.31578947368421062</v>
      </c>
      <c r="AM428" s="198">
        <f t="shared" si="837"/>
        <v>0.29411764705882359</v>
      </c>
      <c r="AN428" s="752">
        <f t="shared" si="837"/>
        <v>0.23853211009174324</v>
      </c>
      <c r="AO428" s="198">
        <f t="shared" si="837"/>
        <v>0.16806722689075637</v>
      </c>
      <c r="AP428" s="198">
        <f t="shared" si="837"/>
        <v>0.17999999999999994</v>
      </c>
      <c r="AQ428" s="198">
        <f t="shared" si="837"/>
        <v>0.17424242424242409</v>
      </c>
      <c r="AR428" s="752">
        <f t="shared" si="837"/>
        <v>0.20740740740740726</v>
      </c>
      <c r="AS428" s="198">
        <f t="shared" si="837"/>
        <v>0.20863309352517989</v>
      </c>
      <c r="AT428" s="198">
        <f t="shared" si="837"/>
        <v>0.17288135593220333</v>
      </c>
      <c r="AU428" s="198">
        <f t="shared" si="837"/>
        <v>0.16129032258064502</v>
      </c>
      <c r="AV428" s="752">
        <f t="shared" si="837"/>
        <v>0.14723926380368102</v>
      </c>
      <c r="AW428" s="198">
        <f t="shared" si="837"/>
        <v>0.13988095238095233</v>
      </c>
      <c r="AX428" s="198">
        <f t="shared" si="837"/>
        <v>0.13294797687861282</v>
      </c>
      <c r="AY428" s="198">
        <f t="shared" si="837"/>
        <v>0.12388888888888894</v>
      </c>
      <c r="AZ428" s="752">
        <f t="shared" si="837"/>
        <v>0.11550802139037453</v>
      </c>
      <c r="BA428" s="198">
        <f t="shared" si="837"/>
        <v>0.11044386422976515</v>
      </c>
      <c r="BB428" s="198">
        <f t="shared" si="837"/>
        <v>0.10561224489795951</v>
      </c>
      <c r="BC428" s="198">
        <f t="shared" si="837"/>
        <v>9.9209095402867264E-2</v>
      </c>
      <c r="BD428" s="752">
        <f t="shared" si="837"/>
        <v>9.3192713326941456E-2</v>
      </c>
      <c r="BE428" s="289"/>
      <c r="BF428" s="857"/>
      <c r="BG428" s="231"/>
      <c r="BH428" s="359"/>
      <c r="BI428" s="359"/>
      <c r="BJ428" s="359"/>
      <c r="BK428" s="359"/>
      <c r="BL428" s="359"/>
      <c r="BM428" s="359"/>
      <c r="BN428" s="852"/>
      <c r="BO428" s="359"/>
      <c r="BP428" s="1000"/>
      <c r="BQ428" s="1000"/>
      <c r="BR428" s="1000"/>
      <c r="BS428" s="1000"/>
      <c r="BT428" s="1000"/>
      <c r="BU428" s="1000"/>
      <c r="BV428" s="1000"/>
      <c r="BW428" s="1000"/>
      <c r="BX428" s="1000"/>
      <c r="BY428" s="999"/>
      <c r="BZ428" s="281"/>
    </row>
    <row r="429" spans="1:85" s="41" customFormat="1" ht="11.25" customHeight="1">
      <c r="B429" s="231"/>
      <c r="C429" s="231"/>
      <c r="D429" s="231"/>
      <c r="E429" s="231"/>
      <c r="F429" s="231"/>
      <c r="G429" s="231"/>
      <c r="H429" s="226"/>
      <c r="I429" s="770" t="s">
        <v>146</v>
      </c>
      <c r="J429" s="231"/>
      <c r="K429" s="231"/>
      <c r="L429" s="231"/>
      <c r="M429" s="359"/>
      <c r="N429" s="359"/>
      <c r="O429" s="359"/>
      <c r="P429" s="359"/>
      <c r="Q429" s="359"/>
      <c r="R429" s="359"/>
      <c r="S429" s="359"/>
      <c r="T429" s="843"/>
      <c r="U429" s="852"/>
      <c r="V429" s="359"/>
      <c r="W429" s="359"/>
      <c r="X429" s="359"/>
      <c r="Y429" s="852"/>
      <c r="Z429" s="198"/>
      <c r="AA429" s="198"/>
      <c r="AB429" s="752"/>
      <c r="AC429" s="751"/>
      <c r="AD429" s="198"/>
      <c r="AE429" s="198"/>
      <c r="AF429" s="752"/>
      <c r="AG429" s="751" t="str">
        <f t="shared" ref="AG429:BD429" si="838">IF(ISERROR(AG427/AF427-1),"NA",(IF(AG427&lt;=0,"NM",AG427/AF427-1)))</f>
        <v>NA</v>
      </c>
      <c r="AH429" s="198">
        <f t="shared" si="838"/>
        <v>6.7415730337078816E-2</v>
      </c>
      <c r="AI429" s="198">
        <f t="shared" si="838"/>
        <v>7.3684210526315796E-2</v>
      </c>
      <c r="AJ429" s="752">
        <f t="shared" si="838"/>
        <v>6.8627450980392135E-2</v>
      </c>
      <c r="AK429" s="198">
        <f t="shared" si="838"/>
        <v>9.174311926605494E-2</v>
      </c>
      <c r="AL429" s="198">
        <f t="shared" si="838"/>
        <v>5.0420168067226934E-2</v>
      </c>
      <c r="AM429" s="198">
        <f t="shared" si="838"/>
        <v>5.600000000000005E-2</v>
      </c>
      <c r="AN429" s="752">
        <f t="shared" si="838"/>
        <v>2.2727272727272707E-2</v>
      </c>
      <c r="AO429" s="198">
        <f t="shared" si="838"/>
        <v>2.9629629629629672E-2</v>
      </c>
      <c r="AP429" s="198">
        <f t="shared" si="838"/>
        <v>6.1151079136690489E-2</v>
      </c>
      <c r="AQ429" s="198">
        <f t="shared" si="838"/>
        <v>5.0847457627118731E-2</v>
      </c>
      <c r="AR429" s="752">
        <f t="shared" si="838"/>
        <v>5.1612903225806583E-2</v>
      </c>
      <c r="AS429" s="198">
        <f t="shared" si="838"/>
        <v>3.0674846625766916E-2</v>
      </c>
      <c r="AT429" s="198">
        <f t="shared" si="838"/>
        <v>2.9761904761904656E-2</v>
      </c>
      <c r="AU429" s="198">
        <f t="shared" si="838"/>
        <v>4.0462427745664886E-2</v>
      </c>
      <c r="AV429" s="752">
        <f t="shared" si="838"/>
        <v>3.8888888888888973E-2</v>
      </c>
      <c r="AW429" s="198">
        <f t="shared" si="838"/>
        <v>2.4064171122994749E-2</v>
      </c>
      <c r="AX429" s="198">
        <f t="shared" si="838"/>
        <v>2.3498694516971286E-2</v>
      </c>
      <c r="AY429" s="198">
        <f t="shared" si="838"/>
        <v>3.2142857142857251E-2</v>
      </c>
      <c r="AZ429" s="752">
        <f t="shared" si="838"/>
        <v>3.114186851211076E-2</v>
      </c>
      <c r="BA429" s="198">
        <f t="shared" si="838"/>
        <v>1.9415148609779553E-2</v>
      </c>
      <c r="BB429" s="198">
        <f t="shared" si="838"/>
        <v>1.9045379731954082E-2</v>
      </c>
      <c r="BC429" s="198">
        <f t="shared" si="838"/>
        <v>2.616520535302258E-2</v>
      </c>
      <c r="BD429" s="752">
        <f t="shared" si="838"/>
        <v>2.5498043800872283E-2</v>
      </c>
      <c r="BE429" s="289"/>
      <c r="BF429" s="857"/>
      <c r="BG429" s="231"/>
      <c r="BH429" s="359"/>
      <c r="BI429" s="359"/>
      <c r="BJ429" s="359"/>
      <c r="BK429" s="359"/>
      <c r="BL429" s="359"/>
      <c r="BM429" s="359"/>
      <c r="BN429" s="852"/>
      <c r="BO429" s="359"/>
      <c r="BP429" s="1000"/>
      <c r="BQ429" s="1000"/>
      <c r="BR429" s="1000"/>
      <c r="BS429" s="1000"/>
      <c r="BT429" s="1000"/>
      <c r="BU429" s="1000"/>
      <c r="BV429" s="1000"/>
      <c r="BW429" s="1000"/>
      <c r="BX429" s="1000"/>
      <c r="BY429" s="999"/>
      <c r="BZ429" s="281"/>
    </row>
    <row r="430" spans="1:85" s="41" customFormat="1" ht="11.25" customHeight="1">
      <c r="B430" s="231"/>
      <c r="C430" s="231"/>
      <c r="D430" s="231"/>
      <c r="E430" s="231"/>
      <c r="F430" s="231"/>
      <c r="G430" s="231"/>
      <c r="H430" s="226"/>
      <c r="I430" s="773" t="s">
        <v>360</v>
      </c>
      <c r="J430" s="231"/>
      <c r="K430" s="231"/>
      <c r="L430" s="231"/>
      <c r="M430" s="359"/>
      <c r="N430" s="359"/>
      <c r="O430" s="359"/>
      <c r="P430" s="359"/>
      <c r="Q430" s="359"/>
      <c r="R430" s="359"/>
      <c r="S430" s="359"/>
      <c r="T430" s="843"/>
      <c r="U430" s="852"/>
      <c r="V430" s="359"/>
      <c r="W430" s="359"/>
      <c r="X430" s="359"/>
      <c r="Y430" s="852"/>
      <c r="Z430" s="359"/>
      <c r="AA430" s="359"/>
      <c r="AB430" s="843"/>
      <c r="AC430" s="852"/>
      <c r="AD430" s="359"/>
      <c r="AE430" s="359"/>
      <c r="AF430" s="843"/>
      <c r="AG430" s="852">
        <f t="shared" ref="AG430:BD430" si="839">AG427/AG416</f>
        <v>4.0583675330597355E-2</v>
      </c>
      <c r="AH430" s="359">
        <f t="shared" si="839"/>
        <v>4.0442741592166875E-2</v>
      </c>
      <c r="AI430" s="359">
        <f t="shared" si="839"/>
        <v>4.0751098681582096E-2</v>
      </c>
      <c r="AJ430" s="359">
        <f t="shared" si="839"/>
        <v>4.1163141993957701E-2</v>
      </c>
      <c r="AK430" s="852">
        <f t="shared" si="839"/>
        <v>4.1990119971771343E-2</v>
      </c>
      <c r="AL430" s="359">
        <f t="shared" si="839"/>
        <v>4.1528239202657809E-2</v>
      </c>
      <c r="AM430" s="359">
        <f t="shared" si="839"/>
        <v>4.1353383458646614E-2</v>
      </c>
      <c r="AN430" s="359">
        <f t="shared" si="839"/>
        <v>4.0142729705619988E-2</v>
      </c>
      <c r="AO430" s="852">
        <f t="shared" si="839"/>
        <v>3.9055914582747965E-2</v>
      </c>
      <c r="AP430" s="359">
        <f>AP427/AP416</f>
        <v>3.9301891819877428E-2</v>
      </c>
      <c r="AQ430" s="359">
        <f>AQ427/AQ416</f>
        <v>3.8993710691823898E-2</v>
      </c>
      <c r="AR430" s="359">
        <f t="shared" ref="AR430" si="840">AR427/AR416</f>
        <v>3.8911434709954645E-2</v>
      </c>
      <c r="AS430" s="852">
        <f t="shared" si="839"/>
        <v>3.9179104477611942E-2</v>
      </c>
      <c r="AT430" s="359">
        <f t="shared" si="839"/>
        <v>3.9434693412354678E-2</v>
      </c>
      <c r="AU430" s="359">
        <f t="shared" si="839"/>
        <v>4.066877541798463E-2</v>
      </c>
      <c r="AV430" s="359">
        <f t="shared" si="839"/>
        <v>4.1825095057034217E-2</v>
      </c>
      <c r="AW430" s="852">
        <f t="shared" si="839"/>
        <v>4.1903719912472645E-2</v>
      </c>
      <c r="AX430" s="359">
        <f t="shared" si="839"/>
        <v>4.1979010494752618E-2</v>
      </c>
      <c r="AY430" s="359">
        <f t="shared" si="839"/>
        <v>4.2969413763806287E-2</v>
      </c>
      <c r="AZ430" s="359">
        <f t="shared" si="839"/>
        <v>4.3888070692194407E-2</v>
      </c>
      <c r="BA430" s="852">
        <f t="shared" si="839"/>
        <v>4.3827287716405608E-2</v>
      </c>
      <c r="BB430" s="359">
        <f t="shared" si="839"/>
        <v>4.3768935568572011E-2</v>
      </c>
      <c r="BC430" s="359">
        <f t="shared" si="839"/>
        <v>4.4563126252505018E-2</v>
      </c>
      <c r="BD430" s="359">
        <f t="shared" si="839"/>
        <v>4.5290963257199605E-2</v>
      </c>
      <c r="BE430" s="1257"/>
      <c r="BF430" s="857"/>
      <c r="BG430" s="231"/>
      <c r="BH430" s="359"/>
      <c r="BI430" s="359"/>
      <c r="BJ430" s="359"/>
      <c r="BK430" s="359"/>
      <c r="BL430" s="359"/>
      <c r="BM430" s="359"/>
      <c r="BN430" s="852"/>
      <c r="BO430" s="359"/>
      <c r="BP430" s="1000"/>
      <c r="BQ430" s="1000"/>
      <c r="BR430" s="1000"/>
      <c r="BS430" s="1000"/>
      <c r="BT430" s="1000"/>
      <c r="BU430" s="1000"/>
      <c r="BV430" s="1000"/>
      <c r="BW430" s="1000"/>
      <c r="BX430" s="1000"/>
      <c r="BY430" s="999"/>
      <c r="BZ430" s="281"/>
    </row>
    <row r="431" spans="1:85" s="41" customFormat="1" ht="11.25" customHeight="1">
      <c r="B431" s="231"/>
      <c r="C431" s="231"/>
      <c r="D431" s="231"/>
      <c r="E431" s="231"/>
      <c r="F431" s="231"/>
      <c r="G431" s="231"/>
      <c r="H431" s="226"/>
      <c r="I431" s="773"/>
      <c r="J431" s="231"/>
      <c r="K431" s="231"/>
      <c r="L431" s="231"/>
      <c r="M431" s="359"/>
      <c r="N431" s="359"/>
      <c r="O431" s="359"/>
      <c r="P431" s="359"/>
      <c r="Q431" s="359"/>
      <c r="R431" s="359"/>
      <c r="S431" s="359"/>
      <c r="T431" s="843"/>
      <c r="U431" s="852"/>
      <c r="V431" s="359"/>
      <c r="W431" s="359"/>
      <c r="X431" s="359"/>
      <c r="Y431" s="852"/>
      <c r="Z431" s="359"/>
      <c r="AA431" s="359"/>
      <c r="AB431" s="843"/>
      <c r="AC431" s="852"/>
      <c r="AD431" s="359"/>
      <c r="AE431" s="359"/>
      <c r="AF431" s="843"/>
      <c r="AG431" s="852"/>
      <c r="AH431" s="359"/>
      <c r="AI431" s="359"/>
      <c r="AJ431" s="843"/>
      <c r="AK431" s="359"/>
      <c r="AL431" s="359"/>
      <c r="AM431" s="359"/>
      <c r="AN431" s="843"/>
      <c r="AO431" s="359"/>
      <c r="AP431" s="359"/>
      <c r="AQ431" s="359"/>
      <c r="AR431" s="843"/>
      <c r="AS431" s="359"/>
      <c r="AT431" s="359"/>
      <c r="AU431" s="359"/>
      <c r="AV431" s="843"/>
      <c r="AW431" s="359"/>
      <c r="AX431" s="359"/>
      <c r="AY431" s="359"/>
      <c r="AZ431" s="843"/>
      <c r="BA431" s="359"/>
      <c r="BB431" s="359"/>
      <c r="BC431" s="359"/>
      <c r="BD431" s="359"/>
      <c r="BE431" s="289"/>
      <c r="BF431" s="857"/>
      <c r="BG431" s="231"/>
      <c r="BH431" s="359"/>
      <c r="BI431" s="359"/>
      <c r="BJ431" s="359"/>
      <c r="BK431" s="359"/>
      <c r="BL431" s="359"/>
      <c r="BM431" s="359"/>
      <c r="BN431" s="852"/>
      <c r="BO431" s="359"/>
      <c r="BP431" s="1000"/>
      <c r="BQ431" s="1000"/>
      <c r="BR431" s="1000"/>
      <c r="BS431" s="1000"/>
      <c r="BT431" s="1000"/>
      <c r="BU431" s="1000"/>
      <c r="BV431" s="1000"/>
      <c r="BW431" s="1000"/>
      <c r="BX431" s="1000"/>
      <c r="BY431" s="999"/>
      <c r="BZ431" s="281"/>
    </row>
    <row r="432" spans="1:85" s="41" customFormat="1" ht="11.25" hidden="1" customHeight="1" outlineLevel="1">
      <c r="B432" s="231"/>
      <c r="C432" s="231"/>
      <c r="D432" s="231"/>
      <c r="E432" s="231"/>
      <c r="F432" s="231"/>
      <c r="G432" s="231"/>
      <c r="H432" s="226"/>
      <c r="I432" s="773"/>
      <c r="J432" s="231"/>
      <c r="K432" s="231"/>
      <c r="L432" s="231"/>
      <c r="M432" s="359"/>
      <c r="N432" s="359"/>
      <c r="O432" s="359"/>
      <c r="P432" s="359"/>
      <c r="Q432" s="359"/>
      <c r="R432" s="359"/>
      <c r="S432" s="359"/>
      <c r="T432" s="843"/>
      <c r="U432" s="852"/>
      <c r="V432" s="359"/>
      <c r="W432" s="359"/>
      <c r="X432" s="359"/>
      <c r="Y432" s="852"/>
      <c r="Z432" s="359"/>
      <c r="AA432" s="359"/>
      <c r="AB432" s="843"/>
      <c r="AC432" s="852"/>
      <c r="AD432" s="359"/>
      <c r="AE432" s="359"/>
      <c r="AF432" s="843"/>
      <c r="AG432" s="852"/>
      <c r="AH432" s="359"/>
      <c r="AI432" s="359"/>
      <c r="AJ432" s="359"/>
      <c r="AK432" s="359"/>
      <c r="AL432" s="359"/>
      <c r="AM432" s="359"/>
      <c r="AN432" s="359"/>
      <c r="AO432" s="359"/>
      <c r="AP432" s="359"/>
      <c r="AQ432" s="359"/>
      <c r="AR432" s="359"/>
      <c r="AS432" s="359"/>
      <c r="AT432" s="359"/>
      <c r="AU432" s="359"/>
      <c r="AV432" s="843"/>
      <c r="AW432" s="359"/>
      <c r="AX432" s="359"/>
      <c r="AY432" s="359"/>
      <c r="AZ432" s="843"/>
      <c r="BA432" s="359"/>
      <c r="BB432" s="359"/>
      <c r="BC432" s="359"/>
      <c r="BD432" s="359"/>
      <c r="BE432" s="289"/>
      <c r="BF432" s="857"/>
      <c r="BG432" s="231"/>
      <c r="BH432" s="359"/>
      <c r="BI432" s="359"/>
      <c r="BJ432" s="359"/>
      <c r="BK432" s="359"/>
      <c r="BL432" s="359"/>
      <c r="BM432" s="359"/>
      <c r="BN432" s="852"/>
      <c r="BO432" s="359"/>
      <c r="BP432" s="1000"/>
      <c r="BQ432" s="1000"/>
      <c r="BR432" s="1000"/>
      <c r="BS432" s="1000"/>
      <c r="BT432" s="1000"/>
      <c r="BU432" s="1000"/>
      <c r="BV432" s="1000"/>
      <c r="BW432" s="1000"/>
      <c r="BX432" s="1000"/>
      <c r="BY432" s="999"/>
      <c r="BZ432" s="281"/>
    </row>
    <row r="433" spans="1:85" s="41" customFormat="1" ht="11.25" hidden="1" customHeight="1" outlineLevel="1">
      <c r="B433" s="231"/>
      <c r="C433" s="231"/>
      <c r="D433" s="231"/>
      <c r="E433" s="231"/>
      <c r="F433" s="231"/>
      <c r="G433" s="231"/>
      <c r="H433" s="226"/>
      <c r="I433" s="832" t="s">
        <v>449</v>
      </c>
      <c r="J433" s="231"/>
      <c r="K433" s="231"/>
      <c r="L433" s="231"/>
      <c r="M433" s="359"/>
      <c r="N433" s="359"/>
      <c r="O433" s="359"/>
      <c r="P433" s="359"/>
      <c r="Q433" s="359"/>
      <c r="R433" s="359"/>
      <c r="S433" s="359"/>
      <c r="T433" s="843"/>
      <c r="U433" s="852"/>
      <c r="V433" s="359"/>
      <c r="W433" s="359"/>
      <c r="X433" s="359"/>
      <c r="Y433" s="838">
        <f>Y562</f>
        <v>44.7</v>
      </c>
      <c r="Z433" s="360">
        <v>4.07E-2</v>
      </c>
      <c r="AA433" s="360">
        <v>4.6399999999999997E-2</v>
      </c>
      <c r="AB433" s="833">
        <v>5.4399999999999997E-2</v>
      </c>
      <c r="AC433" s="1484">
        <v>6.3500000000000001E-2</v>
      </c>
      <c r="AD433" s="375">
        <v>6.9400000000000003E-2</v>
      </c>
      <c r="AE433" s="375">
        <v>7.6899999999999996E-2</v>
      </c>
      <c r="AF433" s="849">
        <v>8.4000000000000005E-2</v>
      </c>
      <c r="AG433" s="1484">
        <v>9.0200000000000002E-2</v>
      </c>
      <c r="AH433" s="375">
        <v>6.9400000000000003E-2</v>
      </c>
      <c r="AI433" s="375">
        <v>0.1042</v>
      </c>
      <c r="AJ433" s="2288">
        <v>0.111</v>
      </c>
      <c r="AK433" s="2292">
        <v>0.121</v>
      </c>
      <c r="AL433" s="359"/>
      <c r="AM433" s="1732"/>
      <c r="AN433" s="843"/>
      <c r="AO433" s="359"/>
      <c r="AP433" s="359"/>
      <c r="AQ433" s="359"/>
      <c r="AR433" s="843"/>
      <c r="AS433" s="359"/>
      <c r="AT433" s="359"/>
      <c r="AU433" s="359"/>
      <c r="AV433" s="843"/>
      <c r="AW433" s="359"/>
      <c r="AX433" s="359"/>
      <c r="AY433" s="359"/>
      <c r="AZ433" s="843"/>
      <c r="BA433" s="359"/>
      <c r="BB433" s="359"/>
      <c r="BC433" s="359"/>
      <c r="BD433" s="843"/>
      <c r="BE433" s="289"/>
      <c r="BF433" s="857"/>
      <c r="BG433" s="231"/>
      <c r="BH433" s="359"/>
      <c r="BI433" s="359"/>
      <c r="BJ433" s="359"/>
      <c r="BK433" s="359"/>
      <c r="BL433" s="359"/>
      <c r="BM433" s="331"/>
      <c r="BN433" s="658"/>
      <c r="BO433" s="331"/>
      <c r="BP433" s="1383"/>
      <c r="BQ433" s="1383"/>
      <c r="BR433" s="1383"/>
      <c r="BS433" s="1383"/>
      <c r="BT433" s="1383"/>
      <c r="BU433" s="1383"/>
      <c r="BV433" s="1383"/>
      <c r="BW433" s="1383"/>
      <c r="BX433" s="1383"/>
      <c r="BY433" s="1384"/>
      <c r="BZ433" s="281"/>
    </row>
    <row r="434" spans="1:85" s="41" customFormat="1" ht="11.25" hidden="1" customHeight="1" outlineLevel="1">
      <c r="B434" s="231"/>
      <c r="C434" s="231"/>
      <c r="D434" s="231"/>
      <c r="E434" s="231"/>
      <c r="F434" s="231"/>
      <c r="G434" s="231"/>
      <c r="H434" s="226"/>
      <c r="I434" s="770" t="s">
        <v>132</v>
      </c>
      <c r="J434" s="231"/>
      <c r="K434" s="231"/>
      <c r="L434" s="231"/>
      <c r="M434" s="359"/>
      <c r="N434" s="359"/>
      <c r="O434" s="359"/>
      <c r="P434" s="359"/>
      <c r="Q434" s="359"/>
      <c r="R434" s="359"/>
      <c r="S434" s="359"/>
      <c r="T434" s="843"/>
      <c r="U434" s="852"/>
      <c r="V434" s="359"/>
      <c r="W434" s="359"/>
      <c r="X434" s="359"/>
      <c r="Y434" s="852"/>
      <c r="Z434" s="359"/>
      <c r="AA434" s="359"/>
      <c r="AB434" s="843"/>
      <c r="AC434" s="751">
        <f t="shared" ref="AC434:AK434" si="841">IF(ISERROR(AC433/Y433-1),"NA",(IF(AC433&lt;=0,"NM",AC433/Y433-1)))</f>
        <v>-0.99857941834451902</v>
      </c>
      <c r="AD434" s="198">
        <f t="shared" si="841"/>
        <v>0.70515970515970516</v>
      </c>
      <c r="AE434" s="198">
        <f t="shared" si="841"/>
        <v>0.65732758620689657</v>
      </c>
      <c r="AF434" s="752">
        <f t="shared" si="841"/>
        <v>0.54411764705882382</v>
      </c>
      <c r="AG434" s="751">
        <f t="shared" si="841"/>
        <v>0.4204724409448819</v>
      </c>
      <c r="AH434" s="198">
        <f t="shared" si="841"/>
        <v>0</v>
      </c>
      <c r="AI434" s="198">
        <f t="shared" si="841"/>
        <v>0.35500650195058525</v>
      </c>
      <c r="AJ434" s="752">
        <f t="shared" si="841"/>
        <v>0.3214285714285714</v>
      </c>
      <c r="AK434" s="198">
        <f t="shared" si="841"/>
        <v>0.3414634146341462</v>
      </c>
      <c r="AL434" s="359"/>
      <c r="AM434" s="1740"/>
      <c r="AN434" s="843"/>
      <c r="AO434" s="359"/>
      <c r="AP434" s="359"/>
      <c r="AQ434" s="359"/>
      <c r="AR434" s="843"/>
      <c r="AS434" s="359"/>
      <c r="AT434" s="359"/>
      <c r="AU434" s="359"/>
      <c r="AV434" s="843"/>
      <c r="AW434" s="359"/>
      <c r="AX434" s="359"/>
      <c r="AY434" s="359"/>
      <c r="AZ434" s="843"/>
      <c r="BA434" s="359"/>
      <c r="BB434" s="359"/>
      <c r="BC434" s="359"/>
      <c r="BD434" s="843"/>
      <c r="BE434" s="289"/>
      <c r="BF434" s="857"/>
      <c r="BG434" s="231"/>
      <c r="BH434" s="359"/>
      <c r="BI434" s="359"/>
      <c r="BJ434" s="359"/>
      <c r="BK434" s="359"/>
      <c r="BL434" s="359"/>
      <c r="BM434" s="359"/>
      <c r="BN434" s="852"/>
      <c r="BO434" s="359"/>
      <c r="BP434" s="1000"/>
      <c r="BQ434" s="1000"/>
      <c r="BR434" s="1000"/>
      <c r="BS434" s="1000"/>
      <c r="BT434" s="1000"/>
      <c r="BU434" s="1000"/>
      <c r="BV434" s="1000"/>
      <c r="BW434" s="1000"/>
      <c r="BX434" s="1000"/>
      <c r="BY434" s="999"/>
      <c r="BZ434" s="281"/>
    </row>
    <row r="435" spans="1:85" s="41" customFormat="1" ht="11.25" hidden="1" customHeight="1" outlineLevel="1">
      <c r="B435" s="231"/>
      <c r="C435" s="231"/>
      <c r="D435" s="231"/>
      <c r="E435" s="231"/>
      <c r="F435" s="231"/>
      <c r="G435" s="231"/>
      <c r="H435" s="226"/>
      <c r="I435" s="770" t="s">
        <v>146</v>
      </c>
      <c r="J435" s="231"/>
      <c r="K435" s="231"/>
      <c r="L435" s="231"/>
      <c r="M435" s="359"/>
      <c r="N435" s="359"/>
      <c r="O435" s="359"/>
      <c r="P435" s="359"/>
      <c r="Q435" s="359"/>
      <c r="R435" s="359"/>
      <c r="S435" s="359"/>
      <c r="T435" s="843"/>
      <c r="U435" s="852"/>
      <c r="V435" s="359"/>
      <c r="W435" s="359"/>
      <c r="X435" s="359"/>
      <c r="Y435" s="852"/>
      <c r="Z435" s="198">
        <f t="shared" ref="Z435:AK435" si="842">IF(ISERROR(Z433/Y433-1),"NA",(IF(Z433&lt;=0,"NM",Z433/Y433-1)))</f>
        <v>-0.99908948545861298</v>
      </c>
      <c r="AA435" s="198">
        <f t="shared" si="842"/>
        <v>0.14004914004913993</v>
      </c>
      <c r="AB435" s="752">
        <f t="shared" si="842"/>
        <v>0.1724137931034484</v>
      </c>
      <c r="AC435" s="751">
        <f t="shared" si="842"/>
        <v>0.16727941176470607</v>
      </c>
      <c r="AD435" s="198">
        <f t="shared" si="842"/>
        <v>9.2913385826771666E-2</v>
      </c>
      <c r="AE435" s="198">
        <f t="shared" si="842"/>
        <v>0.10806916426512947</v>
      </c>
      <c r="AF435" s="752">
        <f t="shared" si="842"/>
        <v>9.2327698309492945E-2</v>
      </c>
      <c r="AG435" s="751">
        <f t="shared" si="842"/>
        <v>7.3809523809523769E-2</v>
      </c>
      <c r="AH435" s="198">
        <f t="shared" si="842"/>
        <v>-0.23059866962305986</v>
      </c>
      <c r="AI435" s="198">
        <f t="shared" si="842"/>
        <v>0.50144092219020164</v>
      </c>
      <c r="AJ435" s="752">
        <f t="shared" si="842"/>
        <v>6.5259117082533624E-2</v>
      </c>
      <c r="AK435" s="198">
        <f t="shared" si="842"/>
        <v>9.0090090090090058E-2</v>
      </c>
      <c r="AL435" s="359"/>
      <c r="AM435" s="1740"/>
      <c r="AN435" s="843"/>
      <c r="AO435" s="359"/>
      <c r="AP435" s="359"/>
      <c r="AQ435" s="359"/>
      <c r="AR435" s="843"/>
      <c r="AS435" s="359"/>
      <c r="AT435" s="359"/>
      <c r="AU435" s="359"/>
      <c r="AV435" s="843"/>
      <c r="AW435" s="359"/>
      <c r="AX435" s="359"/>
      <c r="AY435" s="359"/>
      <c r="AZ435" s="843"/>
      <c r="BA435" s="359"/>
      <c r="BB435" s="359"/>
      <c r="BC435" s="359"/>
      <c r="BD435" s="843"/>
      <c r="BE435" s="289"/>
      <c r="BF435" s="857"/>
      <c r="BG435" s="231"/>
      <c r="BH435" s="359"/>
      <c r="BI435" s="359"/>
      <c r="BJ435" s="359"/>
      <c r="BK435" s="359"/>
      <c r="BL435" s="359"/>
      <c r="BM435" s="359"/>
      <c r="BN435" s="852"/>
      <c r="BO435" s="359"/>
      <c r="BP435" s="1000"/>
      <c r="BQ435" s="1000"/>
      <c r="BR435" s="1000"/>
      <c r="BS435" s="1000"/>
      <c r="BT435" s="1000"/>
      <c r="BU435" s="1000"/>
      <c r="BV435" s="1000"/>
      <c r="BW435" s="1000"/>
      <c r="BX435" s="1000"/>
      <c r="BY435" s="999"/>
      <c r="BZ435" s="281"/>
    </row>
    <row r="436" spans="1:85" s="41" customFormat="1" ht="11.25" hidden="1" customHeight="1" outlineLevel="1">
      <c r="B436" s="231"/>
      <c r="C436" s="231"/>
      <c r="D436" s="231"/>
      <c r="E436" s="231"/>
      <c r="F436" s="231"/>
      <c r="G436" s="231"/>
      <c r="H436" s="226"/>
      <c r="I436" s="773" t="s">
        <v>360</v>
      </c>
      <c r="J436" s="231"/>
      <c r="K436" s="231"/>
      <c r="L436" s="231"/>
      <c r="M436" s="359"/>
      <c r="N436" s="359"/>
      <c r="O436" s="359"/>
      <c r="P436" s="359"/>
      <c r="Q436" s="359"/>
      <c r="R436" s="359"/>
      <c r="S436" s="359"/>
      <c r="T436" s="843"/>
      <c r="U436" s="852"/>
      <c r="V436" s="359"/>
      <c r="W436" s="359"/>
      <c r="X436" s="359"/>
      <c r="Y436" s="852">
        <f t="shared" ref="Y436:AK436" si="843">Y433/Y416</f>
        <v>40.525838621940167</v>
      </c>
      <c r="Z436" s="359">
        <f t="shared" si="843"/>
        <v>3.3306055646481182E-2</v>
      </c>
      <c r="AA436" s="359">
        <f t="shared" si="843"/>
        <v>3.4523809523809519E-2</v>
      </c>
      <c r="AB436" s="843">
        <f t="shared" si="843"/>
        <v>3.6559139784946237E-2</v>
      </c>
      <c r="AC436" s="852">
        <f t="shared" si="843"/>
        <v>3.9687500000000001E-2</v>
      </c>
      <c r="AD436" s="359">
        <f t="shared" si="843"/>
        <v>3.9634494574528847E-2</v>
      </c>
      <c r="AE436" s="359">
        <f t="shared" si="843"/>
        <v>4.0774125132555676E-2</v>
      </c>
      <c r="AF436" s="843">
        <f t="shared" si="843"/>
        <v>4.1399704287826522E-2</v>
      </c>
      <c r="AG436" s="852">
        <f t="shared" si="843"/>
        <v>4.1130870953032375E-2</v>
      </c>
      <c r="AH436" s="359">
        <f t="shared" si="843"/>
        <v>2.9544487015751384E-2</v>
      </c>
      <c r="AI436" s="359">
        <f t="shared" si="843"/>
        <v>4.163004394726328E-2</v>
      </c>
      <c r="AJ436" s="843">
        <f t="shared" si="843"/>
        <v>4.1918429003021146E-2</v>
      </c>
      <c r="AK436" s="359">
        <f t="shared" si="843"/>
        <v>4.2695836273817921E-2</v>
      </c>
      <c r="AL436" s="359"/>
      <c r="AM436" s="106"/>
      <c r="AN436" s="843"/>
      <c r="AO436" s="359"/>
      <c r="AP436" s="359"/>
      <c r="AQ436" s="359"/>
      <c r="AR436" s="843"/>
      <c r="AS436" s="359"/>
      <c r="AT436" s="359"/>
      <c r="AU436" s="359"/>
      <c r="AV436" s="843"/>
      <c r="AW436" s="359"/>
      <c r="AX436" s="359"/>
      <c r="AY436" s="359"/>
      <c r="AZ436" s="843"/>
      <c r="BA436" s="359"/>
      <c r="BB436" s="359"/>
      <c r="BC436" s="359"/>
      <c r="BD436" s="359"/>
      <c r="BE436" s="1257"/>
      <c r="BF436" s="857"/>
      <c r="BG436" s="231"/>
      <c r="BH436" s="359"/>
      <c r="BI436" s="359"/>
      <c r="BJ436" s="359"/>
      <c r="BK436" s="359"/>
      <c r="BL436" s="359"/>
      <c r="BM436" s="359"/>
      <c r="BN436" s="852"/>
      <c r="BO436" s="359"/>
      <c r="BP436" s="1000"/>
      <c r="BQ436" s="1000"/>
      <c r="BR436" s="1000"/>
      <c r="BS436" s="1000"/>
      <c r="BT436" s="1000"/>
      <c r="BU436" s="1000"/>
      <c r="BV436" s="1000"/>
      <c r="BW436" s="1000"/>
      <c r="BX436" s="1000"/>
      <c r="BY436" s="999"/>
      <c r="BZ436" s="281"/>
    </row>
    <row r="437" spans="1:85" s="42" customFormat="1" ht="11.25" customHeight="1" collapsed="1">
      <c r="I437" s="1012"/>
      <c r="J437" s="228"/>
      <c r="K437" s="228"/>
      <c r="L437" s="228"/>
      <c r="M437" s="1268"/>
      <c r="N437" s="1268"/>
      <c r="O437" s="1268"/>
      <c r="P437" s="1268"/>
      <c r="Q437" s="1268"/>
      <c r="R437" s="1268"/>
      <c r="S437" s="1268"/>
      <c r="T437" s="2107"/>
      <c r="U437" s="1268"/>
      <c r="V437" s="1268"/>
      <c r="W437" s="1268"/>
      <c r="X437" s="1949"/>
      <c r="Y437" s="2023"/>
      <c r="Z437" s="1949"/>
      <c r="AA437" s="1949"/>
      <c r="AB437" s="2024"/>
      <c r="AC437" s="2023"/>
      <c r="AD437" s="1949"/>
      <c r="AE437" s="1949"/>
      <c r="AF437" s="1949"/>
      <c r="AG437" s="1983"/>
      <c r="AH437" s="1984"/>
      <c r="AI437" s="1984"/>
      <c r="AJ437" s="1984"/>
      <c r="AK437" s="1983"/>
      <c r="AL437" s="1984"/>
      <c r="AM437" s="1984"/>
      <c r="AN437" s="1984"/>
      <c r="AO437" s="1983"/>
      <c r="AP437" s="1984"/>
      <c r="AQ437" s="1984"/>
      <c r="AR437" s="1984"/>
      <c r="AS437" s="1983"/>
      <c r="AT437" s="1984"/>
      <c r="AU437" s="1984"/>
      <c r="AV437" s="1984"/>
      <c r="AW437" s="1983"/>
      <c r="AX437" s="1984"/>
      <c r="AY437" s="1984"/>
      <c r="AZ437" s="1984"/>
      <c r="BA437" s="1983"/>
      <c r="BB437" s="1984"/>
      <c r="BC437" s="1984"/>
      <c r="BD437" s="1984"/>
      <c r="BE437" s="83"/>
      <c r="BF437" s="2106"/>
      <c r="BG437" s="1268"/>
      <c r="BH437" s="1268"/>
      <c r="BI437" s="1268"/>
      <c r="BJ437" s="1268"/>
      <c r="BK437" s="1268"/>
      <c r="BL437" s="403"/>
      <c r="BM437" s="1412"/>
      <c r="BN437" s="1458"/>
      <c r="BO437" s="1412"/>
      <c r="BP437" s="1412"/>
      <c r="BQ437" s="1412"/>
      <c r="BR437" s="1412"/>
      <c r="BS437" s="1412"/>
      <c r="BT437" s="1412"/>
      <c r="BU437" s="1412"/>
      <c r="BV437" s="1412"/>
      <c r="BW437" s="1412"/>
      <c r="BX437" s="1412"/>
      <c r="BY437" s="1634"/>
      <c r="BZ437" s="1268"/>
    </row>
    <row r="438" spans="1:85" s="41" customFormat="1" ht="11.25" customHeight="1">
      <c r="B438" s="231"/>
      <c r="C438" s="231"/>
      <c r="D438" s="231"/>
      <c r="E438" s="231"/>
      <c r="F438" s="231"/>
      <c r="G438" s="231"/>
      <c r="H438" s="226"/>
      <c r="I438" s="862"/>
      <c r="J438" s="231"/>
      <c r="K438" s="231"/>
      <c r="L438" s="231"/>
      <c r="M438" s="231"/>
      <c r="N438" s="231"/>
      <c r="O438" s="231"/>
      <c r="P438" s="231"/>
      <c r="Q438" s="231"/>
      <c r="R438" s="231"/>
      <c r="S438" s="231"/>
      <c r="T438" s="231"/>
      <c r="U438" s="231"/>
      <c r="V438" s="231"/>
      <c r="W438" s="231"/>
      <c r="X438" s="231"/>
      <c r="Y438" s="231"/>
      <c r="Z438" s="231"/>
      <c r="AA438" s="231"/>
      <c r="AB438" s="1151"/>
      <c r="AC438" s="2366"/>
      <c r="AD438" s="2366"/>
      <c r="AE438" s="2366"/>
      <c r="AF438" s="2367"/>
      <c r="AG438" s="2366"/>
      <c r="AH438" s="2366"/>
      <c r="AI438" s="2366"/>
      <c r="AJ438" s="2367"/>
      <c r="AK438" s="2366"/>
      <c r="AL438" s="2366"/>
      <c r="AM438" s="2366"/>
      <c r="AN438" s="2367"/>
      <c r="AO438" s="2366"/>
      <c r="AP438" s="2366"/>
      <c r="AQ438" s="2366"/>
      <c r="AR438" s="2367"/>
      <c r="AS438" s="1477"/>
      <c r="AT438" s="1477"/>
      <c r="AU438" s="1477"/>
      <c r="AV438" s="1478"/>
      <c r="AW438" s="1477"/>
      <c r="AX438" s="1477"/>
      <c r="AY438" s="1477"/>
      <c r="AZ438" s="1478"/>
      <c r="BA438" s="1477"/>
      <c r="BB438" s="1477"/>
      <c r="BC438" s="1477"/>
      <c r="BD438" s="1478"/>
      <c r="BE438" s="2354"/>
      <c r="BF438" s="231"/>
      <c r="BG438" s="231"/>
      <c r="BH438" s="231"/>
      <c r="BI438" s="231"/>
      <c r="BJ438" s="231"/>
      <c r="BK438" s="231"/>
      <c r="BL438" s="231"/>
      <c r="BM438" s="231"/>
      <c r="BN438" s="1947"/>
      <c r="BO438" s="1947"/>
      <c r="BP438" s="231"/>
      <c r="BQ438" s="231"/>
      <c r="BR438" s="231"/>
      <c r="BS438" s="231"/>
      <c r="BT438" s="231"/>
      <c r="BU438" s="231"/>
      <c r="BV438" s="231"/>
      <c r="BW438" s="231"/>
      <c r="BX438" s="231"/>
      <c r="BY438" s="1151"/>
      <c r="BZ438" s="226"/>
    </row>
    <row r="439" spans="1:85" s="1763" customFormat="1" ht="11.25" customHeight="1">
      <c r="B439" s="2359"/>
      <c r="C439" s="2359"/>
      <c r="D439" s="2359"/>
      <c r="E439" s="2359"/>
      <c r="F439" s="2359"/>
      <c r="G439" s="2359"/>
      <c r="H439" s="294"/>
      <c r="I439" s="2360"/>
      <c r="J439" s="2359"/>
      <c r="K439" s="2359"/>
      <c r="L439" s="2359"/>
      <c r="M439" s="2359"/>
      <c r="N439" s="2359"/>
      <c r="O439" s="2359"/>
      <c r="P439" s="2359"/>
      <c r="Q439" s="2359"/>
      <c r="R439" s="2359"/>
      <c r="S439" s="2359"/>
      <c r="T439" s="2361"/>
      <c r="U439" s="2362"/>
      <c r="V439" s="2359"/>
      <c r="W439" s="2359"/>
      <c r="X439" s="2361"/>
      <c r="Y439" s="2362"/>
      <c r="Z439" s="2359"/>
      <c r="AA439" s="2359"/>
      <c r="AB439" s="2361"/>
      <c r="AC439" s="2359"/>
      <c r="AD439" s="2359"/>
      <c r="AE439" s="2359"/>
      <c r="AF439" s="2361"/>
      <c r="AG439" s="2359"/>
      <c r="AH439" s="2359"/>
      <c r="AI439" s="2359"/>
      <c r="AJ439" s="2361"/>
      <c r="AK439" s="2507"/>
      <c r="AL439" s="2492"/>
      <c r="AM439" s="2492"/>
      <c r="AN439" s="2361"/>
      <c r="AO439" s="2359"/>
      <c r="AP439" s="2359"/>
      <c r="AQ439" s="2359"/>
      <c r="AR439" s="2361"/>
      <c r="AS439" s="2362"/>
      <c r="AT439" s="2359"/>
      <c r="AU439" s="2359"/>
      <c r="AV439" s="2361"/>
      <c r="AW439" s="2362"/>
      <c r="AX439" s="2359"/>
      <c r="AY439" s="2359"/>
      <c r="AZ439" s="2361"/>
      <c r="BA439" s="2362"/>
      <c r="BB439" s="2359"/>
      <c r="BC439" s="2359"/>
      <c r="BD439" s="2361"/>
      <c r="BE439" s="2505"/>
      <c r="BF439" s="2359"/>
      <c r="BG439" s="2359"/>
      <c r="BH439" s="2359"/>
      <c r="BI439" s="2359"/>
      <c r="BJ439" s="2359"/>
      <c r="BK439" s="2359"/>
      <c r="BL439" s="2359"/>
      <c r="BM439" s="2359"/>
      <c r="BN439" s="2359"/>
      <c r="BO439" s="2359"/>
      <c r="BP439" s="2359"/>
      <c r="BQ439" s="2359"/>
      <c r="BR439" s="2359"/>
      <c r="BS439" s="2359"/>
      <c r="BT439" s="2359"/>
      <c r="BU439" s="2359"/>
      <c r="BV439" s="2359"/>
      <c r="BW439" s="2359"/>
      <c r="BX439" s="2359"/>
      <c r="BY439" s="2361"/>
      <c r="BZ439" s="294"/>
    </row>
    <row r="440" spans="1:85" s="1763" customFormat="1" ht="11.25" customHeight="1">
      <c r="B440" s="2359"/>
      <c r="C440" s="2359"/>
      <c r="D440" s="2359"/>
      <c r="E440" s="2359"/>
      <c r="F440" s="2359"/>
      <c r="G440" s="2359"/>
      <c r="H440" s="294"/>
      <c r="I440" s="2360"/>
      <c r="J440" s="2359"/>
      <c r="K440" s="2359"/>
      <c r="L440" s="2359"/>
      <c r="M440" s="2359"/>
      <c r="N440" s="2359"/>
      <c r="O440" s="2359"/>
      <c r="P440" s="2359"/>
      <c r="Q440" s="2359"/>
      <c r="R440" s="2359"/>
      <c r="S440" s="2359"/>
      <c r="T440" s="2361"/>
      <c r="U440" s="2362"/>
      <c r="V440" s="2359"/>
      <c r="W440" s="2359"/>
      <c r="X440" s="2361"/>
      <c r="Y440" s="2362"/>
      <c r="Z440" s="2359"/>
      <c r="AA440" s="2359"/>
      <c r="AB440" s="2361"/>
      <c r="AC440" s="2359"/>
      <c r="AD440" s="2359"/>
      <c r="AE440" s="2359"/>
      <c r="AF440" s="2361"/>
      <c r="AG440" s="2362"/>
      <c r="AH440" s="2359"/>
      <c r="AI440" s="2359"/>
      <c r="AJ440" s="2359"/>
      <c r="AK440" s="2363"/>
      <c r="AL440" s="2492"/>
      <c r="AM440" s="2492"/>
      <c r="AN440" s="2361"/>
      <c r="AO440" s="2359"/>
      <c r="AP440" s="2359"/>
      <c r="AQ440" s="2359"/>
      <c r="AR440" s="2361"/>
      <c r="AS440" s="2362"/>
      <c r="AT440" s="2359"/>
      <c r="AU440" s="2359"/>
      <c r="AV440" s="2361"/>
      <c r="AW440" s="2362"/>
      <c r="AX440" s="2359"/>
      <c r="AY440" s="2359"/>
      <c r="AZ440" s="2361"/>
      <c r="BA440" s="2362"/>
      <c r="BB440" s="2359"/>
      <c r="BC440" s="2359"/>
      <c r="BD440" s="2361"/>
      <c r="BE440" s="2505"/>
      <c r="BF440" s="2359"/>
      <c r="BG440" s="2359"/>
      <c r="BH440" s="2359"/>
      <c r="BI440" s="2359"/>
      <c r="BJ440" s="2359"/>
      <c r="BK440" s="2359"/>
      <c r="BL440" s="2359"/>
      <c r="BM440" s="2359"/>
      <c r="BN440" s="2359"/>
      <c r="BO440" s="2359"/>
      <c r="BP440" s="2359"/>
      <c r="BQ440" s="2359"/>
      <c r="BR440" s="2359"/>
      <c r="BS440" s="2359"/>
      <c r="BT440" s="2359"/>
      <c r="BU440" s="2359"/>
      <c r="BV440" s="2359"/>
      <c r="BW440" s="2359"/>
      <c r="BX440" s="2359"/>
      <c r="BY440" s="2361"/>
      <c r="BZ440" s="294"/>
    </row>
    <row r="441" spans="1:85" s="1763" customFormat="1" ht="11.25" customHeight="1">
      <c r="B441" s="2359"/>
      <c r="C441" s="2359"/>
      <c r="D441" s="2359"/>
      <c r="E441" s="2359"/>
      <c r="F441" s="2359"/>
      <c r="G441" s="2359"/>
      <c r="H441" s="294"/>
      <c r="I441" s="2360"/>
      <c r="J441" s="2359"/>
      <c r="K441" s="2359"/>
      <c r="L441" s="2359"/>
      <c r="M441" s="2359"/>
      <c r="N441" s="2359"/>
      <c r="O441" s="2359"/>
      <c r="P441" s="2359"/>
      <c r="Q441" s="2359"/>
      <c r="R441" s="2359"/>
      <c r="S441" s="2359"/>
      <c r="T441" s="2361"/>
      <c r="U441" s="2362"/>
      <c r="V441" s="2359"/>
      <c r="W441" s="2359"/>
      <c r="X441" s="2361"/>
      <c r="Y441" s="2362"/>
      <c r="Z441" s="2359"/>
      <c r="AA441" s="2359"/>
      <c r="AB441" s="2361"/>
      <c r="AC441" s="2359"/>
      <c r="AD441" s="2359"/>
      <c r="AE441" s="2359"/>
      <c r="AF441" s="2361"/>
      <c r="AG441" s="2362"/>
      <c r="AH441" s="2359"/>
      <c r="AI441" s="2359"/>
      <c r="AJ441" s="2359"/>
      <c r="AK441" s="2363"/>
      <c r="AL441" s="2492"/>
      <c r="AM441" s="2492"/>
      <c r="AN441" s="2361"/>
      <c r="AO441" s="2359"/>
      <c r="AP441" s="2359"/>
      <c r="AQ441" s="2359"/>
      <c r="AR441" s="2361"/>
      <c r="AS441" s="2362"/>
      <c r="AT441" s="2359"/>
      <c r="AU441" s="2359"/>
      <c r="AV441" s="2361"/>
      <c r="AW441" s="2362"/>
      <c r="AX441" s="2359"/>
      <c r="AY441" s="2359"/>
      <c r="AZ441" s="2361"/>
      <c r="BA441" s="2362"/>
      <c r="BB441" s="2359"/>
      <c r="BC441" s="2359"/>
      <c r="BD441" s="2361"/>
      <c r="BE441" s="2505"/>
      <c r="BF441" s="2359"/>
      <c r="BG441" s="2359"/>
      <c r="BH441" s="2359"/>
      <c r="BI441" s="2359"/>
      <c r="BJ441" s="2359"/>
      <c r="BK441" s="2359"/>
      <c r="BL441" s="2359"/>
      <c r="BM441" s="2359"/>
      <c r="BN441" s="2359"/>
      <c r="BO441" s="2359"/>
      <c r="BP441" s="2359"/>
      <c r="BQ441" s="2359"/>
      <c r="BR441" s="2359"/>
      <c r="BS441" s="2359"/>
      <c r="BT441" s="2359"/>
      <c r="BU441" s="2359"/>
      <c r="BV441" s="2359"/>
      <c r="BW441" s="2359"/>
      <c r="BX441" s="2359"/>
      <c r="BY441" s="2361"/>
      <c r="BZ441" s="294"/>
    </row>
    <row r="442" spans="1:85" ht="11.25" customHeight="1">
      <c r="A442" s="106"/>
      <c r="B442" s="106"/>
      <c r="C442" s="106"/>
      <c r="D442" s="106"/>
      <c r="E442" s="106"/>
      <c r="F442" s="106"/>
      <c r="G442" s="106"/>
      <c r="H442" s="83"/>
      <c r="I442" s="853"/>
      <c r="J442" s="846"/>
      <c r="K442" s="846"/>
      <c r="L442" s="846"/>
      <c r="M442" s="846"/>
      <c r="N442" s="846"/>
      <c r="O442" s="846"/>
      <c r="P442" s="846"/>
      <c r="Q442" s="846"/>
      <c r="R442" s="846"/>
      <c r="S442" s="846"/>
      <c r="T442" s="847"/>
      <c r="U442" s="853"/>
      <c r="V442" s="846"/>
      <c r="W442" s="846"/>
      <c r="X442" s="847"/>
      <c r="Y442" s="853"/>
      <c r="Z442" s="846"/>
      <c r="AA442" s="846"/>
      <c r="AB442" s="847"/>
      <c r="AC442" s="853"/>
      <c r="AD442" s="846"/>
      <c r="AE442" s="846"/>
      <c r="AF442" s="847"/>
      <c r="AG442" s="853"/>
      <c r="AH442" s="846"/>
      <c r="AI442" s="846"/>
      <c r="AJ442" s="847"/>
      <c r="AK442" s="853"/>
      <c r="AL442" s="846"/>
      <c r="AM442" s="846"/>
      <c r="AN442" s="847"/>
      <c r="AO442" s="853"/>
      <c r="AP442" s="846"/>
      <c r="AQ442" s="846"/>
      <c r="AR442" s="847"/>
      <c r="AS442" s="853"/>
      <c r="AT442" s="846"/>
      <c r="AU442" s="846"/>
      <c r="AV442" s="847"/>
      <c r="AW442" s="853"/>
      <c r="AX442" s="846"/>
      <c r="AY442" s="846"/>
      <c r="AZ442" s="847"/>
      <c r="BA442" s="853"/>
      <c r="BB442" s="846"/>
      <c r="BC442" s="846"/>
      <c r="BD442" s="847"/>
      <c r="BE442" s="883"/>
      <c r="BF442" s="846"/>
      <c r="BG442" s="846"/>
      <c r="BH442" s="846"/>
      <c r="BI442" s="846"/>
      <c r="BJ442" s="846"/>
      <c r="BK442" s="846"/>
      <c r="BL442" s="846"/>
      <c r="BM442" s="846"/>
      <c r="BN442" s="853"/>
      <c r="BO442" s="846"/>
      <c r="BP442" s="846"/>
      <c r="BQ442" s="846"/>
      <c r="BR442" s="846"/>
      <c r="BS442" s="846"/>
      <c r="BT442" s="846"/>
      <c r="BU442" s="846"/>
      <c r="BV442" s="846"/>
      <c r="BW442" s="846"/>
      <c r="BX442" s="846"/>
      <c r="BY442" s="847"/>
    </row>
    <row r="443" spans="1:85" ht="11.25" customHeight="1">
      <c r="A443" s="106"/>
      <c r="B443" s="106"/>
      <c r="C443" s="106"/>
      <c r="D443" s="106"/>
      <c r="E443" s="106"/>
      <c r="F443" s="106"/>
      <c r="G443" s="106"/>
      <c r="H443" s="83"/>
    </row>
    <row r="444" spans="1:85" s="990" customFormat="1" ht="11.25" customHeight="1">
      <c r="A444" s="83"/>
      <c r="B444" s="988"/>
      <c r="C444" s="988"/>
      <c r="D444" s="988"/>
      <c r="E444" s="988"/>
      <c r="F444" s="988"/>
      <c r="G444" s="988"/>
      <c r="H444" s="1632"/>
      <c r="I444" s="984" t="s">
        <v>294</v>
      </c>
      <c r="J444" s="985"/>
      <c r="K444" s="985"/>
      <c r="L444" s="985"/>
      <c r="M444" s="985"/>
      <c r="N444" s="985"/>
      <c r="O444" s="985"/>
      <c r="P444" s="985"/>
      <c r="Q444" s="985"/>
      <c r="R444" s="985"/>
      <c r="S444" s="985"/>
      <c r="T444" s="985"/>
      <c r="U444" s="986"/>
      <c r="V444" s="985"/>
      <c r="W444" s="985"/>
      <c r="X444" s="987"/>
      <c r="Y444" s="986"/>
      <c r="Z444" s="985"/>
      <c r="AA444" s="985"/>
      <c r="AB444" s="987"/>
      <c r="AC444" s="985"/>
      <c r="AD444" s="985"/>
      <c r="AE444" s="985"/>
      <c r="AF444" s="985"/>
      <c r="AG444" s="986"/>
      <c r="AH444" s="985"/>
      <c r="AI444" s="985"/>
      <c r="AJ444" s="987"/>
      <c r="AK444" s="985"/>
      <c r="AL444" s="985"/>
      <c r="AM444" s="985"/>
      <c r="AN444" s="987"/>
      <c r="AO444" s="985"/>
      <c r="AP444" s="985"/>
      <c r="AQ444" s="985"/>
      <c r="AR444" s="987"/>
      <c r="AS444" s="985"/>
      <c r="AT444" s="985"/>
      <c r="AU444" s="985"/>
      <c r="AV444" s="987"/>
      <c r="AW444" s="985"/>
      <c r="AX444" s="985"/>
      <c r="AY444" s="985"/>
      <c r="AZ444" s="987"/>
      <c r="BA444" s="985"/>
      <c r="BB444" s="985"/>
      <c r="BC444" s="985"/>
      <c r="BD444" s="987"/>
      <c r="BE444" s="334"/>
      <c r="BF444" s="986"/>
      <c r="BG444" s="985"/>
      <c r="BH444" s="985"/>
      <c r="BI444" s="985"/>
      <c r="BJ444" s="985"/>
      <c r="BK444" s="985"/>
      <c r="BL444" s="985"/>
      <c r="BM444" s="985"/>
      <c r="BN444" s="986"/>
      <c r="BO444" s="985"/>
      <c r="BP444" s="985"/>
      <c r="BQ444" s="985"/>
      <c r="BR444" s="985"/>
      <c r="BS444" s="985"/>
      <c r="BT444" s="985"/>
      <c r="BU444" s="324"/>
      <c r="BV444" s="324"/>
      <c r="BW444" s="324"/>
      <c r="BX444" s="324"/>
      <c r="BY444" s="1190"/>
      <c r="BZ444" s="985"/>
      <c r="CA444" s="988"/>
      <c r="CB444" s="989"/>
      <c r="CC444" s="989"/>
      <c r="CD444" s="989"/>
      <c r="CE444" s="989"/>
      <c r="CF444" s="989"/>
      <c r="CG444" s="989"/>
    </row>
    <row r="445" spans="1:85" s="83" customFormat="1" ht="11.25" customHeight="1">
      <c r="I445" s="455"/>
      <c r="J445" s="334"/>
      <c r="K445" s="334"/>
      <c r="L445" s="334"/>
      <c r="M445" s="335"/>
      <c r="N445" s="335"/>
      <c r="O445" s="335"/>
      <c r="P445" s="335"/>
      <c r="Q445" s="335"/>
      <c r="R445" s="335"/>
      <c r="S445" s="335"/>
      <c r="T445" s="335"/>
      <c r="U445" s="789"/>
      <c r="V445" s="335"/>
      <c r="W445" s="335"/>
      <c r="X445" s="749"/>
      <c r="Y445" s="1480"/>
      <c r="Z445" s="335"/>
      <c r="AA445" s="335"/>
      <c r="AB445" s="749"/>
      <c r="AC445" s="335"/>
      <c r="AD445" s="335"/>
      <c r="AE445" s="335"/>
      <c r="AF445" s="335"/>
      <c r="AG445" s="1480"/>
      <c r="AH445" s="335"/>
      <c r="AI445" s="335"/>
      <c r="AJ445" s="749"/>
      <c r="AK445" s="335"/>
      <c r="AL445" s="335"/>
      <c r="AM445" s="335"/>
      <c r="AN445" s="749"/>
      <c r="AO445" s="335"/>
      <c r="AP445" s="335"/>
      <c r="AQ445" s="335"/>
      <c r="AR445" s="749"/>
      <c r="AS445" s="335"/>
      <c r="AT445" s="335"/>
      <c r="AU445" s="335"/>
      <c r="AV445" s="749"/>
      <c r="AW445" s="335"/>
      <c r="AX445" s="335"/>
      <c r="AY445" s="335"/>
      <c r="AZ445" s="749"/>
      <c r="BA445" s="335"/>
      <c r="BB445" s="335"/>
      <c r="BC445" s="335"/>
      <c r="BD445" s="749"/>
      <c r="BE445" s="335"/>
      <c r="BF445" s="507"/>
      <c r="BG445" s="68"/>
      <c r="BH445" s="68"/>
      <c r="BI445" s="68"/>
      <c r="BJ445" s="68"/>
      <c r="BK445" s="68"/>
      <c r="BL445" s="68"/>
      <c r="BM445" s="68"/>
      <c r="BN445" s="507"/>
      <c r="BO445" s="68"/>
      <c r="BP445" s="68"/>
      <c r="BQ445" s="68"/>
      <c r="BR445" s="68"/>
      <c r="BS445" s="68"/>
      <c r="BT445" s="68"/>
      <c r="BU445" s="68"/>
      <c r="BV445" s="68"/>
      <c r="BW445" s="68"/>
      <c r="BX445" s="68"/>
      <c r="BY445" s="475"/>
      <c r="BZ445" s="68"/>
    </row>
    <row r="446" spans="1:85" s="29" customFormat="1" ht="11.25" customHeight="1">
      <c r="A446" s="1633"/>
      <c r="B446" s="1633"/>
      <c r="C446" s="1633"/>
      <c r="D446" s="1633"/>
      <c r="E446" s="1633"/>
      <c r="F446" s="1633"/>
      <c r="G446" s="1633"/>
      <c r="H446" s="1632"/>
      <c r="I446" s="783" t="s">
        <v>292</v>
      </c>
      <c r="J446" s="343"/>
      <c r="K446" s="331"/>
      <c r="L446" s="331"/>
      <c r="M446" s="352"/>
      <c r="N446" s="352"/>
      <c r="O446" s="352"/>
      <c r="P446" s="108">
        <f>SUM(P452,P459)</f>
        <v>49</v>
      </c>
      <c r="Q446" s="352"/>
      <c r="R446" s="352"/>
      <c r="S446" s="352"/>
      <c r="T446" s="355">
        <f t="shared" ref="T446:AB446" si="844">SUM(T452,T459)</f>
        <v>71</v>
      </c>
      <c r="U446" s="819">
        <f t="shared" si="844"/>
        <v>82</v>
      </c>
      <c r="V446" s="355">
        <f t="shared" si="844"/>
        <v>90</v>
      </c>
      <c r="W446" s="355">
        <f t="shared" si="844"/>
        <v>96</v>
      </c>
      <c r="X446" s="253">
        <f t="shared" si="844"/>
        <v>97</v>
      </c>
      <c r="Y446" s="819">
        <f t="shared" si="844"/>
        <v>100</v>
      </c>
      <c r="Z446" s="355">
        <f t="shared" si="844"/>
        <v>106</v>
      </c>
      <c r="AA446" s="355">
        <f t="shared" si="844"/>
        <v>111</v>
      </c>
      <c r="AB446" s="253">
        <f t="shared" si="844"/>
        <v>117</v>
      </c>
      <c r="AC446" s="380">
        <v>120</v>
      </c>
      <c r="AD446" s="355">
        <f>SUM(AD452,AD459)</f>
        <v>124</v>
      </c>
      <c r="AE446" s="355">
        <f>SUM(AE452,AE459)</f>
        <v>127</v>
      </c>
      <c r="AF446" s="381">
        <f>AE446+AF447</f>
        <v>132</v>
      </c>
      <c r="AG446" s="1223">
        <f t="shared" ref="AG446:AN446" si="845">AF446+AG447</f>
        <v>137</v>
      </c>
      <c r="AH446" s="381">
        <f t="shared" si="845"/>
        <v>142</v>
      </c>
      <c r="AI446" s="381">
        <f t="shared" si="845"/>
        <v>147</v>
      </c>
      <c r="AJ446" s="815">
        <f t="shared" si="845"/>
        <v>152</v>
      </c>
      <c r="AK446" s="381">
        <f t="shared" si="845"/>
        <v>157</v>
      </c>
      <c r="AL446" s="381">
        <f t="shared" si="845"/>
        <v>162</v>
      </c>
      <c r="AM446" s="381">
        <f t="shared" si="845"/>
        <v>167</v>
      </c>
      <c r="AN446" s="815">
        <f t="shared" si="845"/>
        <v>172</v>
      </c>
      <c r="AO446" s="381">
        <f t="shared" ref="AO446:AV446" si="846">AN446+AO447</f>
        <v>177</v>
      </c>
      <c r="AP446" s="381">
        <f t="shared" si="846"/>
        <v>182</v>
      </c>
      <c r="AQ446" s="381">
        <f t="shared" si="846"/>
        <v>187</v>
      </c>
      <c r="AR446" s="815">
        <f t="shared" si="846"/>
        <v>192</v>
      </c>
      <c r="AS446" s="381">
        <f t="shared" si="846"/>
        <v>197</v>
      </c>
      <c r="AT446" s="381">
        <f t="shared" si="846"/>
        <v>202</v>
      </c>
      <c r="AU446" s="381">
        <f t="shared" si="846"/>
        <v>207</v>
      </c>
      <c r="AV446" s="815">
        <f t="shared" si="846"/>
        <v>212</v>
      </c>
      <c r="AW446" s="381">
        <f t="shared" ref="AW446:BD446" si="847">AV446+AW447</f>
        <v>217</v>
      </c>
      <c r="AX446" s="381">
        <f t="shared" si="847"/>
        <v>222</v>
      </c>
      <c r="AY446" s="381">
        <f t="shared" si="847"/>
        <v>227</v>
      </c>
      <c r="AZ446" s="815">
        <f t="shared" si="847"/>
        <v>232</v>
      </c>
      <c r="BA446" s="381">
        <f t="shared" si="847"/>
        <v>237</v>
      </c>
      <c r="BB446" s="381">
        <f t="shared" si="847"/>
        <v>242</v>
      </c>
      <c r="BC446" s="381">
        <f t="shared" si="847"/>
        <v>247</v>
      </c>
      <c r="BD446" s="815">
        <f t="shared" si="847"/>
        <v>252</v>
      </c>
      <c r="BE446" s="433"/>
      <c r="BF446" s="819">
        <f>SUM(BF452,BF459)</f>
        <v>6</v>
      </c>
      <c r="BG446" s="355">
        <f>SUM(BG452,BG459)</f>
        <v>14</v>
      </c>
      <c r="BH446" s="355">
        <f>SUM(BH452,BH459)</f>
        <v>20</v>
      </c>
      <c r="BI446" s="355">
        <f>SUM(BI452,BI459)</f>
        <v>27</v>
      </c>
      <c r="BJ446" s="355">
        <f>P446</f>
        <v>49</v>
      </c>
      <c r="BK446" s="355">
        <f>T446</f>
        <v>71</v>
      </c>
      <c r="BL446" s="355">
        <f>X446</f>
        <v>97</v>
      </c>
      <c r="BM446" s="355">
        <f>AB446</f>
        <v>117</v>
      </c>
      <c r="BN446" s="819">
        <f>AF446</f>
        <v>132</v>
      </c>
      <c r="BO446" s="355">
        <f>AJ446</f>
        <v>152</v>
      </c>
      <c r="BP446" s="1199">
        <f>+AN446</f>
        <v>172</v>
      </c>
      <c r="BQ446" s="1199">
        <f>AR446</f>
        <v>192</v>
      </c>
      <c r="BR446" s="1199">
        <f>AV446</f>
        <v>212</v>
      </c>
      <c r="BS446" s="428">
        <f>AZ446</f>
        <v>232</v>
      </c>
      <c r="BT446" s="428">
        <f>BD446</f>
        <v>252</v>
      </c>
      <c r="BU446" s="381">
        <f>BT446+BU448</f>
        <v>272</v>
      </c>
      <c r="BV446" s="381">
        <f>BU446+BV448</f>
        <v>292</v>
      </c>
      <c r="BW446" s="381">
        <f>BV446+BW448</f>
        <v>312</v>
      </c>
      <c r="BX446" s="381">
        <f>BW446+BX448</f>
        <v>332</v>
      </c>
      <c r="BY446" s="815">
        <f>BX446+BY448</f>
        <v>352</v>
      </c>
      <c r="BZ446" s="284"/>
      <c r="CA446" s="94">
        <f>IF(ISERROR(RATE(5,,-BI446,BN446)),"NM",(RATE(5,,-BI446,BN446)))</f>
        <v>0.37354228352311902</v>
      </c>
      <c r="CB446" s="94">
        <f t="shared" ref="CB446:CG446" si="848">IF(ISERROR(RATE(3,,-BK446,BN446)),"NM",(RATE(3,,-BK446,BN446)))</f>
        <v>0.2296226682196886</v>
      </c>
      <c r="CC446" s="94">
        <f t="shared" si="848"/>
        <v>0.16151266919148341</v>
      </c>
      <c r="CD446" s="94">
        <f t="shared" si="848"/>
        <v>0.13705340148826656</v>
      </c>
      <c r="CE446" s="94">
        <f t="shared" si="848"/>
        <v>0.13303266988621404</v>
      </c>
      <c r="CF446" s="94">
        <f t="shared" si="848"/>
        <v>0.11728531583684647</v>
      </c>
      <c r="CG446" s="94">
        <f t="shared" si="848"/>
        <v>0.10489204306989561</v>
      </c>
    </row>
    <row r="447" spans="1:85" s="36" customFormat="1" ht="11.25" customHeight="1">
      <c r="A447" s="191"/>
      <c r="B447" s="191"/>
      <c r="C447" s="191"/>
      <c r="D447" s="191"/>
      <c r="E447" s="191"/>
      <c r="F447" s="191"/>
      <c r="G447" s="191"/>
      <c r="H447" s="1163"/>
      <c r="I447" s="785" t="s">
        <v>369</v>
      </c>
      <c r="J447" s="193"/>
      <c r="K447" s="67"/>
      <c r="L447" s="67"/>
      <c r="M447" s="199"/>
      <c r="N447" s="330"/>
      <c r="O447" s="330"/>
      <c r="P447" s="330"/>
      <c r="Q447" s="330"/>
      <c r="R447" s="330"/>
      <c r="S447" s="330"/>
      <c r="T447" s="356"/>
      <c r="U447" s="820">
        <f t="shared" ref="U447:AE448" si="849">U446-T446</f>
        <v>11</v>
      </c>
      <c r="V447" s="379">
        <f t="shared" si="849"/>
        <v>8</v>
      </c>
      <c r="W447" s="379">
        <f t="shared" si="849"/>
        <v>6</v>
      </c>
      <c r="X447" s="821">
        <f t="shared" si="849"/>
        <v>1</v>
      </c>
      <c r="Y447" s="820">
        <f t="shared" si="849"/>
        <v>3</v>
      </c>
      <c r="Z447" s="379">
        <f t="shared" si="849"/>
        <v>6</v>
      </c>
      <c r="AA447" s="379">
        <f t="shared" si="849"/>
        <v>5</v>
      </c>
      <c r="AB447" s="821">
        <f t="shared" si="849"/>
        <v>6</v>
      </c>
      <c r="AC447" s="379">
        <f t="shared" si="849"/>
        <v>3</v>
      </c>
      <c r="AD447" s="379">
        <f t="shared" si="849"/>
        <v>4</v>
      </c>
      <c r="AE447" s="379">
        <f t="shared" si="849"/>
        <v>3</v>
      </c>
      <c r="AF447" s="370">
        <v>5</v>
      </c>
      <c r="AG447" s="1224">
        <v>5</v>
      </c>
      <c r="AH447" s="370">
        <v>5</v>
      </c>
      <c r="AI447" s="370">
        <v>5</v>
      </c>
      <c r="AJ447" s="816">
        <v>5</v>
      </c>
      <c r="AK447" s="370">
        <v>5</v>
      </c>
      <c r="AL447" s="370">
        <v>5</v>
      </c>
      <c r="AM447" s="370">
        <v>5</v>
      </c>
      <c r="AN447" s="816">
        <v>5</v>
      </c>
      <c r="AO447" s="370">
        <v>5</v>
      </c>
      <c r="AP447" s="370">
        <v>5</v>
      </c>
      <c r="AQ447" s="370">
        <v>5</v>
      </c>
      <c r="AR447" s="816">
        <v>5</v>
      </c>
      <c r="AS447" s="370">
        <v>5</v>
      </c>
      <c r="AT447" s="370">
        <v>5</v>
      </c>
      <c r="AU447" s="370">
        <v>5</v>
      </c>
      <c r="AV447" s="816">
        <v>5</v>
      </c>
      <c r="AW447" s="370">
        <v>5</v>
      </c>
      <c r="AX447" s="370">
        <v>5</v>
      </c>
      <c r="AY447" s="370">
        <v>5</v>
      </c>
      <c r="AZ447" s="816">
        <v>5</v>
      </c>
      <c r="BA447" s="370">
        <v>5</v>
      </c>
      <c r="BB447" s="370">
        <v>5</v>
      </c>
      <c r="BC447" s="370">
        <v>5</v>
      </c>
      <c r="BD447" s="816">
        <v>5</v>
      </c>
      <c r="BE447" s="320"/>
      <c r="BF447" s="825"/>
      <c r="BG447" s="947"/>
      <c r="BH447" s="947"/>
      <c r="BI447" s="947"/>
      <c r="BJ447" s="947"/>
      <c r="BK447" s="947"/>
      <c r="BL447" s="947"/>
      <c r="BM447" s="947"/>
      <c r="BN447" s="1806"/>
      <c r="BO447" s="947"/>
      <c r="BP447" s="945"/>
      <c r="BQ447" s="945"/>
      <c r="BR447" s="945"/>
      <c r="BS447" s="945"/>
      <c r="BT447" s="945"/>
      <c r="BU447" s="945"/>
      <c r="BV447" s="945"/>
      <c r="BW447" s="945"/>
      <c r="BX447" s="945"/>
      <c r="BY447" s="946"/>
      <c r="BZ447" s="285"/>
      <c r="CA447" s="202"/>
      <c r="CB447" s="203"/>
      <c r="CC447" s="203"/>
      <c r="CD447" s="203"/>
      <c r="CE447" s="203"/>
      <c r="CF447" s="203"/>
      <c r="CG447" s="203"/>
    </row>
    <row r="448" spans="1:85" ht="11.25" customHeight="1">
      <c r="A448" s="36"/>
      <c r="B448" s="36"/>
      <c r="C448" s="36"/>
      <c r="D448" s="36"/>
      <c r="E448" s="36"/>
      <c r="F448" s="36"/>
      <c r="G448" s="36"/>
      <c r="I448" s="796" t="s">
        <v>371</v>
      </c>
      <c r="J448" s="342"/>
      <c r="K448" s="336"/>
      <c r="L448" s="336"/>
      <c r="M448" s="336"/>
      <c r="N448" s="336"/>
      <c r="O448" s="336"/>
      <c r="P448" s="336"/>
      <c r="Q448" s="336"/>
      <c r="R448" s="336"/>
      <c r="S448" s="336"/>
      <c r="T448" s="336"/>
      <c r="U448" s="626"/>
      <c r="V448" s="336"/>
      <c r="W448" s="336">
        <f>W447-V447</f>
        <v>-2</v>
      </c>
      <c r="X448" s="613"/>
      <c r="Y448" s="336"/>
      <c r="Z448" s="336"/>
      <c r="AA448" s="336">
        <f t="shared" si="849"/>
        <v>-1</v>
      </c>
      <c r="AB448" s="336">
        <f t="shared" si="849"/>
        <v>1</v>
      </c>
      <c r="AC448" s="626">
        <f t="shared" si="849"/>
        <v>-3</v>
      </c>
      <c r="AD448" s="336">
        <f t="shared" si="849"/>
        <v>1</v>
      </c>
      <c r="AE448" s="336">
        <f t="shared" si="849"/>
        <v>-1</v>
      </c>
      <c r="AF448" s="336">
        <f t="shared" ref="AF448:AN448" si="850">AF447-AE447</f>
        <v>2</v>
      </c>
      <c r="AG448" s="626">
        <f t="shared" si="850"/>
        <v>0</v>
      </c>
      <c r="AH448" s="336">
        <f t="shared" si="850"/>
        <v>0</v>
      </c>
      <c r="AI448" s="336">
        <f t="shared" si="850"/>
        <v>0</v>
      </c>
      <c r="AJ448" s="613">
        <f t="shared" si="850"/>
        <v>0</v>
      </c>
      <c r="AK448" s="336">
        <f t="shared" si="850"/>
        <v>0</v>
      </c>
      <c r="AL448" s="336">
        <f t="shared" si="850"/>
        <v>0</v>
      </c>
      <c r="AM448" s="336">
        <f t="shared" si="850"/>
        <v>0</v>
      </c>
      <c r="AN448" s="613">
        <f t="shared" si="850"/>
        <v>0</v>
      </c>
      <c r="AO448" s="336">
        <f t="shared" ref="AO448:AV448" si="851">AO447-AN447</f>
        <v>0</v>
      </c>
      <c r="AP448" s="336">
        <f t="shared" si="851"/>
        <v>0</v>
      </c>
      <c r="AQ448" s="336">
        <f t="shared" si="851"/>
        <v>0</v>
      </c>
      <c r="AR448" s="613">
        <f t="shared" si="851"/>
        <v>0</v>
      </c>
      <c r="AS448" s="336">
        <f t="shared" si="851"/>
        <v>0</v>
      </c>
      <c r="AT448" s="336">
        <f t="shared" si="851"/>
        <v>0</v>
      </c>
      <c r="AU448" s="336">
        <f t="shared" si="851"/>
        <v>0</v>
      </c>
      <c r="AV448" s="613">
        <f t="shared" si="851"/>
        <v>0</v>
      </c>
      <c r="AW448" s="336">
        <f t="shared" ref="AW448:BD448" si="852">AW447-AV447</f>
        <v>0</v>
      </c>
      <c r="AX448" s="336">
        <f t="shared" si="852"/>
        <v>0</v>
      </c>
      <c r="AY448" s="336">
        <f t="shared" si="852"/>
        <v>0</v>
      </c>
      <c r="AZ448" s="613">
        <f t="shared" si="852"/>
        <v>0</v>
      </c>
      <c r="BA448" s="336">
        <f t="shared" si="852"/>
        <v>0</v>
      </c>
      <c r="BB448" s="336">
        <f t="shared" si="852"/>
        <v>0</v>
      </c>
      <c r="BC448" s="336">
        <f t="shared" si="852"/>
        <v>0</v>
      </c>
      <c r="BD448" s="613">
        <f t="shared" si="852"/>
        <v>0</v>
      </c>
      <c r="BE448" s="320"/>
      <c r="BF448" s="626"/>
      <c r="BG448" s="336">
        <f t="shared" ref="BG448:BN448" si="853">BG446-BF446</f>
        <v>8</v>
      </c>
      <c r="BH448" s="336">
        <f t="shared" si="853"/>
        <v>6</v>
      </c>
      <c r="BI448" s="336">
        <f t="shared" si="853"/>
        <v>7</v>
      </c>
      <c r="BJ448" s="336">
        <f t="shared" si="853"/>
        <v>22</v>
      </c>
      <c r="BK448" s="336">
        <f t="shared" si="853"/>
        <v>22</v>
      </c>
      <c r="BL448" s="336">
        <f t="shared" si="853"/>
        <v>26</v>
      </c>
      <c r="BM448" s="336">
        <f t="shared" si="853"/>
        <v>20</v>
      </c>
      <c r="BN448" s="626">
        <f t="shared" si="853"/>
        <v>15</v>
      </c>
      <c r="BO448" s="336">
        <f t="shared" ref="BO448:BT448" si="854">BO446-BN446</f>
        <v>20</v>
      </c>
      <c r="BP448" s="336">
        <f t="shared" si="854"/>
        <v>20</v>
      </c>
      <c r="BQ448" s="336">
        <f t="shared" si="854"/>
        <v>20</v>
      </c>
      <c r="BR448" s="336">
        <f t="shared" si="854"/>
        <v>20</v>
      </c>
      <c r="BS448" s="336">
        <f t="shared" si="854"/>
        <v>20</v>
      </c>
      <c r="BT448" s="336">
        <f t="shared" si="854"/>
        <v>20</v>
      </c>
      <c r="BU448" s="368">
        <f>+BT448</f>
        <v>20</v>
      </c>
      <c r="BV448" s="368">
        <f>+BU448</f>
        <v>20</v>
      </c>
      <c r="BW448" s="368">
        <f>+BV448</f>
        <v>20</v>
      </c>
      <c r="BX448" s="368">
        <f>+BW448</f>
        <v>20</v>
      </c>
      <c r="BY448" s="786">
        <f>+BX448</f>
        <v>20</v>
      </c>
      <c r="BZ448" s="110"/>
      <c r="CA448" s="36"/>
      <c r="CB448" s="36"/>
      <c r="CC448" s="36"/>
      <c r="CD448" s="36"/>
      <c r="CE448" s="36"/>
      <c r="CF448" s="36"/>
      <c r="CG448" s="36"/>
    </row>
    <row r="449" spans="1:85" s="36" customFormat="1" ht="11.25" customHeight="1">
      <c r="A449" s="86"/>
      <c r="B449" s="86"/>
      <c r="C449" s="86"/>
      <c r="D449" s="86"/>
      <c r="E449" s="86"/>
      <c r="F449" s="86"/>
      <c r="G449" s="86"/>
      <c r="H449" s="328"/>
      <c r="I449" s="653" t="s">
        <v>132</v>
      </c>
      <c r="J449" s="347"/>
      <c r="K449" s="67"/>
      <c r="L449" s="67"/>
      <c r="M449" s="198"/>
      <c r="N449" s="198"/>
      <c r="O449" s="198"/>
      <c r="P449" s="198"/>
      <c r="Q449" s="198"/>
      <c r="R449" s="198"/>
      <c r="S449" s="198"/>
      <c r="T449" s="198">
        <f t="shared" ref="T449:AB449" si="855">IF(ISERROR(T446/P446-1),"NA",(IF(T446&lt;=0,"NM",T446/P446-1)))</f>
        <v>0.44897959183673475</v>
      </c>
      <c r="U449" s="751" t="str">
        <f t="shared" si="855"/>
        <v>NA</v>
      </c>
      <c r="V449" s="198" t="str">
        <f t="shared" si="855"/>
        <v>NA</v>
      </c>
      <c r="W449" s="198" t="str">
        <f t="shared" si="855"/>
        <v>NA</v>
      </c>
      <c r="X449" s="752">
        <f t="shared" si="855"/>
        <v>0.36619718309859151</v>
      </c>
      <c r="Y449" s="751">
        <f t="shared" si="855"/>
        <v>0.21951219512195119</v>
      </c>
      <c r="Z449" s="198">
        <f t="shared" si="855"/>
        <v>0.17777777777777781</v>
      </c>
      <c r="AA449" s="198">
        <f t="shared" si="855"/>
        <v>0.15625</v>
      </c>
      <c r="AB449" s="752">
        <f t="shared" si="855"/>
        <v>0.20618556701030921</v>
      </c>
      <c r="AC449" s="198">
        <f t="shared" ref="AC449:AJ449" si="856">IF(ISERROR(AC446/Y446-1),"NA",(IF(AC446&lt;=0,"NM",AC446/Y446-1)))</f>
        <v>0.19999999999999996</v>
      </c>
      <c r="AD449" s="198">
        <f t="shared" si="856"/>
        <v>0.16981132075471694</v>
      </c>
      <c r="AE449" s="198">
        <f t="shared" si="856"/>
        <v>0.14414414414414423</v>
      </c>
      <c r="AF449" s="198">
        <f t="shared" si="856"/>
        <v>0.12820512820512819</v>
      </c>
      <c r="AG449" s="751">
        <f t="shared" si="856"/>
        <v>0.14166666666666661</v>
      </c>
      <c r="AH449" s="198">
        <f t="shared" si="856"/>
        <v>0.14516129032258074</v>
      </c>
      <c r="AI449" s="198">
        <f t="shared" si="856"/>
        <v>0.15748031496062986</v>
      </c>
      <c r="AJ449" s="752">
        <f t="shared" si="856"/>
        <v>0.1515151515151516</v>
      </c>
      <c r="AK449" s="198">
        <f t="shared" ref="AK449:AR449" si="857">IF(ISERROR(AK446/AG446-1),"NA",(IF(AK446&lt;=0,"NM",AK446/AG446-1)))</f>
        <v>0.14598540145985406</v>
      </c>
      <c r="AL449" s="198">
        <f t="shared" si="857"/>
        <v>0.14084507042253525</v>
      </c>
      <c r="AM449" s="198">
        <f t="shared" si="857"/>
        <v>0.13605442176870741</v>
      </c>
      <c r="AN449" s="752">
        <f t="shared" si="857"/>
        <v>0.13157894736842102</v>
      </c>
      <c r="AO449" s="198">
        <f t="shared" si="857"/>
        <v>0.12738853503184711</v>
      </c>
      <c r="AP449" s="198">
        <f t="shared" si="857"/>
        <v>0.12345679012345689</v>
      </c>
      <c r="AQ449" s="198">
        <f t="shared" si="857"/>
        <v>0.11976047904191622</v>
      </c>
      <c r="AR449" s="752">
        <f t="shared" si="857"/>
        <v>0.11627906976744184</v>
      </c>
      <c r="AS449" s="198">
        <f t="shared" ref="AS449:BD449" si="858">IF(ISERROR(AS446/AO446-1),"NA",(IF(AS446&lt;=0,"NM",AS446/AO446-1)))</f>
        <v>0.11299435028248594</v>
      </c>
      <c r="AT449" s="198">
        <f t="shared" si="858"/>
        <v>0.10989010989010994</v>
      </c>
      <c r="AU449" s="198">
        <f t="shared" si="858"/>
        <v>0.10695187165775399</v>
      </c>
      <c r="AV449" s="752">
        <f t="shared" si="858"/>
        <v>0.10416666666666674</v>
      </c>
      <c r="AW449" s="198">
        <f t="shared" si="858"/>
        <v>0.10152284263959399</v>
      </c>
      <c r="AX449" s="198">
        <f t="shared" si="858"/>
        <v>9.9009900990099098E-2</v>
      </c>
      <c r="AY449" s="198">
        <f t="shared" si="858"/>
        <v>9.661835748792269E-2</v>
      </c>
      <c r="AZ449" s="752">
        <f t="shared" si="858"/>
        <v>9.4339622641509413E-2</v>
      </c>
      <c r="BA449" s="198">
        <f t="shared" si="858"/>
        <v>9.2165898617511566E-2</v>
      </c>
      <c r="BB449" s="198">
        <f t="shared" si="858"/>
        <v>9.0090090090090058E-2</v>
      </c>
      <c r="BC449" s="198">
        <f t="shared" si="858"/>
        <v>8.8105726872246715E-2</v>
      </c>
      <c r="BD449" s="752">
        <f t="shared" si="858"/>
        <v>8.6206896551724199E-2</v>
      </c>
      <c r="BE449" s="320"/>
      <c r="BF449" s="449" t="str">
        <f>IF(ISERROR(BF446/BE446-1),"NA",(IF(BF446&lt;=0,"NM",BF446/BE446-1)))</f>
        <v>NA</v>
      </c>
      <c r="BG449" s="199">
        <f>IF(ISERROR(BG446/BF446-1),"NA",(IF(BG446&lt;=0,"NM",BG446/BF446-1)))</f>
        <v>1.3333333333333335</v>
      </c>
      <c r="BH449" s="199">
        <f t="shared" ref="BH449:BY449" si="859">IF(ISERROR(BH446/BG446-1),"NA",(IF(BH446&lt;=0,"NM",BH446/BG446-1)))</f>
        <v>0.4285714285714286</v>
      </c>
      <c r="BI449" s="199">
        <f t="shared" si="859"/>
        <v>0.35000000000000009</v>
      </c>
      <c r="BJ449" s="199">
        <f t="shared" si="859"/>
        <v>0.81481481481481488</v>
      </c>
      <c r="BK449" s="199">
        <f t="shared" si="859"/>
        <v>0.44897959183673475</v>
      </c>
      <c r="BL449" s="199">
        <f t="shared" si="859"/>
        <v>0.36619718309859151</v>
      </c>
      <c r="BM449" s="199">
        <f t="shared" si="859"/>
        <v>0.20618556701030921</v>
      </c>
      <c r="BN449" s="449">
        <f t="shared" si="859"/>
        <v>0.12820512820512819</v>
      </c>
      <c r="BO449" s="199">
        <f t="shared" si="859"/>
        <v>0.1515151515151516</v>
      </c>
      <c r="BP449" s="199">
        <f t="shared" si="859"/>
        <v>0.13157894736842102</v>
      </c>
      <c r="BQ449" s="199">
        <f t="shared" si="859"/>
        <v>0.11627906976744184</v>
      </c>
      <c r="BR449" s="199">
        <f t="shared" si="859"/>
        <v>0.10416666666666674</v>
      </c>
      <c r="BS449" s="199">
        <f t="shared" si="859"/>
        <v>9.4339622641509413E-2</v>
      </c>
      <c r="BT449" s="199">
        <f t="shared" si="859"/>
        <v>8.6206896551724199E-2</v>
      </c>
      <c r="BU449" s="199">
        <f t="shared" si="859"/>
        <v>7.9365079365079305E-2</v>
      </c>
      <c r="BV449" s="199">
        <f t="shared" si="859"/>
        <v>7.3529411764705843E-2</v>
      </c>
      <c r="BW449" s="199">
        <f t="shared" si="859"/>
        <v>6.8493150684931559E-2</v>
      </c>
      <c r="BX449" s="199">
        <f t="shared" si="859"/>
        <v>6.4102564102564097E-2</v>
      </c>
      <c r="BY449" s="620">
        <f t="shared" si="859"/>
        <v>6.024096385542177E-2</v>
      </c>
      <c r="BZ449" s="265"/>
      <c r="CA449" s="202"/>
      <c r="CB449" s="203"/>
      <c r="CC449" s="203"/>
      <c r="CD449" s="203"/>
      <c r="CE449" s="203"/>
      <c r="CF449" s="203"/>
      <c r="CG449" s="203"/>
    </row>
    <row r="450" spans="1:85" s="36" customFormat="1" ht="11.25" customHeight="1">
      <c r="A450" s="86"/>
      <c r="B450" s="86"/>
      <c r="C450" s="86"/>
      <c r="D450" s="86"/>
      <c r="E450" s="86"/>
      <c r="F450" s="86"/>
      <c r="G450" s="86"/>
      <c r="H450" s="328"/>
      <c r="I450" s="653" t="s">
        <v>146</v>
      </c>
      <c r="J450" s="347"/>
      <c r="K450" s="67"/>
      <c r="L450" s="67"/>
      <c r="M450" s="198"/>
      <c r="N450" s="198"/>
      <c r="O450" s="198"/>
      <c r="P450" s="198"/>
      <c r="Q450" s="198"/>
      <c r="R450" s="198"/>
      <c r="S450" s="198"/>
      <c r="T450" s="198" t="str">
        <f t="shared" ref="T450:AB450" si="860">IF(ISERROR(T446/S446-1),"NA",(IF(T446&lt;=0,"NM",T446/S446-1)))</f>
        <v>NA</v>
      </c>
      <c r="U450" s="751">
        <f t="shared" si="860"/>
        <v>0.15492957746478875</v>
      </c>
      <c r="V450" s="198">
        <f t="shared" si="860"/>
        <v>9.7560975609756184E-2</v>
      </c>
      <c r="W450" s="198">
        <f t="shared" si="860"/>
        <v>6.6666666666666652E-2</v>
      </c>
      <c r="X450" s="752">
        <f t="shared" si="860"/>
        <v>1.0416666666666741E-2</v>
      </c>
      <c r="Y450" s="751">
        <f t="shared" si="860"/>
        <v>3.0927835051546282E-2</v>
      </c>
      <c r="Z450" s="198">
        <f t="shared" si="860"/>
        <v>6.0000000000000053E-2</v>
      </c>
      <c r="AA450" s="198">
        <f t="shared" si="860"/>
        <v>4.7169811320754818E-2</v>
      </c>
      <c r="AB450" s="752">
        <f t="shared" si="860"/>
        <v>5.4054054054053946E-2</v>
      </c>
      <c r="AC450" s="198">
        <f t="shared" ref="AC450:AJ450" si="861">IF(ISERROR(AC446/AB446-1),"NA",(IF(AC446&lt;=0,"NM",AC446/AB446-1)))</f>
        <v>2.564102564102555E-2</v>
      </c>
      <c r="AD450" s="198">
        <f t="shared" si="861"/>
        <v>3.3333333333333437E-2</v>
      </c>
      <c r="AE450" s="198">
        <f t="shared" si="861"/>
        <v>2.4193548387096753E-2</v>
      </c>
      <c r="AF450" s="198">
        <f t="shared" si="861"/>
        <v>3.937007874015741E-2</v>
      </c>
      <c r="AG450" s="751">
        <f t="shared" si="861"/>
        <v>3.7878787878787845E-2</v>
      </c>
      <c r="AH450" s="198">
        <f t="shared" si="861"/>
        <v>3.649635036496357E-2</v>
      </c>
      <c r="AI450" s="198">
        <f t="shared" si="861"/>
        <v>3.5211267605633756E-2</v>
      </c>
      <c r="AJ450" s="752">
        <f t="shared" si="861"/>
        <v>3.4013605442176909E-2</v>
      </c>
      <c r="AK450" s="198">
        <f t="shared" ref="AK450:AR450" si="862">IF(ISERROR(AK446/AJ446-1),"NA",(IF(AK446&lt;=0,"NM",AK446/AJ446-1)))</f>
        <v>3.289473684210531E-2</v>
      </c>
      <c r="AL450" s="198">
        <f t="shared" si="862"/>
        <v>3.1847133757961776E-2</v>
      </c>
      <c r="AM450" s="198">
        <f t="shared" si="862"/>
        <v>3.0864197530864113E-2</v>
      </c>
      <c r="AN450" s="752">
        <f t="shared" si="862"/>
        <v>2.9940119760478945E-2</v>
      </c>
      <c r="AO450" s="198">
        <f t="shared" si="862"/>
        <v>2.9069767441860517E-2</v>
      </c>
      <c r="AP450" s="198">
        <f t="shared" si="862"/>
        <v>2.8248587570621542E-2</v>
      </c>
      <c r="AQ450" s="198">
        <f t="shared" si="862"/>
        <v>2.7472527472527375E-2</v>
      </c>
      <c r="AR450" s="752">
        <f t="shared" si="862"/>
        <v>2.673796791443861E-2</v>
      </c>
      <c r="AS450" s="198">
        <f t="shared" ref="AS450:BD450" si="863">IF(ISERROR(AS446/AR446-1),"NA",(IF(AS446&lt;=0,"NM",AS446/AR446-1)))</f>
        <v>2.6041666666666741E-2</v>
      </c>
      <c r="AT450" s="198">
        <f t="shared" si="863"/>
        <v>2.5380710659898442E-2</v>
      </c>
      <c r="AU450" s="198">
        <f t="shared" si="863"/>
        <v>2.4752475247524774E-2</v>
      </c>
      <c r="AV450" s="752">
        <f t="shared" si="863"/>
        <v>2.4154589371980784E-2</v>
      </c>
      <c r="AW450" s="198">
        <f t="shared" si="863"/>
        <v>2.3584905660377409E-2</v>
      </c>
      <c r="AX450" s="198">
        <f t="shared" si="863"/>
        <v>2.3041474654377891E-2</v>
      </c>
      <c r="AY450" s="198">
        <f t="shared" si="863"/>
        <v>2.2522522522522515E-2</v>
      </c>
      <c r="AZ450" s="752">
        <f t="shared" si="863"/>
        <v>2.2026431718061623E-2</v>
      </c>
      <c r="BA450" s="198">
        <f t="shared" si="863"/>
        <v>2.155172413793105E-2</v>
      </c>
      <c r="BB450" s="198">
        <f t="shared" si="863"/>
        <v>2.1097046413502074E-2</v>
      </c>
      <c r="BC450" s="198">
        <f t="shared" si="863"/>
        <v>2.0661157024793431E-2</v>
      </c>
      <c r="BD450" s="752">
        <f t="shared" si="863"/>
        <v>2.0242914979757165E-2</v>
      </c>
      <c r="BE450" s="320"/>
      <c r="BF450" s="631"/>
      <c r="BG450" s="67"/>
      <c r="BH450" s="67"/>
      <c r="BI450" s="67"/>
      <c r="BJ450" s="67"/>
      <c r="BK450" s="67"/>
      <c r="BL450" s="67"/>
      <c r="BM450" s="67"/>
      <c r="BN450" s="631"/>
      <c r="BO450" s="67"/>
      <c r="BP450" s="351"/>
      <c r="BQ450" s="351"/>
      <c r="BR450" s="351"/>
      <c r="BS450" s="351"/>
      <c r="BT450" s="351"/>
      <c r="BU450" s="351"/>
      <c r="BV450" s="351"/>
      <c r="BW450" s="351"/>
      <c r="BX450" s="351"/>
      <c r="BY450" s="809"/>
      <c r="BZ450" s="280"/>
      <c r="CA450" s="202"/>
      <c r="CB450" s="203"/>
      <c r="CC450" s="203"/>
      <c r="CD450" s="203"/>
      <c r="CE450" s="203"/>
      <c r="CF450" s="203"/>
      <c r="CG450" s="203"/>
    </row>
    <row r="451" spans="1:85" s="36" customFormat="1" ht="11.25" customHeight="1">
      <c r="H451" s="42"/>
      <c r="I451" s="633"/>
      <c r="J451" s="54"/>
      <c r="K451" s="54"/>
      <c r="L451" s="54"/>
      <c r="M451" s="357"/>
      <c r="N451" s="357"/>
      <c r="O451" s="357"/>
      <c r="P451" s="357"/>
      <c r="Q451" s="357"/>
      <c r="R451" s="357"/>
      <c r="S451" s="357"/>
      <c r="T451" s="357"/>
      <c r="U451" s="822"/>
      <c r="V451" s="357"/>
      <c r="W451" s="357"/>
      <c r="X451" s="817"/>
      <c r="Y451" s="822"/>
      <c r="Z451" s="357"/>
      <c r="AA451" s="357"/>
      <c r="AB451" s="817"/>
      <c r="AC451" s="357"/>
      <c r="AD451" s="357"/>
      <c r="AE451" s="357"/>
      <c r="AF451" s="357"/>
      <c r="AG451" s="822"/>
      <c r="AH451" s="357"/>
      <c r="AI451" s="357"/>
      <c r="AJ451" s="817"/>
      <c r="AK451" s="357"/>
      <c r="AL451" s="357"/>
      <c r="AM451" s="357"/>
      <c r="AN451" s="817"/>
      <c r="AO451" s="357"/>
      <c r="AP451" s="357"/>
      <c r="AQ451" s="357"/>
      <c r="AR451" s="817"/>
      <c r="AS451" s="357"/>
      <c r="AT451" s="357"/>
      <c r="AU451" s="357"/>
      <c r="AV451" s="817"/>
      <c r="AW451" s="357"/>
      <c r="AX451" s="357"/>
      <c r="AY451" s="357"/>
      <c r="AZ451" s="817"/>
      <c r="BA451" s="357"/>
      <c r="BB451" s="357"/>
      <c r="BC451" s="357"/>
      <c r="BD451" s="817"/>
      <c r="BE451" s="286"/>
      <c r="BF451" s="822"/>
      <c r="BG451" s="357"/>
      <c r="BH451" s="357"/>
      <c r="BI451" s="357"/>
      <c r="BJ451" s="357"/>
      <c r="BK451" s="357"/>
      <c r="BL451" s="357"/>
      <c r="BM451" s="357"/>
      <c r="BN451" s="822"/>
      <c r="BO451" s="357"/>
      <c r="BP451" s="357"/>
      <c r="BQ451" s="357"/>
      <c r="BR451" s="357"/>
      <c r="BS451" s="357"/>
      <c r="BT451" s="357"/>
      <c r="BU451" s="357"/>
      <c r="BV451" s="357"/>
      <c r="BW451" s="357"/>
      <c r="BX451" s="357"/>
      <c r="BY451" s="817"/>
      <c r="BZ451" s="286"/>
    </row>
    <row r="452" spans="1:85" s="29" customFormat="1" ht="11.25" customHeight="1">
      <c r="A452" s="91"/>
      <c r="B452" s="91"/>
      <c r="C452" s="91"/>
      <c r="D452" s="91"/>
      <c r="E452" s="91"/>
      <c r="F452" s="91"/>
      <c r="G452" s="91"/>
      <c r="H452" s="1349"/>
      <c r="I452" s="787" t="s">
        <v>3</v>
      </c>
      <c r="J452" s="343"/>
      <c r="K452" s="331"/>
      <c r="L452" s="331"/>
      <c r="M452" s="352"/>
      <c r="N452" s="352"/>
      <c r="O452" s="352"/>
      <c r="P452" s="377">
        <v>38</v>
      </c>
      <c r="Q452" s="377"/>
      <c r="R452" s="377"/>
      <c r="S452" s="377"/>
      <c r="T452" s="380">
        <v>46</v>
      </c>
      <c r="U452" s="823">
        <v>49</v>
      </c>
      <c r="V452" s="380">
        <v>51</v>
      </c>
      <c r="W452" s="380">
        <v>53</v>
      </c>
      <c r="X452" s="824">
        <v>53</v>
      </c>
      <c r="Y452" s="823">
        <v>54</v>
      </c>
      <c r="Z452" s="380">
        <f>Y452+2</f>
        <v>56</v>
      </c>
      <c r="AA452" s="380">
        <v>60</v>
      </c>
      <c r="AB452" s="824">
        <v>61</v>
      </c>
      <c r="AC452" s="355">
        <f>AC446-AC459</f>
        <v>61</v>
      </c>
      <c r="AD452" s="380">
        <v>61</v>
      </c>
      <c r="AE452" s="380">
        <v>61</v>
      </c>
      <c r="AF452" s="382">
        <f t="shared" ref="AF452:AN452" si="864">AE452+AF453</f>
        <v>61</v>
      </c>
      <c r="AG452" s="835">
        <f t="shared" si="864"/>
        <v>61</v>
      </c>
      <c r="AH452" s="382">
        <f t="shared" si="864"/>
        <v>61</v>
      </c>
      <c r="AI452" s="382">
        <f t="shared" si="864"/>
        <v>61</v>
      </c>
      <c r="AJ452" s="818">
        <f t="shared" si="864"/>
        <v>61</v>
      </c>
      <c r="AK452" s="382">
        <f t="shared" si="864"/>
        <v>61</v>
      </c>
      <c r="AL452" s="382">
        <f t="shared" si="864"/>
        <v>61</v>
      </c>
      <c r="AM452" s="382">
        <f t="shared" si="864"/>
        <v>61</v>
      </c>
      <c r="AN452" s="818">
        <f t="shared" si="864"/>
        <v>61</v>
      </c>
      <c r="AO452" s="382">
        <f t="shared" ref="AO452:AV452" si="865">AN452+AO453</f>
        <v>61</v>
      </c>
      <c r="AP452" s="382">
        <f t="shared" si="865"/>
        <v>61</v>
      </c>
      <c r="AQ452" s="382">
        <f t="shared" si="865"/>
        <v>61</v>
      </c>
      <c r="AR452" s="818">
        <f t="shared" si="865"/>
        <v>61</v>
      </c>
      <c r="AS452" s="382">
        <f t="shared" si="865"/>
        <v>61</v>
      </c>
      <c r="AT452" s="382">
        <f t="shared" si="865"/>
        <v>61</v>
      </c>
      <c r="AU452" s="382">
        <f t="shared" si="865"/>
        <v>61</v>
      </c>
      <c r="AV452" s="818">
        <f t="shared" si="865"/>
        <v>61</v>
      </c>
      <c r="AW452" s="382">
        <f t="shared" ref="AW452:BD452" si="866">AV452+AW453</f>
        <v>61</v>
      </c>
      <c r="AX452" s="382">
        <f t="shared" si="866"/>
        <v>61</v>
      </c>
      <c r="AY452" s="382">
        <f t="shared" si="866"/>
        <v>61</v>
      </c>
      <c r="AZ452" s="818">
        <f t="shared" si="866"/>
        <v>61</v>
      </c>
      <c r="BA452" s="382">
        <f t="shared" si="866"/>
        <v>61</v>
      </c>
      <c r="BB452" s="382">
        <f t="shared" si="866"/>
        <v>61</v>
      </c>
      <c r="BC452" s="382">
        <f t="shared" si="866"/>
        <v>61</v>
      </c>
      <c r="BD452" s="818">
        <f t="shared" si="866"/>
        <v>61</v>
      </c>
      <c r="BE452" s="433"/>
      <c r="BF452" s="823">
        <v>6</v>
      </c>
      <c r="BG452" s="380">
        <v>14</v>
      </c>
      <c r="BH452" s="380">
        <v>20</v>
      </c>
      <c r="BI452" s="380">
        <v>24</v>
      </c>
      <c r="BJ452" s="355">
        <f>P452</f>
        <v>38</v>
      </c>
      <c r="BK452" s="355">
        <f>T452</f>
        <v>46</v>
      </c>
      <c r="BL452" s="355">
        <f>X452</f>
        <v>53</v>
      </c>
      <c r="BM452" s="355">
        <f>AB452</f>
        <v>61</v>
      </c>
      <c r="BN452" s="819">
        <f>AF452</f>
        <v>61</v>
      </c>
      <c r="BO452" s="355">
        <f>AJ452</f>
        <v>61</v>
      </c>
      <c r="BP452" s="1199">
        <f>+AN452</f>
        <v>61</v>
      </c>
      <c r="BQ452" s="1199">
        <f>AR452</f>
        <v>61</v>
      </c>
      <c r="BR452" s="1199">
        <f>AV452</f>
        <v>61</v>
      </c>
      <c r="BS452" s="428">
        <f>AZ452</f>
        <v>61</v>
      </c>
      <c r="BT452" s="428">
        <f>BD452</f>
        <v>61</v>
      </c>
      <c r="BU452" s="381">
        <f>BT452+BU454</f>
        <v>61</v>
      </c>
      <c r="BV452" s="381">
        <f>BU452+BV454</f>
        <v>61</v>
      </c>
      <c r="BW452" s="381">
        <f>BV452+BW454</f>
        <v>61</v>
      </c>
      <c r="BX452" s="381">
        <f>BW452+BX454</f>
        <v>61</v>
      </c>
      <c r="BY452" s="815">
        <f>BX452+BY454</f>
        <v>61</v>
      </c>
      <c r="BZ452" s="284"/>
      <c r="CA452" s="94">
        <f>IF(ISERROR(RATE(5,,-BI452,BN452)),"NM",(RATE(5,,-BI452,BN452)))</f>
        <v>0.20510175428205382</v>
      </c>
      <c r="CB452" s="94">
        <f t="shared" ref="CB452:CG452" si="867">IF(ISERROR(RATE(3,,-BK452,BN452)),"NM",(RATE(3,,-BK452,BN452)))</f>
        <v>9.864487576217261E-2</v>
      </c>
      <c r="CC452" s="94">
        <f t="shared" si="867"/>
        <v>4.7975963670652981E-2</v>
      </c>
      <c r="CD452" s="94">
        <f t="shared" si="867"/>
        <v>4.5788981529607613E-14</v>
      </c>
      <c r="CE452" s="94">
        <f t="shared" si="867"/>
        <v>4.5788981529607613E-14</v>
      </c>
      <c r="CF452" s="94">
        <f t="shared" si="867"/>
        <v>4.5788981529607613E-14</v>
      </c>
      <c r="CG452" s="94">
        <f t="shared" si="867"/>
        <v>4.5788981529607613E-14</v>
      </c>
    </row>
    <row r="453" spans="1:85" s="36" customFormat="1" ht="11.25" customHeight="1">
      <c r="A453" s="86"/>
      <c r="B453" s="86"/>
      <c r="C453" s="86"/>
      <c r="D453" s="86"/>
      <c r="E453" s="86"/>
      <c r="F453" s="86"/>
      <c r="G453" s="86"/>
      <c r="H453" s="328"/>
      <c r="I453" s="785" t="s">
        <v>369</v>
      </c>
      <c r="J453" s="193"/>
      <c r="K453" s="67"/>
      <c r="L453" s="67"/>
      <c r="M453" s="199"/>
      <c r="N453" s="330"/>
      <c r="O453" s="330"/>
      <c r="P453" s="330"/>
      <c r="Q453" s="330"/>
      <c r="R453" s="330"/>
      <c r="S453" s="330"/>
      <c r="T453" s="330"/>
      <c r="U453" s="820">
        <f t="shared" ref="U453:AC453" si="868">U452-T452</f>
        <v>3</v>
      </c>
      <c r="V453" s="379">
        <f t="shared" si="868"/>
        <v>2</v>
      </c>
      <c r="W453" s="379">
        <f t="shared" si="868"/>
        <v>2</v>
      </c>
      <c r="X453" s="821">
        <f t="shared" si="868"/>
        <v>0</v>
      </c>
      <c r="Y453" s="820">
        <f t="shared" si="868"/>
        <v>1</v>
      </c>
      <c r="Z453" s="379">
        <f t="shared" si="868"/>
        <v>2</v>
      </c>
      <c r="AA453" s="379">
        <f t="shared" si="868"/>
        <v>4</v>
      </c>
      <c r="AB453" s="821">
        <f t="shared" si="868"/>
        <v>1</v>
      </c>
      <c r="AC453" s="379">
        <f t="shared" si="868"/>
        <v>0</v>
      </c>
      <c r="AD453" s="379">
        <f t="shared" ref="AD453:AJ453" si="869">AD447*(AC453/AC447)</f>
        <v>0</v>
      </c>
      <c r="AE453" s="379">
        <f t="shared" si="869"/>
        <v>0</v>
      </c>
      <c r="AF453" s="370">
        <f t="shared" si="869"/>
        <v>0</v>
      </c>
      <c r="AG453" s="1224">
        <f t="shared" si="869"/>
        <v>0</v>
      </c>
      <c r="AH453" s="370">
        <f t="shared" si="869"/>
        <v>0</v>
      </c>
      <c r="AI453" s="370">
        <f t="shared" si="869"/>
        <v>0</v>
      </c>
      <c r="AJ453" s="816">
        <f t="shared" si="869"/>
        <v>0</v>
      </c>
      <c r="AK453" s="370">
        <f t="shared" ref="AK453:AR453" si="870">AK447*(AJ453/AJ447)</f>
        <v>0</v>
      </c>
      <c r="AL453" s="370">
        <f t="shared" si="870"/>
        <v>0</v>
      </c>
      <c r="AM453" s="370">
        <f t="shared" si="870"/>
        <v>0</v>
      </c>
      <c r="AN453" s="816">
        <f t="shared" si="870"/>
        <v>0</v>
      </c>
      <c r="AO453" s="370">
        <f t="shared" si="870"/>
        <v>0</v>
      </c>
      <c r="AP453" s="370">
        <f t="shared" si="870"/>
        <v>0</v>
      </c>
      <c r="AQ453" s="370">
        <f t="shared" si="870"/>
        <v>0</v>
      </c>
      <c r="AR453" s="816">
        <f t="shared" si="870"/>
        <v>0</v>
      </c>
      <c r="AS453" s="370">
        <f t="shared" ref="AS453:BD453" si="871">AS447*(AR453/AR447)</f>
        <v>0</v>
      </c>
      <c r="AT453" s="370">
        <f t="shared" si="871"/>
        <v>0</v>
      </c>
      <c r="AU453" s="370">
        <f t="shared" si="871"/>
        <v>0</v>
      </c>
      <c r="AV453" s="816">
        <f t="shared" si="871"/>
        <v>0</v>
      </c>
      <c r="AW453" s="370">
        <f t="shared" si="871"/>
        <v>0</v>
      </c>
      <c r="AX453" s="370">
        <f t="shared" si="871"/>
        <v>0</v>
      </c>
      <c r="AY453" s="370">
        <f t="shared" si="871"/>
        <v>0</v>
      </c>
      <c r="AZ453" s="816">
        <f t="shared" si="871"/>
        <v>0</v>
      </c>
      <c r="BA453" s="370">
        <f t="shared" si="871"/>
        <v>0</v>
      </c>
      <c r="BB453" s="370">
        <f t="shared" si="871"/>
        <v>0</v>
      </c>
      <c r="BC453" s="370">
        <f t="shared" si="871"/>
        <v>0</v>
      </c>
      <c r="BD453" s="816">
        <f t="shared" si="871"/>
        <v>0</v>
      </c>
      <c r="BE453" s="320"/>
      <c r="BF453" s="825"/>
      <c r="BG453" s="379"/>
      <c r="BH453" s="379"/>
      <c r="BI453" s="379"/>
      <c r="BJ453" s="379"/>
      <c r="BK453" s="379"/>
      <c r="BL453" s="379"/>
      <c r="BM453" s="379"/>
      <c r="BN453" s="820"/>
      <c r="BO453" s="379"/>
      <c r="BP453" s="54"/>
      <c r="BQ453" s="54"/>
      <c r="BR453" s="54"/>
      <c r="BS453" s="54"/>
      <c r="BT453" s="54"/>
      <c r="BU453" s="54"/>
      <c r="BV453" s="54"/>
      <c r="BW453" s="54"/>
      <c r="BX453" s="54"/>
      <c r="BY453" s="619"/>
      <c r="BZ453" s="285"/>
      <c r="CA453" s="202"/>
      <c r="CB453" s="203"/>
      <c r="CC453" s="203"/>
      <c r="CD453" s="203"/>
      <c r="CE453" s="203"/>
      <c r="CF453" s="203"/>
      <c r="CG453" s="203"/>
    </row>
    <row r="454" spans="1:85" s="36" customFormat="1" ht="11.25" customHeight="1">
      <c r="A454" s="86"/>
      <c r="B454" s="86"/>
      <c r="C454" s="86"/>
      <c r="D454" s="86"/>
      <c r="E454" s="86"/>
      <c r="F454" s="86"/>
      <c r="G454" s="86"/>
      <c r="H454" s="328"/>
      <c r="I454" s="796" t="s">
        <v>371</v>
      </c>
      <c r="J454" s="193"/>
      <c r="K454" s="67"/>
      <c r="L454" s="67"/>
      <c r="M454" s="199"/>
      <c r="N454" s="330"/>
      <c r="O454" s="330"/>
      <c r="P454" s="330"/>
      <c r="Q454" s="330"/>
      <c r="R454" s="330"/>
      <c r="S454" s="330"/>
      <c r="T454" s="330"/>
      <c r="U454" s="820"/>
      <c r="V454" s="379"/>
      <c r="W454" s="379"/>
      <c r="X454" s="821"/>
      <c r="Y454" s="820"/>
      <c r="Z454" s="379"/>
      <c r="AA454" s="379"/>
      <c r="AB454" s="821"/>
      <c r="AC454" s="379"/>
      <c r="AD454" s="379"/>
      <c r="AE454" s="379"/>
      <c r="AF454" s="945"/>
      <c r="AG454" s="1225"/>
      <c r="AH454" s="945"/>
      <c r="AI454" s="945"/>
      <c r="AJ454" s="946"/>
      <c r="AK454" s="945"/>
      <c r="AL454" s="945"/>
      <c r="AM454" s="945"/>
      <c r="AN454" s="946"/>
      <c r="AO454" s="945"/>
      <c r="AP454" s="945"/>
      <c r="AQ454" s="945"/>
      <c r="AR454" s="946"/>
      <c r="AS454" s="945"/>
      <c r="AT454" s="945"/>
      <c r="AU454" s="945"/>
      <c r="AV454" s="946"/>
      <c r="AW454" s="945"/>
      <c r="AX454" s="945"/>
      <c r="AY454" s="945"/>
      <c r="AZ454" s="946"/>
      <c r="BA454" s="945"/>
      <c r="BB454" s="945"/>
      <c r="BC454" s="945"/>
      <c r="BD454" s="946"/>
      <c r="BE454" s="320"/>
      <c r="BF454" s="825"/>
      <c r="BG454" s="379">
        <f>BG452-BF452</f>
        <v>8</v>
      </c>
      <c r="BH454" s="379">
        <f t="shared" ref="BH454:BT454" si="872">BH452-BG452</f>
        <v>6</v>
      </c>
      <c r="BI454" s="379">
        <f t="shared" si="872"/>
        <v>4</v>
      </c>
      <c r="BJ454" s="379">
        <f t="shared" si="872"/>
        <v>14</v>
      </c>
      <c r="BK454" s="379">
        <f t="shared" si="872"/>
        <v>8</v>
      </c>
      <c r="BL454" s="379">
        <f t="shared" si="872"/>
        <v>7</v>
      </c>
      <c r="BM454" s="379">
        <f t="shared" si="872"/>
        <v>8</v>
      </c>
      <c r="BN454" s="820">
        <f t="shared" si="872"/>
        <v>0</v>
      </c>
      <c r="BO454" s="379">
        <f t="shared" si="872"/>
        <v>0</v>
      </c>
      <c r="BP454" s="379">
        <f t="shared" si="872"/>
        <v>0</v>
      </c>
      <c r="BQ454" s="379">
        <f t="shared" si="872"/>
        <v>0</v>
      </c>
      <c r="BR454" s="379">
        <f t="shared" si="872"/>
        <v>0</v>
      </c>
      <c r="BS454" s="379">
        <f t="shared" si="872"/>
        <v>0</v>
      </c>
      <c r="BT454" s="379">
        <f t="shared" si="872"/>
        <v>0</v>
      </c>
      <c r="BU454" s="370">
        <f>BU448*(BT454/BT448)*95%</f>
        <v>0</v>
      </c>
      <c r="BV454" s="370">
        <f>BV448*(BU454/BU448)*95%</f>
        <v>0</v>
      </c>
      <c r="BW454" s="370">
        <f>BW448*(BV454/BV448)*95%</f>
        <v>0</v>
      </c>
      <c r="BX454" s="370">
        <f>BX448*(BW454/BW448)*95%</f>
        <v>0</v>
      </c>
      <c r="BY454" s="816">
        <f>BY448*(BX454/BX448)*95%</f>
        <v>0</v>
      </c>
      <c r="BZ454" s="285"/>
      <c r="CA454" s="202"/>
      <c r="CB454" s="203"/>
      <c r="CC454" s="203"/>
      <c r="CD454" s="203"/>
      <c r="CE454" s="203"/>
      <c r="CF454" s="203"/>
      <c r="CG454" s="203"/>
    </row>
    <row r="455" spans="1:85" s="36" customFormat="1" ht="11.25" customHeight="1">
      <c r="A455" s="86"/>
      <c r="B455" s="86"/>
      <c r="C455" s="86"/>
      <c r="D455" s="86"/>
      <c r="E455" s="86"/>
      <c r="F455" s="86"/>
      <c r="G455" s="86"/>
      <c r="H455" s="328"/>
      <c r="I455" s="798" t="s">
        <v>132</v>
      </c>
      <c r="J455" s="347"/>
      <c r="K455" s="67"/>
      <c r="L455" s="67"/>
      <c r="M455" s="198"/>
      <c r="N455" s="198"/>
      <c r="O455" s="198"/>
      <c r="P455" s="198"/>
      <c r="Q455" s="198"/>
      <c r="R455" s="198"/>
      <c r="S455" s="198"/>
      <c r="T455" s="198">
        <f t="shared" ref="T455:AB455" si="873">IF(ISERROR(T452/P452-1),"NA",(IF(T452&lt;=0,"NM",T452/P452-1)))</f>
        <v>0.21052631578947367</v>
      </c>
      <c r="U455" s="751" t="str">
        <f t="shared" si="873"/>
        <v>NA</v>
      </c>
      <c r="V455" s="198" t="str">
        <f t="shared" si="873"/>
        <v>NA</v>
      </c>
      <c r="W455" s="198" t="str">
        <f t="shared" si="873"/>
        <v>NA</v>
      </c>
      <c r="X455" s="752">
        <f t="shared" si="873"/>
        <v>0.15217391304347827</v>
      </c>
      <c r="Y455" s="751">
        <f t="shared" si="873"/>
        <v>0.1020408163265305</v>
      </c>
      <c r="Z455" s="198">
        <f t="shared" si="873"/>
        <v>9.8039215686274606E-2</v>
      </c>
      <c r="AA455" s="198">
        <f t="shared" si="873"/>
        <v>0.13207547169811318</v>
      </c>
      <c r="AB455" s="752">
        <f t="shared" si="873"/>
        <v>0.15094339622641506</v>
      </c>
      <c r="AC455" s="198">
        <f t="shared" ref="AC455:AJ455" si="874">IF(ISERROR(AC452/Y452-1),"NA",(IF(AC452&lt;=0,"NM",AC452/Y452-1)))</f>
        <v>0.12962962962962954</v>
      </c>
      <c r="AD455" s="198">
        <f t="shared" si="874"/>
        <v>8.9285714285714191E-2</v>
      </c>
      <c r="AE455" s="198">
        <f t="shared" si="874"/>
        <v>1.6666666666666607E-2</v>
      </c>
      <c r="AF455" s="198">
        <f t="shared" si="874"/>
        <v>0</v>
      </c>
      <c r="AG455" s="751">
        <f t="shared" si="874"/>
        <v>0</v>
      </c>
      <c r="AH455" s="198">
        <f t="shared" si="874"/>
        <v>0</v>
      </c>
      <c r="AI455" s="198">
        <f t="shared" si="874"/>
        <v>0</v>
      </c>
      <c r="AJ455" s="752">
        <f t="shared" si="874"/>
        <v>0</v>
      </c>
      <c r="AK455" s="198">
        <f t="shared" ref="AK455:AR455" si="875">IF(ISERROR(AK452/AG452-1),"NA",(IF(AK452&lt;=0,"NM",AK452/AG452-1)))</f>
        <v>0</v>
      </c>
      <c r="AL455" s="198">
        <f t="shared" si="875"/>
        <v>0</v>
      </c>
      <c r="AM455" s="198">
        <f t="shared" si="875"/>
        <v>0</v>
      </c>
      <c r="AN455" s="752">
        <f t="shared" si="875"/>
        <v>0</v>
      </c>
      <c r="AO455" s="198">
        <f t="shared" si="875"/>
        <v>0</v>
      </c>
      <c r="AP455" s="198">
        <f t="shared" si="875"/>
        <v>0</v>
      </c>
      <c r="AQ455" s="198">
        <f t="shared" si="875"/>
        <v>0</v>
      </c>
      <c r="AR455" s="752">
        <f t="shared" si="875"/>
        <v>0</v>
      </c>
      <c r="AS455" s="198">
        <f t="shared" ref="AS455:BD455" si="876">IF(ISERROR(AS452/AO452-1),"NA",(IF(AS452&lt;=0,"NM",AS452/AO452-1)))</f>
        <v>0</v>
      </c>
      <c r="AT455" s="198">
        <f t="shared" si="876"/>
        <v>0</v>
      </c>
      <c r="AU455" s="198">
        <f t="shared" si="876"/>
        <v>0</v>
      </c>
      <c r="AV455" s="752">
        <f t="shared" si="876"/>
        <v>0</v>
      </c>
      <c r="AW455" s="198">
        <f t="shared" si="876"/>
        <v>0</v>
      </c>
      <c r="AX455" s="198">
        <f t="shared" si="876"/>
        <v>0</v>
      </c>
      <c r="AY455" s="198">
        <f t="shared" si="876"/>
        <v>0</v>
      </c>
      <c r="AZ455" s="752">
        <f t="shared" si="876"/>
        <v>0</v>
      </c>
      <c r="BA455" s="198">
        <f t="shared" si="876"/>
        <v>0</v>
      </c>
      <c r="BB455" s="198">
        <f t="shared" si="876"/>
        <v>0</v>
      </c>
      <c r="BC455" s="198">
        <f t="shared" si="876"/>
        <v>0</v>
      </c>
      <c r="BD455" s="752">
        <f t="shared" si="876"/>
        <v>0</v>
      </c>
      <c r="BE455" s="320"/>
      <c r="BF455" s="199" t="str">
        <f>IF(ISERROR(BF452/BE452-1),"NA",(IF(BF452&lt;=0,"NM",BF452/BE452-1)))</f>
        <v>NA</v>
      </c>
      <c r="BG455" s="199">
        <f>IF(ISERROR(BG452/BF452-1),"NA",(IF(BG452&lt;=0,"NM",BG452/BF452-1)))</f>
        <v>1.3333333333333335</v>
      </c>
      <c r="BH455" s="199">
        <f t="shared" ref="BH455:BY455" si="877">IF(ISERROR(BH452/BG452-1),"NA",(IF(BH452&lt;=0,"NM",BH452/BG452-1)))</f>
        <v>0.4285714285714286</v>
      </c>
      <c r="BI455" s="199">
        <f t="shared" si="877"/>
        <v>0.19999999999999996</v>
      </c>
      <c r="BJ455" s="199">
        <f t="shared" si="877"/>
        <v>0.58333333333333326</v>
      </c>
      <c r="BK455" s="199">
        <f t="shared" si="877"/>
        <v>0.21052631578947367</v>
      </c>
      <c r="BL455" s="199">
        <f t="shared" si="877"/>
        <v>0.15217391304347827</v>
      </c>
      <c r="BM455" s="199">
        <f t="shared" si="877"/>
        <v>0.15094339622641506</v>
      </c>
      <c r="BN455" s="449">
        <f t="shared" si="877"/>
        <v>0</v>
      </c>
      <c r="BO455" s="199">
        <f t="shared" si="877"/>
        <v>0</v>
      </c>
      <c r="BP455" s="199">
        <f t="shared" si="877"/>
        <v>0</v>
      </c>
      <c r="BQ455" s="199">
        <f t="shared" si="877"/>
        <v>0</v>
      </c>
      <c r="BR455" s="199">
        <f t="shared" si="877"/>
        <v>0</v>
      </c>
      <c r="BS455" s="199">
        <f t="shared" si="877"/>
        <v>0</v>
      </c>
      <c r="BT455" s="199">
        <f t="shared" si="877"/>
        <v>0</v>
      </c>
      <c r="BU455" s="199">
        <f t="shared" si="877"/>
        <v>0</v>
      </c>
      <c r="BV455" s="199">
        <f t="shared" si="877"/>
        <v>0</v>
      </c>
      <c r="BW455" s="199">
        <f t="shared" si="877"/>
        <v>0</v>
      </c>
      <c r="BX455" s="199">
        <f t="shared" si="877"/>
        <v>0</v>
      </c>
      <c r="BY455" s="620">
        <f t="shared" si="877"/>
        <v>0</v>
      </c>
      <c r="BZ455" s="265"/>
      <c r="CA455" s="202"/>
      <c r="CB455" s="203"/>
      <c r="CC455" s="203"/>
      <c r="CD455" s="203"/>
      <c r="CE455" s="203"/>
      <c r="CF455" s="203"/>
      <c r="CG455" s="203"/>
    </row>
    <row r="456" spans="1:85" s="36" customFormat="1" ht="11.25" customHeight="1">
      <c r="A456" s="86"/>
      <c r="B456" s="86"/>
      <c r="C456" s="86"/>
      <c r="D456" s="86"/>
      <c r="E456" s="86"/>
      <c r="F456" s="86"/>
      <c r="G456" s="86"/>
      <c r="H456" s="328"/>
      <c r="I456" s="798" t="s">
        <v>146</v>
      </c>
      <c r="J456" s="347"/>
      <c r="K456" s="67"/>
      <c r="L456" s="67"/>
      <c r="M456" s="198"/>
      <c r="N456" s="198"/>
      <c r="O456" s="198"/>
      <c r="P456" s="198"/>
      <c r="Q456" s="198"/>
      <c r="R456" s="198"/>
      <c r="S456" s="198"/>
      <c r="T456" s="198" t="str">
        <f t="shared" ref="T456:AB456" si="878">IF(ISERROR(T452/S452-1),"NA",(IF(T452&lt;=0,"NM",T452/S452-1)))</f>
        <v>NA</v>
      </c>
      <c r="U456" s="751">
        <f t="shared" si="878"/>
        <v>6.5217391304347894E-2</v>
      </c>
      <c r="V456" s="198">
        <f t="shared" si="878"/>
        <v>4.081632653061229E-2</v>
      </c>
      <c r="W456" s="198">
        <f t="shared" si="878"/>
        <v>3.9215686274509887E-2</v>
      </c>
      <c r="X456" s="752">
        <f t="shared" si="878"/>
        <v>0</v>
      </c>
      <c r="Y456" s="751">
        <f t="shared" si="878"/>
        <v>1.8867924528301883E-2</v>
      </c>
      <c r="Z456" s="198">
        <f t="shared" si="878"/>
        <v>3.7037037037036979E-2</v>
      </c>
      <c r="AA456" s="198">
        <f t="shared" si="878"/>
        <v>7.1428571428571397E-2</v>
      </c>
      <c r="AB456" s="752">
        <f t="shared" si="878"/>
        <v>1.6666666666666607E-2</v>
      </c>
      <c r="AC456" s="198">
        <f t="shared" ref="AC456:AJ456" si="879">IF(ISERROR(AC452/AB452-1),"NA",(IF(AC452&lt;=0,"NM",AC452/AB452-1)))</f>
        <v>0</v>
      </c>
      <c r="AD456" s="198">
        <f t="shared" si="879"/>
        <v>0</v>
      </c>
      <c r="AE456" s="198">
        <f t="shared" si="879"/>
        <v>0</v>
      </c>
      <c r="AF456" s="198">
        <f t="shared" si="879"/>
        <v>0</v>
      </c>
      <c r="AG456" s="751">
        <f t="shared" si="879"/>
        <v>0</v>
      </c>
      <c r="AH456" s="198">
        <f t="shared" si="879"/>
        <v>0</v>
      </c>
      <c r="AI456" s="198">
        <f t="shared" si="879"/>
        <v>0</v>
      </c>
      <c r="AJ456" s="752">
        <f t="shared" si="879"/>
        <v>0</v>
      </c>
      <c r="AK456" s="751">
        <f t="shared" ref="AK456:AR456" si="880">IF(ISERROR(AK452/AJ452-1),"NA",(IF(AK452&lt;=0,"NM",AK452/AJ452-1)))</f>
        <v>0</v>
      </c>
      <c r="AL456" s="198">
        <f t="shared" si="880"/>
        <v>0</v>
      </c>
      <c r="AM456" s="198">
        <f t="shared" si="880"/>
        <v>0</v>
      </c>
      <c r="AN456" s="752">
        <f t="shared" si="880"/>
        <v>0</v>
      </c>
      <c r="AO456" s="751">
        <f t="shared" si="880"/>
        <v>0</v>
      </c>
      <c r="AP456" s="198">
        <f t="shared" si="880"/>
        <v>0</v>
      </c>
      <c r="AQ456" s="198">
        <f t="shared" si="880"/>
        <v>0</v>
      </c>
      <c r="AR456" s="752">
        <f t="shared" si="880"/>
        <v>0</v>
      </c>
      <c r="AS456" s="751">
        <f t="shared" ref="AS456:BD456" si="881">IF(ISERROR(AS452/AR452-1),"NA",(IF(AS452&lt;=0,"NM",AS452/AR452-1)))</f>
        <v>0</v>
      </c>
      <c r="AT456" s="198">
        <f t="shared" si="881"/>
        <v>0</v>
      </c>
      <c r="AU456" s="198">
        <f t="shared" si="881"/>
        <v>0</v>
      </c>
      <c r="AV456" s="752">
        <f t="shared" si="881"/>
        <v>0</v>
      </c>
      <c r="AW456" s="751">
        <f t="shared" si="881"/>
        <v>0</v>
      </c>
      <c r="AX456" s="198">
        <f t="shared" si="881"/>
        <v>0</v>
      </c>
      <c r="AY456" s="198">
        <f t="shared" si="881"/>
        <v>0</v>
      </c>
      <c r="AZ456" s="752">
        <f t="shared" si="881"/>
        <v>0</v>
      </c>
      <c r="BA456" s="751">
        <f t="shared" si="881"/>
        <v>0</v>
      </c>
      <c r="BB456" s="198">
        <f t="shared" si="881"/>
        <v>0</v>
      </c>
      <c r="BC456" s="198">
        <f t="shared" si="881"/>
        <v>0</v>
      </c>
      <c r="BD456" s="752">
        <f t="shared" si="881"/>
        <v>0</v>
      </c>
      <c r="BE456" s="320"/>
      <c r="BF456" s="631"/>
      <c r="BG456" s="67"/>
      <c r="BH456" s="67"/>
      <c r="BI456" s="67"/>
      <c r="BJ456" s="67"/>
      <c r="BK456" s="67"/>
      <c r="BL456" s="67"/>
      <c r="BM456" s="67"/>
      <c r="BN456" s="631"/>
      <c r="BO456" s="67"/>
      <c r="BP456" s="351"/>
      <c r="BQ456" s="351"/>
      <c r="BR456" s="351"/>
      <c r="BS456" s="351"/>
      <c r="BT456" s="351"/>
      <c r="BU456" s="351"/>
      <c r="BV456" s="351"/>
      <c r="BW456" s="351"/>
      <c r="BX456" s="351"/>
      <c r="BY456" s="809"/>
      <c r="BZ456" s="280"/>
      <c r="CA456" s="202"/>
      <c r="CB456" s="203"/>
      <c r="CC456" s="203"/>
      <c r="CD456" s="203"/>
      <c r="CE456" s="203"/>
      <c r="CF456" s="203"/>
      <c r="CG456" s="203"/>
    </row>
    <row r="457" spans="1:85" s="36" customFormat="1" ht="11.25" customHeight="1">
      <c r="A457" s="86"/>
      <c r="B457" s="86"/>
      <c r="C457" s="86"/>
      <c r="D457" s="86"/>
      <c r="E457" s="86"/>
      <c r="F457" s="86"/>
      <c r="G457" s="86"/>
      <c r="H457" s="328"/>
      <c r="I457" s="798" t="s">
        <v>275</v>
      </c>
      <c r="J457" s="347"/>
      <c r="K457" s="67"/>
      <c r="L457" s="67"/>
      <c r="M457" s="198"/>
      <c r="N457" s="198"/>
      <c r="O457" s="198"/>
      <c r="P457" s="198">
        <f>P452/P$446</f>
        <v>0.77551020408163263</v>
      </c>
      <c r="Q457" s="198"/>
      <c r="R457" s="198"/>
      <c r="S457" s="198"/>
      <c r="T457" s="198">
        <f t="shared" ref="T457:AN457" si="882">T452/T$446</f>
        <v>0.647887323943662</v>
      </c>
      <c r="U457" s="751">
        <f t="shared" si="882"/>
        <v>0.59756097560975607</v>
      </c>
      <c r="V457" s="198">
        <f t="shared" si="882"/>
        <v>0.56666666666666665</v>
      </c>
      <c r="W457" s="198">
        <f t="shared" si="882"/>
        <v>0.55208333333333337</v>
      </c>
      <c r="X457" s="752">
        <f t="shared" si="882"/>
        <v>0.54639175257731953</v>
      </c>
      <c r="Y457" s="751">
        <f t="shared" si="882"/>
        <v>0.54</v>
      </c>
      <c r="Z457" s="198">
        <f t="shared" si="882"/>
        <v>0.52830188679245282</v>
      </c>
      <c r="AA457" s="198">
        <f t="shared" si="882"/>
        <v>0.54054054054054057</v>
      </c>
      <c r="AB457" s="752">
        <f t="shared" si="882"/>
        <v>0.5213675213675214</v>
      </c>
      <c r="AC457" s="198">
        <f t="shared" si="882"/>
        <v>0.5083333333333333</v>
      </c>
      <c r="AD457" s="198">
        <f t="shared" si="882"/>
        <v>0.49193548387096775</v>
      </c>
      <c r="AE457" s="198">
        <f t="shared" si="882"/>
        <v>0.48031496062992124</v>
      </c>
      <c r="AF457" s="198">
        <f t="shared" si="882"/>
        <v>0.4621212121212121</v>
      </c>
      <c r="AG457" s="751">
        <f t="shared" si="882"/>
        <v>0.44525547445255476</v>
      </c>
      <c r="AH457" s="198">
        <f t="shared" si="882"/>
        <v>0.42957746478873238</v>
      </c>
      <c r="AI457" s="198">
        <f t="shared" si="882"/>
        <v>0.41496598639455784</v>
      </c>
      <c r="AJ457" s="752">
        <f t="shared" si="882"/>
        <v>0.40131578947368424</v>
      </c>
      <c r="AK457" s="751">
        <f t="shared" si="882"/>
        <v>0.38853503184713378</v>
      </c>
      <c r="AL457" s="198">
        <f t="shared" si="882"/>
        <v>0.37654320987654322</v>
      </c>
      <c r="AM457" s="198">
        <f t="shared" si="882"/>
        <v>0.3652694610778443</v>
      </c>
      <c r="AN457" s="752">
        <f t="shared" si="882"/>
        <v>0.35465116279069769</v>
      </c>
      <c r="AO457" s="751">
        <f t="shared" ref="AO457:AV457" si="883">AO452/AO$446</f>
        <v>0.34463276836158191</v>
      </c>
      <c r="AP457" s="198">
        <f t="shared" si="883"/>
        <v>0.33516483516483514</v>
      </c>
      <c r="AQ457" s="198">
        <f t="shared" si="883"/>
        <v>0.32620320855614976</v>
      </c>
      <c r="AR457" s="752">
        <f t="shared" si="883"/>
        <v>0.31770833333333331</v>
      </c>
      <c r="AS457" s="751">
        <f t="shared" si="883"/>
        <v>0.30964467005076141</v>
      </c>
      <c r="AT457" s="198">
        <f t="shared" si="883"/>
        <v>0.30198019801980197</v>
      </c>
      <c r="AU457" s="198">
        <f t="shared" si="883"/>
        <v>0.29468599033816423</v>
      </c>
      <c r="AV457" s="752">
        <f t="shared" si="883"/>
        <v>0.28773584905660377</v>
      </c>
      <c r="AW457" s="751">
        <f t="shared" ref="AW457:BD457" si="884">AW452/AW$446</f>
        <v>0.28110599078341014</v>
      </c>
      <c r="AX457" s="198">
        <f t="shared" si="884"/>
        <v>0.2747747747747748</v>
      </c>
      <c r="AY457" s="198">
        <f t="shared" si="884"/>
        <v>0.2687224669603524</v>
      </c>
      <c r="AZ457" s="752">
        <f t="shared" si="884"/>
        <v>0.26293103448275862</v>
      </c>
      <c r="BA457" s="751">
        <f t="shared" si="884"/>
        <v>0.25738396624472576</v>
      </c>
      <c r="BB457" s="198">
        <f t="shared" si="884"/>
        <v>0.25206611570247933</v>
      </c>
      <c r="BC457" s="198">
        <f t="shared" si="884"/>
        <v>0.24696356275303644</v>
      </c>
      <c r="BD457" s="752">
        <f t="shared" si="884"/>
        <v>0.24206349206349206</v>
      </c>
      <c r="BE457" s="320"/>
      <c r="BF457" s="751">
        <f t="shared" ref="BF457:BT457" si="885">BF452/BF$446</f>
        <v>1</v>
      </c>
      <c r="BG457" s="198">
        <f t="shared" si="885"/>
        <v>1</v>
      </c>
      <c r="BH457" s="198">
        <f t="shared" si="885"/>
        <v>1</v>
      </c>
      <c r="BI457" s="198">
        <f t="shared" si="885"/>
        <v>0.88888888888888884</v>
      </c>
      <c r="BJ457" s="198">
        <f t="shared" si="885"/>
        <v>0.77551020408163263</v>
      </c>
      <c r="BK457" s="198">
        <f t="shared" si="885"/>
        <v>0.647887323943662</v>
      </c>
      <c r="BL457" s="198">
        <f t="shared" si="885"/>
        <v>0.54639175257731953</v>
      </c>
      <c r="BM457" s="198">
        <f t="shared" si="885"/>
        <v>0.5213675213675214</v>
      </c>
      <c r="BN457" s="751">
        <f t="shared" si="885"/>
        <v>0.4621212121212121</v>
      </c>
      <c r="BO457" s="198">
        <f t="shared" si="885"/>
        <v>0.40131578947368424</v>
      </c>
      <c r="BP457" s="198">
        <f t="shared" si="885"/>
        <v>0.35465116279069769</v>
      </c>
      <c r="BQ457" s="198">
        <f t="shared" si="885"/>
        <v>0.31770833333333331</v>
      </c>
      <c r="BR457" s="198">
        <f>BR452/BR$446</f>
        <v>0.28773584905660377</v>
      </c>
      <c r="BS457" s="198">
        <f t="shared" si="885"/>
        <v>0.26293103448275862</v>
      </c>
      <c r="BT457" s="198">
        <f t="shared" si="885"/>
        <v>0.24206349206349206</v>
      </c>
      <c r="BU457" s="198">
        <f>BU452/BU$446</f>
        <v>0.22426470588235295</v>
      </c>
      <c r="BV457" s="198">
        <f>BV452/BV$446</f>
        <v>0.2089041095890411</v>
      </c>
      <c r="BW457" s="198">
        <f>BW452/BW$446</f>
        <v>0.19551282051282051</v>
      </c>
      <c r="BX457" s="198">
        <f>BX452/BX$446</f>
        <v>0.18373493975903615</v>
      </c>
      <c r="BY457" s="752">
        <f>BY452/BY$446</f>
        <v>0.17329545454545456</v>
      </c>
      <c r="BZ457" s="264"/>
      <c r="CA457" s="202"/>
      <c r="CB457" s="203"/>
      <c r="CC457" s="203"/>
      <c r="CD457" s="203"/>
      <c r="CE457" s="203"/>
      <c r="CF457" s="203"/>
      <c r="CG457" s="203"/>
    </row>
    <row r="458" spans="1:85" s="36" customFormat="1" ht="11.25" customHeight="1">
      <c r="A458" s="86"/>
      <c r="B458" s="86"/>
      <c r="C458" s="86"/>
      <c r="D458" s="86"/>
      <c r="E458" s="86"/>
      <c r="F458" s="86"/>
      <c r="G458" s="86"/>
      <c r="H458" s="328"/>
      <c r="I458" s="798"/>
      <c r="J458" s="347"/>
      <c r="K458" s="67"/>
      <c r="L458" s="67"/>
      <c r="M458" s="198"/>
      <c r="N458" s="198"/>
      <c r="O458" s="198"/>
      <c r="P458" s="198"/>
      <c r="Q458" s="198"/>
      <c r="R458" s="198"/>
      <c r="S458" s="198"/>
      <c r="T458" s="198"/>
      <c r="U458" s="751"/>
      <c r="V458" s="198"/>
      <c r="W458" s="198"/>
      <c r="X458" s="752"/>
      <c r="Y458" s="751"/>
      <c r="Z458" s="198"/>
      <c r="AA458" s="198"/>
      <c r="AB458" s="752"/>
      <c r="AC458" s="198"/>
      <c r="AD458" s="198"/>
      <c r="AE458" s="198"/>
      <c r="AF458" s="198"/>
      <c r="AG458" s="751"/>
      <c r="AH458" s="198"/>
      <c r="AI458" s="198"/>
      <c r="AJ458" s="752"/>
      <c r="AK458" s="751"/>
      <c r="AL458" s="198"/>
      <c r="AM458" s="198"/>
      <c r="AN458" s="752"/>
      <c r="AO458" s="751"/>
      <c r="AP458" s="198"/>
      <c r="AQ458" s="198"/>
      <c r="AR458" s="752"/>
      <c r="AS458" s="751"/>
      <c r="AT458" s="198"/>
      <c r="AU458" s="198"/>
      <c r="AV458" s="752"/>
      <c r="AW458" s="751"/>
      <c r="AX458" s="198"/>
      <c r="AY458" s="198"/>
      <c r="AZ458" s="752"/>
      <c r="BA458" s="751"/>
      <c r="BB458" s="198"/>
      <c r="BC458" s="198"/>
      <c r="BD458" s="752"/>
      <c r="BE458" s="320"/>
      <c r="BF458" s="631"/>
      <c r="BG458" s="67"/>
      <c r="BH458" s="67"/>
      <c r="BI458" s="67"/>
      <c r="BJ458" s="67"/>
      <c r="BK458" s="67"/>
      <c r="BL458" s="67"/>
      <c r="BM458" s="67"/>
      <c r="BN458" s="631"/>
      <c r="BO458" s="67"/>
      <c r="BP458" s="351"/>
      <c r="BQ458" s="351"/>
      <c r="BR458" s="351"/>
      <c r="BS458" s="351"/>
      <c r="BT458" s="351"/>
      <c r="BU458" s="351"/>
      <c r="BV458" s="351"/>
      <c r="BW458" s="351"/>
      <c r="BX458" s="351"/>
      <c r="BY458" s="809"/>
      <c r="BZ458" s="280"/>
      <c r="CA458" s="202"/>
      <c r="CB458" s="203"/>
      <c r="CC458" s="203"/>
      <c r="CD458" s="203"/>
      <c r="CE458" s="203"/>
      <c r="CF458" s="203"/>
      <c r="CG458" s="203"/>
    </row>
    <row r="459" spans="1:85" s="29" customFormat="1" ht="11.25" customHeight="1">
      <c r="A459" s="91"/>
      <c r="B459" s="91"/>
      <c r="C459" s="91"/>
      <c r="D459" s="91"/>
      <c r="E459" s="91"/>
      <c r="F459" s="91"/>
      <c r="G459" s="91"/>
      <c r="H459" s="1349"/>
      <c r="I459" s="787" t="s">
        <v>4</v>
      </c>
      <c r="J459" s="343"/>
      <c r="K459" s="331"/>
      <c r="L459" s="331"/>
      <c r="M459" s="352"/>
      <c r="N459" s="352"/>
      <c r="O459" s="352"/>
      <c r="P459" s="377">
        <v>11</v>
      </c>
      <c r="Q459" s="377"/>
      <c r="R459" s="377"/>
      <c r="S459" s="377"/>
      <c r="T459" s="380">
        <v>25</v>
      </c>
      <c r="U459" s="823">
        <v>33</v>
      </c>
      <c r="V459" s="380">
        <v>39</v>
      </c>
      <c r="W459" s="380">
        <v>43</v>
      </c>
      <c r="X459" s="824">
        <v>44</v>
      </c>
      <c r="Y459" s="823">
        <v>46</v>
      </c>
      <c r="Z459" s="380">
        <f>Y459+4</f>
        <v>50</v>
      </c>
      <c r="AA459" s="380">
        <v>51</v>
      </c>
      <c r="AB459" s="824">
        <f>117-61</f>
        <v>56</v>
      </c>
      <c r="AC459" s="380">
        <v>59</v>
      </c>
      <c r="AD459" s="380">
        <v>63</v>
      </c>
      <c r="AE459" s="380">
        <v>66</v>
      </c>
      <c r="AF459" s="382">
        <f t="shared" ref="AF459:AN459" si="886">AF446-AF452</f>
        <v>71</v>
      </c>
      <c r="AG459" s="835">
        <f t="shared" si="886"/>
        <v>76</v>
      </c>
      <c r="AH459" s="382">
        <f t="shared" si="886"/>
        <v>81</v>
      </c>
      <c r="AI459" s="382">
        <f t="shared" si="886"/>
        <v>86</v>
      </c>
      <c r="AJ459" s="818">
        <f t="shared" si="886"/>
        <v>91</v>
      </c>
      <c r="AK459" s="835">
        <f t="shared" si="886"/>
        <v>96</v>
      </c>
      <c r="AL459" s="382">
        <f t="shared" si="886"/>
        <v>101</v>
      </c>
      <c r="AM459" s="382">
        <f>AM446-AM452</f>
        <v>106</v>
      </c>
      <c r="AN459" s="818">
        <f t="shared" si="886"/>
        <v>111</v>
      </c>
      <c r="AO459" s="835">
        <f t="shared" ref="AO459:AV459" si="887">AO446-AO452</f>
        <v>116</v>
      </c>
      <c r="AP459" s="382">
        <f t="shared" si="887"/>
        <v>121</v>
      </c>
      <c r="AQ459" s="382">
        <f t="shared" si="887"/>
        <v>126</v>
      </c>
      <c r="AR459" s="818">
        <f t="shared" si="887"/>
        <v>131</v>
      </c>
      <c r="AS459" s="835">
        <f t="shared" si="887"/>
        <v>136</v>
      </c>
      <c r="AT459" s="382">
        <f t="shared" si="887"/>
        <v>141</v>
      </c>
      <c r="AU459" s="382">
        <f t="shared" si="887"/>
        <v>146</v>
      </c>
      <c r="AV459" s="818">
        <f t="shared" si="887"/>
        <v>151</v>
      </c>
      <c r="AW459" s="835">
        <f t="shared" ref="AW459:BD459" si="888">AW446-AW452</f>
        <v>156</v>
      </c>
      <c r="AX459" s="382">
        <f t="shared" si="888"/>
        <v>161</v>
      </c>
      <c r="AY459" s="382">
        <f t="shared" si="888"/>
        <v>166</v>
      </c>
      <c r="AZ459" s="818">
        <f t="shared" si="888"/>
        <v>171</v>
      </c>
      <c r="BA459" s="835">
        <f t="shared" si="888"/>
        <v>176</v>
      </c>
      <c r="BB459" s="382">
        <f t="shared" si="888"/>
        <v>181</v>
      </c>
      <c r="BC459" s="382">
        <f t="shared" si="888"/>
        <v>186</v>
      </c>
      <c r="BD459" s="818">
        <f t="shared" si="888"/>
        <v>191</v>
      </c>
      <c r="BE459" s="433"/>
      <c r="BF459" s="1417">
        <v>0</v>
      </c>
      <c r="BG459" s="235">
        <v>0</v>
      </c>
      <c r="BH459" s="235">
        <v>0</v>
      </c>
      <c r="BI459" s="235">
        <v>3</v>
      </c>
      <c r="BJ459" s="355">
        <f>P459</f>
        <v>11</v>
      </c>
      <c r="BK459" s="355">
        <f>T459</f>
        <v>25</v>
      </c>
      <c r="BL459" s="355">
        <f>X459</f>
        <v>44</v>
      </c>
      <c r="BM459" s="355">
        <f>AB459</f>
        <v>56</v>
      </c>
      <c r="BN459" s="819">
        <f>AF459</f>
        <v>71</v>
      </c>
      <c r="BO459" s="355">
        <f>AJ459</f>
        <v>91</v>
      </c>
      <c r="BP459" s="1199">
        <f>+AN459</f>
        <v>111</v>
      </c>
      <c r="BQ459" s="1199">
        <f>AR459</f>
        <v>131</v>
      </c>
      <c r="BR459" s="1199">
        <f>AV459</f>
        <v>151</v>
      </c>
      <c r="BS459" s="428">
        <f>AZ459</f>
        <v>171</v>
      </c>
      <c r="BT459" s="428">
        <f>BD459</f>
        <v>191</v>
      </c>
      <c r="BU459" s="381">
        <f>BU446-BU452</f>
        <v>211</v>
      </c>
      <c r="BV459" s="381">
        <f>BV446-BV452</f>
        <v>231</v>
      </c>
      <c r="BW459" s="381">
        <f>BW446-BW452</f>
        <v>251</v>
      </c>
      <c r="BX459" s="381">
        <f>BX446-BX452</f>
        <v>271</v>
      </c>
      <c r="BY459" s="815">
        <f>BY446-BY452</f>
        <v>291</v>
      </c>
      <c r="BZ459" s="284"/>
      <c r="CA459" s="94">
        <f>IF(ISERROR(RATE(5,,-BI459,BN459)),"NM",(RATE(5,,-BI459,BN459)))</f>
        <v>0.882900708261244</v>
      </c>
      <c r="CB459" s="94">
        <f t="shared" ref="CB459:CG459" si="889">IF(ISERROR(RATE(3,,-BK459,BN459)),"NM",(RATE(3,,-BK459,BN459)))</f>
        <v>0.41613975021626115</v>
      </c>
      <c r="CC459" s="94">
        <f t="shared" si="889"/>
        <v>0.27407865118216024</v>
      </c>
      <c r="CD459" s="94">
        <f t="shared" si="889"/>
        <v>0.25616006916155859</v>
      </c>
      <c r="CE459" s="94">
        <f t="shared" si="889"/>
        <v>0.22650968612143696</v>
      </c>
      <c r="CF459" s="94">
        <f t="shared" si="889"/>
        <v>0.18389136150457672</v>
      </c>
      <c r="CG459" s="94">
        <f t="shared" si="889"/>
        <v>0.15493544626262953</v>
      </c>
    </row>
    <row r="460" spans="1:85" s="36" customFormat="1" ht="11.25" customHeight="1">
      <c r="A460" s="86"/>
      <c r="B460" s="86"/>
      <c r="C460" s="86"/>
      <c r="D460" s="86"/>
      <c r="E460" s="86"/>
      <c r="F460" s="86"/>
      <c r="G460" s="86"/>
      <c r="H460" s="328"/>
      <c r="I460" s="798" t="s">
        <v>132</v>
      </c>
      <c r="J460" s="347"/>
      <c r="K460" s="67"/>
      <c r="L460" s="67"/>
      <c r="M460" s="198"/>
      <c r="N460" s="198"/>
      <c r="O460" s="198"/>
      <c r="P460" s="198"/>
      <c r="Q460" s="198"/>
      <c r="R460" s="198"/>
      <c r="S460" s="198"/>
      <c r="T460" s="198">
        <f t="shared" ref="T460:AJ460" si="890">IF(ISERROR(T459/P459-1),"NA",(IF(T459&lt;=0,"NM",T459/P459-1)))</f>
        <v>1.2727272727272729</v>
      </c>
      <c r="U460" s="751" t="str">
        <f t="shared" si="890"/>
        <v>NA</v>
      </c>
      <c r="V460" s="198" t="str">
        <f t="shared" si="890"/>
        <v>NA</v>
      </c>
      <c r="W460" s="198" t="str">
        <f t="shared" si="890"/>
        <v>NA</v>
      </c>
      <c r="X460" s="752">
        <f t="shared" si="890"/>
        <v>0.76</v>
      </c>
      <c r="Y460" s="751">
        <f t="shared" si="890"/>
        <v>0.39393939393939403</v>
      </c>
      <c r="Z460" s="198">
        <f t="shared" si="890"/>
        <v>0.28205128205128216</v>
      </c>
      <c r="AA460" s="198">
        <f t="shared" si="890"/>
        <v>0.18604651162790709</v>
      </c>
      <c r="AB460" s="752">
        <f t="shared" si="890"/>
        <v>0.27272727272727271</v>
      </c>
      <c r="AC460" s="198">
        <f t="shared" si="890"/>
        <v>0.28260869565217384</v>
      </c>
      <c r="AD460" s="198">
        <f t="shared" si="890"/>
        <v>0.26</v>
      </c>
      <c r="AE460" s="198">
        <f t="shared" si="890"/>
        <v>0.29411764705882359</v>
      </c>
      <c r="AF460" s="198">
        <f t="shared" si="890"/>
        <v>0.26785714285714279</v>
      </c>
      <c r="AG460" s="751">
        <f t="shared" si="890"/>
        <v>0.28813559322033888</v>
      </c>
      <c r="AH460" s="198">
        <f t="shared" si="890"/>
        <v>0.28571428571428581</v>
      </c>
      <c r="AI460" s="198">
        <f t="shared" si="890"/>
        <v>0.30303030303030298</v>
      </c>
      <c r="AJ460" s="752">
        <f t="shared" si="890"/>
        <v>0.28169014084507049</v>
      </c>
      <c r="AK460" s="751">
        <f t="shared" ref="AK460:AR460" si="891">IF(ISERROR(AK459/AG459-1),"NA",(IF(AK459&lt;=0,"NM",AK459/AG459-1)))</f>
        <v>0.26315789473684204</v>
      </c>
      <c r="AL460" s="198">
        <f t="shared" si="891"/>
        <v>0.24691358024691357</v>
      </c>
      <c r="AM460" s="198">
        <f t="shared" si="891"/>
        <v>0.23255813953488369</v>
      </c>
      <c r="AN460" s="752">
        <f t="shared" si="891"/>
        <v>0.21978021978021989</v>
      </c>
      <c r="AO460" s="751">
        <f t="shared" si="891"/>
        <v>0.20833333333333326</v>
      </c>
      <c r="AP460" s="198">
        <f t="shared" si="891"/>
        <v>0.19801980198019797</v>
      </c>
      <c r="AQ460" s="198">
        <f t="shared" si="891"/>
        <v>0.18867924528301883</v>
      </c>
      <c r="AR460" s="752">
        <f t="shared" si="891"/>
        <v>0.18018018018018012</v>
      </c>
      <c r="AS460" s="751">
        <f t="shared" ref="AS460:BD460" si="892">IF(ISERROR(AS459/AO459-1),"NA",(IF(AS459&lt;=0,"NM",AS459/AO459-1)))</f>
        <v>0.17241379310344818</v>
      </c>
      <c r="AT460" s="198">
        <f t="shared" si="892"/>
        <v>0.165289256198347</v>
      </c>
      <c r="AU460" s="198">
        <f t="shared" si="892"/>
        <v>0.15873015873015883</v>
      </c>
      <c r="AV460" s="752">
        <f t="shared" si="892"/>
        <v>0.15267175572519087</v>
      </c>
      <c r="AW460" s="751">
        <f t="shared" si="892"/>
        <v>0.14705882352941169</v>
      </c>
      <c r="AX460" s="198">
        <f t="shared" si="892"/>
        <v>0.14184397163120566</v>
      </c>
      <c r="AY460" s="198">
        <f t="shared" si="892"/>
        <v>0.13698630136986312</v>
      </c>
      <c r="AZ460" s="752">
        <f t="shared" si="892"/>
        <v>0.13245033112582782</v>
      </c>
      <c r="BA460" s="751">
        <f t="shared" si="892"/>
        <v>0.12820512820512819</v>
      </c>
      <c r="BB460" s="198">
        <f t="shared" si="892"/>
        <v>0.12422360248447206</v>
      </c>
      <c r="BC460" s="198">
        <f t="shared" si="892"/>
        <v>0.12048192771084332</v>
      </c>
      <c r="BD460" s="752">
        <f t="shared" si="892"/>
        <v>0.11695906432748537</v>
      </c>
      <c r="BE460" s="264"/>
      <c r="BF460" s="199" t="str">
        <f>IF(ISERROR(BF459/BE459-1),"NA",(IF(BF459&lt;=0,"NM",BF459/BE459-1)))</f>
        <v>NA</v>
      </c>
      <c r="BG460" s="199" t="str">
        <f>IF(ISERROR(BG459/BF459-1),"NA",(IF(BG459&lt;=0,"NM",BG459/BF459-1)))</f>
        <v>NA</v>
      </c>
      <c r="BH460" s="199" t="str">
        <f>IF(ISERROR(BH459/BG459-1),"NA",(IF(BH459&lt;=0,"NM",BH459/BG459-1)))</f>
        <v>NA</v>
      </c>
      <c r="BI460" s="199" t="str">
        <f t="shared" ref="BI460:BY460" si="893">IF(ISERROR(BI459/BH459-1),"NA",(IF(BI459&lt;=0,"NM",BI459/BH459-1)))</f>
        <v>NA</v>
      </c>
      <c r="BJ460" s="199">
        <f t="shared" si="893"/>
        <v>2.6666666666666665</v>
      </c>
      <c r="BK460" s="199">
        <f t="shared" si="893"/>
        <v>1.2727272727272729</v>
      </c>
      <c r="BL460" s="199">
        <f t="shared" si="893"/>
        <v>0.76</v>
      </c>
      <c r="BM460" s="199">
        <f t="shared" si="893"/>
        <v>0.27272727272727271</v>
      </c>
      <c r="BN460" s="449">
        <f t="shared" si="893"/>
        <v>0.26785714285714279</v>
      </c>
      <c r="BO460" s="199">
        <f t="shared" si="893"/>
        <v>0.28169014084507049</v>
      </c>
      <c r="BP460" s="199">
        <f t="shared" si="893"/>
        <v>0.21978021978021989</v>
      </c>
      <c r="BQ460" s="199">
        <f t="shared" si="893"/>
        <v>0.18018018018018012</v>
      </c>
      <c r="BR460" s="199">
        <f t="shared" si="893"/>
        <v>0.15267175572519087</v>
      </c>
      <c r="BS460" s="199">
        <f t="shared" si="893"/>
        <v>0.13245033112582782</v>
      </c>
      <c r="BT460" s="199">
        <f t="shared" si="893"/>
        <v>0.11695906432748537</v>
      </c>
      <c r="BU460" s="199">
        <f t="shared" si="893"/>
        <v>0.10471204188481686</v>
      </c>
      <c r="BV460" s="199">
        <f t="shared" si="893"/>
        <v>9.4786729857819996E-2</v>
      </c>
      <c r="BW460" s="199">
        <f t="shared" si="893"/>
        <v>8.6580086580086535E-2</v>
      </c>
      <c r="BX460" s="199">
        <f t="shared" si="893"/>
        <v>7.9681274900398336E-2</v>
      </c>
      <c r="BY460" s="620">
        <f t="shared" si="893"/>
        <v>7.3800738007380184E-2</v>
      </c>
      <c r="BZ460" s="265"/>
      <c r="CA460" s="202"/>
      <c r="CB460" s="203"/>
      <c r="CC460" s="203"/>
      <c r="CD460" s="203"/>
      <c r="CE460" s="203"/>
      <c r="CF460" s="203"/>
      <c r="CG460" s="203"/>
    </row>
    <row r="461" spans="1:85" s="36" customFormat="1" ht="11.25" customHeight="1">
      <c r="A461" s="86"/>
      <c r="B461" s="86"/>
      <c r="C461" s="86"/>
      <c r="D461" s="86"/>
      <c r="E461" s="86"/>
      <c r="F461" s="86"/>
      <c r="G461" s="86"/>
      <c r="H461" s="328"/>
      <c r="I461" s="798" t="s">
        <v>146</v>
      </c>
      <c r="J461" s="347"/>
      <c r="K461" s="67"/>
      <c r="L461" s="67"/>
      <c r="M461" s="198"/>
      <c r="N461" s="198"/>
      <c r="O461" s="198"/>
      <c r="P461" s="198"/>
      <c r="Q461" s="198"/>
      <c r="R461" s="198"/>
      <c r="S461" s="198"/>
      <c r="T461" s="198" t="str">
        <f t="shared" ref="T461:AJ461" si="894">IF(ISERROR(T459/S459-1),"NA",(IF(T459&lt;=0,"NM",T459/S459-1)))</f>
        <v>NA</v>
      </c>
      <c r="U461" s="751">
        <f t="shared" si="894"/>
        <v>0.32000000000000006</v>
      </c>
      <c r="V461" s="198">
        <f t="shared" si="894"/>
        <v>0.18181818181818188</v>
      </c>
      <c r="W461" s="198">
        <f t="shared" si="894"/>
        <v>0.10256410256410264</v>
      </c>
      <c r="X461" s="752">
        <f t="shared" si="894"/>
        <v>2.3255813953488413E-2</v>
      </c>
      <c r="Y461" s="751">
        <f t="shared" si="894"/>
        <v>4.5454545454545414E-2</v>
      </c>
      <c r="Z461" s="198">
        <f t="shared" si="894"/>
        <v>8.6956521739130377E-2</v>
      </c>
      <c r="AA461" s="198">
        <f t="shared" si="894"/>
        <v>2.0000000000000018E-2</v>
      </c>
      <c r="AB461" s="752">
        <f t="shared" si="894"/>
        <v>9.8039215686274606E-2</v>
      </c>
      <c r="AC461" s="198">
        <f t="shared" si="894"/>
        <v>5.3571428571428603E-2</v>
      </c>
      <c r="AD461" s="198">
        <f t="shared" si="894"/>
        <v>6.7796610169491567E-2</v>
      </c>
      <c r="AE461" s="198">
        <f t="shared" si="894"/>
        <v>4.7619047619047672E-2</v>
      </c>
      <c r="AF461" s="198">
        <f t="shared" si="894"/>
        <v>7.575757575757569E-2</v>
      </c>
      <c r="AG461" s="751">
        <f t="shared" si="894"/>
        <v>7.0422535211267512E-2</v>
      </c>
      <c r="AH461" s="198">
        <f t="shared" si="894"/>
        <v>6.578947368421062E-2</v>
      </c>
      <c r="AI461" s="198">
        <f t="shared" si="894"/>
        <v>6.1728395061728447E-2</v>
      </c>
      <c r="AJ461" s="752">
        <f t="shared" si="894"/>
        <v>5.8139534883721034E-2</v>
      </c>
      <c r="AK461" s="751">
        <f t="shared" ref="AK461:AR461" si="895">IF(ISERROR(AK459/AJ459-1),"NA",(IF(AK459&lt;=0,"NM",AK459/AJ459-1)))</f>
        <v>5.4945054945054972E-2</v>
      </c>
      <c r="AL461" s="198">
        <f t="shared" si="895"/>
        <v>5.2083333333333259E-2</v>
      </c>
      <c r="AM461" s="198">
        <f t="shared" si="895"/>
        <v>4.9504950495049549E-2</v>
      </c>
      <c r="AN461" s="752">
        <f t="shared" si="895"/>
        <v>4.7169811320754818E-2</v>
      </c>
      <c r="AO461" s="751">
        <f t="shared" si="895"/>
        <v>4.5045045045045029E-2</v>
      </c>
      <c r="AP461" s="198">
        <f t="shared" si="895"/>
        <v>4.31034482758621E-2</v>
      </c>
      <c r="AQ461" s="198">
        <f t="shared" si="895"/>
        <v>4.1322314049586861E-2</v>
      </c>
      <c r="AR461" s="752">
        <f t="shared" si="895"/>
        <v>3.9682539682539764E-2</v>
      </c>
      <c r="AS461" s="751">
        <f t="shared" ref="AS461:BD461" si="896">IF(ISERROR(AS459/AR459-1),"NA",(IF(AS459&lt;=0,"NM",AS459/AR459-1)))</f>
        <v>3.8167938931297662E-2</v>
      </c>
      <c r="AT461" s="198">
        <f t="shared" si="896"/>
        <v>3.6764705882353033E-2</v>
      </c>
      <c r="AU461" s="198">
        <f t="shared" si="896"/>
        <v>3.5460992907801359E-2</v>
      </c>
      <c r="AV461" s="752">
        <f t="shared" si="896"/>
        <v>3.4246575342465668E-2</v>
      </c>
      <c r="AW461" s="751">
        <f t="shared" si="896"/>
        <v>3.3112582781456901E-2</v>
      </c>
      <c r="AX461" s="198">
        <f t="shared" si="896"/>
        <v>3.2051282051282159E-2</v>
      </c>
      <c r="AY461" s="198">
        <f t="shared" si="896"/>
        <v>3.105590062111796E-2</v>
      </c>
      <c r="AZ461" s="752">
        <f t="shared" si="896"/>
        <v>3.0120481927710774E-2</v>
      </c>
      <c r="BA461" s="751">
        <f t="shared" si="896"/>
        <v>2.9239766081871288E-2</v>
      </c>
      <c r="BB461" s="198">
        <f t="shared" si="896"/>
        <v>2.8409090909090828E-2</v>
      </c>
      <c r="BC461" s="198">
        <f t="shared" si="896"/>
        <v>2.7624309392265234E-2</v>
      </c>
      <c r="BD461" s="752">
        <f t="shared" si="896"/>
        <v>2.6881720430107503E-2</v>
      </c>
      <c r="BE461" s="264"/>
      <c r="BF461" s="631"/>
      <c r="BG461" s="67"/>
      <c r="BH461" s="67"/>
      <c r="BI461" s="67"/>
      <c r="BJ461" s="67"/>
      <c r="BK461" s="67"/>
      <c r="BL461" s="67"/>
      <c r="BM461" s="67"/>
      <c r="BN461" s="631"/>
      <c r="BO461" s="67"/>
      <c r="BP461" s="351"/>
      <c r="BQ461" s="351"/>
      <c r="BR461" s="351"/>
      <c r="BS461" s="351"/>
      <c r="BT461" s="351"/>
      <c r="BU461" s="351"/>
      <c r="BV461" s="351"/>
      <c r="BW461" s="351"/>
      <c r="BX461" s="351"/>
      <c r="BY461" s="809"/>
      <c r="BZ461" s="280"/>
      <c r="CA461" s="202"/>
      <c r="CB461" s="203"/>
      <c r="CC461" s="203"/>
      <c r="CD461" s="203"/>
      <c r="CE461" s="203"/>
      <c r="CF461" s="203"/>
      <c r="CG461" s="203"/>
    </row>
    <row r="462" spans="1:85" s="36" customFormat="1" ht="11.25" customHeight="1">
      <c r="A462" s="86"/>
      <c r="B462" s="86"/>
      <c r="C462" s="86"/>
      <c r="D462" s="86"/>
      <c r="E462" s="86"/>
      <c r="F462" s="86"/>
      <c r="G462" s="86"/>
      <c r="H462" s="328"/>
      <c r="I462" s="798" t="s">
        <v>275</v>
      </c>
      <c r="J462" s="347"/>
      <c r="K462" s="67"/>
      <c r="L462" s="67"/>
      <c r="M462" s="198"/>
      <c r="N462" s="198"/>
      <c r="O462" s="198"/>
      <c r="P462" s="198">
        <f>P459/P$446</f>
        <v>0.22448979591836735</v>
      </c>
      <c r="Q462" s="198"/>
      <c r="R462" s="198"/>
      <c r="S462" s="198"/>
      <c r="T462" s="198">
        <f t="shared" ref="T462:AN462" si="897">T459/T$446</f>
        <v>0.352112676056338</v>
      </c>
      <c r="U462" s="751">
        <f t="shared" si="897"/>
        <v>0.40243902439024393</v>
      </c>
      <c r="V462" s="198">
        <f t="shared" si="897"/>
        <v>0.43333333333333335</v>
      </c>
      <c r="W462" s="198">
        <f t="shared" si="897"/>
        <v>0.44791666666666669</v>
      </c>
      <c r="X462" s="752">
        <f t="shared" si="897"/>
        <v>0.45360824742268041</v>
      </c>
      <c r="Y462" s="751">
        <f t="shared" si="897"/>
        <v>0.46</v>
      </c>
      <c r="Z462" s="198">
        <f t="shared" si="897"/>
        <v>0.47169811320754718</v>
      </c>
      <c r="AA462" s="198">
        <f t="shared" si="897"/>
        <v>0.45945945945945948</v>
      </c>
      <c r="AB462" s="752">
        <f t="shared" si="897"/>
        <v>0.47863247863247865</v>
      </c>
      <c r="AC462" s="198">
        <f t="shared" si="897"/>
        <v>0.49166666666666664</v>
      </c>
      <c r="AD462" s="198">
        <f t="shared" si="897"/>
        <v>0.50806451612903225</v>
      </c>
      <c r="AE462" s="198">
        <f t="shared" si="897"/>
        <v>0.51968503937007871</v>
      </c>
      <c r="AF462" s="198">
        <f t="shared" si="897"/>
        <v>0.53787878787878785</v>
      </c>
      <c r="AG462" s="751">
        <f t="shared" si="897"/>
        <v>0.55474452554744524</v>
      </c>
      <c r="AH462" s="198">
        <f t="shared" si="897"/>
        <v>0.57042253521126762</v>
      </c>
      <c r="AI462" s="198">
        <f t="shared" si="897"/>
        <v>0.58503401360544216</v>
      </c>
      <c r="AJ462" s="752">
        <f t="shared" si="897"/>
        <v>0.59868421052631582</v>
      </c>
      <c r="AK462" s="751">
        <f t="shared" si="897"/>
        <v>0.61146496815286622</v>
      </c>
      <c r="AL462" s="198">
        <f t="shared" si="897"/>
        <v>0.62345679012345678</v>
      </c>
      <c r="AM462" s="198">
        <f t="shared" si="897"/>
        <v>0.6347305389221557</v>
      </c>
      <c r="AN462" s="752">
        <f t="shared" si="897"/>
        <v>0.64534883720930236</v>
      </c>
      <c r="AO462" s="751">
        <f t="shared" ref="AO462:AV462" si="898">AO459/AO$446</f>
        <v>0.65536723163841804</v>
      </c>
      <c r="AP462" s="198">
        <f t="shared" si="898"/>
        <v>0.6648351648351648</v>
      </c>
      <c r="AQ462" s="198">
        <f t="shared" si="898"/>
        <v>0.6737967914438503</v>
      </c>
      <c r="AR462" s="752">
        <f t="shared" si="898"/>
        <v>0.68229166666666663</v>
      </c>
      <c r="AS462" s="751">
        <f t="shared" si="898"/>
        <v>0.69035532994923854</v>
      </c>
      <c r="AT462" s="198">
        <f t="shared" si="898"/>
        <v>0.69801980198019797</v>
      </c>
      <c r="AU462" s="198">
        <f t="shared" si="898"/>
        <v>0.70531400966183577</v>
      </c>
      <c r="AV462" s="752">
        <f t="shared" si="898"/>
        <v>0.71226415094339623</v>
      </c>
      <c r="AW462" s="751">
        <f t="shared" ref="AW462:BD462" si="899">AW459/AW$446</f>
        <v>0.71889400921658986</v>
      </c>
      <c r="AX462" s="198">
        <f t="shared" si="899"/>
        <v>0.72522522522522526</v>
      </c>
      <c r="AY462" s="198">
        <f t="shared" si="899"/>
        <v>0.7312775330396476</v>
      </c>
      <c r="AZ462" s="752">
        <f t="shared" si="899"/>
        <v>0.73706896551724133</v>
      </c>
      <c r="BA462" s="751">
        <f t="shared" si="899"/>
        <v>0.7426160337552743</v>
      </c>
      <c r="BB462" s="198">
        <f t="shared" si="899"/>
        <v>0.74793388429752061</v>
      </c>
      <c r="BC462" s="198">
        <f t="shared" si="899"/>
        <v>0.75303643724696356</v>
      </c>
      <c r="BD462" s="752">
        <f t="shared" si="899"/>
        <v>0.75793650793650791</v>
      </c>
      <c r="BE462" s="264"/>
      <c r="BF462" s="751">
        <f t="shared" ref="BF462:BT462" si="900">BF459/BF$446</f>
        <v>0</v>
      </c>
      <c r="BG462" s="198">
        <f t="shared" si="900"/>
        <v>0</v>
      </c>
      <c r="BH462" s="198">
        <f t="shared" si="900"/>
        <v>0</v>
      </c>
      <c r="BI462" s="198">
        <f t="shared" si="900"/>
        <v>0.1111111111111111</v>
      </c>
      <c r="BJ462" s="198">
        <f t="shared" si="900"/>
        <v>0.22448979591836735</v>
      </c>
      <c r="BK462" s="198">
        <f t="shared" si="900"/>
        <v>0.352112676056338</v>
      </c>
      <c r="BL462" s="198">
        <f t="shared" si="900"/>
        <v>0.45360824742268041</v>
      </c>
      <c r="BM462" s="198">
        <f t="shared" si="900"/>
        <v>0.47863247863247865</v>
      </c>
      <c r="BN462" s="751">
        <f t="shared" si="900"/>
        <v>0.53787878787878785</v>
      </c>
      <c r="BO462" s="198">
        <f t="shared" si="900"/>
        <v>0.59868421052631582</v>
      </c>
      <c r="BP462" s="198">
        <f t="shared" si="900"/>
        <v>0.64534883720930236</v>
      </c>
      <c r="BQ462" s="198">
        <f t="shared" si="900"/>
        <v>0.68229166666666663</v>
      </c>
      <c r="BR462" s="198">
        <f>BR459/BR$446</f>
        <v>0.71226415094339623</v>
      </c>
      <c r="BS462" s="198">
        <f t="shared" si="900"/>
        <v>0.73706896551724133</v>
      </c>
      <c r="BT462" s="198">
        <f t="shared" si="900"/>
        <v>0.75793650793650791</v>
      </c>
      <c r="BU462" s="198">
        <f>BU459/BU$446</f>
        <v>0.77573529411764708</v>
      </c>
      <c r="BV462" s="198">
        <f>BV459/BV$446</f>
        <v>0.79109589041095896</v>
      </c>
      <c r="BW462" s="198">
        <f>BW459/BW$446</f>
        <v>0.80448717948717952</v>
      </c>
      <c r="BX462" s="198">
        <f>BX459/BX$446</f>
        <v>0.8162650602409639</v>
      </c>
      <c r="BY462" s="752">
        <f>BY459/BY$446</f>
        <v>0.82670454545454541</v>
      </c>
      <c r="BZ462" s="264"/>
      <c r="CA462" s="202"/>
      <c r="CB462" s="203"/>
      <c r="CC462" s="203"/>
      <c r="CD462" s="203"/>
      <c r="CE462" s="203"/>
      <c r="CF462" s="203"/>
      <c r="CG462" s="203"/>
    </row>
    <row r="463" spans="1:85" ht="12.75" customHeight="1">
      <c r="I463" s="814"/>
      <c r="J463" s="106"/>
      <c r="K463" s="106"/>
      <c r="L463" s="106"/>
      <c r="M463" s="106"/>
      <c r="N463" s="106"/>
      <c r="O463" s="106"/>
      <c r="P463" s="106"/>
      <c r="Q463" s="106"/>
      <c r="R463" s="106"/>
      <c r="S463" s="106"/>
      <c r="T463" s="106"/>
      <c r="U463" s="106"/>
      <c r="V463" s="106"/>
      <c r="W463" s="106"/>
      <c r="X463" s="106"/>
      <c r="Y463" s="106"/>
      <c r="Z463" s="106"/>
      <c r="AA463" s="106"/>
      <c r="AB463" s="106"/>
      <c r="AC463" s="106"/>
      <c r="AD463" s="106"/>
      <c r="AE463" s="106"/>
      <c r="AF463" s="106"/>
      <c r="AG463" s="814"/>
      <c r="AH463" s="106"/>
      <c r="AI463" s="106"/>
      <c r="AJ463" s="830"/>
      <c r="AK463" s="814"/>
      <c r="AM463" s="106"/>
      <c r="AN463" s="830"/>
      <c r="AO463" s="814"/>
      <c r="AP463" s="106"/>
      <c r="AQ463" s="106"/>
      <c r="AR463" s="830"/>
      <c r="AS463" s="814"/>
      <c r="AT463" s="106"/>
      <c r="AU463" s="106"/>
      <c r="AV463" s="830"/>
      <c r="AW463" s="814"/>
      <c r="AX463" s="106"/>
      <c r="AY463" s="106"/>
      <c r="AZ463" s="830"/>
      <c r="BA463" s="814"/>
      <c r="BB463" s="106"/>
      <c r="BC463" s="106"/>
      <c r="BD463" s="830"/>
      <c r="BF463" s="814"/>
      <c r="BG463" s="106"/>
      <c r="BH463" s="106"/>
      <c r="BI463" s="106"/>
      <c r="BJ463" s="106"/>
      <c r="BK463" s="106"/>
      <c r="BL463" s="106"/>
      <c r="BN463" s="814"/>
      <c r="BP463" s="106"/>
      <c r="BQ463" s="106"/>
      <c r="BR463" s="106"/>
      <c r="BS463" s="106"/>
      <c r="BT463" s="106"/>
      <c r="BV463" s="106"/>
      <c r="BW463" s="106"/>
      <c r="BX463" s="106"/>
      <c r="BY463" s="830"/>
    </row>
    <row r="464" spans="1:85" ht="11.25" customHeight="1">
      <c r="A464" s="86"/>
      <c r="B464" s="86"/>
      <c r="C464" s="86"/>
      <c r="D464" s="86"/>
      <c r="E464" s="86"/>
      <c r="F464" s="86"/>
      <c r="G464" s="86"/>
      <c r="H464" s="328"/>
      <c r="I464" s="799"/>
      <c r="J464" s="777"/>
      <c r="K464" s="109"/>
      <c r="L464" s="109"/>
      <c r="M464" s="109"/>
      <c r="N464" s="109"/>
      <c r="O464" s="109"/>
      <c r="P464" s="109"/>
      <c r="Q464" s="109"/>
      <c r="R464" s="109"/>
      <c r="S464" s="109"/>
      <c r="T464" s="109"/>
      <c r="U464" s="778"/>
      <c r="V464" s="778"/>
      <c r="W464" s="778"/>
      <c r="X464" s="778"/>
      <c r="Y464" s="778"/>
      <c r="Z464" s="778"/>
      <c r="AA464" s="778"/>
      <c r="AB464" s="778"/>
      <c r="AC464" s="778"/>
      <c r="AD464" s="778"/>
      <c r="AE464" s="778"/>
      <c r="AF464" s="778"/>
      <c r="AG464" s="804"/>
      <c r="AH464" s="778"/>
      <c r="AI464" s="778"/>
      <c r="AJ464" s="800"/>
      <c r="AK464" s="804"/>
      <c r="AL464" s="778"/>
      <c r="AM464" s="778"/>
      <c r="AN464" s="800"/>
      <c r="AO464" s="804"/>
      <c r="AP464" s="778"/>
      <c r="AQ464" s="778"/>
      <c r="AR464" s="800"/>
      <c r="AS464" s="804"/>
      <c r="AT464" s="778"/>
      <c r="AU464" s="778"/>
      <c r="AV464" s="800"/>
      <c r="AW464" s="804"/>
      <c r="AX464" s="778"/>
      <c r="AY464" s="778"/>
      <c r="AZ464" s="800"/>
      <c r="BA464" s="804"/>
      <c r="BB464" s="778"/>
      <c r="BC464" s="778"/>
      <c r="BD464" s="800"/>
      <c r="BE464" s="1200"/>
      <c r="BF464" s="812"/>
      <c r="BG464" s="109"/>
      <c r="BH464" s="109"/>
      <c r="BI464" s="109"/>
      <c r="BJ464" s="109"/>
      <c r="BK464" s="109"/>
      <c r="BL464" s="109"/>
      <c r="BM464" s="109"/>
      <c r="BN464" s="812"/>
      <c r="BO464" s="778"/>
      <c r="BP464" s="778"/>
      <c r="BQ464" s="778"/>
      <c r="BR464" s="778"/>
      <c r="BS464" s="778"/>
      <c r="BT464" s="778"/>
      <c r="BU464" s="778"/>
      <c r="BV464" s="778"/>
      <c r="BW464" s="778"/>
      <c r="BX464" s="778"/>
      <c r="BY464" s="800"/>
      <c r="BZ464" s="266"/>
      <c r="CA464" s="80"/>
      <c r="CB464" s="88"/>
      <c r="CC464" s="88"/>
      <c r="CD464" s="88"/>
      <c r="CE464" s="88"/>
      <c r="CF464" s="88"/>
      <c r="CG464" s="88"/>
    </row>
    <row r="469" spans="1:85" s="2025" customFormat="1" ht="11.25" customHeight="1">
      <c r="I469" s="2149" t="s">
        <v>601</v>
      </c>
      <c r="AL469" s="2072"/>
      <c r="BM469" s="2072"/>
      <c r="BO469" s="2072"/>
      <c r="BU469" s="2072"/>
      <c r="BZ469" s="2072"/>
    </row>
    <row r="470" spans="1:85" s="1524" customFormat="1" ht="11.25" hidden="1" customHeight="1" outlineLevel="2">
      <c r="I470" s="1808" t="s">
        <v>345</v>
      </c>
      <c r="J470" s="1809"/>
      <c r="K470" s="1809"/>
      <c r="L470" s="1809"/>
      <c r="M470" s="1810"/>
      <c r="N470" s="1810"/>
      <c r="O470" s="1810"/>
      <c r="P470" s="1810"/>
      <c r="Q470" s="1810"/>
      <c r="R470" s="1810"/>
      <c r="S470" s="1810"/>
      <c r="T470" s="1810"/>
      <c r="U470" s="1811"/>
      <c r="V470" s="1810"/>
      <c r="W470" s="1810"/>
      <c r="X470" s="1812"/>
      <c r="Y470" s="1810"/>
      <c r="Z470" s="1810"/>
      <c r="AA470" s="1810"/>
      <c r="AB470" s="1810"/>
      <c r="AC470" s="1813"/>
      <c r="AD470" s="1810"/>
      <c r="AE470" s="1810"/>
      <c r="AF470" s="1810"/>
      <c r="AG470" s="1813"/>
      <c r="AH470" s="1810"/>
      <c r="AI470" s="1810"/>
      <c r="AJ470" s="1812"/>
      <c r="AK470" s="1813"/>
      <c r="AL470" s="1810"/>
      <c r="AM470" s="1810"/>
      <c r="AN470" s="1812"/>
      <c r="AO470" s="1813"/>
      <c r="AP470" s="1810"/>
      <c r="AQ470" s="1810"/>
      <c r="AR470" s="1812"/>
      <c r="AS470" s="1813"/>
      <c r="AT470" s="1810"/>
      <c r="AU470" s="1810"/>
      <c r="AV470" s="1812"/>
      <c r="AW470" s="1813"/>
      <c r="AX470" s="1810"/>
      <c r="AY470" s="1810"/>
      <c r="AZ470" s="1812"/>
      <c r="BA470" s="1813"/>
      <c r="BB470" s="1810"/>
      <c r="BC470" s="1810"/>
      <c r="BD470" s="1812"/>
      <c r="BE470" s="1814"/>
      <c r="BF470" s="1815"/>
      <c r="BG470" s="1816"/>
      <c r="BH470" s="1816"/>
      <c r="BI470" s="1816"/>
      <c r="BJ470" s="1816"/>
      <c r="BK470" s="1816"/>
      <c r="BL470" s="1816"/>
      <c r="BM470" s="1816"/>
      <c r="BN470" s="1815"/>
      <c r="BO470" s="1816"/>
      <c r="BP470" s="1816"/>
      <c r="BQ470" s="1816"/>
      <c r="BR470" s="1816"/>
      <c r="BS470" s="1816"/>
      <c r="BT470" s="1816"/>
      <c r="BU470" s="1816"/>
      <c r="BV470" s="1816"/>
      <c r="BW470" s="1816"/>
      <c r="BX470" s="1816"/>
      <c r="BY470" s="1817"/>
      <c r="BZ470" s="1818"/>
    </row>
    <row r="471" spans="1:85" s="1524" customFormat="1" ht="11.25" hidden="1" customHeight="1" outlineLevel="2">
      <c r="I471" s="1819"/>
      <c r="J471" s="1820"/>
      <c r="K471" s="1820"/>
      <c r="L471" s="1820"/>
      <c r="M471" s="1818"/>
      <c r="N471" s="1818"/>
      <c r="O471" s="1818"/>
      <c r="P471" s="1818"/>
      <c r="Q471" s="1818"/>
      <c r="R471" s="1818"/>
      <c r="S471" s="1818"/>
      <c r="T471" s="1818"/>
      <c r="U471" s="1821"/>
      <c r="V471" s="1818"/>
      <c r="W471" s="1818"/>
      <c r="X471" s="1822"/>
      <c r="Y471" s="1818"/>
      <c r="Z471" s="1818"/>
      <c r="AA471" s="1818"/>
      <c r="AB471" s="1818"/>
      <c r="AC471" s="1821"/>
      <c r="AD471" s="1818"/>
      <c r="AE471" s="1818"/>
      <c r="AF471" s="1818"/>
      <c r="AG471" s="1821"/>
      <c r="AH471" s="1818"/>
      <c r="AI471" s="1818"/>
      <c r="AJ471" s="1822"/>
      <c r="AK471" s="1821"/>
      <c r="AL471" s="1818"/>
      <c r="AM471" s="1818"/>
      <c r="AN471" s="1822"/>
      <c r="AO471" s="1821"/>
      <c r="AP471" s="1818"/>
      <c r="AQ471" s="1818"/>
      <c r="AR471" s="1822"/>
      <c r="AS471" s="1821"/>
      <c r="AT471" s="1818"/>
      <c r="AU471" s="1818"/>
      <c r="AV471" s="1822"/>
      <c r="AW471" s="1821"/>
      <c r="AX471" s="1818"/>
      <c r="AY471" s="1818"/>
      <c r="AZ471" s="1822"/>
      <c r="BA471" s="1821"/>
      <c r="BB471" s="1818"/>
      <c r="BC471" s="1818"/>
      <c r="BD471" s="1822"/>
      <c r="BE471" s="1818"/>
      <c r="BF471" s="1821"/>
      <c r="BG471" s="1818"/>
      <c r="BH471" s="1818"/>
      <c r="BI471" s="1818"/>
      <c r="BJ471" s="1818"/>
      <c r="BK471" s="1818"/>
      <c r="BL471" s="1818"/>
      <c r="BM471" s="1818"/>
      <c r="BN471" s="1821"/>
      <c r="BO471" s="1818"/>
      <c r="BP471" s="1818"/>
      <c r="BQ471" s="1818"/>
      <c r="BR471" s="1818"/>
      <c r="BS471" s="1818"/>
      <c r="BT471" s="1818"/>
      <c r="BU471" s="1818"/>
      <c r="BV471" s="1818"/>
      <c r="BW471" s="1818"/>
      <c r="BX471" s="1818"/>
      <c r="BY471" s="1822"/>
      <c r="BZ471" s="1818"/>
    </row>
    <row r="472" spans="1:85" s="1832" customFormat="1" ht="11.25" hidden="1" customHeight="1" outlineLevel="2">
      <c r="A472" s="1823"/>
      <c r="B472" s="1823"/>
      <c r="C472" s="1823"/>
      <c r="D472" s="1823"/>
      <c r="E472" s="1823"/>
      <c r="F472" s="1823"/>
      <c r="G472" s="1823"/>
      <c r="H472" s="1823"/>
      <c r="I472" s="1824" t="s">
        <v>253</v>
      </c>
      <c r="J472" s="1825"/>
      <c r="K472" s="1535"/>
      <c r="L472" s="1535"/>
      <c r="M472" s="1535">
        <f>Model!M20</f>
        <v>1.9350000000000001</v>
      </c>
      <c r="N472" s="1535">
        <f>Model!N20</f>
        <v>2.4620000000000002</v>
      </c>
      <c r="O472" s="1535">
        <f>Model!O20</f>
        <v>3.1949999999999998</v>
      </c>
      <c r="P472" s="1535">
        <f>Model!P20</f>
        <v>4.4539999999999997</v>
      </c>
      <c r="Q472" s="1535">
        <f>Model!Q20</f>
        <v>3.5830000000000002</v>
      </c>
      <c r="R472" s="1535">
        <f>Model!R20</f>
        <v>4.4710000000000001</v>
      </c>
      <c r="S472" s="1535">
        <f>Model!S20</f>
        <v>4.5990000000000002</v>
      </c>
      <c r="T472" s="1535">
        <f>Model!T20</f>
        <v>5.0330000000000004</v>
      </c>
      <c r="U472" s="1798">
        <f>Model!U20</f>
        <v>3.9940000000000002</v>
      </c>
      <c r="V472" s="1535">
        <f>Model!V20</f>
        <v>5.7030000000000003</v>
      </c>
      <c r="W472" s="1535">
        <f>Model!W20</f>
        <v>5.8860000000000001</v>
      </c>
      <c r="X472" s="1826">
        <f>Model!X20</f>
        <v>4.9969999999999963</v>
      </c>
      <c r="Y472" s="1535">
        <f>Model!Y20</f>
        <v>4.767000000000003</v>
      </c>
      <c r="Z472" s="1535">
        <f>Model!Z20</f>
        <v>7.0530000000000062</v>
      </c>
      <c r="AA472" s="1535">
        <f>Model!AA20</f>
        <v>6.9099999999999957</v>
      </c>
      <c r="AB472" s="1535">
        <f>Model!AB20</f>
        <v>9.2439999999999962</v>
      </c>
      <c r="AC472" s="1798">
        <f>Model!AC20</f>
        <v>7.4569999999999936</v>
      </c>
      <c r="AD472" s="1535">
        <f>Model!AD20</f>
        <v>9.0550000000000033</v>
      </c>
      <c r="AE472" s="1535">
        <f>Model!AE20</f>
        <v>9.3179999999999925</v>
      </c>
      <c r="AF472" s="1535">
        <f>Model!AF20</f>
        <v>8.6870000000000065</v>
      </c>
      <c r="AG472" s="1798">
        <v>6.6</v>
      </c>
      <c r="AH472" s="1536">
        <v>11.3</v>
      </c>
      <c r="AI472" s="1536">
        <v>9</v>
      </c>
      <c r="AJ472" s="1537">
        <f>Model!AJ20</f>
        <v>7.1050000000000004</v>
      </c>
      <c r="AK472" s="1827">
        <v>0</v>
      </c>
      <c r="AL472" s="1828">
        <v>0</v>
      </c>
      <c r="AM472" s="1828">
        <v>0</v>
      </c>
      <c r="AN472" s="1829">
        <v>0</v>
      </c>
      <c r="AO472" s="1827">
        <v>0</v>
      </c>
      <c r="AP472" s="1828">
        <v>0</v>
      </c>
      <c r="AQ472" s="1828">
        <v>0</v>
      </c>
      <c r="AR472" s="1829">
        <v>0</v>
      </c>
      <c r="AS472" s="1827">
        <v>0</v>
      </c>
      <c r="AT472" s="1828">
        <v>0</v>
      </c>
      <c r="AU472" s="1828">
        <v>0</v>
      </c>
      <c r="AV472" s="1829">
        <v>0</v>
      </c>
      <c r="AW472" s="1827">
        <v>0</v>
      </c>
      <c r="AX472" s="1828">
        <v>0</v>
      </c>
      <c r="AY472" s="1828">
        <v>0</v>
      </c>
      <c r="AZ472" s="1829">
        <v>0</v>
      </c>
      <c r="BA472" s="1827">
        <v>0</v>
      </c>
      <c r="BB472" s="1828">
        <v>0</v>
      </c>
      <c r="BC472" s="1828">
        <v>0</v>
      </c>
      <c r="BD472" s="1829">
        <v>0</v>
      </c>
      <c r="BE472" s="1536"/>
      <c r="BF472" s="1798"/>
      <c r="BG472" s="1535"/>
      <c r="BH472" s="1535">
        <f>Model!BI20</f>
        <v>2.9550000000000001</v>
      </c>
      <c r="BI472" s="1535">
        <f>Model!BJ20</f>
        <v>5.3929999999999998</v>
      </c>
      <c r="BJ472" s="1535">
        <f>SUM(M472:P472)</f>
        <v>12.045999999999999</v>
      </c>
      <c r="BK472" s="1535">
        <f>SUM(Q472:T472)</f>
        <v>17.686</v>
      </c>
      <c r="BL472" s="1535">
        <f>SUM(U472:X472)</f>
        <v>20.58</v>
      </c>
      <c r="BM472" s="1535">
        <f>SUM(Y472:AB472)</f>
        <v>27.974</v>
      </c>
      <c r="BN472" s="1798">
        <f>SUM(AC472:AF472)</f>
        <v>34.516999999999996</v>
      </c>
      <c r="BO472" s="1535">
        <f>SUM(AG472:AJ472)</f>
        <v>34.004999999999995</v>
      </c>
      <c r="BP472" s="1536">
        <f>SUM(AK472:AN472)</f>
        <v>0</v>
      </c>
      <c r="BQ472" s="1536">
        <f>SUM(AO472:AR472)</f>
        <v>0</v>
      </c>
      <c r="BR472" s="1536">
        <f t="shared" ref="BR472:BY472" si="901">+BQ472+BR477</f>
        <v>0</v>
      </c>
      <c r="BS472" s="1536">
        <f t="shared" si="901"/>
        <v>0</v>
      </c>
      <c r="BT472" s="1536">
        <f t="shared" si="901"/>
        <v>0</v>
      </c>
      <c r="BU472" s="1536">
        <f t="shared" si="901"/>
        <v>0</v>
      </c>
      <c r="BV472" s="1536">
        <f t="shared" si="901"/>
        <v>0</v>
      </c>
      <c r="BW472" s="1536">
        <f t="shared" si="901"/>
        <v>0</v>
      </c>
      <c r="BX472" s="1536">
        <f t="shared" si="901"/>
        <v>0</v>
      </c>
      <c r="BY472" s="1537">
        <f t="shared" si="901"/>
        <v>0</v>
      </c>
      <c r="BZ472" s="1830"/>
      <c r="CA472" s="1831">
        <f>IF(ISERROR(RATE(5,,-BI472,BN472)),"NM",(RATE(5,,-BI472,BN472)))</f>
        <v>0.44957444621495768</v>
      </c>
      <c r="CB472" s="1831">
        <f t="shared" ref="CB472:CG472" si="902">IF(ISERROR(RATE(3,,-BK472,BN472)),"NM",(RATE(3,,-BK472,BN472)))</f>
        <v>0.24968667935829691</v>
      </c>
      <c r="CC472" s="1831">
        <f t="shared" si="902"/>
        <v>0.18222227049229983</v>
      </c>
      <c r="CD472" s="1831">
        <f t="shared" si="902"/>
        <v>-0.99999974478297993</v>
      </c>
      <c r="CE472" s="1831">
        <f t="shared" si="902"/>
        <v>-0.99999974478297993</v>
      </c>
      <c r="CF472" s="1831">
        <f t="shared" si="902"/>
        <v>-0.99999974478297993</v>
      </c>
      <c r="CG472" s="1831" t="str">
        <f t="shared" si="902"/>
        <v>NM</v>
      </c>
    </row>
    <row r="473" spans="1:85" s="1552" customFormat="1" ht="11.25" hidden="1" customHeight="1" outlineLevel="2">
      <c r="A473" s="1540"/>
      <c r="B473" s="1540"/>
      <c r="C473" s="1540"/>
      <c r="D473" s="1540"/>
      <c r="E473" s="1540"/>
      <c r="F473" s="1540"/>
      <c r="G473" s="1540"/>
      <c r="H473" s="1540"/>
      <c r="I473" s="1563" t="s">
        <v>132</v>
      </c>
      <c r="J473" s="1833"/>
      <c r="K473" s="1574"/>
      <c r="L473" s="1574"/>
      <c r="M473" s="1564" t="str">
        <f>IF(ISERROR(M472/I472-1),"NA",(IF(M472&lt;=0,"NM",M472/I472-1)))</f>
        <v>NA</v>
      </c>
      <c r="N473" s="1564" t="str">
        <f>IF(ISERROR(N472/J472-1),"NA",(IF(N472&lt;=0,"NM",N472/J472-1)))</f>
        <v>NA</v>
      </c>
      <c r="O473" s="1564" t="str">
        <f>IF(ISERROR(O472/K472-1),"NA",(IF(O472&lt;=0,"NM",O472/K472-1)))</f>
        <v>NA</v>
      </c>
      <c r="P473" s="1564" t="str">
        <f>IF(ISERROR(P472/L472-1),"NA",(IF(P472&lt;=0,"NM",P472/L472-1)))</f>
        <v>NA</v>
      </c>
      <c r="Q473" s="1564">
        <f>IF(ISERROR(Q472/M472-1),"NA",(IF(Q472&lt;=0,"NM",Q472/M472-1)))</f>
        <v>0.85167958656330756</v>
      </c>
      <c r="R473" s="1564">
        <f t="shared" ref="R473:AJ473" si="903">IF(ISERROR(R472/N472-1),"NA",(IF(R472&lt;=0,"NM",R472/N472-1)))</f>
        <v>0.8160032493907392</v>
      </c>
      <c r="S473" s="1564">
        <f t="shared" si="903"/>
        <v>0.43943661971830994</v>
      </c>
      <c r="T473" s="1564">
        <f t="shared" si="903"/>
        <v>0.12999550965424356</v>
      </c>
      <c r="U473" s="1652">
        <f t="shared" si="903"/>
        <v>0.11470834496232207</v>
      </c>
      <c r="V473" s="1564">
        <f t="shared" si="903"/>
        <v>0.27555356743457837</v>
      </c>
      <c r="W473" s="1564">
        <f t="shared" si="903"/>
        <v>0.27984344422700591</v>
      </c>
      <c r="X473" s="1566">
        <f t="shared" si="903"/>
        <v>-7.1527915756017801E-3</v>
      </c>
      <c r="Y473" s="1564">
        <f t="shared" si="903"/>
        <v>0.19354031046569919</v>
      </c>
      <c r="Z473" s="1564">
        <f t="shared" si="903"/>
        <v>0.23671751709626609</v>
      </c>
      <c r="AA473" s="1564">
        <f t="shared" si="903"/>
        <v>0.17397213727488881</v>
      </c>
      <c r="AB473" s="1564">
        <f t="shared" si="903"/>
        <v>0.84990994596758118</v>
      </c>
      <c r="AC473" s="1652">
        <f t="shared" si="903"/>
        <v>0.56429620306272055</v>
      </c>
      <c r="AD473" s="1564">
        <f t="shared" si="903"/>
        <v>0.28385084361264634</v>
      </c>
      <c r="AE473" s="1564">
        <f t="shared" si="903"/>
        <v>0.34848046309696068</v>
      </c>
      <c r="AF473" s="1564">
        <f t="shared" si="903"/>
        <v>-6.025530073561125E-2</v>
      </c>
      <c r="AG473" s="1652">
        <f t="shared" si="903"/>
        <v>-0.11492557328684383</v>
      </c>
      <c r="AH473" s="1564">
        <f t="shared" si="903"/>
        <v>0.24792932081722774</v>
      </c>
      <c r="AI473" s="1564">
        <f t="shared" si="903"/>
        <v>-3.4127495170636735E-2</v>
      </c>
      <c r="AJ473" s="1566">
        <f t="shared" si="903"/>
        <v>-0.18211120064464204</v>
      </c>
      <c r="AK473" s="1652" t="str">
        <f t="shared" ref="AK473:AR473" si="904">IF(ISERROR(AK472/AG472-1),"NA",(IF(AK472&lt;=0,"NM",AK472/AG472-1)))</f>
        <v>NM</v>
      </c>
      <c r="AL473" s="1564" t="str">
        <f t="shared" si="904"/>
        <v>NM</v>
      </c>
      <c r="AM473" s="1564" t="str">
        <f t="shared" si="904"/>
        <v>NM</v>
      </c>
      <c r="AN473" s="1566" t="str">
        <f t="shared" si="904"/>
        <v>NM</v>
      </c>
      <c r="AO473" s="1652" t="str">
        <f t="shared" si="904"/>
        <v>NA</v>
      </c>
      <c r="AP473" s="1564" t="str">
        <f t="shared" si="904"/>
        <v>NA</v>
      </c>
      <c r="AQ473" s="1564" t="str">
        <f t="shared" si="904"/>
        <v>NA</v>
      </c>
      <c r="AR473" s="1566" t="str">
        <f t="shared" si="904"/>
        <v>NA</v>
      </c>
      <c r="AS473" s="1652" t="str">
        <f t="shared" ref="AS473:BD473" si="905">IF(ISERROR(AS472/AO472-1),"NA",(IF(AS472&lt;=0,"NM",AS472/AO472-1)))</f>
        <v>NA</v>
      </c>
      <c r="AT473" s="1564" t="str">
        <f t="shared" si="905"/>
        <v>NA</v>
      </c>
      <c r="AU473" s="1564" t="str">
        <f t="shared" si="905"/>
        <v>NA</v>
      </c>
      <c r="AV473" s="1566" t="str">
        <f t="shared" si="905"/>
        <v>NA</v>
      </c>
      <c r="AW473" s="1652" t="str">
        <f t="shared" si="905"/>
        <v>NA</v>
      </c>
      <c r="AX473" s="1564" t="str">
        <f t="shared" si="905"/>
        <v>NA</v>
      </c>
      <c r="AY473" s="1564" t="str">
        <f t="shared" si="905"/>
        <v>NA</v>
      </c>
      <c r="AZ473" s="1566" t="str">
        <f t="shared" si="905"/>
        <v>NA</v>
      </c>
      <c r="BA473" s="1652" t="str">
        <f t="shared" si="905"/>
        <v>NA</v>
      </c>
      <c r="BB473" s="1564" t="str">
        <f t="shared" si="905"/>
        <v>NA</v>
      </c>
      <c r="BC473" s="1564" t="str">
        <f t="shared" si="905"/>
        <v>NA</v>
      </c>
      <c r="BD473" s="1566" t="str">
        <f t="shared" si="905"/>
        <v>NA</v>
      </c>
      <c r="BE473" s="1564"/>
      <c r="BF473" s="1653"/>
      <c r="BG473" s="1544"/>
      <c r="BH473" s="1544" t="str">
        <f t="shared" ref="BH473:BT473" si="906">IF(ISERROR(BH472/BG472-1),"NA",(IF(BH472&lt;=0,"NM",BH472/BG472-1)))</f>
        <v>NA</v>
      </c>
      <c r="BI473" s="1544">
        <f t="shared" si="906"/>
        <v>0.825042301184433</v>
      </c>
      <c r="BJ473" s="1544">
        <f t="shared" si="906"/>
        <v>1.2336361950676804</v>
      </c>
      <c r="BK473" s="1544">
        <f t="shared" si="906"/>
        <v>0.46820521334882947</v>
      </c>
      <c r="BL473" s="1544">
        <f t="shared" si="906"/>
        <v>0.16363225149836014</v>
      </c>
      <c r="BM473" s="1544">
        <f t="shared" si="906"/>
        <v>0.35928085519922259</v>
      </c>
      <c r="BN473" s="1653">
        <f t="shared" si="906"/>
        <v>0.23389576034889514</v>
      </c>
      <c r="BO473" s="1544">
        <f t="shared" si="906"/>
        <v>-1.4833270562331635E-2</v>
      </c>
      <c r="BP473" s="1544" t="str">
        <f t="shared" si="906"/>
        <v>NM</v>
      </c>
      <c r="BQ473" s="1544" t="str">
        <f t="shared" si="906"/>
        <v>NA</v>
      </c>
      <c r="BR473" s="1544" t="str">
        <f t="shared" si="906"/>
        <v>NA</v>
      </c>
      <c r="BS473" s="1544" t="str">
        <f t="shared" si="906"/>
        <v>NA</v>
      </c>
      <c r="BT473" s="1544" t="str">
        <f t="shared" si="906"/>
        <v>NA</v>
      </c>
      <c r="BU473" s="1544" t="str">
        <f>IF(ISERROR(BU472/BT472-1),"NA",(IF(BU472&lt;=0,"NM",BU472/BT472-1)))</f>
        <v>NA</v>
      </c>
      <c r="BV473" s="1544" t="str">
        <f>IF(ISERROR(BV472/BU472-1),"NA",(IF(BV472&lt;=0,"NM",BV472/BU472-1)))</f>
        <v>NA</v>
      </c>
      <c r="BW473" s="1544" t="str">
        <f>IF(ISERROR(BW472/BV472-1),"NA",(IF(BW472&lt;=0,"NM",BW472/BV472-1)))</f>
        <v>NA</v>
      </c>
      <c r="BX473" s="1544" t="str">
        <f>IF(ISERROR(BX472/BW472-1),"NA",(IF(BX472&lt;=0,"NM",BX472/BW472-1)))</f>
        <v>NA</v>
      </c>
      <c r="BY473" s="1570" t="str">
        <f>IF(ISERROR(BY472/BX472-1),"NA",(IF(BY472&lt;=0,"NM",BY472/BX472-1)))</f>
        <v>NA</v>
      </c>
      <c r="BZ473" s="1544"/>
      <c r="CA473" s="1555"/>
      <c r="CB473" s="1556"/>
      <c r="CC473" s="1556"/>
      <c r="CD473" s="1556"/>
      <c r="CE473" s="1556"/>
      <c r="CF473" s="1556"/>
      <c r="CG473" s="1556"/>
    </row>
    <row r="474" spans="1:85" s="1552" customFormat="1" ht="11.25" hidden="1" customHeight="1" outlineLevel="3">
      <c r="I474" s="1563" t="s">
        <v>391</v>
      </c>
      <c r="J474" s="1524"/>
      <c r="K474" s="1524"/>
      <c r="L474" s="1524"/>
      <c r="M474" s="1524"/>
      <c r="N474" s="1524"/>
      <c r="O474" s="1524"/>
      <c r="P474" s="1524"/>
      <c r="Q474" s="1524"/>
      <c r="R474" s="1524"/>
      <c r="S474" s="1524"/>
      <c r="T474" s="1524"/>
      <c r="U474" s="1651"/>
      <c r="V474" s="1524"/>
      <c r="W474" s="1524"/>
      <c r="X474" s="1554"/>
      <c r="Y474" s="1524"/>
      <c r="Z474" s="1524"/>
      <c r="AA474" s="1524"/>
      <c r="AB474" s="1524"/>
      <c r="AC474" s="1834">
        <f t="shared" ref="AC474:AJ474" si="907">+AC473+Y473</f>
        <v>0.75783651352841974</v>
      </c>
      <c r="AD474" s="1835">
        <f t="shared" si="907"/>
        <v>0.52056836070891244</v>
      </c>
      <c r="AE474" s="1835">
        <f t="shared" si="907"/>
        <v>0.52245260037184948</v>
      </c>
      <c r="AF474" s="1836">
        <f t="shared" si="907"/>
        <v>0.78965464523196993</v>
      </c>
      <c r="AG474" s="1835">
        <f t="shared" si="907"/>
        <v>0.44937062977587672</v>
      </c>
      <c r="AH474" s="1835">
        <f t="shared" si="907"/>
        <v>0.53178016442987408</v>
      </c>
      <c r="AI474" s="1835">
        <f t="shared" si="907"/>
        <v>0.31435296792632395</v>
      </c>
      <c r="AJ474" s="1835">
        <f t="shared" si="907"/>
        <v>-0.24236650138025329</v>
      </c>
      <c r="AK474" s="1837" t="str">
        <f t="shared" ref="AK474:AR474" si="908">+IFERROR(AK473+AG473,AK473)</f>
        <v>NM</v>
      </c>
      <c r="AL474" s="1838" t="str">
        <f t="shared" si="908"/>
        <v>NM</v>
      </c>
      <c r="AM474" s="1838" t="str">
        <f t="shared" si="908"/>
        <v>NM</v>
      </c>
      <c r="AN474" s="1839" t="str">
        <f t="shared" si="908"/>
        <v>NM</v>
      </c>
      <c r="AO474" s="1837" t="str">
        <f t="shared" si="908"/>
        <v>NA</v>
      </c>
      <c r="AP474" s="1838" t="str">
        <f t="shared" si="908"/>
        <v>NA</v>
      </c>
      <c r="AQ474" s="1838" t="str">
        <f t="shared" si="908"/>
        <v>NA</v>
      </c>
      <c r="AR474" s="1839" t="str">
        <f t="shared" si="908"/>
        <v>NA</v>
      </c>
      <c r="AS474" s="1837" t="str">
        <f t="shared" ref="AS474:BD474" si="909">+IFERROR(AS473+AO473,AS473)</f>
        <v>NA</v>
      </c>
      <c r="AT474" s="1838" t="str">
        <f t="shared" si="909"/>
        <v>NA</v>
      </c>
      <c r="AU474" s="1838" t="str">
        <f t="shared" si="909"/>
        <v>NA</v>
      </c>
      <c r="AV474" s="1839" t="str">
        <f t="shared" si="909"/>
        <v>NA</v>
      </c>
      <c r="AW474" s="1837" t="str">
        <f t="shared" si="909"/>
        <v>NA</v>
      </c>
      <c r="AX474" s="1838" t="str">
        <f t="shared" si="909"/>
        <v>NA</v>
      </c>
      <c r="AY474" s="1838" t="str">
        <f t="shared" si="909"/>
        <v>NA</v>
      </c>
      <c r="AZ474" s="1839" t="str">
        <f t="shared" si="909"/>
        <v>NA</v>
      </c>
      <c r="BA474" s="1837" t="str">
        <f t="shared" si="909"/>
        <v>NA</v>
      </c>
      <c r="BB474" s="1838" t="str">
        <f t="shared" si="909"/>
        <v>NA</v>
      </c>
      <c r="BC474" s="1838" t="str">
        <f t="shared" si="909"/>
        <v>NA</v>
      </c>
      <c r="BD474" s="1839" t="str">
        <f t="shared" si="909"/>
        <v>NA</v>
      </c>
      <c r="BE474" s="1835"/>
      <c r="BF474" s="1651"/>
      <c r="BG474" s="1524"/>
      <c r="BH474" s="1524"/>
      <c r="BI474" s="1524"/>
      <c r="BJ474" s="1524"/>
      <c r="BK474" s="1524"/>
      <c r="BL474" s="1524"/>
      <c r="BM474" s="1524"/>
      <c r="BN474" s="1651"/>
      <c r="BO474" s="1524"/>
      <c r="BP474" s="1840" t="str">
        <f>+IFERROR(BP473+BO473,BP473)</f>
        <v>NM</v>
      </c>
      <c r="BQ474" s="1568" t="str">
        <f t="shared" ref="BQ474:BY474" si="910">+IFERROR(BQ473+BP473,BQ473)</f>
        <v>NA</v>
      </c>
      <c r="BR474" s="1568" t="str">
        <f t="shared" si="910"/>
        <v>NA</v>
      </c>
      <c r="BS474" s="1568" t="str">
        <f t="shared" si="910"/>
        <v>NA</v>
      </c>
      <c r="BT474" s="1568" t="str">
        <f t="shared" si="910"/>
        <v>NA</v>
      </c>
      <c r="BU474" s="1568" t="str">
        <f t="shared" si="910"/>
        <v>NA</v>
      </c>
      <c r="BV474" s="1568" t="str">
        <f t="shared" si="910"/>
        <v>NA</v>
      </c>
      <c r="BW474" s="1568" t="str">
        <f t="shared" si="910"/>
        <v>NA</v>
      </c>
      <c r="BX474" s="1568" t="str">
        <f t="shared" si="910"/>
        <v>NA</v>
      </c>
      <c r="BY474" s="1841" t="str">
        <f t="shared" si="910"/>
        <v>NA</v>
      </c>
      <c r="BZ474" s="1524"/>
    </row>
    <row r="475" spans="1:85" s="1552" customFormat="1" ht="11.25" hidden="1" customHeight="1" outlineLevel="2" collapsed="1">
      <c r="A475" s="1540"/>
      <c r="B475" s="1540"/>
      <c r="C475" s="1540"/>
      <c r="D475" s="1540"/>
      <c r="E475" s="1540"/>
      <c r="F475" s="1540"/>
      <c r="G475" s="1540"/>
      <c r="H475" s="1540"/>
      <c r="I475" s="1563" t="s">
        <v>146</v>
      </c>
      <c r="J475" s="1833"/>
      <c r="K475" s="1574"/>
      <c r="L475" s="1574"/>
      <c r="M475" s="1564" t="str">
        <f>IF(ISERROR(M472/L472-1),"NA",(IF(M472&lt;=0,"NM",M472/L472-1)))</f>
        <v>NA</v>
      </c>
      <c r="N475" s="1564">
        <f>IF(ISERROR(N472/M472-1),"NA",(IF(N472&lt;=0,"NM",N472/M472-1)))</f>
        <v>0.27235142118863065</v>
      </c>
      <c r="O475" s="1564">
        <f>IF(ISERROR(O472/N472-1),"NA",(IF(O472&lt;=0,"NM",O472/N472-1)))</f>
        <v>0.29772542648253442</v>
      </c>
      <c r="P475" s="1564">
        <f>IF(ISERROR(P472/O472-1),"NA",(IF(P472&lt;=0,"NM",P472/O472-1)))</f>
        <v>0.39405320813771527</v>
      </c>
      <c r="Q475" s="1564">
        <f>IF(ISERROR(Q472/P472-1),"NA",(IF(Q472&lt;=0,"NM",Q472/P472-1)))</f>
        <v>-0.19555455770094288</v>
      </c>
      <c r="R475" s="1564">
        <f t="shared" ref="R475:AJ475" si="911">IF(ISERROR(R472/Q472-1),"NA",(IF(R472&lt;=0,"NM",R472/Q472-1)))</f>
        <v>0.24783700809377618</v>
      </c>
      <c r="S475" s="1564">
        <f t="shared" si="911"/>
        <v>2.8628942071124985E-2</v>
      </c>
      <c r="T475" s="1564">
        <f t="shared" si="911"/>
        <v>9.4368340943683515E-2</v>
      </c>
      <c r="U475" s="1652">
        <f t="shared" si="911"/>
        <v>-0.20643751241804098</v>
      </c>
      <c r="V475" s="1564">
        <f t="shared" si="911"/>
        <v>0.42789183775663497</v>
      </c>
      <c r="W475" s="1564">
        <f t="shared" si="911"/>
        <v>3.2088374539715803E-2</v>
      </c>
      <c r="X475" s="1566">
        <f t="shared" si="911"/>
        <v>-0.1510363574583764</v>
      </c>
      <c r="Y475" s="1564">
        <f t="shared" si="911"/>
        <v>-4.6027616569940699E-2</v>
      </c>
      <c r="Z475" s="1564">
        <f t="shared" si="911"/>
        <v>0.47954688483322871</v>
      </c>
      <c r="AA475" s="1564">
        <f t="shared" si="911"/>
        <v>-2.0275060258047706E-2</v>
      </c>
      <c r="AB475" s="1564">
        <f t="shared" si="911"/>
        <v>0.33777134587554292</v>
      </c>
      <c r="AC475" s="1652">
        <f t="shared" si="911"/>
        <v>-0.19331458243184807</v>
      </c>
      <c r="AD475" s="1564">
        <f t="shared" si="911"/>
        <v>0.21429529301327754</v>
      </c>
      <c r="AE475" s="1564">
        <f t="shared" si="911"/>
        <v>2.9044726670346632E-2</v>
      </c>
      <c r="AF475" s="1564">
        <f t="shared" si="911"/>
        <v>-6.7718394505257185E-2</v>
      </c>
      <c r="AG475" s="1652">
        <f t="shared" si="911"/>
        <v>-0.24024404282260914</v>
      </c>
      <c r="AH475" s="1564">
        <f t="shared" si="911"/>
        <v>0.71212121212121238</v>
      </c>
      <c r="AI475" s="1564">
        <f t="shared" si="911"/>
        <v>-0.20353982300884965</v>
      </c>
      <c r="AJ475" s="1566">
        <f t="shared" si="911"/>
        <v>-0.2105555555555555</v>
      </c>
      <c r="AK475" s="1652" t="str">
        <f t="shared" ref="AK475:AR475" si="912">IF(ISERROR(AK472/AJ472-1),"NA",(IF(AK472&lt;=0,"NM",AK472/AJ472-1)))</f>
        <v>NM</v>
      </c>
      <c r="AL475" s="1564" t="str">
        <f t="shared" si="912"/>
        <v>NA</v>
      </c>
      <c r="AM475" s="1564" t="str">
        <f t="shared" si="912"/>
        <v>NA</v>
      </c>
      <c r="AN475" s="1566" t="str">
        <f t="shared" si="912"/>
        <v>NA</v>
      </c>
      <c r="AO475" s="1652" t="str">
        <f t="shared" si="912"/>
        <v>NA</v>
      </c>
      <c r="AP475" s="1564" t="str">
        <f t="shared" si="912"/>
        <v>NA</v>
      </c>
      <c r="AQ475" s="1564" t="str">
        <f t="shared" si="912"/>
        <v>NA</v>
      </c>
      <c r="AR475" s="1566" t="str">
        <f t="shared" si="912"/>
        <v>NA</v>
      </c>
      <c r="AS475" s="1652" t="str">
        <f t="shared" ref="AS475:BD475" si="913">IF(ISERROR(AS472/AR472-1),"NA",(IF(AS472&lt;=0,"NM",AS472/AR472-1)))</f>
        <v>NA</v>
      </c>
      <c r="AT475" s="1564" t="str">
        <f t="shared" si="913"/>
        <v>NA</v>
      </c>
      <c r="AU475" s="1564" t="str">
        <f t="shared" si="913"/>
        <v>NA</v>
      </c>
      <c r="AV475" s="1566" t="str">
        <f t="shared" si="913"/>
        <v>NA</v>
      </c>
      <c r="AW475" s="1652" t="str">
        <f t="shared" si="913"/>
        <v>NA</v>
      </c>
      <c r="AX475" s="1564" t="str">
        <f t="shared" si="913"/>
        <v>NA</v>
      </c>
      <c r="AY475" s="1564" t="str">
        <f t="shared" si="913"/>
        <v>NA</v>
      </c>
      <c r="AZ475" s="1566" t="str">
        <f t="shared" si="913"/>
        <v>NA</v>
      </c>
      <c r="BA475" s="1652" t="str">
        <f t="shared" si="913"/>
        <v>NA</v>
      </c>
      <c r="BB475" s="1564" t="str">
        <f t="shared" si="913"/>
        <v>NA</v>
      </c>
      <c r="BC475" s="1564" t="str">
        <f t="shared" si="913"/>
        <v>NA</v>
      </c>
      <c r="BD475" s="1566" t="str">
        <f t="shared" si="913"/>
        <v>NA</v>
      </c>
      <c r="BE475" s="1564"/>
      <c r="BF475" s="1579"/>
      <c r="BG475" s="1574"/>
      <c r="BH475" s="1574"/>
      <c r="BI475" s="1574"/>
      <c r="BJ475" s="1574"/>
      <c r="BK475" s="1574"/>
      <c r="BL475" s="1574"/>
      <c r="BM475" s="1574"/>
      <c r="BN475" s="1579"/>
      <c r="BO475" s="1574"/>
      <c r="BP475" s="1842"/>
      <c r="BQ475" s="1842"/>
      <c r="BR475" s="1842"/>
      <c r="BS475" s="1842"/>
      <c r="BT475" s="1842"/>
      <c r="BU475" s="1842"/>
      <c r="BV475" s="1842"/>
      <c r="BW475" s="1842"/>
      <c r="BX475" s="1842"/>
      <c r="BY475" s="1843"/>
      <c r="BZ475" s="1842"/>
      <c r="CA475" s="1555"/>
      <c r="CB475" s="1556"/>
      <c r="CC475" s="1556"/>
      <c r="CD475" s="1556"/>
      <c r="CE475" s="1556"/>
      <c r="CF475" s="1556"/>
      <c r="CG475" s="1556"/>
    </row>
    <row r="476" spans="1:85" s="1552" customFormat="1" ht="11.25" hidden="1" customHeight="1" outlineLevel="2">
      <c r="A476" s="1540"/>
      <c r="B476" s="1540"/>
      <c r="C476" s="1540"/>
      <c r="D476" s="1540"/>
      <c r="E476" s="1540"/>
      <c r="F476" s="1540"/>
      <c r="G476" s="1540"/>
      <c r="H476" s="1540"/>
      <c r="I476" s="1563" t="s">
        <v>57</v>
      </c>
      <c r="J476" s="1833"/>
      <c r="K476" s="1574"/>
      <c r="L476" s="1574"/>
      <c r="M476" s="1564">
        <f t="shared" ref="M476:BD476" si="914">M472/M$12</f>
        <v>0.2117994746059545</v>
      </c>
      <c r="N476" s="1564">
        <f t="shared" si="914"/>
        <v>0.22951430968583952</v>
      </c>
      <c r="O476" s="1564">
        <f t="shared" si="914"/>
        <v>0.25369223439733202</v>
      </c>
      <c r="P476" s="1564">
        <f t="shared" si="914"/>
        <v>0.29160665182663348</v>
      </c>
      <c r="Q476" s="1564">
        <f t="shared" si="914"/>
        <v>0.21715151515151515</v>
      </c>
      <c r="R476" s="1564">
        <f t="shared" si="914"/>
        <v>0.22836857697415466</v>
      </c>
      <c r="S476" s="1564">
        <f t="shared" si="914"/>
        <v>0.20621468926553674</v>
      </c>
      <c r="T476" s="1564">
        <f t="shared" si="914"/>
        <v>0.20208793414976914</v>
      </c>
      <c r="U476" s="1652">
        <f t="shared" si="914"/>
        <v>0.14584626620412636</v>
      </c>
      <c r="V476" s="1564">
        <f t="shared" si="914"/>
        <v>0.17465470247756715</v>
      </c>
      <c r="W476" s="1564">
        <f t="shared" si="914"/>
        <v>0.16183222897363284</v>
      </c>
      <c r="X476" s="1566">
        <f t="shared" si="914"/>
        <v>0.12141312534927222</v>
      </c>
      <c r="Y476" s="1564">
        <f t="shared" si="914"/>
        <v>0.10333167147161473</v>
      </c>
      <c r="Z476" s="1564">
        <f t="shared" si="914"/>
        <v>0.12818275993675382</v>
      </c>
      <c r="AA476" s="1564">
        <f t="shared" si="914"/>
        <v>0.1129435609094326</v>
      </c>
      <c r="AB476" s="1564">
        <f t="shared" si="914"/>
        <v>0.13084032780852353</v>
      </c>
      <c r="AC476" s="1652">
        <f t="shared" si="914"/>
        <v>9.7595770021071296E-2</v>
      </c>
      <c r="AD476" s="1564">
        <f t="shared" si="914"/>
        <v>0.10198565105251899</v>
      </c>
      <c r="AE476" s="1564">
        <f t="shared" si="914"/>
        <v>9.0947245132009108E-2</v>
      </c>
      <c r="AF476" s="1564">
        <f t="shared" si="914"/>
        <v>7.9053937226423565E-2</v>
      </c>
      <c r="AG476" s="1652">
        <f t="shared" si="914"/>
        <v>5.9033989266547404E-2</v>
      </c>
      <c r="AH476" s="1564">
        <f t="shared" si="914"/>
        <v>8.9968152866242046E-2</v>
      </c>
      <c r="AI476" s="1564">
        <f t="shared" si="914"/>
        <v>6.6864784546805348E-2</v>
      </c>
      <c r="AJ476" s="1566">
        <f t="shared" si="914"/>
        <v>4.8432174505794144E-2</v>
      </c>
      <c r="AK476" s="1652">
        <f t="shared" si="914"/>
        <v>0</v>
      </c>
      <c r="AL476" s="1564">
        <f t="shared" si="914"/>
        <v>0</v>
      </c>
      <c r="AM476" s="1564">
        <f t="shared" si="914"/>
        <v>0</v>
      </c>
      <c r="AN476" s="1566">
        <f t="shared" si="914"/>
        <v>0</v>
      </c>
      <c r="AO476" s="1652">
        <f t="shared" si="914"/>
        <v>0</v>
      </c>
      <c r="AP476" s="1564">
        <f t="shared" si="914"/>
        <v>0</v>
      </c>
      <c r="AQ476" s="1564">
        <f t="shared" si="914"/>
        <v>0</v>
      </c>
      <c r="AR476" s="1566">
        <f t="shared" si="914"/>
        <v>0</v>
      </c>
      <c r="AS476" s="1652">
        <f t="shared" si="914"/>
        <v>0</v>
      </c>
      <c r="AT476" s="1564">
        <f t="shared" si="914"/>
        <v>0</v>
      </c>
      <c r="AU476" s="1564">
        <f t="shared" si="914"/>
        <v>0</v>
      </c>
      <c r="AV476" s="1566">
        <f t="shared" si="914"/>
        <v>0</v>
      </c>
      <c r="AW476" s="1652">
        <f t="shared" si="914"/>
        <v>0</v>
      </c>
      <c r="AX476" s="1564">
        <f t="shared" si="914"/>
        <v>0</v>
      </c>
      <c r="AY476" s="1564">
        <f t="shared" si="914"/>
        <v>0</v>
      </c>
      <c r="AZ476" s="1566">
        <f t="shared" si="914"/>
        <v>0</v>
      </c>
      <c r="BA476" s="1652">
        <f t="shared" si="914"/>
        <v>0</v>
      </c>
      <c r="BB476" s="1564">
        <f t="shared" si="914"/>
        <v>0</v>
      </c>
      <c r="BC476" s="1564">
        <f t="shared" si="914"/>
        <v>0</v>
      </c>
      <c r="BD476" s="1566">
        <f t="shared" si="914"/>
        <v>0</v>
      </c>
      <c r="BE476" s="1564"/>
      <c r="BF476" s="1653"/>
      <c r="BG476" s="1544"/>
      <c r="BH476" s="1544">
        <f t="shared" ref="BH476:BY476" si="915">BH472/BH12</f>
        <v>0.24343026608452095</v>
      </c>
      <c r="BI476" s="1544">
        <f t="shared" si="915"/>
        <v>0.20896621202727833</v>
      </c>
      <c r="BJ476" s="1544">
        <f t="shared" si="915"/>
        <v>0.25237267184848416</v>
      </c>
      <c r="BK476" s="1544">
        <f t="shared" si="915"/>
        <v>0.21235516599627785</v>
      </c>
      <c r="BL476" s="1544">
        <f t="shared" si="915"/>
        <v>0.14960091883168808</v>
      </c>
      <c r="BM476" s="1544">
        <f t="shared" si="915"/>
        <v>0.12006626950744244</v>
      </c>
      <c r="BN476" s="1653">
        <f t="shared" si="915"/>
        <v>9.1427042719104928E-2</v>
      </c>
      <c r="BO476" s="1544">
        <f t="shared" si="915"/>
        <v>6.5558126084441865E-2</v>
      </c>
      <c r="BP476" s="1544">
        <f t="shared" si="915"/>
        <v>0</v>
      </c>
      <c r="BQ476" s="1544">
        <f t="shared" si="915"/>
        <v>0</v>
      </c>
      <c r="BR476" s="1544">
        <f t="shared" si="915"/>
        <v>0</v>
      </c>
      <c r="BS476" s="1544">
        <f t="shared" si="915"/>
        <v>0</v>
      </c>
      <c r="BT476" s="1544">
        <f t="shared" si="915"/>
        <v>0</v>
      </c>
      <c r="BU476" s="1544">
        <f t="shared" si="915"/>
        <v>0</v>
      </c>
      <c r="BV476" s="1544">
        <f t="shared" si="915"/>
        <v>0</v>
      </c>
      <c r="BW476" s="1544">
        <f t="shared" si="915"/>
        <v>0</v>
      </c>
      <c r="BX476" s="1544">
        <f t="shared" si="915"/>
        <v>0</v>
      </c>
      <c r="BY476" s="1570">
        <f t="shared" si="915"/>
        <v>0</v>
      </c>
      <c r="BZ476" s="1544"/>
      <c r="CA476" s="1555"/>
      <c r="CB476" s="1556"/>
      <c r="CC476" s="1556"/>
      <c r="CD476" s="1556"/>
      <c r="CE476" s="1556"/>
      <c r="CF476" s="1556"/>
      <c r="CG476" s="1556"/>
    </row>
    <row r="477" spans="1:85" s="1552" customFormat="1" ht="11.25" hidden="1" customHeight="1" outlineLevel="2">
      <c r="A477" s="1540"/>
      <c r="B477" s="1540"/>
      <c r="C477" s="1540"/>
      <c r="D477" s="1540"/>
      <c r="E477" s="1540"/>
      <c r="F477" s="1540"/>
      <c r="G477" s="1540"/>
      <c r="H477" s="1540"/>
      <c r="I477" s="1557" t="s">
        <v>380</v>
      </c>
      <c r="J477" s="1833"/>
      <c r="K477" s="1574"/>
      <c r="L477" s="1574"/>
      <c r="M477" s="1564"/>
      <c r="N477" s="1564"/>
      <c r="O477" s="1564"/>
      <c r="P477" s="1564"/>
      <c r="Q477" s="1574">
        <f>Q472-M472</f>
        <v>1.6480000000000001</v>
      </c>
      <c r="R477" s="1574">
        <f t="shared" ref="R477:AJ477" si="916">R472-N472</f>
        <v>2.0089999999999999</v>
      </c>
      <c r="S477" s="1574">
        <f t="shared" si="916"/>
        <v>1.4040000000000004</v>
      </c>
      <c r="T477" s="1574">
        <f t="shared" si="916"/>
        <v>0.57900000000000063</v>
      </c>
      <c r="U477" s="1579">
        <f t="shared" si="916"/>
        <v>0.41100000000000003</v>
      </c>
      <c r="V477" s="1574">
        <f t="shared" si="916"/>
        <v>1.2320000000000002</v>
      </c>
      <c r="W477" s="1574">
        <f t="shared" si="916"/>
        <v>1.2869999999999999</v>
      </c>
      <c r="X477" s="1844">
        <f t="shared" si="916"/>
        <v>-3.6000000000004029E-2</v>
      </c>
      <c r="Y477" s="1574">
        <f t="shared" si="916"/>
        <v>0.7730000000000028</v>
      </c>
      <c r="Z477" s="1574">
        <f t="shared" si="916"/>
        <v>1.3500000000000059</v>
      </c>
      <c r="AA477" s="1574">
        <f t="shared" si="916"/>
        <v>1.0239999999999956</v>
      </c>
      <c r="AB477" s="1574">
        <f t="shared" si="916"/>
        <v>4.2469999999999999</v>
      </c>
      <c r="AC477" s="1579">
        <f t="shared" si="916"/>
        <v>2.6899999999999906</v>
      </c>
      <c r="AD477" s="1574">
        <f t="shared" si="916"/>
        <v>2.0019999999999971</v>
      </c>
      <c r="AE477" s="1574">
        <f t="shared" si="916"/>
        <v>2.4079999999999968</v>
      </c>
      <c r="AF477" s="1574">
        <f t="shared" si="916"/>
        <v>-0.55699999999998973</v>
      </c>
      <c r="AG477" s="1579">
        <f t="shared" si="916"/>
        <v>-0.85699999999999399</v>
      </c>
      <c r="AH477" s="1574">
        <f t="shared" si="916"/>
        <v>2.2449999999999974</v>
      </c>
      <c r="AI477" s="1574">
        <f t="shared" si="916"/>
        <v>-0.31799999999999251</v>
      </c>
      <c r="AJ477" s="1844">
        <f t="shared" si="916"/>
        <v>-1.5820000000000061</v>
      </c>
      <c r="AK477" s="1579">
        <f t="shared" ref="AK477:AR477" si="917">AK472-AG472</f>
        <v>-6.6</v>
      </c>
      <c r="AL477" s="1574">
        <f t="shared" si="917"/>
        <v>-11.3</v>
      </c>
      <c r="AM477" s="1574">
        <f t="shared" si="917"/>
        <v>-9</v>
      </c>
      <c r="AN477" s="1844">
        <f t="shared" si="917"/>
        <v>-7.1050000000000004</v>
      </c>
      <c r="AO477" s="1579">
        <f t="shared" si="917"/>
        <v>0</v>
      </c>
      <c r="AP477" s="1574">
        <f t="shared" si="917"/>
        <v>0</v>
      </c>
      <c r="AQ477" s="1574">
        <f t="shared" si="917"/>
        <v>0</v>
      </c>
      <c r="AR477" s="1844">
        <f t="shared" si="917"/>
        <v>0</v>
      </c>
      <c r="AS477" s="1579">
        <f t="shared" ref="AS477:BD477" si="918">AS472-AO472</f>
        <v>0</v>
      </c>
      <c r="AT477" s="1574">
        <f t="shared" si="918"/>
        <v>0</v>
      </c>
      <c r="AU477" s="1574">
        <f t="shared" si="918"/>
        <v>0</v>
      </c>
      <c r="AV477" s="1844">
        <f t="shared" si="918"/>
        <v>0</v>
      </c>
      <c r="AW477" s="1579">
        <f t="shared" si="918"/>
        <v>0</v>
      </c>
      <c r="AX477" s="1574">
        <f t="shared" si="918"/>
        <v>0</v>
      </c>
      <c r="AY477" s="1574">
        <f t="shared" si="918"/>
        <v>0</v>
      </c>
      <c r="AZ477" s="1844">
        <f t="shared" si="918"/>
        <v>0</v>
      </c>
      <c r="BA477" s="1579">
        <f t="shared" si="918"/>
        <v>0</v>
      </c>
      <c r="BB477" s="1574">
        <f t="shared" si="918"/>
        <v>0</v>
      </c>
      <c r="BC477" s="1574">
        <f t="shared" si="918"/>
        <v>0</v>
      </c>
      <c r="BD477" s="1844">
        <f t="shared" si="918"/>
        <v>0</v>
      </c>
      <c r="BE477" s="1574"/>
      <c r="BF477" s="1653"/>
      <c r="BG477" s="1544"/>
      <c r="BH477" s="1544"/>
      <c r="BI477" s="1574">
        <f>BI472-BH472</f>
        <v>2.4379999999999997</v>
      </c>
      <c r="BJ477" s="1574">
        <f t="shared" ref="BJ477:BQ477" si="919">BJ472-BI472</f>
        <v>6.6529999999999996</v>
      </c>
      <c r="BK477" s="1574">
        <f t="shared" si="919"/>
        <v>5.6400000000000006</v>
      </c>
      <c r="BL477" s="1574">
        <f t="shared" si="919"/>
        <v>2.8939999999999984</v>
      </c>
      <c r="BM477" s="1574">
        <f t="shared" si="919"/>
        <v>7.3940000000000019</v>
      </c>
      <c r="BN477" s="1579">
        <f t="shared" si="919"/>
        <v>6.5429999999999957</v>
      </c>
      <c r="BO477" s="1574">
        <f t="shared" si="919"/>
        <v>-0.51200000000000045</v>
      </c>
      <c r="BP477" s="1574">
        <f t="shared" si="919"/>
        <v>-34.004999999999995</v>
      </c>
      <c r="BQ477" s="1574">
        <f t="shared" si="919"/>
        <v>0</v>
      </c>
      <c r="BR477" s="1845">
        <v>0</v>
      </c>
      <c r="BS477" s="1845">
        <v>0</v>
      </c>
      <c r="BT477" s="1845">
        <v>0</v>
      </c>
      <c r="BU477" s="1845">
        <v>0</v>
      </c>
      <c r="BV477" s="1845">
        <v>0</v>
      </c>
      <c r="BW477" s="1845">
        <v>0</v>
      </c>
      <c r="BX477" s="1845">
        <v>0</v>
      </c>
      <c r="BY477" s="1846">
        <v>0</v>
      </c>
      <c r="BZ477" s="1544"/>
      <c r="CA477" s="1555"/>
      <c r="CB477" s="1556"/>
      <c r="CC477" s="1556"/>
      <c r="CD477" s="1556"/>
      <c r="CE477" s="1556"/>
      <c r="CF477" s="1556"/>
      <c r="CG477" s="1556"/>
    </row>
    <row r="478" spans="1:85" s="1552" customFormat="1" ht="11.25" hidden="1" customHeight="1" outlineLevel="2">
      <c r="A478" s="1540"/>
      <c r="B478" s="1540"/>
      <c r="C478" s="1540"/>
      <c r="D478" s="1540"/>
      <c r="E478" s="1540"/>
      <c r="F478" s="1540"/>
      <c r="G478" s="1540"/>
      <c r="H478" s="1540"/>
      <c r="I478" s="1557" t="s">
        <v>377</v>
      </c>
      <c r="J478" s="1833"/>
      <c r="K478" s="1574"/>
      <c r="L478" s="1574"/>
      <c r="M478" s="1564"/>
      <c r="N478" s="1564"/>
      <c r="O478" s="1564"/>
      <c r="P478" s="1564"/>
      <c r="Q478" s="1574">
        <f>Q472-P472</f>
        <v>-0.87099999999999955</v>
      </c>
      <c r="R478" s="1574">
        <f t="shared" ref="R478:AJ478" si="920">R472-Q472</f>
        <v>0.8879999999999999</v>
      </c>
      <c r="S478" s="1574">
        <f t="shared" si="920"/>
        <v>0.12800000000000011</v>
      </c>
      <c r="T478" s="1574">
        <f t="shared" si="920"/>
        <v>0.43400000000000016</v>
      </c>
      <c r="U478" s="1579">
        <f t="shared" si="920"/>
        <v>-1.0390000000000001</v>
      </c>
      <c r="V478" s="1574">
        <f t="shared" si="920"/>
        <v>1.7090000000000001</v>
      </c>
      <c r="W478" s="1574">
        <f t="shared" si="920"/>
        <v>0.18299999999999983</v>
      </c>
      <c r="X478" s="1844">
        <f t="shared" si="920"/>
        <v>-0.88900000000000379</v>
      </c>
      <c r="Y478" s="1574">
        <f t="shared" si="920"/>
        <v>-0.22999999999999332</v>
      </c>
      <c r="Z478" s="1574">
        <f t="shared" si="920"/>
        <v>2.2860000000000031</v>
      </c>
      <c r="AA478" s="1574">
        <f t="shared" si="920"/>
        <v>-0.14300000000001045</v>
      </c>
      <c r="AB478" s="1574">
        <f t="shared" si="920"/>
        <v>2.3340000000000005</v>
      </c>
      <c r="AC478" s="1579">
        <f t="shared" si="920"/>
        <v>-1.7870000000000026</v>
      </c>
      <c r="AD478" s="1574">
        <f t="shared" si="920"/>
        <v>1.5980000000000096</v>
      </c>
      <c r="AE478" s="1574">
        <f t="shared" si="920"/>
        <v>0.26299999999998924</v>
      </c>
      <c r="AF478" s="1574">
        <f t="shared" si="920"/>
        <v>-0.63099999999998602</v>
      </c>
      <c r="AG478" s="1579">
        <f t="shared" si="920"/>
        <v>-2.0870000000000068</v>
      </c>
      <c r="AH478" s="1847">
        <f t="shared" si="920"/>
        <v>4.7000000000000011</v>
      </c>
      <c r="AI478" s="1847">
        <f t="shared" si="920"/>
        <v>-2.3000000000000007</v>
      </c>
      <c r="AJ478" s="1848">
        <f t="shared" si="920"/>
        <v>-1.8949999999999996</v>
      </c>
      <c r="AK478" s="1579">
        <f t="shared" ref="AK478:AR478" si="921">AK472-AJ472</f>
        <v>-7.1050000000000004</v>
      </c>
      <c r="AL478" s="1574">
        <f t="shared" si="921"/>
        <v>0</v>
      </c>
      <c r="AM478" s="1574">
        <f t="shared" si="921"/>
        <v>0</v>
      </c>
      <c r="AN478" s="1844">
        <f t="shared" si="921"/>
        <v>0</v>
      </c>
      <c r="AO478" s="1579">
        <f t="shared" si="921"/>
        <v>0</v>
      </c>
      <c r="AP478" s="1574">
        <f t="shared" si="921"/>
        <v>0</v>
      </c>
      <c r="AQ478" s="1574">
        <f t="shared" si="921"/>
        <v>0</v>
      </c>
      <c r="AR478" s="1844">
        <f t="shared" si="921"/>
        <v>0</v>
      </c>
      <c r="AS478" s="1579">
        <f t="shared" ref="AS478:BD478" si="922">AS472-AR472</f>
        <v>0</v>
      </c>
      <c r="AT478" s="1574">
        <f t="shared" si="922"/>
        <v>0</v>
      </c>
      <c r="AU478" s="1574">
        <f t="shared" si="922"/>
        <v>0</v>
      </c>
      <c r="AV478" s="1844">
        <f t="shared" si="922"/>
        <v>0</v>
      </c>
      <c r="AW478" s="1579">
        <f t="shared" si="922"/>
        <v>0</v>
      </c>
      <c r="AX478" s="1574">
        <f t="shared" si="922"/>
        <v>0</v>
      </c>
      <c r="AY478" s="1574">
        <f t="shared" si="922"/>
        <v>0</v>
      </c>
      <c r="AZ478" s="1844">
        <f t="shared" si="922"/>
        <v>0</v>
      </c>
      <c r="BA478" s="1579">
        <f t="shared" si="922"/>
        <v>0</v>
      </c>
      <c r="BB478" s="1574">
        <f t="shared" si="922"/>
        <v>0</v>
      </c>
      <c r="BC478" s="1574">
        <f t="shared" si="922"/>
        <v>0</v>
      </c>
      <c r="BD478" s="1844">
        <f t="shared" si="922"/>
        <v>0</v>
      </c>
      <c r="BE478" s="1548"/>
      <c r="BF478" s="1653"/>
      <c r="BG478" s="1544"/>
      <c r="BH478" s="1544"/>
      <c r="BI478" s="1544"/>
      <c r="BJ478" s="1544"/>
      <c r="BK478" s="1544"/>
      <c r="BL478" s="1544"/>
      <c r="BM478" s="1544"/>
      <c r="BN478" s="1653"/>
      <c r="BO478" s="1544"/>
      <c r="BP478" s="1544"/>
      <c r="BQ478" s="1544"/>
      <c r="BR478" s="1544"/>
      <c r="BS478" s="1544"/>
      <c r="BT478" s="1544"/>
      <c r="BU478" s="1544"/>
      <c r="BV478" s="1544"/>
      <c r="BW478" s="1544"/>
      <c r="BX478" s="1544"/>
      <c r="BY478" s="1570"/>
      <c r="BZ478" s="1544"/>
      <c r="CA478" s="1555"/>
      <c r="CB478" s="1556"/>
      <c r="CC478" s="1556"/>
      <c r="CD478" s="1556"/>
      <c r="CE478" s="1556"/>
      <c r="CF478" s="1556"/>
      <c r="CG478" s="1556"/>
    </row>
    <row r="479" spans="1:85" s="1524" customFormat="1" ht="11.25" hidden="1" customHeight="1" outlineLevel="2">
      <c r="I479" s="1849"/>
      <c r="J479" s="1850"/>
      <c r="K479" s="1594"/>
      <c r="L479" s="1594"/>
      <c r="M479" s="1851"/>
      <c r="N479" s="1851"/>
      <c r="O479" s="1851"/>
      <c r="P479" s="1851"/>
      <c r="Q479" s="1851"/>
      <c r="R479" s="1851"/>
      <c r="S479" s="1851"/>
      <c r="T479" s="1851"/>
      <c r="U479" s="1533"/>
      <c r="V479" s="1851"/>
      <c r="W479" s="1851"/>
      <c r="X479" s="1852"/>
      <c r="Y479" s="1853"/>
      <c r="Z479" s="1853"/>
      <c r="AA479" s="1853"/>
      <c r="AB479" s="1853"/>
      <c r="AC479" s="1854"/>
      <c r="AD479" s="1853"/>
      <c r="AE479" s="1853"/>
      <c r="AF479" s="1853"/>
      <c r="AG479" s="1854"/>
      <c r="AH479" s="1853"/>
      <c r="AI479" s="1853"/>
      <c r="AJ479" s="1852"/>
      <c r="AK479" s="1853"/>
      <c r="AL479" s="1853"/>
      <c r="AM479" s="1853"/>
      <c r="AN479" s="1852"/>
      <c r="AO479" s="1853"/>
      <c r="AP479" s="1853"/>
      <c r="AQ479" s="1853"/>
      <c r="AR479" s="1852"/>
      <c r="AS479" s="1853"/>
      <c r="AT479" s="1853"/>
      <c r="AU479" s="1853"/>
      <c r="AV479" s="1852"/>
      <c r="AW479" s="1853"/>
      <c r="AX479" s="1853"/>
      <c r="AY479" s="1853"/>
      <c r="AZ479" s="1852"/>
      <c r="BA479" s="1853"/>
      <c r="BB479" s="1853"/>
      <c r="BC479" s="1853"/>
      <c r="BD479" s="1852"/>
      <c r="BE479" s="1853"/>
      <c r="BF479" s="1533"/>
      <c r="BG479" s="1851"/>
      <c r="BH479" s="1851"/>
      <c r="BI479" s="1851"/>
      <c r="BJ479" s="1851"/>
      <c r="BK479" s="1851"/>
      <c r="BL479" s="1855"/>
      <c r="BM479" s="1855"/>
      <c r="BN479" s="1856"/>
      <c r="BO479" s="1855"/>
      <c r="BP479" s="1855"/>
      <c r="BQ479" s="1855"/>
      <c r="BR479" s="1855"/>
      <c r="BS479" s="1855"/>
      <c r="BT479" s="1855"/>
      <c r="BU479" s="1855"/>
      <c r="BV479" s="1855"/>
      <c r="BW479" s="1855"/>
      <c r="BX479" s="1855"/>
      <c r="BY479" s="1857"/>
      <c r="BZ479" s="1855"/>
    </row>
    <row r="480" spans="1:85" s="1524" customFormat="1" ht="11.25" hidden="1" customHeight="1" outlineLevel="2">
      <c r="I480" s="1525" t="s">
        <v>287</v>
      </c>
      <c r="J480" s="1526"/>
      <c r="K480" s="1526"/>
      <c r="L480" s="1526"/>
      <c r="M480" s="1858">
        <f t="shared" ref="M480:BD480" si="923">M472/M320*4</f>
        <v>0.25960087204427301</v>
      </c>
      <c r="N480" s="1858">
        <f t="shared" si="923"/>
        <v>0.30266150347286253</v>
      </c>
      <c r="O480" s="1858">
        <f t="shared" si="923"/>
        <v>0.3408363558779603</v>
      </c>
      <c r="P480" s="1858">
        <f t="shared" si="923"/>
        <v>0.45268828132940336</v>
      </c>
      <c r="Q480" s="1858">
        <f t="shared" si="923"/>
        <v>0.30612811585535171</v>
      </c>
      <c r="R480" s="1858">
        <f t="shared" si="923"/>
        <v>0.34685802948021721</v>
      </c>
      <c r="S480" s="1858">
        <f t="shared" si="923"/>
        <v>0.30151445617255623</v>
      </c>
      <c r="T480" s="1858">
        <f t="shared" si="923"/>
        <v>0.30597604717612015</v>
      </c>
      <c r="U480" s="1859">
        <f t="shared" si="923"/>
        <v>0.22360317993505771</v>
      </c>
      <c r="V480" s="1858">
        <f t="shared" si="923"/>
        <v>0.29123313204560258</v>
      </c>
      <c r="W480" s="1858">
        <f t="shared" si="923"/>
        <v>0.28183581124757595</v>
      </c>
      <c r="X480" s="1860">
        <f t="shared" si="923"/>
        <v>0.23161066048667422</v>
      </c>
      <c r="Y480" s="1858">
        <f t="shared" si="923"/>
        <v>0.18682212315681196</v>
      </c>
      <c r="Z480" s="1858">
        <f t="shared" si="923"/>
        <v>0.26108201151233618</v>
      </c>
      <c r="AA480" s="1858">
        <f t="shared" si="923"/>
        <v>0.23534019600330347</v>
      </c>
      <c r="AB480" s="1858">
        <f t="shared" si="923"/>
        <v>0.30812049497937577</v>
      </c>
      <c r="AC480" s="1859">
        <f t="shared" si="923"/>
        <v>0.22518496149781045</v>
      </c>
      <c r="AD480" s="1858">
        <f t="shared" si="923"/>
        <v>0.26291911353721309</v>
      </c>
      <c r="AE480" s="1858">
        <f t="shared" si="923"/>
        <v>0.26733994175787895</v>
      </c>
      <c r="AF480" s="1858">
        <f t="shared" si="923"/>
        <v>0.25664357357046857</v>
      </c>
      <c r="AG480" s="1859">
        <f t="shared" si="923"/>
        <v>0.1853073715833953</v>
      </c>
      <c r="AH480" s="1858">
        <f t="shared" si="923"/>
        <v>0.31412884842588096</v>
      </c>
      <c r="AI480" s="1858">
        <f t="shared" si="923"/>
        <v>0.24321366320312393</v>
      </c>
      <c r="AJ480" s="1860">
        <f t="shared" si="923"/>
        <v>0.20232510126933731</v>
      </c>
      <c r="AK480" s="1858">
        <f t="shared" si="923"/>
        <v>0</v>
      </c>
      <c r="AL480" s="1858">
        <f t="shared" si="923"/>
        <v>0</v>
      </c>
      <c r="AM480" s="1858">
        <f t="shared" si="923"/>
        <v>0</v>
      </c>
      <c r="AN480" s="1860">
        <f t="shared" si="923"/>
        <v>0</v>
      </c>
      <c r="AO480" s="1858">
        <f t="shared" si="923"/>
        <v>0</v>
      </c>
      <c r="AP480" s="1858">
        <f t="shared" si="923"/>
        <v>0</v>
      </c>
      <c r="AQ480" s="1858">
        <f t="shared" si="923"/>
        <v>0</v>
      </c>
      <c r="AR480" s="1860">
        <f t="shared" si="923"/>
        <v>0</v>
      </c>
      <c r="AS480" s="1858">
        <f t="shared" si="923"/>
        <v>0</v>
      </c>
      <c r="AT480" s="1858">
        <f t="shared" si="923"/>
        <v>0</v>
      </c>
      <c r="AU480" s="1858">
        <f t="shared" si="923"/>
        <v>0</v>
      </c>
      <c r="AV480" s="1860">
        <f t="shared" si="923"/>
        <v>0</v>
      </c>
      <c r="AW480" s="1858">
        <f t="shared" si="923"/>
        <v>0</v>
      </c>
      <c r="AX480" s="1858">
        <f t="shared" si="923"/>
        <v>0</v>
      </c>
      <c r="AY480" s="1858">
        <f t="shared" si="923"/>
        <v>0</v>
      </c>
      <c r="AZ480" s="1860">
        <f t="shared" si="923"/>
        <v>0</v>
      </c>
      <c r="BA480" s="1858">
        <f t="shared" si="923"/>
        <v>0</v>
      </c>
      <c r="BB480" s="1858">
        <f t="shared" si="923"/>
        <v>0</v>
      </c>
      <c r="BC480" s="1858">
        <f t="shared" si="923"/>
        <v>0</v>
      </c>
      <c r="BD480" s="1860">
        <f t="shared" si="923"/>
        <v>0</v>
      </c>
      <c r="BE480" s="1858"/>
      <c r="BF480" s="1861"/>
      <c r="BG480" s="1862"/>
      <c r="BH480" s="1858">
        <f t="shared" ref="BH480:BY480" si="924">BH472/BH320</f>
        <v>0.18778596847991866</v>
      </c>
      <c r="BI480" s="1858">
        <f t="shared" si="924"/>
        <v>0.20681059937876287</v>
      </c>
      <c r="BJ480" s="1858">
        <f t="shared" si="924"/>
        <v>0.30607785344039024</v>
      </c>
      <c r="BK480" s="1858">
        <f t="shared" si="924"/>
        <v>0.2688005349869293</v>
      </c>
      <c r="BL480" s="1858">
        <f t="shared" si="924"/>
        <v>0.23847045191193511</v>
      </c>
      <c r="BM480" s="1858">
        <f t="shared" si="924"/>
        <v>0.23310695387692182</v>
      </c>
      <c r="BN480" s="1859">
        <f t="shared" si="924"/>
        <v>0.25493744183641814</v>
      </c>
      <c r="BO480" s="1858">
        <f t="shared" si="924"/>
        <v>0.24208532965038052</v>
      </c>
      <c r="BP480" s="1858">
        <f t="shared" si="924"/>
        <v>0</v>
      </c>
      <c r="BQ480" s="1858">
        <f t="shared" si="924"/>
        <v>0</v>
      </c>
      <c r="BR480" s="1858">
        <f t="shared" si="924"/>
        <v>0</v>
      </c>
      <c r="BS480" s="1858">
        <f t="shared" si="924"/>
        <v>0</v>
      </c>
      <c r="BT480" s="1858">
        <f t="shared" si="924"/>
        <v>0</v>
      </c>
      <c r="BU480" s="1858">
        <f t="shared" si="924"/>
        <v>0</v>
      </c>
      <c r="BV480" s="1858">
        <f t="shared" si="924"/>
        <v>0</v>
      </c>
      <c r="BW480" s="1858">
        <f t="shared" si="924"/>
        <v>0</v>
      </c>
      <c r="BX480" s="1858">
        <f t="shared" si="924"/>
        <v>0</v>
      </c>
      <c r="BY480" s="1860">
        <f t="shared" si="924"/>
        <v>0</v>
      </c>
      <c r="BZ480" s="1863"/>
      <c r="CA480" s="1539">
        <f>IF(ISERROR(RATE(5,,-BI480,BN480)),"NM",(RATE(5,,-BI480,BN480)))</f>
        <v>4.2730714076034626E-2</v>
      </c>
      <c r="CB480" s="1539">
        <f t="shared" ref="CB480:CG480" si="925">IF(ISERROR(RATE(3,,-BK480,BN480)),"NM",(RATE(3,,-BK480,BN480)))</f>
        <v>-1.7495612891602581E-2</v>
      </c>
      <c r="CC480" s="1539">
        <f t="shared" si="925"/>
        <v>5.0275474398068492E-3</v>
      </c>
      <c r="CD480" s="1539">
        <f t="shared" si="925"/>
        <v>-0.99999974478297993</v>
      </c>
      <c r="CE480" s="1539">
        <f t="shared" si="925"/>
        <v>-0.99999974478297993</v>
      </c>
      <c r="CF480" s="1539">
        <f t="shared" si="925"/>
        <v>-0.99999974478297993</v>
      </c>
      <c r="CG480" s="1539" t="str">
        <f t="shared" si="925"/>
        <v>NM</v>
      </c>
    </row>
    <row r="481" spans="1:85" s="1524" customFormat="1" ht="11.25" hidden="1" customHeight="1" outlineLevel="2">
      <c r="I481" s="1563" t="s">
        <v>132</v>
      </c>
      <c r="M481" s="1564" t="str">
        <f t="shared" ref="M481:R481" si="926">IF(ISERROR(M480/I480-1),"NA",(IF(M480&lt;=0,"NM",M480/I480-1)))</f>
        <v>NA</v>
      </c>
      <c r="N481" s="1564" t="str">
        <f t="shared" si="926"/>
        <v>NA</v>
      </c>
      <c r="O481" s="1564" t="str">
        <f t="shared" si="926"/>
        <v>NA</v>
      </c>
      <c r="P481" s="1564" t="str">
        <f t="shared" si="926"/>
        <v>NA</v>
      </c>
      <c r="Q481" s="1564">
        <f t="shared" si="926"/>
        <v>0.17922606902161653</v>
      </c>
      <c r="R481" s="1564">
        <f t="shared" si="926"/>
        <v>0.14602625540488501</v>
      </c>
      <c r="S481" s="1564">
        <f t="shared" ref="S481:AJ481" si="927">IF(ISERROR(S480/O480-1),"NA",(IF(S480&lt;=0,"NM",S480/O480-1)))</f>
        <v>-0.11536885378355488</v>
      </c>
      <c r="T481" s="1564">
        <f t="shared" si="927"/>
        <v>-0.32409108033995371</v>
      </c>
      <c r="U481" s="1652">
        <f t="shared" si="927"/>
        <v>-0.2695764669955627</v>
      </c>
      <c r="V481" s="1564">
        <f t="shared" si="927"/>
        <v>-0.1603679105193877</v>
      </c>
      <c r="W481" s="1564">
        <f t="shared" si="927"/>
        <v>-6.5266008054082225E-2</v>
      </c>
      <c r="X481" s="1566">
        <f t="shared" si="927"/>
        <v>-0.24304316424690953</v>
      </c>
      <c r="Y481" s="1564">
        <f t="shared" si="927"/>
        <v>-0.16449254786505396</v>
      </c>
      <c r="Z481" s="1564">
        <f t="shared" si="927"/>
        <v>-0.10352915659522288</v>
      </c>
      <c r="AA481" s="1564">
        <f t="shared" si="927"/>
        <v>-0.1649741210616732</v>
      </c>
      <c r="AB481" s="1564">
        <f t="shared" si="927"/>
        <v>0.33033813871923901</v>
      </c>
      <c r="AC481" s="1652">
        <f t="shared" si="927"/>
        <v>0.20534419421407635</v>
      </c>
      <c r="AD481" s="1564">
        <f t="shared" si="927"/>
        <v>7.0364940665017528E-3</v>
      </c>
      <c r="AE481" s="1564">
        <f t="shared" si="927"/>
        <v>0.1359722915932573</v>
      </c>
      <c r="AF481" s="1564">
        <f t="shared" si="927"/>
        <v>-0.16706750199253328</v>
      </c>
      <c r="AG481" s="1652">
        <f t="shared" si="927"/>
        <v>-0.17708815743809292</v>
      </c>
      <c r="AH481" s="1564">
        <f t="shared" si="927"/>
        <v>0.19477372413025318</v>
      </c>
      <c r="AI481" s="1564">
        <f t="shared" si="927"/>
        <v>-9.0245693913576952E-2</v>
      </c>
      <c r="AJ481" s="1566">
        <f t="shared" si="927"/>
        <v>-0.21164945432080584</v>
      </c>
      <c r="AK481" s="1564" t="str">
        <f t="shared" ref="AK481:AR481" si="928">IF(ISERROR(AK480/AG480-1),"NA",(IF(AK480&lt;=0,"NM",AK480/AG480-1)))</f>
        <v>NM</v>
      </c>
      <c r="AL481" s="1564" t="str">
        <f t="shared" si="928"/>
        <v>NM</v>
      </c>
      <c r="AM481" s="1564" t="str">
        <f t="shared" si="928"/>
        <v>NM</v>
      </c>
      <c r="AN481" s="1566" t="str">
        <f t="shared" si="928"/>
        <v>NM</v>
      </c>
      <c r="AO481" s="1564" t="str">
        <f t="shared" si="928"/>
        <v>NA</v>
      </c>
      <c r="AP481" s="1564" t="str">
        <f t="shared" si="928"/>
        <v>NA</v>
      </c>
      <c r="AQ481" s="1564" t="str">
        <f t="shared" si="928"/>
        <v>NA</v>
      </c>
      <c r="AR481" s="1566" t="str">
        <f t="shared" si="928"/>
        <v>NA</v>
      </c>
      <c r="AS481" s="1564" t="str">
        <f t="shared" ref="AS481:BD481" si="929">IF(ISERROR(AS480/AO480-1),"NA",(IF(AS480&lt;=0,"NM",AS480/AO480-1)))</f>
        <v>NA</v>
      </c>
      <c r="AT481" s="1564" t="str">
        <f t="shared" si="929"/>
        <v>NA</v>
      </c>
      <c r="AU481" s="1564" t="str">
        <f t="shared" si="929"/>
        <v>NA</v>
      </c>
      <c r="AV481" s="1566" t="str">
        <f t="shared" si="929"/>
        <v>NA</v>
      </c>
      <c r="AW481" s="1564" t="str">
        <f t="shared" si="929"/>
        <v>NA</v>
      </c>
      <c r="AX481" s="1564" t="str">
        <f t="shared" si="929"/>
        <v>NA</v>
      </c>
      <c r="AY481" s="1564" t="str">
        <f t="shared" si="929"/>
        <v>NA</v>
      </c>
      <c r="AZ481" s="1566" t="str">
        <f t="shared" si="929"/>
        <v>NA</v>
      </c>
      <c r="BA481" s="1564" t="str">
        <f t="shared" si="929"/>
        <v>NA</v>
      </c>
      <c r="BB481" s="1564" t="str">
        <f t="shared" si="929"/>
        <v>NA</v>
      </c>
      <c r="BC481" s="1564" t="str">
        <f t="shared" si="929"/>
        <v>NA</v>
      </c>
      <c r="BD481" s="1566" t="str">
        <f t="shared" si="929"/>
        <v>NA</v>
      </c>
      <c r="BE481" s="1564"/>
      <c r="BF481" s="1651"/>
      <c r="BH481" s="1564" t="str">
        <f t="shared" ref="BH481:BQ481" si="930">IF(ISERROR(BH480/BG480-1),"NA",(IF(BH480&lt;=0,"NM",BH480/BG480-1)))</f>
        <v>NA</v>
      </c>
      <c r="BI481" s="1564">
        <f t="shared" si="930"/>
        <v>0.10131018335844755</v>
      </c>
      <c r="BJ481" s="1564">
        <f t="shared" si="930"/>
        <v>0.47999113372242852</v>
      </c>
      <c r="BK481" s="1564">
        <f t="shared" si="930"/>
        <v>-0.12179031587700551</v>
      </c>
      <c r="BL481" s="1564">
        <f t="shared" si="930"/>
        <v>-0.11283490591441347</v>
      </c>
      <c r="BM481" s="1564">
        <f t="shared" si="930"/>
        <v>-2.249124783389933E-2</v>
      </c>
      <c r="BN481" s="1652">
        <f t="shared" si="930"/>
        <v>9.365009321439044E-2</v>
      </c>
      <c r="BO481" s="1564">
        <f t="shared" si="930"/>
        <v>-5.0412807524303327E-2</v>
      </c>
      <c r="BP481" s="1564" t="str">
        <f t="shared" si="930"/>
        <v>NM</v>
      </c>
      <c r="BQ481" s="1564" t="str">
        <f t="shared" si="930"/>
        <v>NA</v>
      </c>
      <c r="BR481" s="1564" t="str">
        <f t="shared" ref="BR481:BY481" si="931">IF(ISERROR(BR480/BQ480-1),"NA",(IF(BR480&lt;=0,"NM",BR480/BQ480-1)))</f>
        <v>NA</v>
      </c>
      <c r="BS481" s="1564" t="str">
        <f t="shared" si="931"/>
        <v>NA</v>
      </c>
      <c r="BT481" s="1564" t="str">
        <f t="shared" si="931"/>
        <v>NA</v>
      </c>
      <c r="BU481" s="1564" t="str">
        <f t="shared" si="931"/>
        <v>NA</v>
      </c>
      <c r="BV481" s="1564" t="str">
        <f t="shared" si="931"/>
        <v>NA</v>
      </c>
      <c r="BW481" s="1564" t="str">
        <f t="shared" si="931"/>
        <v>NA</v>
      </c>
      <c r="BX481" s="1564" t="str">
        <f t="shared" si="931"/>
        <v>NA</v>
      </c>
      <c r="BY481" s="1566" t="str">
        <f t="shared" si="931"/>
        <v>NA</v>
      </c>
      <c r="BZ481" s="1564"/>
    </row>
    <row r="482" spans="1:85" s="1524" customFormat="1" ht="11.25" hidden="1" customHeight="1" outlineLevel="2">
      <c r="I482" s="1563" t="s">
        <v>146</v>
      </c>
      <c r="M482" s="1564" t="str">
        <f t="shared" ref="M482:R482" si="932">IF(ISERROR(M480/L480-1),"NA",(IF(M480&lt;=0,"NM",M480/L480-1)))</f>
        <v>NA</v>
      </c>
      <c r="N482" s="1564">
        <f t="shared" si="932"/>
        <v>0.16587244522524491</v>
      </c>
      <c r="O482" s="1564">
        <f t="shared" si="932"/>
        <v>0.12613051863902025</v>
      </c>
      <c r="P482" s="1564">
        <f t="shared" si="932"/>
        <v>0.32816899817897571</v>
      </c>
      <c r="Q482" s="1564">
        <f t="shared" si="932"/>
        <v>-0.32375515673533772</v>
      </c>
      <c r="R482" s="1564">
        <f t="shared" si="932"/>
        <v>0.13304858820648402</v>
      </c>
      <c r="S482" s="1564">
        <f t="shared" ref="S482:AF482" si="933">IF(ISERROR(S480/R480-1),"NA",(IF(S480&lt;=0,"NM",S480/R480-1)))</f>
        <v>-0.13072660700866701</v>
      </c>
      <c r="T482" s="1564">
        <f t="shared" si="933"/>
        <v>1.4797270619125946E-2</v>
      </c>
      <c r="U482" s="1652">
        <f t="shared" si="933"/>
        <v>-0.26921344988043627</v>
      </c>
      <c r="V482" s="1564">
        <f t="shared" si="933"/>
        <v>0.30245523400063901</v>
      </c>
      <c r="W482" s="1564">
        <f t="shared" si="933"/>
        <v>-3.226734792164776E-2</v>
      </c>
      <c r="X482" s="1566">
        <f t="shared" si="933"/>
        <v>-0.17820712896127289</v>
      </c>
      <c r="Y482" s="1564">
        <f t="shared" si="933"/>
        <v>-0.19337856571778644</v>
      </c>
      <c r="Z482" s="1564">
        <f t="shared" si="933"/>
        <v>0.39748979992692335</v>
      </c>
      <c r="AA482" s="1564">
        <f t="shared" si="933"/>
        <v>-9.859666454966165E-2</v>
      </c>
      <c r="AB482" s="1564">
        <f t="shared" si="933"/>
        <v>0.30925570817086712</v>
      </c>
      <c r="AC482" s="1652">
        <f t="shared" si="933"/>
        <v>-0.26916591019729685</v>
      </c>
      <c r="AD482" s="1564">
        <f t="shared" si="933"/>
        <v>0.16756959162998797</v>
      </c>
      <c r="AE482" s="1564">
        <f t="shared" si="933"/>
        <v>1.6814404100142122E-2</v>
      </c>
      <c r="AF482" s="1564">
        <f t="shared" si="933"/>
        <v>-4.0010363274103344E-2</v>
      </c>
      <c r="AG482" s="1652">
        <f t="shared" ref="AG482:AN482" si="934">IF(ISERROR(AG480/AF480-1),"NA",(IF(AG480&lt;=0,"NM",AG480/AF480-1)))</f>
        <v>-0.27795826326228246</v>
      </c>
      <c r="AH482" s="1564">
        <f t="shared" si="934"/>
        <v>0.69517729241824111</v>
      </c>
      <c r="AI482" s="1564">
        <f t="shared" si="934"/>
        <v>-0.22575190269253331</v>
      </c>
      <c r="AJ482" s="1566">
        <f t="shared" si="934"/>
        <v>-0.16811786556431185</v>
      </c>
      <c r="AK482" s="1564" t="str">
        <f t="shared" si="934"/>
        <v>NM</v>
      </c>
      <c r="AL482" s="1564" t="str">
        <f t="shared" si="934"/>
        <v>NA</v>
      </c>
      <c r="AM482" s="1564" t="str">
        <f t="shared" si="934"/>
        <v>NA</v>
      </c>
      <c r="AN482" s="1566" t="str">
        <f t="shared" si="934"/>
        <v>NA</v>
      </c>
      <c r="AO482" s="1564" t="str">
        <f t="shared" ref="AO482:AV482" si="935">IF(ISERROR(AO480/AN480-1),"NA",(IF(AO480&lt;=0,"NM",AO480/AN480-1)))</f>
        <v>NA</v>
      </c>
      <c r="AP482" s="1564" t="str">
        <f t="shared" si="935"/>
        <v>NA</v>
      </c>
      <c r="AQ482" s="1564" t="str">
        <f t="shared" si="935"/>
        <v>NA</v>
      </c>
      <c r="AR482" s="1566" t="str">
        <f t="shared" si="935"/>
        <v>NA</v>
      </c>
      <c r="AS482" s="1564" t="str">
        <f t="shared" si="935"/>
        <v>NA</v>
      </c>
      <c r="AT482" s="1564" t="str">
        <f t="shared" si="935"/>
        <v>NA</v>
      </c>
      <c r="AU482" s="1564" t="str">
        <f t="shared" si="935"/>
        <v>NA</v>
      </c>
      <c r="AV482" s="1566" t="str">
        <f t="shared" si="935"/>
        <v>NA</v>
      </c>
      <c r="AW482" s="1564" t="str">
        <f t="shared" ref="AW482:BD482" si="936">IF(ISERROR(AW480/AV480-1),"NA",(IF(AW480&lt;=0,"NM",AW480/AV480-1)))</f>
        <v>NA</v>
      </c>
      <c r="AX482" s="1564" t="str">
        <f t="shared" si="936"/>
        <v>NA</v>
      </c>
      <c r="AY482" s="1564" t="str">
        <f t="shared" si="936"/>
        <v>NA</v>
      </c>
      <c r="AZ482" s="1566" t="str">
        <f t="shared" si="936"/>
        <v>NA</v>
      </c>
      <c r="BA482" s="1564" t="str">
        <f t="shared" si="936"/>
        <v>NA</v>
      </c>
      <c r="BB482" s="1564" t="str">
        <f t="shared" si="936"/>
        <v>NA</v>
      </c>
      <c r="BC482" s="1564" t="str">
        <f t="shared" si="936"/>
        <v>NA</v>
      </c>
      <c r="BD482" s="1566" t="str">
        <f t="shared" si="936"/>
        <v>NA</v>
      </c>
      <c r="BE482" s="1564"/>
      <c r="BF482" s="1651"/>
      <c r="BI482" s="1569"/>
      <c r="BJ482" s="1569"/>
      <c r="BK482" s="1569"/>
      <c r="BN482" s="1651"/>
      <c r="BO482" s="1544"/>
      <c r="BP482" s="1544"/>
      <c r="BQ482" s="1544"/>
      <c r="BR482" s="1544"/>
      <c r="BS482" s="1544"/>
      <c r="BT482" s="1544"/>
      <c r="BU482" s="1544"/>
      <c r="BV482" s="1544"/>
      <c r="BW482" s="1544"/>
      <c r="BX482" s="1544"/>
      <c r="BY482" s="1570"/>
      <c r="BZ482" s="1544"/>
    </row>
    <row r="483" spans="1:85" s="1552" customFormat="1" ht="11.25" hidden="1" customHeight="1" outlineLevel="2">
      <c r="A483" s="1540"/>
      <c r="B483" s="1540"/>
      <c r="C483" s="1540"/>
      <c r="D483" s="1540"/>
      <c r="E483" s="1540"/>
      <c r="F483" s="1540"/>
      <c r="G483" s="1540"/>
      <c r="H483" s="1540"/>
      <c r="I483" s="1557" t="s">
        <v>380</v>
      </c>
      <c r="J483" s="1573"/>
      <c r="K483" s="1574"/>
      <c r="L483" s="1574"/>
      <c r="M483" s="1564"/>
      <c r="N483" s="1564"/>
      <c r="O483" s="1564"/>
      <c r="P483" s="1564"/>
      <c r="Q483" s="1864">
        <f>Q480-M480</f>
        <v>4.65272438110787E-2</v>
      </c>
      <c r="R483" s="1865">
        <f t="shared" ref="R483:AJ483" si="937">R480-N480</f>
        <v>4.4196526007354686E-2</v>
      </c>
      <c r="S483" s="1865">
        <f t="shared" si="937"/>
        <v>-3.9321899705404062E-2</v>
      </c>
      <c r="T483" s="1865">
        <f t="shared" si="937"/>
        <v>-0.14671223415328322</v>
      </c>
      <c r="U483" s="1866">
        <f t="shared" si="937"/>
        <v>-8.2524935920294001E-2</v>
      </c>
      <c r="V483" s="1865">
        <f t="shared" si="937"/>
        <v>-5.5624897434614629E-2</v>
      </c>
      <c r="W483" s="1865">
        <f t="shared" si="937"/>
        <v>-1.9678644924980282E-2</v>
      </c>
      <c r="X483" s="1867">
        <f t="shared" si="937"/>
        <v>-7.4365386689445923E-2</v>
      </c>
      <c r="Y483" s="1865">
        <f t="shared" si="937"/>
        <v>-3.6781056778245752E-2</v>
      </c>
      <c r="Z483" s="1865">
        <f t="shared" si="937"/>
        <v>-3.0151120533266407E-2</v>
      </c>
      <c r="AA483" s="1865">
        <f t="shared" si="937"/>
        <v>-4.6495615244272481E-2</v>
      </c>
      <c r="AB483" s="1865">
        <f t="shared" si="937"/>
        <v>7.6509834492701545E-2</v>
      </c>
      <c r="AC483" s="1866">
        <f t="shared" si="937"/>
        <v>3.836283834099849E-2</v>
      </c>
      <c r="AD483" s="1865">
        <f t="shared" si="937"/>
        <v>1.8371020248769132E-3</v>
      </c>
      <c r="AE483" s="1865">
        <f t="shared" si="937"/>
        <v>3.1999745754575482E-2</v>
      </c>
      <c r="AF483" s="1865">
        <f t="shared" si="937"/>
        <v>-5.1476921408907195E-2</v>
      </c>
      <c r="AG483" s="1866">
        <f t="shared" si="937"/>
        <v>-3.9877589914415146E-2</v>
      </c>
      <c r="AH483" s="1865">
        <f t="shared" si="937"/>
        <v>5.1209734888667868E-2</v>
      </c>
      <c r="AI483" s="1865">
        <f t="shared" si="937"/>
        <v>-2.4126278554755021E-2</v>
      </c>
      <c r="AJ483" s="1867">
        <f t="shared" si="937"/>
        <v>-5.4318472301131265E-2</v>
      </c>
      <c r="AK483" s="1865">
        <f t="shared" ref="AK483:AR483" si="938">AK480-AG480</f>
        <v>-0.1853073715833953</v>
      </c>
      <c r="AL483" s="1865">
        <f t="shared" si="938"/>
        <v>-0.31412884842588096</v>
      </c>
      <c r="AM483" s="1865">
        <f t="shared" si="938"/>
        <v>-0.24321366320312393</v>
      </c>
      <c r="AN483" s="1867">
        <f t="shared" si="938"/>
        <v>-0.20232510126933731</v>
      </c>
      <c r="AO483" s="1865">
        <f t="shared" si="938"/>
        <v>0</v>
      </c>
      <c r="AP483" s="1865">
        <f t="shared" si="938"/>
        <v>0</v>
      </c>
      <c r="AQ483" s="1865">
        <f t="shared" si="938"/>
        <v>0</v>
      </c>
      <c r="AR483" s="1867">
        <f t="shared" si="938"/>
        <v>0</v>
      </c>
      <c r="AS483" s="1865">
        <f t="shared" ref="AS483:BD483" si="939">AS480-AO480</f>
        <v>0</v>
      </c>
      <c r="AT483" s="1865">
        <f t="shared" si="939"/>
        <v>0</v>
      </c>
      <c r="AU483" s="1865">
        <f t="shared" si="939"/>
        <v>0</v>
      </c>
      <c r="AV483" s="1867">
        <f t="shared" si="939"/>
        <v>0</v>
      </c>
      <c r="AW483" s="1865">
        <f t="shared" si="939"/>
        <v>0</v>
      </c>
      <c r="AX483" s="1865">
        <f t="shared" si="939"/>
        <v>0</v>
      </c>
      <c r="AY483" s="1865">
        <f t="shared" si="939"/>
        <v>0</v>
      </c>
      <c r="AZ483" s="1867">
        <f t="shared" si="939"/>
        <v>0</v>
      </c>
      <c r="BA483" s="1865">
        <f t="shared" si="939"/>
        <v>0</v>
      </c>
      <c r="BB483" s="1865">
        <f t="shared" si="939"/>
        <v>0</v>
      </c>
      <c r="BC483" s="1865">
        <f t="shared" si="939"/>
        <v>0</v>
      </c>
      <c r="BD483" s="1867">
        <f t="shared" si="939"/>
        <v>0</v>
      </c>
      <c r="BE483" s="1865"/>
      <c r="BF483" s="1652"/>
      <c r="BG483" s="1564"/>
      <c r="BH483" s="1564"/>
      <c r="BI483" s="1865">
        <f>BI480-BH480</f>
        <v>1.9024630898844208E-2</v>
      </c>
      <c r="BJ483" s="1865">
        <f t="shared" ref="BJ483:BT483" si="940">BJ480-BI480</f>
        <v>9.9267254061627369E-2</v>
      </c>
      <c r="BK483" s="1865">
        <f t="shared" si="940"/>
        <v>-3.7277318453460939E-2</v>
      </c>
      <c r="BL483" s="1865">
        <f t="shared" si="940"/>
        <v>-3.0330083074994185E-2</v>
      </c>
      <c r="BM483" s="1865">
        <f t="shared" si="940"/>
        <v>-5.3634980350132921E-3</v>
      </c>
      <c r="BN483" s="1866">
        <f t="shared" si="940"/>
        <v>2.1830487959496325E-2</v>
      </c>
      <c r="BO483" s="1865">
        <f t="shared" si="940"/>
        <v>-1.2852112186037629E-2</v>
      </c>
      <c r="BP483" s="1865">
        <f t="shared" si="940"/>
        <v>-0.24208532965038052</v>
      </c>
      <c r="BQ483" s="1865">
        <f t="shared" si="940"/>
        <v>0</v>
      </c>
      <c r="BR483" s="1865">
        <f t="shared" si="940"/>
        <v>0</v>
      </c>
      <c r="BS483" s="1865">
        <f t="shared" si="940"/>
        <v>0</v>
      </c>
      <c r="BT483" s="1865">
        <f t="shared" si="940"/>
        <v>0</v>
      </c>
      <c r="BU483" s="1865">
        <f>BU480-BT480</f>
        <v>0</v>
      </c>
      <c r="BV483" s="1865">
        <f>BV480-BU480</f>
        <v>0</v>
      </c>
      <c r="BW483" s="1865">
        <f>BW480-BV480</f>
        <v>0</v>
      </c>
      <c r="BX483" s="1865">
        <f>BX480-BW480</f>
        <v>0</v>
      </c>
      <c r="BY483" s="1867">
        <f>BY480-BX480</f>
        <v>0</v>
      </c>
      <c r="BZ483" s="1564"/>
      <c r="CA483" s="1555"/>
      <c r="CB483" s="1556"/>
      <c r="CC483" s="1556"/>
      <c r="CD483" s="1556"/>
      <c r="CE483" s="1556"/>
      <c r="CF483" s="1556"/>
      <c r="CG483" s="1556"/>
    </row>
    <row r="484" spans="1:85" s="1552" customFormat="1" ht="11.25" hidden="1" customHeight="1" outlineLevel="2">
      <c r="A484" s="1540"/>
      <c r="B484" s="1540"/>
      <c r="C484" s="1540"/>
      <c r="D484" s="1540"/>
      <c r="E484" s="1540"/>
      <c r="F484" s="1540"/>
      <c r="G484" s="1540"/>
      <c r="H484" s="1540"/>
      <c r="I484" s="1557" t="s">
        <v>377</v>
      </c>
      <c r="J484" s="1573"/>
      <c r="K484" s="1574"/>
      <c r="L484" s="1574"/>
      <c r="M484" s="1564"/>
      <c r="N484" s="1864">
        <f>N480-M480</f>
        <v>4.3060631428589513E-2</v>
      </c>
      <c r="O484" s="1865">
        <f t="shared" ref="O484:AJ484" si="941">O480-N480</f>
        <v>3.817485240509777E-2</v>
      </c>
      <c r="P484" s="1865">
        <f t="shared" si="941"/>
        <v>0.11185192545144307</v>
      </c>
      <c r="Q484" s="1865">
        <f t="shared" si="941"/>
        <v>-0.14656016547405165</v>
      </c>
      <c r="R484" s="1865">
        <f t="shared" si="941"/>
        <v>4.0729913624865499E-2</v>
      </c>
      <c r="S484" s="1865">
        <f t="shared" si="941"/>
        <v>-4.5343573307660978E-2</v>
      </c>
      <c r="T484" s="1865">
        <f t="shared" si="941"/>
        <v>4.4615910035639139E-3</v>
      </c>
      <c r="U484" s="1866">
        <f t="shared" si="941"/>
        <v>-8.2372867241062436E-2</v>
      </c>
      <c r="V484" s="1865">
        <f t="shared" si="941"/>
        <v>6.7629952110544872E-2</v>
      </c>
      <c r="W484" s="1865">
        <f t="shared" si="941"/>
        <v>-9.3973207980266316E-3</v>
      </c>
      <c r="X484" s="1867">
        <f t="shared" si="941"/>
        <v>-5.0225150760901727E-2</v>
      </c>
      <c r="Y484" s="1865">
        <f t="shared" si="941"/>
        <v>-4.4788537329862266E-2</v>
      </c>
      <c r="Z484" s="1865">
        <f t="shared" si="941"/>
        <v>7.4259888355524217E-2</v>
      </c>
      <c r="AA484" s="1865">
        <f t="shared" si="941"/>
        <v>-2.5741815509032706E-2</v>
      </c>
      <c r="AB484" s="1865">
        <f t="shared" si="941"/>
        <v>7.27802989760723E-2</v>
      </c>
      <c r="AC484" s="1866">
        <f t="shared" si="941"/>
        <v>-8.2935533481565321E-2</v>
      </c>
      <c r="AD484" s="1865">
        <f t="shared" si="941"/>
        <v>3.7734152039402641E-2</v>
      </c>
      <c r="AE484" s="1865">
        <f t="shared" si="941"/>
        <v>4.4208282206658622E-3</v>
      </c>
      <c r="AF484" s="1865">
        <f t="shared" si="941"/>
        <v>-1.0696368187410377E-2</v>
      </c>
      <c r="AG484" s="1866">
        <f t="shared" si="941"/>
        <v>-7.1336201987073272E-2</v>
      </c>
      <c r="AH484" s="1865">
        <f t="shared" si="941"/>
        <v>0.12882147684248565</v>
      </c>
      <c r="AI484" s="1865">
        <f t="shared" si="941"/>
        <v>-7.0915185222757027E-2</v>
      </c>
      <c r="AJ484" s="1867">
        <f t="shared" si="941"/>
        <v>-4.0888561933786621E-2</v>
      </c>
      <c r="AK484" s="1865">
        <f t="shared" ref="AK484:AR484" si="942">AK480-AJ480</f>
        <v>-0.20232510126933731</v>
      </c>
      <c r="AL484" s="1865">
        <f t="shared" si="942"/>
        <v>0</v>
      </c>
      <c r="AM484" s="1865">
        <f t="shared" si="942"/>
        <v>0</v>
      </c>
      <c r="AN484" s="1867">
        <f t="shared" si="942"/>
        <v>0</v>
      </c>
      <c r="AO484" s="1865">
        <f t="shared" si="942"/>
        <v>0</v>
      </c>
      <c r="AP484" s="1865">
        <f t="shared" si="942"/>
        <v>0</v>
      </c>
      <c r="AQ484" s="1865">
        <f t="shared" si="942"/>
        <v>0</v>
      </c>
      <c r="AR484" s="1867">
        <f t="shared" si="942"/>
        <v>0</v>
      </c>
      <c r="AS484" s="1865">
        <f t="shared" ref="AS484:BD484" si="943">AS480-AR480</f>
        <v>0</v>
      </c>
      <c r="AT484" s="1865">
        <f t="shared" si="943"/>
        <v>0</v>
      </c>
      <c r="AU484" s="1865">
        <f t="shared" si="943"/>
        <v>0</v>
      </c>
      <c r="AV484" s="1867">
        <f t="shared" si="943"/>
        <v>0</v>
      </c>
      <c r="AW484" s="1865">
        <f t="shared" si="943"/>
        <v>0</v>
      </c>
      <c r="AX484" s="1865">
        <f t="shared" si="943"/>
        <v>0</v>
      </c>
      <c r="AY484" s="1865">
        <f t="shared" si="943"/>
        <v>0</v>
      </c>
      <c r="AZ484" s="1867">
        <f t="shared" si="943"/>
        <v>0</v>
      </c>
      <c r="BA484" s="1865">
        <f t="shared" si="943"/>
        <v>0</v>
      </c>
      <c r="BB484" s="1865">
        <f t="shared" si="943"/>
        <v>0</v>
      </c>
      <c r="BC484" s="1865">
        <f t="shared" si="943"/>
        <v>0</v>
      </c>
      <c r="BD484" s="1867">
        <f t="shared" si="943"/>
        <v>0</v>
      </c>
      <c r="BE484" s="1865"/>
      <c r="BF484" s="1652"/>
      <c r="BG484" s="1564"/>
      <c r="BH484" s="1564"/>
      <c r="BI484" s="1564"/>
      <c r="BJ484" s="1564"/>
      <c r="BK484" s="1564"/>
      <c r="BL484" s="1564"/>
      <c r="BM484" s="1564"/>
      <c r="BN484" s="1652"/>
      <c r="BO484" s="1564"/>
      <c r="BP484" s="1564"/>
      <c r="BQ484" s="1564"/>
      <c r="BR484" s="1564"/>
      <c r="BS484" s="1564"/>
      <c r="BT484" s="1564"/>
      <c r="BU484" s="1564"/>
      <c r="BV484" s="1564"/>
      <c r="BW484" s="1564"/>
      <c r="BX484" s="1564"/>
      <c r="BY484" s="1566"/>
      <c r="BZ484" s="1564"/>
      <c r="CA484" s="1555"/>
      <c r="CB484" s="1556"/>
      <c r="CC484" s="1556"/>
      <c r="CD484" s="1556"/>
      <c r="CE484" s="1556"/>
      <c r="CF484" s="1556"/>
      <c r="CG484" s="1556"/>
    </row>
    <row r="485" spans="1:85" ht="11.25" hidden="1" customHeight="1" outlineLevel="2">
      <c r="A485" s="36"/>
      <c r="B485" s="36"/>
      <c r="C485" s="36"/>
      <c r="D485" s="36"/>
      <c r="E485" s="36"/>
      <c r="F485" s="36"/>
      <c r="G485" s="36"/>
      <c r="I485" s="633"/>
      <c r="J485" s="54"/>
      <c r="K485" s="54"/>
      <c r="L485" s="54"/>
      <c r="M485" s="54"/>
      <c r="N485" s="54"/>
      <c r="O485" s="54"/>
      <c r="P485" s="54"/>
      <c r="Q485" s="54"/>
      <c r="R485" s="54"/>
      <c r="S485" s="54"/>
      <c r="T485" s="54"/>
      <c r="U485" s="633"/>
      <c r="V485" s="54"/>
      <c r="W485" s="54"/>
      <c r="X485" s="619"/>
      <c r="Y485" s="54"/>
      <c r="Z485" s="54"/>
      <c r="AA485" s="54"/>
      <c r="AB485" s="54"/>
      <c r="AC485" s="633"/>
      <c r="AD485" s="54"/>
      <c r="AE485" s="54"/>
      <c r="AF485" s="54"/>
      <c r="AG485" s="633"/>
      <c r="AH485" s="54"/>
      <c r="AI485" s="54"/>
      <c r="AJ485" s="619"/>
      <c r="AK485" s="54"/>
      <c r="AL485" s="54"/>
      <c r="AM485" s="54"/>
      <c r="AN485" s="619"/>
      <c r="AO485" s="54"/>
      <c r="AP485" s="54"/>
      <c r="AQ485" s="54"/>
      <c r="AR485" s="619"/>
      <c r="AS485" s="54"/>
      <c r="AT485" s="54"/>
      <c r="AU485" s="54"/>
      <c r="AV485" s="619"/>
      <c r="AW485" s="54"/>
      <c r="AX485" s="54"/>
      <c r="AY485" s="54"/>
      <c r="AZ485" s="619"/>
      <c r="BA485" s="54"/>
      <c r="BB485" s="54"/>
      <c r="BC485" s="54"/>
      <c r="BD485" s="619"/>
      <c r="BE485" s="83"/>
      <c r="BF485" s="633"/>
      <c r="BG485" s="54"/>
      <c r="BH485" s="54"/>
      <c r="BI485" s="54"/>
      <c r="BJ485" s="54"/>
      <c r="BK485" s="54"/>
      <c r="BL485" s="54"/>
      <c r="BM485" s="54"/>
      <c r="BN485" s="633"/>
      <c r="BO485" s="54"/>
      <c r="BP485" s="54"/>
      <c r="BQ485" s="54"/>
      <c r="BR485" s="54"/>
      <c r="BS485" s="54"/>
      <c r="BT485" s="54"/>
      <c r="BU485" s="54"/>
      <c r="BV485" s="54"/>
      <c r="BW485" s="54"/>
      <c r="BX485" s="54"/>
      <c r="BY485" s="619"/>
      <c r="CA485" s="36"/>
      <c r="CB485" s="36"/>
      <c r="CC485" s="36"/>
      <c r="CD485" s="36"/>
      <c r="CE485" s="36"/>
      <c r="CF485" s="36"/>
      <c r="CG485" s="36"/>
    </row>
    <row r="486" spans="1:85" ht="11.25" hidden="1" customHeight="1" outlineLevel="2">
      <c r="A486" s="36"/>
      <c r="B486" s="36"/>
      <c r="C486" s="36"/>
      <c r="D486" s="36"/>
      <c r="E486" s="36"/>
      <c r="F486" s="36"/>
      <c r="G486" s="36"/>
      <c r="I486" s="54"/>
      <c r="J486" s="54"/>
      <c r="K486" s="54"/>
      <c r="L486" s="54"/>
      <c r="M486" s="54"/>
      <c r="N486" s="54"/>
      <c r="O486" s="54"/>
      <c r="P486" s="54"/>
      <c r="Q486" s="54"/>
      <c r="R486" s="54"/>
      <c r="S486" s="54"/>
      <c r="T486" s="54"/>
      <c r="U486" s="54"/>
      <c r="V486" s="54"/>
      <c r="W486" s="54"/>
      <c r="X486" s="54"/>
      <c r="Y486" s="54"/>
      <c r="Z486" s="54"/>
      <c r="AA486" s="54"/>
      <c r="AB486" s="54"/>
      <c r="AC486" s="54"/>
      <c r="AD486" s="54"/>
      <c r="AE486" s="54"/>
      <c r="AF486" s="54"/>
      <c r="AG486" s="54"/>
      <c r="AH486" s="54"/>
      <c r="AI486" s="54"/>
      <c r="AJ486" s="54"/>
      <c r="AK486" s="54"/>
      <c r="AL486" s="54"/>
      <c r="AM486" s="54"/>
      <c r="AN486" s="54"/>
      <c r="AO486" s="54"/>
      <c r="AP486" s="54"/>
      <c r="AQ486" s="54"/>
      <c r="AR486" s="54"/>
      <c r="AS486" s="54"/>
      <c r="AT486" s="54"/>
      <c r="AU486" s="54"/>
      <c r="AV486" s="54"/>
      <c r="AW486" s="54"/>
      <c r="AX486" s="54"/>
      <c r="AY486" s="54"/>
      <c r="AZ486" s="54"/>
      <c r="BA486" s="54"/>
      <c r="BB486" s="54"/>
      <c r="BC486" s="54"/>
      <c r="BD486" s="54"/>
      <c r="BE486" s="83"/>
      <c r="BF486" s="54"/>
      <c r="BG486" s="54"/>
      <c r="BH486" s="54"/>
      <c r="BI486" s="54"/>
      <c r="BJ486" s="54"/>
      <c r="BK486" s="54"/>
      <c r="BL486" s="54"/>
      <c r="BM486" s="54"/>
      <c r="BN486" s="54"/>
      <c r="BO486" s="54"/>
      <c r="BP486" s="54"/>
      <c r="BQ486" s="54"/>
      <c r="BR486" s="54"/>
      <c r="BS486" s="54"/>
      <c r="BT486" s="54"/>
      <c r="BU486" s="54"/>
      <c r="BV486" s="54"/>
      <c r="BW486" s="54"/>
      <c r="BX486" s="54"/>
      <c r="BY486" s="54"/>
      <c r="CA486" s="36"/>
      <c r="CB486" s="36"/>
      <c r="CC486" s="36"/>
      <c r="CD486" s="36"/>
      <c r="CE486" s="36"/>
      <c r="CF486" s="36"/>
      <c r="CG486" s="36"/>
    </row>
    <row r="487" spans="1:85" ht="11.25" hidden="1" customHeight="1" outlineLevel="2">
      <c r="A487" s="36"/>
      <c r="B487" s="36"/>
      <c r="C487" s="36"/>
      <c r="D487" s="36"/>
      <c r="E487" s="36"/>
      <c r="F487" s="36"/>
      <c r="G487" s="36"/>
      <c r="I487" s="54"/>
      <c r="J487" s="54"/>
      <c r="K487" s="54"/>
      <c r="L487" s="54"/>
      <c r="M487" s="54"/>
      <c r="N487" s="54"/>
      <c r="O487" s="54"/>
      <c r="P487" s="54"/>
      <c r="Q487" s="54"/>
      <c r="R487" s="54"/>
      <c r="S487" s="54"/>
      <c r="T487" s="54"/>
      <c r="U487" s="54"/>
      <c r="V487" s="54"/>
      <c r="W487" s="54"/>
      <c r="X487" s="54"/>
      <c r="Y487" s="54"/>
      <c r="Z487" s="54"/>
      <c r="AA487" s="54"/>
      <c r="AB487" s="54"/>
      <c r="AC487" s="54"/>
      <c r="AD487" s="54"/>
      <c r="AE487" s="54"/>
      <c r="AF487" s="54"/>
      <c r="AG487" s="54"/>
      <c r="AH487" s="54"/>
      <c r="AI487" s="54"/>
      <c r="AJ487" s="54"/>
      <c r="AK487" s="54"/>
      <c r="AL487" s="54"/>
      <c r="AM487" s="54"/>
      <c r="AN487" s="54"/>
      <c r="AO487" s="54"/>
      <c r="AP487" s="54"/>
      <c r="AQ487" s="54"/>
      <c r="AR487" s="54"/>
      <c r="AS487" s="54"/>
      <c r="AT487" s="54"/>
      <c r="AU487" s="54"/>
      <c r="AV487" s="54"/>
      <c r="AW487" s="54"/>
      <c r="AX487" s="54"/>
      <c r="AY487" s="54"/>
      <c r="AZ487" s="54"/>
      <c r="BA487" s="54"/>
      <c r="BB487" s="54"/>
      <c r="BC487" s="54"/>
      <c r="BD487" s="54"/>
      <c r="BE487" s="83"/>
      <c r="BF487" s="54"/>
      <c r="BG487" s="54"/>
      <c r="BH487" s="54"/>
      <c r="BI487" s="54"/>
      <c r="BJ487" s="54"/>
      <c r="BK487" s="54"/>
      <c r="BL487" s="54"/>
      <c r="BM487" s="54"/>
      <c r="BN487" s="54"/>
      <c r="BO487" s="54"/>
      <c r="BP487" s="54"/>
      <c r="BQ487" s="54"/>
      <c r="BR487" s="54"/>
      <c r="BS487" s="54"/>
      <c r="BT487" s="54"/>
      <c r="BU487" s="54"/>
      <c r="BV487" s="54"/>
      <c r="BW487" s="54"/>
      <c r="BX487" s="54"/>
      <c r="BY487" s="54"/>
      <c r="CA487" s="36"/>
      <c r="CB487" s="36"/>
      <c r="CC487" s="36"/>
      <c r="CD487" s="36"/>
      <c r="CE487" s="36"/>
      <c r="CF487" s="36"/>
      <c r="CG487" s="36"/>
    </row>
    <row r="488" spans="1:85" s="106" customFormat="1" ht="11.25" hidden="1" customHeight="1" outlineLevel="1" collapsed="1">
      <c r="A488" s="54"/>
      <c r="B488" s="54"/>
      <c r="C488" s="54"/>
      <c r="D488" s="54"/>
      <c r="E488" s="54"/>
      <c r="F488" s="54"/>
      <c r="G488" s="54"/>
      <c r="H488" s="83"/>
      <c r="I488" s="769" t="s">
        <v>344</v>
      </c>
      <c r="J488" s="324"/>
      <c r="K488" s="324"/>
      <c r="L488" s="324"/>
      <c r="M488" s="325"/>
      <c r="N488" s="325"/>
      <c r="O488" s="325"/>
      <c r="P488" s="325"/>
      <c r="Q488" s="325"/>
      <c r="R488" s="325"/>
      <c r="S488" s="325"/>
      <c r="T488" s="325"/>
      <c r="U488" s="788"/>
      <c r="V488" s="325"/>
      <c r="W488" s="325"/>
      <c r="X488" s="747"/>
      <c r="Y488" s="325"/>
      <c r="Z488" s="325"/>
      <c r="AA488" s="325"/>
      <c r="AB488" s="325"/>
      <c r="AC488" s="746"/>
      <c r="AD488" s="325"/>
      <c r="AE488" s="325"/>
      <c r="AF488" s="325"/>
      <c r="AG488" s="746"/>
      <c r="AH488" s="325"/>
      <c r="AI488" s="325"/>
      <c r="AJ488" s="747"/>
      <c r="AK488" s="325"/>
      <c r="AL488" s="325"/>
      <c r="AM488" s="325"/>
      <c r="AN488" s="325"/>
      <c r="AO488" s="746"/>
      <c r="AP488" s="325"/>
      <c r="AQ488" s="325"/>
      <c r="AR488" s="747"/>
      <c r="AS488" s="325"/>
      <c r="AT488" s="325"/>
      <c r="AU488" s="325"/>
      <c r="AV488" s="747"/>
      <c r="AW488" s="325"/>
      <c r="AX488" s="325"/>
      <c r="AY488" s="325"/>
      <c r="AZ488" s="747"/>
      <c r="BA488" s="325"/>
      <c r="BB488" s="325"/>
      <c r="BC488" s="325"/>
      <c r="BD488" s="747"/>
      <c r="BE488" s="335"/>
      <c r="BF488" s="781"/>
      <c r="BG488" s="323"/>
      <c r="BH488" s="323"/>
      <c r="BI488" s="323"/>
      <c r="BJ488" s="323"/>
      <c r="BK488" s="323"/>
      <c r="BL488" s="323"/>
      <c r="BM488" s="323"/>
      <c r="BN488" s="1418"/>
      <c r="BO488" s="323"/>
      <c r="BP488" s="323"/>
      <c r="BQ488" s="323"/>
      <c r="BR488" s="323"/>
      <c r="BS488" s="323"/>
      <c r="BT488" s="323"/>
      <c r="BU488" s="323"/>
      <c r="BV488" s="323"/>
      <c r="BW488" s="323"/>
      <c r="BX488" s="323"/>
      <c r="BY488" s="782"/>
      <c r="BZ488" s="68"/>
      <c r="CA488" s="54"/>
      <c r="CE488" s="54"/>
      <c r="CF488" s="54"/>
      <c r="CG488" s="54"/>
    </row>
    <row r="489" spans="1:85" s="83" customFormat="1" ht="11.25" hidden="1" customHeight="1" outlineLevel="2">
      <c r="I489" s="455"/>
      <c r="J489" s="334"/>
      <c r="K489" s="334"/>
      <c r="L489" s="334"/>
      <c r="M489" s="335"/>
      <c r="N489" s="335"/>
      <c r="O489" s="335"/>
      <c r="P489" s="335"/>
      <c r="Q489" s="335"/>
      <c r="R489" s="335"/>
      <c r="S489" s="335"/>
      <c r="T489" s="335"/>
      <c r="U489" s="789"/>
      <c r="V489" s="335"/>
      <c r="W489" s="335"/>
      <c r="X489" s="749"/>
      <c r="Y489" s="335"/>
      <c r="Z489" s="335"/>
      <c r="AA489" s="335"/>
      <c r="AB489" s="335"/>
      <c r="AC489" s="748"/>
      <c r="AD489" s="335"/>
      <c r="AE489" s="335"/>
      <c r="AF489" s="335"/>
      <c r="AG489" s="748"/>
      <c r="AH489" s="335"/>
      <c r="AI489" s="335"/>
      <c r="AJ489" s="749"/>
      <c r="AK489" s="428"/>
      <c r="AL489" s="428"/>
      <c r="AM489" s="428"/>
      <c r="AN489" s="428"/>
      <c r="AO489" s="506"/>
      <c r="AP489" s="428"/>
      <c r="AQ489" s="2246"/>
      <c r="AR489" s="749"/>
      <c r="AS489" s="428"/>
      <c r="AT489" s="335"/>
      <c r="AU489" s="335"/>
      <c r="AV489" s="749"/>
      <c r="AW489" s="428"/>
      <c r="AX489" s="335"/>
      <c r="AY489" s="335"/>
      <c r="AZ489" s="749"/>
      <c r="BA489" s="428"/>
      <c r="BB489" s="335"/>
      <c r="BC489" s="335"/>
      <c r="BD489" s="749"/>
      <c r="BE489" s="335"/>
      <c r="BF489" s="507"/>
      <c r="BG489" s="68"/>
      <c r="BH489" s="68"/>
      <c r="BI489" s="68"/>
      <c r="BJ489" s="68"/>
      <c r="BK489" s="68"/>
      <c r="BL489" s="68"/>
      <c r="BM489" s="68"/>
      <c r="BN489" s="507"/>
      <c r="BO489" s="68"/>
      <c r="BP489" s="68"/>
      <c r="BQ489" s="2015"/>
      <c r="BR489" s="68"/>
      <c r="BS489" s="68"/>
      <c r="BT489" s="68"/>
      <c r="BU489" s="68"/>
      <c r="BV489" s="68"/>
      <c r="BW489" s="68"/>
      <c r="BX489" s="68"/>
      <c r="BY489" s="475"/>
      <c r="BZ489" s="68"/>
    </row>
    <row r="490" spans="1:85" s="41" customFormat="1" ht="11.25" hidden="1" customHeight="1" outlineLevel="2">
      <c r="A490" s="91"/>
      <c r="B490" s="91"/>
      <c r="C490" s="91"/>
      <c r="D490" s="91"/>
      <c r="E490" s="91"/>
      <c r="F490" s="91"/>
      <c r="G490" s="91"/>
      <c r="H490" s="1349"/>
      <c r="I490" s="783" t="s">
        <v>252</v>
      </c>
      <c r="J490" s="192"/>
      <c r="K490" s="331"/>
      <c r="L490" s="331"/>
      <c r="M490" s="331">
        <f>Model!M19</f>
        <v>7.0880000000000001</v>
      </c>
      <c r="N490" s="331">
        <f>Model!N19</f>
        <v>8.1519999999999992</v>
      </c>
      <c r="O490" s="331">
        <f>Model!O19</f>
        <v>8.8800000000000008</v>
      </c>
      <c r="P490" s="331">
        <f>Model!P19</f>
        <v>9.6389999999999993</v>
      </c>
      <c r="Q490" s="331">
        <f>Model!Q19</f>
        <v>11.222</v>
      </c>
      <c r="R490" s="331">
        <f>Model!R19</f>
        <v>13.356999999999999</v>
      </c>
      <c r="S490" s="331">
        <f>Model!S19</f>
        <v>15.746</v>
      </c>
      <c r="T490" s="331">
        <f>Model!T19</f>
        <v>18.148</v>
      </c>
      <c r="U490" s="658">
        <f>Model!U19</f>
        <v>21.472999999999999</v>
      </c>
      <c r="V490" s="331">
        <f>Model!V19</f>
        <v>25.254999999999999</v>
      </c>
      <c r="W490" s="331">
        <f>Model!W19</f>
        <v>28.484999999999999</v>
      </c>
      <c r="X490" s="694">
        <f>Model!X19</f>
        <v>33.945</v>
      </c>
      <c r="Y490" s="331">
        <f>Model!Y19</f>
        <v>38.866</v>
      </c>
      <c r="Z490" s="331">
        <f>Model!Z19</f>
        <v>44.8</v>
      </c>
      <c r="AA490" s="331">
        <f>Model!AA19</f>
        <v>51.167000000000002</v>
      </c>
      <c r="AB490" s="331">
        <f>Model!AB19</f>
        <v>58.052</v>
      </c>
      <c r="AC490" s="658">
        <f>Model!AC19</f>
        <v>65.2</v>
      </c>
      <c r="AD490" s="331">
        <f>Model!AD19</f>
        <v>75.685000000000002</v>
      </c>
      <c r="AE490" s="331">
        <f>Model!AE19</f>
        <v>85.132000000000005</v>
      </c>
      <c r="AF490" s="331">
        <f>Model!AF19</f>
        <v>93.1</v>
      </c>
      <c r="AG490" s="2641">
        <f>Model!AG19</f>
        <v>98.57</v>
      </c>
      <c r="AH490" s="2642">
        <f>Model!AH19</f>
        <v>107.88200000000001</v>
      </c>
      <c r="AI490" s="2642">
        <f>Model!AI19</f>
        <v>115.932</v>
      </c>
      <c r="AJ490" s="2643">
        <f>Model!AJ19</f>
        <v>125.851</v>
      </c>
      <c r="AK490" s="2642">
        <f>Model!AK19</f>
        <v>138.11600000000001</v>
      </c>
      <c r="AL490" s="2642">
        <f>Model!AL19</f>
        <v>151.87899999999999</v>
      </c>
      <c r="AM490" s="2642">
        <f>Model!AM19</f>
        <v>163.6</v>
      </c>
      <c r="AN490" s="2642">
        <f>Model!AN19</f>
        <v>171.1</v>
      </c>
      <c r="AO490" s="2641">
        <f>Model!AO19</f>
        <v>177</v>
      </c>
      <c r="AP490" s="322">
        <f t="shared" ref="AP490:BD490" si="944">AL490+AP495</f>
        <v>187.87899999999999</v>
      </c>
      <c r="AQ490" s="322">
        <f t="shared" si="944"/>
        <v>197.6</v>
      </c>
      <c r="AR490" s="734">
        <f t="shared" si="944"/>
        <v>209.1</v>
      </c>
      <c r="AS490" s="322">
        <f t="shared" si="944"/>
        <v>213</v>
      </c>
      <c r="AT490" s="322">
        <f t="shared" si="944"/>
        <v>224.87899999999999</v>
      </c>
      <c r="AU490" s="322">
        <f t="shared" si="944"/>
        <v>234.6</v>
      </c>
      <c r="AV490" s="734">
        <f t="shared" si="944"/>
        <v>245.1</v>
      </c>
      <c r="AW490" s="322">
        <f t="shared" si="944"/>
        <v>250</v>
      </c>
      <c r="AX490" s="322">
        <f t="shared" si="944"/>
        <v>261.87900000000002</v>
      </c>
      <c r="AY490" s="322">
        <f t="shared" si="944"/>
        <v>271.60000000000002</v>
      </c>
      <c r="AZ490" s="734">
        <f t="shared" si="944"/>
        <v>282.10000000000002</v>
      </c>
      <c r="BA490" s="322">
        <f t="shared" si="944"/>
        <v>287</v>
      </c>
      <c r="BB490" s="322">
        <f t="shared" si="944"/>
        <v>298.87900000000002</v>
      </c>
      <c r="BC490" s="322">
        <f t="shared" si="944"/>
        <v>308.60000000000002</v>
      </c>
      <c r="BD490" s="734">
        <f t="shared" si="944"/>
        <v>319.10000000000002</v>
      </c>
      <c r="BE490" s="428"/>
      <c r="BF490" s="658"/>
      <c r="BG490" s="331"/>
      <c r="BH490" s="331">
        <f>Model!BI19</f>
        <v>9.0570000000000004</v>
      </c>
      <c r="BI490" s="331">
        <f>Model!BJ19</f>
        <v>20.097000000000001</v>
      </c>
      <c r="BJ490" s="331">
        <f>SUM(M490:P490)</f>
        <v>33.759</v>
      </c>
      <c r="BK490" s="331">
        <f>SUM(Q490:T490)</f>
        <v>58.472999999999999</v>
      </c>
      <c r="BL490" s="331">
        <f>SUM(U490:X490)</f>
        <v>109.15799999999999</v>
      </c>
      <c r="BM490" s="331">
        <f>SUM(Y490:AB490)</f>
        <v>192.88499999999999</v>
      </c>
      <c r="BN490" s="658">
        <f>SUM(AC490:AF490)</f>
        <v>319.11699999999996</v>
      </c>
      <c r="BO490" s="331">
        <f>SUM(AG490:AJ490)</f>
        <v>448.23500000000001</v>
      </c>
      <c r="BP490" s="428">
        <f>SUM(AK490:AN490)</f>
        <v>624.69500000000005</v>
      </c>
      <c r="BQ490" s="428">
        <f>SUM(AO490:AR490)</f>
        <v>771.57900000000006</v>
      </c>
      <c r="BR490" s="428">
        <f>SUM(AS490:AV490)</f>
        <v>917.57900000000006</v>
      </c>
      <c r="BS490" s="428">
        <f>SUM(AW490:AZ490)</f>
        <v>1065.5790000000002</v>
      </c>
      <c r="BT490" s="428">
        <f>SUM(BA490:BD490)</f>
        <v>1213.5790000000002</v>
      </c>
      <c r="BU490" s="322">
        <f>BT490+BU495</f>
        <v>1343.5790000000002</v>
      </c>
      <c r="BV490" s="322">
        <f>BU490+BV495</f>
        <v>1467.5790000000002</v>
      </c>
      <c r="BW490" s="322">
        <f>BV490+BW495</f>
        <v>1576.5790000000002</v>
      </c>
      <c r="BX490" s="322">
        <f>BW490+BX495</f>
        <v>1680.5790000000002</v>
      </c>
      <c r="BY490" s="734">
        <f>BX490+BY495</f>
        <v>1780.5790000000002</v>
      </c>
      <c r="BZ490" s="1389"/>
      <c r="CA490" s="95">
        <f>IF(ISERROR(RATE(5,,-BI490,BN490)),"NM",(RATE(5,,-BI490,BN490)))</f>
        <v>0.73845615355844141</v>
      </c>
      <c r="CB490" s="95">
        <f t="shared" ref="CB490:CG490" si="945">IF(ISERROR(RATE(3,,-BK490,BN490)),"NM",(RATE(3,,-BK490,BN490)))</f>
        <v>0.76061685332556961</v>
      </c>
      <c r="CC490" s="95">
        <f t="shared" si="945"/>
        <v>0.60133943328517936</v>
      </c>
      <c r="CD490" s="95">
        <f t="shared" si="945"/>
        <v>0.47952800999183592</v>
      </c>
      <c r="CE490" s="95">
        <f t="shared" si="945"/>
        <v>0.34217811406855625</v>
      </c>
      <c r="CF490" s="95">
        <f t="shared" si="945"/>
        <v>0.26973346762839978</v>
      </c>
      <c r="CG490" s="95">
        <f t="shared" si="945"/>
        <v>0.19482932858968266</v>
      </c>
    </row>
    <row r="491" spans="1:85" ht="11.25" hidden="1" customHeight="1" outlineLevel="2">
      <c r="A491" s="86"/>
      <c r="B491" s="86"/>
      <c r="C491" s="86"/>
      <c r="D491" s="86"/>
      <c r="E491" s="86"/>
      <c r="F491" s="86"/>
      <c r="G491" s="86"/>
      <c r="H491" s="328"/>
      <c r="I491" s="770" t="s">
        <v>132</v>
      </c>
      <c r="J491" s="193"/>
      <c r="K491" s="67"/>
      <c r="L491" s="67"/>
      <c r="M491" s="198" t="str">
        <f>IF(ISERROR(M490/I490-1),"NA",(IF(M490&lt;=0,"NM",M490/I490-1)))</f>
        <v>NA</v>
      </c>
      <c r="N491" s="198" t="str">
        <f>IF(ISERROR(N490/J490-1),"NA",(IF(N490&lt;=0,"NM",N490/J490-1)))</f>
        <v>NA</v>
      </c>
      <c r="O491" s="198" t="str">
        <f>IF(ISERROR(O490/K490-1),"NA",(IF(O490&lt;=0,"NM",O490/K490-1)))</f>
        <v>NA</v>
      </c>
      <c r="P491" s="198" t="str">
        <f>IF(ISERROR(P490/L490-1),"NA",(IF(P490&lt;=0,"NM",P490/L490-1)))</f>
        <v>NA</v>
      </c>
      <c r="Q491" s="198">
        <f>IF(ISERROR(Q490/M490-1),"NA",(IF(Q490&lt;=0,"NM",Q490/M490-1)))</f>
        <v>0.58323927765237005</v>
      </c>
      <c r="R491" s="198">
        <f t="shared" ref="R491:AF491" si="946">IF(ISERROR(R490/N490-1),"NA",(IF(R490&lt;=0,"NM",R490/N490-1)))</f>
        <v>0.63849362119725228</v>
      </c>
      <c r="S491" s="198">
        <f t="shared" si="946"/>
        <v>0.77319819819819813</v>
      </c>
      <c r="T491" s="198">
        <f t="shared" si="946"/>
        <v>0.88276792198360843</v>
      </c>
      <c r="U491" s="751">
        <f t="shared" si="946"/>
        <v>0.9134735341293887</v>
      </c>
      <c r="V491" s="198">
        <f t="shared" si="946"/>
        <v>0.890768885228719</v>
      </c>
      <c r="W491" s="198">
        <f t="shared" si="946"/>
        <v>0.8090308649815825</v>
      </c>
      <c r="X491" s="752">
        <f t="shared" si="946"/>
        <v>0.87045404452281239</v>
      </c>
      <c r="Y491" s="198">
        <f t="shared" si="946"/>
        <v>0.80999394588553075</v>
      </c>
      <c r="Z491" s="198">
        <f t="shared" si="946"/>
        <v>0.77390615719659461</v>
      </c>
      <c r="AA491" s="198">
        <f t="shared" si="946"/>
        <v>0.7962787431981746</v>
      </c>
      <c r="AB491" s="198">
        <f t="shared" si="946"/>
        <v>0.71017822948887899</v>
      </c>
      <c r="AC491" s="751">
        <f t="shared" si="946"/>
        <v>0.67755879174599909</v>
      </c>
      <c r="AD491" s="198">
        <f t="shared" si="946"/>
        <v>0.68939732142857157</v>
      </c>
      <c r="AE491" s="198">
        <f t="shared" si="946"/>
        <v>0.66380675044462256</v>
      </c>
      <c r="AF491" s="198">
        <f t="shared" si="946"/>
        <v>0.60373458278784531</v>
      </c>
      <c r="AG491" s="751">
        <f t="shared" ref="AG491:AO491" si="947">IF(ISERROR(AG490/AC490-1),"NA",(IF(AG490&lt;=0,"NM",AG490/AC490-1)))</f>
        <v>0.51180981595092012</v>
      </c>
      <c r="AH491" s="198">
        <f t="shared" si="947"/>
        <v>0.42540794080729349</v>
      </c>
      <c r="AI491" s="198">
        <f t="shared" si="947"/>
        <v>0.36179110087863542</v>
      </c>
      <c r="AJ491" s="752">
        <f t="shared" si="947"/>
        <v>0.35178302900107417</v>
      </c>
      <c r="AK491" s="264">
        <f t="shared" si="947"/>
        <v>0.40119711879882347</v>
      </c>
      <c r="AL491" s="264">
        <f t="shared" si="947"/>
        <v>0.40782521644018455</v>
      </c>
      <c r="AM491" s="264">
        <f t="shared" si="947"/>
        <v>0.41117206638374215</v>
      </c>
      <c r="AN491" s="264">
        <f t="shared" si="947"/>
        <v>0.35954422293029054</v>
      </c>
      <c r="AO491" s="1373">
        <f t="shared" si="947"/>
        <v>0.28153146630368653</v>
      </c>
      <c r="AP491" s="198">
        <f t="shared" ref="AP491:AV491" si="948">IF(ISERROR(AP490/AL490-1),"NA",(IF(AP490&lt;=0,"NM",AP490/AL490-1)))</f>
        <v>0.23703079425068641</v>
      </c>
      <c r="AQ491" s="198">
        <f t="shared" si="948"/>
        <v>0.2078239608801955</v>
      </c>
      <c r="AR491" s="752">
        <f t="shared" si="948"/>
        <v>0.22209234365867925</v>
      </c>
      <c r="AS491" s="264">
        <f t="shared" si="948"/>
        <v>0.20338983050847448</v>
      </c>
      <c r="AT491" s="198">
        <f t="shared" si="948"/>
        <v>0.19693526152470464</v>
      </c>
      <c r="AU491" s="198">
        <f t="shared" si="948"/>
        <v>0.18724696356275294</v>
      </c>
      <c r="AV491" s="752">
        <f t="shared" si="948"/>
        <v>0.17216642754662836</v>
      </c>
      <c r="AW491" s="264">
        <f t="shared" ref="AW491:BD491" si="949">IF(ISERROR(AW490/AS490-1),"NA",(IF(AW490&lt;=0,"NM",AW490/AS490-1)))</f>
        <v>0.17370892018779349</v>
      </c>
      <c r="AX491" s="198">
        <f t="shared" si="949"/>
        <v>0.16453292659608065</v>
      </c>
      <c r="AY491" s="198">
        <f t="shared" si="949"/>
        <v>0.15771526001705038</v>
      </c>
      <c r="AZ491" s="752">
        <f t="shared" si="949"/>
        <v>0.15095879232966158</v>
      </c>
      <c r="BA491" s="264">
        <f t="shared" si="949"/>
        <v>0.14799999999999991</v>
      </c>
      <c r="BB491" s="198">
        <f t="shared" si="949"/>
        <v>0.14128662473890619</v>
      </c>
      <c r="BC491" s="198">
        <f t="shared" si="949"/>
        <v>0.13622974963181145</v>
      </c>
      <c r="BD491" s="752">
        <f t="shared" si="949"/>
        <v>0.131159163417228</v>
      </c>
      <c r="BE491" s="264"/>
      <c r="BF491" s="751"/>
      <c r="BG491" s="198"/>
      <c r="BH491" s="198" t="str">
        <f t="shared" ref="BH491:BT491" si="950">IF(ISERROR(BH490/BG490-1),"NA",(IF(BH490&lt;=0,"NM",BH490/BG490-1)))</f>
        <v>NA</v>
      </c>
      <c r="BI491" s="198">
        <f t="shared" si="950"/>
        <v>1.21894667108314</v>
      </c>
      <c r="BJ491" s="198">
        <f t="shared" si="950"/>
        <v>0.67980295566502447</v>
      </c>
      <c r="BK491" s="198">
        <f t="shared" si="950"/>
        <v>0.73207144761396958</v>
      </c>
      <c r="BL491" s="198">
        <f t="shared" si="950"/>
        <v>0.86681032271304681</v>
      </c>
      <c r="BM491" s="198">
        <f t="shared" si="950"/>
        <v>0.76702577914582548</v>
      </c>
      <c r="BN491" s="751">
        <f t="shared" si="950"/>
        <v>0.65444176581901115</v>
      </c>
      <c r="BO491" s="198">
        <f t="shared" si="950"/>
        <v>0.40461022132948132</v>
      </c>
      <c r="BP491" s="198">
        <f t="shared" si="950"/>
        <v>0.39367742367285019</v>
      </c>
      <c r="BQ491" s="198">
        <f t="shared" si="950"/>
        <v>0.23512914302179455</v>
      </c>
      <c r="BR491" s="198">
        <f t="shared" si="950"/>
        <v>0.18922236089888389</v>
      </c>
      <c r="BS491" s="198">
        <f t="shared" si="950"/>
        <v>0.16129401392141718</v>
      </c>
      <c r="BT491" s="198">
        <f t="shared" si="950"/>
        <v>0.13889162605494287</v>
      </c>
      <c r="BU491" s="198">
        <f>IF(ISERROR(BU490/BT490-1),"NA",(IF(BU490&lt;=0,"NM",BU490/BT490-1)))</f>
        <v>0.10712116804921634</v>
      </c>
      <c r="BV491" s="198">
        <f>IF(ISERROR(BV490/BU490-1),"NA",(IF(BV490&lt;=0,"NM",BV490/BU490-1)))</f>
        <v>9.2290814310137304E-2</v>
      </c>
      <c r="BW491" s="198">
        <f>IF(ISERROR(BW490/BV490-1),"NA",(IF(BW490&lt;=0,"NM",BW490/BV490-1)))</f>
        <v>7.4271981269832921E-2</v>
      </c>
      <c r="BX491" s="198">
        <f>IF(ISERROR(BX490/BW490-1),"NA",(IF(BX490&lt;=0,"NM",BX490/BW490-1)))</f>
        <v>6.5965612887143532E-2</v>
      </c>
      <c r="BY491" s="752">
        <f>IF(ISERROR(BY490/BX490-1),"NA",(IF(BY490&lt;=0,"NM",BY490/BX490-1)))</f>
        <v>5.9503302135752056E-2</v>
      </c>
      <c r="BZ491" s="264"/>
      <c r="CA491" s="80"/>
      <c r="CB491" s="88"/>
      <c r="CC491" s="88"/>
      <c r="CD491" s="88"/>
      <c r="CE491" s="88"/>
      <c r="CF491" s="88"/>
      <c r="CG491" s="88"/>
    </row>
    <row r="492" spans="1:85" s="41" customFormat="1" ht="11.25" hidden="1" customHeight="1" outlineLevel="2">
      <c r="A492" s="91"/>
      <c r="B492" s="91"/>
      <c r="C492" s="91"/>
      <c r="D492" s="91"/>
      <c r="E492" s="91"/>
      <c r="F492" s="91"/>
      <c r="G492" s="91"/>
      <c r="H492" s="1349"/>
      <c r="I492" s="773" t="s">
        <v>508</v>
      </c>
      <c r="J492" s="192"/>
      <c r="K492" s="331"/>
      <c r="L492" s="331"/>
      <c r="M492" s="359"/>
      <c r="N492" s="359"/>
      <c r="O492" s="359"/>
      <c r="P492" s="359"/>
      <c r="Q492" s="359"/>
      <c r="R492" s="359"/>
      <c r="S492" s="359"/>
      <c r="T492" s="359"/>
      <c r="U492" s="359">
        <f t="shared" ref="U492:AO492" si="951">+U491+Q491</f>
        <v>1.4967128117817587</v>
      </c>
      <c r="V492" s="359">
        <f t="shared" si="951"/>
        <v>1.5292625064259713</v>
      </c>
      <c r="W492" s="359">
        <f t="shared" si="951"/>
        <v>1.5822290631797806</v>
      </c>
      <c r="X492" s="359">
        <f t="shared" si="951"/>
        <v>1.7532219665064208</v>
      </c>
      <c r="Y492" s="359">
        <f t="shared" si="951"/>
        <v>1.7234674800149195</v>
      </c>
      <c r="Z492" s="359">
        <f t="shared" si="951"/>
        <v>1.6646750424253136</v>
      </c>
      <c r="AA492" s="359">
        <f t="shared" si="951"/>
        <v>1.6053096081797571</v>
      </c>
      <c r="AB492" s="359">
        <f t="shared" si="951"/>
        <v>1.5806322740116914</v>
      </c>
      <c r="AC492" s="359">
        <f t="shared" si="951"/>
        <v>1.4875527376315298</v>
      </c>
      <c r="AD492" s="359">
        <f t="shared" si="951"/>
        <v>1.4633034786251662</v>
      </c>
      <c r="AE492" s="359">
        <f t="shared" si="951"/>
        <v>1.4600854936427972</v>
      </c>
      <c r="AF492" s="843">
        <f t="shared" si="951"/>
        <v>1.3139128122767243</v>
      </c>
      <c r="AG492" s="359">
        <f t="shared" si="951"/>
        <v>1.1893686076969192</v>
      </c>
      <c r="AH492" s="359">
        <f t="shared" si="951"/>
        <v>1.1148052622358651</v>
      </c>
      <c r="AI492" s="359">
        <f t="shared" si="951"/>
        <v>1.025597851323258</v>
      </c>
      <c r="AJ492" s="843">
        <f t="shared" si="951"/>
        <v>0.95551761178891947</v>
      </c>
      <c r="AK492" s="359">
        <f t="shared" si="951"/>
        <v>0.91300693474974359</v>
      </c>
      <c r="AL492" s="359">
        <f t="shared" si="951"/>
        <v>0.83323315724747804</v>
      </c>
      <c r="AM492" s="359">
        <f t="shared" si="951"/>
        <v>0.77296316726237757</v>
      </c>
      <c r="AN492" s="359">
        <f t="shared" si="951"/>
        <v>0.7113272519313647</v>
      </c>
      <c r="AO492" s="852">
        <f t="shared" si="951"/>
        <v>0.68272858510251</v>
      </c>
      <c r="AP492" s="359">
        <f t="shared" ref="AP492:AV492" si="952">+AP491+AL491</f>
        <v>0.64485601069087095</v>
      </c>
      <c r="AQ492" s="359">
        <f t="shared" si="952"/>
        <v>0.61899602726393765</v>
      </c>
      <c r="AR492" s="843">
        <f t="shared" si="952"/>
        <v>0.58163656658896978</v>
      </c>
      <c r="AS492" s="359">
        <f t="shared" si="952"/>
        <v>0.48492129681216101</v>
      </c>
      <c r="AT492" s="359">
        <f t="shared" si="952"/>
        <v>0.43396605577539105</v>
      </c>
      <c r="AU492" s="359">
        <f t="shared" si="952"/>
        <v>0.39507092444294845</v>
      </c>
      <c r="AV492" s="843">
        <f t="shared" si="952"/>
        <v>0.39425877120530761</v>
      </c>
      <c r="AW492" s="359">
        <f t="shared" ref="AW492:BD492" si="953">+AW491+AS491</f>
        <v>0.37709875069626797</v>
      </c>
      <c r="AX492" s="359">
        <f t="shared" si="953"/>
        <v>0.36146818812078529</v>
      </c>
      <c r="AY492" s="359">
        <f t="shared" si="953"/>
        <v>0.34496222357980333</v>
      </c>
      <c r="AZ492" s="843">
        <f t="shared" si="953"/>
        <v>0.32312521987628995</v>
      </c>
      <c r="BA492" s="359">
        <f t="shared" si="953"/>
        <v>0.3217089201877934</v>
      </c>
      <c r="BB492" s="359">
        <f t="shared" si="953"/>
        <v>0.30581955133498684</v>
      </c>
      <c r="BC492" s="359">
        <f t="shared" si="953"/>
        <v>0.29394500964886183</v>
      </c>
      <c r="BD492" s="843">
        <f t="shared" si="953"/>
        <v>0.28211795574688958</v>
      </c>
      <c r="BE492" s="289"/>
      <c r="BF492" s="852"/>
      <c r="BG492" s="359"/>
      <c r="BH492" s="359"/>
      <c r="BI492" s="359"/>
      <c r="BJ492" s="359"/>
      <c r="BK492" s="359"/>
      <c r="BL492" s="359"/>
      <c r="BM492" s="359"/>
      <c r="BN492" s="852"/>
      <c r="BO492" s="359">
        <f>+BO491+BN491</f>
        <v>1.0590519871484925</v>
      </c>
      <c r="BP492" s="359">
        <f>+BP491+BO491</f>
        <v>0.79828764500233151</v>
      </c>
      <c r="BQ492" s="359">
        <f>+BQ491+BP491</f>
        <v>0.62880656669464474</v>
      </c>
      <c r="BR492" s="359">
        <f>+BR491+BQ491</f>
        <v>0.42435150392067844</v>
      </c>
      <c r="BS492" s="359">
        <f t="shared" ref="BS492:BY492" si="954">+BS491+BR491</f>
        <v>0.35051637482030107</v>
      </c>
      <c r="BT492" s="359">
        <f t="shared" si="954"/>
        <v>0.30018563997636005</v>
      </c>
      <c r="BU492" s="359">
        <f t="shared" si="954"/>
        <v>0.24601279410415922</v>
      </c>
      <c r="BV492" s="359">
        <f t="shared" si="954"/>
        <v>0.19941198235935365</v>
      </c>
      <c r="BW492" s="359">
        <f t="shared" si="954"/>
        <v>0.16656279557997022</v>
      </c>
      <c r="BX492" s="359">
        <f t="shared" si="954"/>
        <v>0.14023759415697645</v>
      </c>
      <c r="BY492" s="843">
        <f t="shared" si="954"/>
        <v>0.12546891502289559</v>
      </c>
      <c r="BZ492" s="289"/>
      <c r="CA492" s="98"/>
      <c r="CB492" s="205"/>
      <c r="CC492" s="205"/>
      <c r="CD492" s="205"/>
      <c r="CE492" s="205"/>
      <c r="CF492" s="205"/>
      <c r="CG492" s="205"/>
    </row>
    <row r="493" spans="1:85" ht="11.25" hidden="1" customHeight="1" outlineLevel="2">
      <c r="A493" s="86"/>
      <c r="B493" s="86"/>
      <c r="C493" s="86"/>
      <c r="D493" s="86"/>
      <c r="E493" s="86"/>
      <c r="F493" s="86"/>
      <c r="G493" s="86"/>
      <c r="H493" s="328"/>
      <c r="I493" s="770" t="s">
        <v>146</v>
      </c>
      <c r="J493" s="193"/>
      <c r="K493" s="67"/>
      <c r="L493" s="67"/>
      <c r="M493" s="198"/>
      <c r="N493" s="198">
        <f t="shared" ref="N493:AJ493" si="955">IF(ISERROR(N490/M490-1),"NA",(IF(N490&lt;=0,"NM",N490/M490-1)))</f>
        <v>0.15011286681715563</v>
      </c>
      <c r="O493" s="198">
        <f t="shared" si="955"/>
        <v>8.9303238469087498E-2</v>
      </c>
      <c r="P493" s="198">
        <f t="shared" si="955"/>
        <v>8.5472972972972849E-2</v>
      </c>
      <c r="Q493" s="198">
        <f t="shared" si="955"/>
        <v>0.16422865442473289</v>
      </c>
      <c r="R493" s="198">
        <f t="shared" si="955"/>
        <v>0.19025129210479408</v>
      </c>
      <c r="S493" s="198">
        <f t="shared" si="955"/>
        <v>0.17885752788799891</v>
      </c>
      <c r="T493" s="198">
        <f t="shared" si="955"/>
        <v>0.15254667852152926</v>
      </c>
      <c r="U493" s="751">
        <f t="shared" si="955"/>
        <v>0.18321578135331706</v>
      </c>
      <c r="V493" s="198">
        <f t="shared" si="955"/>
        <v>0.17612816094630457</v>
      </c>
      <c r="W493" s="198">
        <f t="shared" si="955"/>
        <v>0.12789546624430814</v>
      </c>
      <c r="X493" s="752">
        <f t="shared" si="955"/>
        <v>0.19167983149025813</v>
      </c>
      <c r="Y493" s="198">
        <f t="shared" si="955"/>
        <v>0.14496980409485927</v>
      </c>
      <c r="Z493" s="198">
        <f t="shared" si="955"/>
        <v>0.15267843359234279</v>
      </c>
      <c r="AA493" s="198">
        <f t="shared" si="955"/>
        <v>0.14212053571428584</v>
      </c>
      <c r="AB493" s="198">
        <f t="shared" si="955"/>
        <v>0.13455938397795442</v>
      </c>
      <c r="AC493" s="751">
        <f t="shared" si="955"/>
        <v>0.12313098601254047</v>
      </c>
      <c r="AD493" s="198">
        <f t="shared" si="955"/>
        <v>0.16081288343558287</v>
      </c>
      <c r="AE493" s="198">
        <f t="shared" si="955"/>
        <v>0.12481997753848195</v>
      </c>
      <c r="AF493" s="198">
        <f t="shared" si="955"/>
        <v>9.3595827655875485E-2</v>
      </c>
      <c r="AG493" s="751">
        <f t="shared" si="955"/>
        <v>5.8754027926960273E-2</v>
      </c>
      <c r="AH493" s="198">
        <f t="shared" si="955"/>
        <v>9.4470934361367664E-2</v>
      </c>
      <c r="AI493" s="198">
        <f t="shared" si="955"/>
        <v>7.4618564728128778E-2</v>
      </c>
      <c r="AJ493" s="752">
        <f t="shared" si="955"/>
        <v>8.5558775834109646E-2</v>
      </c>
      <c r="AK493" s="198">
        <f t="shared" ref="AK493:AR493" si="956">IF(ISERROR(AK490/AJ490-1),"NA",(IF(AK490&lt;=0,"NM",AK490/AJ490-1)))</f>
        <v>9.7456516038807894E-2</v>
      </c>
      <c r="AL493" s="198">
        <f t="shared" si="956"/>
        <v>9.964812186857408E-2</v>
      </c>
      <c r="AM493" s="198">
        <f t="shared" si="956"/>
        <v>7.7173276094786081E-2</v>
      </c>
      <c r="AN493" s="198">
        <f t="shared" si="956"/>
        <v>4.5843520782396174E-2</v>
      </c>
      <c r="AO493" s="751">
        <f t="shared" si="956"/>
        <v>3.4482758620689724E-2</v>
      </c>
      <c r="AP493" s="198">
        <f t="shared" si="956"/>
        <v>6.1463276836158043E-2</v>
      </c>
      <c r="AQ493" s="198">
        <f t="shared" si="956"/>
        <v>5.1740748034639239E-2</v>
      </c>
      <c r="AR493" s="752">
        <f t="shared" si="956"/>
        <v>5.81983805668016E-2</v>
      </c>
      <c r="AS493" s="198">
        <f t="shared" ref="AS493:BD493" si="957">IF(ISERROR(AS490/AR490-1),"NA",(IF(AS490&lt;=0,"NM",AS490/AR490-1)))</f>
        <v>1.8651362984218212E-2</v>
      </c>
      <c r="AT493" s="198">
        <f t="shared" si="957"/>
        <v>5.5769953051643117E-2</v>
      </c>
      <c r="AU493" s="198">
        <f t="shared" si="957"/>
        <v>4.3227691336229723E-2</v>
      </c>
      <c r="AV493" s="752">
        <f t="shared" si="957"/>
        <v>4.4757033248081779E-2</v>
      </c>
      <c r="AW493" s="198">
        <f t="shared" si="957"/>
        <v>1.9991840065279431E-2</v>
      </c>
      <c r="AX493" s="198">
        <f t="shared" si="957"/>
        <v>4.7516000000000114E-2</v>
      </c>
      <c r="AY493" s="198">
        <f t="shared" si="957"/>
        <v>3.712019673207867E-2</v>
      </c>
      <c r="AZ493" s="752">
        <f t="shared" si="957"/>
        <v>3.8659793814433074E-2</v>
      </c>
      <c r="BA493" s="198">
        <f t="shared" si="957"/>
        <v>1.7369727047146233E-2</v>
      </c>
      <c r="BB493" s="198">
        <f t="shared" si="957"/>
        <v>4.1390243902439172E-2</v>
      </c>
      <c r="BC493" s="198">
        <f t="shared" si="957"/>
        <v>3.2524867923139578E-2</v>
      </c>
      <c r="BD493" s="752">
        <f t="shared" si="957"/>
        <v>3.4024627349319436E-2</v>
      </c>
      <c r="BE493" s="264"/>
      <c r="BF493" s="631"/>
      <c r="BG493" s="67"/>
      <c r="BH493" s="67"/>
      <c r="BI493" s="67"/>
      <c r="BJ493" s="67"/>
      <c r="BK493" s="67"/>
      <c r="BL493" s="67"/>
      <c r="BM493" s="67"/>
      <c r="BN493" s="631"/>
      <c r="BO493" s="67"/>
      <c r="BP493" s="67"/>
      <c r="BQ493" s="194"/>
      <c r="BR493" s="194"/>
      <c r="BS493" s="194"/>
      <c r="BT493" s="194"/>
      <c r="BU493" s="194"/>
      <c r="BV493" s="194"/>
      <c r="BW493" s="194"/>
      <c r="BX493" s="194"/>
      <c r="BY493" s="753"/>
      <c r="BZ493" s="266"/>
      <c r="CA493" s="80"/>
      <c r="CB493" s="88"/>
      <c r="CC493" s="88"/>
      <c r="CD493" s="88"/>
      <c r="CE493" s="88"/>
      <c r="CF493" s="88"/>
      <c r="CG493" s="88"/>
    </row>
    <row r="494" spans="1:85" ht="11.25" hidden="1" customHeight="1" outlineLevel="2">
      <c r="A494" s="86"/>
      <c r="B494" s="86"/>
      <c r="C494" s="86"/>
      <c r="D494" s="86"/>
      <c r="E494" s="86"/>
      <c r="F494" s="86"/>
      <c r="G494" s="86"/>
      <c r="H494" s="328"/>
      <c r="I494" s="770" t="s">
        <v>57</v>
      </c>
      <c r="J494" s="193"/>
      <c r="K494" s="67"/>
      <c r="L494" s="67"/>
      <c r="M494" s="198">
        <f t="shared" ref="M494:BD494" si="958">M490/M$12</f>
        <v>0.77583187390542918</v>
      </c>
      <c r="N494" s="198">
        <f t="shared" si="958"/>
        <v>0.75995152419129308</v>
      </c>
      <c r="O494" s="198">
        <f t="shared" si="958"/>
        <v>0.70509766555502618</v>
      </c>
      <c r="P494" s="198">
        <f t="shared" si="958"/>
        <v>0.63107241063244723</v>
      </c>
      <c r="Q494" s="198">
        <f t="shared" si="958"/>
        <v>0.68012121212121213</v>
      </c>
      <c r="R494" s="198">
        <f t="shared" si="958"/>
        <v>0.68224537746450098</v>
      </c>
      <c r="S494" s="198">
        <f t="shared" si="958"/>
        <v>0.70603533315397726</v>
      </c>
      <c r="T494" s="198">
        <f t="shared" si="958"/>
        <v>0.72868901826942378</v>
      </c>
      <c r="U494" s="751">
        <f t="shared" si="958"/>
        <v>0.7841153916377579</v>
      </c>
      <c r="V494" s="198">
        <f t="shared" si="958"/>
        <v>0.77343582519217224</v>
      </c>
      <c r="W494" s="198">
        <f t="shared" si="958"/>
        <v>0.78317890627148001</v>
      </c>
      <c r="X494" s="752">
        <f t="shared" si="958"/>
        <v>0.82476856913769236</v>
      </c>
      <c r="Y494" s="198">
        <f t="shared" si="958"/>
        <v>0.84247718552879713</v>
      </c>
      <c r="Z494" s="198">
        <f t="shared" si="958"/>
        <v>0.81420496883121596</v>
      </c>
      <c r="AA494" s="198">
        <f t="shared" si="958"/>
        <v>0.83632173387162689</v>
      </c>
      <c r="AB494" s="198">
        <f t="shared" si="958"/>
        <v>0.82167272933150282</v>
      </c>
      <c r="AC494" s="751">
        <f t="shared" si="958"/>
        <v>0.85332495713743517</v>
      </c>
      <c r="AD494" s="198">
        <f t="shared" si="958"/>
        <v>0.85243335172941981</v>
      </c>
      <c r="AE494" s="198">
        <f t="shared" si="958"/>
        <v>0.83092089209897035</v>
      </c>
      <c r="AF494" s="198">
        <f t="shared" si="958"/>
        <v>0.84723397672154122</v>
      </c>
      <c r="AG494" s="751">
        <f t="shared" si="958"/>
        <v>0.88166368515205717</v>
      </c>
      <c r="AH494" s="198">
        <f t="shared" si="958"/>
        <v>0.85893312101910835</v>
      </c>
      <c r="AI494" s="198">
        <f t="shared" si="958"/>
        <v>0.86130757800891533</v>
      </c>
      <c r="AJ494" s="752">
        <f t="shared" si="958"/>
        <v>0.85788002726653034</v>
      </c>
      <c r="AK494" s="198">
        <f t="shared" si="958"/>
        <v>0.87077351793358682</v>
      </c>
      <c r="AL494" s="198">
        <f t="shared" si="958"/>
        <v>0.87574670756740547</v>
      </c>
      <c r="AM494" s="198">
        <f t="shared" si="958"/>
        <v>0.87847416126122257</v>
      </c>
      <c r="AN494" s="198">
        <f t="shared" si="958"/>
        <v>0.87835479167950059</v>
      </c>
      <c r="AO494" s="751">
        <f t="shared" si="958"/>
        <v>0.89700643108000588</v>
      </c>
      <c r="AP494" s="198">
        <f t="shared" si="958"/>
        <v>0.89952792247586943</v>
      </c>
      <c r="AQ494" s="198">
        <f t="shared" si="958"/>
        <v>0.88856911592769128</v>
      </c>
      <c r="AR494" s="752">
        <f t="shared" si="958"/>
        <v>0.9580931609284935</v>
      </c>
      <c r="AS494" s="198">
        <f t="shared" si="958"/>
        <v>0.96292947558770348</v>
      </c>
      <c r="AT494" s="198">
        <f t="shared" si="958"/>
        <v>0.97181936041486594</v>
      </c>
      <c r="AU494" s="198">
        <f t="shared" si="958"/>
        <v>0.94596774193548383</v>
      </c>
      <c r="AV494" s="752">
        <f t="shared" si="958"/>
        <v>0.94487278334618352</v>
      </c>
      <c r="AW494" s="198">
        <f t="shared" si="958"/>
        <v>0.95347063310450042</v>
      </c>
      <c r="AX494" s="198">
        <f t="shared" si="958"/>
        <v>0.96634317343173437</v>
      </c>
      <c r="AY494" s="198">
        <f t="shared" si="958"/>
        <v>0.94700139470013955</v>
      </c>
      <c r="AZ494" s="752">
        <f t="shared" si="958"/>
        <v>0.95175438596491246</v>
      </c>
      <c r="BA494" s="198">
        <f t="shared" si="958"/>
        <v>0.9617962466487936</v>
      </c>
      <c r="BB494" s="198">
        <f t="shared" si="958"/>
        <v>0.97228041639557572</v>
      </c>
      <c r="BC494" s="198">
        <f t="shared" si="958"/>
        <v>0.95600991325898388</v>
      </c>
      <c r="BD494" s="752">
        <f t="shared" si="958"/>
        <v>0.96114457831325306</v>
      </c>
      <c r="BE494" s="264"/>
      <c r="BF494" s="751"/>
      <c r="BG494" s="198"/>
      <c r="BH494" s="198">
        <f t="shared" ref="BH494:BY494" si="959">BH490/BH12</f>
        <v>0.74610758711590741</v>
      </c>
      <c r="BI494" s="198">
        <f t="shared" si="959"/>
        <v>0.77871202727836319</v>
      </c>
      <c r="BJ494" s="198">
        <f t="shared" si="959"/>
        <v>0.70727619366868488</v>
      </c>
      <c r="BK494" s="198">
        <f t="shared" si="959"/>
        <v>0.70208320826079129</v>
      </c>
      <c r="BL494" s="198">
        <f t="shared" si="959"/>
        <v>0.79349548580317819</v>
      </c>
      <c r="BM494" s="198">
        <f t="shared" si="959"/>
        <v>0.82787525537795936</v>
      </c>
      <c r="BN494" s="751">
        <f t="shared" si="959"/>
        <v>0.84526243854890648</v>
      </c>
      <c r="BO494" s="198">
        <f t="shared" si="959"/>
        <v>0.86415076151918258</v>
      </c>
      <c r="BP494" s="198">
        <f t="shared" si="959"/>
        <v>0.87606528961432917</v>
      </c>
      <c r="BQ494" s="198">
        <f t="shared" si="959"/>
        <v>0.91115630015127314</v>
      </c>
      <c r="BR494" s="198">
        <f t="shared" si="959"/>
        <v>0.95581145833333336</v>
      </c>
      <c r="BS494" s="198">
        <f t="shared" si="959"/>
        <v>0.95447778573987829</v>
      </c>
      <c r="BT494" s="198">
        <f t="shared" si="959"/>
        <v>0.96269950817071259</v>
      </c>
      <c r="BU494" s="198">
        <f t="shared" si="959"/>
        <v>0.95928816221619329</v>
      </c>
      <c r="BV494" s="198">
        <f t="shared" si="959"/>
        <v>0.95446084807492215</v>
      </c>
      <c r="BW494" s="198">
        <f t="shared" si="959"/>
        <v>0.94372022028013902</v>
      </c>
      <c r="BX494" s="198">
        <f t="shared" si="959"/>
        <v>0.93386252500555689</v>
      </c>
      <c r="BY494" s="752">
        <f t="shared" si="959"/>
        <v>0.92468788948899061</v>
      </c>
      <c r="BZ494" s="264"/>
      <c r="CA494" s="80"/>
      <c r="CB494" s="88"/>
      <c r="CC494" s="88"/>
      <c r="CD494" s="88"/>
      <c r="CE494" s="88"/>
      <c r="CF494" s="88"/>
      <c r="CG494" s="88"/>
    </row>
    <row r="495" spans="1:85" s="41" customFormat="1" ht="11.25" hidden="1" customHeight="1" outlineLevel="2">
      <c r="A495" s="91"/>
      <c r="B495" s="91"/>
      <c r="C495" s="91"/>
      <c r="D495" s="91"/>
      <c r="E495" s="91"/>
      <c r="F495" s="91"/>
      <c r="G495" s="91"/>
      <c r="H495" s="1349"/>
      <c r="I495" s="1059" t="s">
        <v>380</v>
      </c>
      <c r="J495" s="192"/>
      <c r="K495" s="331"/>
      <c r="L495" s="331"/>
      <c r="M495" s="359"/>
      <c r="N495" s="359"/>
      <c r="O495" s="359"/>
      <c r="P495" s="359"/>
      <c r="Q495" s="910">
        <f>Q490-M490</f>
        <v>4.1339999999999995</v>
      </c>
      <c r="R495" s="1736">
        <f t="shared" ref="R495:AF495" si="960">R490-N490</f>
        <v>5.2050000000000001</v>
      </c>
      <c r="S495" s="1736">
        <f t="shared" si="960"/>
        <v>6.8659999999999997</v>
      </c>
      <c r="T495" s="1736">
        <f t="shared" si="960"/>
        <v>8.5090000000000003</v>
      </c>
      <c r="U495" s="2320">
        <f t="shared" si="960"/>
        <v>10.250999999999999</v>
      </c>
      <c r="V495" s="1736">
        <f t="shared" si="960"/>
        <v>11.898</v>
      </c>
      <c r="W495" s="1736">
        <f t="shared" si="960"/>
        <v>12.738999999999999</v>
      </c>
      <c r="X495" s="2321">
        <f t="shared" si="960"/>
        <v>15.797000000000001</v>
      </c>
      <c r="Y495" s="1736">
        <f t="shared" si="960"/>
        <v>17.393000000000001</v>
      </c>
      <c r="Z495" s="1736">
        <f t="shared" si="960"/>
        <v>19.544999999999998</v>
      </c>
      <c r="AA495" s="1736">
        <f t="shared" si="960"/>
        <v>22.682000000000002</v>
      </c>
      <c r="AB495" s="1736">
        <f t="shared" si="960"/>
        <v>24.106999999999999</v>
      </c>
      <c r="AC495" s="2320">
        <f t="shared" si="960"/>
        <v>26.334000000000003</v>
      </c>
      <c r="AD495" s="1736">
        <f t="shared" si="960"/>
        <v>30.885000000000005</v>
      </c>
      <c r="AE495" s="1736">
        <f t="shared" si="960"/>
        <v>33.965000000000003</v>
      </c>
      <c r="AF495" s="1736">
        <f t="shared" si="960"/>
        <v>35.047999999999995</v>
      </c>
      <c r="AG495" s="2320">
        <f t="shared" ref="AG495:AO495" si="961">AG490-AC490</f>
        <v>33.36999999999999</v>
      </c>
      <c r="AH495" s="1736">
        <f t="shared" si="961"/>
        <v>32.197000000000003</v>
      </c>
      <c r="AI495" s="1736">
        <f t="shared" si="961"/>
        <v>30.799999999999997</v>
      </c>
      <c r="AJ495" s="2321">
        <f t="shared" si="961"/>
        <v>32.751000000000005</v>
      </c>
      <c r="AK495" s="2320">
        <f t="shared" si="961"/>
        <v>39.546000000000021</v>
      </c>
      <c r="AL495" s="1736">
        <f t="shared" si="961"/>
        <v>43.996999999999986</v>
      </c>
      <c r="AM495" s="1736">
        <f t="shared" si="961"/>
        <v>47.667999999999992</v>
      </c>
      <c r="AN495" s="1736">
        <f t="shared" si="961"/>
        <v>45.248999999999995</v>
      </c>
      <c r="AO495" s="2320">
        <f t="shared" si="961"/>
        <v>38.883999999999986</v>
      </c>
      <c r="AP495" s="390">
        <v>36</v>
      </c>
      <c r="AQ495" s="390">
        <v>34</v>
      </c>
      <c r="AR495" s="884">
        <v>38</v>
      </c>
      <c r="AS495" s="390">
        <v>36</v>
      </c>
      <c r="AT495" s="390">
        <v>37</v>
      </c>
      <c r="AU495" s="390">
        <v>37</v>
      </c>
      <c r="AV495" s="884">
        <v>36</v>
      </c>
      <c r="AW495" s="390">
        <v>37</v>
      </c>
      <c r="AX495" s="390">
        <v>37</v>
      </c>
      <c r="AY495" s="390">
        <v>37</v>
      </c>
      <c r="AZ495" s="884">
        <v>37</v>
      </c>
      <c r="BA495" s="390">
        <v>37</v>
      </c>
      <c r="BB495" s="390">
        <v>37</v>
      </c>
      <c r="BC495" s="390">
        <v>37</v>
      </c>
      <c r="BD495" s="884">
        <v>37</v>
      </c>
      <c r="BE495" s="1198"/>
      <c r="BF495" s="852"/>
      <c r="BG495" s="359"/>
      <c r="BH495" s="359"/>
      <c r="BI495" s="1736">
        <f>BI490-BH490</f>
        <v>11.040000000000001</v>
      </c>
      <c r="BJ495" s="1736">
        <f t="shared" ref="BJ495:BR495" si="962">BJ490-BI490</f>
        <v>13.661999999999999</v>
      </c>
      <c r="BK495" s="1736">
        <f t="shared" si="962"/>
        <v>24.713999999999999</v>
      </c>
      <c r="BL495" s="1736">
        <f t="shared" si="962"/>
        <v>50.684999999999988</v>
      </c>
      <c r="BM495" s="1736">
        <f t="shared" si="962"/>
        <v>83.727000000000004</v>
      </c>
      <c r="BN495" s="2320">
        <f t="shared" si="962"/>
        <v>126.23199999999997</v>
      </c>
      <c r="BO495" s="1736">
        <f t="shared" si="962"/>
        <v>129.11800000000005</v>
      </c>
      <c r="BP495" s="1736">
        <f t="shared" si="962"/>
        <v>176.46000000000004</v>
      </c>
      <c r="BQ495" s="1736">
        <f t="shared" si="962"/>
        <v>146.88400000000001</v>
      </c>
      <c r="BR495" s="1736">
        <f t="shared" si="962"/>
        <v>146</v>
      </c>
      <c r="BS495" s="1736">
        <f>BS490-BR490</f>
        <v>148.00000000000011</v>
      </c>
      <c r="BT495" s="1736">
        <f>BT490-BS490</f>
        <v>148</v>
      </c>
      <c r="BU495" s="390">
        <v>130</v>
      </c>
      <c r="BV495" s="390">
        <v>124</v>
      </c>
      <c r="BW495" s="390">
        <v>109</v>
      </c>
      <c r="BX495" s="390">
        <v>104</v>
      </c>
      <c r="BY495" s="884">
        <v>100</v>
      </c>
      <c r="BZ495" s="289"/>
      <c r="CA495" s="98"/>
      <c r="CB495" s="205"/>
      <c r="CC495" s="205"/>
      <c r="CD495" s="205"/>
      <c r="CE495" s="205"/>
      <c r="CF495" s="205"/>
      <c r="CG495" s="205"/>
    </row>
    <row r="496" spans="1:85" ht="11.25" hidden="1" customHeight="1" outlineLevel="2">
      <c r="A496" s="86"/>
      <c r="B496" s="86"/>
      <c r="C496" s="86"/>
      <c r="D496" s="86"/>
      <c r="E496" s="86"/>
      <c r="F496" s="86"/>
      <c r="G496" s="86"/>
      <c r="H496" s="328"/>
      <c r="I496" s="994" t="s">
        <v>377</v>
      </c>
      <c r="J496" s="193"/>
      <c r="K496" s="67"/>
      <c r="L496" s="67"/>
      <c r="M496" s="198"/>
      <c r="N496" s="914">
        <f>N490-M490</f>
        <v>1.0639999999999992</v>
      </c>
      <c r="O496" s="911">
        <f t="shared" ref="O496:AJ496" si="963">O490-N490</f>
        <v>0.72800000000000153</v>
      </c>
      <c r="P496" s="911">
        <f t="shared" si="963"/>
        <v>0.75899999999999856</v>
      </c>
      <c r="Q496" s="911">
        <f t="shared" si="963"/>
        <v>1.5830000000000002</v>
      </c>
      <c r="R496" s="911">
        <f t="shared" si="963"/>
        <v>2.1349999999999998</v>
      </c>
      <c r="S496" s="911">
        <f t="shared" si="963"/>
        <v>2.3890000000000011</v>
      </c>
      <c r="T496" s="911">
        <f t="shared" si="963"/>
        <v>2.4019999999999992</v>
      </c>
      <c r="U496" s="912">
        <f t="shared" si="963"/>
        <v>3.3249999999999993</v>
      </c>
      <c r="V496" s="911">
        <f t="shared" si="963"/>
        <v>3.782</v>
      </c>
      <c r="W496" s="911">
        <f t="shared" si="963"/>
        <v>3.2300000000000004</v>
      </c>
      <c r="X496" s="913">
        <f t="shared" si="963"/>
        <v>5.4600000000000009</v>
      </c>
      <c r="Y496" s="911">
        <f t="shared" si="963"/>
        <v>4.9209999999999994</v>
      </c>
      <c r="Z496" s="911">
        <f t="shared" si="963"/>
        <v>5.9339999999999975</v>
      </c>
      <c r="AA496" s="911">
        <f t="shared" si="963"/>
        <v>6.3670000000000044</v>
      </c>
      <c r="AB496" s="911">
        <f t="shared" si="963"/>
        <v>6.884999999999998</v>
      </c>
      <c r="AC496" s="912">
        <f t="shared" si="963"/>
        <v>7.1480000000000032</v>
      </c>
      <c r="AD496" s="911">
        <f t="shared" si="963"/>
        <v>10.484999999999999</v>
      </c>
      <c r="AE496" s="911">
        <f t="shared" si="963"/>
        <v>9.4470000000000027</v>
      </c>
      <c r="AF496" s="911">
        <f t="shared" si="963"/>
        <v>7.9679999999999893</v>
      </c>
      <c r="AG496" s="912">
        <f t="shared" si="963"/>
        <v>5.4699999999999989</v>
      </c>
      <c r="AH496" s="911">
        <f t="shared" si="963"/>
        <v>9.3120000000000118</v>
      </c>
      <c r="AI496" s="911">
        <f t="shared" si="963"/>
        <v>8.0499999999999972</v>
      </c>
      <c r="AJ496" s="913">
        <f t="shared" si="963"/>
        <v>9.9189999999999969</v>
      </c>
      <c r="AK496" s="911">
        <f t="shared" ref="AK496:AR496" si="964">AK490-AJ490</f>
        <v>12.265000000000015</v>
      </c>
      <c r="AL496" s="911">
        <f t="shared" si="964"/>
        <v>13.762999999999977</v>
      </c>
      <c r="AM496" s="911">
        <f t="shared" si="964"/>
        <v>11.721000000000004</v>
      </c>
      <c r="AN496" s="911">
        <f t="shared" si="964"/>
        <v>7.5</v>
      </c>
      <c r="AO496" s="912">
        <f t="shared" si="964"/>
        <v>5.9000000000000057</v>
      </c>
      <c r="AP496" s="911">
        <f t="shared" si="964"/>
        <v>10.878999999999991</v>
      </c>
      <c r="AQ496" s="911">
        <f t="shared" si="964"/>
        <v>9.7210000000000036</v>
      </c>
      <c r="AR496" s="913">
        <f t="shared" si="964"/>
        <v>11.5</v>
      </c>
      <c r="AS496" s="911">
        <f t="shared" ref="AS496:BD496" si="965">AS490-AR490</f>
        <v>3.9000000000000057</v>
      </c>
      <c r="AT496" s="911">
        <f t="shared" si="965"/>
        <v>11.878999999999991</v>
      </c>
      <c r="AU496" s="911">
        <f t="shared" si="965"/>
        <v>9.7210000000000036</v>
      </c>
      <c r="AV496" s="913">
        <f t="shared" si="965"/>
        <v>10.5</v>
      </c>
      <c r="AW496" s="911">
        <f t="shared" si="965"/>
        <v>4.9000000000000057</v>
      </c>
      <c r="AX496" s="911">
        <f t="shared" si="965"/>
        <v>11.879000000000019</v>
      </c>
      <c r="AY496" s="911">
        <f t="shared" si="965"/>
        <v>9.7210000000000036</v>
      </c>
      <c r="AZ496" s="913">
        <f t="shared" si="965"/>
        <v>10.5</v>
      </c>
      <c r="BA496" s="911">
        <f t="shared" si="965"/>
        <v>4.8999999999999773</v>
      </c>
      <c r="BB496" s="911">
        <f t="shared" si="965"/>
        <v>11.879000000000019</v>
      </c>
      <c r="BC496" s="911">
        <f t="shared" si="965"/>
        <v>9.7210000000000036</v>
      </c>
      <c r="BD496" s="913">
        <f t="shared" si="965"/>
        <v>10.5</v>
      </c>
      <c r="BE496" s="901"/>
      <c r="BF496" s="751"/>
      <c r="BG496" s="198"/>
      <c r="BH496" s="198"/>
      <c r="BI496" s="198"/>
      <c r="BJ496" s="198"/>
      <c r="BK496" s="198"/>
      <c r="BL496" s="198"/>
      <c r="BM496" s="198"/>
      <c r="BN496" s="751"/>
      <c r="BO496" s="198"/>
      <c r="BP496" s="1233"/>
      <c r="BQ496" s="1233"/>
      <c r="BR496" s="1233"/>
      <c r="BS496" s="1233"/>
      <c r="BT496" s="1233"/>
      <c r="BU496" s="1723"/>
      <c r="BV496" s="1723"/>
      <c r="BW496" s="1723"/>
      <c r="BX496" s="1723"/>
      <c r="BY496" s="2497"/>
      <c r="BZ496" s="264"/>
      <c r="CA496" s="80"/>
      <c r="CB496" s="88"/>
      <c r="CC496" s="88"/>
      <c r="CD496" s="88"/>
      <c r="CE496" s="88"/>
      <c r="CF496" s="88"/>
      <c r="CG496" s="88"/>
    </row>
    <row r="497" spans="1:85" ht="11.25" hidden="1" customHeight="1" outlineLevel="2">
      <c r="A497" s="86"/>
      <c r="B497" s="86"/>
      <c r="C497" s="86"/>
      <c r="D497" s="86"/>
      <c r="E497" s="86"/>
      <c r="F497" s="86"/>
      <c r="G497" s="86"/>
      <c r="H497" s="328"/>
      <c r="I497" s="994"/>
      <c r="J497" s="193"/>
      <c r="K497" s="67"/>
      <c r="L497" s="67"/>
      <c r="M497" s="198"/>
      <c r="N497" s="914"/>
      <c r="O497" s="911"/>
      <c r="P497" s="911"/>
      <c r="Q497" s="911"/>
      <c r="R497" s="911"/>
      <c r="S497" s="911"/>
      <c r="T497" s="913"/>
      <c r="U497" s="911"/>
      <c r="V497" s="911"/>
      <c r="W497" s="911"/>
      <c r="X497" s="913"/>
      <c r="Y497" s="911"/>
      <c r="Z497" s="956"/>
      <c r="AA497" s="198"/>
      <c r="AB497" s="198"/>
      <c r="AC497" s="751"/>
      <c r="AD497" s="956"/>
      <c r="AE497" s="198"/>
      <c r="AF497" s="198"/>
      <c r="AG497" s="751"/>
      <c r="AH497" s="956"/>
      <c r="AI497" s="198"/>
      <c r="AJ497" s="913"/>
      <c r="AK497" s="911"/>
      <c r="AL497" s="911"/>
      <c r="AM497" s="911"/>
      <c r="AN497" s="911"/>
      <c r="AO497" s="912"/>
      <c r="AP497" s="911"/>
      <c r="AQ497" s="911"/>
      <c r="AR497" s="913"/>
      <c r="AS497" s="911"/>
      <c r="AT497" s="911"/>
      <c r="AU497" s="911"/>
      <c r="AV497" s="913"/>
      <c r="AW497" s="911"/>
      <c r="AX497" s="911"/>
      <c r="AY497" s="911"/>
      <c r="AZ497" s="911"/>
      <c r="BA497" s="912"/>
      <c r="BB497" s="911"/>
      <c r="BC497" s="911"/>
      <c r="BD497" s="913"/>
      <c r="BE497" s="901"/>
      <c r="BF497" s="751"/>
      <c r="BG497" s="198"/>
      <c r="BH497" s="198"/>
      <c r="BI497" s="198"/>
      <c r="BJ497" s="198"/>
      <c r="BK497" s="198"/>
      <c r="BL497" s="198"/>
      <c r="BM497" s="198"/>
      <c r="BN497" s="751"/>
      <c r="BO497" s="198"/>
      <c r="BP497" s="198"/>
      <c r="BQ497" s="198"/>
      <c r="BR497" s="198"/>
      <c r="BS497" s="198"/>
      <c r="BT497" s="198"/>
      <c r="BU497" s="198"/>
      <c r="BV497" s="198"/>
      <c r="BW497" s="198"/>
      <c r="BX497" s="198"/>
      <c r="BY497" s="752"/>
      <c r="BZ497" s="264"/>
      <c r="CA497" s="80"/>
      <c r="CB497" s="88"/>
      <c r="CC497" s="88"/>
      <c r="CD497" s="88"/>
      <c r="CE497" s="88"/>
      <c r="CF497" s="88"/>
      <c r="CG497" s="88"/>
    </row>
    <row r="498" spans="1:85" ht="11.25" hidden="1" customHeight="1" outlineLevel="2">
      <c r="A498" s="86"/>
      <c r="B498" s="86"/>
      <c r="C498" s="86"/>
      <c r="D498" s="86"/>
      <c r="E498" s="86"/>
      <c r="F498" s="86"/>
      <c r="G498" s="86"/>
      <c r="H498" s="328"/>
      <c r="I498" s="138" t="s">
        <v>579</v>
      </c>
      <c r="J498" s="193"/>
      <c r="K498" s="67"/>
      <c r="L498" s="67"/>
      <c r="M498" s="67"/>
      <c r="N498" s="67"/>
      <c r="O498" s="67"/>
      <c r="P498" s="67"/>
      <c r="Q498" s="67"/>
      <c r="R498" s="67"/>
      <c r="S498" s="67"/>
      <c r="T498" s="581"/>
      <c r="U498" s="194"/>
      <c r="V498" s="194"/>
      <c r="W498" s="194"/>
      <c r="X498" s="753"/>
      <c r="Y498" s="214">
        <f t="shared" ref="Y498:AO498" si="966">Y490/AVERAGE(X518,Y518)*1000/3</f>
        <v>387.77366020524522</v>
      </c>
      <c r="Z498" s="214">
        <f t="shared" si="966"/>
        <v>396.63567950420537</v>
      </c>
      <c r="AA498" s="214">
        <f t="shared" si="966"/>
        <v>391.63413700727136</v>
      </c>
      <c r="AB498" s="214">
        <f t="shared" si="966"/>
        <v>383.94179894179894</v>
      </c>
      <c r="AC498" s="792">
        <f t="shared" si="966"/>
        <v>368.67401752897928</v>
      </c>
      <c r="AD498" s="214">
        <f t="shared" si="966"/>
        <v>379.65889139704041</v>
      </c>
      <c r="AE498" s="214">
        <f t="shared" si="966"/>
        <v>387.93347003873322</v>
      </c>
      <c r="AF498" s="214">
        <f t="shared" si="966"/>
        <v>385.74684068779783</v>
      </c>
      <c r="AG498" s="792">
        <f t="shared" si="966"/>
        <v>377.22923842326827</v>
      </c>
      <c r="AH498" s="214">
        <f t="shared" si="966"/>
        <v>383.99003381384586</v>
      </c>
      <c r="AI498" s="214">
        <f t="shared" si="966"/>
        <v>383.9443616492797</v>
      </c>
      <c r="AJ498" s="793">
        <f t="shared" si="966"/>
        <v>389.87298636926897</v>
      </c>
      <c r="AK498" s="214">
        <f t="shared" si="966"/>
        <v>396.88505747126442</v>
      </c>
      <c r="AL498" s="214">
        <f t="shared" si="966"/>
        <v>405.98503074044373</v>
      </c>
      <c r="AM498" s="214">
        <f t="shared" si="966"/>
        <v>414.07238673753477</v>
      </c>
      <c r="AN498" s="2450">
        <f t="shared" ref="AN498:BD498" si="967">AN490/AVERAGE(AM518,AN518)*1000/3</f>
        <v>418.13294232649076</v>
      </c>
      <c r="AO498" s="792">
        <f t="shared" si="966"/>
        <v>420.22792022792027</v>
      </c>
      <c r="AP498" s="2450">
        <f t="shared" si="967"/>
        <v>428.9474885844748</v>
      </c>
      <c r="AQ498" s="2450">
        <f t="shared" si="967"/>
        <v>433.33333333333331</v>
      </c>
      <c r="AR498" s="2451">
        <f t="shared" si="967"/>
        <v>441.13924050632909</v>
      </c>
      <c r="AS498" s="2450">
        <f t="shared" si="967"/>
        <v>434.25076452599387</v>
      </c>
      <c r="AT498" s="2450">
        <f t="shared" si="967"/>
        <v>444.86449060336298</v>
      </c>
      <c r="AU498" s="2450">
        <f t="shared" si="967"/>
        <v>450.7204610951008</v>
      </c>
      <c r="AV498" s="2451">
        <f t="shared" si="967"/>
        <v>457.70308123249305</v>
      </c>
      <c r="AW498" s="2450">
        <f t="shared" si="967"/>
        <v>454.75216007276032</v>
      </c>
      <c r="AX498" s="2450">
        <f t="shared" si="967"/>
        <v>464.94274300932096</v>
      </c>
      <c r="AY498" s="2450">
        <f t="shared" si="967"/>
        <v>470.91460771564812</v>
      </c>
      <c r="AZ498" s="2451">
        <f t="shared" si="967"/>
        <v>477.93307920372735</v>
      </c>
      <c r="BA498" s="2450">
        <f t="shared" si="967"/>
        <v>475.89437466318446</v>
      </c>
      <c r="BB498" s="2450">
        <f t="shared" si="967"/>
        <v>485.80438051119501</v>
      </c>
      <c r="BC498" s="2450">
        <f t="shared" si="967"/>
        <v>491.89081490336713</v>
      </c>
      <c r="BD498" s="2451">
        <f t="shared" si="967"/>
        <v>498.96407489933927</v>
      </c>
      <c r="BE498" s="731"/>
      <c r="BF498" s="631"/>
      <c r="BG498" s="67"/>
      <c r="BH498" s="67"/>
      <c r="BI498" s="67"/>
      <c r="BJ498" s="67"/>
      <c r="BK498" s="67"/>
      <c r="BL498" s="67"/>
      <c r="BM498" s="67"/>
      <c r="BN498" s="1232">
        <f t="shared" ref="BN498:BT498" si="968">BN490/AVERAGE(BM518,BN518)*1000/12</f>
        <v>384.29311175337176</v>
      </c>
      <c r="BO498" s="1233">
        <f t="shared" si="968"/>
        <v>383.10683760683764</v>
      </c>
      <c r="BP498" s="1233">
        <f t="shared" si="968"/>
        <v>418.47199892818867</v>
      </c>
      <c r="BQ498" s="1233">
        <f t="shared" si="968"/>
        <v>430.37650602409644</v>
      </c>
      <c r="BR498" s="1233">
        <f t="shared" si="968"/>
        <v>447.16325536062385</v>
      </c>
      <c r="BS498" s="1233">
        <f t="shared" si="968"/>
        <v>467.35921052631585</v>
      </c>
      <c r="BT498" s="1880">
        <f t="shared" si="968"/>
        <v>488.32246901657817</v>
      </c>
      <c r="BU498" s="1880">
        <f>BU490/AVERAGE(BT518,BU518)*1000/12</f>
        <v>503.23572595022989</v>
      </c>
      <c r="BV498" s="1880">
        <f>BV490/AVERAGE(BU518,BV518)*1000/12</f>
        <v>517.46523032398079</v>
      </c>
      <c r="BW498" s="1880">
        <f>BW490/AVERAGE(BV518,BW518)*1000/12</f>
        <v>528.04638188624699</v>
      </c>
      <c r="BX498" s="1880">
        <f>BX490/AVERAGE(BW518,BX518)*1000/12</f>
        <v>538.59282108522802</v>
      </c>
      <c r="BY498" s="1881">
        <f>BY490/AVERAGE(BX518,BY518)*1000/12</f>
        <v>549.30998023032066</v>
      </c>
      <c r="BZ498" s="266"/>
      <c r="CA498" s="80"/>
      <c r="CB498" s="88"/>
      <c r="CC498" s="88"/>
      <c r="CD498" s="88"/>
      <c r="CE498" s="88"/>
      <c r="CF498" s="88"/>
      <c r="CG498" s="88"/>
    </row>
    <row r="499" spans="1:85" s="41" customFormat="1" ht="11.25" hidden="1" customHeight="1" outlineLevel="2">
      <c r="A499" s="91"/>
      <c r="B499" s="91"/>
      <c r="C499" s="91"/>
      <c r="D499" s="91"/>
      <c r="E499" s="91"/>
      <c r="F499" s="91"/>
      <c r="G499" s="91"/>
      <c r="H499" s="1349"/>
      <c r="I499" s="2398" t="s">
        <v>132</v>
      </c>
      <c r="J499" s="192"/>
      <c r="K499" s="331"/>
      <c r="L499" s="331"/>
      <c r="M499" s="331"/>
      <c r="N499" s="331"/>
      <c r="O499" s="331"/>
      <c r="P499" s="331"/>
      <c r="Q499" s="331"/>
      <c r="R499" s="331"/>
      <c r="S499" s="331"/>
      <c r="T499" s="694"/>
      <c r="U499" s="2189"/>
      <c r="V499" s="2189"/>
      <c r="W499" s="2189"/>
      <c r="X499" s="2190"/>
      <c r="Y499" s="359" t="str">
        <f>IF(ISERROR(Y498/U498-1),"NA",(IF(Y498&lt;=0,"NM",Y498/U498-1)))</f>
        <v>NA</v>
      </c>
      <c r="Z499" s="359" t="str">
        <f>IF(ISERROR(Z498/V498-1),"NA",(IF(Z498&lt;=0,"NM",Z498/V498-1)))</f>
        <v>NA</v>
      </c>
      <c r="AA499" s="359" t="str">
        <f>IF(ISERROR(AA498/W498-1),"NA",(IF(AA498&lt;=0,"NM",AA498/W498-1)))</f>
        <v>NA</v>
      </c>
      <c r="AB499" s="359" t="str">
        <f>IF(ISERROR(AB498/X498-1),"NA",(IF(AB498&lt;=0,"NM",AB498/X498-1)))</f>
        <v>NA</v>
      </c>
      <c r="AC499" s="852">
        <f t="shared" ref="AC499:AO499" si="969">IF(ISERROR(AC498/Y498-1),"NA",(IF(AC498&lt;=0,"NM",AC498/Y498-1)))</f>
        <v>-4.9254615865751861E-2</v>
      </c>
      <c r="AD499" s="359">
        <f t="shared" si="969"/>
        <v>-4.2801969122863492E-2</v>
      </c>
      <c r="AE499" s="359">
        <f t="shared" si="969"/>
        <v>-9.4492962151290216E-3</v>
      </c>
      <c r="AF499" s="359">
        <f t="shared" si="969"/>
        <v>4.7013421069908023E-3</v>
      </c>
      <c r="AG499" s="852">
        <f t="shared" si="969"/>
        <v>2.3205380600537007E-2</v>
      </c>
      <c r="AH499" s="289">
        <f t="shared" si="969"/>
        <v>1.1407983626744667E-2</v>
      </c>
      <c r="AI499" s="289">
        <f t="shared" si="969"/>
        <v>-1.028297039968018E-2</v>
      </c>
      <c r="AJ499" s="359">
        <f t="shared" si="969"/>
        <v>1.0696511925059715E-2</v>
      </c>
      <c r="AK499" s="852">
        <f t="shared" si="969"/>
        <v>5.2105767649806234E-2</v>
      </c>
      <c r="AL499" s="359">
        <f t="shared" si="969"/>
        <v>5.7280124455679982E-2</v>
      </c>
      <c r="AM499" s="359">
        <f t="shared" si="969"/>
        <v>7.8469768272768636E-2</v>
      </c>
      <c r="AN499" s="289">
        <f>IF(ISERROR(AN498/AJ498-1),"NA",(IF(AN498&lt;=0,"NM",AN498/AJ498-1)))</f>
        <v>7.2485032164950614E-2</v>
      </c>
      <c r="AO499" s="852">
        <f t="shared" si="969"/>
        <v>5.881517158994054E-2</v>
      </c>
      <c r="AP499" s="289">
        <f t="shared" ref="AP499:BD499" si="970">IF(ISERROR(AP498/AL498-1),"NA",(IF(AP498&lt;=0,"NM",AP498/AL498-1)))</f>
        <v>5.655986330863394E-2</v>
      </c>
      <c r="AQ499" s="289">
        <f t="shared" si="970"/>
        <v>4.6515892420537996E-2</v>
      </c>
      <c r="AR499" s="1234">
        <f t="shared" si="970"/>
        <v>5.5021491614201334E-2</v>
      </c>
      <c r="AS499" s="289">
        <f t="shared" si="970"/>
        <v>3.3369615922873574E-2</v>
      </c>
      <c r="AT499" s="289">
        <f t="shared" si="970"/>
        <v>3.7107110876005489E-2</v>
      </c>
      <c r="AU499" s="289">
        <f t="shared" si="970"/>
        <v>4.0124140988694101E-2</v>
      </c>
      <c r="AV499" s="1234">
        <f t="shared" si="970"/>
        <v>3.7547874242954249E-2</v>
      </c>
      <c r="AW499" s="289">
        <f t="shared" si="970"/>
        <v>4.7210960167553662E-2</v>
      </c>
      <c r="AX499" s="289">
        <f t="shared" si="970"/>
        <v>4.5133412151475927E-2</v>
      </c>
      <c r="AY499" s="289">
        <f t="shared" si="970"/>
        <v>4.4804148832032764E-2</v>
      </c>
      <c r="AZ499" s="1234">
        <f t="shared" si="970"/>
        <v>4.4198955175830168E-2</v>
      </c>
      <c r="BA499" s="289">
        <f t="shared" si="970"/>
        <v>4.6491729884342803E-2</v>
      </c>
      <c r="BB499" s="289">
        <f t="shared" si="970"/>
        <v>4.4869261463998944E-2</v>
      </c>
      <c r="BC499" s="289">
        <f t="shared" si="970"/>
        <v>4.4543547479811929E-2</v>
      </c>
      <c r="BD499" s="1234">
        <f t="shared" si="970"/>
        <v>4.4004059586440825E-2</v>
      </c>
      <c r="BE499" s="2454"/>
      <c r="BF499" s="658"/>
      <c r="BG499" s="331"/>
      <c r="BH499" s="331"/>
      <c r="BI499" s="331"/>
      <c r="BJ499" s="331"/>
      <c r="BK499" s="331"/>
      <c r="BL499" s="331"/>
      <c r="BM499" s="331"/>
      <c r="BN499" s="852" t="str">
        <f t="shared" ref="BN499:BT499" si="971">IF(ISERROR(BN498/BM498-1),"NA",(IF(BN498&lt;=0,"NM",BN498/BM498-1)))</f>
        <v>NA</v>
      </c>
      <c r="BO499" s="359">
        <f t="shared" si="971"/>
        <v>-3.0868993230755981E-3</v>
      </c>
      <c r="BP499" s="359">
        <f t="shared" si="971"/>
        <v>9.2311485595682363E-2</v>
      </c>
      <c r="BQ499" s="359">
        <f t="shared" si="971"/>
        <v>2.8447559517478238E-2</v>
      </c>
      <c r="BR499" s="359">
        <f t="shared" si="971"/>
        <v>3.9004799522182942E-2</v>
      </c>
      <c r="BS499" s="359">
        <f t="shared" si="971"/>
        <v>4.5164612529275283E-2</v>
      </c>
      <c r="BT499" s="289">
        <f t="shared" si="971"/>
        <v>4.4854702802699764E-2</v>
      </c>
      <c r="BU499" s="289">
        <f>IF(ISERROR(BU498/BT498-1),"NA",(IF(BU498&lt;=0,"NM",BU498/BT498-1)))</f>
        <v>3.0539772138040711E-2</v>
      </c>
      <c r="BV499" s="289">
        <f>IF(ISERROR(BV498/BU498-1),"NA",(IF(BV498&lt;=0,"NM",BV498/BU498-1)))</f>
        <v>2.8276021832277953E-2</v>
      </c>
      <c r="BW499" s="289">
        <f>IF(ISERROR(BW498/BV498-1),"NA",(IF(BW498&lt;=0,"NM",BW498/BV498-1)))</f>
        <v>2.0448043544184502E-2</v>
      </c>
      <c r="BX499" s="289">
        <f>IF(ISERROR(BX498/BW498-1),"NA",(IF(BX498&lt;=0,"NM",BX498/BW498-1)))</f>
        <v>1.9972562185366804E-2</v>
      </c>
      <c r="BY499" s="1234">
        <f>IF(ISERROR(BY498/BX498-1),"NA",(IF(BY498&lt;=0,"NM",BY498/BX498-1)))</f>
        <v>1.9898444103837676E-2</v>
      </c>
      <c r="BZ499" s="274"/>
      <c r="CA499" s="98"/>
      <c r="CB499" s="205"/>
      <c r="CC499" s="205"/>
      <c r="CD499" s="205"/>
      <c r="CE499" s="205"/>
      <c r="CF499" s="205"/>
      <c r="CG499" s="205"/>
    </row>
    <row r="500" spans="1:85" ht="11.25" hidden="1" customHeight="1" outlineLevel="2">
      <c r="A500" s="86"/>
      <c r="B500" s="86"/>
      <c r="C500" s="86"/>
      <c r="D500" s="86"/>
      <c r="E500" s="86"/>
      <c r="F500" s="86"/>
      <c r="G500" s="86"/>
      <c r="H500" s="328"/>
      <c r="I500" s="770" t="s">
        <v>508</v>
      </c>
      <c r="J500" s="193"/>
      <c r="K500" s="67"/>
      <c r="L500" s="67"/>
      <c r="M500" s="198"/>
      <c r="N500" s="198"/>
      <c r="O500" s="198"/>
      <c r="P500" s="198"/>
      <c r="Q500" s="198"/>
      <c r="R500" s="198"/>
      <c r="S500" s="198"/>
      <c r="T500" s="752"/>
      <c r="U500" s="198"/>
      <c r="V500" s="198"/>
      <c r="W500" s="198"/>
      <c r="X500" s="752"/>
      <c r="Y500" s="198"/>
      <c r="Z500" s="198"/>
      <c r="AA500" s="198"/>
      <c r="AB500" s="198"/>
      <c r="AC500" s="198"/>
      <c r="AD500" s="198"/>
      <c r="AE500" s="198"/>
      <c r="AF500" s="752"/>
      <c r="AG500" s="264">
        <f t="shared" ref="AG500:BD500" si="972">+AG499+AC499</f>
        <v>-2.6049235265214854E-2</v>
      </c>
      <c r="AH500" s="264">
        <f t="shared" si="972"/>
        <v>-3.1393985496118826E-2</v>
      </c>
      <c r="AI500" s="264">
        <f t="shared" si="972"/>
        <v>-1.9732266614809202E-2</v>
      </c>
      <c r="AJ500" s="264">
        <f t="shared" si="972"/>
        <v>1.5397854032050518E-2</v>
      </c>
      <c r="AK500" s="1373">
        <f t="shared" si="972"/>
        <v>7.5311148250343241E-2</v>
      </c>
      <c r="AL500" s="264">
        <f t="shared" si="972"/>
        <v>6.8688108082424648E-2</v>
      </c>
      <c r="AM500" s="264">
        <f t="shared" si="972"/>
        <v>6.8186797873088456E-2</v>
      </c>
      <c r="AN500" s="264">
        <f t="shared" si="972"/>
        <v>8.3181544090010329E-2</v>
      </c>
      <c r="AO500" s="1373">
        <f t="shared" si="972"/>
        <v>0.11092093923974677</v>
      </c>
      <c r="AP500" s="264">
        <f t="shared" si="972"/>
        <v>0.11383998776431392</v>
      </c>
      <c r="AQ500" s="264">
        <f t="shared" si="972"/>
        <v>0.12498566069330663</v>
      </c>
      <c r="AR500" s="1242">
        <f t="shared" si="972"/>
        <v>0.12750652377915195</v>
      </c>
      <c r="AS500" s="198">
        <f t="shared" si="972"/>
        <v>9.2184787512814115E-2</v>
      </c>
      <c r="AT500" s="198">
        <f t="shared" si="972"/>
        <v>9.3666974184639429E-2</v>
      </c>
      <c r="AU500" s="198">
        <f t="shared" si="972"/>
        <v>8.6640033409232098E-2</v>
      </c>
      <c r="AV500" s="752">
        <f t="shared" si="972"/>
        <v>9.2569365857155583E-2</v>
      </c>
      <c r="AW500" s="198">
        <f t="shared" si="972"/>
        <v>8.0580576090427236E-2</v>
      </c>
      <c r="AX500" s="198">
        <f t="shared" si="972"/>
        <v>8.2240523027481416E-2</v>
      </c>
      <c r="AY500" s="198">
        <f t="shared" si="972"/>
        <v>8.4928289820726865E-2</v>
      </c>
      <c r="AZ500" s="752">
        <f t="shared" si="972"/>
        <v>8.1746829418784417E-2</v>
      </c>
      <c r="BA500" s="1740">
        <f t="shared" si="972"/>
        <v>9.3702690051896464E-2</v>
      </c>
      <c r="BB500" s="198">
        <f t="shared" si="972"/>
        <v>9.0002673615474871E-2</v>
      </c>
      <c r="BC500" s="198">
        <f t="shared" si="972"/>
        <v>8.9347696311844693E-2</v>
      </c>
      <c r="BD500" s="752">
        <f t="shared" si="972"/>
        <v>8.8203014762270993E-2</v>
      </c>
      <c r="BE500" s="264"/>
      <c r="BF500" s="751"/>
      <c r="BG500" s="198"/>
      <c r="BH500" s="198"/>
      <c r="BI500" s="198"/>
      <c r="BJ500" s="198"/>
      <c r="BK500" s="198"/>
      <c r="BL500" s="198"/>
      <c r="BM500" s="198"/>
      <c r="BN500" s="751"/>
      <c r="BO500" s="198"/>
      <c r="BP500" s="198">
        <f t="shared" ref="BP500:BY500" si="973">+BP499+BO499</f>
        <v>8.9224586272606765E-2</v>
      </c>
      <c r="BQ500" s="198">
        <f t="shared" si="973"/>
        <v>0.1207590451131606</v>
      </c>
      <c r="BR500" s="198">
        <f>+BR499+BQ499</f>
        <v>6.7452359039661181E-2</v>
      </c>
      <c r="BS500" s="198">
        <f t="shared" si="973"/>
        <v>8.4169412051458226E-2</v>
      </c>
      <c r="BT500" s="264">
        <f t="shared" si="973"/>
        <v>9.0019315331975047E-2</v>
      </c>
      <c r="BU500" s="264">
        <f t="shared" si="973"/>
        <v>7.5394474940740475E-2</v>
      </c>
      <c r="BV500" s="264">
        <f t="shared" si="973"/>
        <v>5.8815793970318664E-2</v>
      </c>
      <c r="BW500" s="264">
        <f t="shared" si="973"/>
        <v>4.8724065376462455E-2</v>
      </c>
      <c r="BX500" s="264">
        <f t="shared" si="973"/>
        <v>4.0420605729551307E-2</v>
      </c>
      <c r="BY500" s="1242">
        <f t="shared" si="973"/>
        <v>3.987100628920448E-2</v>
      </c>
      <c r="BZ500" s="264"/>
      <c r="CA500" s="80"/>
      <c r="CB500" s="88"/>
      <c r="CC500" s="88"/>
      <c r="CD500" s="88"/>
      <c r="CE500" s="88"/>
      <c r="CF500" s="88"/>
      <c r="CG500" s="88"/>
    </row>
    <row r="501" spans="1:85" ht="11.25" hidden="1" customHeight="1" outlineLevel="2">
      <c r="A501" s="86"/>
      <c r="B501" s="86"/>
      <c r="C501" s="86"/>
      <c r="D501" s="86"/>
      <c r="E501" s="86"/>
      <c r="F501" s="86"/>
      <c r="G501" s="86"/>
      <c r="H501" s="328"/>
      <c r="I501" s="653" t="s">
        <v>146</v>
      </c>
      <c r="J501" s="193"/>
      <c r="K501" s="67"/>
      <c r="L501" s="67"/>
      <c r="M501" s="67"/>
      <c r="N501" s="67"/>
      <c r="O501" s="67"/>
      <c r="P501" s="67"/>
      <c r="Q501" s="67"/>
      <c r="R501" s="67"/>
      <c r="S501" s="67"/>
      <c r="T501" s="581"/>
      <c r="U501" s="194"/>
      <c r="V501" s="194"/>
      <c r="W501" s="194"/>
      <c r="X501" s="753"/>
      <c r="Y501" s="198" t="str">
        <f t="shared" ref="Y501:AO501" si="974">IF(ISERROR(Y498/X498-1),"NA",(IF(Y498&lt;=0,"NM",Y498/X498-1)))</f>
        <v>NA</v>
      </c>
      <c r="Z501" s="198">
        <f t="shared" si="974"/>
        <v>2.28535875651521E-2</v>
      </c>
      <c r="AA501" s="198">
        <f t="shared" si="974"/>
        <v>-1.2609915737247679E-2</v>
      </c>
      <c r="AB501" s="198">
        <f t="shared" si="974"/>
        <v>-1.964164340793817E-2</v>
      </c>
      <c r="AC501" s="751">
        <f t="shared" si="974"/>
        <v>-3.9765874554164027E-2</v>
      </c>
      <c r="AD501" s="198">
        <f t="shared" si="974"/>
        <v>2.9795627968812965E-2</v>
      </c>
      <c r="AE501" s="198">
        <f t="shared" si="974"/>
        <v>2.1794771120056344E-2</v>
      </c>
      <c r="AF501" s="198">
        <f t="shared" si="974"/>
        <v>-5.636609160630246E-3</v>
      </c>
      <c r="AG501" s="751">
        <f t="shared" si="974"/>
        <v>-2.2080808878025882E-2</v>
      </c>
      <c r="AH501" s="264">
        <f t="shared" si="974"/>
        <v>1.7922246480246651E-2</v>
      </c>
      <c r="AI501" s="264">
        <f t="shared" si="974"/>
        <v>-1.1894101550635749E-4</v>
      </c>
      <c r="AJ501" s="198">
        <f t="shared" si="974"/>
        <v>1.5441364197984697E-2</v>
      </c>
      <c r="AK501" s="751">
        <f t="shared" si="974"/>
        <v>1.7985526946342256E-2</v>
      </c>
      <c r="AL501" s="198">
        <f t="shared" si="974"/>
        <v>2.2928485459138725E-2</v>
      </c>
      <c r="AM501" s="198">
        <f t="shared" si="974"/>
        <v>1.9920330516475238E-2</v>
      </c>
      <c r="AN501" s="198">
        <f t="shared" si="974"/>
        <v>9.8063906674603629E-3</v>
      </c>
      <c r="AO501" s="751">
        <f t="shared" si="974"/>
        <v>5.010315355142847E-3</v>
      </c>
      <c r="AP501" s="198">
        <f t="shared" ref="AP501:AV501" si="975">IF(ISERROR(AP498/AO498-1),"NA",(IF(AP498&lt;=0,"NM",AP498/AO498-1)))</f>
        <v>2.074961690271615E-2</v>
      </c>
      <c r="AQ501" s="198">
        <f t="shared" si="975"/>
        <v>1.0224665875377292E-2</v>
      </c>
      <c r="AR501" s="752">
        <f t="shared" si="975"/>
        <v>1.8013631937682462E-2</v>
      </c>
      <c r="AS501" s="198">
        <f t="shared" si="975"/>
        <v>-1.561519662687183E-2</v>
      </c>
      <c r="AT501" s="198">
        <f t="shared" si="975"/>
        <v>2.4441467797885252E-2</v>
      </c>
      <c r="AU501" s="198">
        <f t="shared" si="975"/>
        <v>1.3163492738643701E-2</v>
      </c>
      <c r="AV501" s="752">
        <f t="shared" si="975"/>
        <v>1.5492130355978961E-2</v>
      </c>
      <c r="AW501" s="198">
        <f t="shared" ref="AW501:BD501" si="976">IF(ISERROR(AW498/AV498-1),"NA",(IF(AW498&lt;=0,"NM",AW498/AV498-1)))</f>
        <v>-6.4472390087183529E-3</v>
      </c>
      <c r="AX501" s="198">
        <f t="shared" si="976"/>
        <v>2.2409091877496845E-2</v>
      </c>
      <c r="AY501" s="198">
        <f t="shared" si="976"/>
        <v>1.2844301359936416E-2</v>
      </c>
      <c r="AZ501" s="752">
        <f t="shared" si="976"/>
        <v>1.4903915429858916E-2</v>
      </c>
      <c r="BA501" s="1740">
        <f t="shared" si="976"/>
        <v>-4.2656694613805168E-3</v>
      </c>
      <c r="BB501" s="198">
        <f t="shared" si="976"/>
        <v>2.082396089473515E-2</v>
      </c>
      <c r="BC501" s="198">
        <f t="shared" si="976"/>
        <v>1.2528570421221019E-2</v>
      </c>
      <c r="BD501" s="752">
        <f t="shared" si="976"/>
        <v>1.4379735871591137E-2</v>
      </c>
      <c r="BE501" s="266"/>
      <c r="BF501" s="631"/>
      <c r="BG501" s="67"/>
      <c r="BH501" s="67"/>
      <c r="BI501" s="67"/>
      <c r="BJ501" s="67"/>
      <c r="BK501" s="67"/>
      <c r="BL501" s="67"/>
      <c r="BM501" s="67"/>
      <c r="BN501" s="754"/>
      <c r="BO501" s="194"/>
      <c r="BP501" s="194"/>
      <c r="BQ501" s="194"/>
      <c r="BR501" s="194"/>
      <c r="BS501" s="194"/>
      <c r="BT501" s="194"/>
      <c r="BU501" s="194"/>
      <c r="BV501" s="194"/>
      <c r="BW501" s="194"/>
      <c r="BX501" s="194"/>
      <c r="BY501" s="753"/>
      <c r="BZ501" s="266"/>
      <c r="CA501" s="80"/>
      <c r="CB501" s="88"/>
      <c r="CC501" s="88"/>
      <c r="CD501" s="88"/>
      <c r="CE501" s="88"/>
      <c r="CF501" s="88"/>
      <c r="CG501" s="88"/>
    </row>
    <row r="502" spans="1:85" ht="11.25" hidden="1" customHeight="1" outlineLevel="2">
      <c r="A502" s="86"/>
      <c r="B502" s="86"/>
      <c r="C502" s="86"/>
      <c r="D502" s="86"/>
      <c r="E502" s="86"/>
      <c r="F502" s="86"/>
      <c r="G502" s="86"/>
      <c r="H502" s="328"/>
      <c r="I502" s="994" t="s">
        <v>380</v>
      </c>
      <c r="J502" s="193"/>
      <c r="K502" s="67"/>
      <c r="L502" s="67"/>
      <c r="M502" s="67"/>
      <c r="N502" s="67"/>
      <c r="O502" s="67"/>
      <c r="P502" s="67"/>
      <c r="Q502" s="67"/>
      <c r="R502" s="67"/>
      <c r="S502" s="67"/>
      <c r="T502" s="581"/>
      <c r="U502" s="194"/>
      <c r="V502" s="194"/>
      <c r="W502" s="194"/>
      <c r="X502" s="753"/>
      <c r="Y502" s="950">
        <f>Y498-U498</f>
        <v>387.77366020524522</v>
      </c>
      <c r="Z502" s="950">
        <f>Z498-V498</f>
        <v>396.63567950420537</v>
      </c>
      <c r="AA502" s="950">
        <f>AA498-W498</f>
        <v>391.63413700727136</v>
      </c>
      <c r="AB502" s="950">
        <f>AB498-X498</f>
        <v>383.94179894179894</v>
      </c>
      <c r="AC502" s="951">
        <f t="shared" ref="AC502:AO502" si="977">AC498-Y498</f>
        <v>-19.099642676265944</v>
      </c>
      <c r="AD502" s="950">
        <f t="shared" si="977"/>
        <v>-16.976788107164964</v>
      </c>
      <c r="AE502" s="950">
        <f t="shared" si="977"/>
        <v>-3.7006669685381439</v>
      </c>
      <c r="AF502" s="950">
        <f t="shared" si="977"/>
        <v>1.8050417459988921</v>
      </c>
      <c r="AG502" s="951">
        <f t="shared" si="977"/>
        <v>8.5552208942889933</v>
      </c>
      <c r="AH502" s="950">
        <f t="shared" si="977"/>
        <v>4.3311424168054486</v>
      </c>
      <c r="AI502" s="950">
        <f t="shared" si="977"/>
        <v>-3.98910838945352</v>
      </c>
      <c r="AJ502" s="950">
        <f t="shared" si="977"/>
        <v>4.1261456814711437</v>
      </c>
      <c r="AK502" s="951">
        <f t="shared" si="977"/>
        <v>19.655819047996147</v>
      </c>
      <c r="AL502" s="950">
        <f t="shared" si="977"/>
        <v>21.994996926597878</v>
      </c>
      <c r="AM502" s="950">
        <f t="shared" si="977"/>
        <v>30.128025088255072</v>
      </c>
      <c r="AN502" s="950">
        <f>AN498-AJ498</f>
        <v>28.259955957221791</v>
      </c>
      <c r="AO502" s="951">
        <f t="shared" si="977"/>
        <v>23.342862756655848</v>
      </c>
      <c r="AP502" s="950">
        <f>AP498-AL498</f>
        <v>22.962457844031064</v>
      </c>
      <c r="AQ502" s="950">
        <f>AQ498-AM498</f>
        <v>19.260946595798544</v>
      </c>
      <c r="AR502" s="952">
        <f>AR498-AN498</f>
        <v>23.006298179838325</v>
      </c>
      <c r="AS502" s="950">
        <f t="shared" ref="AS502:BD502" si="978">AS498-AO498</f>
        <v>14.022844298073608</v>
      </c>
      <c r="AT502" s="950">
        <f t="shared" si="978"/>
        <v>15.917002018888184</v>
      </c>
      <c r="AU502" s="950">
        <f t="shared" si="978"/>
        <v>17.387127761767488</v>
      </c>
      <c r="AV502" s="952">
        <f t="shared" si="978"/>
        <v>16.56384072616396</v>
      </c>
      <c r="AW502" s="950">
        <f t="shared" si="978"/>
        <v>20.501395546766446</v>
      </c>
      <c r="AX502" s="950">
        <f t="shared" si="978"/>
        <v>20.078252405957983</v>
      </c>
      <c r="AY502" s="950">
        <f t="shared" si="978"/>
        <v>20.194146620547315</v>
      </c>
      <c r="AZ502" s="952">
        <f t="shared" si="978"/>
        <v>20.229997971234297</v>
      </c>
      <c r="BA502" s="950">
        <f t="shared" si="978"/>
        <v>21.142214590424146</v>
      </c>
      <c r="BB502" s="950">
        <f t="shared" si="978"/>
        <v>20.861637501874043</v>
      </c>
      <c r="BC502" s="950">
        <f t="shared" si="978"/>
        <v>20.976207187719012</v>
      </c>
      <c r="BD502" s="952">
        <f t="shared" si="978"/>
        <v>21.030995695611921</v>
      </c>
      <c r="BE502" s="266"/>
      <c r="BF502" s="631"/>
      <c r="BG502" s="67"/>
      <c r="BH502" s="67"/>
      <c r="BI502" s="67"/>
      <c r="BJ502" s="67"/>
      <c r="BK502" s="67"/>
      <c r="BL502" s="67"/>
      <c r="BM502" s="67"/>
      <c r="BN502" s="949"/>
      <c r="BO502" s="948">
        <f t="shared" ref="BO502:BT502" si="979">BO498-BN498</f>
        <v>-1.1862741465341173</v>
      </c>
      <c r="BP502" s="948">
        <f t="shared" si="979"/>
        <v>35.365161321351025</v>
      </c>
      <c r="BQ502" s="948">
        <f t="shared" si="979"/>
        <v>11.904507095907775</v>
      </c>
      <c r="BR502" s="948">
        <f t="shared" si="979"/>
        <v>16.786749336527407</v>
      </c>
      <c r="BS502" s="948">
        <f t="shared" si="979"/>
        <v>20.195955165691998</v>
      </c>
      <c r="BT502" s="948">
        <f t="shared" si="979"/>
        <v>20.963258490262319</v>
      </c>
      <c r="BU502" s="948">
        <f>BU498-BT498</f>
        <v>14.913256933651724</v>
      </c>
      <c r="BV502" s="948">
        <f>BV498-BU498</f>
        <v>14.229504373750899</v>
      </c>
      <c r="BW502" s="948">
        <f>BW498-BV498</f>
        <v>10.5811515622662</v>
      </c>
      <c r="BX502" s="948">
        <f>BX498-BW498</f>
        <v>10.546439198981034</v>
      </c>
      <c r="BY502" s="953">
        <f>BY498-BX498</f>
        <v>10.717159145092637</v>
      </c>
      <c r="BZ502" s="266"/>
      <c r="CA502" s="80"/>
      <c r="CB502" s="88"/>
      <c r="CC502" s="88"/>
      <c r="CD502" s="88"/>
      <c r="CE502" s="88"/>
      <c r="CF502" s="88"/>
      <c r="CG502" s="88"/>
    </row>
    <row r="503" spans="1:85" ht="11.25" hidden="1" customHeight="1" outlineLevel="2">
      <c r="A503" s="86"/>
      <c r="B503" s="86"/>
      <c r="C503" s="86"/>
      <c r="D503" s="86"/>
      <c r="E503" s="86"/>
      <c r="F503" s="86"/>
      <c r="G503" s="86"/>
      <c r="H503" s="328"/>
      <c r="I503" s="994" t="s">
        <v>377</v>
      </c>
      <c r="J503" s="193"/>
      <c r="K503" s="67"/>
      <c r="L503" s="67"/>
      <c r="M503" s="67"/>
      <c r="N503" s="67"/>
      <c r="O503" s="67"/>
      <c r="P503" s="67"/>
      <c r="Q503" s="67"/>
      <c r="R503" s="67"/>
      <c r="S503" s="67"/>
      <c r="T503" s="581"/>
      <c r="U503" s="194"/>
      <c r="V503" s="194"/>
      <c r="W503" s="194"/>
      <c r="X503" s="753"/>
      <c r="Y503" s="950">
        <f>Y498-X498</f>
        <v>387.77366020524522</v>
      </c>
      <c r="Z503" s="950">
        <f>Z498-Y498</f>
        <v>8.8620192989601492</v>
      </c>
      <c r="AA503" s="950">
        <f>AA498-Z498</f>
        <v>-5.0015424969340074</v>
      </c>
      <c r="AB503" s="950">
        <f>AB498-AA498</f>
        <v>-7.6923380654724269</v>
      </c>
      <c r="AC503" s="951">
        <f t="shared" ref="AC503:AO503" si="980">AC498-AB498</f>
        <v>-15.267781412819659</v>
      </c>
      <c r="AD503" s="950">
        <f t="shared" si="980"/>
        <v>10.984873868061129</v>
      </c>
      <c r="AE503" s="950">
        <f t="shared" si="980"/>
        <v>8.2745786416928127</v>
      </c>
      <c r="AF503" s="952">
        <f t="shared" si="980"/>
        <v>-2.1866293509353909</v>
      </c>
      <c r="AG503" s="950">
        <f t="shared" si="980"/>
        <v>-8.5176022645295575</v>
      </c>
      <c r="AH503" s="950">
        <f t="shared" si="980"/>
        <v>6.7607953905775844</v>
      </c>
      <c r="AI503" s="950">
        <f t="shared" si="980"/>
        <v>-4.5672164566155971E-2</v>
      </c>
      <c r="AJ503" s="950">
        <f t="shared" si="980"/>
        <v>5.9286247199892728</v>
      </c>
      <c r="AK503" s="951">
        <f t="shared" si="980"/>
        <v>7.0120711019954456</v>
      </c>
      <c r="AL503" s="950">
        <f t="shared" si="980"/>
        <v>9.0999732691793156</v>
      </c>
      <c r="AM503" s="950">
        <f t="shared" si="980"/>
        <v>8.0873559970910378</v>
      </c>
      <c r="AN503" s="950">
        <f>AN498-AM498</f>
        <v>4.0605555889559923</v>
      </c>
      <c r="AO503" s="951">
        <f t="shared" si="980"/>
        <v>2.0949779014295018</v>
      </c>
      <c r="AP503" s="950">
        <f>AP498-AO498</f>
        <v>8.7195683565545323</v>
      </c>
      <c r="AQ503" s="950">
        <f>AQ498-AP498</f>
        <v>4.3858447488585171</v>
      </c>
      <c r="AR503" s="952">
        <f>AR498-AQ498</f>
        <v>7.8059071729957736</v>
      </c>
      <c r="AS503" s="950">
        <f t="shared" ref="AS503:BD503" si="981">AS498-AR498</f>
        <v>-6.8884759803352154</v>
      </c>
      <c r="AT503" s="950">
        <f t="shared" si="981"/>
        <v>10.613726077369108</v>
      </c>
      <c r="AU503" s="950">
        <f t="shared" si="981"/>
        <v>5.8559704917378212</v>
      </c>
      <c r="AV503" s="952">
        <f t="shared" si="981"/>
        <v>6.9826201373922459</v>
      </c>
      <c r="AW503" s="950">
        <f t="shared" si="981"/>
        <v>-2.9509211597327294</v>
      </c>
      <c r="AX503" s="950">
        <f t="shared" si="981"/>
        <v>10.190582936560645</v>
      </c>
      <c r="AY503" s="950">
        <f t="shared" si="981"/>
        <v>5.9718647063271533</v>
      </c>
      <c r="AZ503" s="952">
        <f t="shared" si="981"/>
        <v>7.0184714880792285</v>
      </c>
      <c r="BA503" s="950">
        <f t="shared" si="981"/>
        <v>-2.0387045405428807</v>
      </c>
      <c r="BB503" s="950">
        <f t="shared" si="981"/>
        <v>9.9100058480105417</v>
      </c>
      <c r="BC503" s="950">
        <f t="shared" si="981"/>
        <v>6.0864343921721229</v>
      </c>
      <c r="BD503" s="952">
        <f t="shared" si="981"/>
        <v>7.0732599959721369</v>
      </c>
      <c r="BE503" s="266"/>
      <c r="BF503" s="631"/>
      <c r="BG503" s="67"/>
      <c r="BH503" s="67"/>
      <c r="BI503" s="67"/>
      <c r="BJ503" s="67"/>
      <c r="BK503" s="67"/>
      <c r="BL503" s="67"/>
      <c r="BM503" s="67"/>
      <c r="BN503" s="631"/>
      <c r="BO503" s="194"/>
      <c r="BP503" s="194"/>
      <c r="BQ503" s="194"/>
      <c r="BR503" s="194"/>
      <c r="BS503" s="194"/>
      <c r="BT503" s="194"/>
      <c r="BU503" s="194"/>
      <c r="BV503" s="194"/>
      <c r="BW503" s="194"/>
      <c r="BX503" s="194"/>
      <c r="BY503" s="753"/>
      <c r="BZ503" s="266"/>
      <c r="CA503" s="80"/>
      <c r="CB503" s="88"/>
      <c r="CC503" s="88"/>
      <c r="CD503" s="88"/>
      <c r="CE503" s="88"/>
      <c r="CF503" s="88"/>
      <c r="CG503" s="88"/>
    </row>
    <row r="504" spans="1:85" ht="11.25" hidden="1" customHeight="1" outlineLevel="2">
      <c r="A504" s="86"/>
      <c r="B504" s="86"/>
      <c r="C504" s="86"/>
      <c r="D504" s="86"/>
      <c r="E504" s="86"/>
      <c r="F504" s="86"/>
      <c r="G504" s="86"/>
      <c r="H504" s="328"/>
      <c r="I504" s="994"/>
      <c r="J504" s="193"/>
      <c r="K504" s="67"/>
      <c r="L504" s="67"/>
      <c r="M504" s="198"/>
      <c r="N504" s="914"/>
      <c r="O504" s="911"/>
      <c r="P504" s="911"/>
      <c r="Q504" s="911"/>
      <c r="R504" s="911"/>
      <c r="S504" s="911"/>
      <c r="T504" s="913"/>
      <c r="U504" s="911"/>
      <c r="V504" s="911"/>
      <c r="W504" s="911"/>
      <c r="X504" s="913"/>
      <c r="Y504" s="911"/>
      <c r="Z504" s="2293"/>
      <c r="AA504" s="911"/>
      <c r="AB504" s="911"/>
      <c r="AC504" s="912"/>
      <c r="AD504" s="2293">
        <f>+AD498/AC498-1</f>
        <v>2.9795627968812965E-2</v>
      </c>
      <c r="AE504" s="911"/>
      <c r="AF504" s="911"/>
      <c r="AG504" s="2380"/>
      <c r="AH504" s="2293">
        <f>+AH498/AG498-1</f>
        <v>1.7922246480246651E-2</v>
      </c>
      <c r="AI504" s="2293"/>
      <c r="AJ504" s="2293"/>
      <c r="AK504" s="2380"/>
      <c r="AL504" s="2293">
        <f>+AL498/AK498-1</f>
        <v>2.2928485459138725E-2</v>
      </c>
      <c r="AM504" s="2293">
        <f>+AM498/AL498-1</f>
        <v>1.9920330516475238E-2</v>
      </c>
      <c r="AN504" s="911"/>
      <c r="AO504" s="2380"/>
      <c r="AP504" s="911"/>
      <c r="AQ504" s="911"/>
      <c r="AR504" s="913"/>
      <c r="AS504" s="911"/>
      <c r="AT504" s="911"/>
      <c r="AU504" s="911"/>
      <c r="AV504" s="913"/>
      <c r="AW504" s="911"/>
      <c r="AX504" s="911"/>
      <c r="AY504" s="911"/>
      <c r="AZ504" s="913"/>
      <c r="BA504" s="911"/>
      <c r="BB504" s="911"/>
      <c r="BC504" s="911"/>
      <c r="BD504" s="913"/>
      <c r="BE504" s="901"/>
      <c r="BF504" s="751"/>
      <c r="BG504" s="198"/>
      <c r="BH504" s="198"/>
      <c r="BI504" s="198"/>
      <c r="BJ504" s="198"/>
      <c r="BK504" s="198"/>
      <c r="BL504" s="198"/>
      <c r="BM504" s="198"/>
      <c r="BN504" s="751"/>
      <c r="BO504" s="198"/>
      <c r="BP504" s="198"/>
      <c r="BQ504" s="198"/>
      <c r="BR504" s="198"/>
      <c r="BS504" s="198"/>
      <c r="BT504" s="198"/>
      <c r="BU504" s="198"/>
      <c r="BV504" s="198"/>
      <c r="BW504" s="198"/>
      <c r="BX504" s="198"/>
      <c r="BY504" s="752"/>
      <c r="BZ504" s="264"/>
      <c r="CA504" s="80"/>
      <c r="CB504" s="88"/>
      <c r="CC504" s="88"/>
      <c r="CD504" s="88"/>
      <c r="CE504" s="88"/>
      <c r="CF504" s="88"/>
      <c r="CG504" s="88"/>
    </row>
    <row r="505" spans="1:85" ht="11.25" hidden="1" customHeight="1" outlineLevel="2">
      <c r="A505" s="86"/>
      <c r="B505" s="86"/>
      <c r="C505" s="86"/>
      <c r="D505" s="86"/>
      <c r="E505" s="86"/>
      <c r="F505" s="86"/>
      <c r="G505" s="86"/>
      <c r="H505" s="328"/>
      <c r="I505" s="994"/>
      <c r="J505" s="193"/>
      <c r="K505" s="67"/>
      <c r="L505" s="67"/>
      <c r="M505" s="198"/>
      <c r="N505" s="914"/>
      <c r="O505" s="911"/>
      <c r="P505" s="911"/>
      <c r="Q505" s="911"/>
      <c r="R505" s="911"/>
      <c r="S505" s="911"/>
      <c r="T505" s="913"/>
      <c r="U505" s="911"/>
      <c r="V505" s="911"/>
      <c r="W505" s="911"/>
      <c r="X505" s="913"/>
      <c r="Y505" s="911"/>
      <c r="Z505" s="911"/>
      <c r="AA505" s="911"/>
      <c r="AB505" s="911"/>
      <c r="AC505" s="2293"/>
      <c r="AD505" s="2293"/>
      <c r="AE505" s="2293"/>
      <c r="AF505" s="2293"/>
      <c r="AG505" s="2380"/>
      <c r="AH505" s="2293"/>
      <c r="AI505" s="2293"/>
      <c r="AJ505" s="2293"/>
      <c r="AK505" s="2380"/>
      <c r="AL505" s="2293"/>
      <c r="AM505" s="2293"/>
      <c r="AN505" s="2293"/>
      <c r="AO505" s="2380"/>
      <c r="AP505" s="911"/>
      <c r="AQ505" s="911"/>
      <c r="AR505" s="913"/>
      <c r="AS505" s="911"/>
      <c r="AT505" s="911"/>
      <c r="AU505" s="911"/>
      <c r="AV505" s="913"/>
      <c r="AW505" s="911"/>
      <c r="AX505" s="911"/>
      <c r="AY505" s="911"/>
      <c r="AZ505" s="913"/>
      <c r="BA505" s="911"/>
      <c r="BB505" s="911"/>
      <c r="BC505" s="911"/>
      <c r="BD505" s="913"/>
      <c r="BE505" s="901"/>
      <c r="BF505" s="751"/>
      <c r="BG505" s="198"/>
      <c r="BH505" s="198"/>
      <c r="BI505" s="198"/>
      <c r="BJ505" s="198"/>
      <c r="BK505" s="198"/>
      <c r="BL505" s="198"/>
      <c r="BM505" s="198"/>
      <c r="BN505" s="751"/>
      <c r="BO505" s="198"/>
      <c r="BP505" s="198"/>
      <c r="BQ505" s="198"/>
      <c r="BR505" s="198"/>
      <c r="BS505" s="198"/>
      <c r="BT505" s="198"/>
      <c r="BU505" s="198"/>
      <c r="BV505" s="198"/>
      <c r="BW505" s="198"/>
      <c r="BX505" s="198"/>
      <c r="BY505" s="752"/>
      <c r="BZ505" s="264"/>
      <c r="CA505" s="80"/>
      <c r="CB505" s="88"/>
      <c r="CC505" s="88"/>
      <c r="CD505" s="88"/>
      <c r="CE505" s="88"/>
      <c r="CF505" s="88"/>
      <c r="CG505" s="88"/>
    </row>
    <row r="506" spans="1:85" s="1992" customFormat="1" ht="11.25" hidden="1" customHeight="1" outlineLevel="2">
      <c r="I506" s="1993" t="s">
        <v>465</v>
      </c>
      <c r="J506" s="1994"/>
      <c r="K506" s="1994"/>
      <c r="L506" s="1994"/>
      <c r="M506" s="1994"/>
      <c r="N506" s="1994"/>
      <c r="O506" s="1994"/>
      <c r="P506" s="1994"/>
      <c r="Q506" s="1994"/>
      <c r="R506" s="1994"/>
      <c r="S506" s="1996"/>
      <c r="T506" s="1997"/>
      <c r="U506" s="1248">
        <f>Y506/(1+Y508)</f>
        <v>533.33333333333337</v>
      </c>
      <c r="V506" s="1248">
        <f>Z506/(1+Z508)</f>
        <v>566.66666666666663</v>
      </c>
      <c r="W506" s="1248">
        <f>AA506/(1+AA508)</f>
        <v>686.27450980392155</v>
      </c>
      <c r="X506" s="1250">
        <f>AB506/(1+AB508)</f>
        <v>769.23076923076928</v>
      </c>
      <c r="Y506" s="2001">
        <v>800</v>
      </c>
      <c r="Z506" s="2001">
        <v>850</v>
      </c>
      <c r="AA506" s="2001">
        <v>1050</v>
      </c>
      <c r="AB506" s="2021">
        <v>1100</v>
      </c>
      <c r="AC506" s="2020">
        <v>1250</v>
      </c>
      <c r="AD506" s="2001">
        <v>1350</v>
      </c>
      <c r="AE506" s="2001">
        <v>1550</v>
      </c>
      <c r="AF506" s="2381">
        <v>1550</v>
      </c>
      <c r="AG506" s="2382">
        <v>1600</v>
      </c>
      <c r="AH506" s="2002">
        <v>1750</v>
      </c>
      <c r="AI506" s="2002">
        <v>2100</v>
      </c>
      <c r="AJ506" s="2465">
        <v>2200</v>
      </c>
      <c r="AK506" s="2466">
        <v>2300</v>
      </c>
      <c r="AL506" s="2465">
        <v>2400</v>
      </c>
      <c r="AM506" s="2465">
        <v>2500</v>
      </c>
      <c r="AN506" s="2465">
        <v>2450</v>
      </c>
      <c r="AO506" s="2466">
        <v>2550</v>
      </c>
      <c r="AP506" s="2009">
        <f>AO506+AP507</f>
        <v>2650</v>
      </c>
      <c r="AQ506" s="2009">
        <f>AP506+AQ507</f>
        <v>2750</v>
      </c>
      <c r="AR506" s="2017">
        <f>AQ506+AR507</f>
        <v>2850</v>
      </c>
      <c r="AS506" s="2009">
        <f t="shared" ref="AS506:BD506" si="982">AR506+AS507</f>
        <v>2950</v>
      </c>
      <c r="AT506" s="2009">
        <f t="shared" si="982"/>
        <v>3050</v>
      </c>
      <c r="AU506" s="2009">
        <f t="shared" si="982"/>
        <v>3125</v>
      </c>
      <c r="AV506" s="2017">
        <f t="shared" si="982"/>
        <v>3200</v>
      </c>
      <c r="AW506" s="2009">
        <f t="shared" si="982"/>
        <v>3300</v>
      </c>
      <c r="AX506" s="2009">
        <f t="shared" si="982"/>
        <v>3400</v>
      </c>
      <c r="AY506" s="2009">
        <f t="shared" si="982"/>
        <v>3475</v>
      </c>
      <c r="AZ506" s="2017">
        <f t="shared" si="982"/>
        <v>3525</v>
      </c>
      <c r="BA506" s="2009">
        <f t="shared" si="982"/>
        <v>3605</v>
      </c>
      <c r="BB506" s="2009">
        <f t="shared" si="982"/>
        <v>3685</v>
      </c>
      <c r="BC506" s="2009">
        <f t="shared" si="982"/>
        <v>3735</v>
      </c>
      <c r="BD506" s="2017">
        <f t="shared" si="982"/>
        <v>3775</v>
      </c>
      <c r="BE506" s="2007"/>
      <c r="BF506" s="1995"/>
      <c r="BG506" s="1994"/>
      <c r="BH506" s="1994"/>
      <c r="BI506" s="1994"/>
      <c r="BJ506" s="1994"/>
      <c r="BK506" s="1994"/>
      <c r="BL506" s="2010">
        <f>X506</f>
        <v>769.23076923076928</v>
      </c>
      <c r="BM506" s="2010">
        <f>AB506</f>
        <v>1100</v>
      </c>
      <c r="BN506" s="2016">
        <f>AF506</f>
        <v>1550</v>
      </c>
      <c r="BO506" s="2010">
        <f>AJ506</f>
        <v>2200</v>
      </c>
      <c r="BP506" s="2010">
        <f>AN506</f>
        <v>2450</v>
      </c>
      <c r="BQ506" s="2010">
        <f>AR506</f>
        <v>2850</v>
      </c>
      <c r="BR506" s="2010">
        <f>AV506</f>
        <v>3200</v>
      </c>
      <c r="BS506" s="2010">
        <f>AZ506</f>
        <v>3525</v>
      </c>
      <c r="BT506" s="2010">
        <f>BD506</f>
        <v>3775</v>
      </c>
      <c r="BU506" s="2010">
        <f>+BT506+BU507</f>
        <v>3962.5</v>
      </c>
      <c r="BV506" s="2010">
        <f>+BU506+BV507</f>
        <v>4093.75</v>
      </c>
      <c r="BW506" s="2010">
        <f>+BV506+BW507</f>
        <v>4185.625</v>
      </c>
      <c r="BX506" s="2010">
        <f>+BW506+BX507</f>
        <v>4249.9375</v>
      </c>
      <c r="BY506" s="2011">
        <f>+BX506+BY507</f>
        <v>4294.9562500000002</v>
      </c>
    </row>
    <row r="507" spans="1:85" s="1992" customFormat="1" ht="11.25" hidden="1" customHeight="1" outlineLevel="2">
      <c r="I507" s="1998" t="s">
        <v>584</v>
      </c>
      <c r="J507" s="1994"/>
      <c r="K507" s="1994"/>
      <c r="L507" s="1994"/>
      <c r="M507" s="1994"/>
      <c r="N507" s="1994"/>
      <c r="O507" s="1994"/>
      <c r="P507" s="1994"/>
      <c r="Q507" s="1994"/>
      <c r="R507" s="1994"/>
      <c r="S507" s="1996"/>
      <c r="T507" s="1997"/>
      <c r="U507" s="1996"/>
      <c r="V507" s="1248">
        <f t="shared" ref="V507:AO507" si="983">V506-U506</f>
        <v>33.333333333333258</v>
      </c>
      <c r="W507" s="1248">
        <f t="shared" si="983"/>
        <v>119.60784313725492</v>
      </c>
      <c r="X507" s="1250">
        <f t="shared" si="983"/>
        <v>82.956259426847737</v>
      </c>
      <c r="Y507" s="1248">
        <f t="shared" si="983"/>
        <v>30.769230769230717</v>
      </c>
      <c r="Z507" s="1248">
        <f t="shared" si="983"/>
        <v>50</v>
      </c>
      <c r="AA507" s="1248">
        <f t="shared" si="983"/>
        <v>200</v>
      </c>
      <c r="AB507" s="1248">
        <f t="shared" si="983"/>
        <v>50</v>
      </c>
      <c r="AC507" s="1249">
        <f t="shared" si="983"/>
        <v>150</v>
      </c>
      <c r="AD507" s="1248">
        <f t="shared" si="983"/>
        <v>100</v>
      </c>
      <c r="AE507" s="1248">
        <f t="shared" si="983"/>
        <v>200</v>
      </c>
      <c r="AF507" s="1250">
        <f t="shared" si="983"/>
        <v>0</v>
      </c>
      <c r="AG507" s="1248">
        <f t="shared" si="983"/>
        <v>50</v>
      </c>
      <c r="AH507" s="1248">
        <f t="shared" si="983"/>
        <v>150</v>
      </c>
      <c r="AI507" s="2418">
        <f t="shared" si="983"/>
        <v>350</v>
      </c>
      <c r="AJ507" s="1250">
        <f t="shared" si="983"/>
        <v>100</v>
      </c>
      <c r="AK507" s="1248">
        <f t="shared" si="983"/>
        <v>100</v>
      </c>
      <c r="AL507" s="1248">
        <f t="shared" si="983"/>
        <v>100</v>
      </c>
      <c r="AM507" s="1248">
        <f t="shared" si="983"/>
        <v>100</v>
      </c>
      <c r="AN507" s="1248">
        <f t="shared" si="983"/>
        <v>-50</v>
      </c>
      <c r="AO507" s="1249">
        <f t="shared" si="983"/>
        <v>100</v>
      </c>
      <c r="AP507" s="1999">
        <v>100</v>
      </c>
      <c r="AQ507" s="1999">
        <v>100</v>
      </c>
      <c r="AR507" s="2004">
        <v>100</v>
      </c>
      <c r="AS507" s="1999">
        <v>100</v>
      </c>
      <c r="AT507" s="1999">
        <v>100</v>
      </c>
      <c r="AU507" s="1999">
        <v>75</v>
      </c>
      <c r="AV507" s="2004">
        <v>75</v>
      </c>
      <c r="AW507" s="1999">
        <v>100</v>
      </c>
      <c r="AX507" s="1999">
        <v>100</v>
      </c>
      <c r="AY507" s="1999">
        <v>75</v>
      </c>
      <c r="AZ507" s="2004">
        <v>50</v>
      </c>
      <c r="BA507" s="1999">
        <v>80</v>
      </c>
      <c r="BB507" s="1999">
        <v>80</v>
      </c>
      <c r="BC507" s="1999">
        <v>50</v>
      </c>
      <c r="BD507" s="2004">
        <f>AZ507-10</f>
        <v>40</v>
      </c>
      <c r="BE507" s="2007"/>
      <c r="BF507" s="1995"/>
      <c r="BG507" s="976">
        <v>-2.2747206078539084E-2</v>
      </c>
      <c r="BH507" s="1994"/>
      <c r="BI507" s="1994"/>
      <c r="BJ507" s="1994"/>
      <c r="BK507" s="1994"/>
      <c r="BL507" s="1994"/>
      <c r="BM507" s="1994">
        <f t="shared" ref="BM507:BT507" si="984">+BM506-BL506</f>
        <v>330.76923076923072</v>
      </c>
      <c r="BN507" s="1995">
        <f t="shared" si="984"/>
        <v>450</v>
      </c>
      <c r="BO507" s="1994">
        <f t="shared" si="984"/>
        <v>650</v>
      </c>
      <c r="BP507" s="1994">
        <f t="shared" si="984"/>
        <v>250</v>
      </c>
      <c r="BQ507" s="1994">
        <f t="shared" si="984"/>
        <v>400</v>
      </c>
      <c r="BR507" s="1994">
        <f t="shared" si="984"/>
        <v>350</v>
      </c>
      <c r="BS507" s="1994">
        <f t="shared" si="984"/>
        <v>325</v>
      </c>
      <c r="BT507" s="1994">
        <f t="shared" si="984"/>
        <v>250</v>
      </c>
      <c r="BU507" s="2012">
        <f>+BT507*0.75</f>
        <v>187.5</v>
      </c>
      <c r="BV507" s="2012">
        <f>+BU507*0.7</f>
        <v>131.25</v>
      </c>
      <c r="BW507" s="2012">
        <f>+BV507*0.7</f>
        <v>91.875</v>
      </c>
      <c r="BX507" s="2012">
        <f>+BW507*0.7</f>
        <v>64.3125</v>
      </c>
      <c r="BY507" s="2494">
        <f>+BX507*0.7</f>
        <v>45.018749999999997</v>
      </c>
    </row>
    <row r="508" spans="1:85" ht="11.25" hidden="1" customHeight="1" outlineLevel="2">
      <c r="H508" s="40"/>
      <c r="I508" s="796" t="s">
        <v>132</v>
      </c>
      <c r="J508" s="106"/>
      <c r="K508" s="106"/>
      <c r="L508" s="1183"/>
      <c r="M508" s="1183"/>
      <c r="N508" s="1183"/>
      <c r="O508" s="1183"/>
      <c r="P508" s="1183"/>
      <c r="Q508" s="1183"/>
      <c r="R508" s="1183"/>
      <c r="S508" s="1185"/>
      <c r="T508" s="1186"/>
      <c r="U508" s="1256">
        <v>0.49</v>
      </c>
      <c r="V508" s="1256">
        <v>0.5</v>
      </c>
      <c r="W508" s="1256">
        <v>0.5</v>
      </c>
      <c r="X508" s="2501">
        <v>0.5</v>
      </c>
      <c r="Y508" s="1256">
        <v>0.5</v>
      </c>
      <c r="Z508" s="1256">
        <v>0.5</v>
      </c>
      <c r="AA508" s="1256">
        <v>0.53</v>
      </c>
      <c r="AB508" s="1256">
        <v>0.43</v>
      </c>
      <c r="AC508" s="1735">
        <f>+AC506/Y506-1</f>
        <v>0.5625</v>
      </c>
      <c r="AD508" s="1735">
        <f>AD506/Z506-1</f>
        <v>0.58823529411764697</v>
      </c>
      <c r="AE508" s="1735">
        <f>AE506/AA506-1</f>
        <v>0.47619047619047628</v>
      </c>
      <c r="AF508" s="1797">
        <f>AF506/AB506-1</f>
        <v>0.40909090909090917</v>
      </c>
      <c r="AG508" s="1735">
        <f>+AG506/AC506-1</f>
        <v>0.28000000000000003</v>
      </c>
      <c r="AH508" s="1735">
        <f t="shared" ref="AH508:AO508" si="985">AH506/AD506-1</f>
        <v>0.29629629629629628</v>
      </c>
      <c r="AI508" s="1735">
        <f t="shared" si="985"/>
        <v>0.35483870967741926</v>
      </c>
      <c r="AJ508" s="1797">
        <f t="shared" si="985"/>
        <v>0.41935483870967749</v>
      </c>
      <c r="AK508" s="1735">
        <f t="shared" si="985"/>
        <v>0.4375</v>
      </c>
      <c r="AL508" s="1735">
        <f t="shared" si="985"/>
        <v>0.37142857142857144</v>
      </c>
      <c r="AM508" s="1735">
        <f t="shared" si="985"/>
        <v>0.19047619047619047</v>
      </c>
      <c r="AN508" s="1735">
        <f t="shared" si="985"/>
        <v>0.11363636363636354</v>
      </c>
      <c r="AO508" s="2625">
        <f t="shared" si="985"/>
        <v>0.10869565217391308</v>
      </c>
      <c r="AP508" s="1982">
        <f t="shared" ref="AP508:AV508" si="986">AP506/AL506-1</f>
        <v>0.10416666666666674</v>
      </c>
      <c r="AQ508" s="1982">
        <f t="shared" si="986"/>
        <v>0.10000000000000009</v>
      </c>
      <c r="AR508" s="2005">
        <f t="shared" si="986"/>
        <v>0.16326530612244894</v>
      </c>
      <c r="AS508" s="1982">
        <f t="shared" si="986"/>
        <v>0.15686274509803932</v>
      </c>
      <c r="AT508" s="1982">
        <f t="shared" si="986"/>
        <v>0.15094339622641506</v>
      </c>
      <c r="AU508" s="1982">
        <f t="shared" si="986"/>
        <v>0.13636363636363646</v>
      </c>
      <c r="AV508" s="2005">
        <f t="shared" si="986"/>
        <v>0.12280701754385959</v>
      </c>
      <c r="AW508" s="1982">
        <f t="shared" ref="AW508:BD508" si="987">AW506/AS506-1</f>
        <v>0.11864406779661008</v>
      </c>
      <c r="AX508" s="1982">
        <f t="shared" si="987"/>
        <v>0.11475409836065564</v>
      </c>
      <c r="AY508" s="1982">
        <f t="shared" si="987"/>
        <v>0.1120000000000001</v>
      </c>
      <c r="AZ508" s="2005">
        <f t="shared" si="987"/>
        <v>0.1015625</v>
      </c>
      <c r="BA508" s="1982">
        <f t="shared" si="987"/>
        <v>9.242424242424252E-2</v>
      </c>
      <c r="BB508" s="1982">
        <f t="shared" si="987"/>
        <v>8.382352941176463E-2</v>
      </c>
      <c r="BC508" s="1982">
        <f t="shared" si="987"/>
        <v>7.482014388489211E-2</v>
      </c>
      <c r="BD508" s="2005">
        <f t="shared" si="987"/>
        <v>7.0921985815602939E-2</v>
      </c>
      <c r="BE508" s="2008"/>
      <c r="BF508" s="1184"/>
      <c r="BG508" s="1183"/>
      <c r="BH508" s="1183"/>
      <c r="BI508" s="1183"/>
      <c r="BJ508" s="1183"/>
      <c r="BK508" s="1183"/>
      <c r="BL508" s="1183"/>
      <c r="BM508" s="976">
        <f t="shared" ref="BM508:BY508" si="988">BM506/BL506-1</f>
        <v>0.42999999999999994</v>
      </c>
      <c r="BN508" s="977">
        <f t="shared" si="988"/>
        <v>0.40909090909090917</v>
      </c>
      <c r="BO508" s="976">
        <f t="shared" si="988"/>
        <v>0.41935483870967749</v>
      </c>
      <c r="BP508" s="1128">
        <f t="shared" si="988"/>
        <v>0.11363636363636354</v>
      </c>
      <c r="BQ508" s="1128">
        <f t="shared" si="988"/>
        <v>0.16326530612244894</v>
      </c>
      <c r="BR508" s="1128">
        <f t="shared" si="988"/>
        <v>0.12280701754385959</v>
      </c>
      <c r="BS508" s="1128">
        <f t="shared" si="988"/>
        <v>0.1015625</v>
      </c>
      <c r="BT508" s="1128">
        <f t="shared" si="988"/>
        <v>7.0921985815602939E-2</v>
      </c>
      <c r="BU508" s="1128">
        <f t="shared" si="988"/>
        <v>4.9668874172185351E-2</v>
      </c>
      <c r="BV508" s="1128">
        <f t="shared" si="988"/>
        <v>3.3123028391167209E-2</v>
      </c>
      <c r="BW508" s="1128">
        <f t="shared" si="988"/>
        <v>2.244274809160296E-2</v>
      </c>
      <c r="BX508" s="1128">
        <f t="shared" si="988"/>
        <v>1.536508884575194E-2</v>
      </c>
      <c r="BY508" s="1129">
        <f t="shared" si="988"/>
        <v>1.0592802835335924E-2</v>
      </c>
      <c r="BZ508" s="1188"/>
      <c r="CA508" s="1188"/>
    </row>
    <row r="509" spans="1:85" ht="11.25" hidden="1" customHeight="1" outlineLevel="2">
      <c r="H509" s="40"/>
      <c r="I509" s="796" t="s">
        <v>146</v>
      </c>
      <c r="J509" s="106"/>
      <c r="K509" s="106"/>
      <c r="L509" s="106"/>
      <c r="M509" s="106"/>
      <c r="N509" s="106"/>
      <c r="O509" s="106"/>
      <c r="P509" s="106"/>
      <c r="Q509" s="199"/>
      <c r="R509" s="199"/>
      <c r="S509" s="199"/>
      <c r="T509" s="620"/>
      <c r="U509" s="199"/>
      <c r="V509" s="199">
        <f t="shared" ref="V509:AO509" si="989">V506/U506-1</f>
        <v>6.2499999999999778E-2</v>
      </c>
      <c r="W509" s="199">
        <f t="shared" si="989"/>
        <v>0.21107266435986172</v>
      </c>
      <c r="X509" s="620">
        <f t="shared" si="989"/>
        <v>0.12087912087912089</v>
      </c>
      <c r="Y509" s="199">
        <f t="shared" si="989"/>
        <v>4.0000000000000036E-2</v>
      </c>
      <c r="Z509" s="199">
        <f t="shared" si="989"/>
        <v>6.25E-2</v>
      </c>
      <c r="AA509" s="199">
        <f t="shared" si="989"/>
        <v>0.23529411764705888</v>
      </c>
      <c r="AB509" s="199">
        <f t="shared" si="989"/>
        <v>4.7619047619047672E-2</v>
      </c>
      <c r="AC509" s="449">
        <f t="shared" si="989"/>
        <v>0.13636363636363646</v>
      </c>
      <c r="AD509" s="199">
        <f t="shared" si="989"/>
        <v>8.0000000000000071E-2</v>
      </c>
      <c r="AE509" s="199">
        <f t="shared" si="989"/>
        <v>0.14814814814814814</v>
      </c>
      <c r="AF509" s="620">
        <f t="shared" si="989"/>
        <v>0</v>
      </c>
      <c r="AG509" s="199">
        <f t="shared" si="989"/>
        <v>3.2258064516129004E-2</v>
      </c>
      <c r="AH509" s="199">
        <f t="shared" si="989"/>
        <v>9.375E-2</v>
      </c>
      <c r="AI509" s="199">
        <f t="shared" si="989"/>
        <v>0.19999999999999996</v>
      </c>
      <c r="AJ509" s="620">
        <f t="shared" si="989"/>
        <v>4.7619047619047672E-2</v>
      </c>
      <c r="AK509" s="199">
        <f t="shared" si="989"/>
        <v>4.5454545454545414E-2</v>
      </c>
      <c r="AL509" s="199">
        <f t="shared" si="989"/>
        <v>4.3478260869565188E-2</v>
      </c>
      <c r="AM509" s="199">
        <f t="shared" si="989"/>
        <v>4.1666666666666741E-2</v>
      </c>
      <c r="AN509" s="199">
        <f t="shared" si="989"/>
        <v>-2.0000000000000018E-2</v>
      </c>
      <c r="AO509" s="449">
        <f t="shared" si="989"/>
        <v>4.081632653061229E-2</v>
      </c>
      <c r="AP509" s="199">
        <f t="shared" ref="AP509:AV509" si="990">AP506/AO506-1</f>
        <v>3.9215686274509887E-2</v>
      </c>
      <c r="AQ509" s="199">
        <f t="shared" si="990"/>
        <v>3.7735849056603765E-2</v>
      </c>
      <c r="AR509" s="620">
        <f t="shared" si="990"/>
        <v>3.6363636363636376E-2</v>
      </c>
      <c r="AS509" s="199">
        <f t="shared" si="990"/>
        <v>3.5087719298245723E-2</v>
      </c>
      <c r="AT509" s="199">
        <f t="shared" si="990"/>
        <v>3.3898305084745672E-2</v>
      </c>
      <c r="AU509" s="199">
        <f t="shared" si="990"/>
        <v>2.4590163934426146E-2</v>
      </c>
      <c r="AV509" s="620">
        <f t="shared" si="990"/>
        <v>2.4000000000000021E-2</v>
      </c>
      <c r="AW509" s="199">
        <f t="shared" ref="AW509:BD509" si="991">AW506/AV506-1</f>
        <v>3.125E-2</v>
      </c>
      <c r="AX509" s="199">
        <f t="shared" si="991"/>
        <v>3.0303030303030276E-2</v>
      </c>
      <c r="AY509" s="199">
        <f t="shared" si="991"/>
        <v>2.2058823529411686E-2</v>
      </c>
      <c r="AZ509" s="620">
        <f t="shared" si="991"/>
        <v>1.4388489208633004E-2</v>
      </c>
      <c r="BA509" s="199">
        <f t="shared" si="991"/>
        <v>2.2695035460992941E-2</v>
      </c>
      <c r="BB509" s="199">
        <f t="shared" si="991"/>
        <v>2.2191400832177521E-2</v>
      </c>
      <c r="BC509" s="199">
        <f t="shared" si="991"/>
        <v>1.3568521031207537E-2</v>
      </c>
      <c r="BD509" s="620">
        <f t="shared" si="991"/>
        <v>1.0709504685408211E-2</v>
      </c>
      <c r="BE509" s="83"/>
      <c r="BF509" s="814"/>
      <c r="BG509" s="106"/>
      <c r="BH509" s="106"/>
      <c r="BI509" s="106"/>
      <c r="BJ509" s="106"/>
      <c r="BK509" s="199"/>
      <c r="BL509" s="199"/>
      <c r="BM509" s="199"/>
      <c r="BN509" s="449"/>
      <c r="BO509" s="199"/>
      <c r="BP509" s="199"/>
      <c r="BQ509" s="2148"/>
      <c r="BR509" s="199"/>
      <c r="BS509" s="199"/>
      <c r="BT509" s="199"/>
      <c r="BU509" s="199"/>
      <c r="BV509" s="199"/>
      <c r="BW509" s="199"/>
      <c r="BX509" s="199"/>
      <c r="BY509" s="620"/>
      <c r="BZ509" s="40"/>
    </row>
    <row r="510" spans="1:85" s="54" customFormat="1" ht="11.25" hidden="1" customHeight="1" outlineLevel="2">
      <c r="H510" s="83"/>
      <c r="I510" s="773"/>
      <c r="J510" s="231"/>
      <c r="K510" s="231"/>
      <c r="L510" s="231"/>
      <c r="M510" s="359"/>
      <c r="N510" s="359"/>
      <c r="O510" s="359"/>
      <c r="P510" s="359"/>
      <c r="Q510" s="359"/>
      <c r="R510" s="359"/>
      <c r="S510" s="359"/>
      <c r="T510" s="843"/>
      <c r="U510" s="359"/>
      <c r="V510" s="359"/>
      <c r="W510" s="359"/>
      <c r="X510" s="843"/>
      <c r="Y510" s="198"/>
      <c r="Z510" s="198"/>
      <c r="AA510" s="901"/>
      <c r="AB510" s="911"/>
      <c r="AC510" s="912"/>
      <c r="AD510" s="911"/>
      <c r="AE510" s="911"/>
      <c r="AF510" s="913"/>
      <c r="AG510" s="911">
        <f>+AE506</f>
        <v>1550</v>
      </c>
      <c r="AH510" s="911"/>
      <c r="AI510" s="911"/>
      <c r="AJ510" s="913"/>
      <c r="AK510" s="911"/>
      <c r="AL510" s="911"/>
      <c r="AM510" s="911"/>
      <c r="AN510" s="198"/>
      <c r="AO510" s="912"/>
      <c r="AP510" s="2148"/>
      <c r="AQ510" s="198"/>
      <c r="AR510" s="752"/>
      <c r="AS510" s="198"/>
      <c r="AT510" s="2148"/>
      <c r="AU510" s="198"/>
      <c r="AV510" s="752"/>
      <c r="AW510" s="198"/>
      <c r="AX510" s="2148"/>
      <c r="AY510" s="198"/>
      <c r="AZ510" s="752"/>
      <c r="BA510" s="1740"/>
      <c r="BB510" s="2148"/>
      <c r="BC510" s="198"/>
      <c r="BD510" s="752"/>
      <c r="BE510" s="950"/>
      <c r="BF510" s="633"/>
      <c r="BI510" s="198"/>
      <c r="BJ510" s="198"/>
      <c r="BK510" s="198"/>
      <c r="BL510" s="198"/>
      <c r="BM510" s="198"/>
      <c r="BN510" s="751"/>
      <c r="BO510" s="198"/>
      <c r="BP510" s="198"/>
      <c r="BQ510" s="198"/>
      <c r="BR510" s="198"/>
      <c r="BS510" s="198"/>
      <c r="BT510" s="198"/>
      <c r="BU510" s="198"/>
      <c r="BV510" s="198"/>
      <c r="BW510" s="198"/>
      <c r="BX510" s="198"/>
      <c r="BY510" s="752"/>
      <c r="BZ510" s="265"/>
    </row>
    <row r="511" spans="1:85" s="1989" customFormat="1" ht="11.25" hidden="1" customHeight="1" outlineLevel="2">
      <c r="I511" s="1987" t="s">
        <v>605</v>
      </c>
      <c r="J511" s="1988"/>
      <c r="K511" s="1988"/>
      <c r="L511" s="1988"/>
      <c r="M511" s="1979"/>
      <c r="N511" s="1979"/>
      <c r="O511" s="1979"/>
      <c r="P511" s="1979"/>
      <c r="Q511" s="1979"/>
      <c r="R511" s="1979"/>
      <c r="S511" s="1979"/>
      <c r="T511" s="1981"/>
      <c r="U511" s="1979"/>
      <c r="V511" s="1979"/>
      <c r="W511" s="1979"/>
      <c r="X511" s="1981"/>
      <c r="Y511" s="1979">
        <f t="shared" ref="Y511:AO511" si="992">+Y519*1000/W506</f>
        <v>3.4693877551020491</v>
      </c>
      <c r="Z511" s="1979">
        <f t="shared" si="992"/>
        <v>7.9300000000000015</v>
      </c>
      <c r="AA511" s="1979">
        <f t="shared" si="992"/>
        <v>7.1249999999999947</v>
      </c>
      <c r="AB511" s="1979">
        <f t="shared" si="992"/>
        <v>9.4117647058823533</v>
      </c>
      <c r="AC511" s="1980">
        <f t="shared" si="992"/>
        <v>8.6666666666666679</v>
      </c>
      <c r="AD511" s="1979">
        <f t="shared" si="992"/>
        <v>5.3636363636363686</v>
      </c>
      <c r="AE511" s="1979">
        <f t="shared" si="992"/>
        <v>5.9999999999999885</v>
      </c>
      <c r="AF511" s="1981">
        <f t="shared" si="992"/>
        <v>5.2592592592592657</v>
      </c>
      <c r="AG511" s="1979">
        <f t="shared" si="992"/>
        <v>4.0000000000000018</v>
      </c>
      <c r="AH511" s="1979">
        <f>+AH519*1000/AF506</f>
        <v>4.4516129032258016</v>
      </c>
      <c r="AI511" s="1979">
        <f t="shared" si="992"/>
        <v>4.4375000000000053</v>
      </c>
      <c r="AJ511" s="1981">
        <f t="shared" si="992"/>
        <v>3.8857142857142843</v>
      </c>
      <c r="AK511" s="1979">
        <f t="shared" si="992"/>
        <v>4.7619047619047619</v>
      </c>
      <c r="AL511" s="1979">
        <f t="shared" si="992"/>
        <v>3.363636363636366</v>
      </c>
      <c r="AM511" s="1979">
        <f t="shared" si="992"/>
        <v>2.869565217391302</v>
      </c>
      <c r="AN511" s="1979">
        <f>+AN519*1000/AL506</f>
        <v>1.1666666666666714</v>
      </c>
      <c r="AO511" s="1980">
        <f t="shared" si="992"/>
        <v>2.0799999999999956</v>
      </c>
      <c r="AP511" s="1979">
        <f t="shared" ref="AP511:BD511" si="993">+AP519*1000/AN506</f>
        <v>2.4489795918367347</v>
      </c>
      <c r="AQ511" s="1979">
        <f t="shared" si="993"/>
        <v>2.3529411764705883</v>
      </c>
      <c r="AR511" s="1981">
        <f t="shared" si="993"/>
        <v>2.2641509433962264</v>
      </c>
      <c r="AS511" s="1979">
        <f t="shared" si="993"/>
        <v>1.8181818181818181</v>
      </c>
      <c r="AT511" s="1979">
        <f t="shared" si="993"/>
        <v>1.7543859649122806</v>
      </c>
      <c r="AU511" s="1979">
        <f t="shared" si="993"/>
        <v>1.6949152542372881</v>
      </c>
      <c r="AV511" s="1981">
        <f t="shared" si="993"/>
        <v>1.639344262295082</v>
      </c>
      <c r="AW511" s="1979">
        <f t="shared" si="993"/>
        <v>1.44</v>
      </c>
      <c r="AX511" s="1979">
        <f t="shared" si="993"/>
        <v>1.40625</v>
      </c>
      <c r="AY511" s="1979">
        <f t="shared" si="993"/>
        <v>1.3636363636363635</v>
      </c>
      <c r="AZ511" s="1981">
        <f t="shared" si="993"/>
        <v>1.3235294117647058</v>
      </c>
      <c r="BA511" s="1979">
        <f t="shared" si="993"/>
        <v>1.1654676258992807</v>
      </c>
      <c r="BB511" s="1979">
        <f t="shared" si="993"/>
        <v>1.1489361702127661</v>
      </c>
      <c r="BC511" s="1979">
        <f t="shared" si="993"/>
        <v>1.1234396671289875</v>
      </c>
      <c r="BD511" s="1981">
        <f t="shared" si="993"/>
        <v>1.0990502035278156</v>
      </c>
      <c r="BF511" s="1980"/>
      <c r="BG511" s="1979"/>
      <c r="BH511" s="1979"/>
      <c r="BI511" s="1979"/>
      <c r="BJ511" s="1979"/>
      <c r="BK511" s="1979"/>
      <c r="BL511" s="1979" t="s">
        <v>140</v>
      </c>
      <c r="BM511" s="1979" t="s">
        <v>140</v>
      </c>
      <c r="BN511" s="1980" t="s">
        <v>140</v>
      </c>
      <c r="BO511" s="1979" t="s">
        <v>140</v>
      </c>
      <c r="BP511" s="1979" t="s">
        <v>140</v>
      </c>
      <c r="BQ511" s="1979" t="s">
        <v>140</v>
      </c>
      <c r="BR511" s="1979" t="s">
        <v>140</v>
      </c>
      <c r="BS511" s="1979" t="s">
        <v>140</v>
      </c>
      <c r="BT511" s="1979" t="s">
        <v>140</v>
      </c>
      <c r="BU511" s="1979" t="s">
        <v>140</v>
      </c>
      <c r="BV511" s="1979" t="s">
        <v>140</v>
      </c>
      <c r="BW511" s="1979" t="s">
        <v>140</v>
      </c>
      <c r="BX511" s="1979" t="s">
        <v>140</v>
      </c>
      <c r="BY511" s="1981" t="s">
        <v>140</v>
      </c>
      <c r="BZ511" s="1979"/>
    </row>
    <row r="512" spans="1:85" s="1990" customFormat="1" ht="11.25" hidden="1" customHeight="1" outlineLevel="2">
      <c r="I512" s="2019" t="s">
        <v>543</v>
      </c>
      <c r="J512" s="1986"/>
      <c r="K512" s="1986"/>
      <c r="L512" s="1986"/>
      <c r="M512" s="1970"/>
      <c r="N512" s="1970"/>
      <c r="O512" s="1970"/>
      <c r="P512" s="1970"/>
      <c r="Q512" s="1970"/>
      <c r="R512" s="1970"/>
      <c r="S512" s="1970"/>
      <c r="T512" s="1972"/>
      <c r="U512" s="1970"/>
      <c r="V512" s="1970"/>
      <c r="W512" s="1970"/>
      <c r="X512" s="1972"/>
      <c r="Y512" s="1970"/>
      <c r="Z512" s="1970"/>
      <c r="AA512" s="1970"/>
      <c r="AB512" s="1970"/>
      <c r="AC512" s="403">
        <f t="shared" ref="AC512:AO512" si="994">+AC511/Y511-1</f>
        <v>1.4980392156862687</v>
      </c>
      <c r="AD512" s="403">
        <f t="shared" si="994"/>
        <v>-0.32362719247965099</v>
      </c>
      <c r="AE512" s="403">
        <f t="shared" si="994"/>
        <v>-0.15789473684210631</v>
      </c>
      <c r="AF512" s="1261">
        <f t="shared" si="994"/>
        <v>-0.44120370370370299</v>
      </c>
      <c r="AG512" s="403">
        <f t="shared" si="994"/>
        <v>-0.53846153846153832</v>
      </c>
      <c r="AH512" s="403">
        <f t="shared" si="994"/>
        <v>-0.17003827227993606</v>
      </c>
      <c r="AI512" s="403">
        <f t="shared" si="994"/>
        <v>-0.26041666666666441</v>
      </c>
      <c r="AJ512" s="1261">
        <f t="shared" si="994"/>
        <v>-0.26116700201207366</v>
      </c>
      <c r="AK512" s="403">
        <f t="shared" si="994"/>
        <v>0.19047619047619002</v>
      </c>
      <c r="AL512" s="403">
        <f t="shared" si="994"/>
        <v>-0.24440052700922132</v>
      </c>
      <c r="AM512" s="403">
        <f t="shared" si="994"/>
        <v>-0.35333741579914402</v>
      </c>
      <c r="AN512" s="2195">
        <f t="shared" ref="AN512:BD512" si="995">+AN511/AJ511-1</f>
        <v>-0.69975490196078294</v>
      </c>
      <c r="AO512" s="1260">
        <f t="shared" si="994"/>
        <v>-0.56320000000000092</v>
      </c>
      <c r="AP512" s="2195">
        <f t="shared" si="995"/>
        <v>-0.27192498621070094</v>
      </c>
      <c r="AQ512" s="2195">
        <f t="shared" si="995"/>
        <v>-0.18003565062388527</v>
      </c>
      <c r="AR512" s="1521">
        <f t="shared" si="995"/>
        <v>0.94070080862532901</v>
      </c>
      <c r="AS512" s="264">
        <f t="shared" si="995"/>
        <v>-0.12587412587412405</v>
      </c>
      <c r="AT512" s="264">
        <f t="shared" si="995"/>
        <v>-0.28362573099415211</v>
      </c>
      <c r="AU512" s="264">
        <f t="shared" si="995"/>
        <v>-0.27966101694915257</v>
      </c>
      <c r="AV512" s="1242">
        <f t="shared" si="995"/>
        <v>-0.27595628415300544</v>
      </c>
      <c r="AW512" s="264">
        <f t="shared" si="995"/>
        <v>-0.20799999999999996</v>
      </c>
      <c r="AX512" s="264">
        <f t="shared" si="995"/>
        <v>-0.19843749999999993</v>
      </c>
      <c r="AY512" s="264">
        <f t="shared" si="995"/>
        <v>-0.19545454545454544</v>
      </c>
      <c r="AZ512" s="1242">
        <f t="shared" si="995"/>
        <v>-0.1926470588235295</v>
      </c>
      <c r="BA512" s="264">
        <f t="shared" si="995"/>
        <v>-0.19064748201438841</v>
      </c>
      <c r="BB512" s="264">
        <f t="shared" si="995"/>
        <v>-0.18297872340425525</v>
      </c>
      <c r="BC512" s="264">
        <f t="shared" si="995"/>
        <v>-0.17614424410540919</v>
      </c>
      <c r="BD512" s="1242">
        <f t="shared" si="995"/>
        <v>-0.16960651289009487</v>
      </c>
      <c r="BF512" s="1260">
        <v>-2.2747206078539084E-2</v>
      </c>
      <c r="BG512" s="1970"/>
      <c r="BH512" s="1970"/>
      <c r="BI512" s="1970"/>
      <c r="BJ512" s="1970"/>
      <c r="BK512" s="1970"/>
      <c r="BL512" s="1970"/>
      <c r="BM512" s="1970"/>
      <c r="BN512" s="1971"/>
      <c r="BO512" s="1970"/>
      <c r="BP512" s="1970"/>
      <c r="BQ512" s="1970"/>
      <c r="BR512" s="1970"/>
      <c r="BS512" s="1970"/>
      <c r="BT512" s="1970"/>
      <c r="BU512" s="1970"/>
      <c r="BV512" s="1970"/>
      <c r="BW512" s="1970"/>
      <c r="BX512" s="1970"/>
      <c r="BY512" s="1972"/>
      <c r="BZ512" s="1970"/>
    </row>
    <row r="513" spans="1:85" s="1990" customFormat="1" ht="11.25" hidden="1" customHeight="1" outlineLevel="2">
      <c r="I513" s="2019" t="s">
        <v>546</v>
      </c>
      <c r="J513" s="1986"/>
      <c r="K513" s="1986"/>
      <c r="L513" s="1986"/>
      <c r="M513" s="1970"/>
      <c r="N513" s="1970"/>
      <c r="O513" s="1970"/>
      <c r="P513" s="1970"/>
      <c r="Q513" s="1970"/>
      <c r="R513" s="1970"/>
      <c r="S513" s="1970"/>
      <c r="T513" s="1972"/>
      <c r="U513" s="1970"/>
      <c r="V513" s="1970"/>
      <c r="W513" s="1970"/>
      <c r="X513" s="1972"/>
      <c r="Y513" s="1970"/>
      <c r="Z513" s="1970"/>
      <c r="AA513" s="1970"/>
      <c r="AB513" s="1970"/>
      <c r="AC513" s="1260"/>
      <c r="AD513" s="403"/>
      <c r="AE513" s="403"/>
      <c r="AF513" s="1261"/>
      <c r="AG513" s="403"/>
      <c r="AH513" s="403">
        <f t="shared" ref="AH513:AO513" si="996">AH512+AD512</f>
        <v>-0.49366546475958706</v>
      </c>
      <c r="AI513" s="403">
        <f t="shared" si="996"/>
        <v>-0.41831140350877072</v>
      </c>
      <c r="AJ513" s="1261">
        <f t="shared" si="996"/>
        <v>-0.70237070571577664</v>
      </c>
      <c r="AK513" s="403">
        <f t="shared" si="996"/>
        <v>-0.3479853479853483</v>
      </c>
      <c r="AL513" s="403">
        <f t="shared" si="996"/>
        <v>-0.41443879928915739</v>
      </c>
      <c r="AM513" s="403">
        <f t="shared" si="996"/>
        <v>-0.61375408246580843</v>
      </c>
      <c r="AN513" s="403">
        <f t="shared" ref="AN513:AV513" si="997">AN512+AJ512</f>
        <v>-0.96092190397285659</v>
      </c>
      <c r="AO513" s="1260">
        <f t="shared" si="996"/>
        <v>-0.3727238095238109</v>
      </c>
      <c r="AP513" s="403">
        <f t="shared" si="997"/>
        <v>-0.51632551321992226</v>
      </c>
      <c r="AQ513" s="403">
        <f t="shared" si="997"/>
        <v>-0.53337306642302929</v>
      </c>
      <c r="AR513" s="1261">
        <f t="shared" si="997"/>
        <v>0.24094590666454607</v>
      </c>
      <c r="AS513" s="403">
        <f t="shared" si="997"/>
        <v>-0.68907412587412498</v>
      </c>
      <c r="AT513" s="403">
        <f t="shared" si="997"/>
        <v>-0.55555071720485305</v>
      </c>
      <c r="AU513" s="403">
        <f t="shared" si="997"/>
        <v>-0.45969666757303784</v>
      </c>
      <c r="AV513" s="1261">
        <f t="shared" si="997"/>
        <v>0.66474452447232357</v>
      </c>
      <c r="AW513" s="403">
        <f t="shared" ref="AW513:BD513" si="998">AW512+AS512</f>
        <v>-0.33387412587412402</v>
      </c>
      <c r="AX513" s="403">
        <f t="shared" si="998"/>
        <v>-0.48206323099415205</v>
      </c>
      <c r="AY513" s="403">
        <f t="shared" si="998"/>
        <v>-0.47511556240369801</v>
      </c>
      <c r="AZ513" s="1261">
        <f t="shared" si="998"/>
        <v>-0.46860334297653494</v>
      </c>
      <c r="BA513" s="403">
        <f t="shared" si="998"/>
        <v>-0.39864748201438838</v>
      </c>
      <c r="BB513" s="403">
        <f t="shared" si="998"/>
        <v>-0.38141622340425518</v>
      </c>
      <c r="BC513" s="403">
        <f t="shared" si="998"/>
        <v>-0.37159878955995462</v>
      </c>
      <c r="BD513" s="1261">
        <f t="shared" si="998"/>
        <v>-0.36225357171362438</v>
      </c>
      <c r="BF513" s="1971"/>
      <c r="BG513" s="1970"/>
      <c r="BH513" s="1970"/>
      <c r="BI513" s="1970"/>
      <c r="BJ513" s="1970"/>
      <c r="BK513" s="1970"/>
      <c r="BL513" s="1970"/>
      <c r="BM513" s="1970"/>
      <c r="BN513" s="1971"/>
      <c r="BO513" s="1970"/>
      <c r="BP513" s="1970"/>
      <c r="BQ513" s="1970"/>
      <c r="BR513" s="1970"/>
      <c r="BS513" s="1970"/>
      <c r="BT513" s="1970"/>
      <c r="BU513" s="1970"/>
      <c r="BV513" s="1970"/>
      <c r="BW513" s="1970"/>
      <c r="BX513" s="1970"/>
      <c r="BY513" s="1972"/>
      <c r="BZ513" s="1970"/>
    </row>
    <row r="514" spans="1:85" s="1973" customFormat="1" ht="11.25" hidden="1" customHeight="1" outlineLevel="2">
      <c r="A514" s="1964"/>
      <c r="B514" s="1964"/>
      <c r="C514" s="1964"/>
      <c r="D514" s="1964"/>
      <c r="E514" s="1964"/>
      <c r="F514" s="1964"/>
      <c r="G514" s="1964"/>
      <c r="H514" s="1965"/>
      <c r="I514" s="2018" t="s">
        <v>499</v>
      </c>
      <c r="J514" s="1966"/>
      <c r="K514" s="1966"/>
      <c r="L514" s="1966"/>
      <c r="M514" s="1967"/>
      <c r="N514" s="1967"/>
      <c r="O514" s="1967"/>
      <c r="P514" s="1967"/>
      <c r="Q514" s="1967"/>
      <c r="R514" s="1967"/>
      <c r="S514" s="1967"/>
      <c r="T514" s="1968"/>
      <c r="U514" s="1967"/>
      <c r="V514" s="1967"/>
      <c r="W514" s="1967"/>
      <c r="X514" s="1968"/>
      <c r="Y514" s="1967"/>
      <c r="Z514" s="1967"/>
      <c r="AA514" s="1967"/>
      <c r="AB514" s="1967"/>
      <c r="AC514" s="1952">
        <f t="shared" ref="AC514:AO514" si="999">+AC511-Y511</f>
        <v>5.1972789115646183</v>
      </c>
      <c r="AD514" s="1743">
        <f t="shared" si="999"/>
        <v>-2.5663636363636328</v>
      </c>
      <c r="AE514" s="1743">
        <f t="shared" si="999"/>
        <v>-1.1250000000000062</v>
      </c>
      <c r="AF514" s="2003">
        <f t="shared" si="999"/>
        <v>-4.1525054466230875</v>
      </c>
      <c r="AG514" s="1743">
        <f t="shared" si="999"/>
        <v>-4.6666666666666661</v>
      </c>
      <c r="AH514" s="1743">
        <f t="shared" si="999"/>
        <v>-0.91202346041056703</v>
      </c>
      <c r="AI514" s="1743">
        <f t="shared" si="999"/>
        <v>-1.5624999999999831</v>
      </c>
      <c r="AJ514" s="2003">
        <f t="shared" si="999"/>
        <v>-1.3735449735449814</v>
      </c>
      <c r="AK514" s="1743">
        <f t="shared" si="999"/>
        <v>0.76190476190476009</v>
      </c>
      <c r="AL514" s="1743">
        <f t="shared" si="999"/>
        <v>-1.0879765395894356</v>
      </c>
      <c r="AM514" s="1743">
        <f t="shared" si="999"/>
        <v>-1.5679347826087033</v>
      </c>
      <c r="AN514" s="1743">
        <f t="shared" si="999"/>
        <v>-2.7190476190476129</v>
      </c>
      <c r="AO514" s="2317">
        <f t="shared" si="999"/>
        <v>-2.6819047619047662</v>
      </c>
      <c r="AP514" s="1743">
        <f t="shared" ref="AP514:AV514" si="1000">+AP511-AL511</f>
        <v>-0.91465677179963123</v>
      </c>
      <c r="AQ514" s="1743">
        <f t="shared" si="1000"/>
        <v>-0.51662404092071368</v>
      </c>
      <c r="AR514" s="2003">
        <f t="shared" si="1000"/>
        <v>1.097484276729555</v>
      </c>
      <c r="AS514" s="1743">
        <f t="shared" si="1000"/>
        <v>-0.26181818181817751</v>
      </c>
      <c r="AT514" s="1743">
        <f t="shared" si="1000"/>
        <v>-0.69459362692445414</v>
      </c>
      <c r="AU514" s="1743">
        <f t="shared" si="1000"/>
        <v>-0.65802592223330025</v>
      </c>
      <c r="AV514" s="2003">
        <f t="shared" si="1000"/>
        <v>-0.62480668110114435</v>
      </c>
      <c r="AW514" s="1743">
        <f t="shared" ref="AW514:BD514" si="1001">+AW511-AS511</f>
        <v>-0.37818181818181817</v>
      </c>
      <c r="AX514" s="1743">
        <f t="shared" si="1001"/>
        <v>-0.3481359649122806</v>
      </c>
      <c r="AY514" s="1743">
        <f t="shared" si="1001"/>
        <v>-0.33127889060092452</v>
      </c>
      <c r="AZ514" s="2003">
        <f t="shared" si="1001"/>
        <v>-0.31581485053037617</v>
      </c>
      <c r="BA514" s="1743">
        <f t="shared" si="1001"/>
        <v>-0.27453237410071929</v>
      </c>
      <c r="BB514" s="1743">
        <f t="shared" si="1001"/>
        <v>-0.25731382978723394</v>
      </c>
      <c r="BC514" s="1743">
        <f t="shared" si="1001"/>
        <v>-0.24019669650737607</v>
      </c>
      <c r="BD514" s="2003">
        <f t="shared" si="1001"/>
        <v>-0.22447920823689027</v>
      </c>
      <c r="BE514" s="1990"/>
      <c r="BF514" s="1969"/>
      <c r="BG514" s="1967"/>
      <c r="BH514" s="1967"/>
      <c r="BI514" s="1967"/>
      <c r="BJ514" s="1967"/>
      <c r="BK514" s="1967"/>
      <c r="BL514" s="1970" t="str">
        <f>IF(ISERROR(BL511-BK511),"NA",(IF(BL511&lt;=0,"NM",BL511-BK511)))</f>
        <v>NA</v>
      </c>
      <c r="BM514" s="1970" t="str">
        <f>IF(ISERROR(BM511-BL511),"NA",(IF(BM511&lt;=0,"NM",BM511-BL511)))</f>
        <v>NA</v>
      </c>
      <c r="BN514" s="1971" t="str">
        <f>IF(ISERROR(BN511-BM511),"NA",(IF(BN511&lt;=0,"NM",BN511-BM511)))</f>
        <v>NA</v>
      </c>
      <c r="BO514" s="1970" t="str">
        <f>IF(ISERROR(BO511-BN511),"NA",(IF(BO511&lt;=0,"NM",BO511-BN511)))</f>
        <v>NA</v>
      </c>
      <c r="BP514" s="198" t="str">
        <f>IF(ISERROR(BP511-BO511),"NA",(IF(BP511&lt;=0,"NM",BP511-BO511)))</f>
        <v>NA</v>
      </c>
      <c r="BQ514" s="198" t="str">
        <f t="shared" ref="BQ514:BY514" si="1002">IF(ISERROR(BQ511-BP511),"NA",(IF(BQ511&lt;=0,"NM",BQ511-BP511)))</f>
        <v>NA</v>
      </c>
      <c r="BR514" s="198" t="str">
        <f t="shared" si="1002"/>
        <v>NA</v>
      </c>
      <c r="BS514" s="198" t="str">
        <f t="shared" si="1002"/>
        <v>NA</v>
      </c>
      <c r="BT514" s="198" t="str">
        <f t="shared" si="1002"/>
        <v>NA</v>
      </c>
      <c r="BU514" s="198" t="str">
        <f t="shared" si="1002"/>
        <v>NA</v>
      </c>
      <c r="BV514" s="198" t="str">
        <f t="shared" si="1002"/>
        <v>NA</v>
      </c>
      <c r="BW514" s="198" t="str">
        <f t="shared" si="1002"/>
        <v>NA</v>
      </c>
      <c r="BX514" s="198" t="str">
        <f t="shared" si="1002"/>
        <v>NA</v>
      </c>
      <c r="BY514" s="752" t="str">
        <f t="shared" si="1002"/>
        <v>NA</v>
      </c>
      <c r="BZ514" s="1970"/>
      <c r="CA514" s="1964"/>
      <c r="CB514" s="1964"/>
      <c r="CC514" s="1964"/>
      <c r="CD514" s="1964"/>
      <c r="CE514" s="1964"/>
      <c r="CF514" s="1964"/>
      <c r="CG514" s="1964"/>
    </row>
    <row r="515" spans="1:85" s="1973" customFormat="1" ht="11.25" hidden="1" customHeight="1" outlineLevel="2">
      <c r="A515" s="1964"/>
      <c r="B515" s="1964"/>
      <c r="C515" s="1964"/>
      <c r="D515" s="1964"/>
      <c r="E515" s="1964"/>
      <c r="F515" s="1964"/>
      <c r="G515" s="1964"/>
      <c r="H515" s="1965"/>
      <c r="I515" s="2018" t="s">
        <v>544</v>
      </c>
      <c r="J515" s="1966"/>
      <c r="K515" s="1966"/>
      <c r="L515" s="1966"/>
      <c r="M515" s="1967"/>
      <c r="N515" s="1967"/>
      <c r="O515" s="1967"/>
      <c r="P515" s="1967"/>
      <c r="Q515" s="1967"/>
      <c r="R515" s="1967"/>
      <c r="S515" s="1967"/>
      <c r="T515" s="1968"/>
      <c r="U515" s="1970"/>
      <c r="V515" s="1970"/>
      <c r="W515" s="1970"/>
      <c r="X515" s="1972"/>
      <c r="Y515" s="1970"/>
      <c r="Z515" s="1970">
        <f t="shared" ref="Z515:AO515" si="1003">+Z511-Y511</f>
        <v>4.4606122448979519</v>
      </c>
      <c r="AA515" s="1970">
        <f t="shared" si="1003"/>
        <v>-0.80500000000000682</v>
      </c>
      <c r="AB515" s="1970">
        <f t="shared" si="1003"/>
        <v>2.2867647058823586</v>
      </c>
      <c r="AC515" s="1971">
        <f t="shared" si="1003"/>
        <v>-0.7450980392156854</v>
      </c>
      <c r="AD515" s="1970">
        <f t="shared" si="1003"/>
        <v>-3.3030303030302992</v>
      </c>
      <c r="AE515" s="1970">
        <f t="shared" si="1003"/>
        <v>0.63636363636361981</v>
      </c>
      <c r="AF515" s="1972">
        <f t="shared" si="1003"/>
        <v>-0.74074074074072271</v>
      </c>
      <c r="AG515" s="1970">
        <f t="shared" si="1003"/>
        <v>-1.259259259259264</v>
      </c>
      <c r="AH515" s="1970">
        <f t="shared" si="1003"/>
        <v>0.45161290322579983</v>
      </c>
      <c r="AI515" s="1970">
        <f t="shared" si="1003"/>
        <v>-1.4112903225796281E-2</v>
      </c>
      <c r="AJ515" s="1972">
        <f t="shared" si="1003"/>
        <v>-0.55178571428572099</v>
      </c>
      <c r="AK515" s="1970">
        <f t="shared" si="1003"/>
        <v>0.87619047619047752</v>
      </c>
      <c r="AL515" s="1970">
        <f t="shared" si="1003"/>
        <v>-1.3982683982683959</v>
      </c>
      <c r="AM515" s="1970">
        <f t="shared" si="1003"/>
        <v>-0.49407114624506399</v>
      </c>
      <c r="AN515" s="1970">
        <f t="shared" si="1003"/>
        <v>-1.7028985507246306</v>
      </c>
      <c r="AO515" s="1971">
        <f t="shared" si="1003"/>
        <v>0.91333333333332423</v>
      </c>
      <c r="AP515" s="1970">
        <f t="shared" ref="AP515:AV515" si="1004">+AP511-AO511</f>
        <v>0.36897959183673912</v>
      </c>
      <c r="AQ515" s="1970">
        <f t="shared" si="1004"/>
        <v>-9.6038415366146435E-2</v>
      </c>
      <c r="AR515" s="1972">
        <f t="shared" si="1004"/>
        <v>-8.8790233074361957E-2</v>
      </c>
      <c r="AS515" s="1970">
        <f t="shared" si="1004"/>
        <v>-0.44596912521440824</v>
      </c>
      <c r="AT515" s="1970">
        <f t="shared" si="1004"/>
        <v>-6.3795853269537517E-2</v>
      </c>
      <c r="AU515" s="1970">
        <f t="shared" si="1004"/>
        <v>-5.9470710674992544E-2</v>
      </c>
      <c r="AV515" s="1972">
        <f t="shared" si="1004"/>
        <v>-5.5570991942206049E-2</v>
      </c>
      <c r="AW515" s="1970">
        <f t="shared" ref="AW515:BD515" si="1005">+AW511-AV511</f>
        <v>-0.19934426229508206</v>
      </c>
      <c r="AX515" s="1970">
        <f t="shared" si="1005"/>
        <v>-3.3749999999999947E-2</v>
      </c>
      <c r="AY515" s="1970">
        <f t="shared" si="1005"/>
        <v>-4.2613636363636465E-2</v>
      </c>
      <c r="AZ515" s="1972">
        <f t="shared" si="1005"/>
        <v>-4.0106951871657692E-2</v>
      </c>
      <c r="BA515" s="1970">
        <f t="shared" si="1005"/>
        <v>-0.15806178586542519</v>
      </c>
      <c r="BB515" s="1970">
        <f t="shared" si="1005"/>
        <v>-1.6531455686514596E-2</v>
      </c>
      <c r="BC515" s="1970">
        <f t="shared" si="1005"/>
        <v>-2.5496503083778599E-2</v>
      </c>
      <c r="BD515" s="1972">
        <f t="shared" si="1005"/>
        <v>-2.438946360117189E-2</v>
      </c>
      <c r="BE515" s="1990"/>
      <c r="BF515" s="1969"/>
      <c r="BG515" s="1967"/>
      <c r="BH515" s="1967"/>
      <c r="BI515" s="1970"/>
      <c r="BJ515" s="1970"/>
      <c r="BK515" s="1970"/>
      <c r="BL515" s="1970"/>
      <c r="BM515" s="1970"/>
      <c r="BN515" s="1971"/>
      <c r="BO515" s="1970"/>
      <c r="BP515" s="1970"/>
      <c r="BQ515" s="1970"/>
      <c r="BR515" s="1970"/>
      <c r="BS515" s="1970"/>
      <c r="BT515" s="1970"/>
      <c r="BU515" s="1970"/>
      <c r="BV515" s="1970"/>
      <c r="BW515" s="1970"/>
      <c r="BX515" s="1970"/>
      <c r="BY515" s="1972"/>
      <c r="BZ515" s="1970"/>
      <c r="CA515" s="1964"/>
      <c r="CB515" s="1964"/>
      <c r="CC515" s="1964"/>
      <c r="CD515" s="1964"/>
      <c r="CE515" s="1964"/>
      <c r="CF515" s="1964"/>
      <c r="CG515" s="1964"/>
    </row>
    <row r="516" spans="1:85" s="1973" customFormat="1" ht="11.25" hidden="1" customHeight="1" outlineLevel="2">
      <c r="A516" s="1964"/>
      <c r="B516" s="1964"/>
      <c r="C516" s="1964"/>
      <c r="D516" s="1964"/>
      <c r="E516" s="1964"/>
      <c r="F516" s="1964"/>
      <c r="G516" s="1964"/>
      <c r="H516" s="1965"/>
      <c r="I516" s="2018" t="s">
        <v>146</v>
      </c>
      <c r="J516" s="1966"/>
      <c r="K516" s="1966"/>
      <c r="L516" s="1966"/>
      <c r="M516" s="1967"/>
      <c r="N516" s="1967"/>
      <c r="O516" s="1967"/>
      <c r="P516" s="1967"/>
      <c r="Q516" s="1967"/>
      <c r="R516" s="1967"/>
      <c r="S516" s="1967"/>
      <c r="T516" s="1968"/>
      <c r="U516" s="1970"/>
      <c r="V516" s="1970"/>
      <c r="W516" s="1970"/>
      <c r="X516" s="1972"/>
      <c r="Y516" s="1970"/>
      <c r="Z516" s="1970"/>
      <c r="AA516" s="403">
        <f t="shared" ref="AA516:AF516" si="1006">+AA511/Z511-1</f>
        <v>-0.10151324085750402</v>
      </c>
      <c r="AB516" s="403">
        <f t="shared" si="1006"/>
        <v>0.32094943240454188</v>
      </c>
      <c r="AC516" s="1260">
        <f t="shared" si="1006"/>
        <v>-7.9166666666666607E-2</v>
      </c>
      <c r="AD516" s="403">
        <f t="shared" si="1006"/>
        <v>-0.38111888111888059</v>
      </c>
      <c r="AE516" s="403">
        <f t="shared" si="1006"/>
        <v>0.11864406779660697</v>
      </c>
      <c r="AF516" s="1261">
        <f t="shared" si="1006"/>
        <v>-0.12345679012345401</v>
      </c>
      <c r="AG516" s="403">
        <f t="shared" ref="AG516:AR516" si="1007">+AG511/AF511-1</f>
        <v>-0.23943661971831043</v>
      </c>
      <c r="AH516" s="403">
        <f t="shared" si="1007"/>
        <v>0.11290322580644996</v>
      </c>
      <c r="AI516" s="403">
        <f t="shared" si="1007"/>
        <v>-3.1702898550701741E-3</v>
      </c>
      <c r="AJ516" s="1261">
        <f t="shared" si="1007"/>
        <v>-0.12434607645875384</v>
      </c>
      <c r="AK516" s="403">
        <f t="shared" si="1007"/>
        <v>0.2254901960784319</v>
      </c>
      <c r="AL516" s="403">
        <f t="shared" si="1007"/>
        <v>-0.29363636363636314</v>
      </c>
      <c r="AM516" s="403">
        <f t="shared" si="1007"/>
        <v>-0.14688601645123511</v>
      </c>
      <c r="AN516" s="403">
        <f t="shared" si="1007"/>
        <v>-0.59343434343434143</v>
      </c>
      <c r="AO516" s="1260">
        <f t="shared" si="1007"/>
        <v>0.78285714285713182</v>
      </c>
      <c r="AP516" s="403">
        <f t="shared" si="1007"/>
        <v>0.17739403453689429</v>
      </c>
      <c r="AQ516" s="403">
        <f t="shared" si="1007"/>
        <v>-3.9215686274509776E-2</v>
      </c>
      <c r="AR516" s="1261">
        <f t="shared" si="1007"/>
        <v>-3.7735849056603876E-2</v>
      </c>
      <c r="AS516" s="403">
        <f t="shared" ref="AS516:BD516" si="1008">+AS511/AR511-1</f>
        <v>-0.19696969696969702</v>
      </c>
      <c r="AT516" s="403">
        <f t="shared" si="1008"/>
        <v>-3.5087719298245612E-2</v>
      </c>
      <c r="AU516" s="403">
        <f t="shared" si="1008"/>
        <v>-3.3898305084745783E-2</v>
      </c>
      <c r="AV516" s="1261">
        <f t="shared" si="1008"/>
        <v>-3.2786885245901565E-2</v>
      </c>
      <c r="AW516" s="403">
        <f t="shared" si="1008"/>
        <v>-0.12160000000000004</v>
      </c>
      <c r="AX516" s="403">
        <f t="shared" si="1008"/>
        <v>-2.34375E-2</v>
      </c>
      <c r="AY516" s="403">
        <f t="shared" si="1008"/>
        <v>-3.0303030303030387E-2</v>
      </c>
      <c r="AZ516" s="1261">
        <f t="shared" si="1008"/>
        <v>-2.9411764705882359E-2</v>
      </c>
      <c r="BA516" s="403">
        <f t="shared" si="1008"/>
        <v>-0.11942446043165456</v>
      </c>
      <c r="BB516" s="403">
        <f t="shared" si="1008"/>
        <v>-1.4184397163120588E-2</v>
      </c>
      <c r="BC516" s="403">
        <f t="shared" si="1008"/>
        <v>-2.2191400832177632E-2</v>
      </c>
      <c r="BD516" s="1261">
        <f t="shared" si="1008"/>
        <v>-2.1709633649932059E-2</v>
      </c>
      <c r="BE516" s="2489"/>
      <c r="BF516" s="1967"/>
      <c r="BG516" s="1967"/>
      <c r="BH516" s="1967"/>
      <c r="BI516" s="1970"/>
      <c r="BJ516" s="1970"/>
      <c r="BK516" s="1970"/>
      <c r="BL516" s="1970"/>
      <c r="BM516" s="1970"/>
      <c r="BN516" s="1971"/>
      <c r="BO516" s="1970"/>
      <c r="BP516" s="1970"/>
      <c r="BQ516" s="1970"/>
      <c r="BR516" s="1970"/>
      <c r="BS516" s="1970"/>
      <c r="BT516" s="1970"/>
      <c r="BU516" s="1970"/>
      <c r="BV516" s="1970"/>
      <c r="BW516" s="1970"/>
      <c r="BX516" s="1970"/>
      <c r="BY516" s="1972"/>
      <c r="BZ516" s="1970"/>
      <c r="CA516" s="1964"/>
      <c r="CB516" s="1964"/>
      <c r="CC516" s="1964"/>
      <c r="CD516" s="1964"/>
      <c r="CE516" s="1964"/>
      <c r="CF516" s="1964"/>
      <c r="CG516" s="1964"/>
    </row>
    <row r="517" spans="1:85" ht="11.25" hidden="1" customHeight="1" outlineLevel="2">
      <c r="I517" s="814"/>
      <c r="J517" s="106"/>
      <c r="T517" s="830"/>
      <c r="X517" s="830"/>
      <c r="AF517" s="830"/>
      <c r="AJ517" s="830"/>
      <c r="AL517" s="40"/>
      <c r="AN517" s="106"/>
      <c r="AO517" s="814"/>
      <c r="AR517" s="830"/>
      <c r="AS517" s="2455"/>
      <c r="AT517" s="2455"/>
      <c r="AU517" s="2455"/>
      <c r="AV517" s="2456"/>
      <c r="AW517" s="2455"/>
      <c r="AX517" s="2455"/>
      <c r="AY517" s="2455"/>
      <c r="AZ517" s="2456"/>
      <c r="BA517" s="2455">
        <f>BV520</f>
        <v>13.122000000000037</v>
      </c>
      <c r="BB517" s="2455">
        <f>BW520</f>
        <v>11.809800000000033</v>
      </c>
      <c r="BC517" s="2014">
        <f>BX520</f>
        <v>10.628820000000029</v>
      </c>
      <c r="BD517" s="830"/>
      <c r="BE517" s="883"/>
      <c r="BY517" s="830"/>
    </row>
    <row r="518" spans="1:85" s="41" customFormat="1" ht="11.25" hidden="1" customHeight="1" outlineLevel="2">
      <c r="H518" s="90"/>
      <c r="I518" s="832" t="s">
        <v>634</v>
      </c>
      <c r="J518" s="231"/>
      <c r="K518" s="231"/>
      <c r="L518" s="231"/>
      <c r="M518" s="359"/>
      <c r="N518" s="359"/>
      <c r="O518" s="359"/>
      <c r="P518" s="359"/>
      <c r="Q518" s="359"/>
      <c r="R518" s="359"/>
      <c r="S518" s="359"/>
      <c r="T518" s="843"/>
      <c r="U518" s="359"/>
      <c r="V518" s="359"/>
      <c r="W518" s="359"/>
      <c r="X518" s="2502">
        <f>+AB518/AB562*X562</f>
        <v>32.219047619047615</v>
      </c>
      <c r="Y518" s="1787">
        <v>34.6</v>
      </c>
      <c r="Z518" s="1787">
        <v>40.700000000000003</v>
      </c>
      <c r="AA518" s="1787">
        <v>46.4</v>
      </c>
      <c r="AB518" s="1787">
        <v>54.4</v>
      </c>
      <c r="AC518" s="1786">
        <v>63.5</v>
      </c>
      <c r="AD518" s="1787">
        <v>69.400000000000006</v>
      </c>
      <c r="AE518" s="1787">
        <v>76.899999999999991</v>
      </c>
      <c r="AF518" s="2022">
        <v>84</v>
      </c>
      <c r="AG518" s="1788">
        <v>90.2</v>
      </c>
      <c r="AH518" s="1788">
        <v>97.1</v>
      </c>
      <c r="AI518" s="1788">
        <v>104.2</v>
      </c>
      <c r="AJ518" s="2463">
        <v>111</v>
      </c>
      <c r="AK518" s="2464">
        <v>121</v>
      </c>
      <c r="AL518" s="2464">
        <v>128.4</v>
      </c>
      <c r="AM518" s="2464">
        <v>135</v>
      </c>
      <c r="AN518" s="2464">
        <v>137.80000000000001</v>
      </c>
      <c r="AO518" s="2626">
        <v>143</v>
      </c>
      <c r="AP518" s="1880">
        <f>AO518+AP519</f>
        <v>149</v>
      </c>
      <c r="AQ518" s="1880">
        <f>AP518+AQ519</f>
        <v>155</v>
      </c>
      <c r="AR518" s="1881">
        <f>AQ518+AR519</f>
        <v>161</v>
      </c>
      <c r="AS518" s="1880">
        <f t="shared" ref="AS518:BD518" si="1009">AR518+AS519</f>
        <v>166</v>
      </c>
      <c r="AT518" s="1880">
        <f t="shared" si="1009"/>
        <v>171</v>
      </c>
      <c r="AU518" s="1880">
        <f t="shared" si="1009"/>
        <v>176</v>
      </c>
      <c r="AV518" s="1881">
        <f t="shared" si="1009"/>
        <v>181</v>
      </c>
      <c r="AW518" s="1880">
        <f t="shared" si="1009"/>
        <v>185.5</v>
      </c>
      <c r="AX518" s="1880">
        <f t="shared" si="1009"/>
        <v>190</v>
      </c>
      <c r="AY518" s="1880">
        <f t="shared" si="1009"/>
        <v>194.5</v>
      </c>
      <c r="AZ518" s="1881">
        <f t="shared" si="1009"/>
        <v>199</v>
      </c>
      <c r="BA518" s="1880">
        <f t="shared" si="1009"/>
        <v>203.05</v>
      </c>
      <c r="BB518" s="1880">
        <f t="shared" si="1009"/>
        <v>207.10000000000002</v>
      </c>
      <c r="BC518" s="1880">
        <f t="shared" si="1009"/>
        <v>211.15000000000003</v>
      </c>
      <c r="BD518" s="1881">
        <f t="shared" si="1009"/>
        <v>215.20000000000005</v>
      </c>
      <c r="BE518" s="1234"/>
      <c r="BF518" s="231"/>
      <c r="BG518" s="231"/>
      <c r="BH518" s="359"/>
      <c r="BI518" s="359"/>
      <c r="BJ518" s="359"/>
      <c r="BK518" s="359"/>
      <c r="BL518" s="1991">
        <f>X518</f>
        <v>32.219047619047615</v>
      </c>
      <c r="BM518" s="1233">
        <f>AB518</f>
        <v>54.4</v>
      </c>
      <c r="BN518" s="1232">
        <f>AF518</f>
        <v>84</v>
      </c>
      <c r="BO518" s="1233">
        <f>AJ518</f>
        <v>111</v>
      </c>
      <c r="BP518" s="1233">
        <f>AN518</f>
        <v>137.80000000000001</v>
      </c>
      <c r="BQ518" s="1233">
        <f>AR518</f>
        <v>161</v>
      </c>
      <c r="BR518" s="1233">
        <f>AV518</f>
        <v>181</v>
      </c>
      <c r="BS518" s="1233">
        <f>AZ518</f>
        <v>199</v>
      </c>
      <c r="BT518" s="1233">
        <f>BD518</f>
        <v>215.20000000000005</v>
      </c>
      <c r="BU518" s="1233">
        <f>+BT518+BU520</f>
        <v>229.78000000000009</v>
      </c>
      <c r="BV518" s="1233">
        <f>+BU518+BV520</f>
        <v>242.90200000000013</v>
      </c>
      <c r="BW518" s="1233">
        <f>+BV518+BW520</f>
        <v>254.71180000000015</v>
      </c>
      <c r="BX518" s="1233">
        <f>+BW518+BX520</f>
        <v>265.34062000000017</v>
      </c>
      <c r="BY518" s="2495">
        <f>+BX518+BY520</f>
        <v>274.90655800000019</v>
      </c>
      <c r="BZ518" s="281"/>
      <c r="CA518" s="1346">
        <f>RATE(3,,-BN518,BQ518)</f>
        <v>0.24217331895139507</v>
      </c>
    </row>
    <row r="519" spans="1:85" ht="11.25" hidden="1" customHeight="1" outlineLevel="2">
      <c r="I519" s="653" t="s">
        <v>377</v>
      </c>
      <c r="J519" s="106"/>
      <c r="T519" s="830"/>
      <c r="U519" s="106"/>
      <c r="V519" s="106"/>
      <c r="W519" s="106"/>
      <c r="X519" s="830"/>
      <c r="Y519" s="1188">
        <f t="shared" ref="Y519:AO519" si="1010">Y518-X518</f>
        <v>2.3809523809523867</v>
      </c>
      <c r="Z519" s="1188">
        <f t="shared" si="1010"/>
        <v>6.1000000000000014</v>
      </c>
      <c r="AA519" s="1188">
        <f t="shared" si="1010"/>
        <v>5.6999999999999957</v>
      </c>
      <c r="AB519" s="1188">
        <f t="shared" si="1010"/>
        <v>8</v>
      </c>
      <c r="AC519" s="1184">
        <f t="shared" si="1010"/>
        <v>9.1000000000000014</v>
      </c>
      <c r="AD519" s="1183">
        <f t="shared" si="1010"/>
        <v>5.9000000000000057</v>
      </c>
      <c r="AE519" s="1183">
        <f t="shared" si="1010"/>
        <v>7.4999999999999858</v>
      </c>
      <c r="AF519" s="1187">
        <f t="shared" si="1010"/>
        <v>7.1000000000000085</v>
      </c>
      <c r="AG519" s="1183">
        <f t="shared" si="1010"/>
        <v>6.2000000000000028</v>
      </c>
      <c r="AH519" s="1183">
        <f t="shared" si="1010"/>
        <v>6.8999999999999915</v>
      </c>
      <c r="AI519" s="1183">
        <f t="shared" si="1010"/>
        <v>7.1000000000000085</v>
      </c>
      <c r="AJ519" s="1187">
        <f t="shared" si="1010"/>
        <v>6.7999999999999972</v>
      </c>
      <c r="AK519" s="1183">
        <f t="shared" si="1010"/>
        <v>10</v>
      </c>
      <c r="AL519" s="1183">
        <f t="shared" si="1010"/>
        <v>7.4000000000000057</v>
      </c>
      <c r="AM519" s="1183">
        <f t="shared" si="1010"/>
        <v>6.5999999999999943</v>
      </c>
      <c r="AN519" s="1183">
        <f t="shared" si="1010"/>
        <v>2.8000000000000114</v>
      </c>
      <c r="AO519" s="1184">
        <f t="shared" si="1010"/>
        <v>5.1999999999999886</v>
      </c>
      <c r="AP519" s="390">
        <v>6</v>
      </c>
      <c r="AQ519" s="390">
        <v>6</v>
      </c>
      <c r="AR519" s="884">
        <v>6</v>
      </c>
      <c r="AS519" s="390">
        <v>5</v>
      </c>
      <c r="AT519" s="390">
        <v>5</v>
      </c>
      <c r="AU519" s="390">
        <v>5</v>
      </c>
      <c r="AV519" s="884">
        <v>5</v>
      </c>
      <c r="AW519" s="390">
        <f t="shared" ref="AW519:BD519" si="1011">+AS519*0.9</f>
        <v>4.5</v>
      </c>
      <c r="AX519" s="390">
        <f t="shared" si="1011"/>
        <v>4.5</v>
      </c>
      <c r="AY519" s="390">
        <f t="shared" si="1011"/>
        <v>4.5</v>
      </c>
      <c r="AZ519" s="884">
        <f t="shared" si="1011"/>
        <v>4.5</v>
      </c>
      <c r="BA519" s="390">
        <f t="shared" si="1011"/>
        <v>4.05</v>
      </c>
      <c r="BB519" s="390">
        <f t="shared" si="1011"/>
        <v>4.05</v>
      </c>
      <c r="BC519" s="390">
        <f t="shared" si="1011"/>
        <v>4.05</v>
      </c>
      <c r="BD519" s="884">
        <f t="shared" si="1011"/>
        <v>4.05</v>
      </c>
      <c r="BE519" s="1242"/>
      <c r="BF519" s="106"/>
      <c r="BG519" s="106"/>
      <c r="BH519" s="198"/>
      <c r="BI519" s="198"/>
      <c r="BJ519" s="198"/>
      <c r="BK519" s="198"/>
      <c r="BL519" s="198"/>
      <c r="BM519" s="198"/>
      <c r="BN519" s="751"/>
      <c r="BO519" s="198"/>
      <c r="BP519" s="1227"/>
      <c r="BQ519" s="1227"/>
      <c r="BR519" s="1227"/>
      <c r="BS519" s="1227"/>
      <c r="BT519" s="1227"/>
      <c r="BU519" s="1227"/>
      <c r="BV519" s="1227"/>
      <c r="BW519" s="1227"/>
      <c r="BX519" s="1227"/>
      <c r="BY519" s="1229"/>
      <c r="BZ519" s="1228"/>
    </row>
    <row r="520" spans="1:85" s="41" customFormat="1" ht="11.25" hidden="1" customHeight="1" outlineLevel="2">
      <c r="H520" s="90"/>
      <c r="I520" s="994" t="s">
        <v>380</v>
      </c>
      <c r="J520" s="231"/>
      <c r="T520" s="1151"/>
      <c r="U520" s="231"/>
      <c r="V520" s="231"/>
      <c r="W520" s="231"/>
      <c r="X520" s="1151"/>
      <c r="Y520" s="40"/>
      <c r="Z520" s="40"/>
      <c r="AA520" s="40"/>
      <c r="AB520" s="40"/>
      <c r="AC520" s="1184">
        <f t="shared" ref="AC520:AO520" si="1012">AC518-Y518</f>
        <v>28.9</v>
      </c>
      <c r="AD520" s="1183">
        <f t="shared" si="1012"/>
        <v>28.700000000000003</v>
      </c>
      <c r="AE520" s="1183">
        <f t="shared" si="1012"/>
        <v>30.499999999999993</v>
      </c>
      <c r="AF520" s="1187">
        <f t="shared" si="1012"/>
        <v>29.6</v>
      </c>
      <c r="AG520" s="1183">
        <f t="shared" si="1012"/>
        <v>26.700000000000003</v>
      </c>
      <c r="AH520" s="1183">
        <f t="shared" si="1012"/>
        <v>27.699999999999989</v>
      </c>
      <c r="AI520" s="1183">
        <f t="shared" si="1012"/>
        <v>27.300000000000011</v>
      </c>
      <c r="AJ520" s="1187">
        <f t="shared" si="1012"/>
        <v>27</v>
      </c>
      <c r="AK520" s="1183">
        <f t="shared" si="1012"/>
        <v>30.799999999999997</v>
      </c>
      <c r="AL520" s="1183">
        <f t="shared" si="1012"/>
        <v>31.300000000000011</v>
      </c>
      <c r="AM520" s="1183">
        <f t="shared" si="1012"/>
        <v>30.799999999999997</v>
      </c>
      <c r="AN520" s="1183">
        <f t="shared" si="1012"/>
        <v>26.800000000000011</v>
      </c>
      <c r="AO520" s="1184">
        <f t="shared" si="1012"/>
        <v>22</v>
      </c>
      <c r="AP520" s="1183">
        <f t="shared" ref="AP520:AV520" si="1013">AP518-AL518</f>
        <v>20.599999999999994</v>
      </c>
      <c r="AQ520" s="1183">
        <f t="shared" si="1013"/>
        <v>20</v>
      </c>
      <c r="AR520" s="1187">
        <f t="shared" si="1013"/>
        <v>23.199999999999989</v>
      </c>
      <c r="AS520" s="1183">
        <f t="shared" si="1013"/>
        <v>23</v>
      </c>
      <c r="AT520" s="1183">
        <f t="shared" si="1013"/>
        <v>22</v>
      </c>
      <c r="AU520" s="1183">
        <f t="shared" si="1013"/>
        <v>21</v>
      </c>
      <c r="AV520" s="1187">
        <f t="shared" si="1013"/>
        <v>20</v>
      </c>
      <c r="AW520" s="1183">
        <f t="shared" ref="AW520:BD520" si="1014">AW518-AS518</f>
        <v>19.5</v>
      </c>
      <c r="AX520" s="1183">
        <f t="shared" si="1014"/>
        <v>19</v>
      </c>
      <c r="AY520" s="1183">
        <f t="shared" si="1014"/>
        <v>18.5</v>
      </c>
      <c r="AZ520" s="1187">
        <f t="shared" si="1014"/>
        <v>18</v>
      </c>
      <c r="BA520" s="1183">
        <f t="shared" si="1014"/>
        <v>17.550000000000011</v>
      </c>
      <c r="BB520" s="1183">
        <f t="shared" si="1014"/>
        <v>17.100000000000023</v>
      </c>
      <c r="BC520" s="1183">
        <f t="shared" si="1014"/>
        <v>16.650000000000034</v>
      </c>
      <c r="BD520" s="1187">
        <f t="shared" si="1014"/>
        <v>16.200000000000045</v>
      </c>
      <c r="BE520" s="1234"/>
      <c r="BF520" s="231"/>
      <c r="BG520" s="231"/>
      <c r="BH520" s="359"/>
      <c r="BI520" s="359"/>
      <c r="BJ520" s="359"/>
      <c r="BK520" s="359"/>
      <c r="BL520" s="359"/>
      <c r="BM520" s="359"/>
      <c r="BN520" s="2013">
        <f t="shared" ref="BN520:BT520" si="1015">BN518-BM518</f>
        <v>29.6</v>
      </c>
      <c r="BO520" s="2014">
        <f t="shared" si="1015"/>
        <v>27</v>
      </c>
      <c r="BP520" s="2102">
        <f t="shared" si="1015"/>
        <v>26.800000000000011</v>
      </c>
      <c r="BQ520" s="2102">
        <f t="shared" si="1015"/>
        <v>23.199999999999989</v>
      </c>
      <c r="BR520" s="2102">
        <f t="shared" si="1015"/>
        <v>20</v>
      </c>
      <c r="BS520" s="2102">
        <f t="shared" si="1015"/>
        <v>18</v>
      </c>
      <c r="BT520" s="2102">
        <f t="shared" si="1015"/>
        <v>16.200000000000045</v>
      </c>
      <c r="BU520" s="2452">
        <f>+BT520*0.9</f>
        <v>14.580000000000041</v>
      </c>
      <c r="BV520" s="2452">
        <f>+BU520*0.9</f>
        <v>13.122000000000037</v>
      </c>
      <c r="BW520" s="2452">
        <f>+BV520*0.9</f>
        <v>11.809800000000033</v>
      </c>
      <c r="BX520" s="2452">
        <f>+BW520*0.9</f>
        <v>10.628820000000029</v>
      </c>
      <c r="BY520" s="2496">
        <f>+BX520*0.9</f>
        <v>9.5659380000000276</v>
      </c>
      <c r="BZ520" s="281"/>
    </row>
    <row r="521" spans="1:85" s="41" customFormat="1" ht="11.25" hidden="1" customHeight="1" outlineLevel="2">
      <c r="H521" s="90"/>
      <c r="I521" s="770" t="s">
        <v>132</v>
      </c>
      <c r="J521" s="231"/>
      <c r="K521" s="231"/>
      <c r="L521" s="231"/>
      <c r="M521" s="359"/>
      <c r="N521" s="359"/>
      <c r="O521" s="359"/>
      <c r="P521" s="359"/>
      <c r="Q521" s="359"/>
      <c r="R521" s="359"/>
      <c r="S521" s="359"/>
      <c r="T521" s="843"/>
      <c r="U521" s="359"/>
      <c r="V521" s="359"/>
      <c r="W521" s="359"/>
      <c r="X521" s="843"/>
      <c r="Y521" s="198"/>
      <c r="Z521" s="198"/>
      <c r="AA521" s="198"/>
      <c r="AB521" s="198"/>
      <c r="AC521" s="977">
        <f t="shared" ref="AC521:AO521" si="1016">AC518/Y518-1</f>
        <v>0.83526011560693636</v>
      </c>
      <c r="AD521" s="976">
        <f t="shared" si="1016"/>
        <v>0.70515970515970516</v>
      </c>
      <c r="AE521" s="976">
        <f t="shared" si="1016"/>
        <v>0.65732758620689635</v>
      </c>
      <c r="AF521" s="1130">
        <f t="shared" si="1016"/>
        <v>0.54411764705882359</v>
      </c>
      <c r="AG521" s="976">
        <f t="shared" si="1016"/>
        <v>0.4204724409448819</v>
      </c>
      <c r="AH521" s="976">
        <f t="shared" si="1016"/>
        <v>0.39913544668587875</v>
      </c>
      <c r="AI521" s="976">
        <f t="shared" si="1016"/>
        <v>0.35500650195058547</v>
      </c>
      <c r="AJ521" s="1130">
        <f t="shared" si="1016"/>
        <v>0.3214285714285714</v>
      </c>
      <c r="AK521" s="976">
        <f t="shared" si="1016"/>
        <v>0.3414634146341462</v>
      </c>
      <c r="AL521" s="976">
        <f t="shared" si="1016"/>
        <v>0.32234809474768289</v>
      </c>
      <c r="AM521" s="976">
        <f t="shared" si="1016"/>
        <v>0.29558541266794625</v>
      </c>
      <c r="AN521" s="976">
        <f t="shared" si="1016"/>
        <v>0.24144144144144164</v>
      </c>
      <c r="AO521" s="977">
        <f t="shared" si="1016"/>
        <v>0.18181818181818188</v>
      </c>
      <c r="AP521" s="976">
        <f t="shared" ref="AP521:AV521" si="1017">AP518/AL518-1</f>
        <v>0.16043613707165094</v>
      </c>
      <c r="AQ521" s="976">
        <f t="shared" si="1017"/>
        <v>0.14814814814814814</v>
      </c>
      <c r="AR521" s="1130">
        <f t="shared" si="1017"/>
        <v>0.1683599419448476</v>
      </c>
      <c r="AS521" s="976">
        <f t="shared" si="1017"/>
        <v>0.16083916083916083</v>
      </c>
      <c r="AT521" s="976">
        <f t="shared" si="1017"/>
        <v>0.1476510067114094</v>
      </c>
      <c r="AU521" s="976">
        <f t="shared" si="1017"/>
        <v>0.13548387096774195</v>
      </c>
      <c r="AV521" s="1130">
        <f t="shared" si="1017"/>
        <v>0.12422360248447206</v>
      </c>
      <c r="AW521" s="976">
        <f t="shared" ref="AW521:BD521" si="1018">AW518/AS518-1</f>
        <v>0.1174698795180722</v>
      </c>
      <c r="AX521" s="976">
        <f t="shared" si="1018"/>
        <v>0.11111111111111116</v>
      </c>
      <c r="AY521" s="976">
        <f t="shared" si="1018"/>
        <v>0.10511363636363646</v>
      </c>
      <c r="AZ521" s="1130">
        <f t="shared" si="1018"/>
        <v>9.9447513812154664E-2</v>
      </c>
      <c r="BA521" s="976">
        <f t="shared" si="1018"/>
        <v>9.460916442048517E-2</v>
      </c>
      <c r="BB521" s="976">
        <f t="shared" si="1018"/>
        <v>9.000000000000008E-2</v>
      </c>
      <c r="BC521" s="976">
        <f t="shared" si="1018"/>
        <v>8.5604113110540059E-2</v>
      </c>
      <c r="BD521" s="1130">
        <f t="shared" si="1018"/>
        <v>8.140703517587955E-2</v>
      </c>
      <c r="BE521" s="1234"/>
      <c r="BF521" s="231"/>
      <c r="BG521" s="231"/>
      <c r="BH521" s="359"/>
      <c r="BI521" s="359"/>
      <c r="BJ521" s="359"/>
      <c r="BK521" s="359"/>
      <c r="BL521" s="359"/>
      <c r="BM521" s="359"/>
      <c r="BN521" s="751">
        <f t="shared" ref="BN521:BY521" si="1019">BN518/BM518-1</f>
        <v>0.54411764705882359</v>
      </c>
      <c r="BO521" s="198">
        <f t="shared" si="1019"/>
        <v>0.3214285714285714</v>
      </c>
      <c r="BP521" s="264">
        <f t="shared" si="1019"/>
        <v>0.24144144144144164</v>
      </c>
      <c r="BQ521" s="264">
        <f t="shared" si="1019"/>
        <v>0.1683599419448476</v>
      </c>
      <c r="BR521" s="264">
        <f t="shared" si="1019"/>
        <v>0.12422360248447206</v>
      </c>
      <c r="BS521" s="264">
        <f t="shared" si="1019"/>
        <v>9.9447513812154664E-2</v>
      </c>
      <c r="BT521" s="264">
        <f t="shared" si="1019"/>
        <v>8.140703517587955E-2</v>
      </c>
      <c r="BU521" s="198">
        <f t="shared" si="1019"/>
        <v>6.7750929368029844E-2</v>
      </c>
      <c r="BV521" s="198">
        <f t="shared" si="1019"/>
        <v>5.7106797806597775E-2</v>
      </c>
      <c r="BW521" s="198">
        <f t="shared" si="1019"/>
        <v>4.8619607907715912E-2</v>
      </c>
      <c r="BX521" s="198">
        <f t="shared" si="1019"/>
        <v>4.1728808794881056E-2</v>
      </c>
      <c r="BY521" s="752">
        <f t="shared" si="1019"/>
        <v>3.6051540092127743E-2</v>
      </c>
      <c r="BZ521" s="281"/>
    </row>
    <row r="522" spans="1:85" s="54" customFormat="1" ht="11.25" hidden="1" customHeight="1" outlineLevel="2">
      <c r="H522" s="83"/>
      <c r="I522" s="770" t="s">
        <v>146</v>
      </c>
      <c r="J522" s="231"/>
      <c r="K522" s="231"/>
      <c r="L522" s="231"/>
      <c r="M522" s="359"/>
      <c r="N522" s="359"/>
      <c r="O522" s="359"/>
      <c r="P522" s="359"/>
      <c r="Q522" s="359"/>
      <c r="R522" s="359"/>
      <c r="S522" s="359"/>
      <c r="T522" s="843"/>
      <c r="U522" s="359"/>
      <c r="V522" s="359"/>
      <c r="W522" s="359"/>
      <c r="X522" s="843"/>
      <c r="Y522" s="198"/>
      <c r="Z522" s="198">
        <f t="shared" ref="Z522:AO522" si="1020">IF(ISERROR(Z518/Y518-1),"NA",(IF(Z518&lt;=0,"NM",Z518/Y518-1)))</f>
        <v>0.17630057803468202</v>
      </c>
      <c r="AA522" s="198">
        <f t="shared" si="1020"/>
        <v>0.14004914004913993</v>
      </c>
      <c r="AB522" s="198">
        <f t="shared" si="1020"/>
        <v>0.17241379310344818</v>
      </c>
      <c r="AC522" s="751">
        <f t="shared" si="1020"/>
        <v>0.16727941176470584</v>
      </c>
      <c r="AD522" s="198">
        <f t="shared" si="1020"/>
        <v>9.2913385826771666E-2</v>
      </c>
      <c r="AE522" s="198">
        <f t="shared" si="1020"/>
        <v>0.10806916426512947</v>
      </c>
      <c r="AF522" s="752">
        <f t="shared" si="1020"/>
        <v>9.2327698309492945E-2</v>
      </c>
      <c r="AG522" s="198">
        <f t="shared" si="1020"/>
        <v>7.3809523809523769E-2</v>
      </c>
      <c r="AH522" s="198">
        <f t="shared" si="1020"/>
        <v>7.6496674057649594E-2</v>
      </c>
      <c r="AI522" s="198">
        <f t="shared" si="1020"/>
        <v>7.3120494335736419E-2</v>
      </c>
      <c r="AJ522" s="752">
        <f t="shared" si="1020"/>
        <v>6.5259117082533624E-2</v>
      </c>
      <c r="AK522" s="198">
        <f t="shared" si="1020"/>
        <v>9.0090090090090058E-2</v>
      </c>
      <c r="AL522" s="198">
        <f t="shared" si="1020"/>
        <v>6.1157024793388581E-2</v>
      </c>
      <c r="AM522" s="198">
        <f t="shared" si="1020"/>
        <v>5.1401869158878455E-2</v>
      </c>
      <c r="AN522" s="198">
        <f t="shared" si="1020"/>
        <v>2.0740740740740726E-2</v>
      </c>
      <c r="AO522" s="751">
        <f t="shared" si="1020"/>
        <v>3.7735849056603765E-2</v>
      </c>
      <c r="AP522" s="198">
        <f t="shared" ref="AP522:AV522" si="1021">IF(ISERROR(AP518/AO518-1),"NA",(IF(AP518&lt;=0,"NM",AP518/AO518-1)))</f>
        <v>4.195804195804187E-2</v>
      </c>
      <c r="AQ522" s="198">
        <f t="shared" si="1021"/>
        <v>4.0268456375838868E-2</v>
      </c>
      <c r="AR522" s="752">
        <f t="shared" si="1021"/>
        <v>3.8709677419354938E-2</v>
      </c>
      <c r="AS522" s="198">
        <f t="shared" si="1021"/>
        <v>3.105590062111796E-2</v>
      </c>
      <c r="AT522" s="198">
        <f t="shared" si="1021"/>
        <v>3.0120481927710774E-2</v>
      </c>
      <c r="AU522" s="198">
        <f t="shared" si="1021"/>
        <v>2.9239766081871288E-2</v>
      </c>
      <c r="AV522" s="752">
        <f t="shared" si="1021"/>
        <v>2.8409090909090828E-2</v>
      </c>
      <c r="AW522" s="198">
        <f t="shared" ref="AW522:BD522" si="1022">IF(ISERROR(AW518/AV518-1),"NA",(IF(AW518&lt;=0,"NM",AW518/AV518-1)))</f>
        <v>2.4861878453038777E-2</v>
      </c>
      <c r="AX522" s="198">
        <f t="shared" si="1022"/>
        <v>2.4258760107816801E-2</v>
      </c>
      <c r="AY522" s="198">
        <f t="shared" si="1022"/>
        <v>2.3684210526315752E-2</v>
      </c>
      <c r="AZ522" s="752">
        <f t="shared" si="1022"/>
        <v>2.3136246786632286E-2</v>
      </c>
      <c r="BA522" s="198">
        <f t="shared" si="1022"/>
        <v>2.0351758793969887E-2</v>
      </c>
      <c r="BB522" s="198">
        <f t="shared" si="1022"/>
        <v>1.9945826151194446E-2</v>
      </c>
      <c r="BC522" s="198">
        <f t="shared" si="1022"/>
        <v>1.95557701593434E-2</v>
      </c>
      <c r="BD522" s="752">
        <f t="shared" si="1022"/>
        <v>1.9180677243665789E-2</v>
      </c>
      <c r="BE522" s="952"/>
      <c r="BI522" s="99"/>
      <c r="BJ522" s="99"/>
      <c r="BK522" s="99"/>
      <c r="BN522" s="633"/>
      <c r="BO522" s="1233"/>
      <c r="BP522" s="265"/>
      <c r="BQ522" s="265"/>
      <c r="BR522" s="199"/>
      <c r="BS522" s="199"/>
      <c r="BT522" s="199"/>
      <c r="BU522" s="1723"/>
      <c r="BV522" s="1723"/>
      <c r="BW522" s="1723"/>
      <c r="BX522" s="1723"/>
      <c r="BY522" s="2497"/>
      <c r="BZ522" s="265"/>
    </row>
    <row r="523" spans="1:85" s="233" customFormat="1" ht="11.25" hidden="1" customHeight="1" outlineLevel="2">
      <c r="H523" s="226"/>
      <c r="I523" s="773" t="s">
        <v>360</v>
      </c>
      <c r="J523" s="231"/>
      <c r="K523" s="231"/>
      <c r="L523" s="231"/>
      <c r="M523" s="359"/>
      <c r="N523" s="359"/>
      <c r="O523" s="359"/>
      <c r="P523" s="359"/>
      <c r="Q523" s="359"/>
      <c r="R523" s="359"/>
      <c r="S523" s="359"/>
      <c r="T523" s="843"/>
      <c r="U523" s="359"/>
      <c r="V523" s="359"/>
      <c r="W523" s="359"/>
      <c r="X523" s="843"/>
      <c r="Y523" s="359">
        <f t="shared" ref="Y523:BD523" si="1023">Y518/1000/Y416</f>
        <v>3.1368993653671802E-2</v>
      </c>
      <c r="Z523" s="359">
        <f t="shared" si="1023"/>
        <v>3.3306055646481182E-2</v>
      </c>
      <c r="AA523" s="359">
        <f t="shared" si="1023"/>
        <v>3.4523809523809519E-2</v>
      </c>
      <c r="AB523" s="359">
        <f t="shared" si="1023"/>
        <v>3.6559139784946237E-2</v>
      </c>
      <c r="AC523" s="852">
        <f t="shared" si="1023"/>
        <v>3.9687500000000001E-2</v>
      </c>
      <c r="AD523" s="359">
        <f t="shared" si="1023"/>
        <v>3.9634494574528847E-2</v>
      </c>
      <c r="AE523" s="359">
        <f t="shared" si="1023"/>
        <v>4.0774125132555676E-2</v>
      </c>
      <c r="AF523" s="843">
        <f t="shared" si="1023"/>
        <v>4.1399704287826522E-2</v>
      </c>
      <c r="AG523" s="359">
        <f t="shared" si="1023"/>
        <v>4.1130870953032375E-2</v>
      </c>
      <c r="AH523" s="359">
        <f t="shared" si="1023"/>
        <v>4.1336739037888454E-2</v>
      </c>
      <c r="AI523" s="359">
        <f t="shared" si="1023"/>
        <v>4.163004394726328E-2</v>
      </c>
      <c r="AJ523" s="843">
        <f t="shared" si="1023"/>
        <v>4.1918429003021146E-2</v>
      </c>
      <c r="AK523" s="359">
        <f t="shared" si="1023"/>
        <v>4.2695836273817921E-2</v>
      </c>
      <c r="AL523" s="359">
        <f t="shared" si="1023"/>
        <v>4.2657807308970105E-2</v>
      </c>
      <c r="AM523" s="359">
        <f t="shared" si="1023"/>
        <v>4.2293233082706765E-2</v>
      </c>
      <c r="AN523" s="359">
        <f t="shared" si="1023"/>
        <v>4.0975319655069883E-2</v>
      </c>
      <c r="AO523" s="852">
        <f t="shared" si="1023"/>
        <v>4.0179825793762287E-2</v>
      </c>
      <c r="AP523" s="359">
        <f t="shared" si="1023"/>
        <v>3.9701572075672792E-2</v>
      </c>
      <c r="AQ523" s="359">
        <f t="shared" si="1023"/>
        <v>3.8993710691823898E-2</v>
      </c>
      <c r="AR523" s="843">
        <f t="shared" si="1023"/>
        <v>3.8433993793268083E-2</v>
      </c>
      <c r="AS523" s="359">
        <f t="shared" si="1023"/>
        <v>3.871268656716418E-2</v>
      </c>
      <c r="AT523" s="359">
        <f t="shared" si="1023"/>
        <v>3.8978801002963297E-2</v>
      </c>
      <c r="AU523" s="359">
        <f t="shared" si="1023"/>
        <v>3.9765024853140526E-2</v>
      </c>
      <c r="AV523" s="843">
        <f t="shared" si="1023"/>
        <v>4.0483113397450234E-2</v>
      </c>
      <c r="AW523" s="359">
        <f t="shared" si="1023"/>
        <v>4.0590809628008748E-2</v>
      </c>
      <c r="AX523" s="359">
        <f t="shared" si="1023"/>
        <v>4.0693938744913255E-2</v>
      </c>
      <c r="AY523" s="359">
        <f t="shared" si="1023"/>
        <v>4.1312659303313508E-2</v>
      </c>
      <c r="AZ523" s="843">
        <f t="shared" si="1023"/>
        <v>4.1868293709236275E-2</v>
      </c>
      <c r="BA523" s="359">
        <f t="shared" si="1023"/>
        <v>4.184872217642209E-2</v>
      </c>
      <c r="BB523" s="359">
        <f t="shared" si="1023"/>
        <v>4.1829933346798631E-2</v>
      </c>
      <c r="BC523" s="359">
        <f t="shared" si="1023"/>
        <v>4.2314629258517041E-2</v>
      </c>
      <c r="BD523" s="843">
        <f t="shared" si="1023"/>
        <v>4.2740814299900703E-2</v>
      </c>
      <c r="BE523" s="2490"/>
      <c r="BI523" s="359"/>
      <c r="BJ523" s="359"/>
      <c r="BK523" s="359"/>
      <c r="BL523" s="359"/>
      <c r="BM523" s="359">
        <f t="shared" ref="BM523:BT523" si="1024">BM518/1000/BM416</f>
        <v>3.6559139784946237E-2</v>
      </c>
      <c r="BN523" s="852">
        <f t="shared" si="1024"/>
        <v>4.1399704287826522E-2</v>
      </c>
      <c r="BO523" s="359">
        <f t="shared" si="1024"/>
        <v>4.1918429003021146E-2</v>
      </c>
      <c r="BP523" s="289">
        <f t="shared" si="1024"/>
        <v>4.0975319655069883E-2</v>
      </c>
      <c r="BQ523" s="289">
        <f t="shared" si="1024"/>
        <v>3.8433993793268083E-2</v>
      </c>
      <c r="BR523" s="359">
        <f t="shared" si="1024"/>
        <v>4.0483113397450234E-2</v>
      </c>
      <c r="BS523" s="359">
        <f t="shared" si="1024"/>
        <v>4.1868293709236275E-2</v>
      </c>
      <c r="BT523" s="359">
        <f t="shared" si="1024"/>
        <v>4.2740814299900703E-2</v>
      </c>
      <c r="BU523" s="359"/>
      <c r="BV523" s="359"/>
      <c r="BW523" s="359"/>
      <c r="BX523" s="359"/>
      <c r="BY523" s="843"/>
      <c r="BZ523" s="2070"/>
    </row>
    <row r="524" spans="1:85" ht="11.25" hidden="1" customHeight="1" outlineLevel="2">
      <c r="I524" s="814" t="s">
        <v>549</v>
      </c>
      <c r="J524" s="106"/>
      <c r="T524" s="830"/>
      <c r="X524" s="830"/>
      <c r="Y524" s="2101"/>
      <c r="Z524" s="2101"/>
      <c r="AA524" s="2101"/>
      <c r="AB524" s="2101"/>
      <c r="AC524" s="2101">
        <f t="shared" ref="AC524:AO524" si="1025">+(AC523-Y523)*10000</f>
        <v>83.185063463281992</v>
      </c>
      <c r="AD524" s="2101">
        <f t="shared" si="1025"/>
        <v>63.284389280476653</v>
      </c>
      <c r="AE524" s="2101">
        <f t="shared" si="1025"/>
        <v>62.503156087461569</v>
      </c>
      <c r="AF524" s="2161">
        <f t="shared" si="1025"/>
        <v>48.405645028802844</v>
      </c>
      <c r="AG524" s="2101">
        <f t="shared" si="1025"/>
        <v>14.433709530323746</v>
      </c>
      <c r="AH524" s="2101">
        <f t="shared" si="1025"/>
        <v>17.022444633596063</v>
      </c>
      <c r="AI524" s="2101">
        <f t="shared" si="1025"/>
        <v>8.5591881470760409</v>
      </c>
      <c r="AJ524" s="2161">
        <f t="shared" si="1025"/>
        <v>5.1872471519462398</v>
      </c>
      <c r="AK524" s="2101">
        <f t="shared" si="1025"/>
        <v>15.649653207855454</v>
      </c>
      <c r="AL524" s="2101">
        <f t="shared" si="1025"/>
        <v>13.210682710816519</v>
      </c>
      <c r="AM524" s="2101">
        <f t="shared" si="1025"/>
        <v>6.6318913544348437</v>
      </c>
      <c r="AN524" s="2590">
        <f t="shared" si="1025"/>
        <v>-9.4310934795126258</v>
      </c>
      <c r="AO524" s="2627">
        <f t="shared" si="1025"/>
        <v>-25.160104800556333</v>
      </c>
      <c r="AP524" s="2101">
        <f>+(AP523-AL523)*10000</f>
        <v>-29.562352332973134</v>
      </c>
      <c r="AQ524" s="2101">
        <f>+(AQ523-AM523)*10000</f>
        <v>-32.99522390882867</v>
      </c>
      <c r="AR524" s="2161">
        <f>+(AR523-AN523)*10000</f>
        <v>-25.413258618018006</v>
      </c>
      <c r="AS524" s="2101">
        <f t="shared" ref="AS524:BD524" si="1026">+(AS523-AO523)*10000</f>
        <v>-14.671392265981076</v>
      </c>
      <c r="AT524" s="2101">
        <f t="shared" si="1026"/>
        <v>-7.2277107270949523</v>
      </c>
      <c r="AU524" s="2101">
        <f t="shared" si="1026"/>
        <v>7.7131416131662887</v>
      </c>
      <c r="AV524" s="2161">
        <f t="shared" si="1026"/>
        <v>20.491196041821507</v>
      </c>
      <c r="AW524" s="2101">
        <f t="shared" si="1026"/>
        <v>18.781230608445679</v>
      </c>
      <c r="AX524" s="2101">
        <f t="shared" si="1026"/>
        <v>17.151377419499582</v>
      </c>
      <c r="AY524" s="2101">
        <f t="shared" si="1026"/>
        <v>15.476344501729814</v>
      </c>
      <c r="AZ524" s="2161">
        <f t="shared" si="1026"/>
        <v>13.851803117860412</v>
      </c>
      <c r="BA524" s="2101">
        <f t="shared" si="1026"/>
        <v>12.579125484133424</v>
      </c>
      <c r="BB524" s="2101">
        <f t="shared" si="1026"/>
        <v>11.359946018853762</v>
      </c>
      <c r="BC524" s="2590">
        <f t="shared" si="1026"/>
        <v>10.019699552035327</v>
      </c>
      <c r="BD524" s="2161">
        <f t="shared" si="1026"/>
        <v>8.7252059066442875</v>
      </c>
      <c r="BE524" s="883"/>
      <c r="BN524" s="2101">
        <f t="shared" ref="BN524:BT524" si="1027">+(BN523-BM523)*10000</f>
        <v>48.405645028802844</v>
      </c>
      <c r="BO524" s="2101">
        <f t="shared" si="1027"/>
        <v>5.1872471519462398</v>
      </c>
      <c r="BP524" s="2103">
        <f t="shared" si="1027"/>
        <v>-9.4310934795126258</v>
      </c>
      <c r="BQ524" s="2103">
        <f t="shared" si="1027"/>
        <v>-25.413258618018006</v>
      </c>
      <c r="BR524" s="2101">
        <f t="shared" si="1027"/>
        <v>20.491196041821507</v>
      </c>
      <c r="BS524" s="2101">
        <f t="shared" si="1027"/>
        <v>13.851803117860412</v>
      </c>
      <c r="BT524" s="2101">
        <f t="shared" si="1027"/>
        <v>8.7252059066442875</v>
      </c>
      <c r="BU524" s="2101"/>
      <c r="BV524" s="2101"/>
      <c r="BW524" s="2101"/>
      <c r="BX524" s="2101"/>
      <c r="BY524" s="2161"/>
    </row>
    <row r="525" spans="1:85" s="1990" customFormat="1" ht="11.25" hidden="1" customHeight="1" outlineLevel="2">
      <c r="I525" s="2019"/>
      <c r="J525" s="1986"/>
      <c r="K525" s="1986"/>
      <c r="L525" s="1986"/>
      <c r="M525" s="1970"/>
      <c r="N525" s="1970"/>
      <c r="O525" s="1970"/>
      <c r="P525" s="1970"/>
      <c r="Q525" s="1970"/>
      <c r="R525" s="1970"/>
      <c r="S525" s="1970"/>
      <c r="T525" s="1972"/>
      <c r="U525" s="1970"/>
      <c r="V525" s="1970"/>
      <c r="W525" s="1970"/>
      <c r="X525" s="1970"/>
      <c r="Y525" s="1971"/>
      <c r="Z525" s="1970"/>
      <c r="AA525" s="1970"/>
      <c r="AB525" s="1970"/>
      <c r="AC525" s="1260"/>
      <c r="AD525" s="403"/>
      <c r="AE525" s="403"/>
      <c r="AF525" s="1261"/>
      <c r="AG525" s="403"/>
      <c r="AH525" s="403"/>
      <c r="AI525" s="403"/>
      <c r="AJ525" s="1261"/>
      <c r="AK525" s="403"/>
      <c r="AL525" s="403"/>
      <c r="AM525" s="901"/>
      <c r="AN525" s="901"/>
      <c r="AO525" s="1260"/>
      <c r="AP525" s="901"/>
      <c r="AQ525" s="901"/>
      <c r="AR525" s="902"/>
      <c r="AS525" s="901"/>
      <c r="AT525" s="901"/>
      <c r="AU525" s="901"/>
      <c r="AV525" s="902"/>
      <c r="AW525" s="901"/>
      <c r="AX525" s="901"/>
      <c r="AY525" s="901"/>
      <c r="AZ525" s="902"/>
      <c r="BA525" s="901"/>
      <c r="BB525" s="901"/>
      <c r="BC525" s="901"/>
      <c r="BD525" s="902"/>
      <c r="BE525" s="2489"/>
      <c r="BF525" s="1970"/>
      <c r="BG525" s="1970"/>
      <c r="BH525" s="1970"/>
      <c r="BI525" s="1970"/>
      <c r="BJ525" s="1970"/>
      <c r="BK525" s="1970"/>
      <c r="BL525" s="1970"/>
      <c r="BM525" s="1970"/>
      <c r="BN525" s="1971"/>
      <c r="BO525" s="1970"/>
      <c r="BP525" s="1970"/>
      <c r="BQ525" s="1970"/>
      <c r="BR525" s="1970"/>
      <c r="BS525" s="1970"/>
      <c r="BT525" s="1970"/>
      <c r="BU525" s="1970"/>
      <c r="BV525" s="1970"/>
      <c r="BW525" s="1970"/>
      <c r="BX525" s="1970"/>
      <c r="BY525" s="1972"/>
      <c r="BZ525" s="1970"/>
    </row>
    <row r="526" spans="1:85" s="83" customFormat="1" ht="11.25" hidden="1" customHeight="1" outlineLevel="2">
      <c r="A526" s="1163"/>
      <c r="B526" s="1163"/>
      <c r="C526" s="1163"/>
      <c r="D526" s="1163"/>
      <c r="E526" s="1163"/>
      <c r="F526" s="1163"/>
      <c r="G526" s="1163"/>
      <c r="H526" s="1163"/>
      <c r="I526" s="1164"/>
      <c r="J526" s="1165"/>
      <c r="K526" s="409"/>
      <c r="L526" s="409"/>
      <c r="M526" s="1168"/>
      <c r="N526" s="409"/>
      <c r="O526" s="409"/>
      <c r="P526" s="409"/>
      <c r="Q526" s="268"/>
      <c r="R526" s="268"/>
      <c r="S526" s="268"/>
      <c r="T526" s="1167"/>
      <c r="U526" s="268"/>
      <c r="V526" s="268"/>
      <c r="W526" s="268"/>
      <c r="X526" s="1167"/>
      <c r="Y526" s="268"/>
      <c r="Z526" s="268"/>
      <c r="AA526" s="268"/>
      <c r="AB526" s="268"/>
      <c r="AC526" s="1166"/>
      <c r="AD526" s="268"/>
      <c r="AE526" s="268"/>
      <c r="AF526" s="1167"/>
      <c r="AG526" s="268"/>
      <c r="AH526" s="268"/>
      <c r="AI526" s="1751"/>
      <c r="AJ526" s="1167"/>
      <c r="AK526" s="268"/>
      <c r="AL526" s="268"/>
      <c r="AM526" s="268"/>
      <c r="AN526" s="268"/>
      <c r="AO526" s="1166"/>
      <c r="AP526" s="268"/>
      <c r="AQ526" s="268"/>
      <c r="AR526" s="1167"/>
      <c r="AS526" s="268"/>
      <c r="AT526" s="268"/>
      <c r="AU526" s="268"/>
      <c r="AV526" s="1167"/>
      <c r="AW526" s="268"/>
      <c r="AX526" s="268"/>
      <c r="AY526" s="268"/>
      <c r="AZ526" s="1167"/>
      <c r="BA526" s="268"/>
      <c r="BB526" s="268"/>
      <c r="BC526" s="268"/>
      <c r="BD526" s="1167"/>
      <c r="BE526" s="1167"/>
      <c r="BF526" s="503"/>
      <c r="BG526" s="409"/>
      <c r="BH526" s="409"/>
      <c r="BI526" s="409"/>
      <c r="BJ526" s="434"/>
      <c r="BK526" s="268"/>
      <c r="BL526" s="268"/>
      <c r="BM526" s="268"/>
      <c r="BN526" s="268"/>
      <c r="BO526" s="268"/>
      <c r="BP526" s="268"/>
      <c r="BQ526" s="268"/>
      <c r="BR526" s="268"/>
      <c r="BS526" s="268"/>
      <c r="BT526" s="268"/>
      <c r="BU526" s="268"/>
      <c r="BV526" s="268"/>
      <c r="BW526" s="268"/>
      <c r="BX526" s="268"/>
      <c r="BY526" s="1167"/>
      <c r="BZ526" s="268"/>
      <c r="CA526" s="404"/>
      <c r="CB526" s="264"/>
      <c r="CC526" s="264"/>
      <c r="CD526" s="264"/>
      <c r="CE526" s="264"/>
      <c r="CF526" s="264"/>
      <c r="CG526" s="264"/>
    </row>
    <row r="527" spans="1:85" s="226" customFormat="1" ht="11.25" hidden="1" customHeight="1" outlineLevel="2">
      <c r="A527" s="1632"/>
      <c r="B527" s="1632"/>
      <c r="C527" s="1632"/>
      <c r="D527" s="1632"/>
      <c r="E527" s="1632"/>
      <c r="F527" s="1632"/>
      <c r="G527" s="1632"/>
      <c r="H527" s="1632"/>
      <c r="I527" s="1987" t="s">
        <v>602</v>
      </c>
      <c r="J527" s="2239"/>
      <c r="K527" s="431"/>
      <c r="L527" s="431"/>
      <c r="M527" s="2240"/>
      <c r="N527" s="431"/>
      <c r="O527" s="431"/>
      <c r="P527" s="431"/>
      <c r="Q527" s="2241"/>
      <c r="R527" s="2241"/>
      <c r="S527" s="2241"/>
      <c r="T527" s="2242"/>
      <c r="U527" s="2241"/>
      <c r="V527" s="2241"/>
      <c r="W527" s="2241"/>
      <c r="X527" s="2242"/>
      <c r="AF527" s="2354"/>
      <c r="AJ527" s="2354"/>
      <c r="AO527" s="1054"/>
      <c r="AR527" s="2354"/>
      <c r="AS527" s="2241"/>
      <c r="AT527" s="2241"/>
      <c r="AU527" s="2241"/>
      <c r="AV527" s="2242"/>
      <c r="AW527" s="2241"/>
      <c r="AX527" s="2241"/>
      <c r="AY527" s="2241"/>
      <c r="AZ527" s="2242"/>
      <c r="BA527" s="2241"/>
      <c r="BB527" s="2241"/>
      <c r="BC527" s="2241"/>
      <c r="BD527" s="2242"/>
      <c r="BE527" s="2242"/>
      <c r="BF527" s="1385"/>
      <c r="BG527" s="431"/>
      <c r="BH527" s="431"/>
      <c r="BI527" s="431"/>
      <c r="BJ527" s="2243"/>
      <c r="BK527" s="2241"/>
      <c r="BL527" s="2241"/>
      <c r="BM527" s="2241"/>
      <c r="BN527" s="2241">
        <f t="shared" ref="BN527:BT527" si="1028">BN520*1000/BM506</f>
        <v>26.90909090909091</v>
      </c>
      <c r="BO527" s="2241">
        <f t="shared" si="1028"/>
        <v>17.419354838709676</v>
      </c>
      <c r="BP527" s="2241">
        <f t="shared" si="1028"/>
        <v>12.181818181818187</v>
      </c>
      <c r="BQ527" s="2241">
        <f t="shared" si="1028"/>
        <v>9.4693877551020371</v>
      </c>
      <c r="BR527" s="2241">
        <f t="shared" si="1028"/>
        <v>7.0175438596491224</v>
      </c>
      <c r="BS527" s="2241">
        <f t="shared" si="1028"/>
        <v>5.625</v>
      </c>
      <c r="BT527" s="2241">
        <f t="shared" si="1028"/>
        <v>4.5957446808510767</v>
      </c>
      <c r="BU527" s="2241">
        <f>BU520*1000/BT506</f>
        <v>3.8622516556291497</v>
      </c>
      <c r="BV527" s="2241">
        <f>BV520*1000/BU506</f>
        <v>3.3115457413249305</v>
      </c>
      <c r="BW527" s="2241">
        <f>BW520*1000/BV506</f>
        <v>2.8848366412213822</v>
      </c>
      <c r="BX527" s="2241">
        <f>BX520*1000/BW506</f>
        <v>2.5393626997162979</v>
      </c>
      <c r="BY527" s="2242">
        <f>BY520*1000/BX506</f>
        <v>2.2508420417947388</v>
      </c>
      <c r="BZ527" s="2241"/>
      <c r="CA527" s="1639"/>
      <c r="CB527" s="289"/>
      <c r="CC527" s="289"/>
      <c r="CD527" s="289"/>
      <c r="CE527" s="289"/>
      <c r="CF527" s="289"/>
      <c r="CG527" s="289"/>
    </row>
    <row r="528" spans="1:85" s="41" customFormat="1" ht="11.25" hidden="1" customHeight="1" outlineLevel="2">
      <c r="H528" s="90"/>
      <c r="I528" s="994" t="s">
        <v>380</v>
      </c>
      <c r="T528" s="1151"/>
      <c r="U528" s="231"/>
      <c r="V528" s="231"/>
      <c r="W528" s="231"/>
      <c r="X528" s="1151"/>
      <c r="Y528" s="40"/>
      <c r="Z528" s="40"/>
      <c r="AA528" s="40"/>
      <c r="AB528" s="40"/>
      <c r="AC528" s="1184"/>
      <c r="AD528" s="1183"/>
      <c r="AE528" s="1183"/>
      <c r="AF528" s="1187"/>
      <c r="AG528" s="1183"/>
      <c r="AH528" s="1183"/>
      <c r="AI528" s="1183"/>
      <c r="AJ528" s="1187"/>
      <c r="AK528" s="1183"/>
      <c r="AL528" s="1183"/>
      <c r="AM528" s="1183"/>
      <c r="AN528" s="1183"/>
      <c r="AO528" s="1184"/>
      <c r="AP528" s="1183"/>
      <c r="AQ528" s="1183"/>
      <c r="AR528" s="1187"/>
      <c r="AS528" s="1183"/>
      <c r="AT528" s="1183"/>
      <c r="AU528" s="1183"/>
      <c r="AV528" s="1187"/>
      <c r="AW528" s="1183"/>
      <c r="AX528" s="1183"/>
      <c r="AY528" s="1183"/>
      <c r="AZ528" s="1187"/>
      <c r="BA528" s="1183"/>
      <c r="BB528" s="1183"/>
      <c r="BC528" s="1183"/>
      <c r="BD528" s="1187"/>
      <c r="BE528" s="289"/>
      <c r="BF528" s="857"/>
      <c r="BG528" s="231"/>
      <c r="BH528" s="359"/>
      <c r="BI528" s="359"/>
      <c r="BJ528" s="359"/>
      <c r="BK528" s="359"/>
      <c r="BL528" s="359"/>
      <c r="BM528" s="359"/>
      <c r="BN528" s="2013">
        <f t="shared" ref="BN528:BT528" si="1029">BN527-BM527</f>
        <v>26.90909090909091</v>
      </c>
      <c r="BO528" s="2014">
        <f t="shared" si="1029"/>
        <v>-9.4897360703812339</v>
      </c>
      <c r="BP528" s="2102">
        <f t="shared" si="1029"/>
        <v>-5.2375366568914892</v>
      </c>
      <c r="BQ528" s="2102">
        <f t="shared" si="1029"/>
        <v>-2.7124304267161499</v>
      </c>
      <c r="BR528" s="2102">
        <f t="shared" si="1029"/>
        <v>-2.4518438954529147</v>
      </c>
      <c r="BS528" s="2102">
        <f t="shared" si="1029"/>
        <v>-1.3925438596491224</v>
      </c>
      <c r="BT528" s="2102">
        <f t="shared" si="1029"/>
        <v>-1.0292553191489233</v>
      </c>
      <c r="BU528" s="2102">
        <f>BU527-BT527</f>
        <v>-0.73349302522192694</v>
      </c>
      <c r="BV528" s="2102">
        <f>BV527-BU527</f>
        <v>-0.55070591430421922</v>
      </c>
      <c r="BW528" s="2102">
        <f>BW527-BV527</f>
        <v>-0.42670910010354834</v>
      </c>
      <c r="BX528" s="2102">
        <f>BX527-BW527</f>
        <v>-0.34547394150508426</v>
      </c>
      <c r="BY528" s="2498">
        <f>BY527-BX527</f>
        <v>-0.28852065792155912</v>
      </c>
      <c r="BZ528" s="281"/>
    </row>
    <row r="529" spans="1:85" s="41" customFormat="1" ht="11.25" hidden="1" customHeight="1" outlineLevel="2">
      <c r="H529" s="90"/>
      <c r="I529" s="770" t="s">
        <v>132</v>
      </c>
      <c r="J529" s="231"/>
      <c r="K529" s="231"/>
      <c r="L529" s="231"/>
      <c r="M529" s="359"/>
      <c r="N529" s="359"/>
      <c r="O529" s="359"/>
      <c r="P529" s="359"/>
      <c r="Q529" s="359"/>
      <c r="R529" s="359"/>
      <c r="S529" s="359"/>
      <c r="T529" s="843"/>
      <c r="U529" s="359"/>
      <c r="V529" s="359"/>
      <c r="W529" s="359"/>
      <c r="X529" s="359"/>
      <c r="Y529" s="751"/>
      <c r="Z529" s="198"/>
      <c r="AA529" s="198"/>
      <c r="AB529" s="198"/>
      <c r="AC529" s="977"/>
      <c r="AD529" s="976"/>
      <c r="AE529" s="976"/>
      <c r="AF529" s="1130"/>
      <c r="AG529" s="976"/>
      <c r="AH529" s="1183"/>
      <c r="AI529" s="1183"/>
      <c r="AJ529" s="1130"/>
      <c r="AK529" s="976"/>
      <c r="AL529" s="976"/>
      <c r="AM529" s="976"/>
      <c r="AN529" s="976"/>
      <c r="AO529" s="977"/>
      <c r="AP529" s="976"/>
      <c r="AQ529" s="976"/>
      <c r="AR529" s="1130"/>
      <c r="AS529" s="976"/>
      <c r="AT529" s="976"/>
      <c r="AU529" s="976"/>
      <c r="AV529" s="1130"/>
      <c r="AW529" s="976"/>
      <c r="AX529" s="976"/>
      <c r="AY529" s="976"/>
      <c r="AZ529" s="1130"/>
      <c r="BA529" s="976"/>
      <c r="BB529" s="976"/>
      <c r="BC529" s="976"/>
      <c r="BD529" s="1130"/>
      <c r="BE529" s="289"/>
      <c r="BF529" s="857"/>
      <c r="BG529" s="231"/>
      <c r="BH529" s="359"/>
      <c r="BI529" s="359"/>
      <c r="BJ529" s="359"/>
      <c r="BK529" s="359"/>
      <c r="BL529" s="359"/>
      <c r="BM529" s="359"/>
      <c r="BN529" s="751"/>
      <c r="BO529" s="198">
        <f t="shared" ref="BO529:BT529" si="1030">BO527/BN527-1</f>
        <v>-0.35265911072362688</v>
      </c>
      <c r="BP529" s="264">
        <f t="shared" si="1030"/>
        <v>-0.30067340067340032</v>
      </c>
      <c r="BQ529" s="264">
        <f t="shared" si="1030"/>
        <v>-0.22266219920804209</v>
      </c>
      <c r="BR529" s="264">
        <f t="shared" si="1030"/>
        <v>-0.25892316999395015</v>
      </c>
      <c r="BS529" s="264">
        <f t="shared" si="1030"/>
        <v>-0.19843749999999993</v>
      </c>
      <c r="BT529" s="264">
        <f t="shared" si="1030"/>
        <v>-0.18297872340425303</v>
      </c>
      <c r="BU529" s="264">
        <f>BU527/BT527-1</f>
        <v>-0.15960264900662258</v>
      </c>
      <c r="BV529" s="264">
        <f>BV527/BU527-1</f>
        <v>-0.14258675078864347</v>
      </c>
      <c r="BW529" s="264">
        <f>BW527/BV527-1</f>
        <v>-0.12885496183206113</v>
      </c>
      <c r="BX529" s="264">
        <f>BX527/BW527-1</f>
        <v>-0.11975511423025242</v>
      </c>
      <c r="BY529" s="1242">
        <f>BY527/BX527-1</f>
        <v>-0.11361931793114599</v>
      </c>
      <c r="BZ529" s="281"/>
    </row>
    <row r="530" spans="1:85" s="83" customFormat="1" ht="11.25" hidden="1" customHeight="1" outlineLevel="2">
      <c r="A530" s="1163"/>
      <c r="B530" s="1163"/>
      <c r="C530" s="1163"/>
      <c r="D530" s="1163"/>
      <c r="E530" s="1163"/>
      <c r="F530" s="1163"/>
      <c r="G530" s="1163"/>
      <c r="H530" s="1163"/>
      <c r="I530" s="1164"/>
      <c r="J530" s="1165"/>
      <c r="K530" s="409"/>
      <c r="L530" s="409"/>
      <c r="M530" s="1168"/>
      <c r="N530" s="409"/>
      <c r="O530" s="409"/>
      <c r="P530" s="409"/>
      <c r="Q530" s="268"/>
      <c r="R530" s="268"/>
      <c r="S530" s="268"/>
      <c r="T530" s="1167"/>
      <c r="U530" s="268"/>
      <c r="V530" s="268"/>
      <c r="W530" s="268"/>
      <c r="X530" s="1167"/>
      <c r="Y530" s="268"/>
      <c r="Z530" s="268"/>
      <c r="AA530" s="268"/>
      <c r="AB530" s="268"/>
      <c r="AC530" s="1166"/>
      <c r="AD530" s="268"/>
      <c r="AE530" s="268"/>
      <c r="AF530" s="268"/>
      <c r="AG530" s="1166"/>
      <c r="AH530" s="268"/>
      <c r="AI530" s="1751"/>
      <c r="AJ530" s="1167"/>
      <c r="AK530" s="268"/>
      <c r="AL530" s="268"/>
      <c r="AM530" s="268"/>
      <c r="AN530" s="268"/>
      <c r="AO530" s="1166"/>
      <c r="AP530" s="268"/>
      <c r="AQ530" s="268"/>
      <c r="AR530" s="1167"/>
      <c r="AS530" s="268"/>
      <c r="AT530" s="268"/>
      <c r="AU530" s="268"/>
      <c r="AV530" s="1167"/>
      <c r="AW530" s="268"/>
      <c r="AX530" s="268"/>
      <c r="AY530" s="268"/>
      <c r="AZ530" s="1167"/>
      <c r="BA530" s="268"/>
      <c r="BB530" s="268"/>
      <c r="BC530" s="268"/>
      <c r="BD530" s="1167"/>
      <c r="BE530" s="1167"/>
      <c r="BF530" s="503"/>
      <c r="BG530" s="409"/>
      <c r="BH530" s="409"/>
      <c r="BI530" s="409"/>
      <c r="BJ530" s="434"/>
      <c r="BK530" s="268"/>
      <c r="BL530" s="268"/>
      <c r="BM530" s="268"/>
      <c r="BN530" s="268"/>
      <c r="BO530" s="268"/>
      <c r="BP530" s="268"/>
      <c r="BQ530" s="268"/>
      <c r="BR530" s="268"/>
      <c r="BS530" s="268"/>
      <c r="BT530" s="268"/>
      <c r="BU530" s="268"/>
      <c r="BV530" s="268"/>
      <c r="BW530" s="268"/>
      <c r="BX530" s="268"/>
      <c r="BY530" s="1167"/>
      <c r="BZ530" s="268"/>
      <c r="CA530" s="404"/>
      <c r="CB530" s="264"/>
      <c r="CC530" s="264"/>
      <c r="CD530" s="264"/>
      <c r="CE530" s="264"/>
      <c r="CF530" s="264"/>
      <c r="CG530" s="264"/>
    </row>
    <row r="531" spans="1:85" s="90" customFormat="1" ht="11.25" hidden="1" customHeight="1" outlineLevel="2">
      <c r="I531" s="984" t="s">
        <v>471</v>
      </c>
      <c r="J531" s="1284"/>
      <c r="K531" s="1284"/>
      <c r="L531" s="1284"/>
      <c r="M531" s="1285"/>
      <c r="N531" s="1285"/>
      <c r="O531" s="1285"/>
      <c r="P531" s="1285"/>
      <c r="Q531" s="1285"/>
      <c r="R531" s="1285"/>
      <c r="S531" s="1285"/>
      <c r="T531" s="1287"/>
      <c r="U531" s="1285"/>
      <c r="V531" s="1285"/>
      <c r="W531" s="1285"/>
      <c r="X531" s="1285"/>
      <c r="Y531" s="1286"/>
      <c r="Z531" s="1285"/>
      <c r="AA531" s="1285"/>
      <c r="AB531" s="1287"/>
      <c r="AC531" s="1288"/>
      <c r="AD531" s="1289">
        <f>+AD537*0.1</f>
        <v>5821.923076923078</v>
      </c>
      <c r="AE531" s="1288"/>
      <c r="AF531" s="1288"/>
      <c r="AG531" s="1290"/>
      <c r="AH531" s="1289"/>
      <c r="AI531" s="1289"/>
      <c r="AJ531" s="1291"/>
      <c r="AK531" s="1289"/>
      <c r="AL531" s="1289"/>
      <c r="AM531" s="1289"/>
      <c r="AN531" s="1289"/>
      <c r="AO531" s="1348"/>
      <c r="AP531" s="1289"/>
      <c r="AQ531" s="1289"/>
      <c r="AR531" s="1291"/>
      <c r="AS531" s="1289"/>
      <c r="AT531" s="1289"/>
      <c r="AU531" s="1289"/>
      <c r="AV531" s="1291"/>
      <c r="AW531" s="1289"/>
      <c r="AX531" s="1289"/>
      <c r="AY531" s="1289"/>
      <c r="AZ531" s="1291"/>
      <c r="BA531" s="1289"/>
      <c r="BB531" s="1289"/>
      <c r="BC531" s="1289"/>
      <c r="BD531" s="1291"/>
      <c r="BE531" s="2354"/>
      <c r="BF531" s="1286"/>
      <c r="BG531" s="1285"/>
      <c r="BH531" s="1285"/>
      <c r="BI531" s="1285"/>
      <c r="BJ531" s="1285"/>
      <c r="BK531" s="1285"/>
      <c r="BL531" s="1292"/>
      <c r="BM531" s="1293"/>
      <c r="BN531" s="1348"/>
      <c r="BO531" s="1293"/>
      <c r="BP531" s="1293"/>
      <c r="BQ531" s="1294"/>
      <c r="BR531" s="1294"/>
      <c r="BS531" s="1294"/>
      <c r="BT531" s="1294"/>
      <c r="BU531" s="1294"/>
      <c r="BV531" s="1294"/>
      <c r="BW531" s="1294"/>
      <c r="BX531" s="1294"/>
      <c r="BY531" s="1295"/>
      <c r="BZ531" s="1238"/>
    </row>
    <row r="532" spans="1:85" s="234" customFormat="1" ht="11.25" hidden="1" customHeight="1" outlineLevel="2">
      <c r="A532" s="1954"/>
      <c r="B532" s="1954"/>
      <c r="C532" s="1954"/>
      <c r="D532" s="1954"/>
      <c r="E532" s="1954"/>
      <c r="F532" s="1954"/>
      <c r="G532" s="1954"/>
      <c r="H532" s="1955"/>
      <c r="I532" s="1953" t="s">
        <v>465</v>
      </c>
      <c r="J532" s="1956"/>
      <c r="K532" s="1956"/>
      <c r="L532" s="1956"/>
      <c r="M532" s="1957"/>
      <c r="N532" s="1957"/>
      <c r="O532" s="1957"/>
      <c r="P532" s="1957"/>
      <c r="Q532" s="1957"/>
      <c r="R532" s="1957"/>
      <c r="S532" s="1957"/>
      <c r="T532" s="1963"/>
      <c r="U532" s="1957">
        <f>'Revenue drivers'!U506</f>
        <v>533.33333333333337</v>
      </c>
      <c r="V532" s="1957">
        <f>'Revenue drivers'!V506</f>
        <v>566.66666666666663</v>
      </c>
      <c r="W532" s="1957">
        <f>'Revenue drivers'!W506</f>
        <v>686.27450980392155</v>
      </c>
      <c r="X532" s="1957">
        <f>'Revenue drivers'!X506</f>
        <v>769.23076923076928</v>
      </c>
      <c r="Y532" s="1959">
        <f>'Revenue drivers'!Y506</f>
        <v>800</v>
      </c>
      <c r="Z532" s="1957">
        <f>'Revenue drivers'!Z506</f>
        <v>850</v>
      </c>
      <c r="AA532" s="1957">
        <f>'Revenue drivers'!AA506</f>
        <v>1050</v>
      </c>
      <c r="AB532" s="1958">
        <f>'Revenue drivers'!AB506</f>
        <v>1100</v>
      </c>
      <c r="AC532" s="1959">
        <f t="shared" ref="AC532:AR532" si="1031">AC506</f>
        <v>1250</v>
      </c>
      <c r="AD532" s="1957">
        <f t="shared" si="1031"/>
        <v>1350</v>
      </c>
      <c r="AE532" s="1957">
        <f t="shared" si="1031"/>
        <v>1550</v>
      </c>
      <c r="AF532" s="1957">
        <f t="shared" si="1031"/>
        <v>1550</v>
      </c>
      <c r="AG532" s="1959">
        <f t="shared" si="1031"/>
        <v>1600</v>
      </c>
      <c r="AH532" s="1957">
        <f t="shared" si="1031"/>
        <v>1750</v>
      </c>
      <c r="AI532" s="1957">
        <f t="shared" si="1031"/>
        <v>2100</v>
      </c>
      <c r="AJ532" s="1957">
        <f t="shared" si="1031"/>
        <v>2200</v>
      </c>
      <c r="AK532" s="1959">
        <f t="shared" si="1031"/>
        <v>2300</v>
      </c>
      <c r="AL532" s="1957">
        <f t="shared" si="1031"/>
        <v>2400</v>
      </c>
      <c r="AM532" s="1957">
        <f t="shared" si="1031"/>
        <v>2500</v>
      </c>
      <c r="AN532" s="1957">
        <f t="shared" si="1031"/>
        <v>2450</v>
      </c>
      <c r="AO532" s="1959">
        <f t="shared" si="1031"/>
        <v>2550</v>
      </c>
      <c r="AP532" s="1957">
        <f t="shared" si="1031"/>
        <v>2650</v>
      </c>
      <c r="AQ532" s="1957">
        <f t="shared" si="1031"/>
        <v>2750</v>
      </c>
      <c r="AR532" s="1958">
        <f t="shared" si="1031"/>
        <v>2850</v>
      </c>
      <c r="AS532" s="1957">
        <f>'Revenue drivers'!AS506</f>
        <v>2950</v>
      </c>
      <c r="AT532" s="1957">
        <f>'Revenue drivers'!AT506</f>
        <v>3050</v>
      </c>
      <c r="AU532" s="1957">
        <f>'Revenue drivers'!AU506</f>
        <v>3125</v>
      </c>
      <c r="AV532" s="1958">
        <f>'Revenue drivers'!AV506</f>
        <v>3200</v>
      </c>
      <c r="AW532" s="1957">
        <f>'Revenue drivers'!AW506</f>
        <v>3300</v>
      </c>
      <c r="AX532" s="1957">
        <f>'Revenue drivers'!AX506</f>
        <v>3400</v>
      </c>
      <c r="AY532" s="1957">
        <f>'Revenue drivers'!AY506</f>
        <v>3475</v>
      </c>
      <c r="AZ532" s="1958">
        <f>'Revenue drivers'!AZ506</f>
        <v>3525</v>
      </c>
      <c r="BA532" s="1957">
        <f>'Revenue drivers'!BA506</f>
        <v>3605</v>
      </c>
      <c r="BB532" s="1957">
        <f>'Revenue drivers'!BB506</f>
        <v>3685</v>
      </c>
      <c r="BC532" s="1957">
        <f>'Revenue drivers'!BC506</f>
        <v>3735</v>
      </c>
      <c r="BD532" s="1958">
        <f>'Revenue drivers'!BD506</f>
        <v>3775</v>
      </c>
      <c r="BE532" s="2119"/>
      <c r="BF532" s="1959">
        <f>'Revenue drivers'!BF506</f>
        <v>0</v>
      </c>
      <c r="BG532" s="1957">
        <f>'Revenue drivers'!BG506</f>
        <v>0</v>
      </c>
      <c r="BH532" s="1957">
        <f>'Revenue drivers'!BH506</f>
        <v>0</v>
      </c>
      <c r="BI532" s="1957">
        <f>'Revenue drivers'!BI506</f>
        <v>0</v>
      </c>
      <c r="BJ532" s="1957">
        <f>'Revenue drivers'!BJ506</f>
        <v>0</v>
      </c>
      <c r="BK532" s="1960">
        <f>'Revenue drivers'!BK506</f>
        <v>0</v>
      </c>
      <c r="BL532" s="1277">
        <f>'Revenue drivers'!BL506</f>
        <v>769.23076923076928</v>
      </c>
      <c r="BM532" s="1277">
        <f>'Revenue drivers'!BM506</f>
        <v>1100</v>
      </c>
      <c r="BN532" s="1281">
        <f t="shared" ref="BN532:BY532" si="1032">BN506</f>
        <v>1550</v>
      </c>
      <c r="BO532" s="1277">
        <f t="shared" si="1032"/>
        <v>2200</v>
      </c>
      <c r="BP532" s="1277">
        <f t="shared" si="1032"/>
        <v>2450</v>
      </c>
      <c r="BQ532" s="1277">
        <f t="shared" si="1032"/>
        <v>2850</v>
      </c>
      <c r="BR532" s="1277">
        <f t="shared" si="1032"/>
        <v>3200</v>
      </c>
      <c r="BS532" s="1277">
        <f t="shared" si="1032"/>
        <v>3525</v>
      </c>
      <c r="BT532" s="1277">
        <f t="shared" si="1032"/>
        <v>3775</v>
      </c>
      <c r="BU532" s="1277">
        <f t="shared" si="1032"/>
        <v>3962.5</v>
      </c>
      <c r="BV532" s="1277">
        <f t="shared" si="1032"/>
        <v>4093.75</v>
      </c>
      <c r="BW532" s="1277">
        <f t="shared" si="1032"/>
        <v>4185.625</v>
      </c>
      <c r="BX532" s="1277">
        <f t="shared" si="1032"/>
        <v>4249.9375</v>
      </c>
      <c r="BY532" s="1282">
        <f t="shared" si="1032"/>
        <v>4294.9562500000002</v>
      </c>
      <c r="BZ532" s="1277"/>
      <c r="CA532" s="1954"/>
      <c r="CB532" s="1954"/>
      <c r="CC532" s="1954"/>
      <c r="CD532" s="1954"/>
      <c r="CE532" s="1954"/>
      <c r="CF532" s="1954"/>
      <c r="CG532" s="1954"/>
    </row>
    <row r="533" spans="1:85" ht="11.25" hidden="1" customHeight="1" outlineLevel="2">
      <c r="A533" s="36"/>
      <c r="B533" s="36"/>
      <c r="C533" s="36"/>
      <c r="D533" s="36"/>
      <c r="E533" s="36"/>
      <c r="F533" s="36"/>
      <c r="G533" s="36"/>
      <c r="I533" s="1274"/>
      <c r="J533" s="50"/>
      <c r="K533" s="50"/>
      <c r="L533" s="50"/>
      <c r="M533" s="78"/>
      <c r="N533" s="78"/>
      <c r="O533" s="78"/>
      <c r="P533" s="78"/>
      <c r="Q533" s="78"/>
      <c r="R533" s="78"/>
      <c r="S533" s="78"/>
      <c r="T533" s="874"/>
      <c r="U533" s="78"/>
      <c r="V533" s="78"/>
      <c r="W533" s="78"/>
      <c r="X533" s="78"/>
      <c r="Y533" s="873"/>
      <c r="Z533" s="78"/>
      <c r="AA533" s="78"/>
      <c r="AB533" s="874"/>
      <c r="AC533" s="1296"/>
      <c r="AD533" s="1297"/>
      <c r="AE533" s="1297"/>
      <c r="AF533" s="1297"/>
      <c r="AG533" s="1296"/>
      <c r="AH533" s="1297"/>
      <c r="AI533" s="1297"/>
      <c r="AJ533" s="1297"/>
      <c r="AK533" s="1296"/>
      <c r="AL533" s="1297"/>
      <c r="AM533" s="1297"/>
      <c r="AN533" s="1297"/>
      <c r="AO533" s="1296"/>
      <c r="AP533" s="1297"/>
      <c r="AQ533" s="1297"/>
      <c r="AR533" s="1298"/>
      <c r="AS533" s="1297"/>
      <c r="AT533" s="1297"/>
      <c r="AU533" s="1297"/>
      <c r="AV533" s="1298"/>
      <c r="AW533" s="1297"/>
      <c r="AX533" s="1297"/>
      <c r="AY533" s="1297"/>
      <c r="AZ533" s="1298"/>
      <c r="BA533" s="1297"/>
      <c r="BB533" s="1297"/>
      <c r="BC533" s="1297"/>
      <c r="BD533" s="1298"/>
      <c r="BE533" s="883"/>
      <c r="BF533" s="873"/>
      <c r="BG533" s="78"/>
      <c r="BH533" s="78"/>
      <c r="BI533" s="78"/>
      <c r="BJ533" s="78"/>
      <c r="BK533" s="78"/>
      <c r="BL533" s="403"/>
      <c r="BM533" s="1412"/>
      <c r="BN533" s="1458"/>
      <c r="BO533" s="1412"/>
      <c r="BP533" s="1949">
        <f>BP532/BO532-1</f>
        <v>0.11363636363636354</v>
      </c>
      <c r="BQ533" s="1412"/>
      <c r="BR533" s="1412"/>
      <c r="BS533" s="1412"/>
      <c r="BT533" s="1412"/>
      <c r="BU533" s="1412"/>
      <c r="BV533" s="1412"/>
      <c r="BW533" s="1412"/>
      <c r="BX533" s="1412"/>
      <c r="BY533" s="1634"/>
      <c r="BZ533" s="295"/>
      <c r="CA533" s="36"/>
      <c r="CB533" s="36"/>
      <c r="CC533" s="36"/>
      <c r="CD533" s="36"/>
      <c r="CE533" s="36"/>
      <c r="CF533" s="36"/>
      <c r="CG533" s="36"/>
    </row>
    <row r="534" spans="1:85" ht="11.25" hidden="1" customHeight="1" outlineLevel="2">
      <c r="A534" s="36"/>
      <c r="B534" s="36"/>
      <c r="C534" s="36"/>
      <c r="D534" s="36"/>
      <c r="E534" s="36"/>
      <c r="F534" s="36"/>
      <c r="G534" s="36"/>
      <c r="I534" s="138" t="s">
        <v>466</v>
      </c>
      <c r="J534" s="50"/>
      <c r="K534" s="50"/>
      <c r="L534" s="50"/>
      <c r="M534" s="78"/>
      <c r="N534" s="78"/>
      <c r="O534" s="78"/>
      <c r="P534" s="78"/>
      <c r="Q534" s="78"/>
      <c r="R534" s="78"/>
      <c r="S534" s="78"/>
      <c r="T534" s="874"/>
      <c r="U534" s="1278">
        <f>+'Revenue drivers'!U490</f>
        <v>21.472999999999999</v>
      </c>
      <c r="V534" s="1278">
        <f>+'Revenue drivers'!V490</f>
        <v>25.254999999999999</v>
      </c>
      <c r="W534" s="1278">
        <f>+'Revenue drivers'!W490</f>
        <v>28.484999999999999</v>
      </c>
      <c r="X534" s="1278">
        <f>+'Revenue drivers'!X490</f>
        <v>33.945</v>
      </c>
      <c r="Y534" s="1279">
        <f>+'Revenue drivers'!Y490</f>
        <v>38.866</v>
      </c>
      <c r="Z534" s="1278">
        <f>+'Revenue drivers'!Z490</f>
        <v>44.8</v>
      </c>
      <c r="AA534" s="1278">
        <f>+'Revenue drivers'!AA490</f>
        <v>51.167000000000002</v>
      </c>
      <c r="AB534" s="1278">
        <f>+'Revenue drivers'!AB490</f>
        <v>58.052</v>
      </c>
      <c r="AC534" s="1279">
        <f t="shared" ref="AC534:AR534" si="1033">AC490</f>
        <v>65.2</v>
      </c>
      <c r="AD534" s="1278">
        <f t="shared" si="1033"/>
        <v>75.685000000000002</v>
      </c>
      <c r="AE534" s="1278">
        <f t="shared" si="1033"/>
        <v>85.132000000000005</v>
      </c>
      <c r="AF534" s="1280">
        <f t="shared" si="1033"/>
        <v>93.1</v>
      </c>
      <c r="AG534" s="1279">
        <f t="shared" si="1033"/>
        <v>98.57</v>
      </c>
      <c r="AH534" s="1278">
        <f t="shared" si="1033"/>
        <v>107.88200000000001</v>
      </c>
      <c r="AI534" s="1278">
        <f t="shared" si="1033"/>
        <v>115.932</v>
      </c>
      <c r="AJ534" s="1280">
        <f t="shared" si="1033"/>
        <v>125.851</v>
      </c>
      <c r="AK534" s="1278">
        <f t="shared" si="1033"/>
        <v>138.11600000000001</v>
      </c>
      <c r="AL534" s="1278">
        <f t="shared" si="1033"/>
        <v>151.87899999999999</v>
      </c>
      <c r="AM534" s="1278">
        <f t="shared" si="1033"/>
        <v>163.6</v>
      </c>
      <c r="AN534" s="1278">
        <f t="shared" si="1033"/>
        <v>171.1</v>
      </c>
      <c r="AO534" s="1279">
        <f t="shared" si="1033"/>
        <v>177</v>
      </c>
      <c r="AP534" s="1278">
        <f t="shared" si="1033"/>
        <v>187.87899999999999</v>
      </c>
      <c r="AQ534" s="1278">
        <f t="shared" si="1033"/>
        <v>197.6</v>
      </c>
      <c r="AR534" s="1280">
        <f t="shared" si="1033"/>
        <v>209.1</v>
      </c>
      <c r="AS534" s="1278">
        <f>+'Revenue drivers'!AS490</f>
        <v>213</v>
      </c>
      <c r="AT534" s="1278">
        <f>+'Revenue drivers'!AT490</f>
        <v>224.87899999999999</v>
      </c>
      <c r="AU534" s="1278">
        <f>+'Revenue drivers'!AU490</f>
        <v>234.6</v>
      </c>
      <c r="AV534" s="1280">
        <f>+'Revenue drivers'!AV490</f>
        <v>245.1</v>
      </c>
      <c r="AW534" s="1278">
        <f>+'Revenue drivers'!AW490</f>
        <v>250</v>
      </c>
      <c r="AX534" s="1278">
        <f>+'Revenue drivers'!AX490</f>
        <v>261.87900000000002</v>
      </c>
      <c r="AY534" s="1278">
        <f>+'Revenue drivers'!AY490</f>
        <v>271.60000000000002</v>
      </c>
      <c r="AZ534" s="1280">
        <f>+'Revenue drivers'!AZ490</f>
        <v>282.10000000000002</v>
      </c>
      <c r="BA534" s="1278">
        <f>+'Revenue drivers'!BA490</f>
        <v>287</v>
      </c>
      <c r="BB534" s="1278">
        <f>+'Revenue drivers'!BB490</f>
        <v>298.87900000000002</v>
      </c>
      <c r="BC534" s="1278">
        <f>+'Revenue drivers'!BC490</f>
        <v>308.60000000000002</v>
      </c>
      <c r="BD534" s="1280">
        <f>+'Revenue drivers'!BD490</f>
        <v>319.10000000000002</v>
      </c>
      <c r="BE534" s="883"/>
      <c r="BF534" s="873"/>
      <c r="BG534" s="78"/>
      <c r="BH534" s="78"/>
      <c r="BI534" s="901"/>
      <c r="BJ534" s="901"/>
      <c r="BK534" s="901"/>
      <c r="BL534" s="1278">
        <f>+'Revenue drivers'!BL490</f>
        <v>109.15799999999999</v>
      </c>
      <c r="BM534" s="1278">
        <f>+'Revenue drivers'!BM490</f>
        <v>192.88499999999999</v>
      </c>
      <c r="BN534" s="1279">
        <f t="shared" ref="BN534:BY534" si="1034">BN490</f>
        <v>319.11699999999996</v>
      </c>
      <c r="BO534" s="1278">
        <f t="shared" si="1034"/>
        <v>448.23500000000001</v>
      </c>
      <c r="BP534" s="1278">
        <f t="shared" si="1034"/>
        <v>624.69500000000005</v>
      </c>
      <c r="BQ534" s="1278">
        <f t="shared" si="1034"/>
        <v>771.57900000000006</v>
      </c>
      <c r="BR534" s="1278">
        <f t="shared" si="1034"/>
        <v>917.57900000000006</v>
      </c>
      <c r="BS534" s="1278">
        <f t="shared" si="1034"/>
        <v>1065.5790000000002</v>
      </c>
      <c r="BT534" s="1278">
        <f t="shared" si="1034"/>
        <v>1213.5790000000002</v>
      </c>
      <c r="BU534" s="1278">
        <f t="shared" si="1034"/>
        <v>1343.5790000000002</v>
      </c>
      <c r="BV534" s="1278">
        <f t="shared" si="1034"/>
        <v>1467.5790000000002</v>
      </c>
      <c r="BW534" s="1278">
        <f t="shared" si="1034"/>
        <v>1576.5790000000002</v>
      </c>
      <c r="BX534" s="1278">
        <f t="shared" si="1034"/>
        <v>1680.5790000000002</v>
      </c>
      <c r="BY534" s="1280">
        <f t="shared" si="1034"/>
        <v>1780.5790000000002</v>
      </c>
      <c r="BZ534" s="295"/>
      <c r="CA534" s="36"/>
      <c r="CB534" s="36"/>
      <c r="CC534" s="36"/>
      <c r="CD534" s="36"/>
      <c r="CE534" s="36"/>
      <c r="CF534" s="36"/>
      <c r="CG534" s="36"/>
    </row>
    <row r="535" spans="1:85" ht="11.25" hidden="1" customHeight="1" outlineLevel="2">
      <c r="A535" s="36"/>
      <c r="B535" s="36"/>
      <c r="C535" s="36"/>
      <c r="D535" s="36"/>
      <c r="E535" s="36"/>
      <c r="F535" s="36"/>
      <c r="G535" s="36"/>
      <c r="I535" s="1274" t="s">
        <v>146</v>
      </c>
      <c r="J535" s="5"/>
      <c r="K535" s="5"/>
      <c r="L535" s="5"/>
      <c r="M535" s="1263"/>
      <c r="N535" s="1263"/>
      <c r="O535" s="1263"/>
      <c r="P535" s="1263"/>
      <c r="Q535" s="1263"/>
      <c r="R535" s="1263"/>
      <c r="S535" s="1263"/>
      <c r="T535" s="1265"/>
      <c r="U535" s="1275"/>
      <c r="V535" s="1711">
        <f>V534/U534-1</f>
        <v>0.17612816094630457</v>
      </c>
      <c r="W535" s="1711">
        <f t="shared" ref="W535:AO535" si="1035">W534/V534-1</f>
        <v>0.12789546624430814</v>
      </c>
      <c r="X535" s="1711">
        <f t="shared" si="1035"/>
        <v>0.19167983149025813</v>
      </c>
      <c r="Y535" s="1712">
        <f t="shared" si="1035"/>
        <v>0.14496980409485927</v>
      </c>
      <c r="Z535" s="1711">
        <f t="shared" si="1035"/>
        <v>0.15267843359234279</v>
      </c>
      <c r="AA535" s="1711">
        <f t="shared" si="1035"/>
        <v>0.14212053571428584</v>
      </c>
      <c r="AB535" s="1711">
        <f t="shared" si="1035"/>
        <v>0.13455938397795442</v>
      </c>
      <c r="AC535" s="1712">
        <f t="shared" si="1035"/>
        <v>0.12313098601254047</v>
      </c>
      <c r="AD535" s="1711">
        <f t="shared" si="1035"/>
        <v>0.16081288343558287</v>
      </c>
      <c r="AE535" s="1711">
        <f t="shared" si="1035"/>
        <v>0.12481997753848195</v>
      </c>
      <c r="AF535" s="1711">
        <f t="shared" si="1035"/>
        <v>9.3595827655875485E-2</v>
      </c>
      <c r="AG535" s="1712">
        <f t="shared" si="1035"/>
        <v>5.8754027926960273E-2</v>
      </c>
      <c r="AH535" s="1711">
        <f t="shared" si="1035"/>
        <v>9.4470934361367664E-2</v>
      </c>
      <c r="AI535" s="1711">
        <f t="shared" si="1035"/>
        <v>7.4618564728128778E-2</v>
      </c>
      <c r="AJ535" s="1711">
        <f t="shared" si="1035"/>
        <v>8.5558775834109646E-2</v>
      </c>
      <c r="AK535" s="1712">
        <f t="shared" si="1035"/>
        <v>9.7456516038807894E-2</v>
      </c>
      <c r="AL535" s="1711">
        <f t="shared" si="1035"/>
        <v>9.964812186857408E-2</v>
      </c>
      <c r="AM535" s="1711">
        <f t="shared" si="1035"/>
        <v>7.7173276094786081E-2</v>
      </c>
      <c r="AN535" s="1711">
        <f t="shared" si="1035"/>
        <v>4.5843520782396174E-2</v>
      </c>
      <c r="AO535" s="1712">
        <f t="shared" si="1035"/>
        <v>3.4482758620689724E-2</v>
      </c>
      <c r="AP535" s="1711">
        <f t="shared" ref="AP535:AV535" si="1036">AP534/AO534-1</f>
        <v>6.1463276836158043E-2</v>
      </c>
      <c r="AQ535" s="1711">
        <f t="shared" si="1036"/>
        <v>5.1740748034639239E-2</v>
      </c>
      <c r="AR535" s="2355">
        <f t="shared" si="1036"/>
        <v>5.81983805668016E-2</v>
      </c>
      <c r="AS535" s="1711">
        <f t="shared" si="1036"/>
        <v>1.8651362984218212E-2</v>
      </c>
      <c r="AT535" s="1711">
        <f t="shared" si="1036"/>
        <v>5.5769953051643117E-2</v>
      </c>
      <c r="AU535" s="1711">
        <f t="shared" si="1036"/>
        <v>4.3227691336229723E-2</v>
      </c>
      <c r="AV535" s="2355">
        <f t="shared" si="1036"/>
        <v>4.4757033248081779E-2</v>
      </c>
      <c r="AW535" s="1711">
        <f t="shared" ref="AW535:BD535" si="1037">AW534/AV534-1</f>
        <v>1.9991840065279431E-2</v>
      </c>
      <c r="AX535" s="1711">
        <f t="shared" si="1037"/>
        <v>4.7516000000000114E-2</v>
      </c>
      <c r="AY535" s="1711">
        <f t="shared" si="1037"/>
        <v>3.712019673207867E-2</v>
      </c>
      <c r="AZ535" s="2355">
        <f t="shared" si="1037"/>
        <v>3.8659793814433074E-2</v>
      </c>
      <c r="BA535" s="1711">
        <f t="shared" si="1037"/>
        <v>1.7369727047146233E-2</v>
      </c>
      <c r="BB535" s="1711">
        <f t="shared" si="1037"/>
        <v>4.1390243902439172E-2</v>
      </c>
      <c r="BC535" s="1711">
        <f t="shared" si="1037"/>
        <v>3.2524867923139578E-2</v>
      </c>
      <c r="BD535" s="2355">
        <f t="shared" si="1037"/>
        <v>3.4024627349319436E-2</v>
      </c>
      <c r="BE535" s="883"/>
      <c r="BF535" s="1264"/>
      <c r="BG535" s="1263"/>
      <c r="BH535" s="1263"/>
      <c r="BI535" s="901"/>
      <c r="BJ535" s="901"/>
      <c r="BK535" s="901"/>
      <c r="BL535" s="901"/>
      <c r="BM535" s="403"/>
      <c r="BN535" s="403"/>
      <c r="BO535" s="403"/>
      <c r="BP535" s="403"/>
      <c r="BQ535" s="403"/>
      <c r="BR535" s="403"/>
      <c r="BS535" s="403"/>
      <c r="BT535" s="403"/>
      <c r="BU535" s="403"/>
      <c r="BV535" s="403"/>
      <c r="BW535" s="403"/>
      <c r="BX535" s="403"/>
      <c r="BY535" s="1261"/>
      <c r="BZ535" s="1268"/>
      <c r="CA535" s="36"/>
      <c r="CB535" s="36"/>
      <c r="CC535" s="36"/>
      <c r="CD535" s="36"/>
      <c r="CE535" s="36"/>
      <c r="CF535" s="36"/>
      <c r="CG535" s="36"/>
    </row>
    <row r="536" spans="1:85" ht="11.25" hidden="1" customHeight="1" outlineLevel="2">
      <c r="A536" s="36"/>
      <c r="B536" s="36"/>
      <c r="C536" s="36"/>
      <c r="D536" s="36"/>
      <c r="E536" s="36"/>
      <c r="F536" s="36"/>
      <c r="G536" s="36"/>
      <c r="I536" s="1274" t="s">
        <v>510</v>
      </c>
      <c r="J536" s="5"/>
      <c r="K536" s="5"/>
      <c r="L536" s="5"/>
      <c r="M536" s="1263"/>
      <c r="N536" s="1263"/>
      <c r="O536" s="1263"/>
      <c r="P536" s="1263"/>
      <c r="Q536" s="1263"/>
      <c r="R536" s="1263"/>
      <c r="S536" s="1263"/>
      <c r="T536" s="1265"/>
      <c r="U536" s="1263"/>
      <c r="V536" s="1713">
        <f t="shared" ref="V536:AO536" si="1038">V534-U534</f>
        <v>3.782</v>
      </c>
      <c r="W536" s="1713">
        <f t="shared" si="1038"/>
        <v>3.2300000000000004</v>
      </c>
      <c r="X536" s="1713">
        <f t="shared" si="1038"/>
        <v>5.4600000000000009</v>
      </c>
      <c r="Y536" s="1714">
        <f t="shared" si="1038"/>
        <v>4.9209999999999994</v>
      </c>
      <c r="Z536" s="1713">
        <f t="shared" si="1038"/>
        <v>5.9339999999999975</v>
      </c>
      <c r="AA536" s="1713">
        <f t="shared" si="1038"/>
        <v>6.3670000000000044</v>
      </c>
      <c r="AB536" s="1713">
        <f t="shared" si="1038"/>
        <v>6.884999999999998</v>
      </c>
      <c r="AC536" s="1714">
        <f t="shared" si="1038"/>
        <v>7.1480000000000032</v>
      </c>
      <c r="AD536" s="1713">
        <f t="shared" si="1038"/>
        <v>10.484999999999999</v>
      </c>
      <c r="AE536" s="1713">
        <f t="shared" si="1038"/>
        <v>9.4470000000000027</v>
      </c>
      <c r="AF536" s="1713">
        <f t="shared" si="1038"/>
        <v>7.9679999999999893</v>
      </c>
      <c r="AG536" s="1714">
        <f t="shared" si="1038"/>
        <v>5.4699999999999989</v>
      </c>
      <c r="AH536" s="1713">
        <f t="shared" si="1038"/>
        <v>9.3120000000000118</v>
      </c>
      <c r="AI536" s="1713">
        <f t="shared" si="1038"/>
        <v>8.0499999999999972</v>
      </c>
      <c r="AJ536" s="1713">
        <f t="shared" si="1038"/>
        <v>9.9189999999999969</v>
      </c>
      <c r="AK536" s="1714">
        <f t="shared" si="1038"/>
        <v>12.265000000000015</v>
      </c>
      <c r="AL536" s="1713">
        <f t="shared" si="1038"/>
        <v>13.762999999999977</v>
      </c>
      <c r="AM536" s="1713">
        <f t="shared" si="1038"/>
        <v>11.721000000000004</v>
      </c>
      <c r="AN536" s="1713">
        <f t="shared" si="1038"/>
        <v>7.5</v>
      </c>
      <c r="AO536" s="1714">
        <f t="shared" si="1038"/>
        <v>5.9000000000000057</v>
      </c>
      <c r="AP536" s="1713">
        <f t="shared" ref="AP536:AV536" si="1039">AP534-AO534</f>
        <v>10.878999999999991</v>
      </c>
      <c r="AQ536" s="1713">
        <f t="shared" si="1039"/>
        <v>9.7210000000000036</v>
      </c>
      <c r="AR536" s="2356">
        <f t="shared" si="1039"/>
        <v>11.5</v>
      </c>
      <c r="AS536" s="1713">
        <f t="shared" si="1039"/>
        <v>3.9000000000000057</v>
      </c>
      <c r="AT536" s="1713">
        <f t="shared" si="1039"/>
        <v>11.878999999999991</v>
      </c>
      <c r="AU536" s="1713">
        <f t="shared" si="1039"/>
        <v>9.7210000000000036</v>
      </c>
      <c r="AV536" s="2356">
        <f t="shared" si="1039"/>
        <v>10.5</v>
      </c>
      <c r="AW536" s="1713">
        <f t="shared" ref="AW536:BD536" si="1040">AW534-AV534</f>
        <v>4.9000000000000057</v>
      </c>
      <c r="AX536" s="1713">
        <f t="shared" si="1040"/>
        <v>11.879000000000019</v>
      </c>
      <c r="AY536" s="1713">
        <f t="shared" si="1040"/>
        <v>9.7210000000000036</v>
      </c>
      <c r="AZ536" s="2356">
        <f t="shared" si="1040"/>
        <v>10.5</v>
      </c>
      <c r="BA536" s="1713">
        <f t="shared" si="1040"/>
        <v>4.8999999999999773</v>
      </c>
      <c r="BB536" s="1713">
        <f t="shared" si="1040"/>
        <v>11.879000000000019</v>
      </c>
      <c r="BC536" s="1713">
        <f t="shared" si="1040"/>
        <v>9.7210000000000036</v>
      </c>
      <c r="BD536" s="2356">
        <f t="shared" si="1040"/>
        <v>10.5</v>
      </c>
      <c r="BE536" s="883"/>
      <c r="BF536" s="1264"/>
      <c r="BG536" s="1263"/>
      <c r="BH536" s="1263"/>
      <c r="BI536" s="1263"/>
      <c r="BJ536" s="1263"/>
      <c r="BK536" s="1263"/>
      <c r="BL536" s="1263"/>
      <c r="BM536" s="1442"/>
      <c r="BN536" s="1650"/>
      <c r="BO536" s="1442"/>
      <c r="BP536" s="1442"/>
      <c r="BQ536" s="1442"/>
      <c r="BR536" s="1442"/>
      <c r="BS536" s="1442"/>
      <c r="BT536" s="1442"/>
      <c r="BU536" s="1442"/>
      <c r="BV536" s="1442"/>
      <c r="BW536" s="1442"/>
      <c r="BX536" s="1442"/>
      <c r="BY536" s="1443"/>
      <c r="BZ536" s="1268"/>
      <c r="CA536" s="36"/>
      <c r="CB536" s="36"/>
      <c r="CC536" s="36"/>
      <c r="CD536" s="36"/>
      <c r="CE536" s="36"/>
      <c r="CF536" s="36"/>
      <c r="CG536" s="36"/>
    </row>
    <row r="537" spans="1:85" s="1455" customFormat="1" ht="11.25" hidden="1" customHeight="1" outlineLevel="2">
      <c r="A537" s="1444"/>
      <c r="B537" s="1444"/>
      <c r="C537" s="1444"/>
      <c r="D537" s="1444"/>
      <c r="E537" s="1444"/>
      <c r="F537" s="1444"/>
      <c r="G537" s="1444"/>
      <c r="H537" s="1445"/>
      <c r="I537" s="1446" t="s">
        <v>467</v>
      </c>
      <c r="J537" s="1447"/>
      <c r="K537" s="1447"/>
      <c r="L537" s="1447"/>
      <c r="M537" s="1448"/>
      <c r="N537" s="1448"/>
      <c r="O537" s="1448"/>
      <c r="P537" s="1448"/>
      <c r="Q537" s="1448"/>
      <c r="R537" s="1448"/>
      <c r="S537" s="1448"/>
      <c r="T537" s="1449"/>
      <c r="U537" s="1962">
        <f>(U534/AVERAGE(U532)*1000000)</f>
        <v>40261.874999999993</v>
      </c>
      <c r="V537" s="1303">
        <f>(V534/AVERAGE(U532,V532)*1000000)</f>
        <v>45918.181818181816</v>
      </c>
      <c r="W537" s="1303">
        <f>(W534/AVERAGE(V532,W532)*1000000)</f>
        <v>45469.014084507042</v>
      </c>
      <c r="X537" s="1303">
        <f>(X534/AVERAGE(W532,X532)*1000000)</f>
        <v>46643.595854922285</v>
      </c>
      <c r="Y537" s="1408">
        <f>(Y534/AVERAGE(X532,Y532)*1000000)</f>
        <v>49535.098039215685</v>
      </c>
      <c r="Z537" s="1303">
        <f>(Z534/AVERAGE(Y532,Z532)*1000000)</f>
        <v>54303.030303030297</v>
      </c>
      <c r="AA537" s="1303">
        <f t="shared" ref="AA537:AO537" si="1041">(AA534/AVERAGE(Z532,AA532)*1000000)</f>
        <v>53860.000000000007</v>
      </c>
      <c r="AB537" s="1303">
        <f t="shared" si="1041"/>
        <v>54001.860465116275</v>
      </c>
      <c r="AC537" s="1408">
        <f t="shared" si="1041"/>
        <v>55489.361702127666</v>
      </c>
      <c r="AD537" s="1303">
        <f t="shared" si="1041"/>
        <v>58219.230769230773</v>
      </c>
      <c r="AE537" s="1303">
        <f t="shared" si="1041"/>
        <v>58711.724137931036</v>
      </c>
      <c r="AF537" s="1351">
        <f t="shared" si="1041"/>
        <v>60064.516129032258</v>
      </c>
      <c r="AG537" s="1408">
        <f t="shared" si="1041"/>
        <v>62584.126984126975</v>
      </c>
      <c r="AH537" s="1303">
        <f t="shared" si="1041"/>
        <v>64407.164179104482</v>
      </c>
      <c r="AI537" s="1303">
        <f t="shared" si="1041"/>
        <v>60224.41558441559</v>
      </c>
      <c r="AJ537" s="1303">
        <f t="shared" si="1041"/>
        <v>58535.348837209305</v>
      </c>
      <c r="AK537" s="1408">
        <f t="shared" si="1041"/>
        <v>61384.888888888891</v>
      </c>
      <c r="AL537" s="1303">
        <f t="shared" si="1041"/>
        <v>64629.361702127659</v>
      </c>
      <c r="AM537" s="1303">
        <f t="shared" si="1041"/>
        <v>66775.510204081642</v>
      </c>
      <c r="AN537" s="1303">
        <f t="shared" si="1041"/>
        <v>69131.313131313131</v>
      </c>
      <c r="AO537" s="1408">
        <f t="shared" si="1041"/>
        <v>70800</v>
      </c>
      <c r="AP537" s="1303">
        <f t="shared" ref="AP537:AV537" si="1042">(AP534/AVERAGE(AO532,AP532)*1000000)</f>
        <v>72261.153846153829</v>
      </c>
      <c r="AQ537" s="1303">
        <f t="shared" si="1042"/>
        <v>73185.185185185182</v>
      </c>
      <c r="AR537" s="1351">
        <f t="shared" si="1042"/>
        <v>74678.57142857142</v>
      </c>
      <c r="AS537" s="1303">
        <f t="shared" si="1042"/>
        <v>73448.275862068971</v>
      </c>
      <c r="AT537" s="1303">
        <f t="shared" si="1042"/>
        <v>74959.666666666657</v>
      </c>
      <c r="AU537" s="1303">
        <f t="shared" si="1042"/>
        <v>75983.805668016197</v>
      </c>
      <c r="AV537" s="1351">
        <f t="shared" si="1042"/>
        <v>77501.976284584976</v>
      </c>
      <c r="AW537" s="1303">
        <f t="shared" ref="AW537:BD537" si="1043">(AW534/AVERAGE(AV532,AW532)*1000000)</f>
        <v>76923.076923076922</v>
      </c>
      <c r="AX537" s="1303">
        <f t="shared" si="1043"/>
        <v>78172.835820895532</v>
      </c>
      <c r="AY537" s="1303">
        <f t="shared" si="1043"/>
        <v>79010.909090909103</v>
      </c>
      <c r="AZ537" s="1351">
        <f t="shared" si="1043"/>
        <v>80600</v>
      </c>
      <c r="BA537" s="1303">
        <f t="shared" si="1043"/>
        <v>80504.908835904629</v>
      </c>
      <c r="BB537" s="1303">
        <f t="shared" si="1043"/>
        <v>81996.982167352544</v>
      </c>
      <c r="BC537" s="1303">
        <f t="shared" si="1043"/>
        <v>83180.592991913756</v>
      </c>
      <c r="BD537" s="1351">
        <f t="shared" si="1043"/>
        <v>84980.026631158456</v>
      </c>
      <c r="BE537" s="2588"/>
      <c r="BF537" s="1450"/>
      <c r="BG537" s="1448"/>
      <c r="BH537" s="1448"/>
      <c r="BI537" s="1451"/>
      <c r="BJ537" s="1451"/>
      <c r="BK537" s="1451"/>
      <c r="BL537" s="1961">
        <f>(BL534/AVERAGE(BL532)*1000000)</f>
        <v>141905.4</v>
      </c>
      <c r="BM537" s="1452">
        <f>(BM534/AVERAGE(BL532,BM532)*1000000)</f>
        <v>206379.01234567899</v>
      </c>
      <c r="BN537" s="1649">
        <f t="shared" ref="BN537:BY537" si="1044">(BN534/AVERAGE(BM532,BN532)*1000000)</f>
        <v>240843.01886792449</v>
      </c>
      <c r="BO537" s="1452">
        <f t="shared" si="1044"/>
        <v>239058.66666666666</v>
      </c>
      <c r="BP537" s="1452">
        <f t="shared" si="1044"/>
        <v>268686.02150537632</v>
      </c>
      <c r="BQ537" s="1452">
        <f>(BQ534/AVERAGE(BP532,BQ532)*1000000)</f>
        <v>291161.88679245289</v>
      </c>
      <c r="BR537" s="1452">
        <f t="shared" si="1044"/>
        <v>303331.9008264463</v>
      </c>
      <c r="BS537" s="1452">
        <f t="shared" si="1044"/>
        <v>316900.81784386619</v>
      </c>
      <c r="BT537" s="1452">
        <f t="shared" si="1044"/>
        <v>332487.39726027404</v>
      </c>
      <c r="BU537" s="1452">
        <f t="shared" si="1044"/>
        <v>347290.21001615515</v>
      </c>
      <c r="BV537" s="1452">
        <f t="shared" si="1044"/>
        <v>364333.03335919318</v>
      </c>
      <c r="BW537" s="1452">
        <f t="shared" si="1044"/>
        <v>380844.93092775729</v>
      </c>
      <c r="BX537" s="1452">
        <f t="shared" si="1044"/>
        <v>398450.9628136832</v>
      </c>
      <c r="BY537" s="1453">
        <f t="shared" si="1044"/>
        <v>416758.60510260885</v>
      </c>
      <c r="BZ537" s="1454"/>
      <c r="CA537" s="1444"/>
      <c r="CB537" s="1444"/>
      <c r="CC537" s="1444"/>
      <c r="CD537" s="1444"/>
      <c r="CE537" s="1444"/>
      <c r="CF537" s="1444"/>
      <c r="CG537" s="1444"/>
    </row>
    <row r="538" spans="1:85" s="528" customFormat="1" ht="11.25" hidden="1" customHeight="1" outlineLevel="2">
      <c r="I538" s="1716" t="s">
        <v>132</v>
      </c>
      <c r="J538" s="1717"/>
      <c r="K538" s="1717"/>
      <c r="L538" s="1717"/>
      <c r="M538" s="1718"/>
      <c r="N538" s="1718"/>
      <c r="O538" s="1718"/>
      <c r="P538" s="1718"/>
      <c r="Q538" s="1718"/>
      <c r="R538" s="1718"/>
      <c r="S538" s="1718"/>
      <c r="T538" s="1719"/>
      <c r="U538" s="1722"/>
      <c r="V538" s="1723"/>
      <c r="W538" s="1723"/>
      <c r="X538" s="1723"/>
      <c r="Y538" s="1724"/>
      <c r="Z538" s="1725">
        <f t="shared" ref="Z538:AO538" si="1045">Z537/V537-1</f>
        <v>0.18260410479772982</v>
      </c>
      <c r="AA538" s="1725">
        <f t="shared" si="1045"/>
        <v>0.18454294830096352</v>
      </c>
      <c r="AB538" s="1726">
        <f t="shared" si="1045"/>
        <v>0.15775508888896006</v>
      </c>
      <c r="AC538" s="1724">
        <f t="shared" si="1045"/>
        <v>0.12020292476655925</v>
      </c>
      <c r="AD538" s="1725">
        <f t="shared" si="1045"/>
        <v>7.2117530906593563E-2</v>
      </c>
      <c r="AE538" s="1725">
        <f t="shared" si="1045"/>
        <v>9.0080284774062935E-2</v>
      </c>
      <c r="AF538" s="1726">
        <f t="shared" si="1045"/>
        <v>0.11226753322382832</v>
      </c>
      <c r="AG538" s="1978">
        <f>AG537/AC537-1</f>
        <v>0.12785811666179736</v>
      </c>
      <c r="AH538" s="1725">
        <f t="shared" si="1045"/>
        <v>0.10628676002954118</v>
      </c>
      <c r="AI538" s="1725">
        <f t="shared" si="1045"/>
        <v>2.5764725337154015E-2</v>
      </c>
      <c r="AJ538" s="1725">
        <f t="shared" si="1045"/>
        <v>-2.5458746534109289E-2</v>
      </c>
      <c r="AK538" s="1724">
        <f t="shared" si="1045"/>
        <v>-1.9162016840823637E-2</v>
      </c>
      <c r="AL538" s="403">
        <f t="shared" si="1045"/>
        <v>3.4498883137485947E-3</v>
      </c>
      <c r="AM538" s="403">
        <f t="shared" si="1045"/>
        <v>0.10877805215865455</v>
      </c>
      <c r="AN538" s="1725">
        <f t="shared" si="1045"/>
        <v>0.18101821385863626</v>
      </c>
      <c r="AO538" s="1724">
        <f t="shared" si="1045"/>
        <v>0.15337831967331805</v>
      </c>
      <c r="AP538" s="1725">
        <f t="shared" ref="AP538:AV538" si="1046">AP537/AL537-1</f>
        <v>0.11808552557273555</v>
      </c>
      <c r="AQ538" s="1725">
        <f t="shared" si="1046"/>
        <v>9.5988408946843906E-2</v>
      </c>
      <c r="AR538" s="1726">
        <f t="shared" si="1046"/>
        <v>8.0242339484010827E-2</v>
      </c>
      <c r="AS538" s="1725">
        <f t="shared" si="1046"/>
        <v>3.7405026300409094E-2</v>
      </c>
      <c r="AT538" s="1725">
        <f t="shared" si="1046"/>
        <v>3.734389332141097E-2</v>
      </c>
      <c r="AU538" s="1725">
        <f t="shared" si="1046"/>
        <v>3.8240259633824492E-2</v>
      </c>
      <c r="AV538" s="1726">
        <f t="shared" si="1046"/>
        <v>3.7807429922706692E-2</v>
      </c>
      <c r="AW538" s="1725">
        <f t="shared" ref="AW538:BD538" si="1047">AW537/AS537-1</f>
        <v>4.7309498013723195E-2</v>
      </c>
      <c r="AX538" s="1725">
        <f t="shared" si="1047"/>
        <v>4.2865307399475361E-2</v>
      </c>
      <c r="AY538" s="1725">
        <f t="shared" si="1047"/>
        <v>3.9838797178950669E-2</v>
      </c>
      <c r="AZ538" s="1726">
        <f t="shared" si="1047"/>
        <v>3.9973480212158297E-2</v>
      </c>
      <c r="BA538" s="1725">
        <f t="shared" si="1047"/>
        <v>4.65638148667602E-2</v>
      </c>
      <c r="BB538" s="1725">
        <f t="shared" si="1047"/>
        <v>4.8919120130407556E-2</v>
      </c>
      <c r="BC538" s="1725">
        <f t="shared" si="1047"/>
        <v>5.2773521390660827E-2</v>
      </c>
      <c r="BD538" s="1726">
        <f t="shared" si="1047"/>
        <v>5.4342762173181791E-2</v>
      </c>
      <c r="BE538" s="2589"/>
      <c r="BF538" s="1721"/>
      <c r="BG538" s="1718"/>
      <c r="BH538" s="1718"/>
      <c r="BI538" s="1302"/>
      <c r="BJ538" s="1302"/>
      <c r="BK538" s="1302"/>
      <c r="BL538" s="1302"/>
      <c r="BM538" s="1725">
        <f t="shared" ref="BM538:BR538" si="1048">BM537/BL537-1</f>
        <v>0.45434220505829237</v>
      </c>
      <c r="BN538" s="1724">
        <f t="shared" si="1048"/>
        <v>0.16699375644127645</v>
      </c>
      <c r="BO538" s="1725">
        <f t="shared" si="1048"/>
        <v>-7.4087769271665715E-3</v>
      </c>
      <c r="BP538" s="1725">
        <f>BP537/BO537-1</f>
        <v>0.12393340618778237</v>
      </c>
      <c r="BQ538" s="1725">
        <f t="shared" si="1048"/>
        <v>8.365104057572581E-2</v>
      </c>
      <c r="BR538" s="1725">
        <f t="shared" si="1048"/>
        <v>4.1798101283319733E-2</v>
      </c>
      <c r="BS538" s="1725">
        <f t="shared" ref="BS538:BY538" si="1049">BS537/BR537-1</f>
        <v>4.4732904717408761E-2</v>
      </c>
      <c r="BT538" s="1725">
        <f t="shared" si="1049"/>
        <v>4.9184408934177082E-2</v>
      </c>
      <c r="BU538" s="1725">
        <f t="shared" si="1049"/>
        <v>4.452142510620738E-2</v>
      </c>
      <c r="BV538" s="1725">
        <f t="shared" si="1049"/>
        <v>4.9073722355275295E-2</v>
      </c>
      <c r="BW538" s="1725">
        <f t="shared" si="1049"/>
        <v>4.5320890659632074E-2</v>
      </c>
      <c r="BX538" s="1725">
        <f t="shared" si="1049"/>
        <v>4.6228872846060254E-2</v>
      </c>
      <c r="BY538" s="1726">
        <f t="shared" si="1049"/>
        <v>4.5947039905852582E-2</v>
      </c>
      <c r="BZ538" s="1718"/>
    </row>
    <row r="539" spans="1:85" s="528" customFormat="1" ht="11.25" hidden="1" customHeight="1" outlineLevel="2">
      <c r="I539" s="1716" t="s">
        <v>498</v>
      </c>
      <c r="J539" s="1717"/>
      <c r="K539" s="1717"/>
      <c r="L539" s="1717"/>
      <c r="M539" s="1718"/>
      <c r="N539" s="1718"/>
      <c r="O539" s="1718"/>
      <c r="P539" s="1718"/>
      <c r="Q539" s="1718"/>
      <c r="R539" s="1718"/>
      <c r="S539" s="1718"/>
      <c r="T539" s="1719"/>
      <c r="U539" s="1722"/>
      <c r="V539" s="1723"/>
      <c r="W539" s="1723"/>
      <c r="X539" s="1723"/>
      <c r="Y539" s="1724"/>
      <c r="Z539" s="1725"/>
      <c r="AA539" s="1725"/>
      <c r="AB539" s="1725"/>
      <c r="AC539" s="1724">
        <f t="shared" ref="AC539:AO539" si="1050">+AC538+Y538</f>
        <v>0.12020292476655925</v>
      </c>
      <c r="AD539" s="1725">
        <f t="shared" si="1050"/>
        <v>0.25472163570432338</v>
      </c>
      <c r="AE539" s="1725">
        <f t="shared" si="1050"/>
        <v>0.27462323307502645</v>
      </c>
      <c r="AF539" s="1725">
        <f t="shared" si="1050"/>
        <v>0.27002262211278838</v>
      </c>
      <c r="AG539" s="1724">
        <f t="shared" si="1050"/>
        <v>0.24806104142835661</v>
      </c>
      <c r="AH539" s="1725">
        <f t="shared" si="1050"/>
        <v>0.17840429093613475</v>
      </c>
      <c r="AI539" s="1725">
        <f t="shared" si="1050"/>
        <v>0.11584501011121695</v>
      </c>
      <c r="AJ539" s="1725">
        <f t="shared" si="1050"/>
        <v>8.6808786689719031E-2</v>
      </c>
      <c r="AK539" s="1724">
        <f t="shared" si="1050"/>
        <v>0.10869609982097372</v>
      </c>
      <c r="AL539" s="1725">
        <f t="shared" si="1050"/>
        <v>0.10973664834328978</v>
      </c>
      <c r="AM539" s="1725">
        <f t="shared" si="1050"/>
        <v>0.13454277749580856</v>
      </c>
      <c r="AN539" s="1725">
        <f t="shared" si="1050"/>
        <v>0.15555946732452697</v>
      </c>
      <c r="AO539" s="1724">
        <f t="shared" si="1050"/>
        <v>0.13421630283249442</v>
      </c>
      <c r="AP539" s="1725">
        <f t="shared" ref="AP539:AV539" si="1051">+AP538+AL538</f>
        <v>0.12153541388648414</v>
      </c>
      <c r="AQ539" s="1725">
        <f t="shared" si="1051"/>
        <v>0.20476646110549845</v>
      </c>
      <c r="AR539" s="1726">
        <f t="shared" si="1051"/>
        <v>0.26126055334264708</v>
      </c>
      <c r="AS539" s="1725">
        <f t="shared" si="1051"/>
        <v>0.19078334597372715</v>
      </c>
      <c r="AT539" s="1725">
        <f t="shared" si="1051"/>
        <v>0.15542941889414652</v>
      </c>
      <c r="AU539" s="1725">
        <f t="shared" si="1051"/>
        <v>0.1342286685806684</v>
      </c>
      <c r="AV539" s="1726">
        <f t="shared" si="1051"/>
        <v>0.11804976940671752</v>
      </c>
      <c r="AW539" s="1725">
        <f t="shared" ref="AW539:BD539" si="1052">+AW538+AS538</f>
        <v>8.4714524314132289E-2</v>
      </c>
      <c r="AX539" s="1725">
        <f t="shared" si="1052"/>
        <v>8.0209200720886331E-2</v>
      </c>
      <c r="AY539" s="1725">
        <f t="shared" si="1052"/>
        <v>7.8079056812775161E-2</v>
      </c>
      <c r="AZ539" s="1726">
        <f t="shared" si="1052"/>
        <v>7.7780910134864989E-2</v>
      </c>
      <c r="BA539" s="1725">
        <f t="shared" si="1052"/>
        <v>9.3873312880483395E-2</v>
      </c>
      <c r="BB539" s="1725">
        <f t="shared" si="1052"/>
        <v>9.1784427529882917E-2</v>
      </c>
      <c r="BC539" s="1725">
        <f t="shared" si="1052"/>
        <v>9.2612318569611496E-2</v>
      </c>
      <c r="BD539" s="1725">
        <f t="shared" si="1052"/>
        <v>9.4316242385340088E-2</v>
      </c>
      <c r="BE539" s="1720"/>
      <c r="BF539" s="1721"/>
      <c r="BG539" s="1718"/>
      <c r="BH539" s="1718"/>
      <c r="BI539" s="1302"/>
      <c r="BJ539" s="1302"/>
      <c r="BK539" s="1302"/>
      <c r="BL539" s="1302"/>
      <c r="BM539" s="1725"/>
      <c r="BN539" s="1725">
        <f t="shared" ref="BN539:BY539" si="1053">+BN538+BM538</f>
        <v>0.62133596149956882</v>
      </c>
      <c r="BO539" s="1725">
        <f t="shared" si="1053"/>
        <v>0.15958497951410988</v>
      </c>
      <c r="BP539" s="1725">
        <f t="shared" si="1053"/>
        <v>0.1165246292606158</v>
      </c>
      <c r="BQ539" s="1725">
        <f t="shared" si="1053"/>
        <v>0.20758444676350818</v>
      </c>
      <c r="BR539" s="1725">
        <f t="shared" si="1053"/>
        <v>0.12544914185904554</v>
      </c>
      <c r="BS539" s="1725">
        <f t="shared" si="1053"/>
        <v>8.6531006000728494E-2</v>
      </c>
      <c r="BT539" s="1725">
        <f t="shared" si="1053"/>
        <v>9.3917313651585843E-2</v>
      </c>
      <c r="BU539" s="1725">
        <f t="shared" si="1053"/>
        <v>9.3705834040384461E-2</v>
      </c>
      <c r="BV539" s="1725">
        <f t="shared" si="1053"/>
        <v>9.3595147461482675E-2</v>
      </c>
      <c r="BW539" s="1725">
        <f t="shared" si="1053"/>
        <v>9.4394613014907369E-2</v>
      </c>
      <c r="BX539" s="1725">
        <f t="shared" si="1053"/>
        <v>9.1549763505692328E-2</v>
      </c>
      <c r="BY539" s="1726">
        <f t="shared" si="1053"/>
        <v>9.2175912751912836E-2</v>
      </c>
      <c r="BZ539" s="1718"/>
    </row>
    <row r="540" spans="1:85" ht="11.25" hidden="1" customHeight="1" outlineLevel="2">
      <c r="A540" s="36"/>
      <c r="B540" s="36"/>
      <c r="C540" s="36"/>
      <c r="D540" s="36"/>
      <c r="E540" s="36"/>
      <c r="F540" s="36"/>
      <c r="G540" s="36"/>
      <c r="I540" s="1274" t="s">
        <v>146</v>
      </c>
      <c r="J540" s="5"/>
      <c r="K540" s="5"/>
      <c r="L540" s="5"/>
      <c r="M540" s="1263"/>
      <c r="N540" s="1263"/>
      <c r="O540" s="1263"/>
      <c r="P540" s="1263"/>
      <c r="Q540" s="1263"/>
      <c r="R540" s="1263"/>
      <c r="S540" s="1263"/>
      <c r="T540" s="1265"/>
      <c r="U540" s="1275"/>
      <c r="V540" s="1711"/>
      <c r="W540" s="1711">
        <f t="shared" ref="W540:AO540" si="1054">W537/V537-1</f>
        <v>-9.7819146118046651E-3</v>
      </c>
      <c r="X540" s="1711">
        <f t="shared" si="1054"/>
        <v>2.5832576185448097E-2</v>
      </c>
      <c r="Y540" s="1712">
        <f t="shared" si="1054"/>
        <v>6.1991408065685372E-2</v>
      </c>
      <c r="Z540" s="1711">
        <f t="shared" si="1054"/>
        <v>9.625361516474551E-2</v>
      </c>
      <c r="AA540" s="1711">
        <f t="shared" si="1054"/>
        <v>-8.1584821428568599E-3</v>
      </c>
      <c r="AB540" s="1711">
        <f t="shared" si="1054"/>
        <v>2.6338742130758153E-3</v>
      </c>
      <c r="AC540" s="1712">
        <f t="shared" si="1054"/>
        <v>2.7545370181686124E-2</v>
      </c>
      <c r="AD540" s="1711">
        <f t="shared" si="1054"/>
        <v>4.919626002831512E-2</v>
      </c>
      <c r="AE540" s="1711">
        <f t="shared" si="1054"/>
        <v>8.4592902069147158E-3</v>
      </c>
      <c r="AF540" s="1711">
        <f t="shared" si="1054"/>
        <v>2.3041258129689934E-2</v>
      </c>
      <c r="AG540" s="1712">
        <f t="shared" si="1054"/>
        <v>4.1948408436055962E-2</v>
      </c>
      <c r="AH540" s="1711">
        <f t="shared" si="1054"/>
        <v>2.9129386041286232E-2</v>
      </c>
      <c r="AI540" s="1711">
        <f t="shared" si="1054"/>
        <v>-6.4942287833965717E-2</v>
      </c>
      <c r="AJ540" s="1711">
        <f t="shared" si="1054"/>
        <v>-2.804621233457627E-2</v>
      </c>
      <c r="AK540" s="1712">
        <f t="shared" si="1054"/>
        <v>4.8680670881527499E-2</v>
      </c>
      <c r="AL540" s="1711">
        <f t="shared" si="1054"/>
        <v>5.2854584767783708E-2</v>
      </c>
      <c r="AM540" s="1711">
        <f t="shared" si="1054"/>
        <v>3.320701992765196E-2</v>
      </c>
      <c r="AN540" s="1711">
        <f t="shared" si="1054"/>
        <v>3.5279444814896976E-2</v>
      </c>
      <c r="AO540" s="1712">
        <f t="shared" si="1054"/>
        <v>2.4137931034482696E-2</v>
      </c>
      <c r="AP540" s="1711">
        <f t="shared" ref="AP540:AV540" si="1055">AP537/AO537-1</f>
        <v>2.063776618861346E-2</v>
      </c>
      <c r="AQ540" s="1711">
        <f t="shared" si="1055"/>
        <v>1.2787386996319539E-2</v>
      </c>
      <c r="AR540" s="2355">
        <f t="shared" si="1055"/>
        <v>2.0405581260844352E-2</v>
      </c>
      <c r="AS540" s="1711">
        <f t="shared" si="1055"/>
        <v>-1.6474546084203068E-2</v>
      </c>
      <c r="AT540" s="1711">
        <f t="shared" si="1055"/>
        <v>2.057762128325491E-2</v>
      </c>
      <c r="AU540" s="1711">
        <f t="shared" si="1055"/>
        <v>1.3662534091883227E-2</v>
      </c>
      <c r="AV540" s="2355">
        <f t="shared" si="1055"/>
        <v>1.9980186609787287E-2</v>
      </c>
      <c r="AW540" s="1711">
        <f t="shared" ref="AW540:BD540" si="1056">AW537/AV537-1</f>
        <v>-7.4694787057087986E-3</v>
      </c>
      <c r="AX540" s="1711">
        <f t="shared" si="1056"/>
        <v>1.6246865671641908E-2</v>
      </c>
      <c r="AY540" s="1711">
        <f t="shared" si="1056"/>
        <v>1.0720773542534756E-2</v>
      </c>
      <c r="AZ540" s="2355">
        <f t="shared" si="1056"/>
        <v>2.0112297496317932E-2</v>
      </c>
      <c r="BA540" s="1711">
        <f t="shared" si="1056"/>
        <v>-1.1797911178085263E-3</v>
      </c>
      <c r="BB540" s="1711">
        <f t="shared" si="1056"/>
        <v>1.8533942253002866E-2</v>
      </c>
      <c r="BC540" s="1711">
        <f t="shared" si="1056"/>
        <v>1.4434809590254227E-2</v>
      </c>
      <c r="BD540" s="1711">
        <f t="shared" si="1056"/>
        <v>2.1632854185346106E-2</v>
      </c>
      <c r="BE540" s="1222"/>
      <c r="BF540" s="1264"/>
      <c r="BG540" s="1263"/>
      <c r="BH540" s="1263"/>
      <c r="BI540" s="901"/>
      <c r="BJ540" s="901"/>
      <c r="BK540" s="901"/>
      <c r="BL540" s="901"/>
      <c r="BM540" s="403"/>
      <c r="BN540" s="403"/>
      <c r="BO540" s="403"/>
      <c r="BP540" s="403"/>
      <c r="BQ540" s="403"/>
      <c r="BR540" s="403"/>
      <c r="BS540" s="403"/>
      <c r="BT540" s="403"/>
      <c r="BU540" s="403"/>
      <c r="BV540" s="403"/>
      <c r="BW540" s="403"/>
      <c r="BX540" s="403"/>
      <c r="BY540" s="1261"/>
      <c r="BZ540" s="1268"/>
      <c r="CA540" s="36"/>
      <c r="CB540" s="36"/>
      <c r="CC540" s="36"/>
      <c r="CD540" s="36"/>
      <c r="CE540" s="36"/>
      <c r="CF540" s="36"/>
      <c r="CG540" s="36"/>
    </row>
    <row r="541" spans="1:85" ht="11.25" hidden="1" customHeight="1" outlineLevel="2">
      <c r="A541" s="36"/>
      <c r="B541" s="36"/>
      <c r="C541" s="36"/>
      <c r="D541" s="36"/>
      <c r="E541" s="36"/>
      <c r="F541" s="36"/>
      <c r="G541" s="36"/>
      <c r="I541" s="1274" t="s">
        <v>470</v>
      </c>
      <c r="J541" s="5"/>
      <c r="K541" s="5"/>
      <c r="L541" s="5"/>
      <c r="M541" s="1263"/>
      <c r="N541" s="1263"/>
      <c r="O541" s="1263"/>
      <c r="P541" s="1263"/>
      <c r="Q541" s="1263"/>
      <c r="R541" s="1263"/>
      <c r="S541" s="1263"/>
      <c r="T541" s="1265"/>
      <c r="U541" s="1263"/>
      <c r="V541" s="1263"/>
      <c r="W541" s="1263"/>
      <c r="X541" s="1263"/>
      <c r="Y541" s="1456">
        <f t="shared" ref="Y541:AO541" si="1057">+Y537-U537</f>
        <v>9273.2230392156926</v>
      </c>
      <c r="Z541" s="1457">
        <f t="shared" si="1057"/>
        <v>8384.8484848484804</v>
      </c>
      <c r="AA541" s="1457">
        <f t="shared" si="1057"/>
        <v>8390.9859154929654</v>
      </c>
      <c r="AB541" s="1457">
        <f t="shared" si="1057"/>
        <v>7358.2646101939899</v>
      </c>
      <c r="AC541" s="1456">
        <f t="shared" si="1057"/>
        <v>5954.2636629119806</v>
      </c>
      <c r="AD541" s="1457">
        <f t="shared" si="1057"/>
        <v>3916.2004662004765</v>
      </c>
      <c r="AE541" s="1457">
        <f t="shared" si="1057"/>
        <v>4851.724137931029</v>
      </c>
      <c r="AF541" s="1457">
        <f t="shared" si="1057"/>
        <v>6062.6556639159826</v>
      </c>
      <c r="AG541" s="1456">
        <f t="shared" si="1057"/>
        <v>7094.7652819993091</v>
      </c>
      <c r="AH541" s="1457">
        <f t="shared" si="1057"/>
        <v>6187.933409873709</v>
      </c>
      <c r="AI541" s="1457">
        <f t="shared" si="1057"/>
        <v>1512.691446484554</v>
      </c>
      <c r="AJ541" s="1457">
        <f t="shared" si="1057"/>
        <v>-1529.1672918229524</v>
      </c>
      <c r="AK541" s="1456">
        <f t="shared" si="1057"/>
        <v>-1199.2380952380845</v>
      </c>
      <c r="AL541" s="1457">
        <f t="shared" si="1057"/>
        <v>222.19752302317647</v>
      </c>
      <c r="AM541" s="1457">
        <f t="shared" si="1057"/>
        <v>6551.0946196660516</v>
      </c>
      <c r="AN541" s="1457">
        <f t="shared" si="1057"/>
        <v>10595.964294103826</v>
      </c>
      <c r="AO541" s="1456">
        <f t="shared" si="1057"/>
        <v>9415.1111111111095</v>
      </c>
      <c r="AP541" s="1457">
        <f t="shared" ref="AP541:AV541" si="1058">+AP537-AL537</f>
        <v>7631.7921440261707</v>
      </c>
      <c r="AQ541" s="1457">
        <f t="shared" si="1058"/>
        <v>6409.6749811035406</v>
      </c>
      <c r="AR541" s="2357">
        <f t="shared" si="1058"/>
        <v>5547.2582972582895</v>
      </c>
      <c r="AS541" s="1457">
        <f t="shared" si="1058"/>
        <v>2648.275862068971</v>
      </c>
      <c r="AT541" s="1457">
        <f t="shared" si="1058"/>
        <v>2698.5128205128276</v>
      </c>
      <c r="AU541" s="1457">
        <f t="shared" si="1058"/>
        <v>2798.6204828310147</v>
      </c>
      <c r="AV541" s="2357">
        <f t="shared" si="1058"/>
        <v>2823.4048560135561</v>
      </c>
      <c r="AW541" s="1457">
        <f t="shared" ref="AW541:BD541" si="1059">+AW537-AS537</f>
        <v>3474.8010610079509</v>
      </c>
      <c r="AX541" s="1457">
        <f t="shared" si="1059"/>
        <v>3213.1691542288754</v>
      </c>
      <c r="AY541" s="1457">
        <f t="shared" si="1059"/>
        <v>3027.1034228929057</v>
      </c>
      <c r="AZ541" s="2357">
        <f t="shared" si="1059"/>
        <v>3098.0237154150236</v>
      </c>
      <c r="BA541" s="1457">
        <f t="shared" si="1059"/>
        <v>3581.8319128277071</v>
      </c>
      <c r="BB541" s="1457">
        <f t="shared" si="1059"/>
        <v>3824.1463464570115</v>
      </c>
      <c r="BC541" s="1457">
        <f t="shared" si="1059"/>
        <v>4169.6839010046533</v>
      </c>
      <c r="BD541" s="1457">
        <f t="shared" si="1059"/>
        <v>4380.0266311584564</v>
      </c>
      <c r="BE541" s="1222"/>
      <c r="BF541" s="1264"/>
      <c r="BG541" s="1263"/>
      <c r="BH541" s="1263"/>
      <c r="BI541" s="1263"/>
      <c r="BJ541" s="1263"/>
      <c r="BK541" s="1263"/>
      <c r="BL541" s="1263"/>
      <c r="BM541" s="1442">
        <f t="shared" ref="BM541:BY541" si="1060">+BM537-BL537</f>
        <v>64473.612345678994</v>
      </c>
      <c r="BN541" s="1650">
        <f t="shared" si="1060"/>
        <v>34464.006522245501</v>
      </c>
      <c r="BO541" s="1442">
        <f t="shared" si="1060"/>
        <v>-1784.3522012578323</v>
      </c>
      <c r="BP541" s="1442">
        <f t="shared" si="1060"/>
        <v>29627.354838709667</v>
      </c>
      <c r="BQ541" s="1442">
        <f t="shared" si="1060"/>
        <v>22475.865287076565</v>
      </c>
      <c r="BR541" s="1442">
        <f t="shared" si="1060"/>
        <v>12170.014033993415</v>
      </c>
      <c r="BS541" s="1442">
        <f t="shared" si="1060"/>
        <v>13568.917017419881</v>
      </c>
      <c r="BT541" s="1442">
        <f t="shared" si="1060"/>
        <v>15586.579416407854</v>
      </c>
      <c r="BU541" s="1442">
        <f t="shared" si="1060"/>
        <v>14802.81275588111</v>
      </c>
      <c r="BV541" s="1442">
        <f t="shared" si="1060"/>
        <v>17042.823343038035</v>
      </c>
      <c r="BW541" s="1442">
        <f t="shared" si="1060"/>
        <v>16511.897568564105</v>
      </c>
      <c r="BX541" s="1442">
        <f t="shared" si="1060"/>
        <v>17606.031885925913</v>
      </c>
      <c r="BY541" s="1443">
        <f t="shared" si="1060"/>
        <v>18307.64228892565</v>
      </c>
      <c r="BZ541" s="1268"/>
      <c r="CA541" s="36"/>
      <c r="CB541" s="36"/>
      <c r="CC541" s="36"/>
      <c r="CD541" s="36"/>
      <c r="CE541" s="36"/>
      <c r="CF541" s="36"/>
      <c r="CG541" s="36"/>
    </row>
    <row r="542" spans="1:85" ht="11.25" hidden="1" customHeight="1" outlineLevel="2">
      <c r="A542" s="36"/>
      <c r="B542" s="36"/>
      <c r="C542" s="36"/>
      <c r="D542" s="36"/>
      <c r="E542" s="36"/>
      <c r="F542" s="36"/>
      <c r="G542" s="36"/>
      <c r="I542" s="1274" t="s">
        <v>510</v>
      </c>
      <c r="J542" s="5"/>
      <c r="K542" s="5"/>
      <c r="L542" s="5"/>
      <c r="M542" s="1263"/>
      <c r="N542" s="1263"/>
      <c r="O542" s="1263"/>
      <c r="P542" s="1263"/>
      <c r="Q542" s="1263"/>
      <c r="R542" s="1263"/>
      <c r="S542" s="1263"/>
      <c r="T542" s="1265"/>
      <c r="U542" s="1263"/>
      <c r="V542" s="1263">
        <f t="shared" ref="V542:AO542" si="1061">V537-U537</f>
        <v>5656.3068181818235</v>
      </c>
      <c r="W542" s="1263">
        <f t="shared" si="1061"/>
        <v>-449.16773367477435</v>
      </c>
      <c r="X542" s="1263">
        <f t="shared" si="1061"/>
        <v>1174.5817704152432</v>
      </c>
      <c r="Y542" s="1456">
        <f t="shared" si="1061"/>
        <v>2891.5021842934002</v>
      </c>
      <c r="Z542" s="1457">
        <f t="shared" si="1061"/>
        <v>4767.9322638146114</v>
      </c>
      <c r="AA542" s="1457">
        <f t="shared" si="1061"/>
        <v>-443.03030303028936</v>
      </c>
      <c r="AB542" s="1457">
        <f t="shared" si="1061"/>
        <v>141.86046511626773</v>
      </c>
      <c r="AC542" s="1456">
        <f t="shared" si="1061"/>
        <v>1487.5012370113909</v>
      </c>
      <c r="AD542" s="1457">
        <f t="shared" si="1061"/>
        <v>2729.8690671031072</v>
      </c>
      <c r="AE542" s="1457">
        <f t="shared" si="1061"/>
        <v>492.49336870026309</v>
      </c>
      <c r="AF542" s="1457">
        <f t="shared" si="1061"/>
        <v>1352.7919911012214</v>
      </c>
      <c r="AG542" s="1456">
        <f t="shared" si="1061"/>
        <v>2519.6108550947174</v>
      </c>
      <c r="AH542" s="1457">
        <f t="shared" si="1061"/>
        <v>1823.0371949775072</v>
      </c>
      <c r="AI542" s="1457">
        <f t="shared" si="1061"/>
        <v>-4182.7485946888919</v>
      </c>
      <c r="AJ542" s="1457">
        <f t="shared" si="1061"/>
        <v>-1689.0667472062851</v>
      </c>
      <c r="AK542" s="1456">
        <f t="shared" si="1061"/>
        <v>2849.5400516795853</v>
      </c>
      <c r="AL542" s="1457">
        <f t="shared" si="1061"/>
        <v>3244.4728132387681</v>
      </c>
      <c r="AM542" s="1457">
        <f t="shared" si="1061"/>
        <v>2146.1485019539832</v>
      </c>
      <c r="AN542" s="1457">
        <f t="shared" si="1061"/>
        <v>2355.8029272314889</v>
      </c>
      <c r="AO542" s="1456">
        <f t="shared" si="1061"/>
        <v>1668.6868686868693</v>
      </c>
      <c r="AP542" s="1457">
        <f t="shared" ref="AP542:AV542" si="1062">AP537-AO537</f>
        <v>1461.1538461538294</v>
      </c>
      <c r="AQ542" s="1457">
        <f t="shared" si="1062"/>
        <v>924.03133903135313</v>
      </c>
      <c r="AR542" s="2357">
        <f t="shared" si="1062"/>
        <v>1493.3862433862378</v>
      </c>
      <c r="AS542" s="1457">
        <f t="shared" si="1062"/>
        <v>-1230.2955665024492</v>
      </c>
      <c r="AT542" s="1457">
        <f t="shared" si="1062"/>
        <v>1511.3908045976859</v>
      </c>
      <c r="AU542" s="1457">
        <f t="shared" si="1062"/>
        <v>1024.1390013495402</v>
      </c>
      <c r="AV542" s="2357">
        <f t="shared" si="1062"/>
        <v>1518.1706165687792</v>
      </c>
      <c r="AW542" s="1457">
        <f t="shared" ref="AW542:BD542" si="1063">AW537-AV537</f>
        <v>-578.89936150805443</v>
      </c>
      <c r="AX542" s="1457">
        <f t="shared" si="1063"/>
        <v>1249.7588978186104</v>
      </c>
      <c r="AY542" s="1457">
        <f t="shared" si="1063"/>
        <v>838.07327001357044</v>
      </c>
      <c r="AZ542" s="2357">
        <f t="shared" si="1063"/>
        <v>1589.0909090908972</v>
      </c>
      <c r="BA542" s="1457">
        <f t="shared" si="1063"/>
        <v>-95.091164095370914</v>
      </c>
      <c r="BB542" s="1457">
        <f t="shared" si="1063"/>
        <v>1492.0733314479148</v>
      </c>
      <c r="BC542" s="1457">
        <f t="shared" si="1063"/>
        <v>1183.6108245612122</v>
      </c>
      <c r="BD542" s="1457">
        <f t="shared" si="1063"/>
        <v>1799.4336392447003</v>
      </c>
      <c r="BE542" s="1222"/>
      <c r="BF542" s="1264"/>
      <c r="BG542" s="1263"/>
      <c r="BH542" s="1263"/>
      <c r="BI542" s="1263"/>
      <c r="BJ542" s="1263"/>
      <c r="BK542" s="1263"/>
      <c r="BL542" s="1263"/>
      <c r="BM542" s="1442"/>
      <c r="BN542" s="1650"/>
      <c r="BO542" s="1442"/>
      <c r="BP542" s="1442"/>
      <c r="BQ542" s="1442"/>
      <c r="BR542" s="1442"/>
      <c r="BS542" s="1442"/>
      <c r="BT542" s="1442"/>
      <c r="BU542" s="1442"/>
      <c r="BV542" s="1442"/>
      <c r="BW542" s="1442"/>
      <c r="BX542" s="1442"/>
      <c r="BY542" s="1443"/>
      <c r="BZ542" s="1268"/>
      <c r="CA542" s="36"/>
      <c r="CB542" s="36"/>
      <c r="CC542" s="36"/>
      <c r="CD542" s="36"/>
      <c r="CE542" s="36"/>
      <c r="CF542" s="36"/>
      <c r="CG542" s="36"/>
    </row>
    <row r="543" spans="1:85" ht="11.25" hidden="1" customHeight="1" outlineLevel="2">
      <c r="A543" s="36"/>
      <c r="B543" s="36"/>
      <c r="C543" s="36"/>
      <c r="D543" s="36"/>
      <c r="E543" s="36"/>
      <c r="F543" s="36"/>
      <c r="G543" s="36"/>
      <c r="I543" s="1274"/>
      <c r="J543" s="5"/>
      <c r="K543" s="5"/>
      <c r="L543" s="5"/>
      <c r="M543" s="1263"/>
      <c r="N543" s="1263"/>
      <c r="O543" s="1263"/>
      <c r="P543" s="1263"/>
      <c r="Q543" s="1263"/>
      <c r="R543" s="1263"/>
      <c r="S543" s="1263"/>
      <c r="T543" s="1265"/>
      <c r="U543" s="1263"/>
      <c r="V543" s="1263"/>
      <c r="W543" s="1263"/>
      <c r="X543" s="1263"/>
      <c r="Y543" s="1456"/>
      <c r="Z543" s="1457"/>
      <c r="AA543" s="1457"/>
      <c r="AB543" s="1457"/>
      <c r="AC543" s="1456"/>
      <c r="AD543" s="1457"/>
      <c r="AE543" s="1457"/>
      <c r="AF543" s="1457"/>
      <c r="AG543" s="1456"/>
      <c r="AH543" s="1457"/>
      <c r="AI543" s="1457"/>
      <c r="AJ543" s="1457"/>
      <c r="AK543" s="1456"/>
      <c r="AL543" s="1457"/>
      <c r="AM543" s="1457"/>
      <c r="AN543" s="1457"/>
      <c r="AO543" s="1456"/>
      <c r="AP543" s="1457"/>
      <c r="AQ543" s="1457"/>
      <c r="AR543" s="2357"/>
      <c r="AS543" s="1457"/>
      <c r="AT543" s="1457"/>
      <c r="AU543" s="1457"/>
      <c r="AV543" s="2357"/>
      <c r="AW543" s="1457"/>
      <c r="AX543" s="1457"/>
      <c r="AY543" s="1457"/>
      <c r="AZ543" s="2357"/>
      <c r="BA543" s="1457"/>
      <c r="BB543" s="1457"/>
      <c r="BC543" s="1457"/>
      <c r="BD543" s="1457"/>
      <c r="BE543" s="1222"/>
      <c r="BF543" s="1264"/>
      <c r="BG543" s="1263"/>
      <c r="BH543" s="1263"/>
      <c r="BI543" s="1263"/>
      <c r="BJ543" s="1263"/>
      <c r="BK543" s="1263"/>
      <c r="BL543" s="1263"/>
      <c r="BM543" s="1442"/>
      <c r="BN543" s="1650"/>
      <c r="BO543" s="1442"/>
      <c r="BP543" s="1442"/>
      <c r="BQ543" s="1442"/>
      <c r="BR543" s="1442"/>
      <c r="BS543" s="1442"/>
      <c r="BT543" s="1442"/>
      <c r="BU543" s="1442"/>
      <c r="BV543" s="1442"/>
      <c r="BW543" s="1442"/>
      <c r="BX543" s="1442"/>
      <c r="BY543" s="1443"/>
      <c r="BZ543" s="1268"/>
      <c r="CA543" s="36"/>
      <c r="CB543" s="36"/>
      <c r="CC543" s="36"/>
      <c r="CD543" s="36"/>
      <c r="CE543" s="36"/>
      <c r="CF543" s="36"/>
      <c r="CG543" s="36"/>
    </row>
    <row r="544" spans="1:85" ht="11.25" hidden="1" customHeight="1" outlineLevel="2">
      <c r="A544" s="36"/>
      <c r="B544" s="36"/>
      <c r="C544" s="36"/>
      <c r="D544" s="36"/>
      <c r="E544" s="36"/>
      <c r="F544" s="36"/>
      <c r="G544" s="36"/>
      <c r="I544" s="1274"/>
      <c r="J544" s="5"/>
      <c r="K544" s="5"/>
      <c r="L544" s="5"/>
      <c r="M544" s="1263"/>
      <c r="N544" s="1263"/>
      <c r="O544" s="1263"/>
      <c r="P544" s="1263"/>
      <c r="Q544" s="1263"/>
      <c r="R544" s="1263"/>
      <c r="S544" s="1263"/>
      <c r="T544" s="1263"/>
      <c r="U544" s="1263"/>
      <c r="V544" s="1263"/>
      <c r="W544" s="1263"/>
      <c r="X544" s="1263"/>
      <c r="Y544" s="1456"/>
      <c r="Z544" s="1457"/>
      <c r="AA544" s="1457"/>
      <c r="AB544" s="1457"/>
      <c r="AC544" s="1456"/>
      <c r="AD544" s="1457"/>
      <c r="AE544" s="1457"/>
      <c r="AF544" s="1457"/>
      <c r="AG544" s="1456"/>
      <c r="AH544" s="1457"/>
      <c r="AI544" s="1457"/>
      <c r="AJ544" s="2357"/>
      <c r="AK544" s="1457"/>
      <c r="AL544" s="1457"/>
      <c r="AM544" s="1457"/>
      <c r="AN544" s="1457"/>
      <c r="AO544" s="1456"/>
      <c r="AP544" s="1457"/>
      <c r="AQ544" s="1457"/>
      <c r="AR544" s="2357"/>
      <c r="AS544" s="1457"/>
      <c r="AT544" s="1457"/>
      <c r="AU544" s="1457"/>
      <c r="AV544" s="2357"/>
      <c r="AW544" s="1457"/>
      <c r="AX544" s="1457"/>
      <c r="AY544" s="1457"/>
      <c r="AZ544" s="2357"/>
      <c r="BA544" s="1457"/>
      <c r="BB544" s="1457"/>
      <c r="BC544" s="1457"/>
      <c r="BD544" s="1457"/>
      <c r="BE544" s="1222"/>
      <c r="BF544" s="1264"/>
      <c r="BG544" s="1263"/>
      <c r="BH544" s="1263"/>
      <c r="BI544" s="1263"/>
      <c r="BJ544" s="1263"/>
      <c r="BK544" s="1263"/>
      <c r="BL544" s="1263"/>
      <c r="BM544" s="1442"/>
      <c r="BN544" s="1650"/>
      <c r="BO544" s="1442"/>
      <c r="BP544" s="1442"/>
      <c r="BQ544" s="1442"/>
      <c r="BR544" s="1442"/>
      <c r="BS544" s="1442"/>
      <c r="BT544" s="1442"/>
      <c r="BU544" s="1442"/>
      <c r="BV544" s="1442"/>
      <c r="BW544" s="1442"/>
      <c r="BX544" s="1442"/>
      <c r="BY544" s="1443"/>
      <c r="BZ544" s="1268"/>
      <c r="CA544" s="36"/>
      <c r="CB544" s="36"/>
      <c r="CC544" s="36"/>
      <c r="CD544" s="36"/>
      <c r="CE544" s="36"/>
      <c r="CF544" s="36"/>
      <c r="CG544" s="36"/>
    </row>
    <row r="545" spans="1:85" ht="11.25" hidden="1" customHeight="1" outlineLevel="2">
      <c r="A545" s="36"/>
      <c r="B545" s="36"/>
      <c r="C545" s="36"/>
      <c r="D545" s="36"/>
      <c r="E545" s="36"/>
      <c r="F545" s="36"/>
      <c r="G545" s="36"/>
      <c r="I545" s="1446" t="s">
        <v>612</v>
      </c>
      <c r="J545" s="5"/>
      <c r="K545" s="5"/>
      <c r="L545" s="5"/>
      <c r="M545" s="1263"/>
      <c r="N545" s="1263"/>
      <c r="O545" s="1263"/>
      <c r="P545" s="1263"/>
      <c r="Q545" s="1263"/>
      <c r="R545" s="1263"/>
      <c r="S545" s="1263"/>
      <c r="T545" s="1263"/>
      <c r="U545" s="1263"/>
      <c r="V545" s="1263"/>
      <c r="W545" s="1263"/>
      <c r="X545" s="1263"/>
      <c r="Y545" s="2275">
        <f t="shared" ref="Y545:BD545" si="1064">+(Y490*1000000)/(W532)</f>
        <v>56633.314285714288</v>
      </c>
      <c r="Z545" s="2275">
        <f t="shared" si="1064"/>
        <v>58239.999999999993</v>
      </c>
      <c r="AA545" s="2275">
        <f t="shared" si="1064"/>
        <v>63958.75</v>
      </c>
      <c r="AB545" s="2275">
        <f t="shared" si="1064"/>
        <v>68296.470588235301</v>
      </c>
      <c r="AC545" s="2275">
        <f t="shared" si="1064"/>
        <v>62095.238095238092</v>
      </c>
      <c r="AD545" s="2275">
        <f t="shared" si="1064"/>
        <v>68804.545454545456</v>
      </c>
      <c r="AE545" s="2275">
        <f t="shared" si="1064"/>
        <v>68105.600000000006</v>
      </c>
      <c r="AF545" s="2369">
        <f t="shared" si="1064"/>
        <v>68962.962962962964</v>
      </c>
      <c r="AG545" s="2275">
        <f t="shared" si="1064"/>
        <v>63593.548387096773</v>
      </c>
      <c r="AH545" s="2275">
        <f t="shared" si="1064"/>
        <v>69601.290322580651</v>
      </c>
      <c r="AI545" s="2275">
        <f t="shared" si="1064"/>
        <v>72457.5</v>
      </c>
      <c r="AJ545" s="2369">
        <f t="shared" si="1064"/>
        <v>71914.857142857145</v>
      </c>
      <c r="AK545" s="2275">
        <f t="shared" si="1064"/>
        <v>65769.523809523816</v>
      </c>
      <c r="AL545" s="2275">
        <f t="shared" si="1064"/>
        <v>69035.909090909088</v>
      </c>
      <c r="AM545" s="2275">
        <f t="shared" si="1064"/>
        <v>71130.434782608689</v>
      </c>
      <c r="AN545" s="2275">
        <f t="shared" si="1064"/>
        <v>71291.666666666672</v>
      </c>
      <c r="AO545" s="2628">
        <f t="shared" si="1064"/>
        <v>70800</v>
      </c>
      <c r="AP545" s="2275">
        <f t="shared" si="1064"/>
        <v>76685.306122448979</v>
      </c>
      <c r="AQ545" s="2275">
        <f t="shared" si="1064"/>
        <v>77490.196078431371</v>
      </c>
      <c r="AR545" s="2369">
        <f t="shared" si="1064"/>
        <v>78905.660377358494</v>
      </c>
      <c r="AS545" s="2275">
        <f t="shared" si="1064"/>
        <v>77454.545454545456</v>
      </c>
      <c r="AT545" s="2275">
        <f t="shared" si="1064"/>
        <v>78904.912280701756</v>
      </c>
      <c r="AU545" s="2275">
        <f t="shared" si="1064"/>
        <v>79525.423728813563</v>
      </c>
      <c r="AV545" s="2369">
        <f t="shared" si="1064"/>
        <v>80360.655737704918</v>
      </c>
      <c r="AW545" s="2275">
        <f t="shared" si="1064"/>
        <v>80000</v>
      </c>
      <c r="AX545" s="2275">
        <f t="shared" si="1064"/>
        <v>81837.187500000015</v>
      </c>
      <c r="AY545" s="2275">
        <f t="shared" si="1064"/>
        <v>82303.030303030304</v>
      </c>
      <c r="AZ545" s="2369">
        <f t="shared" si="1064"/>
        <v>82970.588235294112</v>
      </c>
      <c r="BA545" s="2275">
        <f t="shared" si="1064"/>
        <v>82589.92805755396</v>
      </c>
      <c r="BB545" s="2275">
        <f t="shared" si="1064"/>
        <v>84788.368794326234</v>
      </c>
      <c r="BC545" s="2275">
        <f t="shared" si="1064"/>
        <v>85603.328710124828</v>
      </c>
      <c r="BD545" s="2275">
        <f t="shared" si="1064"/>
        <v>86594.301221166897</v>
      </c>
      <c r="BE545" s="1222"/>
      <c r="BF545" s="1264"/>
      <c r="BG545" s="1263"/>
      <c r="BH545" s="1263"/>
      <c r="BI545" s="1263"/>
      <c r="BJ545" s="1263"/>
      <c r="BK545" s="1263"/>
      <c r="BL545" s="1263"/>
      <c r="BM545" s="1442"/>
      <c r="BN545" s="1650"/>
      <c r="BO545" s="1442"/>
      <c r="BP545" s="1442"/>
      <c r="BQ545" s="1442"/>
      <c r="BR545" s="1442"/>
      <c r="BS545" s="1442"/>
      <c r="BT545" s="1442"/>
      <c r="BU545" s="1442"/>
      <c r="BV545" s="1442"/>
      <c r="BW545" s="1442"/>
      <c r="BX545" s="1442"/>
      <c r="BY545" s="1443"/>
      <c r="BZ545" s="1268"/>
      <c r="CA545" s="36"/>
      <c r="CB545" s="36"/>
      <c r="CC545" s="36"/>
      <c r="CD545" s="36"/>
      <c r="CE545" s="36"/>
      <c r="CF545" s="36"/>
      <c r="CG545" s="36"/>
    </row>
    <row r="546" spans="1:85" ht="11.25" hidden="1" customHeight="1" outlineLevel="2">
      <c r="A546" s="36"/>
      <c r="B546" s="36"/>
      <c r="C546" s="36"/>
      <c r="D546" s="36"/>
      <c r="E546" s="36"/>
      <c r="F546" s="36"/>
      <c r="G546" s="36"/>
      <c r="I546" s="1274" t="s">
        <v>543</v>
      </c>
      <c r="J546" s="5"/>
      <c r="K546" s="5"/>
      <c r="L546" s="5"/>
      <c r="M546" s="1263"/>
      <c r="N546" s="1263"/>
      <c r="O546" s="1263"/>
      <c r="P546" s="1263"/>
      <c r="Q546" s="1263"/>
      <c r="R546" s="1263"/>
      <c r="S546" s="1263"/>
      <c r="T546" s="1263"/>
      <c r="U546" s="1263"/>
      <c r="V546" s="1263"/>
      <c r="W546" s="1263"/>
      <c r="X546" s="1263"/>
      <c r="Y546" s="1456"/>
      <c r="Z546" s="1457"/>
      <c r="AA546" s="1457"/>
      <c r="AB546" s="1457"/>
      <c r="AC546" s="1724">
        <f t="shared" ref="AC546:AR546" si="1065">+AC545/Y545-1</f>
        <v>9.6443654735947071E-2</v>
      </c>
      <c r="AD546" s="1725">
        <f t="shared" si="1065"/>
        <v>0.18139672827172837</v>
      </c>
      <c r="AE546" s="1725">
        <f t="shared" si="1065"/>
        <v>6.4836320284558546E-2</v>
      </c>
      <c r="AF546" s="1726">
        <f t="shared" si="1065"/>
        <v>9.7588113849396141E-3</v>
      </c>
      <c r="AG546" s="1725">
        <f t="shared" si="1065"/>
        <v>2.4129230160300885E-2</v>
      </c>
      <c r="AH546" s="1725">
        <f t="shared" si="1065"/>
        <v>1.1579828960014638E-2</v>
      </c>
      <c r="AI546" s="1725">
        <f t="shared" si="1065"/>
        <v>6.3899297561433865E-2</v>
      </c>
      <c r="AJ546" s="1726">
        <f t="shared" si="1065"/>
        <v>4.2804050943685779E-2</v>
      </c>
      <c r="AK546" s="1725">
        <f t="shared" si="1065"/>
        <v>3.4216921018179081E-2</v>
      </c>
      <c r="AL546" s="1725">
        <f t="shared" si="1065"/>
        <v>-8.1231429625973073E-3</v>
      </c>
      <c r="AM546" s="1725">
        <f t="shared" si="1065"/>
        <v>-1.8315084254788117E-2</v>
      </c>
      <c r="AN546" s="1725">
        <f t="shared" si="1065"/>
        <v>-8.6656707799963595E-3</v>
      </c>
      <c r="AO546" s="1724">
        <f t="shared" si="1065"/>
        <v>7.6486431695096835E-2</v>
      </c>
      <c r="AP546" s="403">
        <f t="shared" si="1065"/>
        <v>0.11080316218428976</v>
      </c>
      <c r="AQ546" s="403">
        <f t="shared" si="1065"/>
        <v>8.9409847068411707E-2</v>
      </c>
      <c r="AR546" s="1726">
        <f t="shared" si="1065"/>
        <v>0.10680061312484135</v>
      </c>
      <c r="AS546" s="1725">
        <f t="shared" ref="AS546:BD546" si="1066">+AS545/AO545-1</f>
        <v>9.3990755007704152E-2</v>
      </c>
      <c r="AT546" s="1725">
        <f t="shared" si="1066"/>
        <v>2.8944347626500555E-2</v>
      </c>
      <c r="AU546" s="1725">
        <f t="shared" si="1066"/>
        <v>2.6264324435600228E-2</v>
      </c>
      <c r="AV546" s="1726">
        <f t="shared" si="1066"/>
        <v>1.8439682950349257E-2</v>
      </c>
      <c r="AW546" s="1725">
        <f t="shared" si="1066"/>
        <v>3.2863849765258246E-2</v>
      </c>
      <c r="AX546" s="1725">
        <f t="shared" si="1066"/>
        <v>3.7162137749634505E-2</v>
      </c>
      <c r="AY546" s="1725">
        <f t="shared" si="1066"/>
        <v>3.4927277894029718E-2</v>
      </c>
      <c r="AZ546" s="1726">
        <f t="shared" si="1066"/>
        <v>3.2477740178078474E-2</v>
      </c>
      <c r="BA546" s="1725">
        <f t="shared" si="1066"/>
        <v>3.2374100719424481E-2</v>
      </c>
      <c r="BB546" s="1725">
        <f t="shared" si="1066"/>
        <v>3.6061616784254902E-2</v>
      </c>
      <c r="BC546" s="1725">
        <f t="shared" si="1066"/>
        <v>4.0099354725375402E-2</v>
      </c>
      <c r="BD546" s="1725">
        <f t="shared" si="1066"/>
        <v>4.3674669095949969E-2</v>
      </c>
      <c r="BE546" s="1222"/>
      <c r="BF546" s="1264"/>
      <c r="BG546" s="1263"/>
      <c r="BH546" s="1263"/>
      <c r="BI546" s="1263"/>
      <c r="BJ546" s="1263"/>
      <c r="BK546" s="1263"/>
      <c r="BL546" s="1263"/>
      <c r="BM546" s="1442"/>
      <c r="BN546" s="1650"/>
      <c r="BO546" s="1442"/>
      <c r="BP546" s="1442"/>
      <c r="BQ546" s="1442"/>
      <c r="BR546" s="1442"/>
      <c r="BS546" s="1442"/>
      <c r="BT546" s="1442"/>
      <c r="BU546" s="1442"/>
      <c r="BV546" s="1442"/>
      <c r="BW546" s="1442"/>
      <c r="BX546" s="1442"/>
      <c r="BY546" s="1443"/>
      <c r="BZ546" s="1268"/>
      <c r="CA546" s="36"/>
      <c r="CB546" s="36"/>
      <c r="CC546" s="36"/>
      <c r="CD546" s="36"/>
      <c r="CE546" s="36"/>
      <c r="CF546" s="36"/>
      <c r="CG546" s="36"/>
    </row>
    <row r="547" spans="1:85" s="528" customFormat="1" ht="11.25" hidden="1" customHeight="1" outlineLevel="2">
      <c r="I547" s="1716" t="s">
        <v>498</v>
      </c>
      <c r="J547" s="1717"/>
      <c r="K547" s="1717"/>
      <c r="L547" s="1717"/>
      <c r="M547" s="1718"/>
      <c r="N547" s="1718"/>
      <c r="O547" s="1718"/>
      <c r="P547" s="1718"/>
      <c r="Q547" s="1718"/>
      <c r="R547" s="1718"/>
      <c r="S547" s="1718"/>
      <c r="T547" s="1719"/>
      <c r="U547" s="1722"/>
      <c r="V547" s="1723"/>
      <c r="W547" s="1723"/>
      <c r="X547" s="1723"/>
      <c r="Y547" s="1724"/>
      <c r="Z547" s="1725"/>
      <c r="AA547" s="1725"/>
      <c r="AB547" s="1725"/>
      <c r="AC547" s="1724">
        <f t="shared" ref="AC547:BD547" si="1067">+AC546+Y546</f>
        <v>9.6443654735947071E-2</v>
      </c>
      <c r="AD547" s="1725">
        <f t="shared" si="1067"/>
        <v>0.18139672827172837</v>
      </c>
      <c r="AE547" s="1725">
        <f t="shared" si="1067"/>
        <v>6.4836320284558546E-2</v>
      </c>
      <c r="AF547" s="1725">
        <f t="shared" si="1067"/>
        <v>9.7588113849396141E-3</v>
      </c>
      <c r="AG547" s="1724">
        <f t="shared" si="1067"/>
        <v>0.12057288489624796</v>
      </c>
      <c r="AH547" s="1725">
        <f t="shared" si="1067"/>
        <v>0.19297655723174301</v>
      </c>
      <c r="AI547" s="1725">
        <f t="shared" si="1067"/>
        <v>0.12873561784599241</v>
      </c>
      <c r="AJ547" s="1725">
        <f t="shared" si="1067"/>
        <v>5.2562862328625393E-2</v>
      </c>
      <c r="AK547" s="1724">
        <f t="shared" si="1067"/>
        <v>5.8346151178479966E-2</v>
      </c>
      <c r="AL547" s="1725">
        <f t="shared" si="1067"/>
        <v>3.4566859974173303E-3</v>
      </c>
      <c r="AM547" s="1725">
        <f t="shared" si="1067"/>
        <v>4.5584213306645749E-2</v>
      </c>
      <c r="AN547" s="1725">
        <f t="shared" si="1067"/>
        <v>3.4138380163689419E-2</v>
      </c>
      <c r="AO547" s="1724">
        <f t="shared" si="1067"/>
        <v>0.11070335271327592</v>
      </c>
      <c r="AP547" s="1725">
        <f t="shared" si="1067"/>
        <v>0.10268001922169245</v>
      </c>
      <c r="AQ547" s="1725">
        <f t="shared" si="1067"/>
        <v>7.1094762813623591E-2</v>
      </c>
      <c r="AR547" s="1726">
        <f t="shared" si="1067"/>
        <v>9.8134942344844989E-2</v>
      </c>
      <c r="AS547" s="1725">
        <f t="shared" si="1067"/>
        <v>0.17047718670280099</v>
      </c>
      <c r="AT547" s="1725">
        <f t="shared" si="1067"/>
        <v>0.13974750981079032</v>
      </c>
      <c r="AU547" s="1725">
        <f t="shared" si="1067"/>
        <v>0.11567417150401194</v>
      </c>
      <c r="AV547" s="1726">
        <f t="shared" si="1067"/>
        <v>0.1252402960751906</v>
      </c>
      <c r="AW547" s="1725">
        <f t="shared" si="1067"/>
        <v>0.1268546047729624</v>
      </c>
      <c r="AX547" s="1725">
        <f t="shared" si="1067"/>
        <v>6.610648537613506E-2</v>
      </c>
      <c r="AY547" s="1725">
        <f t="shared" si="1067"/>
        <v>6.1191602329629946E-2</v>
      </c>
      <c r="AZ547" s="1726">
        <f t="shared" si="1067"/>
        <v>5.091742312842773E-2</v>
      </c>
      <c r="BA547" s="1725">
        <f t="shared" si="1067"/>
        <v>6.5237950484682727E-2</v>
      </c>
      <c r="BB547" s="1725">
        <f t="shared" si="1067"/>
        <v>7.3223754533889407E-2</v>
      </c>
      <c r="BC547" s="1725">
        <f t="shared" si="1067"/>
        <v>7.502663261940512E-2</v>
      </c>
      <c r="BD547" s="1725">
        <f t="shared" si="1067"/>
        <v>7.6152409274028443E-2</v>
      </c>
      <c r="BE547" s="1720"/>
      <c r="BF547" s="1721"/>
      <c r="BG547" s="1718"/>
      <c r="BH547" s="1718"/>
      <c r="BI547" s="1302"/>
      <c r="BJ547" s="1302"/>
      <c r="BK547" s="1302"/>
      <c r="BL547" s="1302"/>
      <c r="BM547" s="1725"/>
      <c r="BN547" s="1725">
        <f t="shared" ref="BN547:BY547" si="1068">+BN546+BM546</f>
        <v>0</v>
      </c>
      <c r="BO547" s="1725">
        <f t="shared" si="1068"/>
        <v>0</v>
      </c>
      <c r="BP547" s="1725">
        <f t="shared" si="1068"/>
        <v>0</v>
      </c>
      <c r="BQ547" s="1725">
        <f t="shared" si="1068"/>
        <v>0</v>
      </c>
      <c r="BR547" s="1725">
        <f t="shared" si="1068"/>
        <v>0</v>
      </c>
      <c r="BS547" s="1725">
        <f t="shared" si="1068"/>
        <v>0</v>
      </c>
      <c r="BT547" s="1725">
        <f t="shared" si="1068"/>
        <v>0</v>
      </c>
      <c r="BU547" s="1725">
        <f t="shared" si="1068"/>
        <v>0</v>
      </c>
      <c r="BV547" s="1725">
        <f t="shared" si="1068"/>
        <v>0</v>
      </c>
      <c r="BW547" s="1725">
        <f t="shared" si="1068"/>
        <v>0</v>
      </c>
      <c r="BX547" s="1725">
        <f t="shared" si="1068"/>
        <v>0</v>
      </c>
      <c r="BY547" s="1726">
        <f t="shared" si="1068"/>
        <v>0</v>
      </c>
      <c r="BZ547" s="1718"/>
    </row>
    <row r="548" spans="1:85" ht="11.25" hidden="1" customHeight="1" outlineLevel="2">
      <c r="A548" s="36"/>
      <c r="B548" s="36"/>
      <c r="C548" s="36"/>
      <c r="D548" s="36"/>
      <c r="E548" s="36"/>
      <c r="F548" s="36"/>
      <c r="G548" s="36"/>
      <c r="I548" s="1274" t="s">
        <v>146</v>
      </c>
      <c r="J548" s="5"/>
      <c r="K548" s="5"/>
      <c r="L548" s="5"/>
      <c r="M548" s="1263"/>
      <c r="N548" s="1263"/>
      <c r="O548" s="1263"/>
      <c r="P548" s="1263"/>
      <c r="Q548" s="1263"/>
      <c r="R548" s="1263"/>
      <c r="S548" s="1263"/>
      <c r="T548" s="1265"/>
      <c r="U548" s="1275"/>
      <c r="V548" s="1711"/>
      <c r="W548" s="1711" t="e">
        <f t="shared" ref="W548:BD548" si="1069">W545/V545-1</f>
        <v>#DIV/0!</v>
      </c>
      <c r="X548" s="1711" t="e">
        <f t="shared" si="1069"/>
        <v>#DIV/0!</v>
      </c>
      <c r="Y548" s="1712" t="e">
        <f t="shared" si="1069"/>
        <v>#DIV/0!</v>
      </c>
      <c r="Z548" s="1711">
        <f t="shared" si="1069"/>
        <v>2.8369975067678244E-2</v>
      </c>
      <c r="AA548" s="1711">
        <f t="shared" si="1069"/>
        <v>9.8192822802197988E-2</v>
      </c>
      <c r="AB548" s="1711">
        <f t="shared" si="1069"/>
        <v>6.7820596685133738E-2</v>
      </c>
      <c r="AC548" s="1712">
        <f t="shared" si="1069"/>
        <v>-9.0798725608895903E-2</v>
      </c>
      <c r="AD548" s="1711">
        <f t="shared" si="1069"/>
        <v>0.10804866146123815</v>
      </c>
      <c r="AE548" s="1711">
        <f t="shared" si="1069"/>
        <v>-1.0158419766135851E-2</v>
      </c>
      <c r="AF548" s="1711">
        <f t="shared" si="1069"/>
        <v>1.2588729310995861E-2</v>
      </c>
      <c r="AG548" s="1712">
        <f t="shared" si="1069"/>
        <v>-7.7859395031357193E-2</v>
      </c>
      <c r="AH548" s="1711">
        <f t="shared" si="1069"/>
        <v>9.4470934361367664E-2</v>
      </c>
      <c r="AI548" s="1711">
        <f t="shared" si="1069"/>
        <v>4.1036734580374823E-2</v>
      </c>
      <c r="AJ548" s="1711">
        <f t="shared" si="1069"/>
        <v>-7.4891192373854887E-3</v>
      </c>
      <c r="AK548" s="1712">
        <f t="shared" si="1069"/>
        <v>-8.5452903300993421E-2</v>
      </c>
      <c r="AL548" s="1711">
        <f t="shared" si="1069"/>
        <v>4.96641163290934E-2</v>
      </c>
      <c r="AM548" s="1711">
        <f t="shared" si="1069"/>
        <v>3.0339655395012599E-2</v>
      </c>
      <c r="AN548" s="1711">
        <f t="shared" si="1069"/>
        <v>2.2667074164630652E-3</v>
      </c>
      <c r="AO548" s="1712">
        <f t="shared" si="1069"/>
        <v>-6.8965517241379448E-3</v>
      </c>
      <c r="AP548" s="1711">
        <f t="shared" si="1069"/>
        <v>8.3125792689957345E-2</v>
      </c>
      <c r="AQ548" s="1711">
        <f t="shared" si="1069"/>
        <v>1.0496012817594602E-2</v>
      </c>
      <c r="AR548" s="2355">
        <f t="shared" si="1069"/>
        <v>1.8266366205790252E-2</v>
      </c>
      <c r="AS548" s="1711">
        <f t="shared" si="1069"/>
        <v>-1.8390504760662618E-2</v>
      </c>
      <c r="AT548" s="1711">
        <f t="shared" si="1069"/>
        <v>1.8725393295445203E-2</v>
      </c>
      <c r="AU548" s="1711">
        <f t="shared" si="1069"/>
        <v>7.8640407824592806E-3</v>
      </c>
      <c r="AV548" s="2355">
        <f t="shared" si="1069"/>
        <v>1.0502704289128362E-2</v>
      </c>
      <c r="AW548" s="1711">
        <f t="shared" si="1069"/>
        <v>-4.4879640962872669E-3</v>
      </c>
      <c r="AX548" s="1711">
        <f t="shared" si="1069"/>
        <v>2.2964843750000075E-2</v>
      </c>
      <c r="AY548" s="1711">
        <f t="shared" si="1069"/>
        <v>5.6923119826215451E-3</v>
      </c>
      <c r="AZ548" s="2355">
        <f t="shared" si="1069"/>
        <v>8.1109763493025788E-3</v>
      </c>
      <c r="BA548" s="1711">
        <f t="shared" si="1069"/>
        <v>-4.5878929610653207E-3</v>
      </c>
      <c r="BB548" s="1711">
        <f t="shared" si="1069"/>
        <v>2.6618751081127767E-2</v>
      </c>
      <c r="BC548" s="1711">
        <f t="shared" si="1069"/>
        <v>9.6116947098661143E-3</v>
      </c>
      <c r="BD548" s="1711">
        <f t="shared" si="1069"/>
        <v>1.1576331504558279E-2</v>
      </c>
      <c r="BE548" s="1222"/>
      <c r="BF548" s="1264"/>
      <c r="BG548" s="1263"/>
      <c r="BH548" s="1263"/>
      <c r="BI548" s="901"/>
      <c r="BJ548" s="901"/>
      <c r="BK548" s="901"/>
      <c r="BL548" s="901"/>
      <c r="BM548" s="403"/>
      <c r="BN548" s="403"/>
      <c r="BO548" s="403"/>
      <c r="BP548" s="403"/>
      <c r="BQ548" s="403"/>
      <c r="BR548" s="403"/>
      <c r="BS548" s="403"/>
      <c r="BT548" s="403"/>
      <c r="BU548" s="403"/>
      <c r="BV548" s="403"/>
      <c r="BW548" s="403"/>
      <c r="BX548" s="403"/>
      <c r="BY548" s="1261"/>
      <c r="BZ548" s="1268"/>
      <c r="CA548" s="36"/>
      <c r="CB548" s="36"/>
      <c r="CC548" s="36"/>
      <c r="CD548" s="36"/>
      <c r="CE548" s="36"/>
      <c r="CF548" s="36"/>
      <c r="CG548" s="36"/>
    </row>
    <row r="549" spans="1:85" ht="11.25" hidden="1" customHeight="1" outlineLevel="2">
      <c r="A549" s="36"/>
      <c r="B549" s="36"/>
      <c r="C549" s="36"/>
      <c r="D549" s="36"/>
      <c r="E549" s="36"/>
      <c r="F549" s="36"/>
      <c r="G549" s="36"/>
      <c r="I549" s="1274" t="s">
        <v>470</v>
      </c>
      <c r="J549" s="5"/>
      <c r="K549" s="5"/>
      <c r="L549" s="5"/>
      <c r="M549" s="1263"/>
      <c r="N549" s="1263"/>
      <c r="O549" s="1263"/>
      <c r="P549" s="1263"/>
      <c r="Q549" s="1263"/>
      <c r="R549" s="1263"/>
      <c r="S549" s="1263"/>
      <c r="T549" s="1265"/>
      <c r="U549" s="1263"/>
      <c r="V549" s="1263"/>
      <c r="W549" s="1263"/>
      <c r="X549" s="1263"/>
      <c r="Y549" s="1456">
        <f t="shared" ref="Y549:BD549" si="1070">+Y545-U545</f>
        <v>56633.314285714288</v>
      </c>
      <c r="Z549" s="1457">
        <f t="shared" si="1070"/>
        <v>58239.999999999993</v>
      </c>
      <c r="AA549" s="1457">
        <f t="shared" si="1070"/>
        <v>63958.75</v>
      </c>
      <c r="AB549" s="1457">
        <f t="shared" si="1070"/>
        <v>68296.470588235301</v>
      </c>
      <c r="AC549" s="1456">
        <f t="shared" si="1070"/>
        <v>5461.9238095238034</v>
      </c>
      <c r="AD549" s="1457">
        <f t="shared" si="1070"/>
        <v>10564.545454545463</v>
      </c>
      <c r="AE549" s="1457">
        <f t="shared" si="1070"/>
        <v>4146.8500000000058</v>
      </c>
      <c r="AF549" s="1457">
        <f t="shared" si="1070"/>
        <v>666.49237472766254</v>
      </c>
      <c r="AG549" s="1456">
        <f t="shared" si="1070"/>
        <v>1498.310291858681</v>
      </c>
      <c r="AH549" s="1457">
        <f t="shared" si="1070"/>
        <v>796.7448680351954</v>
      </c>
      <c r="AI549" s="1457">
        <f t="shared" si="1070"/>
        <v>4351.8999999999942</v>
      </c>
      <c r="AJ549" s="1457">
        <f t="shared" si="1070"/>
        <v>2951.8941798941814</v>
      </c>
      <c r="AK549" s="1456">
        <f t="shared" si="1070"/>
        <v>2175.9754224270437</v>
      </c>
      <c r="AL549" s="1457">
        <f t="shared" si="1070"/>
        <v>-565.381231671563</v>
      </c>
      <c r="AM549" s="1457">
        <f t="shared" si="1070"/>
        <v>-1327.0652173913113</v>
      </c>
      <c r="AN549" s="1457">
        <f t="shared" si="1070"/>
        <v>-623.19047619047342</v>
      </c>
      <c r="AO549" s="1456">
        <f t="shared" si="1070"/>
        <v>5030.4761904761835</v>
      </c>
      <c r="AP549" s="1457">
        <f t="shared" si="1070"/>
        <v>7649.397031539891</v>
      </c>
      <c r="AQ549" s="1457">
        <f t="shared" si="1070"/>
        <v>6359.7612958226819</v>
      </c>
      <c r="AR549" s="2357">
        <f t="shared" si="1070"/>
        <v>7613.9937106918223</v>
      </c>
      <c r="AS549" s="1457">
        <f t="shared" si="1070"/>
        <v>6654.5454545454559</v>
      </c>
      <c r="AT549" s="1457">
        <f t="shared" si="1070"/>
        <v>2219.6061582527764</v>
      </c>
      <c r="AU549" s="1457">
        <f t="shared" si="1070"/>
        <v>2035.2276503821922</v>
      </c>
      <c r="AV549" s="2357">
        <f t="shared" si="1070"/>
        <v>1454.9953603464237</v>
      </c>
      <c r="AW549" s="1457">
        <f t="shared" si="1070"/>
        <v>2545.4545454545441</v>
      </c>
      <c r="AX549" s="1457">
        <f t="shared" si="1070"/>
        <v>2932.2752192982589</v>
      </c>
      <c r="AY549" s="1457">
        <f t="shared" si="1070"/>
        <v>2777.6065742167411</v>
      </c>
      <c r="AZ549" s="2357">
        <f t="shared" si="1070"/>
        <v>2609.9324975891941</v>
      </c>
      <c r="BA549" s="1457">
        <f t="shared" si="1070"/>
        <v>2589.9280575539597</v>
      </c>
      <c r="BB549" s="1457">
        <f t="shared" si="1070"/>
        <v>2951.1812943262194</v>
      </c>
      <c r="BC549" s="1457">
        <f t="shared" si="1070"/>
        <v>3300.298407094524</v>
      </c>
      <c r="BD549" s="1457">
        <f t="shared" si="1070"/>
        <v>3623.7129858727858</v>
      </c>
      <c r="BE549" s="1222"/>
      <c r="BF549" s="1264"/>
      <c r="BG549" s="1263"/>
      <c r="BH549" s="1263"/>
      <c r="BI549" s="1263"/>
      <c r="BJ549" s="1263"/>
      <c r="BK549" s="1263"/>
      <c r="BL549" s="1263"/>
      <c r="BM549" s="1442">
        <f t="shared" ref="BM549:BY549" si="1071">+BM545-BL545</f>
        <v>0</v>
      </c>
      <c r="BN549" s="1650">
        <f t="shared" si="1071"/>
        <v>0</v>
      </c>
      <c r="BO549" s="1442">
        <f t="shared" si="1071"/>
        <v>0</v>
      </c>
      <c r="BP549" s="1442">
        <f t="shared" si="1071"/>
        <v>0</v>
      </c>
      <c r="BQ549" s="1442">
        <f t="shared" si="1071"/>
        <v>0</v>
      </c>
      <c r="BR549" s="1442">
        <f t="shared" si="1071"/>
        <v>0</v>
      </c>
      <c r="BS549" s="1442">
        <f t="shared" si="1071"/>
        <v>0</v>
      </c>
      <c r="BT549" s="1442">
        <f t="shared" si="1071"/>
        <v>0</v>
      </c>
      <c r="BU549" s="1442">
        <f t="shared" si="1071"/>
        <v>0</v>
      </c>
      <c r="BV549" s="1442">
        <f t="shared" si="1071"/>
        <v>0</v>
      </c>
      <c r="BW549" s="1442">
        <f t="shared" si="1071"/>
        <v>0</v>
      </c>
      <c r="BX549" s="1442">
        <f t="shared" si="1071"/>
        <v>0</v>
      </c>
      <c r="BY549" s="1443">
        <f t="shared" si="1071"/>
        <v>0</v>
      </c>
      <c r="BZ549" s="1268"/>
      <c r="CA549" s="36"/>
      <c r="CB549" s="36"/>
      <c r="CC549" s="36"/>
      <c r="CD549" s="36"/>
      <c r="CE549" s="36"/>
      <c r="CF549" s="36"/>
      <c r="CG549" s="36"/>
    </row>
    <row r="550" spans="1:85" ht="11.25" hidden="1" customHeight="1" outlineLevel="2">
      <c r="A550" s="36"/>
      <c r="B550" s="36"/>
      <c r="C550" s="36"/>
      <c r="D550" s="36"/>
      <c r="E550" s="36"/>
      <c r="F550" s="36"/>
      <c r="G550" s="36"/>
      <c r="I550" s="1274" t="s">
        <v>510</v>
      </c>
      <c r="J550" s="5"/>
      <c r="K550" s="5"/>
      <c r="L550" s="5"/>
      <c r="M550" s="1263"/>
      <c r="N550" s="1263"/>
      <c r="O550" s="1263"/>
      <c r="P550" s="1263"/>
      <c r="Q550" s="1263"/>
      <c r="R550" s="1263"/>
      <c r="S550" s="1263"/>
      <c r="T550" s="1265"/>
      <c r="U550" s="1263"/>
      <c r="V550" s="1263">
        <f t="shared" ref="V550:BD550" si="1072">V545-U545</f>
        <v>0</v>
      </c>
      <c r="W550" s="1263">
        <f t="shared" si="1072"/>
        <v>0</v>
      </c>
      <c r="X550" s="1263">
        <f t="shared" si="1072"/>
        <v>0</v>
      </c>
      <c r="Y550" s="1456">
        <f t="shared" si="1072"/>
        <v>56633.314285714288</v>
      </c>
      <c r="Z550" s="1457">
        <f t="shared" si="1072"/>
        <v>1606.6857142857043</v>
      </c>
      <c r="AA550" s="1457">
        <f t="shared" si="1072"/>
        <v>5718.7500000000073</v>
      </c>
      <c r="AB550" s="1457">
        <f t="shared" si="1072"/>
        <v>4337.720588235301</v>
      </c>
      <c r="AC550" s="1456">
        <f t="shared" si="1072"/>
        <v>-6201.2324929972092</v>
      </c>
      <c r="AD550" s="1457">
        <f t="shared" si="1072"/>
        <v>6709.3073593073641</v>
      </c>
      <c r="AE550" s="1457">
        <f t="shared" si="1072"/>
        <v>-698.94545454545005</v>
      </c>
      <c r="AF550" s="1457">
        <f t="shared" si="1072"/>
        <v>857.36296296295768</v>
      </c>
      <c r="AG550" s="1456">
        <f t="shared" si="1072"/>
        <v>-5369.4145758661907</v>
      </c>
      <c r="AH550" s="1457">
        <f t="shared" si="1072"/>
        <v>6007.7419354838785</v>
      </c>
      <c r="AI550" s="1457">
        <f t="shared" si="1072"/>
        <v>2856.2096774193487</v>
      </c>
      <c r="AJ550" s="1457">
        <f t="shared" si="1072"/>
        <v>-542.64285714285506</v>
      </c>
      <c r="AK550" s="1456">
        <f t="shared" si="1072"/>
        <v>-6145.3333333333285</v>
      </c>
      <c r="AL550" s="1457">
        <f t="shared" si="1072"/>
        <v>3266.3852813852718</v>
      </c>
      <c r="AM550" s="1457">
        <f t="shared" si="1072"/>
        <v>2094.5256916996004</v>
      </c>
      <c r="AN550" s="1457">
        <f t="shared" si="1072"/>
        <v>161.23188405798282</v>
      </c>
      <c r="AO550" s="1456">
        <f t="shared" si="1072"/>
        <v>-491.66666666667152</v>
      </c>
      <c r="AP550" s="1457">
        <f t="shared" si="1072"/>
        <v>5885.3061224489793</v>
      </c>
      <c r="AQ550" s="1457">
        <f t="shared" si="1072"/>
        <v>804.88995598239126</v>
      </c>
      <c r="AR550" s="2357">
        <f t="shared" si="1072"/>
        <v>1415.4642989271233</v>
      </c>
      <c r="AS550" s="1457">
        <f t="shared" si="1072"/>
        <v>-1451.114922813038</v>
      </c>
      <c r="AT550" s="1457">
        <f t="shared" si="1072"/>
        <v>1450.3668261562998</v>
      </c>
      <c r="AU550" s="1457">
        <f t="shared" si="1072"/>
        <v>620.51144811180711</v>
      </c>
      <c r="AV550" s="2357">
        <f t="shared" si="1072"/>
        <v>835.23200889135478</v>
      </c>
      <c r="AW550" s="1457">
        <f t="shared" si="1072"/>
        <v>-360.65573770491756</v>
      </c>
      <c r="AX550" s="1457">
        <f t="shared" si="1072"/>
        <v>1837.1875000000146</v>
      </c>
      <c r="AY550" s="1457">
        <f t="shared" si="1072"/>
        <v>465.84280303028936</v>
      </c>
      <c r="AZ550" s="2357">
        <f t="shared" si="1072"/>
        <v>667.55793226380774</v>
      </c>
      <c r="BA550" s="1457">
        <f t="shared" si="1072"/>
        <v>-380.66017774015199</v>
      </c>
      <c r="BB550" s="1457">
        <f t="shared" si="1072"/>
        <v>2198.4407367722742</v>
      </c>
      <c r="BC550" s="1457">
        <f t="shared" si="1072"/>
        <v>814.95991579859401</v>
      </c>
      <c r="BD550" s="1457">
        <f t="shared" si="1072"/>
        <v>990.97251104206953</v>
      </c>
      <c r="BE550" s="1222"/>
      <c r="BF550" s="1264"/>
      <c r="BG550" s="1263"/>
      <c r="BH550" s="1263"/>
      <c r="BI550" s="1263"/>
      <c r="BJ550" s="1263"/>
      <c r="BK550" s="1263"/>
      <c r="BL550" s="1263"/>
      <c r="BM550" s="1442"/>
      <c r="BN550" s="1650"/>
      <c r="BO550" s="1442"/>
      <c r="BP550" s="1442"/>
      <c r="BQ550" s="1442"/>
      <c r="BR550" s="1442"/>
      <c r="BS550" s="1442"/>
      <c r="BT550" s="1442"/>
      <c r="BU550" s="1442"/>
      <c r="BV550" s="1442"/>
      <c r="BW550" s="1442"/>
      <c r="BX550" s="1442"/>
      <c r="BY550" s="1443"/>
      <c r="BZ550" s="1268"/>
      <c r="CA550" s="36"/>
      <c r="CB550" s="36"/>
      <c r="CC550" s="36"/>
      <c r="CD550" s="36"/>
      <c r="CE550" s="36"/>
      <c r="CF550" s="36"/>
      <c r="CG550" s="36"/>
    </row>
    <row r="551" spans="1:85" ht="11.25" hidden="1" customHeight="1" outlineLevel="2">
      <c r="A551" s="36"/>
      <c r="B551" s="36"/>
      <c r="C551" s="36"/>
      <c r="D551" s="36"/>
      <c r="E551" s="36"/>
      <c r="F551" s="36"/>
      <c r="G551" s="36"/>
      <c r="I551" s="1274"/>
      <c r="J551" s="5"/>
      <c r="K551" s="5"/>
      <c r="L551" s="5"/>
      <c r="M551" s="1263"/>
      <c r="N551" s="1263"/>
      <c r="O551" s="1263"/>
      <c r="P551" s="1263"/>
      <c r="Q551" s="1263"/>
      <c r="R551" s="1263"/>
      <c r="S551" s="1263"/>
      <c r="T551" s="1263"/>
      <c r="U551" s="1263"/>
      <c r="V551" s="1263"/>
      <c r="W551" s="1263"/>
      <c r="X551" s="1263"/>
      <c r="Y551" s="1456"/>
      <c r="Z551" s="1457"/>
      <c r="AA551" s="1457"/>
      <c r="AB551" s="1457"/>
      <c r="AC551" s="1456"/>
      <c r="AD551" s="1457"/>
      <c r="AE551" s="1457"/>
      <c r="AF551" s="2357"/>
      <c r="AG551" s="1457"/>
      <c r="AH551" s="1457"/>
      <c r="AI551" s="1457"/>
      <c r="AJ551" s="2357"/>
      <c r="AK551" s="1457"/>
      <c r="AL551" s="1457"/>
      <c r="AM551" s="1457"/>
      <c r="AN551" s="1457"/>
      <c r="AO551" s="1456"/>
      <c r="AP551" s="1457"/>
      <c r="AQ551" s="1457"/>
      <c r="AR551" s="2357"/>
      <c r="AS551" s="1457"/>
      <c r="AT551" s="1457"/>
      <c r="AU551" s="1457"/>
      <c r="AV551" s="2357"/>
      <c r="AW551" s="1457"/>
      <c r="AX551" s="1457"/>
      <c r="AY551" s="1457"/>
      <c r="AZ551" s="2357"/>
      <c r="BA551" s="1457"/>
      <c r="BB551" s="1457"/>
      <c r="BC551" s="1457"/>
      <c r="BD551" s="1457"/>
      <c r="BE551" s="1222"/>
      <c r="BF551" s="1264"/>
      <c r="BG551" s="1263"/>
      <c r="BH551" s="1263"/>
      <c r="BI551" s="1263"/>
      <c r="BJ551" s="1263"/>
      <c r="BK551" s="1263"/>
      <c r="BL551" s="1263"/>
      <c r="BM551" s="1442"/>
      <c r="BN551" s="1650"/>
      <c r="BO551" s="1442"/>
      <c r="BP551" s="1442"/>
      <c r="BQ551" s="1442"/>
      <c r="BR551" s="1442"/>
      <c r="BS551" s="1442"/>
      <c r="BT551" s="1442"/>
      <c r="BU551" s="1442"/>
      <c r="BV551" s="1442"/>
      <c r="BW551" s="1442"/>
      <c r="BX551" s="1442"/>
      <c r="BY551" s="1443"/>
      <c r="BZ551" s="1268"/>
      <c r="CA551" s="36"/>
      <c r="CB551" s="36"/>
      <c r="CC551" s="36"/>
      <c r="CD551" s="36"/>
      <c r="CE551" s="36"/>
      <c r="CF551" s="36"/>
      <c r="CG551" s="36"/>
    </row>
    <row r="552" spans="1:85" ht="11.25" hidden="1" customHeight="1" outlineLevel="2">
      <c r="A552" s="36"/>
      <c r="B552" s="36"/>
      <c r="C552" s="36"/>
      <c r="D552" s="36"/>
      <c r="E552" s="36"/>
      <c r="F552" s="36"/>
      <c r="G552" s="36"/>
      <c r="I552" s="1446" t="s">
        <v>613</v>
      </c>
      <c r="J552" s="5"/>
      <c r="K552" s="5"/>
      <c r="L552" s="5"/>
      <c r="M552" s="1263"/>
      <c r="N552" s="1263"/>
      <c r="O552" s="1263"/>
      <c r="P552" s="1263"/>
      <c r="Q552" s="1263"/>
      <c r="R552" s="1263"/>
      <c r="S552" s="1263"/>
      <c r="T552" s="1263"/>
      <c r="U552" s="1263"/>
      <c r="V552" s="1263"/>
      <c r="W552" s="1263"/>
      <c r="X552" s="1263"/>
      <c r="Y552" s="2275">
        <f t="shared" ref="Y552:BD552" si="1073">+(Y496*1000000)/(W532)</f>
        <v>7170.5999999999985</v>
      </c>
      <c r="Z552" s="2275">
        <f t="shared" si="1073"/>
        <v>7714.1999999999962</v>
      </c>
      <c r="AA552" s="2275">
        <f t="shared" si="1073"/>
        <v>7958.7500000000055</v>
      </c>
      <c r="AB552" s="2275">
        <f t="shared" si="1073"/>
        <v>8099.9999999999982</v>
      </c>
      <c r="AC552" s="2275">
        <f t="shared" si="1073"/>
        <v>6807.6190476190504</v>
      </c>
      <c r="AD552" s="2275">
        <f t="shared" si="1073"/>
        <v>9531.818181818182</v>
      </c>
      <c r="AE552" s="2275">
        <f t="shared" si="1073"/>
        <v>7557.6000000000013</v>
      </c>
      <c r="AF552" s="2369">
        <f t="shared" si="1073"/>
        <v>5902.2222222222144</v>
      </c>
      <c r="AG552" s="2275">
        <f t="shared" si="1073"/>
        <v>3529.0322580645156</v>
      </c>
      <c r="AH552" s="2275">
        <f t="shared" si="1073"/>
        <v>6007.7419354838785</v>
      </c>
      <c r="AI552" s="2275">
        <f t="shared" si="1073"/>
        <v>5031.2499999999982</v>
      </c>
      <c r="AJ552" s="2369">
        <f t="shared" si="1073"/>
        <v>5667.9999999999982</v>
      </c>
      <c r="AK552" s="2275">
        <f t="shared" si="1073"/>
        <v>5840.4761904761972</v>
      </c>
      <c r="AL552" s="2275">
        <f t="shared" si="1073"/>
        <v>6255.909090909081</v>
      </c>
      <c r="AM552" s="2275">
        <f t="shared" si="1073"/>
        <v>5096.0869565217408</v>
      </c>
      <c r="AN552" s="2275">
        <f t="shared" si="1073"/>
        <v>3125</v>
      </c>
      <c r="AO552" s="2628">
        <f t="shared" si="1073"/>
        <v>2360.0000000000023</v>
      </c>
      <c r="AP552" s="2275">
        <f t="shared" si="1073"/>
        <v>4440.4081632653024</v>
      </c>
      <c r="AQ552" s="2275">
        <f t="shared" si="1073"/>
        <v>3812.1568627450997</v>
      </c>
      <c r="AR552" s="2369">
        <f t="shared" si="1073"/>
        <v>4339.6226415094343</v>
      </c>
      <c r="AS552" s="2275">
        <f t="shared" si="1073"/>
        <v>1418.1818181818203</v>
      </c>
      <c r="AT552" s="2275">
        <f t="shared" si="1073"/>
        <v>4168.0701754385937</v>
      </c>
      <c r="AU552" s="2275">
        <f t="shared" si="1073"/>
        <v>3295.2542372881367</v>
      </c>
      <c r="AV552" s="2369">
        <f t="shared" si="1073"/>
        <v>3442.622950819672</v>
      </c>
      <c r="AW552" s="2275">
        <f t="shared" si="1073"/>
        <v>1568.0000000000018</v>
      </c>
      <c r="AX552" s="2275">
        <f t="shared" si="1073"/>
        <v>3712.1875000000059</v>
      </c>
      <c r="AY552" s="2275">
        <f t="shared" si="1073"/>
        <v>2945.7575757575769</v>
      </c>
      <c r="AZ552" s="2369">
        <f t="shared" si="1073"/>
        <v>3088.2352941176468</v>
      </c>
      <c r="BA552" s="2275">
        <f t="shared" si="1073"/>
        <v>1410.0719424460367</v>
      </c>
      <c r="BB552" s="2275">
        <f t="shared" si="1073"/>
        <v>3369.9290780141896</v>
      </c>
      <c r="BC552" s="2275">
        <f t="shared" si="1073"/>
        <v>2696.5325936199733</v>
      </c>
      <c r="BD552" s="2275">
        <f t="shared" si="1073"/>
        <v>2849.3894165535958</v>
      </c>
      <c r="BE552" s="1222"/>
      <c r="BF552" s="1264"/>
      <c r="BG552" s="1263"/>
      <c r="BH552" s="1263"/>
      <c r="BI552" s="1263"/>
      <c r="BJ552" s="1263"/>
      <c r="BK552" s="1263"/>
      <c r="BL552" s="1263"/>
      <c r="BM552" s="1442"/>
      <c r="BN552" s="1650"/>
      <c r="BO552" s="1442"/>
      <c r="BP552" s="1442"/>
      <c r="BQ552" s="1442"/>
      <c r="BR552" s="1442"/>
      <c r="BS552" s="1442"/>
      <c r="BT552" s="1442"/>
      <c r="BU552" s="1442"/>
      <c r="BV552" s="1442"/>
      <c r="BW552" s="1442"/>
      <c r="BX552" s="1442"/>
      <c r="BY552" s="1443"/>
      <c r="BZ552" s="1268"/>
      <c r="CA552" s="36"/>
      <c r="CB552" s="36"/>
      <c r="CC552" s="36"/>
      <c r="CD552" s="36"/>
      <c r="CE552" s="36"/>
      <c r="CF552" s="36"/>
      <c r="CG552" s="36"/>
    </row>
    <row r="553" spans="1:85" ht="11.25" hidden="1" customHeight="1" outlineLevel="2">
      <c r="A553" s="36"/>
      <c r="B553" s="36"/>
      <c r="C553" s="36"/>
      <c r="D553" s="36"/>
      <c r="E553" s="36"/>
      <c r="F553" s="36"/>
      <c r="G553" s="36"/>
      <c r="I553" s="1274" t="s">
        <v>543</v>
      </c>
      <c r="J553" s="5"/>
      <c r="K553" s="5"/>
      <c r="L553" s="5"/>
      <c r="M553" s="1263"/>
      <c r="N553" s="1263"/>
      <c r="O553" s="1263"/>
      <c r="P553" s="1263"/>
      <c r="Q553" s="1263"/>
      <c r="R553" s="1263"/>
      <c r="S553" s="1263"/>
      <c r="T553" s="1263"/>
      <c r="U553" s="1263"/>
      <c r="V553" s="1263"/>
      <c r="W553" s="1263"/>
      <c r="X553" s="1263"/>
      <c r="Y553" s="1456"/>
      <c r="Z553" s="1457"/>
      <c r="AA553" s="1457"/>
      <c r="AB553" s="1457"/>
      <c r="AC553" s="1724">
        <f t="shared" ref="AC553:AR553" si="1074">+AC552/Y552-1</f>
        <v>-5.0620722447347277E-2</v>
      </c>
      <c r="AD553" s="1725">
        <f t="shared" si="1074"/>
        <v>0.23561978971483577</v>
      </c>
      <c r="AE553" s="1725">
        <f t="shared" si="1074"/>
        <v>-5.0403643788283881E-2</v>
      </c>
      <c r="AF553" s="1725">
        <f t="shared" si="1074"/>
        <v>-0.27133058984910918</v>
      </c>
      <c r="AG553" s="1724">
        <f t="shared" si="1074"/>
        <v>-0.48160550210300224</v>
      </c>
      <c r="AH553" s="1725">
        <f t="shared" si="1074"/>
        <v>-0.36971710738843433</v>
      </c>
      <c r="AI553" s="1725">
        <f t="shared" si="1074"/>
        <v>-0.33427940086800079</v>
      </c>
      <c r="AJ553" s="1726">
        <f t="shared" si="1074"/>
        <v>-3.9683734939758075E-2</v>
      </c>
      <c r="AK553" s="1725">
        <f t="shared" si="1074"/>
        <v>0.65497954209106157</v>
      </c>
      <c r="AL553" s="1725">
        <f t="shared" si="1074"/>
        <v>4.1307892064976759E-2</v>
      </c>
      <c r="AM553" s="1725">
        <f t="shared" si="1074"/>
        <v>1.2886848501215908E-2</v>
      </c>
      <c r="AN553" s="1725">
        <f t="shared" si="1074"/>
        <v>-0.44865913902611132</v>
      </c>
      <c r="AO553" s="1724">
        <f t="shared" si="1074"/>
        <v>-0.59592335915205874</v>
      </c>
      <c r="AP553" s="1725">
        <f t="shared" si="1074"/>
        <v>-0.29020577205669684</v>
      </c>
      <c r="AQ553" s="1725">
        <f t="shared" si="1074"/>
        <v>-0.25194430643172716</v>
      </c>
      <c r="AR553" s="1726">
        <f t="shared" si="1074"/>
        <v>0.388679245283019</v>
      </c>
      <c r="AS553" s="1725">
        <f t="shared" ref="AS553:BD553" si="1075">+AS552/AO552-1</f>
        <v>-0.39907550077041576</v>
      </c>
      <c r="AT553" s="1725">
        <f t="shared" si="1075"/>
        <v>-6.133174650017803E-2</v>
      </c>
      <c r="AU553" s="1725">
        <f t="shared" si="1075"/>
        <v>-0.13559322033898313</v>
      </c>
      <c r="AV553" s="1726">
        <f t="shared" si="1075"/>
        <v>-0.20669992872416254</v>
      </c>
      <c r="AW553" s="1725">
        <f t="shared" si="1075"/>
        <v>0.10564102564102518</v>
      </c>
      <c r="AX553" s="1725">
        <f t="shared" si="1075"/>
        <v>-0.109374999999998</v>
      </c>
      <c r="AY553" s="1725">
        <f t="shared" si="1075"/>
        <v>-0.10606060606060597</v>
      </c>
      <c r="AZ553" s="1726">
        <f t="shared" si="1075"/>
        <v>-0.10294117647058831</v>
      </c>
      <c r="BA553" s="1725">
        <f t="shared" si="1075"/>
        <v>-0.1007194244604368</v>
      </c>
      <c r="BB553" s="1725">
        <f t="shared" si="1075"/>
        <v>-9.219858156028371E-2</v>
      </c>
      <c r="BC553" s="1725">
        <f t="shared" si="1075"/>
        <v>-8.46047156726768E-2</v>
      </c>
      <c r="BD553" s="1725">
        <f t="shared" si="1075"/>
        <v>-7.7340569877883181E-2</v>
      </c>
      <c r="BE553" s="1222"/>
      <c r="BF553" s="1264"/>
      <c r="BG553" s="1263"/>
      <c r="BH553" s="1263"/>
      <c r="BI553" s="1263"/>
      <c r="BJ553" s="1263"/>
      <c r="BK553" s="1263"/>
      <c r="BL553" s="1263"/>
      <c r="BM553" s="1442"/>
      <c r="BN553" s="1650"/>
      <c r="BO553" s="1442"/>
      <c r="BP553" s="1442"/>
      <c r="BQ553" s="1442"/>
      <c r="BR553" s="1442"/>
      <c r="BS553" s="1442"/>
      <c r="BT553" s="1442"/>
      <c r="BU553" s="1442"/>
      <c r="BV553" s="1442"/>
      <c r="BW553" s="1442"/>
      <c r="BX553" s="1442"/>
      <c r="BY553" s="1443"/>
      <c r="BZ553" s="1268"/>
      <c r="CA553" s="36"/>
      <c r="CB553" s="36"/>
      <c r="CC553" s="36"/>
      <c r="CD553" s="36"/>
      <c r="CE553" s="36"/>
      <c r="CF553" s="36"/>
      <c r="CG553" s="36"/>
    </row>
    <row r="554" spans="1:85" ht="11.25" hidden="1" customHeight="1" outlineLevel="2">
      <c r="A554" s="36"/>
      <c r="B554" s="36"/>
      <c r="C554" s="36"/>
      <c r="D554" s="36"/>
      <c r="E554" s="36"/>
      <c r="F554" s="36"/>
      <c r="G554" s="36"/>
      <c r="I554" s="1274"/>
      <c r="J554" s="5"/>
      <c r="K554" s="5"/>
      <c r="L554" s="5"/>
      <c r="M554" s="1263"/>
      <c r="N554" s="1263"/>
      <c r="O554" s="1263"/>
      <c r="P554" s="1263"/>
      <c r="Q554" s="1263"/>
      <c r="R554" s="1263"/>
      <c r="S554" s="1263"/>
      <c r="T554" s="1263"/>
      <c r="U554" s="1263"/>
      <c r="V554" s="1263"/>
      <c r="W554" s="1263"/>
      <c r="X554" s="1263"/>
      <c r="Y554" s="1456"/>
      <c r="Z554" s="1457"/>
      <c r="AA554" s="1457"/>
      <c r="AB554" s="1457"/>
      <c r="AC554" s="1456"/>
      <c r="AD554" s="1457"/>
      <c r="AE554" s="1457"/>
      <c r="AF554" s="1457"/>
      <c r="AG554" s="1456"/>
      <c r="AH554" s="1457"/>
      <c r="AI554" s="1457"/>
      <c r="AJ554" s="2357"/>
      <c r="AK554" s="1457"/>
      <c r="AL554" s="1457"/>
      <c r="AM554" s="1457"/>
      <c r="AN554" s="1457"/>
      <c r="AO554" s="1456"/>
      <c r="AP554" s="1457"/>
      <c r="AQ554" s="1457"/>
      <c r="AR554" s="2357"/>
      <c r="AS554" s="1457"/>
      <c r="AT554" s="1457"/>
      <c r="AU554" s="1457"/>
      <c r="AV554" s="2357"/>
      <c r="AW554" s="1457"/>
      <c r="AX554" s="1457"/>
      <c r="AY554" s="1457"/>
      <c r="AZ554" s="2357"/>
      <c r="BA554" s="1457"/>
      <c r="BB554" s="1457"/>
      <c r="BC554" s="1457"/>
      <c r="BD554" s="1457"/>
      <c r="BE554" s="1222"/>
      <c r="BF554" s="1264"/>
      <c r="BG554" s="1263"/>
      <c r="BH554" s="1263"/>
      <c r="BI554" s="1263"/>
      <c r="BJ554" s="1263"/>
      <c r="BK554" s="1263"/>
      <c r="BL554" s="1263"/>
      <c r="BM554" s="1442"/>
      <c r="BN554" s="1650"/>
      <c r="BO554" s="1442"/>
      <c r="BP554" s="1442"/>
      <c r="BQ554" s="1442"/>
      <c r="BR554" s="1442"/>
      <c r="BS554" s="1442"/>
      <c r="BT554" s="1442"/>
      <c r="BU554" s="1442"/>
      <c r="BV554" s="1442"/>
      <c r="BW554" s="1442"/>
      <c r="BX554" s="1442"/>
      <c r="BY554" s="1443"/>
      <c r="BZ554" s="1268"/>
      <c r="CA554" s="36"/>
      <c r="CB554" s="36"/>
      <c r="CC554" s="36"/>
      <c r="CD554" s="36"/>
      <c r="CE554" s="36"/>
      <c r="CF554" s="36"/>
      <c r="CG554" s="36"/>
    </row>
    <row r="555" spans="1:85" s="54" customFormat="1" ht="11.25" hidden="1" customHeight="1" outlineLevel="2">
      <c r="A555" s="191"/>
      <c r="B555" s="191"/>
      <c r="C555" s="191"/>
      <c r="D555" s="191"/>
      <c r="E555" s="191"/>
      <c r="F555" s="191"/>
      <c r="G555" s="191"/>
      <c r="H555" s="1163"/>
      <c r="I555" s="622" t="s">
        <v>336</v>
      </c>
      <c r="J555" s="193"/>
      <c r="K555" s="67"/>
      <c r="L555" s="67"/>
      <c r="M555" s="337">
        <v>0.72</v>
      </c>
      <c r="N555" s="337"/>
      <c r="O555" s="337"/>
      <c r="P555" s="337">
        <v>0.66</v>
      </c>
      <c r="Q555" s="337">
        <v>0.72</v>
      </c>
      <c r="R555" s="337">
        <v>0.7</v>
      </c>
      <c r="S555" s="337">
        <v>0.7</v>
      </c>
      <c r="T555" s="337">
        <v>0.67</v>
      </c>
      <c r="U555" s="794">
        <v>0.7</v>
      </c>
      <c r="V555" s="337">
        <v>0.7</v>
      </c>
      <c r="W555" s="337">
        <v>0.72</v>
      </c>
      <c r="X555" s="795">
        <v>0.72</v>
      </c>
      <c r="Y555" s="337">
        <v>0.72</v>
      </c>
      <c r="Z555" s="337">
        <v>0.71</v>
      </c>
      <c r="AA555" s="337">
        <v>0.73</v>
      </c>
      <c r="AB555" s="337">
        <v>0.7</v>
      </c>
      <c r="AC555" s="794">
        <v>0.75</v>
      </c>
      <c r="AD555" s="337">
        <v>0.75</v>
      </c>
      <c r="AE555" s="337">
        <v>0.75</v>
      </c>
      <c r="AF555" s="337">
        <v>0.75</v>
      </c>
      <c r="AG555" s="794">
        <v>0.76</v>
      </c>
      <c r="AH555" s="1741">
        <v>0.77</v>
      </c>
      <c r="AI555" s="1741">
        <v>0.77</v>
      </c>
      <c r="AJ555" s="2468">
        <v>0.78</v>
      </c>
      <c r="AK555" s="2469">
        <v>0.76</v>
      </c>
      <c r="AL555" s="2469">
        <v>0.78</v>
      </c>
      <c r="AM555" s="2469">
        <v>0.79</v>
      </c>
      <c r="AN555" s="2469">
        <v>0.8</v>
      </c>
      <c r="AO555" s="2629">
        <v>0.78</v>
      </c>
      <c r="AP555" s="982">
        <f>+AO555</f>
        <v>0.78</v>
      </c>
      <c r="AQ555" s="982">
        <f>+AP555</f>
        <v>0.78</v>
      </c>
      <c r="AR555" s="2592">
        <f>+AQ555</f>
        <v>0.78</v>
      </c>
      <c r="AS555" s="982">
        <f t="shared" ref="AS555:BD555" si="1076">+AR555</f>
        <v>0.78</v>
      </c>
      <c r="AT555" s="982">
        <f t="shared" si="1076"/>
        <v>0.78</v>
      </c>
      <c r="AU555" s="982">
        <f t="shared" si="1076"/>
        <v>0.78</v>
      </c>
      <c r="AV555" s="2592">
        <f t="shared" si="1076"/>
        <v>0.78</v>
      </c>
      <c r="AW555" s="982">
        <f t="shared" si="1076"/>
        <v>0.78</v>
      </c>
      <c r="AX555" s="982">
        <f t="shared" si="1076"/>
        <v>0.78</v>
      </c>
      <c r="AY555" s="982">
        <f t="shared" si="1076"/>
        <v>0.78</v>
      </c>
      <c r="AZ555" s="2592">
        <f t="shared" si="1076"/>
        <v>0.78</v>
      </c>
      <c r="BA555" s="982">
        <f t="shared" si="1076"/>
        <v>0.78</v>
      </c>
      <c r="BB555" s="982">
        <f t="shared" si="1076"/>
        <v>0.78</v>
      </c>
      <c r="BC555" s="982">
        <f t="shared" si="1076"/>
        <v>0.78</v>
      </c>
      <c r="BD555" s="982">
        <f t="shared" si="1076"/>
        <v>0.78</v>
      </c>
      <c r="BE555" s="1352"/>
      <c r="BF555" s="631"/>
      <c r="BG555" s="67"/>
      <c r="BH555" s="67"/>
      <c r="BI555" s="67"/>
      <c r="BJ555" s="67"/>
      <c r="BK555" s="186">
        <f>AVERAGE(Q555:T555)</f>
        <v>0.69750000000000001</v>
      </c>
      <c r="BL555" s="186">
        <f>AVERAGE(U555:X555)</f>
        <v>0.71</v>
      </c>
      <c r="BM555" s="186">
        <f>AVERAGE(Y555:AB555)</f>
        <v>0.71500000000000008</v>
      </c>
      <c r="BN555" s="767">
        <f>AVERAGE(AC555:AF555)</f>
        <v>0.75</v>
      </c>
      <c r="BO555" s="186">
        <f>AVERAGE(AG555:AJ555)</f>
        <v>0.77</v>
      </c>
      <c r="BP555" s="186">
        <f>AVERAGE(AH555:AK555)</f>
        <v>0.77</v>
      </c>
      <c r="BQ555" s="2069">
        <f>AVERAGE(AO555:AR555)</f>
        <v>0.78</v>
      </c>
      <c r="BR555" s="2069">
        <f>AVERAGE(AS555:AV555)</f>
        <v>0.78</v>
      </c>
      <c r="BS555" s="2069">
        <f>AVERAGE(AT555:AW555)</f>
        <v>0.78</v>
      </c>
      <c r="BT555" s="2069">
        <f>AVERAGE(AU555:AX555)</f>
        <v>0.78</v>
      </c>
      <c r="BU555" s="2144">
        <f>MIN(BT555+1%,75%)</f>
        <v>0.75</v>
      </c>
      <c r="BV555" s="2144">
        <f>MIN(BU555+1%,75%)</f>
        <v>0.75</v>
      </c>
      <c r="BW555" s="2144">
        <f>MIN(BV555+1%,75%)</f>
        <v>0.75</v>
      </c>
      <c r="BX555" s="2144">
        <f>MIN(BW555+1%,75%)</f>
        <v>0.75</v>
      </c>
      <c r="BY555" s="2145">
        <f>MIN(BX555+1%,75%)</f>
        <v>0.75</v>
      </c>
      <c r="BZ555" s="267"/>
      <c r="CA555" s="201"/>
      <c r="CB555" s="198"/>
      <c r="CC555" s="198"/>
      <c r="CD555" s="198"/>
      <c r="CE555" s="198"/>
      <c r="CF555" s="198"/>
      <c r="CG555" s="198"/>
    </row>
    <row r="556" spans="1:85" s="83" customFormat="1" ht="11.25" hidden="1" customHeight="1" outlineLevel="2">
      <c r="A556" s="1163"/>
      <c r="B556" s="1163"/>
      <c r="C556" s="1163"/>
      <c r="D556" s="1163"/>
      <c r="E556" s="1163"/>
      <c r="F556" s="1163"/>
      <c r="G556" s="1163"/>
      <c r="H556" s="1163"/>
      <c r="I556" s="1164" t="s">
        <v>332</v>
      </c>
      <c r="J556" s="1165"/>
      <c r="K556" s="409"/>
      <c r="L556" s="409"/>
      <c r="M556" s="268">
        <f t="shared" ref="M556:AR556" si="1077">M562</f>
        <v>8</v>
      </c>
      <c r="N556" s="268">
        <f t="shared" si="1077"/>
        <v>9</v>
      </c>
      <c r="O556" s="268">
        <f t="shared" si="1077"/>
        <v>11</v>
      </c>
      <c r="P556" s="268">
        <f t="shared" si="1077"/>
        <v>11</v>
      </c>
      <c r="Q556" s="268">
        <f t="shared" si="1077"/>
        <v>13</v>
      </c>
      <c r="R556" s="268">
        <f t="shared" si="1077"/>
        <v>15</v>
      </c>
      <c r="S556" s="268">
        <f t="shared" si="1077"/>
        <v>19</v>
      </c>
      <c r="T556" s="268">
        <f t="shared" si="1077"/>
        <v>23.7</v>
      </c>
      <c r="U556" s="1166">
        <f t="shared" si="1077"/>
        <v>27</v>
      </c>
      <c r="V556" s="268">
        <f t="shared" si="1077"/>
        <v>31.8</v>
      </c>
      <c r="W556" s="268">
        <f t="shared" si="1077"/>
        <v>36</v>
      </c>
      <c r="X556" s="1167">
        <f t="shared" si="1077"/>
        <v>39.799999999999997</v>
      </c>
      <c r="Y556" s="268">
        <f t="shared" si="1077"/>
        <v>44.7</v>
      </c>
      <c r="Z556" s="268">
        <f t="shared" si="1077"/>
        <v>51.4</v>
      </c>
      <c r="AA556" s="268">
        <f t="shared" si="1077"/>
        <v>57.2</v>
      </c>
      <c r="AB556" s="268">
        <f t="shared" si="1077"/>
        <v>67.2</v>
      </c>
      <c r="AC556" s="1166">
        <f t="shared" si="1077"/>
        <v>74</v>
      </c>
      <c r="AD556" s="268">
        <f t="shared" si="1077"/>
        <v>79.900000000000006</v>
      </c>
      <c r="AE556" s="268">
        <f t="shared" si="1077"/>
        <v>86.2</v>
      </c>
      <c r="AF556" s="268">
        <f t="shared" si="1077"/>
        <v>93.7</v>
      </c>
      <c r="AG556" s="1166">
        <f t="shared" si="1077"/>
        <v>99.7</v>
      </c>
      <c r="AH556" s="268">
        <f t="shared" si="1077"/>
        <v>105.7</v>
      </c>
      <c r="AI556" s="268">
        <f t="shared" si="1077"/>
        <v>112.7</v>
      </c>
      <c r="AJ556" s="1167">
        <f t="shared" si="1077"/>
        <v>121.7</v>
      </c>
      <c r="AK556" s="268">
        <f t="shared" si="1077"/>
        <v>130.69999999999999</v>
      </c>
      <c r="AL556" s="268">
        <f>AL562</f>
        <v>139.69999999999999</v>
      </c>
      <c r="AM556" s="268">
        <f>AM562</f>
        <v>148.69999999999999</v>
      </c>
      <c r="AN556" s="268">
        <f>AN562</f>
        <v>157.69999999999999</v>
      </c>
      <c r="AO556" s="1166">
        <f>AO562</f>
        <v>166.7</v>
      </c>
      <c r="AP556" s="268">
        <f t="shared" si="1077"/>
        <v>175.7</v>
      </c>
      <c r="AQ556" s="268">
        <f t="shared" si="1077"/>
        <v>184.7</v>
      </c>
      <c r="AR556" s="1167">
        <f t="shared" si="1077"/>
        <v>193.7</v>
      </c>
      <c r="AS556" s="268">
        <f t="shared" ref="AS556:BD556" si="1078">AS562</f>
        <v>202.7</v>
      </c>
      <c r="AT556" s="268">
        <f t="shared" si="1078"/>
        <v>211.7</v>
      </c>
      <c r="AU556" s="268">
        <f t="shared" si="1078"/>
        <v>220.7</v>
      </c>
      <c r="AV556" s="1167">
        <f t="shared" si="1078"/>
        <v>229.7</v>
      </c>
      <c r="AW556" s="268">
        <f t="shared" si="1078"/>
        <v>238.7</v>
      </c>
      <c r="AX556" s="268">
        <f t="shared" si="1078"/>
        <v>247.7</v>
      </c>
      <c r="AY556" s="268">
        <f t="shared" si="1078"/>
        <v>256.7</v>
      </c>
      <c r="AZ556" s="1167">
        <f t="shared" si="1078"/>
        <v>265.7</v>
      </c>
      <c r="BA556" s="268">
        <f t="shared" si="1078"/>
        <v>274.7</v>
      </c>
      <c r="BB556" s="268">
        <f t="shared" si="1078"/>
        <v>283.7</v>
      </c>
      <c r="BC556" s="268">
        <f t="shared" si="1078"/>
        <v>292.7</v>
      </c>
      <c r="BD556" s="268">
        <f t="shared" si="1078"/>
        <v>301.7</v>
      </c>
      <c r="BE556" s="1347"/>
      <c r="BF556" s="503"/>
      <c r="BG556" s="409"/>
      <c r="BH556" s="409"/>
      <c r="BI556" s="409"/>
      <c r="BJ556" s="268">
        <f t="shared" ref="BJ556:BY556" si="1079">BJ562</f>
        <v>11</v>
      </c>
      <c r="BK556" s="268">
        <f t="shared" si="1079"/>
        <v>23.7</v>
      </c>
      <c r="BL556" s="268">
        <f t="shared" si="1079"/>
        <v>39.799999999999997</v>
      </c>
      <c r="BM556" s="268">
        <f t="shared" si="1079"/>
        <v>67.2</v>
      </c>
      <c r="BN556" s="1166">
        <f t="shared" si="1079"/>
        <v>93.7</v>
      </c>
      <c r="BO556" s="268">
        <f t="shared" si="1079"/>
        <v>121.7</v>
      </c>
      <c r="BP556" s="268">
        <f t="shared" si="1079"/>
        <v>0</v>
      </c>
      <c r="BQ556" s="268">
        <f t="shared" si="1079"/>
        <v>0</v>
      </c>
      <c r="BR556" s="268">
        <f t="shared" si="1079"/>
        <v>0</v>
      </c>
      <c r="BS556" s="268">
        <f t="shared" si="1079"/>
        <v>0</v>
      </c>
      <c r="BT556" s="268">
        <f t="shared" si="1079"/>
        <v>0</v>
      </c>
      <c r="BU556" s="268">
        <f t="shared" si="1079"/>
        <v>0</v>
      </c>
      <c r="BV556" s="268">
        <f t="shared" si="1079"/>
        <v>0</v>
      </c>
      <c r="BW556" s="268">
        <f t="shared" si="1079"/>
        <v>0</v>
      </c>
      <c r="BX556" s="268">
        <f t="shared" si="1079"/>
        <v>0</v>
      </c>
      <c r="BY556" s="1167">
        <f t="shared" si="1079"/>
        <v>0</v>
      </c>
      <c r="BZ556" s="268"/>
      <c r="CA556" s="404"/>
      <c r="CB556" s="264"/>
      <c r="CC556" s="264"/>
      <c r="CD556" s="264"/>
      <c r="CE556" s="264"/>
      <c r="CF556" s="264"/>
      <c r="CG556" s="264"/>
    </row>
    <row r="557" spans="1:85" s="83" customFormat="1" ht="11.25" hidden="1" customHeight="1" outlineLevel="2">
      <c r="A557" s="1163"/>
      <c r="B557" s="1163"/>
      <c r="C557" s="1163"/>
      <c r="D557" s="1163"/>
      <c r="E557" s="1163"/>
      <c r="F557" s="1163"/>
      <c r="G557" s="1163"/>
      <c r="H557" s="1163"/>
      <c r="I557" s="1164" t="s">
        <v>333</v>
      </c>
      <c r="J557" s="1165"/>
      <c r="K557" s="409"/>
      <c r="L557" s="409"/>
      <c r="M557" s="1168"/>
      <c r="N557" s="409"/>
      <c r="O557" s="409"/>
      <c r="P557" s="409"/>
      <c r="Q557" s="268">
        <f t="shared" ref="Q557:V557" si="1080">AVERAGE(Q556,M556)/Q555-Q556</f>
        <v>1.5833333333333339</v>
      </c>
      <c r="R557" s="268">
        <f>AVERAGE(R556,N556)/R555-R556</f>
        <v>2.1428571428571423</v>
      </c>
      <c r="S557" s="268">
        <f t="shared" si="1080"/>
        <v>2.4285714285714306</v>
      </c>
      <c r="T557" s="268">
        <f t="shared" si="1080"/>
        <v>2.1955223880597039</v>
      </c>
      <c r="U557" s="1166">
        <f t="shared" si="1080"/>
        <v>1.571428571428573</v>
      </c>
      <c r="V557" s="268">
        <f t="shared" si="1080"/>
        <v>1.6285714285714299</v>
      </c>
      <c r="W557" s="268">
        <f t="shared" ref="W557:AO557" si="1081">AVERAGE(W556,S556)/W555-W556</f>
        <v>2.1944444444444429</v>
      </c>
      <c r="X557" s="1167">
        <f t="shared" si="1081"/>
        <v>4.2972222222222243</v>
      </c>
      <c r="Y557" s="268">
        <f t="shared" si="1081"/>
        <v>5.0916666666666686</v>
      </c>
      <c r="Z557" s="268">
        <f t="shared" si="1081"/>
        <v>7.1915492957746565</v>
      </c>
      <c r="AA557" s="268">
        <f t="shared" si="1081"/>
        <v>6.6356164383561662</v>
      </c>
      <c r="AB557" s="268">
        <f t="shared" si="1081"/>
        <v>9.2285714285714278</v>
      </c>
      <c r="AC557" s="1166">
        <f t="shared" si="1081"/>
        <v>5.13333333333334</v>
      </c>
      <c r="AD557" s="268">
        <f t="shared" si="1081"/>
        <v>7.63333333333334</v>
      </c>
      <c r="AE557" s="268">
        <f t="shared" si="1081"/>
        <v>9.4000000000000057</v>
      </c>
      <c r="AF557" s="268">
        <f t="shared" si="1081"/>
        <v>13.566666666666663</v>
      </c>
      <c r="AG557" s="1166">
        <f t="shared" si="1081"/>
        <v>14.576315789473668</v>
      </c>
      <c r="AH557" s="268">
        <f t="shared" si="1081"/>
        <v>14.819480519480535</v>
      </c>
      <c r="AI557" s="268">
        <f t="shared" si="1081"/>
        <v>16.455844155844161</v>
      </c>
      <c r="AJ557" s="1167">
        <f t="shared" si="1081"/>
        <v>16.376923076923063</v>
      </c>
      <c r="AK557" s="268">
        <f t="shared" si="1081"/>
        <v>20.878947368421052</v>
      </c>
      <c r="AL557" s="268">
        <f t="shared" si="1081"/>
        <v>17.607692307692304</v>
      </c>
      <c r="AM557" s="268">
        <f t="shared" si="1081"/>
        <v>16.743037974683546</v>
      </c>
      <c r="AN557" s="268">
        <f t="shared" si="1081"/>
        <v>16.924999999999983</v>
      </c>
      <c r="AO557" s="1166">
        <f t="shared" si="1081"/>
        <v>23.941025641025618</v>
      </c>
      <c r="AP557" s="268">
        <f t="shared" ref="AP557:AV557" si="1082">AVERAGE(AP556,AL556)/AP555-AP556</f>
        <v>26.479487179487165</v>
      </c>
      <c r="AQ557" s="268">
        <f t="shared" si="1082"/>
        <v>29.017948717948713</v>
      </c>
      <c r="AR557" s="1167">
        <f t="shared" si="1082"/>
        <v>31.556410256410231</v>
      </c>
      <c r="AS557" s="268">
        <f t="shared" si="1082"/>
        <v>34.094871794871779</v>
      </c>
      <c r="AT557" s="268">
        <f t="shared" si="1082"/>
        <v>36.633333333333326</v>
      </c>
      <c r="AU557" s="268">
        <f t="shared" si="1082"/>
        <v>39.171794871794873</v>
      </c>
      <c r="AV557" s="1167">
        <f t="shared" si="1082"/>
        <v>41.71025641025642</v>
      </c>
      <c r="AW557" s="268">
        <f t="shared" ref="AW557:BD557" si="1083">AVERAGE(AW556,AS556)/AW555-AW556</f>
        <v>44.248717948717911</v>
      </c>
      <c r="AX557" s="268">
        <f t="shared" si="1083"/>
        <v>46.787179487179458</v>
      </c>
      <c r="AY557" s="268">
        <f t="shared" si="1083"/>
        <v>49.325641025641005</v>
      </c>
      <c r="AZ557" s="1167">
        <f t="shared" si="1083"/>
        <v>51.864102564102552</v>
      </c>
      <c r="BA557" s="268">
        <f t="shared" si="1083"/>
        <v>54.402564102564099</v>
      </c>
      <c r="BB557" s="268">
        <f t="shared" si="1083"/>
        <v>56.941025641025647</v>
      </c>
      <c r="BC557" s="268">
        <f t="shared" si="1083"/>
        <v>59.479487179487137</v>
      </c>
      <c r="BD557" s="268">
        <f t="shared" si="1083"/>
        <v>62.017948717948684</v>
      </c>
      <c r="BE557" s="1347"/>
      <c r="BF557" s="503"/>
      <c r="BG557" s="409"/>
      <c r="BH557" s="409"/>
      <c r="BI557" s="409"/>
      <c r="BJ557" s="434" t="s">
        <v>140</v>
      </c>
      <c r="BK557" s="268">
        <f t="shared" ref="BK557:BY557" si="1084">AVERAGE(BK556,BJ556)/BK555-BK556</f>
        <v>1.1745519713261672</v>
      </c>
      <c r="BL557" s="268">
        <f t="shared" si="1084"/>
        <v>4.9183098591549381</v>
      </c>
      <c r="BM557" s="268">
        <f t="shared" si="1084"/>
        <v>7.6251748251748097</v>
      </c>
      <c r="BN557" s="1166">
        <f t="shared" si="1084"/>
        <v>13.566666666666663</v>
      </c>
      <c r="BO557" s="268">
        <f t="shared" si="1084"/>
        <v>18.170129870129855</v>
      </c>
      <c r="BP557" s="268">
        <f t="shared" si="1084"/>
        <v>79.025974025974023</v>
      </c>
      <c r="BQ557" s="268">
        <f t="shared" si="1084"/>
        <v>0</v>
      </c>
      <c r="BR557" s="268">
        <f t="shared" si="1084"/>
        <v>0</v>
      </c>
      <c r="BS557" s="268">
        <f t="shared" si="1084"/>
        <v>0</v>
      </c>
      <c r="BT557" s="268">
        <f t="shared" si="1084"/>
        <v>0</v>
      </c>
      <c r="BU557" s="268">
        <f t="shared" si="1084"/>
        <v>0</v>
      </c>
      <c r="BV557" s="268">
        <f t="shared" si="1084"/>
        <v>0</v>
      </c>
      <c r="BW557" s="268">
        <f t="shared" si="1084"/>
        <v>0</v>
      </c>
      <c r="BX557" s="268">
        <f t="shared" si="1084"/>
        <v>0</v>
      </c>
      <c r="BY557" s="1167">
        <f t="shared" si="1084"/>
        <v>0</v>
      </c>
      <c r="BZ557" s="268"/>
      <c r="CA557" s="404"/>
      <c r="CB557" s="264"/>
      <c r="CC557" s="264"/>
      <c r="CD557" s="264"/>
      <c r="CE557" s="264"/>
      <c r="CF557" s="264"/>
      <c r="CG557" s="264"/>
    </row>
    <row r="558" spans="1:85" s="83" customFormat="1" ht="11.25" hidden="1" customHeight="1" outlineLevel="2">
      <c r="A558" s="1163"/>
      <c r="B558" s="1163"/>
      <c r="C558" s="1163"/>
      <c r="D558" s="1163"/>
      <c r="E558" s="1163"/>
      <c r="F558" s="1163"/>
      <c r="G558" s="1163"/>
      <c r="H558" s="1163"/>
      <c r="I558" s="1164" t="s">
        <v>334</v>
      </c>
      <c r="J558" s="1165"/>
      <c r="K558" s="409"/>
      <c r="L558" s="409"/>
      <c r="M558" s="1168"/>
      <c r="N558" s="409"/>
      <c r="O558" s="409"/>
      <c r="P558" s="409"/>
      <c r="Q558" s="268">
        <f t="shared" ref="Q558:V558" si="1085">Q559+Q557</f>
        <v>6.5833333333333339</v>
      </c>
      <c r="R558" s="268">
        <f t="shared" si="1085"/>
        <v>8.1428571428571423</v>
      </c>
      <c r="S558" s="268">
        <f t="shared" si="1085"/>
        <v>10.428571428571431</v>
      </c>
      <c r="T558" s="268">
        <f t="shared" si="1085"/>
        <v>14.895522388059703</v>
      </c>
      <c r="U558" s="1166">
        <f t="shared" si="1085"/>
        <v>15.571428571428573</v>
      </c>
      <c r="V558" s="268">
        <f t="shared" si="1085"/>
        <v>18.428571428571431</v>
      </c>
      <c r="W558" s="268">
        <f>W559+W557</f>
        <v>19.194444444444443</v>
      </c>
      <c r="X558" s="1167">
        <f>X559+X557</f>
        <v>20.397222222222222</v>
      </c>
      <c r="Y558" s="268">
        <f t="shared" ref="Y558:AK558" si="1086">Y559+Y557</f>
        <v>22.791666666666671</v>
      </c>
      <c r="Z558" s="268">
        <f t="shared" si="1086"/>
        <v>26.791549295774654</v>
      </c>
      <c r="AA558" s="268">
        <f t="shared" si="1086"/>
        <v>27.835616438356169</v>
      </c>
      <c r="AB558" s="268">
        <f t="shared" si="1086"/>
        <v>36.628571428571433</v>
      </c>
      <c r="AC558" s="1166">
        <f t="shared" si="1086"/>
        <v>34.433333333333337</v>
      </c>
      <c r="AD558" s="268">
        <f t="shared" si="1086"/>
        <v>36.133333333333347</v>
      </c>
      <c r="AE558" s="268">
        <f t="shared" si="1086"/>
        <v>38.400000000000006</v>
      </c>
      <c r="AF558" s="268">
        <f t="shared" si="1086"/>
        <v>40.066666666666663</v>
      </c>
      <c r="AG558" s="1166">
        <f t="shared" si="1086"/>
        <v>40.276315789473671</v>
      </c>
      <c r="AH558" s="268">
        <f t="shared" si="1086"/>
        <v>40.619480519480533</v>
      </c>
      <c r="AI558" s="268">
        <f t="shared" si="1086"/>
        <v>42.955844155844161</v>
      </c>
      <c r="AJ558" s="1167">
        <f t="shared" si="1086"/>
        <v>44.376923076923063</v>
      </c>
      <c r="AK558" s="268">
        <f t="shared" si="1086"/>
        <v>51.878947368421038</v>
      </c>
      <c r="AL558" s="268">
        <f>AL559+AL557</f>
        <v>51.60769230769229</v>
      </c>
      <c r="AM558" s="268">
        <f>AM559+AM557</f>
        <v>52.743037974683531</v>
      </c>
      <c r="AN558" s="268">
        <f>AN559+AN557</f>
        <v>52.924999999999969</v>
      </c>
      <c r="AO558" s="1166">
        <f>AO559+AO557</f>
        <v>59.941025641025618</v>
      </c>
      <c r="AP558" s="268">
        <f t="shared" ref="AP558:AV558" si="1087">AP559+AP557</f>
        <v>62.479487179487165</v>
      </c>
      <c r="AQ558" s="268">
        <f t="shared" si="1087"/>
        <v>65.017948717948713</v>
      </c>
      <c r="AR558" s="1167">
        <f t="shared" si="1087"/>
        <v>67.556410256410231</v>
      </c>
      <c r="AS558" s="268">
        <f t="shared" si="1087"/>
        <v>70.094871794871779</v>
      </c>
      <c r="AT558" s="268">
        <f t="shared" si="1087"/>
        <v>72.633333333333326</v>
      </c>
      <c r="AU558" s="268">
        <f t="shared" si="1087"/>
        <v>75.171794871794873</v>
      </c>
      <c r="AV558" s="1167">
        <f t="shared" si="1087"/>
        <v>77.71025641025642</v>
      </c>
      <c r="AW558" s="268">
        <f t="shared" ref="AW558:BD558" si="1088">AW559+AW557</f>
        <v>80.248717948717911</v>
      </c>
      <c r="AX558" s="268">
        <f t="shared" si="1088"/>
        <v>82.787179487179458</v>
      </c>
      <c r="AY558" s="268">
        <f t="shared" si="1088"/>
        <v>85.325641025641005</v>
      </c>
      <c r="AZ558" s="1167">
        <f t="shared" si="1088"/>
        <v>87.864102564102552</v>
      </c>
      <c r="BA558" s="268">
        <f t="shared" si="1088"/>
        <v>90.402564102564099</v>
      </c>
      <c r="BB558" s="268">
        <f t="shared" si="1088"/>
        <v>92.941025641025647</v>
      </c>
      <c r="BC558" s="268">
        <f t="shared" si="1088"/>
        <v>95.479487179487137</v>
      </c>
      <c r="BD558" s="1167">
        <f t="shared" si="1088"/>
        <v>98.017948717948684</v>
      </c>
      <c r="BE558" s="268"/>
      <c r="BF558" s="503"/>
      <c r="BG558" s="409"/>
      <c r="BH558" s="409"/>
      <c r="BI558" s="409"/>
      <c r="BJ558" s="434" t="s">
        <v>140</v>
      </c>
      <c r="BK558" s="268">
        <f>BK559+BK557</f>
        <v>13.874551971326166</v>
      </c>
      <c r="BL558" s="268">
        <f>BL559+BL557</f>
        <v>21.018309859154936</v>
      </c>
      <c r="BM558" s="268">
        <f t="shared" ref="BM558:BY558" si="1089">BM559+BM557</f>
        <v>35.025174825174815</v>
      </c>
      <c r="BN558" s="1166">
        <f t="shared" si="1089"/>
        <v>40.066666666666663</v>
      </c>
      <c r="BO558" s="268">
        <f t="shared" si="1089"/>
        <v>46.170129870129855</v>
      </c>
      <c r="BP558" s="268">
        <f t="shared" si="1089"/>
        <v>-42.67402597402598</v>
      </c>
      <c r="BQ558" s="268">
        <f t="shared" si="1089"/>
        <v>0</v>
      </c>
      <c r="BR558" s="268">
        <f t="shared" si="1089"/>
        <v>0</v>
      </c>
      <c r="BS558" s="268">
        <f t="shared" si="1089"/>
        <v>0</v>
      </c>
      <c r="BT558" s="268">
        <f t="shared" si="1089"/>
        <v>0</v>
      </c>
      <c r="BU558" s="268">
        <f t="shared" si="1089"/>
        <v>0</v>
      </c>
      <c r="BV558" s="268">
        <f t="shared" si="1089"/>
        <v>0</v>
      </c>
      <c r="BW558" s="268">
        <f t="shared" si="1089"/>
        <v>0</v>
      </c>
      <c r="BX558" s="268">
        <f t="shared" si="1089"/>
        <v>0</v>
      </c>
      <c r="BY558" s="1167">
        <f t="shared" si="1089"/>
        <v>0</v>
      </c>
      <c r="BZ558" s="268"/>
      <c r="CA558" s="404"/>
      <c r="CB558" s="264"/>
      <c r="CC558" s="264"/>
      <c r="CD558" s="264"/>
      <c r="CE558" s="264"/>
      <c r="CF558" s="264"/>
      <c r="CG558" s="264"/>
    </row>
    <row r="559" spans="1:85" s="83" customFormat="1" ht="11.25" hidden="1" customHeight="1" outlineLevel="2">
      <c r="A559" s="1163"/>
      <c r="B559" s="1163"/>
      <c r="C559" s="1163"/>
      <c r="D559" s="1163"/>
      <c r="E559" s="1163"/>
      <c r="F559" s="1163"/>
      <c r="G559" s="1163"/>
      <c r="H559" s="1163"/>
      <c r="I559" s="1164" t="s">
        <v>335</v>
      </c>
      <c r="J559" s="1165"/>
      <c r="K559" s="409"/>
      <c r="L559" s="409"/>
      <c r="M559" s="1168"/>
      <c r="N559" s="409"/>
      <c r="O559" s="409"/>
      <c r="P559" s="409"/>
      <c r="Q559" s="268">
        <f t="shared" ref="Q559:V559" si="1090">Q556-M556</f>
        <v>5</v>
      </c>
      <c r="R559" s="268">
        <f t="shared" si="1090"/>
        <v>6</v>
      </c>
      <c r="S559" s="268">
        <f t="shared" si="1090"/>
        <v>8</v>
      </c>
      <c r="T559" s="268">
        <f t="shared" si="1090"/>
        <v>12.7</v>
      </c>
      <c r="U559" s="1166">
        <f t="shared" si="1090"/>
        <v>14</v>
      </c>
      <c r="V559" s="268">
        <f t="shared" si="1090"/>
        <v>16.8</v>
      </c>
      <c r="W559" s="268">
        <f t="shared" ref="W559:AO559" si="1091">W556-S556</f>
        <v>17</v>
      </c>
      <c r="X559" s="1167">
        <f t="shared" si="1091"/>
        <v>16.099999999999998</v>
      </c>
      <c r="Y559" s="268">
        <f t="shared" si="1091"/>
        <v>17.700000000000003</v>
      </c>
      <c r="Z559" s="268">
        <f t="shared" si="1091"/>
        <v>19.599999999999998</v>
      </c>
      <c r="AA559" s="268">
        <f t="shared" si="1091"/>
        <v>21.200000000000003</v>
      </c>
      <c r="AB559" s="268">
        <f t="shared" si="1091"/>
        <v>27.400000000000006</v>
      </c>
      <c r="AC559" s="1166">
        <f t="shared" si="1091"/>
        <v>29.299999999999997</v>
      </c>
      <c r="AD559" s="268">
        <f t="shared" si="1091"/>
        <v>28.500000000000007</v>
      </c>
      <c r="AE559" s="268">
        <f t="shared" si="1091"/>
        <v>29</v>
      </c>
      <c r="AF559" s="268">
        <f t="shared" si="1091"/>
        <v>26.5</v>
      </c>
      <c r="AG559" s="1166">
        <f t="shared" si="1091"/>
        <v>25.700000000000003</v>
      </c>
      <c r="AH559" s="268">
        <f t="shared" si="1091"/>
        <v>25.799999999999997</v>
      </c>
      <c r="AI559" s="268">
        <f t="shared" si="1091"/>
        <v>26.5</v>
      </c>
      <c r="AJ559" s="1167">
        <f t="shared" si="1091"/>
        <v>28</v>
      </c>
      <c r="AK559" s="268">
        <f t="shared" si="1091"/>
        <v>30.999999999999986</v>
      </c>
      <c r="AL559" s="268">
        <f t="shared" si="1091"/>
        <v>33.999999999999986</v>
      </c>
      <c r="AM559" s="268">
        <f t="shared" si="1091"/>
        <v>35.999999999999986</v>
      </c>
      <c r="AN559" s="268">
        <f t="shared" si="1091"/>
        <v>35.999999999999986</v>
      </c>
      <c r="AO559" s="1166">
        <f t="shared" si="1091"/>
        <v>36</v>
      </c>
      <c r="AP559" s="268">
        <f t="shared" ref="AP559:AV559" si="1092">AP556-AL556</f>
        <v>36</v>
      </c>
      <c r="AQ559" s="268">
        <f t="shared" si="1092"/>
        <v>36</v>
      </c>
      <c r="AR559" s="1167">
        <f t="shared" si="1092"/>
        <v>36</v>
      </c>
      <c r="AS559" s="268">
        <f t="shared" si="1092"/>
        <v>36</v>
      </c>
      <c r="AT559" s="268">
        <f t="shared" si="1092"/>
        <v>36</v>
      </c>
      <c r="AU559" s="268">
        <f t="shared" si="1092"/>
        <v>36</v>
      </c>
      <c r="AV559" s="1167">
        <f t="shared" si="1092"/>
        <v>36</v>
      </c>
      <c r="AW559" s="268">
        <f t="shared" ref="AW559:BD559" si="1093">AW556-AS556</f>
        <v>36</v>
      </c>
      <c r="AX559" s="268">
        <f t="shared" si="1093"/>
        <v>36</v>
      </c>
      <c r="AY559" s="268">
        <f t="shared" si="1093"/>
        <v>36</v>
      </c>
      <c r="AZ559" s="1167">
        <f t="shared" si="1093"/>
        <v>36</v>
      </c>
      <c r="BA559" s="268">
        <f t="shared" si="1093"/>
        <v>36</v>
      </c>
      <c r="BB559" s="268">
        <f t="shared" si="1093"/>
        <v>36</v>
      </c>
      <c r="BC559" s="268">
        <f t="shared" si="1093"/>
        <v>36</v>
      </c>
      <c r="BD559" s="268">
        <f t="shared" si="1093"/>
        <v>36</v>
      </c>
      <c r="BE559" s="1347"/>
      <c r="BF559" s="503"/>
      <c r="BG559" s="409"/>
      <c r="BH559" s="409"/>
      <c r="BI559" s="409"/>
      <c r="BJ559" s="434" t="s">
        <v>140</v>
      </c>
      <c r="BK559" s="268">
        <f t="shared" ref="BK559:BY559" si="1094">BK556-BJ556</f>
        <v>12.7</v>
      </c>
      <c r="BL559" s="268">
        <f t="shared" si="1094"/>
        <v>16.099999999999998</v>
      </c>
      <c r="BM559" s="268">
        <f t="shared" si="1094"/>
        <v>27.400000000000006</v>
      </c>
      <c r="BN559" s="1166">
        <f t="shared" si="1094"/>
        <v>26.5</v>
      </c>
      <c r="BO559" s="268">
        <f t="shared" si="1094"/>
        <v>28</v>
      </c>
      <c r="BP559" s="268">
        <f t="shared" si="1094"/>
        <v>-121.7</v>
      </c>
      <c r="BQ559" s="268">
        <f t="shared" si="1094"/>
        <v>0</v>
      </c>
      <c r="BR559" s="268">
        <f t="shared" si="1094"/>
        <v>0</v>
      </c>
      <c r="BS559" s="268">
        <f t="shared" si="1094"/>
        <v>0</v>
      </c>
      <c r="BT559" s="268">
        <f t="shared" si="1094"/>
        <v>0</v>
      </c>
      <c r="BU559" s="268">
        <f t="shared" si="1094"/>
        <v>0</v>
      </c>
      <c r="BV559" s="268">
        <f t="shared" si="1094"/>
        <v>0</v>
      </c>
      <c r="BW559" s="268">
        <f t="shared" si="1094"/>
        <v>0</v>
      </c>
      <c r="BX559" s="268">
        <f t="shared" si="1094"/>
        <v>0</v>
      </c>
      <c r="BY559" s="1167">
        <f t="shared" si="1094"/>
        <v>0</v>
      </c>
      <c r="BZ559" s="268"/>
      <c r="CA559" s="404"/>
      <c r="CB559" s="264"/>
      <c r="CC559" s="264"/>
      <c r="CD559" s="264"/>
      <c r="CE559" s="264"/>
      <c r="CF559" s="264"/>
      <c r="CG559" s="264"/>
    </row>
    <row r="560" spans="1:85" ht="11.25" hidden="1" customHeight="1" outlineLevel="2">
      <c r="A560" s="36"/>
      <c r="B560" s="36"/>
      <c r="C560" s="36"/>
      <c r="D560" s="36"/>
      <c r="E560" s="36"/>
      <c r="F560" s="36"/>
      <c r="G560" s="36"/>
      <c r="I560" s="1274"/>
      <c r="J560" s="5"/>
      <c r="K560" s="5"/>
      <c r="L560" s="5"/>
      <c r="M560" s="1263"/>
      <c r="N560" s="1263"/>
      <c r="O560" s="1263"/>
      <c r="P560" s="1263"/>
      <c r="Q560" s="1263"/>
      <c r="R560" s="1263"/>
      <c r="S560" s="1263"/>
      <c r="T560" s="1263"/>
      <c r="U560" s="1275"/>
      <c r="V560" s="1276"/>
      <c r="W560" s="1276"/>
      <c r="X560" s="1276"/>
      <c r="Y560" s="1260"/>
      <c r="Z560" s="1412"/>
      <c r="AA560" s="1412"/>
      <c r="AB560" s="1412"/>
      <c r="AC560" s="1458"/>
      <c r="AD560" s="1412"/>
      <c r="AE560" s="1412"/>
      <c r="AF560" s="1412"/>
      <c r="AG560" s="1458"/>
      <c r="AH560" s="1412"/>
      <c r="AI560" s="1412"/>
      <c r="AJ560" s="1412"/>
      <c r="AK560" s="1458"/>
      <c r="AL560" s="1412"/>
      <c r="AM560" s="1412"/>
      <c r="AN560" s="1412"/>
      <c r="AO560" s="1458"/>
      <c r="AP560" s="1412"/>
      <c r="AQ560" s="1412"/>
      <c r="AR560" s="1634"/>
      <c r="AS560" s="1412"/>
      <c r="AT560" s="1412"/>
      <c r="AU560" s="1412"/>
      <c r="AV560" s="1634"/>
      <c r="AW560" s="1412"/>
      <c r="AX560" s="1412"/>
      <c r="AY560" s="1412"/>
      <c r="AZ560" s="1634"/>
      <c r="BA560" s="1412"/>
      <c r="BB560" s="1412"/>
      <c r="BC560" s="1412"/>
      <c r="BD560" s="1412"/>
      <c r="BE560" s="1222"/>
      <c r="BF560" s="1264"/>
      <c r="BG560" s="1263"/>
      <c r="BH560" s="1263"/>
      <c r="BI560" s="901"/>
      <c r="BJ560" s="901"/>
      <c r="BK560" s="901"/>
      <c r="BL560" s="901"/>
      <c r="BM560" s="403"/>
      <c r="BN560" s="1260"/>
      <c r="BO560" s="403"/>
      <c r="BP560" s="403"/>
      <c r="BQ560" s="403"/>
      <c r="BR560" s="403"/>
      <c r="BS560" s="403"/>
      <c r="BT560" s="403"/>
      <c r="BU560" s="403"/>
      <c r="BV560" s="403"/>
      <c r="BW560" s="403"/>
      <c r="BX560" s="403"/>
      <c r="BY560" s="1261"/>
      <c r="BZ560" s="1268"/>
      <c r="CA560" s="36"/>
      <c r="CB560" s="36"/>
      <c r="CC560" s="36"/>
      <c r="CD560" s="36"/>
      <c r="CE560" s="36"/>
      <c r="CF560" s="36"/>
      <c r="CG560" s="36"/>
    </row>
    <row r="561" spans="1:85" ht="11.25" hidden="1" customHeight="1" outlineLevel="3">
      <c r="A561" s="36"/>
      <c r="B561" s="36"/>
      <c r="C561" s="36"/>
      <c r="D561" s="36"/>
      <c r="E561" s="36"/>
      <c r="F561" s="36"/>
      <c r="G561" s="36"/>
      <c r="I561" s="1274"/>
      <c r="J561" s="5"/>
      <c r="K561" s="5"/>
      <c r="L561" s="5"/>
      <c r="M561" s="1263"/>
      <c r="N561" s="1263"/>
      <c r="O561" s="1263"/>
      <c r="P561" s="1263"/>
      <c r="Q561" s="1263"/>
      <c r="R561" s="1263"/>
      <c r="S561" s="1263"/>
      <c r="T561" s="1263"/>
      <c r="U561" s="1275"/>
      <c r="V561" s="1276"/>
      <c r="W561" s="1276"/>
      <c r="X561" s="1276"/>
      <c r="Y561" s="1260"/>
      <c r="Z561" s="1412"/>
      <c r="AA561" s="1412"/>
      <c r="AB561" s="1412"/>
      <c r="AC561" s="1458"/>
      <c r="AD561" s="1412"/>
      <c r="AE561" s="1412"/>
      <c r="AF561" s="1412"/>
      <c r="AG561" s="1458"/>
      <c r="AH561" s="1412"/>
      <c r="AI561" s="1412"/>
      <c r="AJ561" s="1412"/>
      <c r="AK561" s="1458"/>
      <c r="AL561" s="1412"/>
      <c r="AM561" s="1412"/>
      <c r="AN561" s="1412"/>
      <c r="AO561" s="1458"/>
      <c r="AP561" s="1412"/>
      <c r="AQ561" s="1412"/>
      <c r="AR561" s="1634"/>
      <c r="AS561" s="1412"/>
      <c r="AT561" s="1412"/>
      <c r="AU561" s="1412"/>
      <c r="AV561" s="1412"/>
      <c r="AW561" s="1458"/>
      <c r="AX561" s="1412"/>
      <c r="AY561" s="1412"/>
      <c r="AZ561" s="1634"/>
      <c r="BA561" s="1412"/>
      <c r="BB561" s="1412"/>
      <c r="BC561" s="1412"/>
      <c r="BD561" s="1412"/>
      <c r="BE561" s="1222"/>
      <c r="BF561" s="1264"/>
      <c r="BG561" s="1263"/>
      <c r="BH561" s="1263"/>
      <c r="BI561" s="901"/>
      <c r="BJ561" s="901"/>
      <c r="BK561" s="901"/>
      <c r="BL561" s="901"/>
      <c r="BM561" s="403"/>
      <c r="BN561" s="1260"/>
      <c r="BO561" s="403"/>
      <c r="BP561" s="403"/>
      <c r="BQ561" s="403"/>
      <c r="BR561" s="403"/>
      <c r="BS561" s="403"/>
      <c r="BT561" s="403"/>
      <c r="BU561" s="403"/>
      <c r="BV561" s="403"/>
      <c r="BW561" s="403"/>
      <c r="BX561" s="403"/>
      <c r="BY561" s="1261"/>
      <c r="BZ561" s="1268"/>
      <c r="CA561" s="36"/>
      <c r="CB561" s="36"/>
      <c r="CC561" s="36"/>
      <c r="CD561" s="36"/>
      <c r="CE561" s="36"/>
      <c r="CF561" s="36"/>
      <c r="CG561" s="36"/>
    </row>
    <row r="562" spans="1:85" s="1524" customFormat="1" ht="11.25" hidden="1" customHeight="1" outlineLevel="2" collapsed="1">
      <c r="I562" s="1525" t="s">
        <v>261</v>
      </c>
      <c r="J562" s="1526"/>
      <c r="K562" s="1526"/>
      <c r="L562" s="1526"/>
      <c r="M562" s="1527">
        <v>8</v>
      </c>
      <c r="N562" s="1527">
        <v>9</v>
      </c>
      <c r="O562" s="1527">
        <v>11</v>
      </c>
      <c r="P562" s="1527">
        <v>11</v>
      </c>
      <c r="Q562" s="1527">
        <v>13</v>
      </c>
      <c r="R562" s="1527">
        <v>15</v>
      </c>
      <c r="S562" s="1527">
        <v>19</v>
      </c>
      <c r="T562" s="1527">
        <v>23.7</v>
      </c>
      <c r="U562" s="1528">
        <v>27</v>
      </c>
      <c r="V562" s="1527">
        <v>31.8</v>
      </c>
      <c r="W562" s="1527">
        <v>36</v>
      </c>
      <c r="X562" s="1529">
        <v>39.799999999999997</v>
      </c>
      <c r="Y562" s="1527">
        <v>44.7</v>
      </c>
      <c r="Z562" s="1527">
        <v>51.4</v>
      </c>
      <c r="AA562" s="1527">
        <v>57.2</v>
      </c>
      <c r="AB562" s="1527">
        <v>67.2</v>
      </c>
      <c r="AC562" s="1528">
        <v>74</v>
      </c>
      <c r="AD562" s="1527">
        <v>79.900000000000006</v>
      </c>
      <c r="AE562" s="1527">
        <v>86.2</v>
      </c>
      <c r="AF562" s="1527">
        <v>93.7</v>
      </c>
      <c r="AG562" s="1530">
        <f t="shared" ref="AG562:BD562" si="1095">AF562+AG563</f>
        <v>99.7</v>
      </c>
      <c r="AH562" s="1531">
        <f t="shared" si="1095"/>
        <v>105.7</v>
      </c>
      <c r="AI562" s="1531">
        <f t="shared" si="1095"/>
        <v>112.7</v>
      </c>
      <c r="AJ562" s="1532">
        <f t="shared" si="1095"/>
        <v>121.7</v>
      </c>
      <c r="AK562" s="1531">
        <f t="shared" si="1095"/>
        <v>130.69999999999999</v>
      </c>
      <c r="AL562" s="1531">
        <f t="shared" si="1095"/>
        <v>139.69999999999999</v>
      </c>
      <c r="AM562" s="1531">
        <f t="shared" si="1095"/>
        <v>148.69999999999999</v>
      </c>
      <c r="AN562" s="1532">
        <f t="shared" si="1095"/>
        <v>157.69999999999999</v>
      </c>
      <c r="AO562" s="1531">
        <f t="shared" si="1095"/>
        <v>166.7</v>
      </c>
      <c r="AP562" s="1531">
        <f t="shared" si="1095"/>
        <v>175.7</v>
      </c>
      <c r="AQ562" s="1531">
        <f t="shared" si="1095"/>
        <v>184.7</v>
      </c>
      <c r="AR562" s="1532">
        <f t="shared" si="1095"/>
        <v>193.7</v>
      </c>
      <c r="AS562" s="1531">
        <f t="shared" si="1095"/>
        <v>202.7</v>
      </c>
      <c r="AT562" s="1531">
        <f t="shared" si="1095"/>
        <v>211.7</v>
      </c>
      <c r="AU562" s="1531">
        <f t="shared" si="1095"/>
        <v>220.7</v>
      </c>
      <c r="AV562" s="1532">
        <f t="shared" si="1095"/>
        <v>229.7</v>
      </c>
      <c r="AW562" s="1531">
        <f t="shared" si="1095"/>
        <v>238.7</v>
      </c>
      <c r="AX562" s="1531">
        <f t="shared" si="1095"/>
        <v>247.7</v>
      </c>
      <c r="AY562" s="1531">
        <f t="shared" si="1095"/>
        <v>256.7</v>
      </c>
      <c r="AZ562" s="1532">
        <f t="shared" si="1095"/>
        <v>265.7</v>
      </c>
      <c r="BA562" s="1531">
        <f t="shared" si="1095"/>
        <v>274.7</v>
      </c>
      <c r="BB562" s="1531">
        <f t="shared" si="1095"/>
        <v>283.7</v>
      </c>
      <c r="BC562" s="1531">
        <f t="shared" si="1095"/>
        <v>292.7</v>
      </c>
      <c r="BD562" s="1532">
        <f t="shared" si="1095"/>
        <v>301.7</v>
      </c>
      <c r="BE562" s="1531"/>
      <c r="BF562" s="1533"/>
      <c r="BH562" s="1527">
        <v>4</v>
      </c>
      <c r="BI562" s="1527">
        <v>7</v>
      </c>
      <c r="BJ562" s="1534">
        <f>P562</f>
        <v>11</v>
      </c>
      <c r="BK562" s="1534">
        <f>T562</f>
        <v>23.7</v>
      </c>
      <c r="BL562" s="1534">
        <f>X562</f>
        <v>39.799999999999997</v>
      </c>
      <c r="BM562" s="1535">
        <f>AB562</f>
        <v>67.2</v>
      </c>
      <c r="BN562" s="1798">
        <f>AF562</f>
        <v>93.7</v>
      </c>
      <c r="BO562" s="1535">
        <f>AJ562</f>
        <v>121.7</v>
      </c>
      <c r="BP562" s="1536"/>
      <c r="BQ562" s="1536"/>
      <c r="BR562" s="1536"/>
      <c r="BS562" s="1536"/>
      <c r="BT562" s="1536"/>
      <c r="BU562" s="1536"/>
      <c r="BV562" s="1536"/>
      <c r="BW562" s="1536"/>
      <c r="BX562" s="1536"/>
      <c r="BY562" s="1537"/>
      <c r="BZ562" s="1538"/>
      <c r="CA562" s="1539">
        <f>IF(ISERROR(RATE(5,,-BI562,BN562)),"NM",(RATE(5,,-BI562,BN562)))</f>
        <v>0.68007361017862855</v>
      </c>
      <c r="CB562" s="1539">
        <f t="shared" ref="CB562:CG562" si="1096">IF(ISERROR(RATE(3,,-BK562,BN562)),"NM",(RATE(3,,-BK562,BN562)))</f>
        <v>0.58123741362805426</v>
      </c>
      <c r="CC562" s="1539">
        <f t="shared" si="1096"/>
        <v>0.45145141149052109</v>
      </c>
      <c r="CD562" s="1539">
        <f t="shared" si="1096"/>
        <v>-0.99999974478297993</v>
      </c>
      <c r="CE562" s="1539">
        <f t="shared" si="1096"/>
        <v>-0.99999974478297993</v>
      </c>
      <c r="CF562" s="1539">
        <f t="shared" si="1096"/>
        <v>-0.99999974478297993</v>
      </c>
      <c r="CG562" s="1539" t="str">
        <f t="shared" si="1096"/>
        <v>NM</v>
      </c>
    </row>
    <row r="563" spans="1:85" s="1552" customFormat="1" ht="11.25" hidden="1" customHeight="1" outlineLevel="2">
      <c r="A563" s="1540"/>
      <c r="B563" s="1540"/>
      <c r="C563" s="1540"/>
      <c r="D563" s="1540"/>
      <c r="E563" s="1540"/>
      <c r="F563" s="1540"/>
      <c r="G563" s="1540"/>
      <c r="H563" s="1540"/>
      <c r="I563" s="1541" t="s">
        <v>427</v>
      </c>
      <c r="J563" s="1542"/>
      <c r="K563" s="1543"/>
      <c r="L563" s="1543"/>
      <c r="M563" s="1544"/>
      <c r="N563" s="1543">
        <f t="shared" ref="N563:AB563" si="1097">N562-M562</f>
        <v>1</v>
      </c>
      <c r="O563" s="1543">
        <f t="shared" si="1097"/>
        <v>2</v>
      </c>
      <c r="P563" s="1543">
        <f t="shared" si="1097"/>
        <v>0</v>
      </c>
      <c r="Q563" s="1543">
        <f t="shared" si="1097"/>
        <v>2</v>
      </c>
      <c r="R563" s="1543">
        <f t="shared" si="1097"/>
        <v>2</v>
      </c>
      <c r="S563" s="1543">
        <f t="shared" si="1097"/>
        <v>4</v>
      </c>
      <c r="T563" s="1543">
        <f t="shared" si="1097"/>
        <v>4.6999999999999993</v>
      </c>
      <c r="U563" s="1545">
        <f t="shared" si="1097"/>
        <v>3.3000000000000007</v>
      </c>
      <c r="V563" s="1543">
        <f t="shared" si="1097"/>
        <v>4.8000000000000007</v>
      </c>
      <c r="W563" s="1543">
        <f t="shared" si="1097"/>
        <v>4.1999999999999993</v>
      </c>
      <c r="X563" s="1546">
        <f t="shared" si="1097"/>
        <v>3.7999999999999972</v>
      </c>
      <c r="Y563" s="1543">
        <f t="shared" si="1097"/>
        <v>4.9000000000000057</v>
      </c>
      <c r="Z563" s="1543">
        <f t="shared" si="1097"/>
        <v>6.6999999999999957</v>
      </c>
      <c r="AA563" s="1543">
        <f t="shared" si="1097"/>
        <v>5.8000000000000043</v>
      </c>
      <c r="AB563" s="1543">
        <f t="shared" si="1097"/>
        <v>10</v>
      </c>
      <c r="AC563" s="1545">
        <f>AC562-AB562</f>
        <v>6.7999999999999972</v>
      </c>
      <c r="AD563" s="1543">
        <f>AD562-AC562</f>
        <v>5.9000000000000057</v>
      </c>
      <c r="AE563" s="1543">
        <f>AE562-AD562</f>
        <v>6.2999999999999972</v>
      </c>
      <c r="AF563" s="1543">
        <f>AF562-AE562</f>
        <v>7.5</v>
      </c>
      <c r="AG563" s="1547">
        <v>6</v>
      </c>
      <c r="AH563" s="1548">
        <v>6</v>
      </c>
      <c r="AI563" s="1548">
        <v>7</v>
      </c>
      <c r="AJ563" s="1549">
        <v>9</v>
      </c>
      <c r="AK563" s="1548">
        <v>9</v>
      </c>
      <c r="AL563" s="1548">
        <v>9</v>
      </c>
      <c r="AM563" s="1548">
        <v>9</v>
      </c>
      <c r="AN563" s="1549">
        <v>9</v>
      </c>
      <c r="AO563" s="1548">
        <v>9</v>
      </c>
      <c r="AP563" s="1548">
        <v>9</v>
      </c>
      <c r="AQ563" s="1548">
        <v>9</v>
      </c>
      <c r="AR563" s="1549">
        <v>9</v>
      </c>
      <c r="AS563" s="1548">
        <v>9</v>
      </c>
      <c r="AT563" s="1548">
        <v>9</v>
      </c>
      <c r="AU563" s="1548">
        <v>9</v>
      </c>
      <c r="AV563" s="1549">
        <v>9</v>
      </c>
      <c r="AW563" s="1548">
        <v>9</v>
      </c>
      <c r="AX563" s="1548">
        <v>9</v>
      </c>
      <c r="AY563" s="1548">
        <v>9</v>
      </c>
      <c r="AZ563" s="1549">
        <v>9</v>
      </c>
      <c r="BA563" s="1548">
        <v>9</v>
      </c>
      <c r="BB563" s="1548">
        <v>9</v>
      </c>
      <c r="BC563" s="1548">
        <v>9</v>
      </c>
      <c r="BD563" s="1549">
        <v>9</v>
      </c>
      <c r="BE563" s="1548"/>
      <c r="BF563" s="1550"/>
      <c r="BG563" s="1551"/>
      <c r="BH563" s="1551"/>
      <c r="BM563" s="1524"/>
      <c r="BN563" s="1651"/>
      <c r="BO563" s="1524"/>
      <c r="BP563" s="1524"/>
      <c r="BQ563" s="1524"/>
      <c r="BR563" s="1524"/>
      <c r="BS563" s="1524"/>
      <c r="BT563" s="1524"/>
      <c r="BU563" s="1524"/>
      <c r="BV563" s="1524"/>
      <c r="BW563" s="1524"/>
      <c r="BX563" s="1524"/>
      <c r="BY563" s="1554"/>
      <c r="BZ563" s="1551"/>
      <c r="CA563" s="1555"/>
      <c r="CB563" s="1556"/>
      <c r="CC563" s="1556"/>
      <c r="CD563" s="1556"/>
      <c r="CE563" s="1556"/>
      <c r="CF563" s="1556"/>
      <c r="CG563" s="1556"/>
    </row>
    <row r="564" spans="1:85" s="1552" customFormat="1" ht="11.25" hidden="1" customHeight="1" outlineLevel="2">
      <c r="A564" s="1540"/>
      <c r="B564" s="1540"/>
      <c r="C564" s="1540"/>
      <c r="D564" s="1540"/>
      <c r="E564" s="1540"/>
      <c r="F564" s="1540"/>
      <c r="G564" s="1540"/>
      <c r="H564" s="1540"/>
      <c r="I564" s="1557" t="s">
        <v>380</v>
      </c>
      <c r="J564" s="1542"/>
      <c r="K564" s="1543"/>
      <c r="L564" s="1543"/>
      <c r="M564" s="1544"/>
      <c r="N564" s="1543"/>
      <c r="O564" s="1543"/>
      <c r="P564" s="1543"/>
      <c r="Q564" s="1558">
        <f>Q562-M562</f>
        <v>5</v>
      </c>
      <c r="R564" s="1559">
        <f t="shared" ref="R564:AJ564" si="1098">R562-N562</f>
        <v>6</v>
      </c>
      <c r="S564" s="1559">
        <f t="shared" si="1098"/>
        <v>8</v>
      </c>
      <c r="T564" s="1559">
        <f t="shared" si="1098"/>
        <v>12.7</v>
      </c>
      <c r="U564" s="1560">
        <f t="shared" si="1098"/>
        <v>14</v>
      </c>
      <c r="V564" s="1559">
        <f t="shared" si="1098"/>
        <v>16.8</v>
      </c>
      <c r="W564" s="1559">
        <f t="shared" si="1098"/>
        <v>17</v>
      </c>
      <c r="X564" s="1561">
        <f t="shared" si="1098"/>
        <v>16.099999999999998</v>
      </c>
      <c r="Y564" s="1559">
        <f t="shared" si="1098"/>
        <v>17.700000000000003</v>
      </c>
      <c r="Z564" s="1559">
        <f t="shared" si="1098"/>
        <v>19.599999999999998</v>
      </c>
      <c r="AA564" s="1559">
        <f t="shared" si="1098"/>
        <v>21.200000000000003</v>
      </c>
      <c r="AB564" s="1559">
        <f t="shared" si="1098"/>
        <v>27.400000000000006</v>
      </c>
      <c r="AC564" s="1560">
        <f t="shared" si="1098"/>
        <v>29.299999999999997</v>
      </c>
      <c r="AD564" s="1559">
        <f t="shared" si="1098"/>
        <v>28.500000000000007</v>
      </c>
      <c r="AE564" s="1559">
        <f t="shared" si="1098"/>
        <v>29</v>
      </c>
      <c r="AF564" s="1559">
        <f t="shared" si="1098"/>
        <v>26.5</v>
      </c>
      <c r="AG564" s="1560">
        <f t="shared" si="1098"/>
        <v>25.700000000000003</v>
      </c>
      <c r="AH564" s="1559">
        <f t="shared" si="1098"/>
        <v>25.799999999999997</v>
      </c>
      <c r="AI564" s="1559">
        <f t="shared" si="1098"/>
        <v>26.5</v>
      </c>
      <c r="AJ564" s="1561">
        <f t="shared" si="1098"/>
        <v>28</v>
      </c>
      <c r="AK564" s="1559">
        <f t="shared" ref="AK564:BD564" si="1099">AK562-AG562</f>
        <v>30.999999999999986</v>
      </c>
      <c r="AL564" s="1559">
        <f t="shared" si="1099"/>
        <v>33.999999999999986</v>
      </c>
      <c r="AM564" s="1559">
        <f t="shared" si="1099"/>
        <v>35.999999999999986</v>
      </c>
      <c r="AN564" s="1561">
        <f t="shared" si="1099"/>
        <v>35.999999999999986</v>
      </c>
      <c r="AO564" s="1559">
        <f t="shared" si="1099"/>
        <v>36</v>
      </c>
      <c r="AP564" s="1559">
        <f t="shared" si="1099"/>
        <v>36</v>
      </c>
      <c r="AQ564" s="1559">
        <f t="shared" si="1099"/>
        <v>36</v>
      </c>
      <c r="AR564" s="1561">
        <f t="shared" si="1099"/>
        <v>36</v>
      </c>
      <c r="AS564" s="1559">
        <f t="shared" si="1099"/>
        <v>36</v>
      </c>
      <c r="AT564" s="1559">
        <f t="shared" si="1099"/>
        <v>36</v>
      </c>
      <c r="AU564" s="1559">
        <f t="shared" si="1099"/>
        <v>36</v>
      </c>
      <c r="AV564" s="1561">
        <f t="shared" si="1099"/>
        <v>36</v>
      </c>
      <c r="AW564" s="1559">
        <f t="shared" si="1099"/>
        <v>36</v>
      </c>
      <c r="AX564" s="1559">
        <f t="shared" si="1099"/>
        <v>36</v>
      </c>
      <c r="AY564" s="1559">
        <f t="shared" si="1099"/>
        <v>36</v>
      </c>
      <c r="AZ564" s="1561">
        <f t="shared" si="1099"/>
        <v>36</v>
      </c>
      <c r="BA564" s="1559">
        <f t="shared" si="1099"/>
        <v>36</v>
      </c>
      <c r="BB564" s="1559">
        <f t="shared" si="1099"/>
        <v>36</v>
      </c>
      <c r="BC564" s="1559">
        <f t="shared" si="1099"/>
        <v>36</v>
      </c>
      <c r="BD564" s="1561">
        <f t="shared" si="1099"/>
        <v>36</v>
      </c>
      <c r="BE564" s="1559"/>
      <c r="BF564" s="1550"/>
      <c r="BG564" s="1551"/>
      <c r="BH564" s="1551"/>
      <c r="BI564" s="1562">
        <f t="shared" ref="BI564:BO564" si="1100">BI562-BH562</f>
        <v>3</v>
      </c>
      <c r="BJ564" s="1562">
        <f t="shared" si="1100"/>
        <v>4</v>
      </c>
      <c r="BK564" s="1562">
        <f t="shared" si="1100"/>
        <v>12.7</v>
      </c>
      <c r="BL564" s="1562">
        <f t="shared" si="1100"/>
        <v>16.099999999999998</v>
      </c>
      <c r="BM564" s="1562">
        <f t="shared" si="1100"/>
        <v>27.400000000000006</v>
      </c>
      <c r="BN564" s="1799">
        <f t="shared" si="1100"/>
        <v>26.5</v>
      </c>
      <c r="BO564" s="1562">
        <f t="shared" si="1100"/>
        <v>28</v>
      </c>
      <c r="BP564" s="1562"/>
      <c r="BQ564" s="1548"/>
      <c r="BR564" s="1548"/>
      <c r="BS564" s="1548"/>
      <c r="BT564" s="1548"/>
      <c r="BU564" s="1548"/>
      <c r="BV564" s="1548"/>
      <c r="BW564" s="1548"/>
      <c r="BX564" s="1548"/>
      <c r="BY564" s="1549"/>
      <c r="BZ564" s="1551"/>
      <c r="CA564" s="1555"/>
      <c r="CB564" s="1556"/>
      <c r="CC564" s="1556"/>
      <c r="CD564" s="1556"/>
      <c r="CE564" s="1556"/>
      <c r="CF564" s="1556"/>
      <c r="CG564" s="1556"/>
    </row>
    <row r="565" spans="1:85" s="1524" customFormat="1" ht="11.25" hidden="1" customHeight="1" outlineLevel="2">
      <c r="I565" s="1563" t="s">
        <v>132</v>
      </c>
      <c r="M565" s="1564" t="str">
        <f>IF(ISERROR(M562/I562-1),"NA",(IF(M562&lt;=0,"NM",M562/I562-1)))</f>
        <v>NA</v>
      </c>
      <c r="N565" s="1564" t="str">
        <f>IF(ISERROR(N562/J562-1),"NA",(IF(N562&lt;=0,"NM",N562/J562-1)))</f>
        <v>NA</v>
      </c>
      <c r="O565" s="1564" t="str">
        <f>IF(ISERROR(O562/K562-1),"NA",(IF(O562&lt;=0,"NM",O562/K562-1)))</f>
        <v>NA</v>
      </c>
      <c r="P565" s="1564" t="str">
        <f>IF(ISERROR(P562/L562-1),"NA",(IF(P562&lt;=0,"NM",P562/L562-1)))</f>
        <v>NA</v>
      </c>
      <c r="Q565" s="1564">
        <f>IF(ISERROR(Q562/M562-1),"NA",(IF(Q562&lt;=0,"NM",Q562/M562-1)))</f>
        <v>0.625</v>
      </c>
      <c r="R565" s="1564">
        <f t="shared" ref="R565:AB565" si="1101">IF(ISERROR(R562/N562-1),"NA",(IF(R562&lt;=0,"NM",R562/N562-1)))</f>
        <v>0.66666666666666674</v>
      </c>
      <c r="S565" s="1564">
        <f t="shared" si="1101"/>
        <v>0.72727272727272729</v>
      </c>
      <c r="T565" s="1564">
        <f t="shared" si="1101"/>
        <v>1.1545454545454543</v>
      </c>
      <c r="U565" s="1565">
        <f t="shared" si="1101"/>
        <v>1.0769230769230771</v>
      </c>
      <c r="V565" s="1564">
        <f t="shared" si="1101"/>
        <v>1.1200000000000001</v>
      </c>
      <c r="W565" s="1564">
        <f t="shared" si="1101"/>
        <v>0.89473684210526305</v>
      </c>
      <c r="X565" s="1566">
        <f>IF(ISERROR(X562/T562-1),"NA",(IF(X562&lt;=0,"NM",X562/T562-1)))</f>
        <v>0.67932489451476785</v>
      </c>
      <c r="Y565" s="1564">
        <f>IF(ISERROR(Y562/U562-1),"NA",(IF(Y562&lt;=0,"NM",Y562/U562-1)))</f>
        <v>0.65555555555555567</v>
      </c>
      <c r="Z565" s="1564">
        <f t="shared" si="1101"/>
        <v>0.6163522012578615</v>
      </c>
      <c r="AA565" s="1564">
        <f t="shared" si="1101"/>
        <v>0.58888888888888902</v>
      </c>
      <c r="AB565" s="1564">
        <f t="shared" si="1101"/>
        <v>0.68844221105527659</v>
      </c>
      <c r="AC565" s="1565">
        <f t="shared" ref="AC565:AJ565" si="1102">IF(ISERROR(AC562/Y562-1),"NA",(IF(AC562&lt;=0,"NM",AC562/Y562-1)))</f>
        <v>0.65548098434004465</v>
      </c>
      <c r="AD565" s="1564">
        <f t="shared" si="1102"/>
        <v>0.55447470817120648</v>
      </c>
      <c r="AE565" s="1564">
        <f t="shared" si="1102"/>
        <v>0.50699300699300687</v>
      </c>
      <c r="AF565" s="1564">
        <f t="shared" si="1102"/>
        <v>0.39434523809523814</v>
      </c>
      <c r="AG565" s="1565">
        <f t="shared" si="1102"/>
        <v>0.34729729729729741</v>
      </c>
      <c r="AH565" s="1564">
        <f t="shared" si="1102"/>
        <v>0.3229036295369212</v>
      </c>
      <c r="AI565" s="1564">
        <f t="shared" si="1102"/>
        <v>0.30742459396751731</v>
      </c>
      <c r="AJ565" s="1566">
        <f t="shared" si="1102"/>
        <v>0.29882604055496254</v>
      </c>
      <c r="AK565" s="1564">
        <f t="shared" ref="AK565:BD565" si="1103">IF(ISERROR(AK562/AG562-1),"NA",(IF(AK562&lt;=0,"NM",AK562/AG562-1)))</f>
        <v>0.31093279839518551</v>
      </c>
      <c r="AL565" s="1564">
        <f t="shared" si="1103"/>
        <v>0.32166508987701037</v>
      </c>
      <c r="AM565" s="1564">
        <f t="shared" si="1103"/>
        <v>0.31943212067435667</v>
      </c>
      <c r="AN565" s="1566">
        <f t="shared" si="1103"/>
        <v>0.29580936729663088</v>
      </c>
      <c r="AO565" s="1564">
        <f t="shared" si="1103"/>
        <v>0.27543993879112483</v>
      </c>
      <c r="AP565" s="1564">
        <f t="shared" si="1103"/>
        <v>0.25769506084466709</v>
      </c>
      <c r="AQ565" s="1564">
        <f t="shared" si="1103"/>
        <v>0.24209818426361807</v>
      </c>
      <c r="AR565" s="1566">
        <f t="shared" si="1103"/>
        <v>0.22828154724159799</v>
      </c>
      <c r="AS565" s="1564">
        <f t="shared" si="1103"/>
        <v>0.21595680863827238</v>
      </c>
      <c r="AT565" s="1564">
        <f t="shared" si="1103"/>
        <v>0.20489470688673883</v>
      </c>
      <c r="AU565" s="1564">
        <f t="shared" si="1103"/>
        <v>0.19491066594477524</v>
      </c>
      <c r="AV565" s="1566">
        <f t="shared" si="1103"/>
        <v>0.18585441404233349</v>
      </c>
      <c r="AW565" s="1564">
        <f t="shared" si="1103"/>
        <v>0.1776023680315737</v>
      </c>
      <c r="AX565" s="1564">
        <f t="shared" si="1103"/>
        <v>0.17005196032120917</v>
      </c>
      <c r="AY565" s="1564">
        <f t="shared" si="1103"/>
        <v>0.16311735387403714</v>
      </c>
      <c r="AZ565" s="1566">
        <f t="shared" si="1103"/>
        <v>0.1567261645624729</v>
      </c>
      <c r="BA565" s="1564">
        <f t="shared" si="1103"/>
        <v>0.15081692501047339</v>
      </c>
      <c r="BB565" s="1564">
        <f t="shared" si="1103"/>
        <v>0.14533710133225686</v>
      </c>
      <c r="BC565" s="1564">
        <f t="shared" si="1103"/>
        <v>0.14024152707440596</v>
      </c>
      <c r="BD565" s="1566">
        <f t="shared" si="1103"/>
        <v>0.13549115543846435</v>
      </c>
      <c r="BE565" s="1564"/>
      <c r="BF565" s="1567"/>
      <c r="BH565" s="1564" t="str">
        <f t="shared" ref="BH565:BO565" si="1104">IF(ISERROR(BH562/BG562-1),"NA",(IF(BH562&lt;=0,"NM",BH562/BG562-1)))</f>
        <v>NA</v>
      </c>
      <c r="BI565" s="1564">
        <f t="shared" si="1104"/>
        <v>0.75</v>
      </c>
      <c r="BJ565" s="1564">
        <f t="shared" si="1104"/>
        <v>0.5714285714285714</v>
      </c>
      <c r="BK565" s="1564">
        <f t="shared" si="1104"/>
        <v>1.1545454545454543</v>
      </c>
      <c r="BL565" s="1564">
        <f t="shared" si="1104"/>
        <v>0.67932489451476785</v>
      </c>
      <c r="BM565" s="1564">
        <f t="shared" si="1104"/>
        <v>0.68844221105527659</v>
      </c>
      <c r="BN565" s="1652">
        <f t="shared" si="1104"/>
        <v>0.39434523809523814</v>
      </c>
      <c r="BO565" s="1564">
        <f t="shared" si="1104"/>
        <v>0.29882604055496254</v>
      </c>
      <c r="BP565" s="1564"/>
      <c r="BQ565" s="1564"/>
      <c r="BR565" s="1564"/>
      <c r="BS565" s="1564"/>
      <c r="BT565" s="1564"/>
      <c r="BU565" s="1564"/>
      <c r="BV565" s="1564"/>
      <c r="BW565" s="1564"/>
      <c r="BX565" s="1564"/>
      <c r="BY565" s="1566"/>
      <c r="BZ565" s="1564"/>
      <c r="CA565" s="1568"/>
      <c r="CB565" s="1568"/>
      <c r="CC565" s="1568"/>
      <c r="CD565" s="1568"/>
      <c r="CE565" s="1568"/>
      <c r="CF565" s="1568"/>
      <c r="CG565" s="1568"/>
    </row>
    <row r="566" spans="1:85" s="1524" customFormat="1" ht="11.25" hidden="1" customHeight="1" outlineLevel="2">
      <c r="I566" s="1563" t="s">
        <v>146</v>
      </c>
      <c r="M566" s="1564" t="str">
        <f t="shared" ref="M566:T566" si="1105">IF(ISERROR(M562/L562-1),"NA",(IF(M562&lt;=0,"NM",M562/L562-1)))</f>
        <v>NA</v>
      </c>
      <c r="N566" s="1564">
        <f t="shared" si="1105"/>
        <v>0.125</v>
      </c>
      <c r="O566" s="1564">
        <f t="shared" si="1105"/>
        <v>0.22222222222222232</v>
      </c>
      <c r="P566" s="1564">
        <f t="shared" si="1105"/>
        <v>0</v>
      </c>
      <c r="Q566" s="1564">
        <f t="shared" si="1105"/>
        <v>0.18181818181818188</v>
      </c>
      <c r="R566" s="1564">
        <f t="shared" si="1105"/>
        <v>0.15384615384615374</v>
      </c>
      <c r="S566" s="1564">
        <f t="shared" si="1105"/>
        <v>0.26666666666666661</v>
      </c>
      <c r="T566" s="1564">
        <f t="shared" si="1105"/>
        <v>0.24736842105263146</v>
      </c>
      <c r="U566" s="1565">
        <f t="shared" ref="U566:AB566" si="1106">IF(ISERROR(U562/T562-1),"NA",(IF(U562&lt;=0,"NM",U562/T562-1)))</f>
        <v>0.139240506329114</v>
      </c>
      <c r="V566" s="1564">
        <f t="shared" si="1106"/>
        <v>0.17777777777777781</v>
      </c>
      <c r="W566" s="1564">
        <f t="shared" si="1106"/>
        <v>0.13207547169811318</v>
      </c>
      <c r="X566" s="1566">
        <f t="shared" si="1106"/>
        <v>0.1055555555555554</v>
      </c>
      <c r="Y566" s="1564">
        <f t="shared" si="1106"/>
        <v>0.12311557788944749</v>
      </c>
      <c r="Z566" s="1564">
        <f>IF(ISERROR(Z562/Y562-1),"NA",(IF(Z562&lt;=0,"NM",Z562/Y562-1)))</f>
        <v>0.1498881431767336</v>
      </c>
      <c r="AA566" s="1564">
        <f t="shared" si="1106"/>
        <v>0.11284046692607008</v>
      </c>
      <c r="AB566" s="1564">
        <f t="shared" si="1106"/>
        <v>0.17482517482517479</v>
      </c>
      <c r="AC566" s="1565">
        <f t="shared" ref="AC566:AJ566" si="1107">IF(ISERROR(AC562/AB562-1),"NA",(IF(AC562&lt;=0,"NM",AC562/AB562-1)))</f>
        <v>0.10119047619047605</v>
      </c>
      <c r="AD566" s="1564">
        <f t="shared" si="1107"/>
        <v>7.9729729729729915E-2</v>
      </c>
      <c r="AE566" s="1564">
        <f t="shared" si="1107"/>
        <v>7.884856070087598E-2</v>
      </c>
      <c r="AF566" s="1564">
        <f t="shared" si="1107"/>
        <v>8.7006960556844648E-2</v>
      </c>
      <c r="AG566" s="1565">
        <f t="shared" si="1107"/>
        <v>6.4034151547492035E-2</v>
      </c>
      <c r="AH566" s="1564">
        <f t="shared" si="1107"/>
        <v>6.0180541624874628E-2</v>
      </c>
      <c r="AI566" s="1564">
        <f t="shared" si="1107"/>
        <v>6.6225165562913801E-2</v>
      </c>
      <c r="AJ566" s="1566">
        <f t="shared" si="1107"/>
        <v>7.9858030168589167E-2</v>
      </c>
      <c r="AK566" s="1564">
        <f t="shared" ref="AK566:BD566" si="1108">IF(ISERROR(AK562/AJ562-1),"NA",(IF(AK562&lt;=0,"NM",AK562/AJ562-1)))</f>
        <v>7.3952341824157664E-2</v>
      </c>
      <c r="AL566" s="1564">
        <f t="shared" si="1108"/>
        <v>6.8859984697781096E-2</v>
      </c>
      <c r="AM566" s="1564">
        <f t="shared" si="1108"/>
        <v>6.4423765211166772E-2</v>
      </c>
      <c r="AN566" s="1566">
        <f t="shared" si="1108"/>
        <v>6.0524546065904516E-2</v>
      </c>
      <c r="AO566" s="1564">
        <f t="shared" si="1108"/>
        <v>5.7070386810399443E-2</v>
      </c>
      <c r="AP566" s="1564">
        <f t="shared" si="1108"/>
        <v>5.3989202159568039E-2</v>
      </c>
      <c r="AQ566" s="1564">
        <f t="shared" si="1108"/>
        <v>5.1223676721684708E-2</v>
      </c>
      <c r="AR566" s="1566">
        <f t="shared" si="1108"/>
        <v>4.8727666486193755E-2</v>
      </c>
      <c r="AS566" s="1564">
        <f t="shared" si="1108"/>
        <v>4.6463603510583429E-2</v>
      </c>
      <c r="AT566" s="1564">
        <f t="shared" si="1108"/>
        <v>4.4400592007893369E-2</v>
      </c>
      <c r="AU566" s="1564">
        <f t="shared" si="1108"/>
        <v>4.2512990080302293E-2</v>
      </c>
      <c r="AV566" s="1566">
        <f t="shared" si="1108"/>
        <v>4.0779338468509341E-2</v>
      </c>
      <c r="AW566" s="1564">
        <f t="shared" si="1108"/>
        <v>3.9181541140618226E-2</v>
      </c>
      <c r="AX566" s="1564">
        <f t="shared" si="1108"/>
        <v>3.7704231252618348E-2</v>
      </c>
      <c r="AY566" s="1564">
        <f t="shared" si="1108"/>
        <v>3.6334275333064214E-2</v>
      </c>
      <c r="AZ566" s="1566">
        <f t="shared" si="1108"/>
        <v>3.506038176860149E-2</v>
      </c>
      <c r="BA566" s="1564">
        <f t="shared" si="1108"/>
        <v>3.3872788859616199E-2</v>
      </c>
      <c r="BB566" s="1564">
        <f t="shared" si="1108"/>
        <v>3.2763014197306095E-2</v>
      </c>
      <c r="BC566" s="1564">
        <f t="shared" si="1108"/>
        <v>3.172365174480074E-2</v>
      </c>
      <c r="BD566" s="1566">
        <f t="shared" si="1108"/>
        <v>3.0748206354629382E-2</v>
      </c>
      <c r="BE566" s="1564"/>
      <c r="BF566" s="1567"/>
      <c r="BI566" s="1569"/>
      <c r="BJ566" s="1569"/>
      <c r="BK566" s="1569"/>
      <c r="BN566" s="1651"/>
      <c r="BO566" s="1544"/>
      <c r="BP566" s="1544"/>
      <c r="BQ566" s="1544"/>
      <c r="BR566" s="1544"/>
      <c r="BS566" s="1544"/>
      <c r="BT566" s="1544"/>
      <c r="BU566" s="1544"/>
      <c r="BV566" s="1544"/>
      <c r="BW566" s="1544"/>
      <c r="BX566" s="1544"/>
      <c r="BY566" s="1570"/>
      <c r="BZ566" s="1544"/>
      <c r="CA566" s="1568"/>
      <c r="CB566" s="1568"/>
      <c r="CC566" s="1568"/>
      <c r="CD566" s="1568"/>
      <c r="CE566" s="1568"/>
      <c r="CF566" s="1568"/>
      <c r="CG566" s="1568"/>
    </row>
    <row r="567" spans="1:85" s="1524" customFormat="1" ht="11.25" hidden="1" customHeight="1" outlineLevel="2">
      <c r="A567" s="1571"/>
      <c r="B567" s="1571"/>
      <c r="C567" s="1571"/>
      <c r="D567" s="1571"/>
      <c r="E567" s="1571"/>
      <c r="F567" s="1571"/>
      <c r="G567" s="1571"/>
      <c r="H567" s="1571"/>
      <c r="I567" s="1572"/>
      <c r="J567" s="1573"/>
      <c r="K567" s="1574"/>
      <c r="L567" s="1574"/>
      <c r="M567" s="1575"/>
      <c r="N567" s="1574"/>
      <c r="O567" s="1574"/>
      <c r="P567" s="1574"/>
      <c r="Q567" s="1574"/>
      <c r="R567" s="1574"/>
      <c r="S567" s="1574"/>
      <c r="T567" s="1574"/>
      <c r="U567" s="1576"/>
      <c r="V567" s="1577"/>
      <c r="W567" s="1577"/>
      <c r="X567" s="1578"/>
      <c r="Y567" s="1577"/>
      <c r="Z567" s="1577"/>
      <c r="AA567" s="1577"/>
      <c r="AB567" s="1577"/>
      <c r="AC567" s="1576"/>
      <c r="AD567" s="1577"/>
      <c r="AE567" s="1577"/>
      <c r="AF567" s="1577"/>
      <c r="AG567" s="1576"/>
      <c r="AH567" s="1577"/>
      <c r="AI567" s="1577"/>
      <c r="AJ567" s="1578"/>
      <c r="AK567" s="1577"/>
      <c r="AL567" s="1577"/>
      <c r="AM567" s="1577"/>
      <c r="AN567" s="1578"/>
      <c r="AO567" s="1577"/>
      <c r="AP567" s="1577"/>
      <c r="AQ567" s="1577"/>
      <c r="AR567" s="1578"/>
      <c r="AS567" s="1577"/>
      <c r="AT567" s="1577"/>
      <c r="AU567" s="1577"/>
      <c r="AV567" s="1578"/>
      <c r="AW567" s="1577"/>
      <c r="AX567" s="1577"/>
      <c r="AY567" s="1577"/>
      <c r="AZ567" s="1578"/>
      <c r="BA567" s="1577"/>
      <c r="BB567" s="1577"/>
      <c r="BC567" s="1577"/>
      <c r="BD567" s="1578"/>
      <c r="BE567" s="1577"/>
      <c r="BF567" s="1579"/>
      <c r="BG567" s="1574"/>
      <c r="BH567" s="1574"/>
      <c r="BI567" s="1574"/>
      <c r="BJ567" s="1574"/>
      <c r="BK567" s="1574"/>
      <c r="BL567" s="1574"/>
      <c r="BM567" s="1574"/>
      <c r="BN567" s="1579"/>
      <c r="BO567" s="1580"/>
      <c r="BP567" s="1577"/>
      <c r="BQ567" s="1577"/>
      <c r="BR567" s="1577"/>
      <c r="BS567" s="1577"/>
      <c r="BT567" s="1577"/>
      <c r="BU567" s="1577"/>
      <c r="BV567" s="1577"/>
      <c r="BW567" s="1577"/>
      <c r="BX567" s="1577"/>
      <c r="BY567" s="1578"/>
      <c r="BZ567" s="1577"/>
      <c r="CA567" s="1568"/>
      <c r="CB567" s="1564"/>
      <c r="CC567" s="1564"/>
      <c r="CD567" s="1564"/>
      <c r="CE567" s="1564"/>
      <c r="CF567" s="1564"/>
      <c r="CG567" s="1564"/>
    </row>
    <row r="568" spans="1:85" s="1524" customFormat="1" ht="11.25" hidden="1" customHeight="1" outlineLevel="2">
      <c r="A568" s="1571"/>
      <c r="B568" s="1571"/>
      <c r="C568" s="1571"/>
      <c r="D568" s="1571"/>
      <c r="E568" s="1571"/>
      <c r="F568" s="1571"/>
      <c r="G568" s="1571"/>
      <c r="H568" s="1571"/>
      <c r="I568" s="1572"/>
      <c r="J568" s="1573"/>
      <c r="K568" s="1574"/>
      <c r="L568" s="1574"/>
      <c r="M568" s="1575"/>
      <c r="N568" s="1574"/>
      <c r="O568" s="1574"/>
      <c r="P568" s="1574"/>
      <c r="Q568" s="1574"/>
      <c r="R568" s="1574"/>
      <c r="S568" s="1574"/>
      <c r="T568" s="1574"/>
      <c r="U568" s="1576"/>
      <c r="V568" s="1577"/>
      <c r="W568" s="1577"/>
      <c r="X568" s="1578"/>
      <c r="Y568" s="1577"/>
      <c r="Z568" s="1577"/>
      <c r="AA568" s="1577"/>
      <c r="AB568" s="1577"/>
      <c r="AC568" s="1576"/>
      <c r="AD568" s="1577"/>
      <c r="AE568" s="1577"/>
      <c r="AF568" s="1577"/>
      <c r="AG568" s="1576"/>
      <c r="AH568" s="1577"/>
      <c r="AI568" s="1577"/>
      <c r="AJ568" s="1578"/>
      <c r="AK568" s="1577"/>
      <c r="AL568" s="1577"/>
      <c r="AM568" s="1577"/>
      <c r="AN568" s="1578"/>
      <c r="AO568" s="1577"/>
      <c r="AP568" s="1577"/>
      <c r="AQ568" s="1577"/>
      <c r="AR568" s="1578"/>
      <c r="AS568" s="1577"/>
      <c r="AT568" s="1577"/>
      <c r="AU568" s="1577"/>
      <c r="AV568" s="1578"/>
      <c r="AW568" s="1577"/>
      <c r="AX568" s="1577"/>
      <c r="AY568" s="1577"/>
      <c r="AZ568" s="1578"/>
      <c r="BA568" s="1577"/>
      <c r="BB568" s="1577"/>
      <c r="BC568" s="1577"/>
      <c r="BD568" s="1578"/>
      <c r="BE568" s="1577"/>
      <c r="BF568" s="1579"/>
      <c r="BG568" s="1574"/>
      <c r="BH568" s="1574"/>
      <c r="BI568" s="1574"/>
      <c r="BJ568" s="1574"/>
      <c r="BK568" s="1574"/>
      <c r="BL568" s="1574"/>
      <c r="BM568" s="1574"/>
      <c r="BN568" s="1579"/>
      <c r="BO568" s="1564"/>
      <c r="BP568" s="1577"/>
      <c r="BQ568" s="1577"/>
      <c r="BR568" s="1577"/>
      <c r="BS568" s="1577"/>
      <c r="BT568" s="1577"/>
      <c r="BU568" s="1577"/>
      <c r="BV568" s="1577"/>
      <c r="BW568" s="1577"/>
      <c r="BX568" s="1577"/>
      <c r="BY568" s="1578"/>
      <c r="BZ568" s="1577"/>
      <c r="CA568" s="1568"/>
      <c r="CB568" s="1564"/>
      <c r="CC568" s="1564"/>
      <c r="CD568" s="1564"/>
      <c r="CE568" s="1564"/>
      <c r="CF568" s="1564"/>
      <c r="CG568" s="1564"/>
    </row>
    <row r="569" spans="1:85" s="1524" customFormat="1" ht="11.25" hidden="1" customHeight="1" outlineLevel="2">
      <c r="I569" s="1525" t="s">
        <v>0</v>
      </c>
      <c r="J569" s="1526"/>
      <c r="K569" s="1526"/>
      <c r="L569" s="1526"/>
      <c r="M569" s="1580">
        <f>M490/AVERAGE(M562)*1000/3</f>
        <v>295.33333333333331</v>
      </c>
      <c r="N569" s="1580">
        <f t="shared" ref="N569:BD569" si="1109">N490/AVERAGE(M562,N562)*1000/3</f>
        <v>319.68627450980387</v>
      </c>
      <c r="O569" s="1580">
        <f t="shared" si="1109"/>
        <v>296.00000000000006</v>
      </c>
      <c r="P569" s="1580">
        <f t="shared" si="1109"/>
        <v>292.09090909090907</v>
      </c>
      <c r="Q569" s="1580">
        <f t="shared" si="1109"/>
        <v>311.72222222222223</v>
      </c>
      <c r="R569" s="1580">
        <f t="shared" si="1109"/>
        <v>318.02380952380952</v>
      </c>
      <c r="S569" s="1580">
        <f t="shared" si="1109"/>
        <v>308.74509803921569</v>
      </c>
      <c r="T569" s="1580">
        <f t="shared" si="1109"/>
        <v>283.34113973458233</v>
      </c>
      <c r="U569" s="1581">
        <f t="shared" si="1109"/>
        <v>282.35371466140697</v>
      </c>
      <c r="V569" s="1580">
        <f t="shared" si="1109"/>
        <v>286.3378684807256</v>
      </c>
      <c r="W569" s="1580">
        <f t="shared" si="1109"/>
        <v>280.0884955752212</v>
      </c>
      <c r="X569" s="1582">
        <f t="shared" si="1109"/>
        <v>298.54881266490764</v>
      </c>
      <c r="Y569" s="1580">
        <f t="shared" si="1109"/>
        <v>306.63510848126231</v>
      </c>
      <c r="Z569" s="1580">
        <f t="shared" si="1109"/>
        <v>310.78737426292059</v>
      </c>
      <c r="AA569" s="1580">
        <f t="shared" si="1109"/>
        <v>314.10067526089625</v>
      </c>
      <c r="AB569" s="1580">
        <f t="shared" si="1109"/>
        <v>311.10396570203642</v>
      </c>
      <c r="AC569" s="1581">
        <f t="shared" si="1109"/>
        <v>307.83758262511805</v>
      </c>
      <c r="AD569" s="1580">
        <f t="shared" si="1109"/>
        <v>327.85358457873076</v>
      </c>
      <c r="AE569" s="1580">
        <f t="shared" si="1109"/>
        <v>341.68974513345375</v>
      </c>
      <c r="AF569" s="1580">
        <f t="shared" si="1109"/>
        <v>345.00648508430601</v>
      </c>
      <c r="AG569" s="1581">
        <f t="shared" si="1109"/>
        <v>339.77938641847635</v>
      </c>
      <c r="AH569" s="1580">
        <f t="shared" si="1109"/>
        <v>350.15254787406684</v>
      </c>
      <c r="AI569" s="1580">
        <f t="shared" si="1109"/>
        <v>353.88278388278394</v>
      </c>
      <c r="AJ569" s="1582">
        <f t="shared" si="1109"/>
        <v>357.93799772468714</v>
      </c>
      <c r="AK569" s="1580">
        <f t="shared" si="1109"/>
        <v>364.80718436344432</v>
      </c>
      <c r="AL569" s="1580">
        <f t="shared" si="1109"/>
        <v>374.45512820512818</v>
      </c>
      <c r="AM569" s="1580">
        <f t="shared" si="1109"/>
        <v>378.17845584835874</v>
      </c>
      <c r="AN569" s="1582">
        <f t="shared" si="1109"/>
        <v>372.28024369016543</v>
      </c>
      <c r="AO569" s="1580">
        <f t="shared" si="1109"/>
        <v>363.74845869297161</v>
      </c>
      <c r="AP569" s="1580">
        <f t="shared" si="1109"/>
        <v>365.80802180685356</v>
      </c>
      <c r="AQ569" s="1580">
        <f t="shared" si="1109"/>
        <v>365.5197928227895</v>
      </c>
      <c r="AR569" s="1582">
        <f t="shared" si="1109"/>
        <v>368.39323467230446</v>
      </c>
      <c r="AS569" s="1580">
        <f t="shared" si="1109"/>
        <v>358.22401614530781</v>
      </c>
      <c r="AT569" s="1580">
        <f t="shared" si="1109"/>
        <v>361.77445302445307</v>
      </c>
      <c r="AU569" s="1580">
        <f t="shared" si="1109"/>
        <v>361.7021276595745</v>
      </c>
      <c r="AV569" s="1582">
        <f t="shared" si="1109"/>
        <v>362.78863232682062</v>
      </c>
      <c r="AW569" s="1580">
        <f t="shared" si="1109"/>
        <v>355.82123541132933</v>
      </c>
      <c r="AX569" s="1580">
        <f t="shared" si="1109"/>
        <v>358.93503289473688</v>
      </c>
      <c r="AY569" s="1580">
        <f t="shared" si="1109"/>
        <v>358.97435897435906</v>
      </c>
      <c r="AZ569" s="1582">
        <f t="shared" si="1109"/>
        <v>360.00510464522722</v>
      </c>
      <c r="BA569" s="1580">
        <f t="shared" si="1109"/>
        <v>354.05872193436966</v>
      </c>
      <c r="BB569" s="1580">
        <f t="shared" si="1109"/>
        <v>356.82784145176703</v>
      </c>
      <c r="BC569" s="1580">
        <f t="shared" si="1109"/>
        <v>356.92805921813556</v>
      </c>
      <c r="BD569" s="1582">
        <f t="shared" si="1109"/>
        <v>357.89591745177216</v>
      </c>
      <c r="BE569" s="1580"/>
      <c r="BF569" s="1583"/>
      <c r="BG569" s="1584"/>
      <c r="BH569" s="1580">
        <f t="shared" ref="BH569:BO569" si="1110">BH490/AVERAGE(BG562,BH562)*1000/12</f>
        <v>188.6875</v>
      </c>
      <c r="BI569" s="1580">
        <f t="shared" si="1110"/>
        <v>304.50000000000006</v>
      </c>
      <c r="BJ569" s="1580">
        <f t="shared" si="1110"/>
        <v>312.58333333333331</v>
      </c>
      <c r="BK569" s="1580">
        <f t="shared" si="1110"/>
        <v>280.85014409221895</v>
      </c>
      <c r="BL569" s="1580">
        <f t="shared" si="1110"/>
        <v>286.50393700787396</v>
      </c>
      <c r="BM569" s="1580">
        <f t="shared" si="1110"/>
        <v>300.44392523364485</v>
      </c>
      <c r="BN569" s="1581">
        <f t="shared" si="1110"/>
        <v>330.55417443546713</v>
      </c>
      <c r="BO569" s="1580">
        <f t="shared" si="1110"/>
        <v>346.82373878056325</v>
      </c>
      <c r="BP569" s="1580"/>
      <c r="BQ569" s="1536"/>
      <c r="BR569" s="1536"/>
      <c r="BS569" s="1536"/>
      <c r="BT569" s="1536"/>
      <c r="BU569" s="1536"/>
      <c r="BV569" s="1536"/>
      <c r="BW569" s="1536"/>
      <c r="BX569" s="1536"/>
      <c r="BY569" s="1537"/>
      <c r="BZ569" s="1585"/>
      <c r="CA569" s="1539">
        <f>IF(ISERROR(RATE(5,,-BI569,BN569)),"NM",(RATE(5,,-BI569,BN569)))</f>
        <v>1.6555442413033715E-2</v>
      </c>
      <c r="CB569" s="1539">
        <f t="shared" ref="CB569:CG569" si="1111">IF(ISERROR(RATE(3,,-BK569,BN569)),"NM",(RATE(3,,-BK569,BN569)))</f>
        <v>5.5818656220632097E-2</v>
      </c>
      <c r="CC569" s="1539">
        <f t="shared" si="1111"/>
        <v>6.5759977492934482E-2</v>
      </c>
      <c r="CD569" s="1539">
        <f t="shared" si="1111"/>
        <v>-0.99999974478297993</v>
      </c>
      <c r="CE569" s="1539">
        <f t="shared" si="1111"/>
        <v>-0.99999974478297993</v>
      </c>
      <c r="CF569" s="1539">
        <f t="shared" si="1111"/>
        <v>-0.99999974478297993</v>
      </c>
      <c r="CG569" s="1539" t="str">
        <f t="shared" si="1111"/>
        <v>NM</v>
      </c>
    </row>
    <row r="570" spans="1:85" s="1524" customFormat="1" ht="11.25" hidden="1" customHeight="1" outlineLevel="2">
      <c r="I570" s="1563" t="s">
        <v>132</v>
      </c>
      <c r="M570" s="1564" t="str">
        <f>IF(ISERROR(M569/I569-1),"NA",(IF(M569&lt;=0,"NM",M569/I569-1)))</f>
        <v>NA</v>
      </c>
      <c r="N570" s="1564" t="str">
        <f>IF(ISERROR(N569/J569-1),"NA",(IF(N569&lt;=0,"NM",N569/J569-1)))</f>
        <v>NA</v>
      </c>
      <c r="O570" s="1564" t="str">
        <f>IF(ISERROR(O569/K569-1),"NA",(IF(O569&lt;=0,"NM",O569/K569-1)))</f>
        <v>NA</v>
      </c>
      <c r="P570" s="1564" t="str">
        <f>IF(ISERROR(P569/L569-1),"NA",(IF(P569&lt;=0,"NM",P569/L569-1)))</f>
        <v>NA</v>
      </c>
      <c r="Q570" s="1564">
        <f>IF(ISERROR(Q569/M569-1),"NA",(IF(Q569&lt;=0,"NM",Q569/M569-1)))</f>
        <v>5.549285176824692E-2</v>
      </c>
      <c r="R570" s="1564">
        <f t="shared" ref="R570:AJ570" si="1112">IF(ISERROR(R569/N569-1),"NA",(IF(R569&lt;=0,"NM",R569/N569-1)))</f>
        <v>-5.2003014159538452E-3</v>
      </c>
      <c r="S570" s="1564">
        <f t="shared" si="1112"/>
        <v>4.3057763645998781E-2</v>
      </c>
      <c r="T570" s="1564">
        <f t="shared" si="1112"/>
        <v>-2.995563738549456E-2</v>
      </c>
      <c r="U570" s="1565">
        <f t="shared" si="1112"/>
        <v>-9.421371165472725E-2</v>
      </c>
      <c r="V570" s="1564">
        <f t="shared" si="1112"/>
        <v>-9.9633864176800535E-2</v>
      </c>
      <c r="W570" s="1564">
        <f t="shared" si="1112"/>
        <v>-9.281638039271678E-2</v>
      </c>
      <c r="X570" s="1566">
        <f t="shared" si="1112"/>
        <v>5.3672660964697805E-2</v>
      </c>
      <c r="Y570" s="1564">
        <f t="shared" si="1112"/>
        <v>8.599636753131823E-2</v>
      </c>
      <c r="Z570" s="1564">
        <f t="shared" si="1112"/>
        <v>8.5386909918416132E-2</v>
      </c>
      <c r="AA570" s="1564">
        <f t="shared" si="1112"/>
        <v>0.1214336905049378</v>
      </c>
      <c r="AB570" s="1564">
        <f t="shared" si="1112"/>
        <v>4.2053937260908558E-2</v>
      </c>
      <c r="AC570" s="1565">
        <f t="shared" si="1112"/>
        <v>3.921514890488309E-3</v>
      </c>
      <c r="AD570" s="1564">
        <f t="shared" si="1112"/>
        <v>5.4912817344286546E-2</v>
      </c>
      <c r="AE570" s="1564">
        <f t="shared" si="1112"/>
        <v>8.783511799088517E-2</v>
      </c>
      <c r="AF570" s="1564">
        <f t="shared" si="1112"/>
        <v>0.10897488659704235</v>
      </c>
      <c r="AG570" s="1565">
        <f t="shared" si="1112"/>
        <v>0.10376187183179897</v>
      </c>
      <c r="AH570" s="1564">
        <f t="shared" si="1112"/>
        <v>6.8015005307898946E-2</v>
      </c>
      <c r="AI570" s="1564">
        <f t="shared" si="1112"/>
        <v>3.5684532307423966E-2</v>
      </c>
      <c r="AJ570" s="1566">
        <f t="shared" si="1112"/>
        <v>3.7481940773435474E-2</v>
      </c>
      <c r="AK570" s="1564">
        <f t="shared" ref="AK570:BD570" si="1113">IF(ISERROR(AK569/AG569-1),"NA",(IF(AK569&lt;=0,"NM",AK569/AG569-1)))</f>
        <v>7.3658965038401192E-2</v>
      </c>
      <c r="AL570" s="1564">
        <f t="shared" si="1113"/>
        <v>6.9405693257447831E-2</v>
      </c>
      <c r="AM570" s="1564">
        <f t="shared" si="1113"/>
        <v>6.8654574543027813E-2</v>
      </c>
      <c r="AN570" s="1566">
        <f t="shared" si="1113"/>
        <v>4.0069079160770738E-2</v>
      </c>
      <c r="AO570" s="1564">
        <f t="shared" si="1113"/>
        <v>-2.902151371607653E-3</v>
      </c>
      <c r="AP570" s="1564">
        <f t="shared" si="1113"/>
        <v>-2.3092503605766312E-2</v>
      </c>
      <c r="AQ570" s="1564">
        <f t="shared" si="1113"/>
        <v>-3.34727238683451E-2</v>
      </c>
      <c r="AR570" s="1566">
        <f t="shared" si="1113"/>
        <v>-1.0441083253120431E-2</v>
      </c>
      <c r="AS570" s="1564">
        <f t="shared" si="1113"/>
        <v>-1.5187535275102859E-2</v>
      </c>
      <c r="AT570" s="1564">
        <f t="shared" si="1113"/>
        <v>-1.1026463450629853E-2</v>
      </c>
      <c r="AU570" s="1564">
        <f t="shared" si="1113"/>
        <v>-1.0444482728917182E-2</v>
      </c>
      <c r="AV570" s="1566">
        <f t="shared" si="1113"/>
        <v>-1.5213640800079475E-2</v>
      </c>
      <c r="AW570" s="1564">
        <f t="shared" si="1113"/>
        <v>-6.7074808658384999E-3</v>
      </c>
      <c r="AX570" s="1564">
        <f t="shared" si="1113"/>
        <v>-7.8485921434708894E-3</v>
      </c>
      <c r="AY570" s="1564">
        <f t="shared" si="1113"/>
        <v>-7.541478129713286E-3</v>
      </c>
      <c r="AZ570" s="1566">
        <f t="shared" si="1113"/>
        <v>-7.6725879301693389E-3</v>
      </c>
      <c r="BA570" s="1564">
        <f t="shared" si="1113"/>
        <v>-4.9533678756474853E-3</v>
      </c>
      <c r="BB570" s="1564">
        <f t="shared" si="1113"/>
        <v>-5.8706764451933457E-3</v>
      </c>
      <c r="BC570" s="1564">
        <f t="shared" si="1113"/>
        <v>-5.7004064637654617E-3</v>
      </c>
      <c r="BD570" s="1566">
        <f t="shared" si="1113"/>
        <v>-5.8587702403097852E-3</v>
      </c>
      <c r="BE570" s="1564"/>
      <c r="BF570" s="1567"/>
      <c r="BH570" s="1564" t="str">
        <f t="shared" ref="BH570:BO570" si="1114">IF(ISERROR(BH569/BG569-1),"NA",(IF(BH569&lt;=0,"NM",BH569/BG569-1)))</f>
        <v>NA</v>
      </c>
      <c r="BI570" s="1564">
        <f t="shared" si="1114"/>
        <v>0.61377939715137497</v>
      </c>
      <c r="BJ570" s="1564">
        <f t="shared" si="1114"/>
        <v>2.6546250684181372E-2</v>
      </c>
      <c r="BK570" s="1564">
        <f t="shared" si="1114"/>
        <v>-0.10151913380255195</v>
      </c>
      <c r="BL570" s="1564">
        <f t="shared" si="1114"/>
        <v>2.0130995246342209E-2</v>
      </c>
      <c r="BM570" s="1564">
        <f t="shared" si="1114"/>
        <v>4.8655485754765637E-2</v>
      </c>
      <c r="BN570" s="1652">
        <f t="shared" si="1114"/>
        <v>0.10021919790325784</v>
      </c>
      <c r="BO570" s="1564">
        <f t="shared" si="1114"/>
        <v>4.9219055765615138E-2</v>
      </c>
      <c r="BP570" s="1564"/>
      <c r="BQ570" s="1564"/>
      <c r="BR570" s="1564"/>
      <c r="BS570" s="1564"/>
      <c r="BT570" s="1564"/>
      <c r="BU570" s="1564"/>
      <c r="BV570" s="1564"/>
      <c r="BW570" s="1564"/>
      <c r="BX570" s="1564"/>
      <c r="BY570" s="1566"/>
      <c r="BZ570" s="1564"/>
    </row>
    <row r="571" spans="1:85" s="1524" customFormat="1" ht="11.25" hidden="1" customHeight="1" outlineLevel="2">
      <c r="I571" s="1563" t="s">
        <v>146</v>
      </c>
      <c r="M571" s="1564" t="str">
        <f>IF(ISERROR(M569/L569-1),"NA",(IF(M569&lt;=0,"NM",M569/L569-1)))</f>
        <v>NA</v>
      </c>
      <c r="N571" s="1564">
        <f>IF(ISERROR(N569/M569-1),"NA",(IF(N569&lt;=0,"NM",N569/M569-1)))</f>
        <v>8.2459168769087654E-2</v>
      </c>
      <c r="O571" s="1564">
        <f>IF(ISERROR(O569/N569-1),"NA",(IF(O569&lt;=0,"NM",O569/N569-1)))</f>
        <v>-7.4092247301275393E-2</v>
      </c>
      <c r="P571" s="1564">
        <f>IF(ISERROR(P569/O569-1),"NA",(IF(P569&lt;=0,"NM",P569/O569-1)))</f>
        <v>-1.3206388206388531E-2</v>
      </c>
      <c r="Q571" s="1564">
        <f>IF(ISERROR(Q569/P569-1),"NA",(IF(Q569&lt;=0,"NM",Q569/P569-1)))</f>
        <v>6.72095998893385E-2</v>
      </c>
      <c r="R571" s="1564">
        <f t="shared" ref="R571:AF571" si="1115">IF(ISERROR(R569/Q569-1),"NA",(IF(R569&lt;=0,"NM",R569/Q569-1)))</f>
        <v>2.0215393232680734E-2</v>
      </c>
      <c r="S571" s="1564">
        <f t="shared" si="1115"/>
        <v>-2.9176153504000935E-2</v>
      </c>
      <c r="T571" s="1564">
        <f t="shared" si="1115"/>
        <v>-8.2281333261545853E-2</v>
      </c>
      <c r="U571" s="1565">
        <f t="shared" si="1115"/>
        <v>-3.4849336531233011E-3</v>
      </c>
      <c r="V571" s="1564">
        <f t="shared" si="1115"/>
        <v>1.4110506122068767E-2</v>
      </c>
      <c r="W571" s="1564">
        <f t="shared" si="1115"/>
        <v>-2.1825170867768251E-2</v>
      </c>
      <c r="X571" s="1566">
        <f t="shared" si="1115"/>
        <v>6.5908873021629288E-2</v>
      </c>
      <c r="Y571" s="1564">
        <f t="shared" si="1115"/>
        <v>2.7085339057873803E-2</v>
      </c>
      <c r="Z571" s="1564">
        <f t="shared" si="1115"/>
        <v>1.3541390619698168E-2</v>
      </c>
      <c r="AA571" s="1564">
        <f t="shared" si="1115"/>
        <v>1.0660989706656077E-2</v>
      </c>
      <c r="AB571" s="1564">
        <f t="shared" si="1115"/>
        <v>-9.5406020899850841E-3</v>
      </c>
      <c r="AC571" s="1565">
        <f t="shared" si="1115"/>
        <v>-1.0499329603682384E-2</v>
      </c>
      <c r="AD571" s="1564">
        <f t="shared" si="1115"/>
        <v>6.5021306959741842E-2</v>
      </c>
      <c r="AE571" s="1564">
        <f t="shared" si="1115"/>
        <v>4.220225492578189E-2</v>
      </c>
      <c r="AF571" s="1564">
        <f t="shared" si="1115"/>
        <v>9.7068758957248313E-3</v>
      </c>
      <c r="AG571" s="1565">
        <f>IF(ISERROR(AG569/AF569-1),"NA",(IF(AG569&lt;=0,"NM",AG569/AF569-1)))</f>
        <v>-1.5150725832160372E-2</v>
      </c>
      <c r="AH571" s="1564">
        <f>IF(ISERROR(AH569/AG569-1),"NA",(IF(AH569&lt;=0,"NM",AH569/AG569-1)))</f>
        <v>3.0529107621657614E-2</v>
      </c>
      <c r="AI571" s="1564">
        <f>IF(ISERROR(AI569/AH569-1),"NA",(IF(AI569&lt;=0,"NM",AI569/AH569-1)))</f>
        <v>1.0653173970502472E-2</v>
      </c>
      <c r="AJ571" s="1566">
        <f>IF(ISERROR(AJ569/AI569-1),"NA",(IF(AJ569&lt;=0,"NM",AJ569/AI569-1)))</f>
        <v>1.1459200691849469E-2</v>
      </c>
      <c r="AK571" s="1564">
        <f t="shared" ref="AK571:BD571" si="1116">IF(ISERROR(AK569/AJ569-1),"NA",(IF(AK569&lt;=0,"NM",AK569/AJ569-1)))</f>
        <v>1.9190995877561789E-2</v>
      </c>
      <c r="AL571" s="1564">
        <f t="shared" si="1116"/>
        <v>2.644669363767771E-2</v>
      </c>
      <c r="AM571" s="1564">
        <f t="shared" si="1116"/>
        <v>9.9433212761099732E-3</v>
      </c>
      <c r="AN571" s="1566">
        <f t="shared" si="1116"/>
        <v>-1.5596372736151776E-2</v>
      </c>
      <c r="AO571" s="1564">
        <f t="shared" si="1116"/>
        <v>-2.291764105616767E-2</v>
      </c>
      <c r="AP571" s="1564">
        <f t="shared" si="1116"/>
        <v>5.6620531707058941E-3</v>
      </c>
      <c r="AQ571" s="1564">
        <f t="shared" si="1116"/>
        <v>-7.8792417574768958E-4</v>
      </c>
      <c r="AR571" s="1566">
        <f t="shared" si="1116"/>
        <v>7.8612482988247301E-3</v>
      </c>
      <c r="AS571" s="1564">
        <f t="shared" si="1116"/>
        <v>-2.7604248856639368E-2</v>
      </c>
      <c r="AT571" s="1564">
        <f t="shared" si="1116"/>
        <v>9.9112195696702265E-3</v>
      </c>
      <c r="AU571" s="1564">
        <f t="shared" si="1116"/>
        <v>-1.9991838637012371E-4</v>
      </c>
      <c r="AV571" s="1566">
        <f t="shared" si="1116"/>
        <v>3.0038658447393285E-3</v>
      </c>
      <c r="AW571" s="1564">
        <f t="shared" si="1116"/>
        <v>-1.9205113652002948E-2</v>
      </c>
      <c r="AX571" s="1564">
        <f t="shared" si="1116"/>
        <v>8.7510164473685315E-3</v>
      </c>
      <c r="AY571" s="1564">
        <f t="shared" si="1116"/>
        <v>1.0956322458977041E-4</v>
      </c>
      <c r="AZ571" s="1566">
        <f t="shared" si="1116"/>
        <v>2.8713629402756791E-3</v>
      </c>
      <c r="BA571" s="1564">
        <f t="shared" si="1116"/>
        <v>-1.6517495541396587E-2</v>
      </c>
      <c r="BB571" s="1564">
        <f t="shared" si="1116"/>
        <v>7.8210741491369085E-3</v>
      </c>
      <c r="BC571" s="1564">
        <f t="shared" si="1116"/>
        <v>2.8085747446393583E-4</v>
      </c>
      <c r="BD571" s="1566">
        <f t="shared" si="1116"/>
        <v>2.7116339235326858E-3</v>
      </c>
      <c r="BE571" s="1564"/>
      <c r="BF571" s="1567"/>
      <c r="BI571" s="1569"/>
      <c r="BJ571" s="1569"/>
      <c r="BK571" s="1569"/>
      <c r="BN571" s="1651"/>
      <c r="BO571" s="1544"/>
      <c r="BP571" s="1544"/>
      <c r="BQ571" s="1544"/>
      <c r="BR571" s="1544"/>
      <c r="BS571" s="1544"/>
      <c r="BT571" s="1544"/>
      <c r="BU571" s="1544"/>
      <c r="BV571" s="1544"/>
      <c r="BW571" s="1544"/>
      <c r="BX571" s="1544"/>
      <c r="BY571" s="1570"/>
      <c r="BZ571" s="1544"/>
    </row>
    <row r="572" spans="1:85" s="1524" customFormat="1" ht="11.25" hidden="1" customHeight="1" outlineLevel="2">
      <c r="I572" s="1557" t="s">
        <v>380</v>
      </c>
      <c r="M572" s="1564"/>
      <c r="N572" s="1564"/>
      <c r="O572" s="1564"/>
      <c r="P572" s="1564"/>
      <c r="Q572" s="1586">
        <f t="shared" ref="Q572:Y572" si="1117">Q569-M569</f>
        <v>16.388888888888914</v>
      </c>
      <c r="R572" s="1587">
        <f t="shared" si="1117"/>
        <v>-1.6624649859943474</v>
      </c>
      <c r="S572" s="1587">
        <f t="shared" si="1117"/>
        <v>12.745098039215634</v>
      </c>
      <c r="T572" s="1587">
        <f t="shared" si="1117"/>
        <v>-8.7497693563267376</v>
      </c>
      <c r="U572" s="1588">
        <f t="shared" si="1117"/>
        <v>-29.36850756081526</v>
      </c>
      <c r="V572" s="1587">
        <f t="shared" si="1117"/>
        <v>-31.685941043083915</v>
      </c>
      <c r="W572" s="1587">
        <f t="shared" si="1117"/>
        <v>-28.656602463994489</v>
      </c>
      <c r="X572" s="1587">
        <f t="shared" si="1117"/>
        <v>15.207672930325316</v>
      </c>
      <c r="Y572" s="1588">
        <f t="shared" si="1117"/>
        <v>24.281393819855339</v>
      </c>
      <c r="Z572" s="1587">
        <f t="shared" ref="Z572:AJ572" si="1118">Z569-V569</f>
        <v>24.44950578219499</v>
      </c>
      <c r="AA572" s="1587">
        <f t="shared" si="1118"/>
        <v>34.012179685675051</v>
      </c>
      <c r="AB572" s="1589">
        <f t="shared" si="1118"/>
        <v>12.555153037128775</v>
      </c>
      <c r="AC572" s="1587">
        <f t="shared" si="1118"/>
        <v>1.2024741438557385</v>
      </c>
      <c r="AD572" s="1587">
        <f t="shared" si="1118"/>
        <v>17.066210315810167</v>
      </c>
      <c r="AE572" s="1587">
        <f t="shared" si="1118"/>
        <v>27.589069872557502</v>
      </c>
      <c r="AF572" s="1587">
        <f t="shared" si="1118"/>
        <v>33.902519382269588</v>
      </c>
      <c r="AG572" s="1590">
        <f t="shared" si="1118"/>
        <v>31.941803793358304</v>
      </c>
      <c r="AH572" s="1587">
        <f t="shared" si="1118"/>
        <v>22.29896329533608</v>
      </c>
      <c r="AI572" s="1587">
        <f t="shared" si="1118"/>
        <v>12.193038749330185</v>
      </c>
      <c r="AJ572" s="1589">
        <f t="shared" si="1118"/>
        <v>12.931512640381129</v>
      </c>
      <c r="AK572" s="1587">
        <f t="shared" ref="AK572:BD572" si="1119">AK569-AG569</f>
        <v>25.027797944967972</v>
      </c>
      <c r="AL572" s="1587">
        <f t="shared" si="1119"/>
        <v>24.302580331061336</v>
      </c>
      <c r="AM572" s="1587">
        <f t="shared" si="1119"/>
        <v>24.295671965574797</v>
      </c>
      <c r="AN572" s="1589">
        <f t="shared" si="1119"/>
        <v>14.342245965478298</v>
      </c>
      <c r="AO572" s="1587">
        <f t="shared" si="1119"/>
        <v>-1.058725670472711</v>
      </c>
      <c r="AP572" s="1587">
        <f t="shared" si="1119"/>
        <v>-8.6471063982746159</v>
      </c>
      <c r="AQ572" s="1587">
        <f t="shared" si="1119"/>
        <v>-12.65866302556924</v>
      </c>
      <c r="AR572" s="1589">
        <f t="shared" si="1119"/>
        <v>-3.8870090178609757</v>
      </c>
      <c r="AS572" s="1587">
        <f t="shared" si="1119"/>
        <v>-5.5244425476637957</v>
      </c>
      <c r="AT572" s="1587">
        <f t="shared" si="1119"/>
        <v>-4.0335687824004935</v>
      </c>
      <c r="AU572" s="1587">
        <f t="shared" si="1119"/>
        <v>-3.8176651632149969</v>
      </c>
      <c r="AV572" s="1589">
        <f t="shared" si="1119"/>
        <v>-5.6046023454838405</v>
      </c>
      <c r="AW572" s="1587">
        <f t="shared" si="1119"/>
        <v>-2.4027807339784886</v>
      </c>
      <c r="AX572" s="1587">
        <f t="shared" si="1119"/>
        <v>-2.8394201297161885</v>
      </c>
      <c r="AY572" s="1587">
        <f t="shared" si="1119"/>
        <v>-2.7277686852154375</v>
      </c>
      <c r="AZ572" s="1589">
        <f t="shared" si="1119"/>
        <v>-2.783527681593398</v>
      </c>
      <c r="BA572" s="1587">
        <f t="shared" si="1119"/>
        <v>-1.7625134769596684</v>
      </c>
      <c r="BB572" s="1587">
        <f t="shared" si="1119"/>
        <v>-2.1071914429698495</v>
      </c>
      <c r="BC572" s="1587">
        <f t="shared" si="1119"/>
        <v>-2.0462997562235046</v>
      </c>
      <c r="BD572" s="1589">
        <f t="shared" si="1119"/>
        <v>-2.1091871934550568</v>
      </c>
      <c r="BE572" s="1587"/>
      <c r="BF572" s="1567"/>
      <c r="BI572" s="1586">
        <f>BI569-BH569</f>
        <v>115.81250000000006</v>
      </c>
      <c r="BJ572" s="1591">
        <f t="shared" ref="BJ572:BO572" si="1120">BJ569-BI569</f>
        <v>8.0833333333332575</v>
      </c>
      <c r="BK572" s="1591">
        <f t="shared" si="1120"/>
        <v>-31.73318924111436</v>
      </c>
      <c r="BL572" s="1591">
        <f t="shared" si="1120"/>
        <v>5.6537929156550035</v>
      </c>
      <c r="BM572" s="1591">
        <f t="shared" si="1120"/>
        <v>13.93998822577089</v>
      </c>
      <c r="BN572" s="1800">
        <f t="shared" si="1120"/>
        <v>30.110249201822285</v>
      </c>
      <c r="BO572" s="1587">
        <f t="shared" si="1120"/>
        <v>16.269564345096114</v>
      </c>
      <c r="BP572" s="1587"/>
      <c r="BQ572" s="1587"/>
      <c r="BR572" s="1587"/>
      <c r="BS572" s="1587"/>
      <c r="BT572" s="1587"/>
      <c r="BU572" s="1587"/>
      <c r="BV572" s="1587"/>
      <c r="BW572" s="1587"/>
      <c r="BX572" s="1587"/>
      <c r="BY572" s="1589"/>
      <c r="BZ572" s="1544"/>
    </row>
    <row r="573" spans="1:85" s="1524" customFormat="1" ht="11.25" hidden="1" customHeight="1" outlineLevel="2">
      <c r="I573" s="1557" t="s">
        <v>377</v>
      </c>
      <c r="M573" s="1564"/>
      <c r="N573" s="1586">
        <f>N569-M569</f>
        <v>24.352941176470551</v>
      </c>
      <c r="O573" s="1587">
        <f t="shared" ref="O573:AJ573" si="1121">O569-N569</f>
        <v>-23.686274509803809</v>
      </c>
      <c r="P573" s="1587">
        <f t="shared" si="1121"/>
        <v>-3.9090909090909918</v>
      </c>
      <c r="Q573" s="1587">
        <f t="shared" si="1121"/>
        <v>19.631313131313163</v>
      </c>
      <c r="R573" s="1587">
        <f t="shared" si="1121"/>
        <v>6.3015873015872899</v>
      </c>
      <c r="S573" s="1587">
        <f t="shared" si="1121"/>
        <v>-9.2787114845938277</v>
      </c>
      <c r="T573" s="1587">
        <f t="shared" si="1121"/>
        <v>-25.403958304633363</v>
      </c>
      <c r="U573" s="1590">
        <f t="shared" si="1121"/>
        <v>-0.9874250731753591</v>
      </c>
      <c r="V573" s="1587">
        <f t="shared" si="1121"/>
        <v>3.9841538193186352</v>
      </c>
      <c r="W573" s="1587">
        <f t="shared" si="1121"/>
        <v>-6.2493729055044014</v>
      </c>
      <c r="X573" s="1587">
        <f t="shared" si="1121"/>
        <v>18.460317089686441</v>
      </c>
      <c r="Y573" s="1590">
        <f t="shared" si="1121"/>
        <v>8.0862958163546637</v>
      </c>
      <c r="Z573" s="1587">
        <f t="shared" si="1121"/>
        <v>4.1522657816582864</v>
      </c>
      <c r="AA573" s="1587">
        <f t="shared" si="1121"/>
        <v>3.3133009979756594</v>
      </c>
      <c r="AB573" s="1589">
        <f t="shared" si="1121"/>
        <v>-2.996709558859834</v>
      </c>
      <c r="AC573" s="1587">
        <f t="shared" si="1121"/>
        <v>-3.2663830769183733</v>
      </c>
      <c r="AD573" s="1587">
        <f t="shared" si="1121"/>
        <v>20.016001953612715</v>
      </c>
      <c r="AE573" s="1587">
        <f t="shared" si="1121"/>
        <v>13.836160554722994</v>
      </c>
      <c r="AF573" s="1587">
        <f t="shared" si="1121"/>
        <v>3.3167399508522522</v>
      </c>
      <c r="AG573" s="1590">
        <f t="shared" si="1121"/>
        <v>-5.2270986658296579</v>
      </c>
      <c r="AH573" s="1587">
        <f t="shared" si="1121"/>
        <v>10.373161455590491</v>
      </c>
      <c r="AI573" s="1587">
        <f t="shared" si="1121"/>
        <v>3.7302360087170996</v>
      </c>
      <c r="AJ573" s="1589">
        <f t="shared" si="1121"/>
        <v>4.0552138419031962</v>
      </c>
      <c r="AK573" s="1587">
        <f t="shared" ref="AK573:BD573" si="1122">AK569-AJ569</f>
        <v>6.8691866387571849</v>
      </c>
      <c r="AL573" s="1587">
        <f t="shared" si="1122"/>
        <v>9.6479438416838548</v>
      </c>
      <c r="AM573" s="1587">
        <f t="shared" si="1122"/>
        <v>3.7233276432305615</v>
      </c>
      <c r="AN573" s="1589">
        <f t="shared" si="1122"/>
        <v>-5.8982121581933029</v>
      </c>
      <c r="AO573" s="1587">
        <f t="shared" si="1122"/>
        <v>-8.5317849971938244</v>
      </c>
      <c r="AP573" s="1587">
        <f t="shared" si="1122"/>
        <v>2.0595631138819499</v>
      </c>
      <c r="AQ573" s="1587">
        <f t="shared" si="1122"/>
        <v>-0.28822898406406239</v>
      </c>
      <c r="AR573" s="1589">
        <f t="shared" si="1122"/>
        <v>2.8734418495149612</v>
      </c>
      <c r="AS573" s="1587">
        <f t="shared" si="1122"/>
        <v>-10.169218526996644</v>
      </c>
      <c r="AT573" s="1587">
        <f t="shared" si="1122"/>
        <v>3.5504368791452521</v>
      </c>
      <c r="AU573" s="1587">
        <f t="shared" si="1122"/>
        <v>-7.2325364878565779E-2</v>
      </c>
      <c r="AV573" s="1589">
        <f t="shared" si="1122"/>
        <v>1.0865046672461176</v>
      </c>
      <c r="AW573" s="1587">
        <f t="shared" si="1122"/>
        <v>-6.9673969154912925</v>
      </c>
      <c r="AX573" s="1587">
        <f t="shared" si="1122"/>
        <v>3.1137974834075521</v>
      </c>
      <c r="AY573" s="1587">
        <f t="shared" si="1122"/>
        <v>3.9326079622185262E-2</v>
      </c>
      <c r="AZ573" s="1589">
        <f t="shared" si="1122"/>
        <v>1.030745670868157</v>
      </c>
      <c r="BA573" s="1587">
        <f t="shared" si="1122"/>
        <v>-5.9463827108575629</v>
      </c>
      <c r="BB573" s="1587">
        <f t="shared" si="1122"/>
        <v>2.7691195173973711</v>
      </c>
      <c r="BC573" s="1587">
        <f t="shared" si="1122"/>
        <v>0.10021776636853019</v>
      </c>
      <c r="BD573" s="1589">
        <f t="shared" si="1122"/>
        <v>0.96785823363660484</v>
      </c>
      <c r="BE573" s="1587"/>
      <c r="BF573" s="1567"/>
      <c r="BI573" s="1569"/>
      <c r="BJ573" s="1569"/>
      <c r="BK573" s="1569"/>
      <c r="BN573" s="1651"/>
      <c r="BO573" s="1544"/>
      <c r="BP573" s="1544"/>
      <c r="BQ573" s="1544"/>
      <c r="BR573" s="1544"/>
      <c r="BS573" s="1544"/>
      <c r="BT573" s="1544"/>
      <c r="BU573" s="1544"/>
      <c r="BV573" s="1544"/>
      <c r="BW573" s="1544"/>
      <c r="BX573" s="1544"/>
      <c r="BY573" s="1570"/>
      <c r="BZ573" s="1544"/>
    </row>
    <row r="574" spans="1:85" s="1524" customFormat="1" ht="11.25" hidden="1" customHeight="1" outlineLevel="2">
      <c r="I574" s="1557"/>
      <c r="M574" s="1564"/>
      <c r="N574" s="1586"/>
      <c r="O574" s="1587"/>
      <c r="P574" s="1587"/>
      <c r="Q574" s="1587"/>
      <c r="R574" s="1587"/>
      <c r="S574" s="1587"/>
      <c r="T574" s="1587"/>
      <c r="U574" s="1590"/>
      <c r="V574" s="1587"/>
      <c r="W574" s="1587"/>
      <c r="X574" s="1587"/>
      <c r="Y574" s="1590"/>
      <c r="Z574" s="1587"/>
      <c r="AA574" s="1587"/>
      <c r="AB574" s="1589"/>
      <c r="AC574" s="1587"/>
      <c r="AD574" s="1587"/>
      <c r="AE574" s="1587"/>
      <c r="AF574" s="1587"/>
      <c r="AG574" s="1590"/>
      <c r="AH574" s="1587"/>
      <c r="AI574" s="1587"/>
      <c r="AJ574" s="1589"/>
      <c r="AK574" s="1587"/>
      <c r="AL574" s="1587"/>
      <c r="AM574" s="1587"/>
      <c r="AN574" s="1589"/>
      <c r="AO574" s="1587"/>
      <c r="AP574" s="1587"/>
      <c r="AQ574" s="1587"/>
      <c r="AR574" s="1589"/>
      <c r="AS574" s="1587"/>
      <c r="AT574" s="1587"/>
      <c r="AU574" s="1587"/>
      <c r="AV574" s="1589"/>
      <c r="AW574" s="1587"/>
      <c r="AX574" s="1587"/>
      <c r="AY574" s="1587"/>
      <c r="AZ574" s="1589"/>
      <c r="BA574" s="1587"/>
      <c r="BB574" s="1587"/>
      <c r="BC574" s="1587"/>
      <c r="BD574" s="1589"/>
      <c r="BE574" s="1587"/>
      <c r="BF574" s="1567"/>
      <c r="BI574" s="1569"/>
      <c r="BJ574" s="1569"/>
      <c r="BK574" s="1569"/>
      <c r="BN574" s="1651"/>
      <c r="BO574" s="1544"/>
      <c r="BP574" s="1544"/>
      <c r="BQ574" s="1544"/>
      <c r="BR574" s="1544"/>
      <c r="BS574" s="1544"/>
      <c r="BT574" s="1544"/>
      <c r="BU574" s="1544"/>
      <c r="BV574" s="1544"/>
      <c r="BW574" s="1544"/>
      <c r="BX574" s="1544"/>
      <c r="BY574" s="1570"/>
      <c r="BZ574" s="1544"/>
    </row>
    <row r="575" spans="1:85" s="1552" customFormat="1" ht="11.25" hidden="1" customHeight="1" outlineLevel="2">
      <c r="I575" s="1593" t="s">
        <v>482</v>
      </c>
      <c r="J575" s="1594"/>
      <c r="K575" s="1594"/>
      <c r="L575" s="1594"/>
      <c r="M575" s="1595"/>
      <c r="N575" s="1595"/>
      <c r="O575" s="1595"/>
      <c r="P575" s="1595"/>
      <c r="Q575" s="1595"/>
      <c r="R575" s="1595"/>
      <c r="S575" s="1595"/>
      <c r="T575" s="1596"/>
      <c r="U575" s="1597">
        <f>'Revenue drivers'!U562</f>
        <v>27</v>
      </c>
      <c r="V575" s="1597">
        <f>'Revenue drivers'!V562</f>
        <v>31.8</v>
      </c>
      <c r="W575" s="1597">
        <f>'Revenue drivers'!W562</f>
        <v>36</v>
      </c>
      <c r="X575" s="1597">
        <f>'Revenue drivers'!X562</f>
        <v>39.799999999999997</v>
      </c>
      <c r="Y575" s="1598">
        <f>'Revenue drivers'!Y562</f>
        <v>44.7</v>
      </c>
      <c r="Z575" s="1597">
        <f>'Revenue drivers'!Z562</f>
        <v>51.4</v>
      </c>
      <c r="AA575" s="1597">
        <f>'Revenue drivers'!AA562</f>
        <v>57.2</v>
      </c>
      <c r="AB575" s="1599">
        <f>'Revenue drivers'!AB562</f>
        <v>67.2</v>
      </c>
      <c r="AC575" s="1598">
        <f>'Revenue drivers'!AC562</f>
        <v>74</v>
      </c>
      <c r="AD575" s="1597">
        <f>'Revenue drivers'!AD562</f>
        <v>79.900000000000006</v>
      </c>
      <c r="AE575" s="1597">
        <f>'Revenue drivers'!AE562</f>
        <v>86.2</v>
      </c>
      <c r="AF575" s="1599">
        <f>'Revenue drivers'!AF562</f>
        <v>93.7</v>
      </c>
      <c r="AG575" s="1598">
        <f>'Revenue drivers'!AG562</f>
        <v>99.7</v>
      </c>
      <c r="AH575" s="1597">
        <f>'Revenue drivers'!AH562</f>
        <v>105.7</v>
      </c>
      <c r="AI575" s="1597">
        <f>'Revenue drivers'!AI562</f>
        <v>112.7</v>
      </c>
      <c r="AJ575" s="1597">
        <f>'Revenue drivers'!AJ562</f>
        <v>121.7</v>
      </c>
      <c r="AK575" s="1598">
        <f>'Revenue drivers'!AK562</f>
        <v>130.69999999999999</v>
      </c>
      <c r="AL575" s="1597">
        <f>'Revenue drivers'!AL562</f>
        <v>139.69999999999999</v>
      </c>
      <c r="AM575" s="1597">
        <f>'Revenue drivers'!AM562</f>
        <v>148.69999999999999</v>
      </c>
      <c r="AN575" s="1597">
        <f>'Revenue drivers'!AN562</f>
        <v>157.69999999999999</v>
      </c>
      <c r="AO575" s="1654">
        <f>'Revenue drivers'!AO562</f>
        <v>166.7</v>
      </c>
      <c r="AP575" s="1597">
        <f>'Revenue drivers'!AP562</f>
        <v>175.7</v>
      </c>
      <c r="AQ575" s="1597">
        <f>'Revenue drivers'!AQ562</f>
        <v>184.7</v>
      </c>
      <c r="AR575" s="1599">
        <f>'Revenue drivers'!AR562</f>
        <v>193.7</v>
      </c>
      <c r="AS575" s="1597">
        <f>'Revenue drivers'!AS562</f>
        <v>202.7</v>
      </c>
      <c r="AT575" s="1597">
        <f>'Revenue drivers'!AT562</f>
        <v>211.7</v>
      </c>
      <c r="AU575" s="1597">
        <f>'Revenue drivers'!AU562</f>
        <v>220.7</v>
      </c>
      <c r="AV575" s="1597">
        <f>'Revenue drivers'!AV562</f>
        <v>229.7</v>
      </c>
      <c r="AW575" s="1654">
        <f>'Revenue drivers'!AW562</f>
        <v>238.7</v>
      </c>
      <c r="AX575" s="1597">
        <f>'Revenue drivers'!AX562</f>
        <v>247.7</v>
      </c>
      <c r="AY575" s="1597">
        <f>'Revenue drivers'!AY562</f>
        <v>256.7</v>
      </c>
      <c r="AZ575" s="1599">
        <f>'Revenue drivers'!AZ562</f>
        <v>265.7</v>
      </c>
      <c r="BA575" s="1597">
        <f>'Revenue drivers'!BA562</f>
        <v>274.7</v>
      </c>
      <c r="BB575" s="1597">
        <f>'Revenue drivers'!BB562</f>
        <v>283.7</v>
      </c>
      <c r="BC575" s="1597">
        <f>'Revenue drivers'!BC562</f>
        <v>292.7</v>
      </c>
      <c r="BD575" s="1597">
        <f>'Revenue drivers'!BD562</f>
        <v>301.7</v>
      </c>
      <c r="BE575" s="1553"/>
      <c r="BF575" s="1600"/>
      <c r="BG575" s="1595"/>
      <c r="BH575" s="1595"/>
      <c r="BI575" s="1595"/>
      <c r="BJ575" s="1595"/>
      <c r="BK575" s="1597">
        <f>+Z575</f>
        <v>51.4</v>
      </c>
      <c r="BL575" s="1597">
        <f>+AA575</f>
        <v>57.2</v>
      </c>
      <c r="BM575" s="1597">
        <f>+AB575</f>
        <v>67.2</v>
      </c>
      <c r="BN575" s="1654">
        <f>+AF575</f>
        <v>93.7</v>
      </c>
      <c r="BO575" s="1597">
        <f>+AJ575</f>
        <v>121.7</v>
      </c>
      <c r="BP575" s="1597"/>
      <c r="BQ575" s="1597"/>
      <c r="BR575" s="1597"/>
      <c r="BS575" s="1597"/>
      <c r="BT575" s="1597"/>
      <c r="BU575" s="1597"/>
      <c r="BV575" s="1597"/>
      <c r="BW575" s="1597"/>
      <c r="BX575" s="1597"/>
      <c r="BY575" s="1599"/>
      <c r="BZ575" s="1595"/>
    </row>
    <row r="576" spans="1:85" s="1552" customFormat="1" ht="11.25" hidden="1" customHeight="1" outlineLevel="2">
      <c r="I576" s="1601" t="s">
        <v>483</v>
      </c>
      <c r="J576" s="1526"/>
      <c r="K576" s="1526"/>
      <c r="L576" s="1526"/>
      <c r="M576" s="1602"/>
      <c r="N576" s="1602"/>
      <c r="O576" s="1602"/>
      <c r="P576" s="1602"/>
      <c r="Q576" s="1602"/>
      <c r="R576" s="1602"/>
      <c r="S576" s="1602"/>
      <c r="T576" s="1603"/>
      <c r="U576" s="1602"/>
      <c r="V576" s="1602"/>
      <c r="W576" s="1602"/>
      <c r="X576" s="1602"/>
      <c r="Y576" s="1604">
        <f>(Y575/AVERAGE('Revenue drivers'!Y506,'Revenue drivers'!X506)*1000)</f>
        <v>56.970588235294123</v>
      </c>
      <c r="Z576" s="1605">
        <f>(Z575/AVERAGE('Revenue drivers'!Z506,'Revenue drivers'!Y506)*1000)</f>
        <v>62.303030303030305</v>
      </c>
      <c r="AA576" s="1605">
        <f>(AA575/AVERAGE('Revenue drivers'!AA506,'Revenue drivers'!Z506)*1000)</f>
        <v>60.21052631578948</v>
      </c>
      <c r="AB576" s="1606">
        <f>(AB575/AVERAGE('Revenue drivers'!AB506,'Revenue drivers'!AA506)*1000)</f>
        <v>62.511627906976742</v>
      </c>
      <c r="AC576" s="1604">
        <f>(AC575/AVERAGE('Revenue drivers'!AC506,'Revenue drivers'!AB506)*1000)</f>
        <v>62.978723404255327</v>
      </c>
      <c r="AD576" s="1605">
        <f>(AD575/AVERAGE('Revenue drivers'!AD506,'Revenue drivers'!AC506)*1000)</f>
        <v>61.46153846153846</v>
      </c>
      <c r="AE576" s="1605">
        <f>(AE575/AVERAGE('Revenue drivers'!AE506,'Revenue drivers'!AD506)*1000)</f>
        <v>59.448275862068968</v>
      </c>
      <c r="AF576" s="1606">
        <f>(AF575/AVERAGE('Revenue drivers'!AF506,'Revenue drivers'!AE506)*1000)</f>
        <v>60.451612903225808</v>
      </c>
      <c r="AG576" s="1604">
        <f>(AG575/AVERAGE('Revenue drivers'!AG506,'Revenue drivers'!AF506)*1000)</f>
        <v>63.301587301587304</v>
      </c>
      <c r="AH576" s="1605">
        <f>(AH575/AVERAGE('Revenue drivers'!AH506,'Revenue drivers'!AG506)*1000)</f>
        <v>63.104477611940297</v>
      </c>
      <c r="AI576" s="1605">
        <f>(AI575/AVERAGE('Revenue drivers'!AI506,'Revenue drivers'!AH506)*1000)</f>
        <v>58.545454545454547</v>
      </c>
      <c r="AJ576" s="1605">
        <f>(AJ575/AVERAGE('Revenue drivers'!AJ506,'Revenue drivers'!AI506)*1000)</f>
        <v>56.604651162790695</v>
      </c>
      <c r="AK576" s="1604">
        <f>(AK575/AVERAGE('Revenue drivers'!AK506,'Revenue drivers'!AJ506)*1000)</f>
        <v>58.088888888888881</v>
      </c>
      <c r="AL576" s="1605">
        <f>(AL575/AVERAGE('Revenue drivers'!AL506,'Revenue drivers'!AK506)*1000)</f>
        <v>59.446808510638292</v>
      </c>
      <c r="AM576" s="1605">
        <f>(AM575/AVERAGE('Revenue drivers'!AM506,'Revenue drivers'!AL506)*1000)</f>
        <v>60.693877551020407</v>
      </c>
      <c r="AN576" s="1605">
        <f>(AN575/AVERAGE('Revenue drivers'!AN506,'Revenue drivers'!AM506)*1000)</f>
        <v>63.717171717171716</v>
      </c>
      <c r="AO576" s="1655">
        <f>(AO575/AVERAGE('Revenue drivers'!AO506,'Revenue drivers'!AN506)*1000)</f>
        <v>66.679999999999993</v>
      </c>
      <c r="AP576" s="1605">
        <f>(AP575/AVERAGE('Revenue drivers'!AP506,'Revenue drivers'!AO506)*1000)</f>
        <v>67.57692307692308</v>
      </c>
      <c r="AQ576" s="1605">
        <f>(AQ575/AVERAGE('Revenue drivers'!AQ506,'Revenue drivers'!AP506)*1000)</f>
        <v>68.407407407407405</v>
      </c>
      <c r="AR576" s="1606">
        <f>(AR575/AVERAGE('Revenue drivers'!AR506,'Revenue drivers'!AQ506)*1000)</f>
        <v>69.178571428571416</v>
      </c>
      <c r="AS576" s="1605">
        <f>(AS575/AVERAGE('Revenue drivers'!AS506,'Revenue drivers'!AR506)*1000)</f>
        <v>69.896551724137936</v>
      </c>
      <c r="AT576" s="1605">
        <f>(AT575/AVERAGE('Revenue drivers'!AT506,'Revenue drivers'!AS506)*1000)</f>
        <v>70.566666666666663</v>
      </c>
      <c r="AU576" s="1605">
        <f>(AU575/AVERAGE('Revenue drivers'!AU506,'Revenue drivers'!AT506)*1000)</f>
        <v>71.481781376518214</v>
      </c>
      <c r="AV576" s="1605">
        <f>(AV575/AVERAGE('Revenue drivers'!AV506,'Revenue drivers'!AU506)*1000)</f>
        <v>72.632411067193672</v>
      </c>
      <c r="AW576" s="1655">
        <f>(AW575/AVERAGE('Revenue drivers'!AW506,'Revenue drivers'!AV506)*1000)</f>
        <v>73.446153846153848</v>
      </c>
      <c r="AX576" s="1605">
        <f>(AX575/AVERAGE('Revenue drivers'!AX506,'Revenue drivers'!AW506)*1000)</f>
        <v>73.940298507462686</v>
      </c>
      <c r="AY576" s="1605">
        <f>(AY575/AVERAGE('Revenue drivers'!AY506,'Revenue drivers'!AX506)*1000)</f>
        <v>74.676363636363632</v>
      </c>
      <c r="AZ576" s="1606">
        <f>(AZ575/AVERAGE('Revenue drivers'!AZ506,'Revenue drivers'!AY506)*1000)</f>
        <v>75.914285714285711</v>
      </c>
      <c r="BA576" s="1605">
        <f>(BA575/AVERAGE('Revenue drivers'!BA506,'Revenue drivers'!AZ506)*1000)</f>
        <v>77.054698457222997</v>
      </c>
      <c r="BB576" s="1605">
        <f>(BB575/AVERAGE('Revenue drivers'!BB506,'Revenue drivers'!BA506)*1000)</f>
        <v>77.83264746227708</v>
      </c>
      <c r="BC576" s="1605">
        <f>(BC575/AVERAGE('Revenue drivers'!BC506,'Revenue drivers'!BB506)*1000)</f>
        <v>78.894878706199464</v>
      </c>
      <c r="BD576" s="1605">
        <f>(BD575/AVERAGE('Revenue drivers'!BD506,'Revenue drivers'!BC506)*1000)</f>
        <v>80.346205059920095</v>
      </c>
      <c r="BE576" s="1553"/>
      <c r="BF576" s="1607"/>
      <c r="BG576" s="1602"/>
      <c r="BH576" s="1602"/>
      <c r="BI576" s="1602"/>
      <c r="BJ576" s="1602"/>
      <c r="BK576" s="1602"/>
      <c r="BL576" s="1605">
        <f>(BL575/AVERAGE('Revenue drivers'!BL506,'Revenue drivers'!BK506)*1000)</f>
        <v>74.36</v>
      </c>
      <c r="BM576" s="1605">
        <f>(BM575/AVERAGE('Revenue drivers'!BM506,'Revenue drivers'!BL506)*1000)</f>
        <v>71.901234567901241</v>
      </c>
      <c r="BN576" s="1655">
        <f>(BN575/AVERAGE('Revenue drivers'!BN506,'Revenue drivers'!BM506)*1000)</f>
        <v>70.716981132075475</v>
      </c>
      <c r="BO576" s="1605">
        <f>(BO575/AVERAGE('Revenue drivers'!BO506,'Revenue drivers'!BN506)*1000)</f>
        <v>64.906666666666666</v>
      </c>
      <c r="BP576" s="1605"/>
      <c r="BQ576" s="1605"/>
      <c r="BR576" s="1605"/>
      <c r="BS576" s="1605"/>
      <c r="BT576" s="1605"/>
      <c r="BU576" s="1605"/>
      <c r="BV576" s="1605"/>
      <c r="BW576" s="1605"/>
      <c r="BX576" s="1605"/>
      <c r="BY576" s="1606"/>
      <c r="BZ576" s="1602"/>
    </row>
    <row r="577" spans="1:85" s="1552" customFormat="1" ht="11.25" hidden="1" customHeight="1" outlineLevel="2">
      <c r="I577" s="1608" t="s">
        <v>499</v>
      </c>
      <c r="J577" s="1526"/>
      <c r="K577" s="1526"/>
      <c r="L577" s="1526"/>
      <c r="M577" s="1602"/>
      <c r="N577" s="1602"/>
      <c r="O577" s="1602"/>
      <c r="P577" s="1602"/>
      <c r="Q577" s="1602"/>
      <c r="R577" s="1602"/>
      <c r="S577" s="1602"/>
      <c r="T577" s="1603"/>
      <c r="U577" s="1602"/>
      <c r="V577" s="1602"/>
      <c r="W577" s="1602"/>
      <c r="X577" s="1602"/>
      <c r="Y577" s="1607"/>
      <c r="Z577" s="1602"/>
      <c r="AA577" s="1602"/>
      <c r="AB577" s="1603"/>
      <c r="AC577" s="1604">
        <f t="shared" ref="AC577:AJ577" si="1123">+AC576-Y576</f>
        <v>6.0081351689612035</v>
      </c>
      <c r="AD577" s="1605">
        <f t="shared" si="1123"/>
        <v>-0.84149184149184464</v>
      </c>
      <c r="AE577" s="1605">
        <f t="shared" si="1123"/>
        <v>-0.7622504537205117</v>
      </c>
      <c r="AF577" s="1605">
        <f t="shared" si="1123"/>
        <v>-2.0600150037509337</v>
      </c>
      <c r="AG577" s="1604">
        <f t="shared" si="1123"/>
        <v>0.32286389733197751</v>
      </c>
      <c r="AH577" s="1605">
        <f t="shared" si="1123"/>
        <v>1.6429391504018369</v>
      </c>
      <c r="AI577" s="1605">
        <f t="shared" si="1123"/>
        <v>-0.90282131661442122</v>
      </c>
      <c r="AJ577" s="1605">
        <f t="shared" si="1123"/>
        <v>-3.8469617404351126</v>
      </c>
      <c r="AK577" s="1604">
        <f t="shared" ref="AK577:BD577" si="1124">+AK576-AG576</f>
        <v>-5.2126984126984226</v>
      </c>
      <c r="AL577" s="1605">
        <f t="shared" si="1124"/>
        <v>-3.6576691013020053</v>
      </c>
      <c r="AM577" s="1605">
        <f t="shared" si="1124"/>
        <v>2.14842300556586</v>
      </c>
      <c r="AN577" s="1605">
        <f t="shared" si="1124"/>
        <v>7.112520554381021</v>
      </c>
      <c r="AO577" s="1655">
        <f t="shared" si="1124"/>
        <v>8.5911111111111111</v>
      </c>
      <c r="AP577" s="1605">
        <f t="shared" si="1124"/>
        <v>8.1301145662847887</v>
      </c>
      <c r="AQ577" s="1605">
        <f t="shared" si="1124"/>
        <v>7.7135298563869981</v>
      </c>
      <c r="AR577" s="1606">
        <f t="shared" si="1124"/>
        <v>5.4613997113997002</v>
      </c>
      <c r="AS577" s="1605">
        <f t="shared" si="1124"/>
        <v>3.2165517241379433</v>
      </c>
      <c r="AT577" s="1605">
        <f t="shared" si="1124"/>
        <v>2.9897435897435827</v>
      </c>
      <c r="AU577" s="1605">
        <f t="shared" si="1124"/>
        <v>3.074373969110809</v>
      </c>
      <c r="AV577" s="1605">
        <f t="shared" si="1124"/>
        <v>3.4538396386222558</v>
      </c>
      <c r="AW577" s="1655">
        <f t="shared" si="1124"/>
        <v>3.5496021220159122</v>
      </c>
      <c r="AX577" s="1605">
        <f t="shared" si="1124"/>
        <v>3.3736318407960226</v>
      </c>
      <c r="AY577" s="1605">
        <f t="shared" si="1124"/>
        <v>3.1945822598454185</v>
      </c>
      <c r="AZ577" s="1606">
        <f t="shared" si="1124"/>
        <v>3.2818746470920388</v>
      </c>
      <c r="BA577" s="1605">
        <f t="shared" si="1124"/>
        <v>3.6085446110691493</v>
      </c>
      <c r="BB577" s="1605">
        <f t="shared" si="1124"/>
        <v>3.8923489548143948</v>
      </c>
      <c r="BC577" s="1605">
        <f t="shared" si="1124"/>
        <v>4.2185150698358314</v>
      </c>
      <c r="BD577" s="1605">
        <f t="shared" si="1124"/>
        <v>4.4319193456343839</v>
      </c>
      <c r="BE577" s="1553"/>
      <c r="BF577" s="1607"/>
      <c r="BG577" s="1602"/>
      <c r="BH577" s="1602"/>
      <c r="BI577" s="1602"/>
      <c r="BJ577" s="1602"/>
      <c r="BK577" s="1602"/>
      <c r="BL577" s="1609" t="str">
        <f>IFERROR(BL576/BK576-1,"NA")</f>
        <v>NA</v>
      </c>
      <c r="BM577" s="1610">
        <f>+BM576-BL576</f>
        <v>-2.4587654320987582</v>
      </c>
      <c r="BN577" s="1656">
        <f>+BN576-BM576</f>
        <v>-1.1842534358257666</v>
      </c>
      <c r="BO577" s="1610">
        <f>+BO576-BN576</f>
        <v>-5.8103144654088084</v>
      </c>
      <c r="BP577" s="1610"/>
      <c r="BQ577" s="1610"/>
      <c r="BR577" s="1610"/>
      <c r="BS577" s="1610"/>
      <c r="BT577" s="1610"/>
      <c r="BU577" s="1610"/>
      <c r="BV577" s="1610"/>
      <c r="BW577" s="1610"/>
      <c r="BX577" s="1610"/>
      <c r="BY577" s="1635"/>
      <c r="BZ577" s="1602"/>
    </row>
    <row r="578" spans="1:85" s="1552" customFormat="1" ht="11.25" hidden="1" customHeight="1" outlineLevel="2">
      <c r="I578" s="1608"/>
      <c r="J578" s="1526"/>
      <c r="K578" s="1526"/>
      <c r="L578" s="1526"/>
      <c r="N578" s="1602"/>
      <c r="O578" s="1602"/>
      <c r="P578" s="1602"/>
      <c r="Q578" s="1602"/>
      <c r="R578" s="1602"/>
      <c r="S578" s="1602"/>
      <c r="T578" s="1603"/>
      <c r="U578" s="1602"/>
      <c r="V578" s="1602"/>
      <c r="W578" s="1602"/>
      <c r="X578" s="1602"/>
      <c r="Y578" s="1607"/>
      <c r="Z578" s="1602"/>
      <c r="AA578" s="1602"/>
      <c r="AB578" s="1603"/>
      <c r="AC578" s="1655"/>
      <c r="AD578" s="1605"/>
      <c r="AE578" s="1605"/>
      <c r="AF578" s="1605"/>
      <c r="AG578" s="1655"/>
      <c r="AH578" s="1605"/>
      <c r="AI578" s="1605"/>
      <c r="AJ578" s="1605"/>
      <c r="AK578" s="1655"/>
      <c r="AL578" s="1605"/>
      <c r="AM578" s="1605"/>
      <c r="AN578" s="1605"/>
      <c r="AO578" s="1655"/>
      <c r="AP578" s="1605"/>
      <c r="AQ578" s="1605"/>
      <c r="AR578" s="1606"/>
      <c r="AS578" s="1605"/>
      <c r="AT578" s="1605"/>
      <c r="AU578" s="1605"/>
      <c r="AV578" s="1605"/>
      <c r="AW578" s="1655"/>
      <c r="AX578" s="1605"/>
      <c r="AY578" s="1605"/>
      <c r="AZ578" s="1606"/>
      <c r="BA578" s="1605"/>
      <c r="BB578" s="1605"/>
      <c r="BC578" s="1605"/>
      <c r="BD578" s="1605"/>
      <c r="BE578" s="1553"/>
      <c r="BF578" s="1607"/>
      <c r="BG578" s="1602"/>
      <c r="BH578" s="1602"/>
      <c r="BI578" s="1602"/>
      <c r="BJ578" s="1602"/>
      <c r="BK578" s="1602"/>
      <c r="BL578" s="1609"/>
      <c r="BM578" s="1610"/>
      <c r="BN578" s="1656"/>
      <c r="BO578" s="1610"/>
      <c r="BP578" s="1610"/>
      <c r="BQ578" s="1610"/>
      <c r="BR578" s="1610"/>
      <c r="BS578" s="1610"/>
      <c r="BT578" s="1610"/>
      <c r="BU578" s="1610"/>
      <c r="BV578" s="1610"/>
      <c r="BW578" s="1610"/>
      <c r="BX578" s="1610"/>
      <c r="BY578" s="1635"/>
      <c r="BZ578" s="1602"/>
    </row>
    <row r="579" spans="1:85" s="1832" customFormat="1" ht="11.25" hidden="1" customHeight="1" outlineLevel="2">
      <c r="I579" s="2162" t="s">
        <v>465</v>
      </c>
      <c r="J579" s="2163"/>
      <c r="K579" s="2163"/>
      <c r="L579" s="2163"/>
      <c r="M579" s="2174">
        <f t="shared" ref="M579:BD579" si="1125">M506</f>
        <v>0</v>
      </c>
      <c r="N579" s="2175">
        <f t="shared" si="1125"/>
        <v>0</v>
      </c>
      <c r="O579" s="2175">
        <f t="shared" si="1125"/>
        <v>0</v>
      </c>
      <c r="P579" s="2175">
        <f t="shared" si="1125"/>
        <v>0</v>
      </c>
      <c r="Q579" s="2175">
        <f t="shared" si="1125"/>
        <v>0</v>
      </c>
      <c r="R579" s="2175">
        <f t="shared" si="1125"/>
        <v>0</v>
      </c>
      <c r="S579" s="2175">
        <f t="shared" si="1125"/>
        <v>0</v>
      </c>
      <c r="T579" s="2176">
        <f t="shared" si="1125"/>
        <v>0</v>
      </c>
      <c r="U579" s="2175">
        <f t="shared" si="1125"/>
        <v>533.33333333333337</v>
      </c>
      <c r="V579" s="2175">
        <f t="shared" si="1125"/>
        <v>566.66666666666663</v>
      </c>
      <c r="W579" s="2175">
        <f t="shared" si="1125"/>
        <v>686.27450980392155</v>
      </c>
      <c r="X579" s="2175">
        <f t="shared" si="1125"/>
        <v>769.23076923076928</v>
      </c>
      <c r="Y579" s="2177">
        <f t="shared" si="1125"/>
        <v>800</v>
      </c>
      <c r="Z579" s="2175">
        <f t="shared" si="1125"/>
        <v>850</v>
      </c>
      <c r="AA579" s="2175">
        <f t="shared" si="1125"/>
        <v>1050</v>
      </c>
      <c r="AB579" s="2176">
        <f t="shared" si="1125"/>
        <v>1100</v>
      </c>
      <c r="AC579" s="2178">
        <f t="shared" si="1125"/>
        <v>1250</v>
      </c>
      <c r="AD579" s="2179">
        <f t="shared" si="1125"/>
        <v>1350</v>
      </c>
      <c r="AE579" s="2179">
        <f t="shared" si="1125"/>
        <v>1550</v>
      </c>
      <c r="AF579" s="2179">
        <f t="shared" si="1125"/>
        <v>1550</v>
      </c>
      <c r="AG579" s="2178">
        <f t="shared" si="1125"/>
        <v>1600</v>
      </c>
      <c r="AH579" s="2179">
        <f t="shared" si="1125"/>
        <v>1750</v>
      </c>
      <c r="AI579" s="2179">
        <f t="shared" si="1125"/>
        <v>2100</v>
      </c>
      <c r="AJ579" s="2179">
        <f t="shared" si="1125"/>
        <v>2200</v>
      </c>
      <c r="AK579" s="2178">
        <f t="shared" si="1125"/>
        <v>2300</v>
      </c>
      <c r="AL579" s="2179">
        <f t="shared" si="1125"/>
        <v>2400</v>
      </c>
      <c r="AM579" s="2179">
        <f t="shared" si="1125"/>
        <v>2500</v>
      </c>
      <c r="AN579" s="2179">
        <f t="shared" si="1125"/>
        <v>2450</v>
      </c>
      <c r="AO579" s="2178">
        <f t="shared" si="1125"/>
        <v>2550</v>
      </c>
      <c r="AP579" s="2179">
        <f t="shared" si="1125"/>
        <v>2650</v>
      </c>
      <c r="AQ579" s="2179">
        <f t="shared" si="1125"/>
        <v>2750</v>
      </c>
      <c r="AR579" s="2593">
        <f t="shared" si="1125"/>
        <v>2850</v>
      </c>
      <c r="AS579" s="2179">
        <f t="shared" si="1125"/>
        <v>2950</v>
      </c>
      <c r="AT579" s="2179">
        <f t="shared" si="1125"/>
        <v>3050</v>
      </c>
      <c r="AU579" s="2179">
        <f t="shared" si="1125"/>
        <v>3125</v>
      </c>
      <c r="AV579" s="2179">
        <f t="shared" si="1125"/>
        <v>3200</v>
      </c>
      <c r="AW579" s="2178">
        <f t="shared" si="1125"/>
        <v>3300</v>
      </c>
      <c r="AX579" s="2179">
        <f t="shared" si="1125"/>
        <v>3400</v>
      </c>
      <c r="AY579" s="2179">
        <f t="shared" si="1125"/>
        <v>3475</v>
      </c>
      <c r="AZ579" s="2593">
        <f t="shared" si="1125"/>
        <v>3525</v>
      </c>
      <c r="BA579" s="2179">
        <f t="shared" si="1125"/>
        <v>3605</v>
      </c>
      <c r="BB579" s="2179">
        <f t="shared" si="1125"/>
        <v>3685</v>
      </c>
      <c r="BC579" s="2179">
        <f t="shared" si="1125"/>
        <v>3735</v>
      </c>
      <c r="BD579" s="2179">
        <f t="shared" si="1125"/>
        <v>3775</v>
      </c>
      <c r="BE579" s="2180"/>
      <c r="BF579" s="2177">
        <f t="shared" ref="BF579:BO579" si="1126">BF506</f>
        <v>0</v>
      </c>
      <c r="BG579" s="2175">
        <f t="shared" si="1126"/>
        <v>0</v>
      </c>
      <c r="BH579" s="2175">
        <f t="shared" si="1126"/>
        <v>0</v>
      </c>
      <c r="BI579" s="2175">
        <f t="shared" si="1126"/>
        <v>0</v>
      </c>
      <c r="BJ579" s="2175">
        <f t="shared" si="1126"/>
        <v>0</v>
      </c>
      <c r="BK579" s="2175">
        <f t="shared" si="1126"/>
        <v>0</v>
      </c>
      <c r="BL579" s="2175">
        <f t="shared" si="1126"/>
        <v>769.23076923076928</v>
      </c>
      <c r="BM579" s="2175">
        <f t="shared" si="1126"/>
        <v>1100</v>
      </c>
      <c r="BN579" s="2177">
        <f t="shared" si="1126"/>
        <v>1550</v>
      </c>
      <c r="BO579" s="2175">
        <f t="shared" si="1126"/>
        <v>2200</v>
      </c>
      <c r="BP579" s="2175"/>
      <c r="BQ579" s="2175"/>
      <c r="BR579" s="2175"/>
      <c r="BS579" s="2175"/>
      <c r="BT579" s="2175"/>
      <c r="BU579" s="2175"/>
      <c r="BV579" s="2175"/>
      <c r="BW579" s="2175"/>
      <c r="BX579" s="2175"/>
      <c r="BY579" s="2176"/>
      <c r="BZ579" s="2164"/>
    </row>
    <row r="580" spans="1:85" s="1552" customFormat="1" ht="11.25" hidden="1" customHeight="1" outlineLevel="2">
      <c r="I580" s="1608"/>
      <c r="J580" s="1526"/>
      <c r="K580" s="1526"/>
      <c r="L580" s="1526"/>
      <c r="M580" s="1602"/>
      <c r="N580" s="1602"/>
      <c r="O580" s="1602"/>
      <c r="P580" s="1602"/>
      <c r="Q580" s="1602"/>
      <c r="R580" s="1602"/>
      <c r="S580" s="1602"/>
      <c r="T580" s="1603"/>
      <c r="U580" s="1602"/>
      <c r="V580" s="1602"/>
      <c r="W580" s="1602"/>
      <c r="X580" s="1602"/>
      <c r="Y580" s="1607"/>
      <c r="Z580" s="1602"/>
      <c r="AA580" s="1602"/>
      <c r="AB580" s="1603"/>
      <c r="AC580" s="1655"/>
      <c r="AD580" s="1605"/>
      <c r="AE580" s="1605"/>
      <c r="AF580" s="1605"/>
      <c r="AG580" s="1655"/>
      <c r="AH580" s="1605"/>
      <c r="AI580" s="1605"/>
      <c r="AJ580" s="1605"/>
      <c r="AK580" s="1655"/>
      <c r="AL580" s="1605"/>
      <c r="AM580" s="1605"/>
      <c r="AN580" s="1605"/>
      <c r="AO580" s="1655"/>
      <c r="AP580" s="1605"/>
      <c r="AQ580" s="1605"/>
      <c r="AR580" s="1606"/>
      <c r="AS580" s="1605"/>
      <c r="AT580" s="1605"/>
      <c r="AU580" s="1605"/>
      <c r="AV580" s="1605"/>
      <c r="AW580" s="1655"/>
      <c r="AX580" s="1605"/>
      <c r="AY580" s="1605"/>
      <c r="AZ580" s="1606"/>
      <c r="BA580" s="1605"/>
      <c r="BB580" s="1605"/>
      <c r="BC580" s="1605"/>
      <c r="BD580" s="1605"/>
      <c r="BE580" s="1553"/>
      <c r="BF580" s="1607"/>
      <c r="BG580" s="1602"/>
      <c r="BH580" s="1602"/>
      <c r="BI580" s="1602"/>
      <c r="BJ580" s="1602"/>
      <c r="BK580" s="1602"/>
      <c r="BL580" s="1609"/>
      <c r="BM580" s="1610"/>
      <c r="BN580" s="1656"/>
      <c r="BO580" s="1610"/>
      <c r="BP580" s="1610"/>
      <c r="BQ580" s="1610"/>
      <c r="BR580" s="1610"/>
      <c r="BS580" s="1610"/>
      <c r="BT580" s="1610"/>
      <c r="BU580" s="1610"/>
      <c r="BV580" s="1610"/>
      <c r="BW580" s="1610"/>
      <c r="BX580" s="1610"/>
      <c r="BY580" s="1635"/>
      <c r="BZ580" s="1602"/>
    </row>
    <row r="581" spans="1:85" s="1832" customFormat="1" ht="11.25" hidden="1" customHeight="1" outlineLevel="2">
      <c r="I581" s="2162" t="s">
        <v>545</v>
      </c>
      <c r="J581" s="2163"/>
      <c r="K581" s="2163"/>
      <c r="L581" s="2163"/>
      <c r="M581" s="2164"/>
      <c r="N581" s="2164"/>
      <c r="O581" s="2164"/>
      <c r="P581" s="2164"/>
      <c r="Q581" s="2164"/>
      <c r="R581" s="2164"/>
      <c r="S581" s="2164"/>
      <c r="T581" s="2165"/>
      <c r="U581" s="2186"/>
      <c r="V581" s="2187"/>
      <c r="W581" s="2187">
        <f t="shared" ref="W581:AF581" si="1127">+W563*1000/U579</f>
        <v>7.8749999999999973</v>
      </c>
      <c r="X581" s="2187">
        <f t="shared" si="1127"/>
        <v>6.7058823529411722</v>
      </c>
      <c r="Y581" s="2186">
        <f t="shared" si="1127"/>
        <v>7.1400000000000086</v>
      </c>
      <c r="Z581" s="2187">
        <f t="shared" si="1127"/>
        <v>8.7099999999999937</v>
      </c>
      <c r="AA581" s="2187">
        <f t="shared" si="1127"/>
        <v>7.2500000000000053</v>
      </c>
      <c r="AB581" s="2187">
        <f t="shared" si="1127"/>
        <v>11.764705882352942</v>
      </c>
      <c r="AC581" s="2186">
        <f t="shared" si="1127"/>
        <v>6.4761904761904736</v>
      </c>
      <c r="AD581" s="2187">
        <f t="shared" si="1127"/>
        <v>5.3636363636363686</v>
      </c>
      <c r="AE581" s="2187">
        <f t="shared" si="1127"/>
        <v>5.0399999999999983</v>
      </c>
      <c r="AF581" s="2187">
        <f t="shared" si="1127"/>
        <v>5.5555555555555554</v>
      </c>
      <c r="AG581" s="2167"/>
      <c r="AH581" s="2168"/>
      <c r="AI581" s="2168"/>
      <c r="AJ581" s="2168"/>
      <c r="AK581" s="2167"/>
      <c r="AL581" s="2168"/>
      <c r="AM581" s="2168"/>
      <c r="AN581" s="2168"/>
      <c r="AO581" s="2167"/>
      <c r="AP581" s="2168"/>
      <c r="AQ581" s="2168"/>
      <c r="AR581" s="2594"/>
      <c r="AS581" s="2168"/>
      <c r="AT581" s="2168"/>
      <c r="AU581" s="2168"/>
      <c r="AV581" s="2168"/>
      <c r="AW581" s="2167"/>
      <c r="AX581" s="2168"/>
      <c r="AY581" s="2168"/>
      <c r="AZ581" s="2594"/>
      <c r="BA581" s="2168"/>
      <c r="BB581" s="2168"/>
      <c r="BC581" s="2168"/>
      <c r="BD581" s="2168"/>
      <c r="BE581" s="2169"/>
      <c r="BF581" s="2166"/>
      <c r="BG581" s="2164"/>
      <c r="BH581" s="2164"/>
      <c r="BI581" s="2164"/>
      <c r="BJ581" s="2164"/>
      <c r="BK581" s="2164"/>
      <c r="BL581" s="2170"/>
      <c r="BM581" s="2171"/>
      <c r="BN581" s="2172"/>
      <c r="BO581" s="2171"/>
      <c r="BP581" s="2171"/>
      <c r="BQ581" s="2171"/>
      <c r="BR581" s="2171"/>
      <c r="BS581" s="2171"/>
      <c r="BT581" s="2171"/>
      <c r="BU581" s="2171"/>
      <c r="BV581" s="2171"/>
      <c r="BW581" s="2171"/>
      <c r="BX581" s="2171"/>
      <c r="BY581" s="2173"/>
      <c r="BZ581" s="2164"/>
    </row>
    <row r="582" spans="1:85" s="1552" customFormat="1" ht="11.25" hidden="1" customHeight="1" outlineLevel="2">
      <c r="I582" s="1608" t="s">
        <v>543</v>
      </c>
      <c r="J582" s="1594"/>
      <c r="K582" s="1594"/>
      <c r="L582" s="1594"/>
      <c r="M582" s="1595"/>
      <c r="N582" s="1595"/>
      <c r="O582" s="1595"/>
      <c r="P582" s="1595"/>
      <c r="Q582" s="1595"/>
      <c r="R582" s="1595"/>
      <c r="S582" s="1595"/>
      <c r="T582" s="1596"/>
      <c r="U582" s="1595"/>
      <c r="V582" s="1595"/>
      <c r="W582" s="1595"/>
      <c r="X582" s="1595"/>
      <c r="Y582" s="1600"/>
      <c r="Z582" s="1595"/>
      <c r="AA582" s="2181">
        <f t="shared" ref="AA582:AF582" si="1128">+AA581/W581-1</f>
        <v>-7.9365079365078417E-2</v>
      </c>
      <c r="AB582" s="2182">
        <f t="shared" si="1128"/>
        <v>0.75438596491228194</v>
      </c>
      <c r="AC582" s="2181">
        <f t="shared" si="1128"/>
        <v>-9.2970521541951512E-2</v>
      </c>
      <c r="AD582" s="2181">
        <f t="shared" si="1128"/>
        <v>-0.38419789166057716</v>
      </c>
      <c r="AE582" s="2181">
        <f t="shared" si="1128"/>
        <v>-0.30482758620689732</v>
      </c>
      <c r="AF582" s="2181">
        <f t="shared" si="1128"/>
        <v>-0.5277777777777779</v>
      </c>
      <c r="AG582" s="1654"/>
      <c r="AH582" s="1597"/>
      <c r="AI582" s="1597"/>
      <c r="AJ582" s="1597"/>
      <c r="AK582" s="1654"/>
      <c r="AL582" s="1597"/>
      <c r="AM582" s="1597"/>
      <c r="AN582" s="1597"/>
      <c r="AO582" s="1654"/>
      <c r="AP582" s="1597"/>
      <c r="AQ582" s="1597"/>
      <c r="AR582" s="1599"/>
      <c r="AS582" s="1597"/>
      <c r="AT582" s="1597"/>
      <c r="AU582" s="1597"/>
      <c r="AV582" s="1597"/>
      <c r="AW582" s="1654"/>
      <c r="AX582" s="1597"/>
      <c r="AY582" s="1597"/>
      <c r="AZ582" s="1599"/>
      <c r="BA582" s="1597"/>
      <c r="BB582" s="1597"/>
      <c r="BC582" s="1597"/>
      <c r="BD582" s="1597"/>
      <c r="BE582" s="1553"/>
      <c r="BF582" s="1600"/>
      <c r="BG582" s="1595"/>
      <c r="BH582" s="1595"/>
      <c r="BI582" s="1595"/>
      <c r="BJ582" s="1595"/>
      <c r="BK582" s="1595"/>
      <c r="BL582" s="1609"/>
      <c r="BM582" s="1610"/>
      <c r="BN582" s="1656"/>
      <c r="BO582" s="1610"/>
      <c r="BP582" s="1610"/>
      <c r="BQ582" s="1610"/>
      <c r="BR582" s="1610"/>
      <c r="BS582" s="1610"/>
      <c r="BT582" s="1610"/>
      <c r="BU582" s="1610"/>
      <c r="BV582" s="1610"/>
      <c r="BW582" s="1610"/>
      <c r="BX582" s="1610"/>
      <c r="BY582" s="1635"/>
      <c r="BZ582" s="1595"/>
    </row>
    <row r="583" spans="1:85" s="1552" customFormat="1" ht="11.25" hidden="1" customHeight="1" outlineLevel="2">
      <c r="I583" s="1608" t="s">
        <v>546</v>
      </c>
      <c r="J583" s="1594"/>
      <c r="K583" s="1594"/>
      <c r="L583" s="1594"/>
      <c r="M583" s="1595"/>
      <c r="N583" s="1595"/>
      <c r="O583" s="1595"/>
      <c r="P583" s="1595"/>
      <c r="Q583" s="1595"/>
      <c r="R583" s="1595"/>
      <c r="S583" s="1595"/>
      <c r="T583" s="1596"/>
      <c r="U583" s="1595"/>
      <c r="V583" s="1595"/>
      <c r="W583" s="1595"/>
      <c r="X583" s="1595"/>
      <c r="Y583" s="1600"/>
      <c r="Z583" s="1595"/>
      <c r="AA583" s="1595"/>
      <c r="AB583" s="1596"/>
      <c r="AC583" s="1654"/>
      <c r="AD583" s="1597"/>
      <c r="AE583" s="2181">
        <f>AE582+AA582</f>
        <v>-0.38419266557197573</v>
      </c>
      <c r="AF583" s="2181">
        <f>AF582+AB582</f>
        <v>0.22660818713450404</v>
      </c>
      <c r="AG583" s="1654"/>
      <c r="AH583" s="1597"/>
      <c r="AI583" s="1597"/>
      <c r="AJ583" s="1597"/>
      <c r="AK583" s="1654"/>
      <c r="AL583" s="1597"/>
      <c r="AM583" s="1597"/>
      <c r="AN583" s="1597"/>
      <c r="AO583" s="1654"/>
      <c r="AP583" s="1597"/>
      <c r="AQ583" s="1597"/>
      <c r="AR583" s="1599"/>
      <c r="AS583" s="1597"/>
      <c r="AT583" s="1597"/>
      <c r="AU583" s="1597"/>
      <c r="AV583" s="1597"/>
      <c r="AW583" s="1654"/>
      <c r="AX583" s="1597"/>
      <c r="AY583" s="1597"/>
      <c r="AZ583" s="1599"/>
      <c r="BA583" s="1597"/>
      <c r="BB583" s="1597"/>
      <c r="BC583" s="1597"/>
      <c r="BD583" s="1597"/>
      <c r="BE583" s="1553"/>
      <c r="BF583" s="1600"/>
      <c r="BG583" s="1595"/>
      <c r="BH583" s="1595"/>
      <c r="BI583" s="1595"/>
      <c r="BJ583" s="1595"/>
      <c r="BK583" s="1595"/>
      <c r="BL583" s="1609"/>
      <c r="BM583" s="1610"/>
      <c r="BN583" s="1656"/>
      <c r="BO583" s="1610"/>
      <c r="BP583" s="1610"/>
      <c r="BQ583" s="1610"/>
      <c r="BR583" s="1610"/>
      <c r="BS583" s="1610"/>
      <c r="BT583" s="1610"/>
      <c r="BU583" s="1610"/>
      <c r="BV583" s="1610"/>
      <c r="BW583" s="1610"/>
      <c r="BX583" s="1610"/>
      <c r="BY583" s="1635"/>
      <c r="BZ583" s="1595"/>
    </row>
    <row r="584" spans="1:85" s="1552" customFormat="1" ht="11.25" hidden="1" customHeight="1" outlineLevel="2">
      <c r="I584" s="1608" t="s">
        <v>499</v>
      </c>
      <c r="J584" s="1594"/>
      <c r="K584" s="1594"/>
      <c r="L584" s="1594"/>
      <c r="M584" s="1595"/>
      <c r="N584" s="1595"/>
      <c r="O584" s="1595"/>
      <c r="P584" s="1595"/>
      <c r="Q584" s="1595"/>
      <c r="R584" s="1595"/>
      <c r="S584" s="1595"/>
      <c r="T584" s="1596"/>
      <c r="U584" s="1595"/>
      <c r="V584" s="1595"/>
      <c r="W584" s="1595"/>
      <c r="X584" s="1559"/>
      <c r="Y584" s="2183"/>
      <c r="Z584" s="2184"/>
      <c r="AA584" s="2184">
        <f t="shared" ref="AA584:AF584" si="1129">+AA581-W581</f>
        <v>-0.62499999999999201</v>
      </c>
      <c r="AB584" s="2184">
        <f t="shared" si="1129"/>
        <v>5.0588235294117698</v>
      </c>
      <c r="AC584" s="2183">
        <f t="shared" si="1129"/>
        <v>-0.66380952380953495</v>
      </c>
      <c r="AD584" s="2184">
        <f t="shared" si="1129"/>
        <v>-3.3463636363636251</v>
      </c>
      <c r="AE584" s="2184">
        <f t="shared" si="1129"/>
        <v>-2.2100000000000071</v>
      </c>
      <c r="AF584" s="2184">
        <f t="shared" si="1129"/>
        <v>-6.2091503267973867</v>
      </c>
      <c r="AG584" s="1654"/>
      <c r="AH584" s="1597"/>
      <c r="AI584" s="1597"/>
      <c r="AJ584" s="1597"/>
      <c r="AK584" s="1654"/>
      <c r="AL584" s="1597"/>
      <c r="AM584" s="1597"/>
      <c r="AN584" s="1597"/>
      <c r="AO584" s="1654"/>
      <c r="AP584" s="1597"/>
      <c r="AQ584" s="1597"/>
      <c r="AR584" s="1599"/>
      <c r="AS584" s="1597"/>
      <c r="AT584" s="1597"/>
      <c r="AU584" s="1597"/>
      <c r="AV584" s="1597"/>
      <c r="AW584" s="1654"/>
      <c r="AX584" s="1597"/>
      <c r="AY584" s="1597"/>
      <c r="AZ584" s="1599"/>
      <c r="BA584" s="1597"/>
      <c r="BB584" s="1597"/>
      <c r="BC584" s="1597"/>
      <c r="BD584" s="1597"/>
      <c r="BE584" s="1553"/>
      <c r="BF584" s="1600"/>
      <c r="BG584" s="1595"/>
      <c r="BH584" s="1595"/>
      <c r="BI584" s="1595"/>
      <c r="BJ584" s="1595"/>
      <c r="BK584" s="1595"/>
      <c r="BL584" s="1609"/>
      <c r="BM584" s="1610"/>
      <c r="BN584" s="1656"/>
      <c r="BO584" s="1610"/>
      <c r="BP584" s="1610"/>
      <c r="BQ584" s="1610"/>
      <c r="BR584" s="1610"/>
      <c r="BS584" s="1610"/>
      <c r="BT584" s="1610"/>
      <c r="BU584" s="1610"/>
      <c r="BV584" s="1610"/>
      <c r="BW584" s="1610"/>
      <c r="BX584" s="1610"/>
      <c r="BY584" s="1635"/>
      <c r="BZ584" s="1595"/>
    </row>
    <row r="585" spans="1:85" s="1552" customFormat="1" ht="11.25" hidden="1" customHeight="1" outlineLevel="2">
      <c r="I585" s="1608" t="s">
        <v>544</v>
      </c>
      <c r="J585" s="1594"/>
      <c r="K585" s="1594"/>
      <c r="L585" s="1594"/>
      <c r="M585" s="1595"/>
      <c r="N585" s="1595"/>
      <c r="O585" s="1595"/>
      <c r="P585" s="1595"/>
      <c r="Q585" s="1595"/>
      <c r="R585" s="1595"/>
      <c r="S585" s="1595"/>
      <c r="T585" s="1596"/>
      <c r="U585" s="1595"/>
      <c r="V585" s="1595"/>
      <c r="W585" s="1595"/>
      <c r="X585" s="1559">
        <f t="shared" ref="X585:AF585" si="1130">+X581-W581</f>
        <v>-1.1691176470588251</v>
      </c>
      <c r="Y585" s="1560">
        <f t="shared" si="1130"/>
        <v>0.43411764705883638</v>
      </c>
      <c r="Z585" s="1559">
        <f t="shared" si="1130"/>
        <v>1.5699999999999852</v>
      </c>
      <c r="AA585" s="1559">
        <f t="shared" si="1130"/>
        <v>-1.4599999999999884</v>
      </c>
      <c r="AB585" s="1561">
        <f t="shared" si="1130"/>
        <v>4.5147058823529367</v>
      </c>
      <c r="AC585" s="2183">
        <f t="shared" si="1130"/>
        <v>-5.2885154061624684</v>
      </c>
      <c r="AD585" s="2184">
        <f t="shared" si="1130"/>
        <v>-1.112554112554105</v>
      </c>
      <c r="AE585" s="2184">
        <f t="shared" si="1130"/>
        <v>-0.32363636363637038</v>
      </c>
      <c r="AF585" s="2184">
        <f t="shared" si="1130"/>
        <v>0.5155555555555571</v>
      </c>
      <c r="AG585" s="1654"/>
      <c r="AH585" s="1597"/>
      <c r="AI585" s="1597"/>
      <c r="AJ585" s="1597"/>
      <c r="AK585" s="1654"/>
      <c r="AL585" s="1597"/>
      <c r="AM585" s="1597"/>
      <c r="AN585" s="1597"/>
      <c r="AO585" s="1654"/>
      <c r="AP585" s="1597"/>
      <c r="AQ585" s="1597"/>
      <c r="AR585" s="1599"/>
      <c r="AS585" s="1597"/>
      <c r="AT585" s="1597"/>
      <c r="AU585" s="1597"/>
      <c r="AV585" s="1597"/>
      <c r="AW585" s="1654"/>
      <c r="AX585" s="1597"/>
      <c r="AY585" s="1597"/>
      <c r="AZ585" s="1599"/>
      <c r="BA585" s="1597"/>
      <c r="BB585" s="1597"/>
      <c r="BC585" s="1597"/>
      <c r="BD585" s="1597"/>
      <c r="BE585" s="1553"/>
      <c r="BF585" s="1600"/>
      <c r="BG585" s="1595"/>
      <c r="BH585" s="1595"/>
      <c r="BI585" s="1595"/>
      <c r="BJ585" s="1595"/>
      <c r="BK585" s="1595"/>
      <c r="BL585" s="1609"/>
      <c r="BM585" s="1610"/>
      <c r="BN585" s="1656"/>
      <c r="BO585" s="1610"/>
      <c r="BP585" s="1610"/>
      <c r="BQ585" s="1610"/>
      <c r="BR585" s="1610"/>
      <c r="BS585" s="1610"/>
      <c r="BT585" s="1610"/>
      <c r="BU585" s="1610"/>
      <c r="BV585" s="1610"/>
      <c r="BW585" s="1610"/>
      <c r="BX585" s="1610"/>
      <c r="BY585" s="1635"/>
      <c r="BZ585" s="1595"/>
    </row>
    <row r="586" spans="1:85" s="1552" customFormat="1" ht="11.25" hidden="1" customHeight="1" outlineLevel="2">
      <c r="I586" s="1608" t="s">
        <v>146</v>
      </c>
      <c r="J586" s="1594"/>
      <c r="K586" s="1594"/>
      <c r="L586" s="1594"/>
      <c r="M586" s="1595"/>
      <c r="N586" s="1595"/>
      <c r="O586" s="1595"/>
      <c r="P586" s="1595"/>
      <c r="Q586" s="1595"/>
      <c r="R586" s="1595"/>
      <c r="S586" s="1595"/>
      <c r="T586" s="1596"/>
      <c r="U586" s="1595"/>
      <c r="V586" s="1595"/>
      <c r="W586" s="1595"/>
      <c r="X586" s="2181">
        <f t="shared" ref="X586:AF586" si="1131">+X581/W581-1</f>
        <v>-0.14845938375350165</v>
      </c>
      <c r="Y586" s="2185">
        <f t="shared" si="1131"/>
        <v>6.4736842105265202E-2</v>
      </c>
      <c r="Z586" s="2181">
        <f t="shared" si="1131"/>
        <v>0.21988795518207049</v>
      </c>
      <c r="AA586" s="2181">
        <f t="shared" si="1131"/>
        <v>-0.16762342135476338</v>
      </c>
      <c r="AB586" s="2182">
        <f t="shared" si="1131"/>
        <v>0.62271805273833558</v>
      </c>
      <c r="AC586" s="2185">
        <f t="shared" si="1131"/>
        <v>-0.44952380952380977</v>
      </c>
      <c r="AD586" s="2181">
        <f t="shared" si="1131"/>
        <v>-0.17179144385026623</v>
      </c>
      <c r="AE586" s="2181">
        <f t="shared" si="1131"/>
        <v>-6.0338983050848616E-2</v>
      </c>
      <c r="AF586" s="2181">
        <f t="shared" si="1131"/>
        <v>0.10229276895943595</v>
      </c>
      <c r="AG586" s="1654"/>
      <c r="AH586" s="1597"/>
      <c r="AI586" s="1597"/>
      <c r="AJ586" s="1597"/>
      <c r="AK586" s="1654"/>
      <c r="AL586" s="1597"/>
      <c r="AM586" s="1597"/>
      <c r="AN586" s="1597"/>
      <c r="AO586" s="1654"/>
      <c r="AP586" s="1597"/>
      <c r="AQ586" s="1597"/>
      <c r="AR586" s="1599"/>
      <c r="AS586" s="1597"/>
      <c r="AT586" s="1597"/>
      <c r="AU586" s="1597"/>
      <c r="AV586" s="1597"/>
      <c r="AW586" s="1654"/>
      <c r="AX586" s="1597"/>
      <c r="AY586" s="1597"/>
      <c r="AZ586" s="1599"/>
      <c r="BA586" s="1597"/>
      <c r="BB586" s="1597"/>
      <c r="BC586" s="1597"/>
      <c r="BD586" s="1597"/>
      <c r="BE586" s="1553"/>
      <c r="BF586" s="1600"/>
      <c r="BG586" s="1595"/>
      <c r="BH586" s="1595"/>
      <c r="BI586" s="1595"/>
      <c r="BJ586" s="1595"/>
      <c r="BK586" s="1595"/>
      <c r="BL586" s="1609"/>
      <c r="BM586" s="1610"/>
      <c r="BN586" s="1656"/>
      <c r="BO586" s="1610"/>
      <c r="BP586" s="1610"/>
      <c r="BQ586" s="1610"/>
      <c r="BR586" s="1610"/>
      <c r="BS586" s="1610"/>
      <c r="BT586" s="1610"/>
      <c r="BU586" s="1610"/>
      <c r="BV586" s="1610"/>
      <c r="BW586" s="1610"/>
      <c r="BX586" s="1610"/>
      <c r="BY586" s="1635"/>
      <c r="BZ586" s="1595"/>
    </row>
    <row r="587" spans="1:85" s="1552" customFormat="1" ht="11.25" hidden="1" customHeight="1" outlineLevel="2">
      <c r="I587" s="1608"/>
      <c r="J587" s="1526"/>
      <c r="K587" s="1526"/>
      <c r="L587" s="1526"/>
      <c r="M587" s="1602"/>
      <c r="N587" s="1602"/>
      <c r="O587" s="1602"/>
      <c r="P587" s="1602"/>
      <c r="Q587" s="1602"/>
      <c r="R587" s="1602"/>
      <c r="S587" s="1602"/>
      <c r="T587" s="1603"/>
      <c r="U587" s="1602"/>
      <c r="V587" s="1602"/>
      <c r="W587" s="1602"/>
      <c r="X587" s="1602"/>
      <c r="Y587" s="1607"/>
      <c r="Z587" s="1602"/>
      <c r="AA587" s="1602"/>
      <c r="AB587" s="1603"/>
      <c r="AC587" s="1655"/>
      <c r="AD587" s="1605"/>
      <c r="AE587" s="1605"/>
      <c r="AF587" s="1605"/>
      <c r="AG587" s="1655"/>
      <c r="AH587" s="1605"/>
      <c r="AI587" s="1605"/>
      <c r="AJ587" s="1605"/>
      <c r="AK587" s="1655"/>
      <c r="AL587" s="1605"/>
      <c r="AM587" s="1605"/>
      <c r="AN587" s="1605"/>
      <c r="AO587" s="1655"/>
      <c r="AP587" s="1605"/>
      <c r="AQ587" s="1605"/>
      <c r="AR587" s="1606"/>
      <c r="AS587" s="1605"/>
      <c r="AT587" s="1605"/>
      <c r="AU587" s="1605"/>
      <c r="AV587" s="1605"/>
      <c r="AW587" s="1655"/>
      <c r="AX587" s="1605"/>
      <c r="AY587" s="1605"/>
      <c r="AZ587" s="1606"/>
      <c r="BA587" s="1605"/>
      <c r="BB587" s="1605"/>
      <c r="BC587" s="1605"/>
      <c r="BD587" s="1605"/>
      <c r="BE587" s="1553"/>
      <c r="BF587" s="1607"/>
      <c r="BG587" s="1602"/>
      <c r="BH587" s="1602"/>
      <c r="BI587" s="1602"/>
      <c r="BJ587" s="1602"/>
      <c r="BK587" s="1602"/>
      <c r="BL587" s="1609"/>
      <c r="BM587" s="1610"/>
      <c r="BN587" s="1656"/>
      <c r="BO587" s="1610"/>
      <c r="BP587" s="1610"/>
      <c r="BQ587" s="1610"/>
      <c r="BR587" s="1610"/>
      <c r="BS587" s="1610"/>
      <c r="BT587" s="1610"/>
      <c r="BU587" s="1610"/>
      <c r="BV587" s="1610"/>
      <c r="BW587" s="1610"/>
      <c r="BX587" s="1610"/>
      <c r="BY587" s="1635"/>
      <c r="BZ587" s="1602"/>
    </row>
    <row r="588" spans="1:85" s="1552" customFormat="1" ht="11.25" hidden="1" customHeight="1" outlineLevel="2">
      <c r="I588" s="1608"/>
      <c r="J588" s="1526"/>
      <c r="K588" s="1526"/>
      <c r="L588" s="1526"/>
      <c r="M588" s="1602"/>
      <c r="N588" s="1602"/>
      <c r="O588" s="1602"/>
      <c r="P588" s="1602"/>
      <c r="Q588" s="1602"/>
      <c r="R588" s="1602"/>
      <c r="S588" s="1602"/>
      <c r="T588" s="1603"/>
      <c r="U588" s="1602"/>
      <c r="V588" s="1602"/>
      <c r="W588" s="1602"/>
      <c r="X588" s="1602"/>
      <c r="Y588" s="1607"/>
      <c r="Z588" s="1602"/>
      <c r="AA588" s="1602"/>
      <c r="AB588" s="1603"/>
      <c r="AC588" s="1655"/>
      <c r="AD588" s="1605"/>
      <c r="AE588" s="1605"/>
      <c r="AF588" s="1605"/>
      <c r="AG588" s="1655"/>
      <c r="AH588" s="1605"/>
      <c r="AI588" s="1605"/>
      <c r="AJ588" s="1605"/>
      <c r="AK588" s="1655"/>
      <c r="AL588" s="1605"/>
      <c r="AM588" s="1605"/>
      <c r="AN588" s="1605"/>
      <c r="AO588" s="1655"/>
      <c r="AP588" s="1605"/>
      <c r="AQ588" s="1605"/>
      <c r="AR588" s="1606"/>
      <c r="AS588" s="1605"/>
      <c r="AT588" s="1605"/>
      <c r="AU588" s="1605"/>
      <c r="AV588" s="1605"/>
      <c r="AW588" s="1655"/>
      <c r="AX588" s="1605"/>
      <c r="AY588" s="1605"/>
      <c r="AZ588" s="1606"/>
      <c r="BA588" s="1605"/>
      <c r="BB588" s="1605"/>
      <c r="BC588" s="1605"/>
      <c r="BD588" s="1605"/>
      <c r="BE588" s="1553"/>
      <c r="BF588" s="1607"/>
      <c r="BG588" s="1602"/>
      <c r="BH588" s="1602"/>
      <c r="BI588" s="1602"/>
      <c r="BJ588" s="1602"/>
      <c r="BK588" s="1602"/>
      <c r="BL588" s="1609"/>
      <c r="BM588" s="1610"/>
      <c r="BN588" s="1656"/>
      <c r="BO588" s="1610"/>
      <c r="BP588" s="1610"/>
      <c r="BQ588" s="1610"/>
      <c r="BR588" s="1610"/>
      <c r="BS588" s="1610"/>
      <c r="BT588" s="1610"/>
      <c r="BU588" s="1610"/>
      <c r="BV588" s="1610"/>
      <c r="BW588" s="1610"/>
      <c r="BX588" s="1610"/>
      <c r="BY588" s="1635"/>
      <c r="BZ588" s="1602"/>
    </row>
    <row r="589" spans="1:85" ht="11.25" hidden="1" customHeight="1" outlineLevel="1">
      <c r="A589" s="36"/>
      <c r="B589" s="36"/>
      <c r="C589" s="36"/>
      <c r="D589" s="36"/>
      <c r="E589" s="36"/>
      <c r="F589" s="36"/>
      <c r="G589" s="36"/>
      <c r="I589" s="622"/>
      <c r="J589" s="50"/>
      <c r="K589" s="50"/>
      <c r="L589" s="50"/>
      <c r="M589" s="78"/>
      <c r="N589" s="78"/>
      <c r="O589" s="78"/>
      <c r="P589" s="78"/>
      <c r="Q589" s="78"/>
      <c r="R589" s="78"/>
      <c r="S589" s="78"/>
      <c r="T589" s="874"/>
      <c r="U589" s="78"/>
      <c r="V589" s="78"/>
      <c r="W589" s="78"/>
      <c r="X589" s="78"/>
      <c r="Y589" s="873"/>
      <c r="Z589" s="78"/>
      <c r="AA589" s="78"/>
      <c r="AB589" s="874"/>
      <c r="AC589" s="873"/>
      <c r="AD589" s="78"/>
      <c r="AE589" s="78"/>
      <c r="AF589" s="874"/>
      <c r="AG589" s="873"/>
      <c r="AH589" s="78"/>
      <c r="AI589" s="78"/>
      <c r="AJ589" s="78"/>
      <c r="AK589" s="873"/>
      <c r="AL589" s="78"/>
      <c r="AM589" s="78"/>
      <c r="AN589" s="78"/>
      <c r="AO589" s="873"/>
      <c r="AP589" s="78"/>
      <c r="AQ589" s="78"/>
      <c r="AR589" s="874"/>
      <c r="AS589" s="78"/>
      <c r="AT589" s="78"/>
      <c r="AU589" s="78"/>
      <c r="AV589" s="78"/>
      <c r="AW589" s="873"/>
      <c r="AX589" s="78"/>
      <c r="AY589" s="78"/>
      <c r="AZ589" s="874"/>
      <c r="BA589" s="78"/>
      <c r="BB589" s="78"/>
      <c r="BC589" s="78"/>
      <c r="BD589" s="78"/>
      <c r="BE589" s="1222"/>
      <c r="BF589" s="873"/>
      <c r="BG589" s="78"/>
      <c r="BH589" s="78"/>
      <c r="BI589" s="78"/>
      <c r="BJ589" s="78"/>
      <c r="BK589" s="78"/>
      <c r="BL589" s="78"/>
      <c r="BM589" s="78"/>
      <c r="BN589" s="873"/>
      <c r="BO589" s="1413"/>
      <c r="BP589" s="78"/>
      <c r="BQ589" s="78"/>
      <c r="BR589" s="78"/>
      <c r="BS589" s="78"/>
      <c r="BT589" s="78"/>
      <c r="BU589" s="78"/>
      <c r="BV589" s="78"/>
      <c r="BW589" s="78"/>
      <c r="BX589" s="78"/>
      <c r="BY589" s="874"/>
      <c r="BZ589" s="295"/>
      <c r="CA589" s="36"/>
      <c r="CB589" s="36"/>
      <c r="CC589" s="36"/>
      <c r="CD589" s="36"/>
      <c r="CE589" s="36"/>
      <c r="CF589" s="36"/>
      <c r="CG589" s="36"/>
    </row>
    <row r="590" spans="1:85" s="90" customFormat="1" ht="11.25" hidden="1" customHeight="1" outlineLevel="1">
      <c r="I590" s="769" t="s">
        <v>625</v>
      </c>
      <c r="J590" s="1284"/>
      <c r="K590" s="1284"/>
      <c r="L590" s="1284"/>
      <c r="M590" s="1285"/>
      <c r="N590" s="1285"/>
      <c r="O590" s="1285"/>
      <c r="P590" s="1285"/>
      <c r="Q590" s="1286"/>
      <c r="R590" s="1285"/>
      <c r="S590" s="1285"/>
      <c r="T590" s="1285"/>
      <c r="U590" s="1286"/>
      <c r="V590" s="1285"/>
      <c r="W590" s="1285"/>
      <c r="X590" s="1287"/>
      <c r="Y590" s="1286"/>
      <c r="Z590" s="1285"/>
      <c r="AA590" s="1285"/>
      <c r="AB590" s="1287"/>
      <c r="AC590" s="1392"/>
      <c r="AD590" s="1289">
        <f>+AD592*0.1</f>
        <v>0</v>
      </c>
      <c r="AE590" s="1288"/>
      <c r="AF590" s="1393"/>
      <c r="AG590" s="1290"/>
      <c r="AH590" s="1289"/>
      <c r="AI590" s="1289"/>
      <c r="AJ590" s="1289"/>
      <c r="AK590" s="1348"/>
      <c r="AL590" s="1289"/>
      <c r="AM590" s="1289"/>
      <c r="AN590" s="1291"/>
      <c r="AO590" s="1348"/>
      <c r="AP590" s="1289"/>
      <c r="AQ590" s="1289"/>
      <c r="AR590" s="1291"/>
      <c r="AS590" s="1348"/>
      <c r="AT590" s="1289"/>
      <c r="AU590" s="1289"/>
      <c r="AV590" s="1291"/>
      <c r="AW590" s="1348"/>
      <c r="AX590" s="1289"/>
      <c r="AY590" s="1289"/>
      <c r="AZ590" s="1291"/>
      <c r="BA590" s="1348"/>
      <c r="BB590" s="1289"/>
      <c r="BC590" s="1289"/>
      <c r="BD590" s="1291"/>
      <c r="BF590" s="1286"/>
      <c r="BG590" s="1285"/>
      <c r="BH590" s="1285"/>
      <c r="BI590" s="1285"/>
      <c r="BJ590" s="1285"/>
      <c r="BK590" s="1285"/>
      <c r="BL590" s="1292"/>
      <c r="BM590" s="1293"/>
      <c r="BN590" s="1348"/>
      <c r="BO590" s="1293"/>
      <c r="BP590" s="1293"/>
      <c r="BQ590" s="1294"/>
      <c r="BR590" s="1294"/>
      <c r="BS590" s="1294"/>
      <c r="BT590" s="1294"/>
      <c r="BU590" s="1294"/>
      <c r="BV590" s="1294"/>
      <c r="BW590" s="1294"/>
      <c r="BX590" s="1294"/>
      <c r="BY590" s="1295"/>
      <c r="BZ590" s="1238"/>
    </row>
    <row r="591" spans="1:85" s="83" customFormat="1" ht="11.25" hidden="1" customHeight="1" outlineLevel="2">
      <c r="A591" s="1163"/>
      <c r="B591" s="1163"/>
      <c r="C591" s="1163"/>
      <c r="D591" s="1163"/>
      <c r="E591" s="1163"/>
      <c r="F591" s="1163"/>
      <c r="G591" s="1163"/>
      <c r="H591" s="1163"/>
      <c r="I591" s="227" t="s">
        <v>451</v>
      </c>
      <c r="J591" s="1165"/>
      <c r="K591" s="409"/>
      <c r="L591" s="409"/>
      <c r="M591" s="1168"/>
      <c r="N591" s="409"/>
      <c r="O591" s="409"/>
      <c r="P591" s="409"/>
      <c r="Q591" s="268"/>
      <c r="R591" s="268"/>
      <c r="S591" s="268"/>
      <c r="T591" s="268"/>
      <c r="U591" s="1166"/>
      <c r="V591" s="268"/>
      <c r="W591" s="268"/>
      <c r="X591" s="1167"/>
      <c r="Y591" s="1166"/>
      <c r="Z591" s="268"/>
      <c r="AA591" s="268"/>
      <c r="AB591" s="1167"/>
      <c r="AC591" s="1166"/>
      <c r="AD591" s="268"/>
      <c r="AE591" s="2409">
        <f>+AE490*0.23</f>
        <v>19.580360000000002</v>
      </c>
      <c r="AF591" s="2410">
        <f>+AF490*0.32</f>
        <v>29.791999999999998</v>
      </c>
      <c r="AG591" s="1166">
        <f>+AG490*0.4</f>
        <v>39.427999999999997</v>
      </c>
      <c r="AH591" s="268">
        <f>+AH490*0.46</f>
        <v>49.625720000000001</v>
      </c>
      <c r="AI591" s="286">
        <f>+AI490*0.52</f>
        <v>60.284640000000003</v>
      </c>
      <c r="AJ591" s="286">
        <f>+AJ490*0.61</f>
        <v>76.769109999999998</v>
      </c>
      <c r="AK591" s="1166">
        <f>+AK490*0.61</f>
        <v>84.25076</v>
      </c>
      <c r="AL591" s="268"/>
      <c r="AM591" s="1181"/>
      <c r="AN591" s="1180"/>
      <c r="AO591" s="1166"/>
      <c r="AP591" s="268"/>
      <c r="AQ591" s="1181"/>
      <c r="AR591" s="1180"/>
      <c r="AS591" s="1166"/>
      <c r="AT591" s="268"/>
      <c r="AU591" s="1181"/>
      <c r="AV591" s="1180"/>
      <c r="AW591" s="1166"/>
      <c r="AX591" s="268"/>
      <c r="AY591" s="1181"/>
      <c r="AZ591" s="1180"/>
      <c r="BA591" s="1166"/>
      <c r="BB591" s="268"/>
      <c r="BC591" s="1181"/>
      <c r="BD591" s="1180"/>
      <c r="BE591" s="1181"/>
      <c r="BF591" s="503"/>
      <c r="BG591" s="409"/>
      <c r="BH591" s="409"/>
      <c r="BI591" s="409"/>
      <c r="BJ591" s="434"/>
      <c r="BK591" s="268"/>
      <c r="BL591" s="268"/>
      <c r="BM591" s="268"/>
      <c r="BN591" s="1166"/>
      <c r="BO591" s="268"/>
      <c r="BP591" s="268"/>
      <c r="BQ591" s="268"/>
      <c r="BR591" s="268"/>
      <c r="BS591" s="268"/>
      <c r="BT591" s="268"/>
      <c r="BU591" s="268"/>
      <c r="BV591" s="268"/>
      <c r="BW591" s="268"/>
      <c r="BX591" s="268"/>
      <c r="BY591" s="1167"/>
      <c r="BZ591" s="268"/>
      <c r="CA591" s="404"/>
      <c r="CB591" s="264"/>
      <c r="CC591" s="264"/>
      <c r="CD591" s="264"/>
      <c r="CE591" s="264"/>
      <c r="CF591" s="264"/>
      <c r="CG591" s="264"/>
    </row>
    <row r="592" spans="1:85" s="83" customFormat="1" ht="11.25" hidden="1" customHeight="1" outlineLevel="2">
      <c r="A592" s="1163"/>
      <c r="B592" s="1163"/>
      <c r="C592" s="1163"/>
      <c r="D592" s="1163"/>
      <c r="E592" s="1163"/>
      <c r="F592" s="1163"/>
      <c r="G592" s="1163"/>
      <c r="H592" s="1163"/>
      <c r="I592" s="227" t="s">
        <v>452</v>
      </c>
      <c r="J592" s="1165"/>
      <c r="K592" s="409"/>
      <c r="L592" s="409"/>
      <c r="M592" s="1168"/>
      <c r="N592" s="409"/>
      <c r="O592" s="409"/>
      <c r="P592" s="409"/>
      <c r="Q592" s="268"/>
      <c r="R592" s="268"/>
      <c r="S592" s="268"/>
      <c r="T592" s="268"/>
      <c r="U592" s="1166"/>
      <c r="V592" s="268"/>
      <c r="W592" s="268"/>
      <c r="X592" s="1167"/>
      <c r="Y592" s="1166"/>
      <c r="Z592" s="268"/>
      <c r="AA592" s="268"/>
      <c r="AB592" s="1167"/>
      <c r="AC592" s="1166"/>
      <c r="AD592" s="268"/>
      <c r="AE592" s="2409">
        <f t="shared" ref="AE592:AK592" si="1132">+AI490-AE591</f>
        <v>96.351640000000003</v>
      </c>
      <c r="AF592" s="2410">
        <f t="shared" si="1132"/>
        <v>96.058999999999997</v>
      </c>
      <c r="AG592" s="1166">
        <f t="shared" si="1132"/>
        <v>98.688000000000017</v>
      </c>
      <c r="AH592" s="268">
        <f t="shared" si="1132"/>
        <v>102.25327999999999</v>
      </c>
      <c r="AI592" s="286">
        <f t="shared" si="1132"/>
        <v>103.31536</v>
      </c>
      <c r="AJ592" s="286">
        <f t="shared" si="1132"/>
        <v>94.330889999999997</v>
      </c>
      <c r="AK592" s="1166">
        <f t="shared" si="1132"/>
        <v>92.74924</v>
      </c>
      <c r="AL592" s="268"/>
      <c r="AM592" s="1181"/>
      <c r="AN592" s="1180"/>
      <c r="AO592" s="1166"/>
      <c r="AP592" s="268"/>
      <c r="AQ592" s="1181"/>
      <c r="AR592" s="1180"/>
      <c r="AS592" s="1166"/>
      <c r="AT592" s="268"/>
      <c r="AU592" s="1181"/>
      <c r="AV592" s="1180"/>
      <c r="AW592" s="1166"/>
      <c r="AX592" s="268"/>
      <c r="AY592" s="1181"/>
      <c r="AZ592" s="1180"/>
      <c r="BA592" s="1166"/>
      <c r="BB592" s="268"/>
      <c r="BC592" s="1181"/>
      <c r="BD592" s="1180"/>
      <c r="BE592" s="1181"/>
      <c r="BF592" s="503"/>
      <c r="BG592" s="409"/>
      <c r="BH592" s="409"/>
      <c r="BI592" s="409"/>
      <c r="BJ592" s="434"/>
      <c r="BK592" s="268"/>
      <c r="BL592" s="268"/>
      <c r="BM592" s="268"/>
      <c r="BN592" s="1166"/>
      <c r="BO592" s="268"/>
      <c r="BP592" s="268"/>
      <c r="BQ592" s="268"/>
      <c r="BR592" s="268"/>
      <c r="BS592" s="268"/>
      <c r="BT592" s="268"/>
      <c r="BU592" s="268"/>
      <c r="BV592" s="268"/>
      <c r="BW592" s="268"/>
      <c r="BX592" s="268"/>
      <c r="BY592" s="1167"/>
      <c r="BZ592" s="268"/>
      <c r="CA592" s="404"/>
      <c r="CB592" s="264"/>
      <c r="CC592" s="264"/>
      <c r="CD592" s="264"/>
      <c r="CE592" s="264"/>
      <c r="CF592" s="264"/>
      <c r="CG592" s="264"/>
    </row>
    <row r="593" spans="1:85" s="83" customFormat="1" ht="11.25" hidden="1" customHeight="1" outlineLevel="2">
      <c r="A593" s="1163"/>
      <c r="B593" s="1163"/>
      <c r="C593" s="1163"/>
      <c r="D593" s="1163"/>
      <c r="E593" s="1163"/>
      <c r="F593" s="1163"/>
      <c r="G593" s="1163"/>
      <c r="H593" s="1163"/>
      <c r="I593" s="1164"/>
      <c r="J593" s="1165"/>
      <c r="K593" s="409"/>
      <c r="L593" s="409"/>
      <c r="M593" s="1168"/>
      <c r="N593" s="409"/>
      <c r="O593" s="409"/>
      <c r="P593" s="409"/>
      <c r="Q593" s="268"/>
      <c r="R593" s="268"/>
      <c r="S593" s="268"/>
      <c r="T593" s="268"/>
      <c r="U593" s="1166"/>
      <c r="V593" s="268"/>
      <c r="W593" s="268"/>
      <c r="X593" s="1167"/>
      <c r="Y593" s="1166"/>
      <c r="Z593" s="268"/>
      <c r="AA593" s="268"/>
      <c r="AB593" s="1167"/>
      <c r="AC593" s="1166"/>
      <c r="AD593" s="268"/>
      <c r="AE593" s="268"/>
      <c r="AF593" s="1394"/>
      <c r="AG593" s="1166"/>
      <c r="AH593" s="268"/>
      <c r="AI593" s="268"/>
      <c r="AJ593" s="268"/>
      <c r="AK593" s="1166"/>
      <c r="AL593" s="268"/>
      <c r="AM593" s="268"/>
      <c r="AN593" s="1167"/>
      <c r="AO593" s="1166"/>
      <c r="AP593" s="268"/>
      <c r="AQ593" s="268"/>
      <c r="AR593" s="1167"/>
      <c r="AS593" s="1166"/>
      <c r="AT593" s="268"/>
      <c r="AU593" s="268"/>
      <c r="AV593" s="1167"/>
      <c r="AW593" s="1166"/>
      <c r="AX593" s="268"/>
      <c r="AY593" s="268"/>
      <c r="AZ593" s="1167"/>
      <c r="BA593" s="1166"/>
      <c r="BB593" s="268"/>
      <c r="BC593" s="268"/>
      <c r="BD593" s="1167"/>
      <c r="BE593" s="268"/>
      <c r="BF593" s="503"/>
      <c r="BG593" s="409"/>
      <c r="BH593" s="409"/>
      <c r="BI593" s="409"/>
      <c r="BJ593" s="434"/>
      <c r="BK593" s="268"/>
      <c r="BL593" s="268"/>
      <c r="BM593" s="268"/>
      <c r="BN593" s="1166"/>
      <c r="BO593" s="268"/>
      <c r="BP593" s="268"/>
      <c r="BQ593" s="268"/>
      <c r="BR593" s="268"/>
      <c r="BS593" s="268"/>
      <c r="BT593" s="268"/>
      <c r="BU593" s="268"/>
      <c r="BV593" s="268"/>
      <c r="BW593" s="268"/>
      <c r="BX593" s="268"/>
      <c r="BY593" s="1167"/>
      <c r="BZ593" s="268"/>
      <c r="CA593" s="404"/>
      <c r="CB593" s="264"/>
      <c r="CC593" s="264"/>
      <c r="CD593" s="264"/>
      <c r="CE593" s="264"/>
      <c r="CF593" s="264"/>
      <c r="CG593" s="264"/>
    </row>
    <row r="594" spans="1:85" s="83" customFormat="1" ht="11.25" hidden="1" customHeight="1" outlineLevel="1" collapsed="1">
      <c r="A594" s="1163"/>
      <c r="B594" s="1163"/>
      <c r="C594" s="1163"/>
      <c r="D594" s="1163"/>
      <c r="E594" s="1163"/>
      <c r="F594" s="1163"/>
      <c r="G594" s="1163"/>
      <c r="H594" s="1163"/>
      <c r="I594" s="1164"/>
      <c r="J594" s="1165"/>
      <c r="K594" s="409"/>
      <c r="L594" s="409"/>
      <c r="M594" s="1168"/>
      <c r="N594" s="409"/>
      <c r="O594" s="409"/>
      <c r="P594" s="409"/>
      <c r="Q594" s="268"/>
      <c r="R594" s="2272"/>
      <c r="S594" s="2272"/>
      <c r="T594" s="2272"/>
      <c r="U594" s="2271"/>
      <c r="V594" s="2272"/>
      <c r="W594" s="2272"/>
      <c r="X594" s="2273"/>
      <c r="Y594" s="2271"/>
      <c r="Z594" s="2272"/>
      <c r="AA594" s="2272"/>
      <c r="AB594" s="2273"/>
      <c r="AC594" s="2271"/>
      <c r="AD594" s="2272"/>
      <c r="AE594" s="2272"/>
      <c r="AF594" s="1394"/>
      <c r="AG594" s="2270"/>
      <c r="AH594" s="1181"/>
      <c r="AI594" s="1181"/>
      <c r="AJ594" s="1181"/>
      <c r="AK594" s="1166"/>
      <c r="AL594" s="268"/>
      <c r="AM594" s="268"/>
      <c r="AN594" s="1167"/>
      <c r="AO594" s="1166"/>
      <c r="AP594" s="268"/>
      <c r="AQ594" s="268"/>
      <c r="AR594" s="1167"/>
      <c r="AS594" s="1166"/>
      <c r="AT594" s="268"/>
      <c r="AU594" s="268"/>
      <c r="AV594" s="1167"/>
      <c r="AW594" s="1166"/>
      <c r="AX594" s="268"/>
      <c r="AY594" s="268"/>
      <c r="AZ594" s="1167"/>
      <c r="BA594" s="1166"/>
      <c r="BB594" s="268"/>
      <c r="BC594" s="268"/>
      <c r="BD594" s="2274"/>
      <c r="BE594" s="268"/>
      <c r="BF594" s="503"/>
      <c r="BG594" s="409"/>
      <c r="BH594" s="409"/>
      <c r="BI594" s="409"/>
      <c r="BJ594" s="434"/>
      <c r="BK594" s="268"/>
      <c r="BL594" s="268"/>
      <c r="BM594" s="268"/>
      <c r="BN594" s="1166"/>
      <c r="BO594" s="268"/>
      <c r="BP594" s="268"/>
      <c r="BQ594" s="268"/>
      <c r="BR594" s="268"/>
      <c r="BS594" s="268"/>
      <c r="BT594" s="268"/>
      <c r="BU594" s="268"/>
      <c r="BV594" s="268"/>
      <c r="BW594" s="268"/>
      <c r="BX594" s="268"/>
      <c r="BY594" s="1167"/>
      <c r="BZ594" s="268"/>
      <c r="CA594" s="404"/>
      <c r="CB594" s="264"/>
      <c r="CC594" s="264"/>
      <c r="CD594" s="264"/>
      <c r="CE594" s="264"/>
      <c r="CF594" s="264"/>
      <c r="CG594" s="264"/>
    </row>
    <row r="595" spans="1:85" s="36" customFormat="1" ht="11.25" hidden="1" customHeight="1" outlineLevel="1">
      <c r="H595" s="42"/>
      <c r="I595" s="769" t="s">
        <v>392</v>
      </c>
      <c r="J595" s="324"/>
      <c r="K595" s="324"/>
      <c r="L595" s="324"/>
      <c r="M595" s="325"/>
      <c r="N595" s="325"/>
      <c r="O595" s="325"/>
      <c r="P595" s="325"/>
      <c r="Q595" s="325"/>
      <c r="R595" s="325"/>
      <c r="S595" s="325"/>
      <c r="T595" s="325"/>
      <c r="U595" s="788"/>
      <c r="V595" s="325"/>
      <c r="W595" s="325"/>
      <c r="X595" s="747"/>
      <c r="Y595" s="746"/>
      <c r="Z595" s="325"/>
      <c r="AA595" s="325"/>
      <c r="AB595" s="747"/>
      <c r="AC595" s="746"/>
      <c r="AD595" s="325"/>
      <c r="AE595" s="325"/>
      <c r="AF595" s="747"/>
      <c r="AG595" s="746"/>
      <c r="AH595" s="325"/>
      <c r="AI595" s="325"/>
      <c r="AJ595" s="325"/>
      <c r="AK595" s="746"/>
      <c r="AL595" s="325"/>
      <c r="AM595" s="325"/>
      <c r="AN595" s="747"/>
      <c r="AO595" s="746"/>
      <c r="AP595" s="325"/>
      <c r="AQ595" s="325"/>
      <c r="AR595" s="747"/>
      <c r="AS595" s="746"/>
      <c r="AT595" s="325"/>
      <c r="AU595" s="325"/>
      <c r="AV595" s="747"/>
      <c r="AW595" s="746"/>
      <c r="AX595" s="325"/>
      <c r="AY595" s="325"/>
      <c r="AZ595" s="747"/>
      <c r="BA595" s="746"/>
      <c r="BB595" s="325"/>
      <c r="BC595" s="325"/>
      <c r="BD595" s="747"/>
      <c r="BE595" s="335"/>
      <c r="BF595" s="746"/>
      <c r="BG595" s="325"/>
      <c r="BH595" s="325"/>
      <c r="BI595" s="325"/>
      <c r="BJ595" s="325"/>
      <c r="BK595" s="325"/>
      <c r="BL595" s="325"/>
      <c r="BM595" s="325"/>
      <c r="BN595" s="746"/>
      <c r="BO595" s="325"/>
      <c r="BP595" s="325"/>
      <c r="BQ595" s="325"/>
      <c r="BR595" s="325"/>
      <c r="BS595" s="325"/>
      <c r="BT595" s="325"/>
      <c r="BU595" s="1644"/>
      <c r="BV595" s="1644"/>
      <c r="BW595" s="1644"/>
      <c r="BX595" s="1644"/>
      <c r="BY595" s="1657"/>
      <c r="BZ595" s="83"/>
    </row>
    <row r="596" spans="1:85" s="36" customFormat="1" ht="11.25" hidden="1" customHeight="1" outlineLevel="2">
      <c r="H596" s="42"/>
      <c r="I596" s="457"/>
      <c r="J596" s="321"/>
      <c r="K596" s="321"/>
      <c r="L596" s="321"/>
      <c r="M596" s="68"/>
      <c r="N596" s="68"/>
      <c r="O596" s="68"/>
      <c r="P596" s="68"/>
      <c r="Q596" s="68"/>
      <c r="R596" s="68"/>
      <c r="S596" s="68"/>
      <c r="T596" s="68"/>
      <c r="U596" s="507"/>
      <c r="V596" s="68"/>
      <c r="W596" s="68"/>
      <c r="X596" s="475"/>
      <c r="Y596" s="507"/>
      <c r="Z596" s="68"/>
      <c r="AA596" s="68"/>
      <c r="AB596" s="475"/>
      <c r="AC596" s="507"/>
      <c r="AD596" s="68"/>
      <c r="AE596" s="68"/>
      <c r="AF596" s="475"/>
      <c r="AG596" s="507"/>
      <c r="AH596" s="68"/>
      <c r="AI596" s="68"/>
      <c r="AJ596" s="68"/>
      <c r="AK596" s="507"/>
      <c r="AL596" s="68"/>
      <c r="AM596" s="68"/>
      <c r="AN596" s="475"/>
      <c r="AO596" s="507"/>
      <c r="AP596" s="68"/>
      <c r="AQ596" s="68"/>
      <c r="AR596" s="475"/>
      <c r="AS596" s="507"/>
      <c r="AT596" s="68"/>
      <c r="AU596" s="68"/>
      <c r="AV596" s="475"/>
      <c r="AW596" s="507"/>
      <c r="AX596" s="68"/>
      <c r="AY596" s="68"/>
      <c r="AZ596" s="475"/>
      <c r="BA596" s="507"/>
      <c r="BB596" s="68"/>
      <c r="BC596" s="68"/>
      <c r="BD596" s="475"/>
      <c r="BE596" s="68"/>
      <c r="BF596" s="507"/>
      <c r="BG596" s="68"/>
      <c r="BH596" s="68"/>
      <c r="BI596" s="68"/>
      <c r="BJ596" s="68"/>
      <c r="BK596" s="68"/>
      <c r="BL596" s="68"/>
      <c r="BM596" s="68"/>
      <c r="BN596" s="507"/>
      <c r="BO596" s="68"/>
      <c r="BP596" s="68"/>
      <c r="BQ596" s="68"/>
      <c r="BR596" s="68"/>
      <c r="BS596" s="68"/>
      <c r="BT596" s="68"/>
      <c r="BU596" s="68"/>
      <c r="BV596" s="68"/>
      <c r="BW596" s="68"/>
      <c r="BX596" s="68"/>
      <c r="BY596" s="475"/>
      <c r="BZ596" s="294"/>
    </row>
    <row r="597" spans="1:85" s="36" customFormat="1" ht="11.25" hidden="1" customHeight="1" outlineLevel="2">
      <c r="H597" s="42"/>
      <c r="I597" s="771" t="s">
        <v>373</v>
      </c>
      <c r="J597" s="339"/>
      <c r="K597" s="339"/>
      <c r="L597" s="339"/>
      <c r="M597" s="339"/>
      <c r="N597" s="339"/>
      <c r="O597" s="339"/>
      <c r="P597" s="339"/>
      <c r="Q597" s="339"/>
      <c r="R597" s="339"/>
      <c r="S597" s="339"/>
      <c r="T597" s="339"/>
      <c r="U597" s="757"/>
      <c r="V597" s="339"/>
      <c r="W597" s="339"/>
      <c r="X597" s="758"/>
      <c r="Y597" s="757"/>
      <c r="Z597" s="339"/>
      <c r="AA597" s="339"/>
      <c r="AB597" s="758"/>
      <c r="AC597" s="757"/>
      <c r="AD597" s="339"/>
      <c r="AE597" s="339"/>
      <c r="AF597" s="758"/>
      <c r="AG597" s="757"/>
      <c r="AH597" s="339"/>
      <c r="AI597" s="339"/>
      <c r="AJ597" s="339"/>
      <c r="AK597" s="757"/>
      <c r="AL597" s="339"/>
      <c r="AM597" s="339"/>
      <c r="AN597" s="758"/>
      <c r="AO597" s="1646"/>
      <c r="AP597" s="339"/>
      <c r="AQ597" s="339"/>
      <c r="AR597" s="758"/>
      <c r="AS597" s="1646"/>
      <c r="AT597" s="339"/>
      <c r="AU597" s="339"/>
      <c r="AV597" s="758"/>
      <c r="AW597" s="1646"/>
      <c r="AX597" s="339"/>
      <c r="AY597" s="339"/>
      <c r="AZ597" s="758"/>
      <c r="BA597" s="1646"/>
      <c r="BB597" s="339"/>
      <c r="BC597" s="339"/>
      <c r="BD597" s="758"/>
      <c r="BE597" s="277"/>
      <c r="BF597" s="757"/>
      <c r="BG597" s="339"/>
      <c r="BH597" s="339"/>
      <c r="BI597" s="339"/>
      <c r="BJ597" s="339"/>
      <c r="BK597" s="339"/>
      <c r="BL597" s="339"/>
      <c r="BM597" s="339"/>
      <c r="BN597" s="1646"/>
      <c r="BO597" s="339"/>
      <c r="BP597" s="339"/>
      <c r="BQ597" s="339"/>
      <c r="BR597" s="339"/>
      <c r="BS597" s="339"/>
      <c r="BT597" s="339"/>
      <c r="BU597" s="339"/>
      <c r="BV597" s="339"/>
      <c r="BW597" s="339"/>
      <c r="BX597" s="339"/>
      <c r="BY597" s="758"/>
      <c r="BZ597" s="286"/>
    </row>
    <row r="598" spans="1:85" ht="11.25" hidden="1" customHeight="1" outlineLevel="2">
      <c r="I598" s="455"/>
      <c r="J598" s="334"/>
      <c r="K598" s="334"/>
      <c r="L598" s="334"/>
      <c r="M598" s="335"/>
      <c r="N598" s="335"/>
      <c r="O598" s="335"/>
      <c r="P598" s="335"/>
      <c r="Q598" s="335"/>
      <c r="R598" s="335"/>
      <c r="S598" s="335"/>
      <c r="T598" s="335"/>
      <c r="U598" s="789"/>
      <c r="V598" s="335"/>
      <c r="W598" s="335"/>
      <c r="X598" s="523"/>
      <c r="Y598" s="748"/>
      <c r="Z598" s="335"/>
      <c r="AA598" s="335"/>
      <c r="AB598" s="749"/>
      <c r="AC598" s="748"/>
      <c r="AD598" s="335"/>
      <c r="AE598" s="335"/>
      <c r="AF598" s="749"/>
      <c r="AG598" s="748"/>
      <c r="AH598" s="335"/>
      <c r="AI598" s="335"/>
      <c r="AJ598" s="749"/>
      <c r="AK598" s="335"/>
      <c r="AL598" s="335"/>
      <c r="AM598" s="335"/>
      <c r="AN598" s="749"/>
      <c r="AO598" s="1480"/>
      <c r="AP598" s="335"/>
      <c r="AQ598" s="335"/>
      <c r="AR598" s="749"/>
      <c r="AS598" s="1480"/>
      <c r="AT598" s="335"/>
      <c r="AU598" s="335"/>
      <c r="AV598" s="749"/>
      <c r="AW598" s="1480"/>
      <c r="AX598" s="335"/>
      <c r="AY598" s="335"/>
      <c r="AZ598" s="749"/>
      <c r="BA598" s="1480"/>
      <c r="BB598" s="335"/>
      <c r="BC598" s="335"/>
      <c r="BD598" s="749"/>
      <c r="BE598" s="335"/>
      <c r="BF598" s="814"/>
      <c r="BG598" s="106"/>
      <c r="BH598" s="106"/>
      <c r="BI598" s="106"/>
      <c r="BJ598" s="106"/>
      <c r="BK598" s="106"/>
      <c r="BL598" s="106"/>
      <c r="BN598" s="814"/>
      <c r="BP598" s="106"/>
      <c r="BQ598" s="106"/>
      <c r="BR598" s="106"/>
      <c r="BS598" s="106"/>
      <c r="BT598" s="106"/>
      <c r="BV598" s="106"/>
      <c r="BW598" s="106"/>
      <c r="BX598" s="106"/>
      <c r="BY598" s="830"/>
    </row>
    <row r="599" spans="1:85" s="42" customFormat="1" ht="11.25" hidden="1" customHeight="1" outlineLevel="2">
      <c r="A599" s="40"/>
      <c r="B599" s="40"/>
      <c r="C599" s="40"/>
      <c r="D599" s="40"/>
      <c r="E599" s="40"/>
      <c r="F599" s="40"/>
      <c r="G599" s="40"/>
      <c r="I599" s="783" t="s">
        <v>378</v>
      </c>
      <c r="J599" s="343"/>
      <c r="K599" s="331"/>
      <c r="L599" s="331"/>
      <c r="M599" s="352"/>
      <c r="N599" s="352"/>
      <c r="O599" s="352"/>
      <c r="P599" s="108"/>
      <c r="Q599" s="352"/>
      <c r="R599" s="352"/>
      <c r="S599" s="352"/>
      <c r="T599" s="355"/>
      <c r="U599" s="1020">
        <f>Y599/(1+Y600)</f>
        <v>1.9755693581780538</v>
      </c>
      <c r="V599" s="961">
        <f>1977/1000</f>
        <v>1.9770000000000001</v>
      </c>
      <c r="W599" s="961">
        <f>2445/1000</f>
        <v>2.4449999999999998</v>
      </c>
      <c r="X599" s="975">
        <f>AB599/(1+AB600)</f>
        <v>2.6493827160493826</v>
      </c>
      <c r="Y599" s="1020">
        <f>AC599/(1+AC600)</f>
        <v>2.9633540372670808</v>
      </c>
      <c r="Z599" s="955">
        <f>AD599/(1+AD600)</f>
        <v>3.2122807017543864</v>
      </c>
      <c r="AA599" s="955">
        <f>AE599/(1+AE600)</f>
        <v>3.840127388535032</v>
      </c>
      <c r="AB599" s="894">
        <f>4292/1000</f>
        <v>4.2919999999999998</v>
      </c>
      <c r="AC599" s="959">
        <f>4771/1000</f>
        <v>4.7709999999999999</v>
      </c>
      <c r="AD599" s="960">
        <f>5493/1000</f>
        <v>5.4930000000000003</v>
      </c>
      <c r="AE599" s="961">
        <f>6029/1000</f>
        <v>6.0289999999999999</v>
      </c>
      <c r="AF599" s="980">
        <f>6523/1000</f>
        <v>6.5229999999999997</v>
      </c>
      <c r="AG599" s="1019">
        <v>6.8650000000000002</v>
      </c>
      <c r="AH599" s="961">
        <v>7.4489999999999998</v>
      </c>
      <c r="AI599" s="961">
        <v>8.0129999999999999</v>
      </c>
      <c r="AJ599" s="980">
        <v>8.4760000000000009</v>
      </c>
      <c r="AK599" s="961">
        <v>9.0869999999999997</v>
      </c>
      <c r="AL599" s="961">
        <v>9.83</v>
      </c>
      <c r="AM599" s="961">
        <v>10.475</v>
      </c>
      <c r="AN599" s="975">
        <f>AJ599*(1+AN600)</f>
        <v>11.018800000000002</v>
      </c>
      <c r="AO599" s="1020">
        <f>AK599*(1+AO600)</f>
        <v>11.72223</v>
      </c>
      <c r="AP599" s="955">
        <f>AL599*(1+AP600)</f>
        <v>12.5824</v>
      </c>
      <c r="AQ599" s="955">
        <f>AM599*(1+AQ600)</f>
        <v>13.30325</v>
      </c>
      <c r="AR599" s="975">
        <f>AN599*(1+AR600)</f>
        <v>13.883688000000003</v>
      </c>
      <c r="AS599" s="1020">
        <f t="shared" ref="AS599:BD599" si="1133">AO599*(1+AS600)</f>
        <v>14.652787499999999</v>
      </c>
      <c r="AT599" s="955">
        <f t="shared" si="1133"/>
        <v>15.602176</v>
      </c>
      <c r="AU599" s="955">
        <f t="shared" si="1133"/>
        <v>16.362997499999999</v>
      </c>
      <c r="AV599" s="975">
        <f t="shared" si="1133"/>
        <v>16.938099360000002</v>
      </c>
      <c r="AW599" s="1020">
        <f t="shared" si="1133"/>
        <v>17.729872874999998</v>
      </c>
      <c r="AX599" s="955">
        <f t="shared" si="1133"/>
        <v>18.722611199999999</v>
      </c>
      <c r="AY599" s="955">
        <f t="shared" si="1133"/>
        <v>19.471967024999998</v>
      </c>
      <c r="AZ599" s="975">
        <f t="shared" si="1133"/>
        <v>19.986957244800003</v>
      </c>
      <c r="BA599" s="1020">
        <f t="shared" si="1133"/>
        <v>20.743951263749995</v>
      </c>
      <c r="BB599" s="955">
        <f t="shared" si="1133"/>
        <v>21.718228991999997</v>
      </c>
      <c r="BC599" s="955">
        <f t="shared" si="1133"/>
        <v>22.392762078749996</v>
      </c>
      <c r="BD599" s="975">
        <f t="shared" si="1133"/>
        <v>22.785131259072003</v>
      </c>
      <c r="BE599" s="955"/>
      <c r="BF599" s="656"/>
      <c r="BG599" s="83"/>
      <c r="BH599" s="83"/>
      <c r="BI599" s="83"/>
      <c r="BJ599" s="83"/>
      <c r="BK599" s="286">
        <f>BL599/(1+BL600)</f>
        <v>5.8591194968553468</v>
      </c>
      <c r="BL599" s="1217">
        <f>9316/1000</f>
        <v>9.3160000000000007</v>
      </c>
      <c r="BM599" s="286">
        <f>SUM(Y599:AB599)</f>
        <v>14.307762127556499</v>
      </c>
      <c r="BN599" s="1801">
        <f>SUM(AC599:AF599)</f>
        <v>22.815999999999999</v>
      </c>
      <c r="BO599" s="320">
        <f>SUM(AG599:AJ599)</f>
        <v>30.802999999999997</v>
      </c>
      <c r="BP599" s="320">
        <f>SUM(AK599:AN599)</f>
        <v>40.410800000000009</v>
      </c>
      <c r="BQ599" s="320">
        <f>SUM(AO599:AR599)</f>
        <v>51.491568000000001</v>
      </c>
      <c r="BR599" s="320">
        <f>SUM(AS599:AV599)</f>
        <v>63.556060359999996</v>
      </c>
      <c r="BS599" s="320">
        <f>SUM(AW599:AZ599)</f>
        <v>75.911408344800009</v>
      </c>
      <c r="BT599" s="320">
        <f>SUM(BA599:BD599)</f>
        <v>87.640073593571984</v>
      </c>
      <c r="BU599" s="320">
        <f>BT599*(1+BU600)</f>
        <v>97.795672481500787</v>
      </c>
      <c r="BV599" s="320">
        <f>BU599*(1+BV600)</f>
        <v>109.128086775254</v>
      </c>
      <c r="BW599" s="320">
        <f>BV599*(1+BW600)</f>
        <v>121.77368406030527</v>
      </c>
      <c r="BX599" s="320">
        <f>BW599*(1+BX600)</f>
        <v>134.47353899814141</v>
      </c>
      <c r="BY599" s="1122">
        <f>BX599*(1+BY600)</f>
        <v>148.497869882375</v>
      </c>
      <c r="BZ599" s="83"/>
    </row>
    <row r="600" spans="1:85" s="42" customFormat="1" ht="11.25" hidden="1" customHeight="1" outlineLevel="2">
      <c r="A600" s="40"/>
      <c r="B600" s="40"/>
      <c r="C600" s="40"/>
      <c r="D600" s="40"/>
      <c r="E600" s="40"/>
      <c r="F600" s="40"/>
      <c r="G600" s="40"/>
      <c r="I600" s="770" t="s">
        <v>132</v>
      </c>
      <c r="J600" s="343"/>
      <c r="K600" s="331"/>
      <c r="L600" s="331"/>
      <c r="M600" s="352"/>
      <c r="N600" s="352"/>
      <c r="O600" s="352"/>
      <c r="P600" s="108"/>
      <c r="Q600" s="352"/>
      <c r="R600" s="352"/>
      <c r="S600" s="352"/>
      <c r="T600" s="355"/>
      <c r="U600" s="1001"/>
      <c r="V600" s="962">
        <v>0.71</v>
      </c>
      <c r="W600" s="964">
        <v>0.56999999999999995</v>
      </c>
      <c r="X600" s="253"/>
      <c r="Y600" s="963">
        <v>0.5</v>
      </c>
      <c r="Z600" s="962">
        <v>0.43</v>
      </c>
      <c r="AA600" s="964">
        <v>0.56999999999999995</v>
      </c>
      <c r="AB600" s="1396">
        <v>0.62</v>
      </c>
      <c r="AC600" s="963">
        <v>0.61</v>
      </c>
      <c r="AD600" s="962">
        <v>0.71</v>
      </c>
      <c r="AE600" s="964">
        <v>0.56999999999999995</v>
      </c>
      <c r="AF600" s="1395">
        <f>AF599/AB599-1</f>
        <v>0.51980428704566628</v>
      </c>
      <c r="AG600" s="1001">
        <f>AG599/AC599-1</f>
        <v>0.43890169775728372</v>
      </c>
      <c r="AH600" s="964">
        <v>0.36</v>
      </c>
      <c r="AI600" s="964">
        <v>0.33</v>
      </c>
      <c r="AJ600" s="1002">
        <f>AJ599/AF599-1</f>
        <v>0.29940211559098584</v>
      </c>
      <c r="AK600" s="964">
        <v>0.32</v>
      </c>
      <c r="AL600" s="964">
        <v>0.32</v>
      </c>
      <c r="AM600" s="964">
        <v>0.31</v>
      </c>
      <c r="AN600" s="1117">
        <f t="shared" ref="AN600:BD600" si="1134">+AM600-1%</f>
        <v>0.3</v>
      </c>
      <c r="AO600" s="1226">
        <f>+AN600-1%</f>
        <v>0.28999999999999998</v>
      </c>
      <c r="AP600" s="1118">
        <f t="shared" si="1134"/>
        <v>0.27999999999999997</v>
      </c>
      <c r="AQ600" s="1118">
        <f t="shared" si="1134"/>
        <v>0.26999999999999996</v>
      </c>
      <c r="AR600" s="1117">
        <f t="shared" si="1134"/>
        <v>0.25999999999999995</v>
      </c>
      <c r="AS600" s="1226">
        <f>+AR600-1%</f>
        <v>0.24999999999999994</v>
      </c>
      <c r="AT600" s="1118">
        <f t="shared" si="1134"/>
        <v>0.23999999999999994</v>
      </c>
      <c r="AU600" s="1118">
        <f t="shared" si="1134"/>
        <v>0.22999999999999993</v>
      </c>
      <c r="AV600" s="1117">
        <f t="shared" si="1134"/>
        <v>0.21999999999999992</v>
      </c>
      <c r="AW600" s="1226">
        <f>+AV600-1%</f>
        <v>0.20999999999999991</v>
      </c>
      <c r="AX600" s="1118">
        <f t="shared" si="1134"/>
        <v>0.1999999999999999</v>
      </c>
      <c r="AY600" s="1118">
        <f t="shared" si="1134"/>
        <v>0.18999999999999989</v>
      </c>
      <c r="AZ600" s="1117">
        <f t="shared" si="1134"/>
        <v>0.17999999999999988</v>
      </c>
      <c r="BA600" s="1226">
        <f>+AZ600-1%</f>
        <v>0.16999999999999987</v>
      </c>
      <c r="BB600" s="1118">
        <f t="shared" si="1134"/>
        <v>0.15999999999999986</v>
      </c>
      <c r="BC600" s="1118">
        <f t="shared" si="1134"/>
        <v>0.14999999999999986</v>
      </c>
      <c r="BD600" s="1117">
        <f t="shared" si="1134"/>
        <v>0.13999999999999985</v>
      </c>
      <c r="BE600" s="964"/>
      <c r="BF600" s="656"/>
      <c r="BG600" s="83"/>
      <c r="BH600" s="83"/>
      <c r="BI600" s="83"/>
      <c r="BJ600" s="83"/>
      <c r="BK600" s="83"/>
      <c r="BL600" s="1218">
        <v>0.59</v>
      </c>
      <c r="BM600" s="404">
        <f t="shared" ref="BM600:BT600" si="1135">BM599/BL599-1</f>
        <v>0.53582676337016943</v>
      </c>
      <c r="BN600" s="1519">
        <f t="shared" si="1135"/>
        <v>0.5946588849179133</v>
      </c>
      <c r="BO600" s="404">
        <f t="shared" si="1135"/>
        <v>0.35006136044880787</v>
      </c>
      <c r="BP600" s="404">
        <f t="shared" si="1135"/>
        <v>0.31191117748271302</v>
      </c>
      <c r="BQ600" s="404">
        <f t="shared" si="1135"/>
        <v>0.27420313381571226</v>
      </c>
      <c r="BR600" s="404">
        <f t="shared" si="1135"/>
        <v>0.234300349136775</v>
      </c>
      <c r="BS600" s="404">
        <f t="shared" si="1135"/>
        <v>0.19440078435975616</v>
      </c>
      <c r="BT600" s="404">
        <f t="shared" si="1135"/>
        <v>0.15450464567194921</v>
      </c>
      <c r="BU600" s="1120">
        <f>+BT600*0.75</f>
        <v>0.11587848425396191</v>
      </c>
      <c r="BV600" s="1120">
        <f>+BU600</f>
        <v>0.11587848425396191</v>
      </c>
      <c r="BW600" s="1120">
        <f>+BV600</f>
        <v>0.11587848425396191</v>
      </c>
      <c r="BX600" s="1120">
        <f>+BW600*0.9</f>
        <v>0.10429063582856572</v>
      </c>
      <c r="BY600" s="1121">
        <f>+BX600</f>
        <v>0.10429063582856572</v>
      </c>
      <c r="BZ600" s="83"/>
    </row>
    <row r="601" spans="1:85" s="42" customFormat="1" ht="11.25" hidden="1" customHeight="1" outlineLevel="2">
      <c r="A601" s="40"/>
      <c r="B601" s="40"/>
      <c r="C601" s="40"/>
      <c r="D601" s="40"/>
      <c r="E601" s="40"/>
      <c r="F601" s="40"/>
      <c r="G601" s="40"/>
      <c r="I601" s="785"/>
      <c r="J601" s="193"/>
      <c r="K601" s="67"/>
      <c r="L601" s="67"/>
      <c r="M601" s="199"/>
      <c r="N601" s="330"/>
      <c r="O601" s="330"/>
      <c r="P601" s="330"/>
      <c r="Q601" s="330"/>
      <c r="R601" s="330"/>
      <c r="S601" s="330"/>
      <c r="T601" s="356"/>
      <c r="U601" s="820"/>
      <c r="V601" s="379"/>
      <c r="W601" s="955"/>
      <c r="X601" s="821"/>
      <c r="Y601" s="820"/>
      <c r="Z601" s="379"/>
      <c r="AA601" s="955"/>
      <c r="AB601" s="1397"/>
      <c r="AC601" s="966"/>
      <c r="AD601" s="965"/>
      <c r="AE601" s="961"/>
      <c r="AF601" s="946"/>
      <c r="AG601" s="1225"/>
      <c r="AH601" s="945"/>
      <c r="AI601" s="945"/>
      <c r="AJ601" s="946"/>
      <c r="AK601" s="945"/>
      <c r="AL601" s="945"/>
      <c r="AM601" s="945"/>
      <c r="AN601" s="946"/>
      <c r="AO601" s="1225"/>
      <c r="AP601" s="945"/>
      <c r="AQ601" s="945"/>
      <c r="AR601" s="946"/>
      <c r="AS601" s="1225"/>
      <c r="AT601" s="945"/>
      <c r="AU601" s="945"/>
      <c r="AV601" s="946"/>
      <c r="AW601" s="1225"/>
      <c r="AX601" s="945"/>
      <c r="AY601" s="945"/>
      <c r="AZ601" s="946"/>
      <c r="BA601" s="1225"/>
      <c r="BB601" s="945"/>
      <c r="BC601" s="945"/>
      <c r="BD601" s="946"/>
      <c r="BE601" s="945"/>
      <c r="BF601" s="656"/>
      <c r="BG601" s="83"/>
      <c r="BH601" s="83"/>
      <c r="BI601" s="83"/>
      <c r="BJ601" s="83"/>
      <c r="BK601" s="83"/>
      <c r="BL601" s="1145"/>
      <c r="BM601" s="83"/>
      <c r="BN601" s="656"/>
      <c r="BO601" s="83"/>
      <c r="BP601" s="83"/>
      <c r="BQ601" s="83"/>
      <c r="BR601" s="83"/>
      <c r="BS601" s="83"/>
      <c r="BT601" s="83"/>
      <c r="BU601" s="83"/>
      <c r="BV601" s="83"/>
      <c r="BW601" s="83"/>
      <c r="BX601" s="83"/>
      <c r="BY601" s="883"/>
      <c r="BZ601" s="83"/>
    </row>
    <row r="602" spans="1:85" ht="11.25" hidden="1" customHeight="1" outlineLevel="2">
      <c r="I602" s="814" t="s">
        <v>372</v>
      </c>
      <c r="J602" s="106"/>
      <c r="K602" s="106"/>
      <c r="L602" s="106"/>
      <c r="M602" s="106"/>
      <c r="N602" s="106"/>
      <c r="O602" s="106"/>
      <c r="P602" s="106"/>
      <c r="Q602" s="106"/>
      <c r="R602" s="106"/>
      <c r="S602" s="106"/>
      <c r="T602" s="967">
        <v>6</v>
      </c>
      <c r="U602" s="968">
        <v>6</v>
      </c>
      <c r="V602" s="967">
        <v>6</v>
      </c>
      <c r="W602" s="969">
        <v>6</v>
      </c>
      <c r="X602" s="974">
        <v>6</v>
      </c>
      <c r="Y602" s="968">
        <v>6</v>
      </c>
      <c r="Z602" s="967">
        <v>6</v>
      </c>
      <c r="AA602" s="969">
        <v>6</v>
      </c>
      <c r="AB602" s="974">
        <v>6</v>
      </c>
      <c r="AC602" s="968">
        <v>6</v>
      </c>
      <c r="AD602" s="967">
        <v>6</v>
      </c>
      <c r="AE602" s="969">
        <v>6</v>
      </c>
      <c r="AF602" s="1115">
        <v>6</v>
      </c>
      <c r="AG602" s="1116">
        <v>6</v>
      </c>
      <c r="AH602" s="969">
        <v>6</v>
      </c>
      <c r="AI602" s="969">
        <v>6</v>
      </c>
      <c r="AJ602" s="1115">
        <v>6</v>
      </c>
      <c r="AK602" s="969">
        <v>6</v>
      </c>
      <c r="AL602" s="969">
        <v>6</v>
      </c>
      <c r="AM602" s="969">
        <v>6</v>
      </c>
      <c r="AN602" s="1115">
        <v>6</v>
      </c>
      <c r="AO602" s="1116">
        <v>6</v>
      </c>
      <c r="AP602" s="969">
        <v>6</v>
      </c>
      <c r="AQ602" s="969">
        <v>6</v>
      </c>
      <c r="AR602" s="1115">
        <v>6</v>
      </c>
      <c r="AS602" s="1116">
        <v>6</v>
      </c>
      <c r="AT602" s="969">
        <v>6</v>
      </c>
      <c r="AU602" s="969">
        <v>6</v>
      </c>
      <c r="AV602" s="1115">
        <v>6</v>
      </c>
      <c r="AW602" s="1116">
        <v>6</v>
      </c>
      <c r="AX602" s="969">
        <v>6</v>
      </c>
      <c r="AY602" s="969">
        <v>6</v>
      </c>
      <c r="AZ602" s="1115">
        <v>6</v>
      </c>
      <c r="BA602" s="1116">
        <v>6</v>
      </c>
      <c r="BB602" s="969">
        <v>6</v>
      </c>
      <c r="BC602" s="969">
        <v>6</v>
      </c>
      <c r="BD602" s="1115">
        <v>6</v>
      </c>
      <c r="BE602" s="969"/>
      <c r="BF602" s="814"/>
      <c r="BG602" s="106"/>
      <c r="BH602" s="106"/>
      <c r="BI602" s="106"/>
      <c r="BJ602" s="106"/>
      <c r="BK602" s="106"/>
      <c r="BL602" s="967">
        <v>6</v>
      </c>
      <c r="BM602" s="967">
        <v>6</v>
      </c>
      <c r="BN602" s="1658">
        <v>6</v>
      </c>
      <c r="BO602" s="967">
        <v>6</v>
      </c>
      <c r="BP602" s="967">
        <v>6</v>
      </c>
      <c r="BQ602" s="967">
        <v>6</v>
      </c>
      <c r="BR602" s="967">
        <v>6</v>
      </c>
      <c r="BS602" s="967">
        <v>6</v>
      </c>
      <c r="BT602" s="967">
        <v>6</v>
      </c>
      <c r="BU602" s="967">
        <v>6</v>
      </c>
      <c r="BV602" s="967">
        <v>6</v>
      </c>
      <c r="BW602" s="967">
        <v>6</v>
      </c>
      <c r="BX602" s="967">
        <v>6</v>
      </c>
      <c r="BY602" s="974">
        <v>6</v>
      </c>
    </row>
    <row r="603" spans="1:85" ht="11.25" hidden="1" customHeight="1" outlineLevel="2">
      <c r="I603" s="814"/>
      <c r="J603" s="106"/>
      <c r="K603" s="106"/>
      <c r="L603" s="106"/>
      <c r="M603" s="106"/>
      <c r="N603" s="106"/>
      <c r="O603" s="106"/>
      <c r="P603" s="106"/>
      <c r="Q603" s="106"/>
      <c r="R603" s="106"/>
      <c r="S603" s="106"/>
      <c r="T603" s="106"/>
      <c r="U603" s="814"/>
      <c r="V603" s="106"/>
      <c r="W603" s="955"/>
      <c r="X603" s="830"/>
      <c r="Y603" s="814"/>
      <c r="Z603" s="106"/>
      <c r="AA603" s="955"/>
      <c r="AB603" s="974"/>
      <c r="AC603" s="1310">
        <f>+SUM(AC604:AF604)</f>
        <v>136.89599999999999</v>
      </c>
      <c r="AD603" s="967"/>
      <c r="AE603" s="961"/>
      <c r="AF603" s="830"/>
      <c r="AG603" s="1310"/>
      <c r="AH603" s="106"/>
      <c r="AI603" s="106"/>
      <c r="AJ603" s="830"/>
      <c r="AK603" s="106"/>
      <c r="AM603" s="106"/>
      <c r="AN603" s="830"/>
      <c r="AO603" s="814"/>
      <c r="AP603" s="106"/>
      <c r="AQ603" s="106"/>
      <c r="AR603" s="830"/>
      <c r="AS603" s="814"/>
      <c r="AT603" s="106"/>
      <c r="AU603" s="106"/>
      <c r="AV603" s="830"/>
      <c r="AW603" s="814"/>
      <c r="AX603" s="106"/>
      <c r="AY603" s="106"/>
      <c r="AZ603" s="830"/>
      <c r="BA603" s="814"/>
      <c r="BB603" s="106"/>
      <c r="BC603" s="106"/>
      <c r="BD603" s="830"/>
      <c r="BE603" s="83"/>
      <c r="BF603" s="814"/>
      <c r="BG603" s="106"/>
      <c r="BH603" s="106"/>
      <c r="BI603" s="106"/>
      <c r="BJ603" s="106"/>
      <c r="BK603" s="106"/>
      <c r="BL603" s="967"/>
      <c r="BN603" s="814"/>
      <c r="BP603" s="106"/>
      <c r="BQ603" s="106"/>
      <c r="BR603" s="106"/>
      <c r="BS603" s="106"/>
      <c r="BT603" s="106"/>
      <c r="BV603" s="106"/>
      <c r="BW603" s="106"/>
      <c r="BX603" s="106"/>
      <c r="BY603" s="830"/>
    </row>
    <row r="604" spans="1:85" s="41" customFormat="1" ht="11.25" hidden="1" customHeight="1" outlineLevel="2">
      <c r="H604" s="90"/>
      <c r="I604" s="857" t="s">
        <v>472</v>
      </c>
      <c r="J604" s="231"/>
      <c r="K604" s="231"/>
      <c r="L604" s="231"/>
      <c r="M604" s="231"/>
      <c r="N604" s="231"/>
      <c r="O604" s="231"/>
      <c r="P604" s="231"/>
      <c r="Q604" s="231"/>
      <c r="R604" s="231"/>
      <c r="S604" s="231"/>
      <c r="T604" s="231"/>
      <c r="U604" s="890">
        <f t="shared" ref="U604:AC604" si="1136">+U602*U599</f>
        <v>11.853416149068323</v>
      </c>
      <c r="V604" s="236">
        <f t="shared" si="1136"/>
        <v>11.862</v>
      </c>
      <c r="W604" s="236">
        <f t="shared" si="1136"/>
        <v>14.669999999999998</v>
      </c>
      <c r="X604" s="891">
        <f t="shared" si="1136"/>
        <v>15.896296296296295</v>
      </c>
      <c r="Y604" s="890">
        <f t="shared" si="1136"/>
        <v>17.780124223602485</v>
      </c>
      <c r="Z604" s="236">
        <f t="shared" si="1136"/>
        <v>19.273684210526319</v>
      </c>
      <c r="AA604" s="236">
        <f t="shared" si="1136"/>
        <v>23.040764331210191</v>
      </c>
      <c r="AB604" s="891">
        <f t="shared" si="1136"/>
        <v>25.751999999999999</v>
      </c>
      <c r="AC604" s="890">
        <f t="shared" si="1136"/>
        <v>28.625999999999998</v>
      </c>
      <c r="AD604" s="236">
        <f>+AD602*AD599</f>
        <v>32.957999999999998</v>
      </c>
      <c r="AE604" s="236">
        <f t="shared" ref="AE604:AN604" si="1137">+AE602*AE599</f>
        <v>36.173999999999999</v>
      </c>
      <c r="AF604" s="891">
        <f t="shared" si="1137"/>
        <v>39.137999999999998</v>
      </c>
      <c r="AG604" s="890">
        <f t="shared" si="1137"/>
        <v>41.19</v>
      </c>
      <c r="AH604" s="236">
        <f t="shared" si="1137"/>
        <v>44.694000000000003</v>
      </c>
      <c r="AI604" s="236">
        <f t="shared" si="1137"/>
        <v>48.078000000000003</v>
      </c>
      <c r="AJ604" s="891">
        <f t="shared" si="1137"/>
        <v>50.856000000000009</v>
      </c>
      <c r="AK604" s="236">
        <f>+AK602*AK599</f>
        <v>54.521999999999998</v>
      </c>
      <c r="AL604" s="236">
        <f t="shared" si="1137"/>
        <v>58.980000000000004</v>
      </c>
      <c r="AM604" s="236">
        <f t="shared" si="1137"/>
        <v>62.849999999999994</v>
      </c>
      <c r="AN604" s="891">
        <f t="shared" si="1137"/>
        <v>66.112800000000021</v>
      </c>
      <c r="AO604" s="890">
        <f t="shared" ref="AO604:AV604" si="1138">+AO602*AO599</f>
        <v>70.333380000000005</v>
      </c>
      <c r="AP604" s="236">
        <f t="shared" si="1138"/>
        <v>75.494399999999999</v>
      </c>
      <c r="AQ604" s="236">
        <f t="shared" si="1138"/>
        <v>79.819500000000005</v>
      </c>
      <c r="AR604" s="891">
        <f t="shared" si="1138"/>
        <v>83.30212800000001</v>
      </c>
      <c r="AS604" s="890">
        <f t="shared" si="1138"/>
        <v>87.916724999999985</v>
      </c>
      <c r="AT604" s="236">
        <f t="shared" si="1138"/>
        <v>93.613056</v>
      </c>
      <c r="AU604" s="236">
        <f t="shared" si="1138"/>
        <v>98.177984999999993</v>
      </c>
      <c r="AV604" s="891">
        <f t="shared" si="1138"/>
        <v>101.62859616000001</v>
      </c>
      <c r="AW604" s="890">
        <f t="shared" ref="AW604:BD604" si="1139">+AW602*AW599</f>
        <v>106.37923724999999</v>
      </c>
      <c r="AX604" s="236">
        <f t="shared" si="1139"/>
        <v>112.33566719999999</v>
      </c>
      <c r="AY604" s="236">
        <f t="shared" si="1139"/>
        <v>116.83180214999999</v>
      </c>
      <c r="AZ604" s="891">
        <f t="shared" si="1139"/>
        <v>119.92174346880002</v>
      </c>
      <c r="BA604" s="890">
        <f t="shared" si="1139"/>
        <v>124.46370758249998</v>
      </c>
      <c r="BB604" s="236">
        <f t="shared" si="1139"/>
        <v>130.30937395199999</v>
      </c>
      <c r="BC604" s="236">
        <f t="shared" si="1139"/>
        <v>134.35657247249998</v>
      </c>
      <c r="BD604" s="891">
        <f t="shared" si="1139"/>
        <v>136.71078755443202</v>
      </c>
      <c r="BE604" s="226"/>
      <c r="BF604" s="857"/>
      <c r="BG604" s="231"/>
      <c r="BH604" s="231"/>
      <c r="BI604" s="231"/>
      <c r="BJ604" s="231"/>
      <c r="BK604" s="231"/>
      <c r="BL604" s="1307">
        <f>+SUM(U604:X604)</f>
        <v>54.281712445364619</v>
      </c>
      <c r="BM604" s="1307">
        <f>+SUM(Y604:AB604)</f>
        <v>85.846572765338991</v>
      </c>
      <c r="BN604" s="1802">
        <f>+SUM(AC604:AF604)</f>
        <v>136.89599999999999</v>
      </c>
      <c r="BO604" s="1307">
        <f>+SUM(AG604:AJ604)</f>
        <v>184.81799999999998</v>
      </c>
      <c r="BP604" s="1307">
        <f>SUM(AK604:AN604)</f>
        <v>242.46480000000003</v>
      </c>
      <c r="BQ604" s="236">
        <f>SUM(AO604:AR604)</f>
        <v>308.94940800000006</v>
      </c>
      <c r="BR604" s="236">
        <f>SUM(AS604:AV604)</f>
        <v>381.33636216000002</v>
      </c>
      <c r="BS604" s="236">
        <f>SUM(AW604:AZ604)</f>
        <v>455.4684500688</v>
      </c>
      <c r="BT604" s="236">
        <f>SUM(BA604:BD604)</f>
        <v>525.84044156143193</v>
      </c>
      <c r="BU604" s="236">
        <f>+BU602*BU599</f>
        <v>586.77403488900472</v>
      </c>
      <c r="BV604" s="236">
        <f>+BV602*BV599</f>
        <v>654.768520651524</v>
      </c>
      <c r="BW604" s="236">
        <f>+BW602*BW599</f>
        <v>730.64210436183157</v>
      </c>
      <c r="BX604" s="236">
        <f>+BX602*BX599</f>
        <v>806.84123398884844</v>
      </c>
      <c r="BY604" s="891">
        <f>+BY602*BY599</f>
        <v>890.98721929425005</v>
      </c>
      <c r="BZ604" s="226"/>
    </row>
    <row r="605" spans="1:85" s="41" customFormat="1" ht="11.25" hidden="1" customHeight="1" outlineLevel="2">
      <c r="H605" s="90"/>
      <c r="I605" s="814" t="s">
        <v>473</v>
      </c>
      <c r="J605" s="231"/>
      <c r="K605" s="231"/>
      <c r="L605" s="231"/>
      <c r="M605" s="231"/>
      <c r="N605" s="231"/>
      <c r="O605" s="231"/>
      <c r="P605" s="231"/>
      <c r="Q605" s="231"/>
      <c r="R605" s="231"/>
      <c r="S605" s="231"/>
      <c r="T605" s="231"/>
      <c r="U605" s="890"/>
      <c r="V605" s="236"/>
      <c r="W605" s="236"/>
      <c r="X605" s="891"/>
      <c r="Y605" s="977">
        <f t="shared" ref="Y605:AM605" si="1140">+Y604/U604-1</f>
        <v>0.5</v>
      </c>
      <c r="Z605" s="976">
        <f t="shared" si="1140"/>
        <v>0.6248258481306963</v>
      </c>
      <c r="AA605" s="976">
        <f t="shared" si="1140"/>
        <v>0.57060424888958372</v>
      </c>
      <c r="AB605" s="1130">
        <f t="shared" si="1140"/>
        <v>0.62000000000000011</v>
      </c>
      <c r="AC605" s="977">
        <f t="shared" si="1140"/>
        <v>0.60999999999999988</v>
      </c>
      <c r="AD605" s="976">
        <f t="shared" si="1140"/>
        <v>0.70999999999999952</v>
      </c>
      <c r="AE605" s="976">
        <f t="shared" si="1140"/>
        <v>0.57000000000000006</v>
      </c>
      <c r="AF605" s="1130">
        <f t="shared" si="1140"/>
        <v>0.51980428704566628</v>
      </c>
      <c r="AG605" s="977">
        <f t="shared" si="1140"/>
        <v>0.43890169775728372</v>
      </c>
      <c r="AH605" s="976">
        <f t="shared" si="1140"/>
        <v>0.35608956854178064</v>
      </c>
      <c r="AI605" s="976">
        <f t="shared" si="1140"/>
        <v>0.32907613202852892</v>
      </c>
      <c r="AJ605" s="1130">
        <f t="shared" si="1140"/>
        <v>0.29940211559098606</v>
      </c>
      <c r="AK605" s="976">
        <f t="shared" si="1140"/>
        <v>0.32367079388201025</v>
      </c>
      <c r="AL605" s="976">
        <f t="shared" si="1140"/>
        <v>0.31964022016378046</v>
      </c>
      <c r="AM605" s="976">
        <f t="shared" si="1140"/>
        <v>0.30725071758392586</v>
      </c>
      <c r="AN605" s="1130">
        <f t="shared" ref="AN605:AV605" si="1141">+AN604/AJ604-1</f>
        <v>0.30000000000000027</v>
      </c>
      <c r="AO605" s="977">
        <f t="shared" si="1141"/>
        <v>0.29000000000000004</v>
      </c>
      <c r="AP605" s="976">
        <f t="shared" si="1141"/>
        <v>0.2799999999999998</v>
      </c>
      <c r="AQ605" s="976">
        <f t="shared" si="1141"/>
        <v>0.27000000000000024</v>
      </c>
      <c r="AR605" s="1130">
        <f t="shared" si="1141"/>
        <v>0.25999999999999979</v>
      </c>
      <c r="AS605" s="977">
        <f t="shared" si="1141"/>
        <v>0.24999999999999978</v>
      </c>
      <c r="AT605" s="976">
        <f t="shared" si="1141"/>
        <v>0.24</v>
      </c>
      <c r="AU605" s="976">
        <f t="shared" si="1141"/>
        <v>0.22999999999999976</v>
      </c>
      <c r="AV605" s="1130">
        <f t="shared" si="1141"/>
        <v>0.21999999999999997</v>
      </c>
      <c r="AW605" s="977">
        <f t="shared" ref="AW605:BD605" si="1142">+AW604/AS604-1</f>
        <v>0.20999999999999996</v>
      </c>
      <c r="AX605" s="976">
        <f t="shared" si="1142"/>
        <v>0.19999999999999996</v>
      </c>
      <c r="AY605" s="976">
        <f t="shared" si="1142"/>
        <v>0.18999999999999995</v>
      </c>
      <c r="AZ605" s="1130">
        <f t="shared" si="1142"/>
        <v>0.17999999999999994</v>
      </c>
      <c r="BA605" s="977">
        <f t="shared" si="1142"/>
        <v>0.16999999999999993</v>
      </c>
      <c r="BB605" s="976">
        <f t="shared" si="1142"/>
        <v>0.15999999999999992</v>
      </c>
      <c r="BC605" s="976">
        <f t="shared" si="1142"/>
        <v>0.14999999999999991</v>
      </c>
      <c r="BD605" s="1130">
        <f t="shared" si="1142"/>
        <v>0.1399999999999999</v>
      </c>
      <c r="BE605" s="226"/>
      <c r="BF605" s="857"/>
      <c r="BG605" s="231"/>
      <c r="BH605" s="231"/>
      <c r="BI605" s="231"/>
      <c r="BJ605" s="231"/>
      <c r="BK605" s="231"/>
      <c r="BL605" s="1307"/>
      <c r="BM605" s="976">
        <f t="shared" ref="BM605:BU605" si="1143">+BM604/BL604-1</f>
        <v>0.58150082040512063</v>
      </c>
      <c r="BN605" s="977">
        <f t="shared" si="1143"/>
        <v>0.5946588849179133</v>
      </c>
      <c r="BO605" s="976">
        <f t="shared" si="1143"/>
        <v>0.35006136044880787</v>
      </c>
      <c r="BP605" s="976">
        <f t="shared" si="1143"/>
        <v>0.31191117748271302</v>
      </c>
      <c r="BQ605" s="976">
        <f t="shared" si="1143"/>
        <v>0.27420313381571271</v>
      </c>
      <c r="BR605" s="976">
        <f t="shared" si="1143"/>
        <v>0.234300349136775</v>
      </c>
      <c r="BS605" s="976">
        <f t="shared" si="1143"/>
        <v>0.19440078435975594</v>
      </c>
      <c r="BT605" s="976">
        <f t="shared" si="1143"/>
        <v>0.15450464567194944</v>
      </c>
      <c r="BU605" s="976">
        <f t="shared" si="1143"/>
        <v>0.11587848425396197</v>
      </c>
      <c r="BV605" s="976">
        <f>+BV604/BU604-1</f>
        <v>0.11587848425396197</v>
      </c>
      <c r="BW605" s="976">
        <f>+BW604/BV604-1</f>
        <v>0.11587848425396197</v>
      </c>
      <c r="BX605" s="976">
        <f>+BX604/BW604-1</f>
        <v>0.10429063582856601</v>
      </c>
      <c r="BY605" s="1130">
        <f>+BY604/BX604-1</f>
        <v>0.10429063582856579</v>
      </c>
      <c r="BZ605" s="226"/>
    </row>
    <row r="606" spans="1:85" s="41" customFormat="1" ht="11.25" hidden="1" customHeight="1" outlineLevel="2">
      <c r="H606" s="90"/>
      <c r="I606" s="814" t="s">
        <v>474</v>
      </c>
      <c r="J606" s="231"/>
      <c r="K606" s="231"/>
      <c r="L606" s="231"/>
      <c r="M606" s="231"/>
      <c r="N606" s="231"/>
      <c r="O606" s="231"/>
      <c r="P606" s="231"/>
      <c r="Q606" s="231"/>
      <c r="R606" s="231"/>
      <c r="S606" s="231"/>
      <c r="T606" s="231"/>
      <c r="U606" s="890"/>
      <c r="V606" s="236"/>
      <c r="W606" s="236"/>
      <c r="X606" s="891"/>
      <c r="Y606" s="1305">
        <f t="shared" ref="Y606:AM606" si="1144">+Y604-U604</f>
        <v>5.9267080745341616</v>
      </c>
      <c r="Z606" s="1304">
        <f t="shared" si="1144"/>
        <v>7.4116842105263192</v>
      </c>
      <c r="AA606" s="1304">
        <f t="shared" si="1144"/>
        <v>8.3707643312101929</v>
      </c>
      <c r="AB606" s="1306">
        <f t="shared" si="1144"/>
        <v>9.8557037037037034</v>
      </c>
      <c r="AC606" s="1305">
        <f t="shared" si="1144"/>
        <v>10.845875776397513</v>
      </c>
      <c r="AD606" s="1304">
        <f t="shared" si="1144"/>
        <v>13.684315789473679</v>
      </c>
      <c r="AE606" s="1304">
        <f t="shared" si="1144"/>
        <v>13.133235668789808</v>
      </c>
      <c r="AF606" s="1306">
        <f t="shared" si="1144"/>
        <v>13.385999999999999</v>
      </c>
      <c r="AG606" s="1305">
        <f t="shared" si="1144"/>
        <v>12.564</v>
      </c>
      <c r="AH606" s="1304">
        <f t="shared" si="1144"/>
        <v>11.736000000000004</v>
      </c>
      <c r="AI606" s="1304">
        <f t="shared" si="1144"/>
        <v>11.904000000000003</v>
      </c>
      <c r="AJ606" s="1306">
        <f t="shared" si="1144"/>
        <v>11.718000000000011</v>
      </c>
      <c r="AK606" s="1304">
        <f t="shared" si="1144"/>
        <v>13.332000000000001</v>
      </c>
      <c r="AL606" s="1304">
        <f t="shared" si="1144"/>
        <v>14.286000000000001</v>
      </c>
      <c r="AM606" s="1304">
        <f t="shared" si="1144"/>
        <v>14.771999999999991</v>
      </c>
      <c r="AN606" s="1306">
        <f t="shared" ref="AN606:AV606" si="1145">+AN604-AJ604</f>
        <v>15.256800000000013</v>
      </c>
      <c r="AO606" s="1305">
        <f t="shared" si="1145"/>
        <v>15.811380000000007</v>
      </c>
      <c r="AP606" s="1304">
        <f t="shared" si="1145"/>
        <v>16.514399999999995</v>
      </c>
      <c r="AQ606" s="1304">
        <f t="shared" si="1145"/>
        <v>16.969500000000011</v>
      </c>
      <c r="AR606" s="1306">
        <f t="shared" si="1145"/>
        <v>17.189327999999989</v>
      </c>
      <c r="AS606" s="1305">
        <f t="shared" si="1145"/>
        <v>17.58334499999998</v>
      </c>
      <c r="AT606" s="1304">
        <f t="shared" si="1145"/>
        <v>18.118656000000001</v>
      </c>
      <c r="AU606" s="1304">
        <f t="shared" si="1145"/>
        <v>18.358484999999988</v>
      </c>
      <c r="AV606" s="1306">
        <f t="shared" si="1145"/>
        <v>18.326468160000005</v>
      </c>
      <c r="AW606" s="1305">
        <f t="shared" ref="AW606:BD606" si="1146">+AW604-AS604</f>
        <v>18.462512250000003</v>
      </c>
      <c r="AX606" s="1304">
        <f t="shared" si="1146"/>
        <v>18.722611199999989</v>
      </c>
      <c r="AY606" s="1304">
        <f t="shared" si="1146"/>
        <v>18.653817149999995</v>
      </c>
      <c r="AZ606" s="1306">
        <f t="shared" si="1146"/>
        <v>18.293147308800002</v>
      </c>
      <c r="BA606" s="1305">
        <f t="shared" si="1146"/>
        <v>18.08447033249999</v>
      </c>
      <c r="BB606" s="1304">
        <f t="shared" si="1146"/>
        <v>17.973706751999998</v>
      </c>
      <c r="BC606" s="1304">
        <f t="shared" si="1146"/>
        <v>17.52477032249999</v>
      </c>
      <c r="BD606" s="1306">
        <f t="shared" si="1146"/>
        <v>16.789044085632</v>
      </c>
      <c r="BE606" s="226"/>
      <c r="BF606" s="857"/>
      <c r="BG606" s="231"/>
      <c r="BH606" s="231"/>
      <c r="BI606" s="231"/>
      <c r="BJ606" s="231"/>
      <c r="BK606" s="231"/>
      <c r="BL606" s="1307"/>
      <c r="BM606" s="1283">
        <f t="shared" ref="BM606:BU606" si="1147">+BM604-BL604</f>
        <v>31.564860319974372</v>
      </c>
      <c r="BN606" s="1310">
        <f t="shared" si="1147"/>
        <v>51.049427234660996</v>
      </c>
      <c r="BO606" s="1283">
        <f t="shared" si="1147"/>
        <v>47.921999999999997</v>
      </c>
      <c r="BP606" s="1283">
        <f t="shared" si="1147"/>
        <v>57.646800000000042</v>
      </c>
      <c r="BQ606" s="1283">
        <f t="shared" si="1147"/>
        <v>66.484608000000037</v>
      </c>
      <c r="BR606" s="1283">
        <f t="shared" si="1147"/>
        <v>72.386954159999959</v>
      </c>
      <c r="BS606" s="1283">
        <f t="shared" si="1147"/>
        <v>74.132087908799974</v>
      </c>
      <c r="BT606" s="1283">
        <f t="shared" si="1147"/>
        <v>70.371991492631935</v>
      </c>
      <c r="BU606" s="1283">
        <f t="shared" si="1147"/>
        <v>60.933593327572794</v>
      </c>
      <c r="BV606" s="1283">
        <f>+BV604-BU604</f>
        <v>67.994485762519275</v>
      </c>
      <c r="BW606" s="1283">
        <f>+BW604-BV604</f>
        <v>75.873583710307571</v>
      </c>
      <c r="BX606" s="1283">
        <f>+BX604-BW604</f>
        <v>76.199129627016873</v>
      </c>
      <c r="BY606" s="1390">
        <f>+BY604-BX604</f>
        <v>84.145985305401609</v>
      </c>
      <c r="BZ606" s="226"/>
    </row>
    <row r="607" spans="1:85" ht="11.25" hidden="1" customHeight="1" outlineLevel="2">
      <c r="I607" s="814"/>
      <c r="J607" s="106"/>
      <c r="K607" s="106"/>
      <c r="L607" s="106"/>
      <c r="M607" s="106"/>
      <c r="N607" s="106"/>
      <c r="O607" s="106"/>
      <c r="P607" s="106"/>
      <c r="Q607" s="106"/>
      <c r="R607" s="106"/>
      <c r="S607" s="106"/>
      <c r="T607" s="106"/>
      <c r="U607" s="814"/>
      <c r="V607" s="106"/>
      <c r="W607" s="955"/>
      <c r="X607" s="830"/>
      <c r="Y607" s="814"/>
      <c r="Z607" s="106"/>
      <c r="AA607" s="955"/>
      <c r="AB607" s="974"/>
      <c r="AC607" s="968"/>
      <c r="AD607" s="967"/>
      <c r="AE607" s="961"/>
      <c r="AF607" s="830"/>
      <c r="AG607" s="814"/>
      <c r="AH607" s="106"/>
      <c r="AI607" s="106"/>
      <c r="AJ607" s="830"/>
      <c r="AK607" s="106"/>
      <c r="AM607" s="106"/>
      <c r="AN607" s="830"/>
      <c r="AO607" s="814"/>
      <c r="AP607" s="106"/>
      <c r="AQ607" s="106"/>
      <c r="AR607" s="830"/>
      <c r="AS607" s="814"/>
      <c r="AT607" s="106"/>
      <c r="AU607" s="106"/>
      <c r="AV607" s="830"/>
      <c r="AW607" s="814"/>
      <c r="AX607" s="106"/>
      <c r="AY607" s="106"/>
      <c r="AZ607" s="830"/>
      <c r="BA607" s="814"/>
      <c r="BB607" s="106"/>
      <c r="BC607" s="106"/>
      <c r="BD607" s="830"/>
      <c r="BE607" s="83"/>
      <c r="BF607" s="814"/>
      <c r="BG607" s="106"/>
      <c r="BH607" s="106"/>
      <c r="BI607" s="106"/>
      <c r="BJ607" s="106"/>
      <c r="BK607" s="106"/>
      <c r="BL607" s="967"/>
      <c r="BN607" s="814"/>
      <c r="BP607" s="106"/>
      <c r="BQ607" s="106"/>
      <c r="BR607" s="106"/>
      <c r="BS607" s="106"/>
      <c r="BT607" s="106"/>
      <c r="BV607" s="106"/>
      <c r="BW607" s="106"/>
      <c r="BX607" s="106"/>
      <c r="BY607" s="830"/>
    </row>
    <row r="608" spans="1:85" ht="11.25" hidden="1" customHeight="1" outlineLevel="2">
      <c r="I608" s="814" t="s">
        <v>376</v>
      </c>
      <c r="J608" s="106"/>
      <c r="K608" s="106"/>
      <c r="L608" s="106"/>
      <c r="M608" s="106"/>
      <c r="N608" s="106"/>
      <c r="O608" s="106"/>
      <c r="P608" s="106"/>
      <c r="Q608" s="106"/>
      <c r="R608" s="106"/>
      <c r="S608" s="106"/>
      <c r="T608" s="106"/>
      <c r="U608" s="1020">
        <f>Y608/(1+Y609)</f>
        <v>2.1580530184896412</v>
      </c>
      <c r="V608" s="955">
        <f>2273/1000</f>
        <v>2.2730000000000001</v>
      </c>
      <c r="W608" s="955">
        <f>2569/1000</f>
        <v>2.569</v>
      </c>
      <c r="X608" s="975">
        <f>AB608/(1+AB609)</f>
        <v>2.6807407407407409</v>
      </c>
      <c r="Y608" s="1020">
        <f>AC608/(1+AC609)</f>
        <v>2.8917910447761193</v>
      </c>
      <c r="Z608" s="955">
        <f>AD608/(1+AD609)</f>
        <v>3.0932835820895517</v>
      </c>
      <c r="AA608" s="955">
        <f>AE608/(1+AE609)</f>
        <v>3.3984732824427479</v>
      </c>
      <c r="AB608" s="981">
        <f>3619/1000</f>
        <v>3.6190000000000002</v>
      </c>
      <c r="AC608" s="971">
        <f>3875/1000</f>
        <v>3.875</v>
      </c>
      <c r="AD608" s="970">
        <f>4145/1000</f>
        <v>4.1449999999999996</v>
      </c>
      <c r="AE608" s="961">
        <f>4452/1000</f>
        <v>4.452</v>
      </c>
      <c r="AF608" s="980">
        <v>4.7279999999999998</v>
      </c>
      <c r="AG608" s="971">
        <v>5.0490000000000004</v>
      </c>
      <c r="AH608" s="961">
        <v>5.3809999999999997E-2</v>
      </c>
      <c r="AI608" s="961">
        <v>5.7489999999999997</v>
      </c>
      <c r="AJ608" s="980">
        <v>6.0709999999999997</v>
      </c>
      <c r="AK608" s="961">
        <v>6.4390000000000001</v>
      </c>
      <c r="AL608" s="961">
        <v>6.819</v>
      </c>
      <c r="AM608" s="961">
        <v>7.2069999999999999</v>
      </c>
      <c r="AN608" s="830"/>
      <c r="AO608" s="814"/>
      <c r="AP608" s="106"/>
      <c r="AQ608" s="106"/>
      <c r="AR608" s="830"/>
      <c r="AS608" s="814"/>
      <c r="AT608" s="106"/>
      <c r="AU608" s="106"/>
      <c r="AV608" s="830"/>
      <c r="AW608" s="814"/>
      <c r="AX608" s="106"/>
      <c r="AY608" s="106"/>
      <c r="AZ608" s="830"/>
      <c r="BA608" s="814"/>
      <c r="BB608" s="106"/>
      <c r="BC608" s="106"/>
      <c r="BD608" s="830"/>
      <c r="BE608" s="83"/>
      <c r="BF608" s="814"/>
      <c r="BG608" s="106"/>
      <c r="BH608" s="106"/>
      <c r="BI608" s="106"/>
      <c r="BJ608" s="106"/>
      <c r="BK608" s="286">
        <f>BL608/(1+BL609)</f>
        <v>1.9583941605839412</v>
      </c>
      <c r="BL608" s="970">
        <f>2683/1000</f>
        <v>2.6829999999999998</v>
      </c>
      <c r="BM608" s="286"/>
      <c r="BN608" s="1801"/>
      <c r="BO608" s="320"/>
      <c r="BP608" s="320"/>
      <c r="BQ608" s="320"/>
      <c r="BR608" s="320"/>
      <c r="BS608" s="320"/>
      <c r="BT608" s="320"/>
      <c r="BU608" s="320"/>
      <c r="BV608" s="320"/>
      <c r="BW608" s="320"/>
      <c r="BX608" s="320"/>
      <c r="BY608" s="1122"/>
    </row>
    <row r="609" spans="8:78" ht="11.25" hidden="1" customHeight="1" outlineLevel="2">
      <c r="I609" s="770" t="s">
        <v>132</v>
      </c>
      <c r="J609" s="106"/>
      <c r="K609" s="106"/>
      <c r="L609" s="106"/>
      <c r="M609" s="106"/>
      <c r="N609" s="106"/>
      <c r="O609" s="106"/>
      <c r="P609" s="106"/>
      <c r="Q609" s="106"/>
      <c r="R609" s="106"/>
      <c r="S609" s="106"/>
      <c r="T609" s="106"/>
      <c r="U609" s="1146"/>
      <c r="V609" s="958">
        <v>0.49</v>
      </c>
      <c r="W609" s="425">
        <v>0.4</v>
      </c>
      <c r="X609" s="830"/>
      <c r="Y609" s="973">
        <v>0.34</v>
      </c>
      <c r="Z609" s="972">
        <v>0.33</v>
      </c>
      <c r="AA609" s="964">
        <v>0.35</v>
      </c>
      <c r="AB609" s="1144">
        <v>0.35</v>
      </c>
      <c r="AC609" s="973">
        <v>0.34</v>
      </c>
      <c r="AD609" s="972">
        <v>0.34</v>
      </c>
      <c r="AE609" s="964">
        <v>0.31</v>
      </c>
      <c r="AF609" s="1395">
        <v>0.31</v>
      </c>
      <c r="AG609" s="973">
        <v>0.3</v>
      </c>
      <c r="AH609" s="964">
        <v>0.3</v>
      </c>
      <c r="AI609" s="964">
        <v>0.28999999999999998</v>
      </c>
      <c r="AJ609" s="1002">
        <f>AJ608/AF608-1</f>
        <v>0.28405245346869723</v>
      </c>
      <c r="AK609" s="964">
        <v>0.28000000000000003</v>
      </c>
      <c r="AL609" s="964">
        <v>0.27</v>
      </c>
      <c r="AM609" s="964">
        <v>0.25</v>
      </c>
      <c r="AN609" s="830"/>
      <c r="AO609" s="814"/>
      <c r="AP609" s="106"/>
      <c r="AQ609" s="106"/>
      <c r="AR609" s="830"/>
      <c r="AS609" s="814"/>
      <c r="AT609" s="106"/>
      <c r="AU609" s="106"/>
      <c r="AV609" s="830"/>
      <c r="AW609" s="814"/>
      <c r="AX609" s="106"/>
      <c r="AY609" s="106"/>
      <c r="AZ609" s="830"/>
      <c r="BA609" s="814"/>
      <c r="BB609" s="106"/>
      <c r="BC609" s="106"/>
      <c r="BD609" s="830"/>
      <c r="BE609" s="83"/>
      <c r="BF609" s="814"/>
      <c r="BG609" s="106"/>
      <c r="BH609" s="106"/>
      <c r="BI609" s="106"/>
      <c r="BJ609" s="106"/>
      <c r="BK609" s="106"/>
      <c r="BL609" s="979">
        <v>0.37</v>
      </c>
      <c r="BM609" s="404"/>
      <c r="BN609" s="1519"/>
      <c r="BO609" s="404"/>
      <c r="BP609" s="1123"/>
      <c r="BQ609" s="1123"/>
      <c r="BR609" s="1123"/>
      <c r="BS609" s="1123"/>
      <c r="BT609" s="1123"/>
      <c r="BU609" s="1123"/>
      <c r="BV609" s="1123"/>
      <c r="BW609" s="1123"/>
      <c r="BX609" s="1123"/>
      <c r="BY609" s="1124"/>
    </row>
    <row r="610" spans="8:78" ht="11.25" hidden="1" customHeight="1" outlineLevel="2">
      <c r="I610" s="770"/>
      <c r="J610" s="106"/>
      <c r="K610" s="106"/>
      <c r="L610" s="106"/>
      <c r="M610" s="106"/>
      <c r="N610" s="106"/>
      <c r="O610" s="106"/>
      <c r="P610" s="106"/>
      <c r="Q610" s="106"/>
      <c r="R610" s="106"/>
      <c r="S610" s="106"/>
      <c r="T610" s="106"/>
      <c r="U610" s="1146"/>
      <c r="V610" s="958"/>
      <c r="W610" s="425"/>
      <c r="X610" s="830"/>
      <c r="Y610" s="973"/>
      <c r="Z610" s="972"/>
      <c r="AA610" s="964"/>
      <c r="AB610" s="1144"/>
      <c r="AC610" s="973"/>
      <c r="AD610" s="972"/>
      <c r="AE610" s="964"/>
      <c r="AF610" s="830"/>
      <c r="AG610" s="814"/>
      <c r="AH610" s="106"/>
      <c r="AI610" s="106"/>
      <c r="AJ610" s="830"/>
      <c r="AK610" s="106"/>
      <c r="AM610" s="106"/>
      <c r="AN610" s="830"/>
      <c r="AO610" s="814"/>
      <c r="AP610" s="106"/>
      <c r="AQ610" s="106"/>
      <c r="AR610" s="830"/>
      <c r="AS610" s="814"/>
      <c r="AT610" s="106"/>
      <c r="AU610" s="106"/>
      <c r="AV610" s="830"/>
      <c r="AW610" s="814"/>
      <c r="AX610" s="106"/>
      <c r="AY610" s="106"/>
      <c r="AZ610" s="830"/>
      <c r="BA610" s="814"/>
      <c r="BB610" s="106"/>
      <c r="BC610" s="106"/>
      <c r="BD610" s="830"/>
      <c r="BE610" s="83"/>
      <c r="BF610" s="814"/>
      <c r="BG610" s="106"/>
      <c r="BH610" s="106"/>
      <c r="BI610" s="106"/>
      <c r="BJ610" s="106"/>
      <c r="BK610" s="106"/>
      <c r="BL610" s="979"/>
      <c r="BM610" s="404"/>
      <c r="BN610" s="1519"/>
      <c r="BO610" s="404"/>
      <c r="BP610" s="1123"/>
      <c r="BQ610" s="1123"/>
      <c r="BR610" s="1123"/>
      <c r="BS610" s="1123"/>
      <c r="BT610" s="1123"/>
      <c r="BU610" s="1123"/>
      <c r="BV610" s="1123"/>
      <c r="BW610" s="1123"/>
      <c r="BX610" s="1123"/>
      <c r="BY610" s="1124"/>
    </row>
    <row r="611" spans="8:78" ht="11.25" hidden="1" customHeight="1" outlineLevel="2">
      <c r="I611" s="771" t="s">
        <v>374</v>
      </c>
      <c r="J611" s="339"/>
      <c r="K611" s="339"/>
      <c r="L611" s="339"/>
      <c r="M611" s="339"/>
      <c r="N611" s="339"/>
      <c r="O611" s="339"/>
      <c r="P611" s="339"/>
      <c r="Q611" s="339"/>
      <c r="R611" s="339"/>
      <c r="S611" s="339"/>
      <c r="T611" s="758"/>
      <c r="U611" s="757"/>
      <c r="V611" s="339"/>
      <c r="W611" s="339"/>
      <c r="X611" s="758"/>
      <c r="Y611" s="757"/>
      <c r="Z611" s="339"/>
      <c r="AA611" s="339"/>
      <c r="AB611" s="339"/>
      <c r="AC611" s="757"/>
      <c r="AD611" s="339"/>
      <c r="AE611" s="383"/>
      <c r="AF611" s="339"/>
      <c r="AG611" s="757"/>
      <c r="AH611" s="339"/>
      <c r="AI611" s="339"/>
      <c r="AJ611" s="758"/>
      <c r="AK611" s="339"/>
      <c r="AL611" s="339"/>
      <c r="AM611" s="339"/>
      <c r="AN611" s="758"/>
      <c r="AO611" s="1646"/>
      <c r="AP611" s="339"/>
      <c r="AQ611" s="339"/>
      <c r="AR611" s="758"/>
      <c r="AS611" s="1646"/>
      <c r="AT611" s="339"/>
      <c r="AU611" s="339"/>
      <c r="AV611" s="758"/>
      <c r="AW611" s="1646"/>
      <c r="AX611" s="339"/>
      <c r="AY611" s="339"/>
      <c r="AZ611" s="758"/>
      <c r="BA611" s="1646"/>
      <c r="BB611" s="339"/>
      <c r="BC611" s="339"/>
      <c r="BD611" s="758"/>
      <c r="BE611" s="277"/>
      <c r="BF611" s="757"/>
      <c r="BG611" s="339"/>
      <c r="BH611" s="339"/>
      <c r="BI611" s="339"/>
      <c r="BJ611" s="339"/>
      <c r="BK611" s="339"/>
      <c r="BL611" s="339"/>
      <c r="BM611" s="339"/>
      <c r="BN611" s="1646"/>
      <c r="BO611" s="339"/>
      <c r="BP611" s="339"/>
      <c r="BQ611" s="339"/>
      <c r="BR611" s="339"/>
      <c r="BS611" s="339"/>
      <c r="BT611" s="339"/>
      <c r="BU611" s="339"/>
      <c r="BV611" s="339"/>
      <c r="BW611" s="339"/>
      <c r="BX611" s="339"/>
      <c r="BY611" s="758"/>
    </row>
    <row r="612" spans="8:78" ht="11.25" hidden="1" customHeight="1" outlineLevel="2">
      <c r="I612" s="814"/>
      <c r="J612" s="106"/>
      <c r="K612" s="106"/>
      <c r="L612" s="106"/>
      <c r="M612" s="106"/>
      <c r="N612" s="106"/>
      <c r="O612" s="106"/>
      <c r="P612" s="106"/>
      <c r="Q612" s="106"/>
      <c r="R612" s="106"/>
      <c r="S612" s="106"/>
      <c r="T612" s="830"/>
      <c r="U612" s="814"/>
      <c r="V612" s="106"/>
      <c r="W612" s="106"/>
      <c r="X612" s="830"/>
      <c r="Y612" s="814"/>
      <c r="Z612" s="106"/>
      <c r="AA612" s="106"/>
      <c r="AB612" s="106"/>
      <c r="AC612" s="814"/>
      <c r="AD612" s="106"/>
      <c r="AE612" s="957"/>
      <c r="AF612" s="106"/>
      <c r="AG612" s="814"/>
      <c r="AH612" s="106"/>
      <c r="AI612" s="106"/>
      <c r="AJ612" s="830"/>
      <c r="AK612" s="106"/>
      <c r="AM612" s="106"/>
      <c r="AN612" s="830"/>
      <c r="AO612" s="814"/>
      <c r="AP612" s="106"/>
      <c r="AQ612" s="106"/>
      <c r="AR612" s="830"/>
      <c r="AS612" s="814"/>
      <c r="AT612" s="106"/>
      <c r="AU612" s="106"/>
      <c r="AV612" s="830"/>
      <c r="AW612" s="814"/>
      <c r="AX612" s="106"/>
      <c r="AY612" s="106"/>
      <c r="AZ612" s="830"/>
      <c r="BA612" s="814"/>
      <c r="BB612" s="106"/>
      <c r="BC612" s="106"/>
      <c r="BD612" s="830"/>
      <c r="BE612" s="83"/>
      <c r="BF612" s="814"/>
      <c r="BG612" s="106"/>
      <c r="BH612" s="106"/>
      <c r="BI612" s="106"/>
      <c r="BJ612" s="106"/>
      <c r="BK612" s="106"/>
      <c r="BL612" s="967"/>
      <c r="BN612" s="814"/>
      <c r="BP612" s="106"/>
      <c r="BQ612" s="106"/>
      <c r="BR612" s="106"/>
      <c r="BS612" s="106"/>
      <c r="BT612" s="106"/>
      <c r="BV612" s="106"/>
      <c r="BW612" s="106"/>
      <c r="BX612" s="106"/>
      <c r="BY612" s="830"/>
    </row>
    <row r="613" spans="8:78" ht="11.25" hidden="1" customHeight="1" outlineLevel="2">
      <c r="I613" s="783" t="s">
        <v>378</v>
      </c>
      <c r="J613" s="106"/>
      <c r="K613" s="106"/>
      <c r="L613" s="106"/>
      <c r="M613" s="106"/>
      <c r="N613" s="106"/>
      <c r="O613" s="106"/>
      <c r="P613" s="106"/>
      <c r="Q613" s="106"/>
      <c r="R613" s="106"/>
      <c r="S613" s="106"/>
      <c r="T613" s="830"/>
      <c r="U613" s="955">
        <f>Y613/(1+Y614)</f>
        <v>0.41641741442339647</v>
      </c>
      <c r="V613" s="955">
        <f>417/1000</f>
        <v>0.41699999999999998</v>
      </c>
      <c r="W613" s="955">
        <f>549/1000</f>
        <v>0.54900000000000004</v>
      </c>
      <c r="X613" s="975">
        <f>AB613/(1+AB614)</f>
        <v>0.63563218390804599</v>
      </c>
      <c r="Y613" s="955">
        <f>AC613/(1+AC614)</f>
        <v>0.73705882352941177</v>
      </c>
      <c r="Z613" s="955">
        <f>AD613/(1+AD614)</f>
        <v>0.80611111111111111</v>
      </c>
      <c r="AA613" s="955">
        <f>AE613/(1+AE614)</f>
        <v>0.95722543352601153</v>
      </c>
      <c r="AB613" s="389">
        <f>1106/1000</f>
        <v>1.1060000000000001</v>
      </c>
      <c r="AC613" s="959">
        <f>1253/1000</f>
        <v>1.2529999999999999</v>
      </c>
      <c r="AD613" s="960">
        <f>1451/1000</f>
        <v>1.4510000000000001</v>
      </c>
      <c r="AE613" s="961">
        <f>1656/1000</f>
        <v>1.6559999999999999</v>
      </c>
      <c r="AF613" s="955">
        <f>1802/1000</f>
        <v>1.802</v>
      </c>
      <c r="AG613" s="959">
        <v>1.9259999999999999</v>
      </c>
      <c r="AH613" s="961">
        <v>2.109</v>
      </c>
      <c r="AI613" s="961">
        <v>2.234</v>
      </c>
      <c r="AJ613" s="980">
        <v>2.431</v>
      </c>
      <c r="AK613" s="961">
        <v>2.6709999999999998</v>
      </c>
      <c r="AL613" s="961">
        <v>2.9329999999999998</v>
      </c>
      <c r="AM613" s="955">
        <v>3.1619999999999999</v>
      </c>
      <c r="AN613" s="975">
        <f>AJ613*(1+AN614)</f>
        <v>3.4277099999999998</v>
      </c>
      <c r="AO613" s="1020">
        <f>AK613*(1+AO614)</f>
        <v>3.7393999999999994</v>
      </c>
      <c r="AP613" s="955">
        <f>AL613*(1+AP614)</f>
        <v>4.0768699999999995</v>
      </c>
      <c r="AQ613" s="955">
        <f>AM613*(1+AQ614)</f>
        <v>4.3635599999999997</v>
      </c>
      <c r="AR613" s="975">
        <f>AN613*(1+AR614)</f>
        <v>4.695962699999999</v>
      </c>
      <c r="AS613" s="1020">
        <f t="shared" ref="AS613:BD613" si="1148">AO613*(1+AS614)</f>
        <v>5.085583999999999</v>
      </c>
      <c r="AT613" s="955">
        <f t="shared" si="1148"/>
        <v>5.5037744999999987</v>
      </c>
      <c r="AU613" s="955">
        <f t="shared" si="1148"/>
        <v>5.8471703999999987</v>
      </c>
      <c r="AV613" s="975">
        <f t="shared" si="1148"/>
        <v>6.2456303909999979</v>
      </c>
      <c r="AW613" s="1020">
        <f t="shared" si="1148"/>
        <v>6.7129708799999976</v>
      </c>
      <c r="AX613" s="955">
        <f t="shared" si="1148"/>
        <v>7.209944594999997</v>
      </c>
      <c r="AY613" s="955">
        <f t="shared" si="1148"/>
        <v>7.6013215199999973</v>
      </c>
      <c r="AZ613" s="975">
        <f t="shared" si="1148"/>
        <v>8.0568632043899964</v>
      </c>
      <c r="BA613" s="1020">
        <f t="shared" si="1148"/>
        <v>8.5926027263999956</v>
      </c>
      <c r="BB613" s="955">
        <f t="shared" si="1148"/>
        <v>9.1566296356499954</v>
      </c>
      <c r="BC613" s="955">
        <f t="shared" si="1148"/>
        <v>9.577665115199995</v>
      </c>
      <c r="BD613" s="975">
        <f t="shared" si="1148"/>
        <v>10.071079005487494</v>
      </c>
      <c r="BE613" s="955"/>
      <c r="BF613" s="814"/>
      <c r="BG613" s="106"/>
      <c r="BH613" s="106"/>
      <c r="BI613" s="106"/>
      <c r="BJ613" s="106"/>
      <c r="BK613" s="286">
        <f>BL613/(1+BL614)</f>
        <v>1.1193548387096774</v>
      </c>
      <c r="BL613" s="970">
        <f>2082/1000</f>
        <v>2.0819999999999999</v>
      </c>
      <c r="BM613" s="286">
        <f>SUM(Y613:AB613)</f>
        <v>3.6063953681665346</v>
      </c>
      <c r="BN613" s="1801">
        <f>SUM(AC613:AF613)</f>
        <v>6.161999999999999</v>
      </c>
      <c r="BO613" s="320">
        <f>SUM(AG613:AJ613)</f>
        <v>8.6999999999999993</v>
      </c>
      <c r="BP613" s="320">
        <f>SUM(AK613:AN613)</f>
        <v>12.193709999999998</v>
      </c>
      <c r="BQ613" s="320">
        <f>SUM(AO613:AR613)</f>
        <v>16.875792699999998</v>
      </c>
      <c r="BR613" s="320">
        <f>SUM(AS613:AV613)</f>
        <v>22.682159290999994</v>
      </c>
      <c r="BS613" s="320">
        <f>SUM(AW613:AZ613)</f>
        <v>29.581100199389986</v>
      </c>
      <c r="BT613" s="320">
        <f>SUM(BA613:BD613)</f>
        <v>37.397976482737477</v>
      </c>
      <c r="BU613" s="320">
        <f>BT613*(1+BU614)</f>
        <v>46.906501203633262</v>
      </c>
      <c r="BV613" s="320">
        <f>BU613*(1+BV614)</f>
        <v>58.363526002133845</v>
      </c>
      <c r="BW613" s="320">
        <f>BV613*(1+BW614)</f>
        <v>72.035321174484807</v>
      </c>
      <c r="BX613" s="320">
        <f>BW613*(1+BX614)</f>
        <v>88.189413763633894</v>
      </c>
      <c r="BY613" s="1122">
        <f>BX613*(1+BY614)</f>
        <v>107.08420600835976</v>
      </c>
    </row>
    <row r="614" spans="8:78" ht="11.25" hidden="1" customHeight="1" outlineLevel="2">
      <c r="I614" s="770" t="s">
        <v>132</v>
      </c>
      <c r="J614" s="106"/>
      <c r="K614" s="106"/>
      <c r="L614" s="106"/>
      <c r="M614" s="106"/>
      <c r="N614" s="106"/>
      <c r="O614" s="106"/>
      <c r="P614" s="106"/>
      <c r="Q614" s="106"/>
      <c r="R614" s="106"/>
      <c r="S614" s="106"/>
      <c r="T614" s="830"/>
      <c r="U614" s="956"/>
      <c r="V614" s="956">
        <v>1.02</v>
      </c>
      <c r="W614" s="425">
        <v>0.81</v>
      </c>
      <c r="X614" s="253"/>
      <c r="Y614" s="962">
        <v>0.77</v>
      </c>
      <c r="Z614" s="962">
        <v>0.67</v>
      </c>
      <c r="AA614" s="964">
        <v>0.74</v>
      </c>
      <c r="AB614" s="962">
        <v>0.74</v>
      </c>
      <c r="AC614" s="963">
        <v>0.7</v>
      </c>
      <c r="AD614" s="962">
        <v>0.8</v>
      </c>
      <c r="AE614" s="964">
        <v>0.73</v>
      </c>
      <c r="AF614" s="964">
        <v>0.63</v>
      </c>
      <c r="AG614" s="1001">
        <f>AG613/AC613-1</f>
        <v>0.53711093375897856</v>
      </c>
      <c r="AH614" s="964">
        <v>0.45</v>
      </c>
      <c r="AI614" s="964">
        <v>0.35</v>
      </c>
      <c r="AJ614" s="1002">
        <f>AJ613/AF613-1</f>
        <v>0.34905660377358494</v>
      </c>
      <c r="AK614" s="964">
        <v>0.39</v>
      </c>
      <c r="AL614" s="964">
        <v>0.39</v>
      </c>
      <c r="AM614" s="964">
        <v>0.42</v>
      </c>
      <c r="AN614" s="1117">
        <f t="shared" ref="AN614:BD614" si="1149">+AM614-1%</f>
        <v>0.41</v>
      </c>
      <c r="AO614" s="1226">
        <f>+AN614-1%</f>
        <v>0.39999999999999997</v>
      </c>
      <c r="AP614" s="1118">
        <f t="shared" si="1149"/>
        <v>0.38999999999999996</v>
      </c>
      <c r="AQ614" s="1118">
        <f t="shared" si="1149"/>
        <v>0.37999999999999995</v>
      </c>
      <c r="AR614" s="1117">
        <f t="shared" si="1149"/>
        <v>0.36999999999999994</v>
      </c>
      <c r="AS614" s="1226">
        <f>+AR614-1%</f>
        <v>0.35999999999999993</v>
      </c>
      <c r="AT614" s="1118">
        <f t="shared" si="1149"/>
        <v>0.34999999999999992</v>
      </c>
      <c r="AU614" s="1118">
        <f t="shared" si="1149"/>
        <v>0.33999999999999991</v>
      </c>
      <c r="AV614" s="1117">
        <f t="shared" si="1149"/>
        <v>0.3299999999999999</v>
      </c>
      <c r="AW614" s="1226">
        <f>+AV614-1%</f>
        <v>0.3199999999999999</v>
      </c>
      <c r="AX614" s="1118">
        <f t="shared" si="1149"/>
        <v>0.30999999999999989</v>
      </c>
      <c r="AY614" s="1118">
        <f t="shared" si="1149"/>
        <v>0.29999999999999988</v>
      </c>
      <c r="AZ614" s="1117">
        <f t="shared" si="1149"/>
        <v>0.28999999999999987</v>
      </c>
      <c r="BA614" s="1226">
        <f>+AZ614-1%</f>
        <v>0.27999999999999986</v>
      </c>
      <c r="BB614" s="1118">
        <f t="shared" si="1149"/>
        <v>0.26999999999999985</v>
      </c>
      <c r="BC614" s="1118">
        <f t="shared" si="1149"/>
        <v>0.25999999999999984</v>
      </c>
      <c r="BD614" s="1117">
        <f t="shared" si="1149"/>
        <v>0.24999999999999983</v>
      </c>
      <c r="BE614" s="964"/>
      <c r="BF614" s="814"/>
      <c r="BG614" s="106"/>
      <c r="BH614" s="106"/>
      <c r="BI614" s="106"/>
      <c r="BJ614" s="106"/>
      <c r="BK614" s="106"/>
      <c r="BL614" s="979">
        <v>0.86</v>
      </c>
      <c r="BM614" s="404">
        <f t="shared" ref="BM614:BT614" si="1150">BM613/BL613-1</f>
        <v>0.7321783708772982</v>
      </c>
      <c r="BN614" s="1519">
        <f t="shared" si="1150"/>
        <v>0.70863129827407567</v>
      </c>
      <c r="BO614" s="404">
        <f t="shared" si="1150"/>
        <v>0.41187925998052588</v>
      </c>
      <c r="BP614" s="404">
        <f t="shared" si="1150"/>
        <v>0.40157586206896534</v>
      </c>
      <c r="BQ614" s="404">
        <f t="shared" si="1150"/>
        <v>0.38397523805306188</v>
      </c>
      <c r="BR614" s="404">
        <f t="shared" si="1150"/>
        <v>0.34406482078912926</v>
      </c>
      <c r="BS614" s="404">
        <f t="shared" si="1150"/>
        <v>0.30415714923258697</v>
      </c>
      <c r="BT614" s="404">
        <f t="shared" si="1150"/>
        <v>0.26425238516005867</v>
      </c>
      <c r="BU614" s="1120">
        <f>+BT614-1%</f>
        <v>0.25425238516005866</v>
      </c>
      <c r="BV614" s="1120">
        <f>+BU614-1%</f>
        <v>0.24425238516005865</v>
      </c>
      <c r="BW614" s="1120">
        <f>+BV614-1%</f>
        <v>0.23425238516005864</v>
      </c>
      <c r="BX614" s="1120">
        <f>+BW614-1%</f>
        <v>0.22425238516005863</v>
      </c>
      <c r="BY614" s="1121">
        <f>+BX614-1%</f>
        <v>0.21425238516005862</v>
      </c>
    </row>
    <row r="615" spans="8:78" ht="11.25" hidden="1" customHeight="1" outlineLevel="2">
      <c r="I615" s="785"/>
      <c r="J615" s="106"/>
      <c r="K615" s="106"/>
      <c r="L615" s="106"/>
      <c r="M615" s="106"/>
      <c r="N615" s="106"/>
      <c r="O615" s="106"/>
      <c r="P615" s="106"/>
      <c r="Q615" s="106"/>
      <c r="R615" s="106"/>
      <c r="S615" s="106"/>
      <c r="T615" s="830"/>
      <c r="U615" s="379"/>
      <c r="V615" s="379"/>
      <c r="W615" s="955"/>
      <c r="X615" s="821"/>
      <c r="Y615" s="379"/>
      <c r="Z615" s="379"/>
      <c r="AA615" s="955"/>
      <c r="AB615" s="965"/>
      <c r="AC615" s="966"/>
      <c r="AD615" s="965"/>
      <c r="AE615" s="961"/>
      <c r="AF615" s="106"/>
      <c r="AG615" s="814"/>
      <c r="AH615" s="106"/>
      <c r="AI615" s="106"/>
      <c r="AJ615" s="830"/>
      <c r="AK615" s="106"/>
      <c r="AM615" s="106"/>
      <c r="AN615" s="830"/>
      <c r="AO615" s="814"/>
      <c r="AP615" s="106"/>
      <c r="AQ615" s="106"/>
      <c r="AR615" s="830"/>
      <c r="AS615" s="814"/>
      <c r="AT615" s="106"/>
      <c r="AU615" s="106"/>
      <c r="AV615" s="830"/>
      <c r="AW615" s="814"/>
      <c r="AX615" s="106"/>
      <c r="AY615" s="106"/>
      <c r="AZ615" s="830"/>
      <c r="BA615" s="814"/>
      <c r="BB615" s="106"/>
      <c r="BC615" s="106"/>
      <c r="BD615" s="830"/>
      <c r="BE615" s="83"/>
      <c r="BF615" s="814"/>
      <c r="BG615" s="106"/>
      <c r="BH615" s="106"/>
      <c r="BI615" s="106"/>
      <c r="BJ615" s="106"/>
      <c r="BK615" s="106"/>
      <c r="BL615" s="967"/>
      <c r="BN615" s="814"/>
      <c r="BP615" s="106"/>
      <c r="BQ615" s="106"/>
      <c r="BR615" s="106"/>
      <c r="BS615" s="106"/>
      <c r="BT615" s="106"/>
      <c r="BV615" s="106"/>
      <c r="BW615" s="106"/>
      <c r="BX615" s="106"/>
      <c r="BY615" s="830"/>
    </row>
    <row r="616" spans="8:78" ht="11.25" hidden="1" customHeight="1" outlineLevel="2">
      <c r="I616" s="814" t="s">
        <v>372</v>
      </c>
      <c r="J616" s="106"/>
      <c r="K616" s="106"/>
      <c r="L616" s="106"/>
      <c r="M616" s="106"/>
      <c r="N616" s="106"/>
      <c r="O616" s="106"/>
      <c r="P616" s="106"/>
      <c r="Q616" s="106"/>
      <c r="R616" s="106"/>
      <c r="S616" s="106"/>
      <c r="T616" s="974">
        <v>14</v>
      </c>
      <c r="U616" s="967">
        <v>14</v>
      </c>
      <c r="V616" s="967">
        <v>14</v>
      </c>
      <c r="W616" s="969">
        <v>14</v>
      </c>
      <c r="X616" s="974">
        <v>14</v>
      </c>
      <c r="Y616" s="967">
        <v>14</v>
      </c>
      <c r="Z616" s="967">
        <v>14</v>
      </c>
      <c r="AA616" s="969">
        <v>14</v>
      </c>
      <c r="AB616" s="967">
        <v>14</v>
      </c>
      <c r="AC616" s="968">
        <v>14</v>
      </c>
      <c r="AD616" s="967">
        <v>14</v>
      </c>
      <c r="AE616" s="969">
        <v>14</v>
      </c>
      <c r="AF616" s="969">
        <v>14</v>
      </c>
      <c r="AG616" s="1116">
        <v>14</v>
      </c>
      <c r="AH616" s="969">
        <v>14</v>
      </c>
      <c r="AI616" s="969">
        <v>14</v>
      </c>
      <c r="AJ616" s="1115">
        <v>14</v>
      </c>
      <c r="AK616" s="969">
        <v>14</v>
      </c>
      <c r="AL616" s="969">
        <v>14</v>
      </c>
      <c r="AM616" s="969">
        <v>14</v>
      </c>
      <c r="AN616" s="1115">
        <v>14</v>
      </c>
      <c r="AO616" s="1116">
        <v>14</v>
      </c>
      <c r="AP616" s="969">
        <v>14</v>
      </c>
      <c r="AQ616" s="969">
        <v>14</v>
      </c>
      <c r="AR616" s="1115">
        <v>14</v>
      </c>
      <c r="AS616" s="1116">
        <v>14</v>
      </c>
      <c r="AT616" s="969">
        <v>14</v>
      </c>
      <c r="AU616" s="969">
        <v>14</v>
      </c>
      <c r="AV616" s="1115">
        <v>14</v>
      </c>
      <c r="AW616" s="1116">
        <v>14</v>
      </c>
      <c r="AX616" s="969">
        <v>14</v>
      </c>
      <c r="AY616" s="969">
        <v>14</v>
      </c>
      <c r="AZ616" s="1115">
        <v>14</v>
      </c>
      <c r="BA616" s="1116">
        <v>14</v>
      </c>
      <c r="BB616" s="969">
        <v>14</v>
      </c>
      <c r="BC616" s="969">
        <v>14</v>
      </c>
      <c r="BD616" s="1115">
        <v>14</v>
      </c>
      <c r="BE616" s="969"/>
      <c r="BF616" s="814"/>
      <c r="BG616" s="106"/>
      <c r="BH616" s="106"/>
      <c r="BI616" s="106"/>
      <c r="BJ616" s="106"/>
      <c r="BK616" s="106"/>
      <c r="BL616" s="967">
        <v>14</v>
      </c>
      <c r="BM616" s="967">
        <v>14</v>
      </c>
      <c r="BN616" s="1658">
        <v>14</v>
      </c>
      <c r="BO616" s="967">
        <v>14</v>
      </c>
      <c r="BP616" s="967">
        <v>14</v>
      </c>
      <c r="BQ616" s="967">
        <v>14</v>
      </c>
      <c r="BR616" s="967">
        <v>14</v>
      </c>
      <c r="BS616" s="967">
        <v>14</v>
      </c>
      <c r="BT616" s="967">
        <v>14</v>
      </c>
      <c r="BU616" s="967">
        <v>14</v>
      </c>
      <c r="BV616" s="967">
        <v>14</v>
      </c>
      <c r="BW616" s="967">
        <v>14</v>
      </c>
      <c r="BX616" s="967">
        <v>14</v>
      </c>
      <c r="BY616" s="974">
        <v>14</v>
      </c>
    </row>
    <row r="617" spans="8:78" ht="11.25" hidden="1" customHeight="1" outlineLevel="2">
      <c r="I617" s="814"/>
      <c r="J617" s="106"/>
      <c r="K617" s="106"/>
      <c r="L617" s="106"/>
      <c r="M617" s="106"/>
      <c r="N617" s="106"/>
      <c r="O617" s="106"/>
      <c r="P617" s="106"/>
      <c r="Q617" s="106"/>
      <c r="R617" s="106"/>
      <c r="S617" s="106"/>
      <c r="T617" s="830"/>
      <c r="U617" s="106"/>
      <c r="V617" s="106"/>
      <c r="W617" s="955"/>
      <c r="X617" s="830"/>
      <c r="Y617" s="106"/>
      <c r="Z617" s="106"/>
      <c r="AA617" s="955"/>
      <c r="AB617" s="967"/>
      <c r="AC617" s="968"/>
      <c r="AD617" s="967"/>
      <c r="AE617" s="961"/>
      <c r="AF617" s="106"/>
      <c r="AG617" s="814"/>
      <c r="AH617" s="106"/>
      <c r="AI617" s="106"/>
      <c r="AJ617" s="830"/>
      <c r="AK617" s="106"/>
      <c r="AM617" s="106"/>
      <c r="AN617" s="830"/>
      <c r="AO617" s="814"/>
      <c r="AP617" s="106"/>
      <c r="AQ617" s="106"/>
      <c r="AR617" s="830"/>
      <c r="AS617" s="814"/>
      <c r="AT617" s="106"/>
      <c r="AU617" s="106"/>
      <c r="AV617" s="830"/>
      <c r="AW617" s="814"/>
      <c r="AX617" s="106"/>
      <c r="AY617" s="106"/>
      <c r="AZ617" s="830"/>
      <c r="BA617" s="814"/>
      <c r="BB617" s="106"/>
      <c r="BC617" s="106"/>
      <c r="BD617" s="830"/>
      <c r="BE617" s="83"/>
      <c r="BF617" s="814"/>
      <c r="BG617" s="106"/>
      <c r="BH617" s="106"/>
      <c r="BI617" s="106"/>
      <c r="BJ617" s="106"/>
      <c r="BK617" s="106"/>
      <c r="BL617" s="967"/>
      <c r="BN617" s="814"/>
      <c r="BP617" s="106"/>
      <c r="BQ617" s="106"/>
      <c r="BR617" s="106"/>
      <c r="BS617" s="106"/>
      <c r="BT617" s="106"/>
      <c r="BV617" s="106"/>
      <c r="BW617" s="106"/>
      <c r="BX617" s="106"/>
      <c r="BY617" s="830"/>
    </row>
    <row r="618" spans="8:78" s="41" customFormat="1" ht="11.25" hidden="1" customHeight="1" outlineLevel="2">
      <c r="H618" s="90"/>
      <c r="I618" s="857" t="s">
        <v>472</v>
      </c>
      <c r="J618" s="231"/>
      <c r="K618" s="231"/>
      <c r="L618" s="231"/>
      <c r="M618" s="231"/>
      <c r="N618" s="231"/>
      <c r="O618" s="231"/>
      <c r="P618" s="231"/>
      <c r="Q618" s="231"/>
      <c r="R618" s="231"/>
      <c r="S618" s="231"/>
      <c r="T618" s="1151"/>
      <c r="U618" s="236">
        <f t="shared" ref="U618:AC618" si="1151">+U616*U613</f>
        <v>5.8298438019275505</v>
      </c>
      <c r="V618" s="236">
        <f t="shared" si="1151"/>
        <v>5.8380000000000001</v>
      </c>
      <c r="W618" s="236">
        <f t="shared" si="1151"/>
        <v>7.6860000000000008</v>
      </c>
      <c r="X618" s="891">
        <f t="shared" si="1151"/>
        <v>8.8988505747126432</v>
      </c>
      <c r="Y618" s="236">
        <f t="shared" si="1151"/>
        <v>10.318823529411764</v>
      </c>
      <c r="Z618" s="236">
        <f t="shared" si="1151"/>
        <v>11.285555555555556</v>
      </c>
      <c r="AA618" s="236">
        <f t="shared" si="1151"/>
        <v>13.401156069364161</v>
      </c>
      <c r="AB618" s="236">
        <f t="shared" si="1151"/>
        <v>15.484000000000002</v>
      </c>
      <c r="AC618" s="890">
        <f t="shared" si="1151"/>
        <v>17.541999999999998</v>
      </c>
      <c r="AD618" s="236">
        <f>+AD616*AD613</f>
        <v>20.314</v>
      </c>
      <c r="AE618" s="236">
        <f t="shared" ref="AE618:AN618" si="1152">+AE616*AE613</f>
        <v>23.183999999999997</v>
      </c>
      <c r="AF618" s="236">
        <f t="shared" si="1152"/>
        <v>25.228000000000002</v>
      </c>
      <c r="AG618" s="890">
        <f t="shared" si="1152"/>
        <v>26.963999999999999</v>
      </c>
      <c r="AH618" s="236">
        <f t="shared" si="1152"/>
        <v>29.526</v>
      </c>
      <c r="AI618" s="236">
        <f t="shared" si="1152"/>
        <v>31.276</v>
      </c>
      <c r="AJ618" s="891">
        <f t="shared" si="1152"/>
        <v>34.033999999999999</v>
      </c>
      <c r="AK618" s="236">
        <f t="shared" si="1152"/>
        <v>37.393999999999998</v>
      </c>
      <c r="AL618" s="236">
        <f>+AL616*AL613</f>
        <v>41.061999999999998</v>
      </c>
      <c r="AM618" s="236">
        <f t="shared" si="1152"/>
        <v>44.268000000000001</v>
      </c>
      <c r="AN618" s="891">
        <f t="shared" si="1152"/>
        <v>47.987939999999995</v>
      </c>
      <c r="AO618" s="890">
        <f t="shared" ref="AO618:AV618" si="1153">+AO616*AO613</f>
        <v>52.351599999999991</v>
      </c>
      <c r="AP618" s="236">
        <f t="shared" si="1153"/>
        <v>57.076179999999994</v>
      </c>
      <c r="AQ618" s="236">
        <f t="shared" si="1153"/>
        <v>61.089839999999995</v>
      </c>
      <c r="AR618" s="891">
        <f t="shared" si="1153"/>
        <v>65.743477799999994</v>
      </c>
      <c r="AS618" s="890">
        <f t="shared" si="1153"/>
        <v>71.198175999999989</v>
      </c>
      <c r="AT618" s="236">
        <f t="shared" si="1153"/>
        <v>77.052842999999982</v>
      </c>
      <c r="AU618" s="236">
        <f t="shared" si="1153"/>
        <v>81.860385599999987</v>
      </c>
      <c r="AV618" s="891">
        <f t="shared" si="1153"/>
        <v>87.43882547399997</v>
      </c>
      <c r="AW618" s="890">
        <f t="shared" ref="AW618:BD618" si="1154">+AW616*AW613</f>
        <v>93.981592319999962</v>
      </c>
      <c r="AX618" s="236">
        <f t="shared" si="1154"/>
        <v>100.93922432999996</v>
      </c>
      <c r="AY618" s="236">
        <f t="shared" si="1154"/>
        <v>106.41850127999996</v>
      </c>
      <c r="AZ618" s="891">
        <f t="shared" si="1154"/>
        <v>112.79608486145995</v>
      </c>
      <c r="BA618" s="890">
        <f t="shared" si="1154"/>
        <v>120.29643816959994</v>
      </c>
      <c r="BB618" s="236">
        <f t="shared" si="1154"/>
        <v>128.19281489909994</v>
      </c>
      <c r="BC618" s="236">
        <f t="shared" si="1154"/>
        <v>134.08731161279994</v>
      </c>
      <c r="BD618" s="891">
        <f t="shared" si="1154"/>
        <v>140.99510607682492</v>
      </c>
      <c r="BE618" s="226"/>
      <c r="BF618" s="857"/>
      <c r="BG618" s="231"/>
      <c r="BH618" s="231"/>
      <c r="BI618" s="231"/>
      <c r="BJ618" s="231"/>
      <c r="BK618" s="231"/>
      <c r="BL618" s="1307">
        <f>+SUM(U618:X618)</f>
        <v>28.252694376640193</v>
      </c>
      <c r="BM618" s="1307">
        <f>+SUM(Y618:AB618)</f>
        <v>50.489535154331485</v>
      </c>
      <c r="BN618" s="1802">
        <f>+SUM(AC618:AF618)</f>
        <v>86.268000000000001</v>
      </c>
      <c r="BO618" s="1307">
        <f>+SUM(AG618:AJ618)</f>
        <v>121.79999999999998</v>
      </c>
      <c r="BP618" s="1307">
        <f>SUM(AK618:AN618)</f>
        <v>170.71193999999997</v>
      </c>
      <c r="BQ618" s="236">
        <f>SUM(AO618:AR618)</f>
        <v>236.26109779999996</v>
      </c>
      <c r="BR618" s="236">
        <f>SUM(AS618:AV618)</f>
        <v>317.55023007399996</v>
      </c>
      <c r="BS618" s="236">
        <f>SUM(AW618:AZ618)</f>
        <v>414.1354027914598</v>
      </c>
      <c r="BT618" s="236">
        <f>SUM(BA618:BD618)</f>
        <v>523.57167075832467</v>
      </c>
      <c r="BU618" s="236">
        <f>+BU616*BU613</f>
        <v>656.69101685086571</v>
      </c>
      <c r="BV618" s="236">
        <f>+BV616*BV613</f>
        <v>817.08936402987388</v>
      </c>
      <c r="BW618" s="236">
        <f>+BW616*BW613</f>
        <v>1008.4944964427873</v>
      </c>
      <c r="BX618" s="236">
        <f>+BX616*BX613</f>
        <v>1234.6517926908746</v>
      </c>
      <c r="BY618" s="891">
        <f>+BY616*BY613</f>
        <v>1499.1788841170367</v>
      </c>
      <c r="BZ618" s="226"/>
    </row>
    <row r="619" spans="8:78" s="41" customFormat="1" ht="11.25" hidden="1" customHeight="1" outlineLevel="2">
      <c r="H619" s="90"/>
      <c r="I619" s="814" t="s">
        <v>473</v>
      </c>
      <c r="J619" s="231"/>
      <c r="K619" s="231"/>
      <c r="L619" s="231"/>
      <c r="M619" s="231"/>
      <c r="N619" s="231"/>
      <c r="O619" s="231"/>
      <c r="P619" s="231"/>
      <c r="Q619" s="231"/>
      <c r="R619" s="231"/>
      <c r="S619" s="231"/>
      <c r="T619" s="1151"/>
      <c r="U619" s="236"/>
      <c r="V619" s="236"/>
      <c r="W619" s="236"/>
      <c r="X619" s="891"/>
      <c r="Y619" s="976">
        <f t="shared" ref="Y619:AN619" si="1155">+Y618/U618-1</f>
        <v>0.77</v>
      </c>
      <c r="Z619" s="976">
        <f t="shared" si="1155"/>
        <v>0.93312017053024254</v>
      </c>
      <c r="AA619" s="976">
        <f t="shared" si="1155"/>
        <v>0.74358002463754347</v>
      </c>
      <c r="AB619" s="976">
        <f t="shared" si="1155"/>
        <v>0.74000000000000021</v>
      </c>
      <c r="AC619" s="977">
        <f t="shared" si="1155"/>
        <v>0.7</v>
      </c>
      <c r="AD619" s="976">
        <f t="shared" si="1155"/>
        <v>0.8</v>
      </c>
      <c r="AE619" s="976">
        <f t="shared" si="1155"/>
        <v>0.73</v>
      </c>
      <c r="AF619" s="976">
        <f t="shared" si="1155"/>
        <v>0.62929475587703432</v>
      </c>
      <c r="AG619" s="977">
        <f t="shared" si="1155"/>
        <v>0.53711093375897856</v>
      </c>
      <c r="AH619" s="976">
        <f t="shared" si="1155"/>
        <v>0.4534803583735354</v>
      </c>
      <c r="AI619" s="976">
        <f t="shared" si="1155"/>
        <v>0.34903381642512099</v>
      </c>
      <c r="AJ619" s="1130">
        <f t="shared" si="1155"/>
        <v>0.34905660377358472</v>
      </c>
      <c r="AK619" s="976">
        <f t="shared" si="1155"/>
        <v>0.38681204569055039</v>
      </c>
      <c r="AL619" s="976">
        <f t="shared" si="1155"/>
        <v>0.39070649596965379</v>
      </c>
      <c r="AM619" s="976">
        <f t="shared" si="1155"/>
        <v>0.41539838854073419</v>
      </c>
      <c r="AN619" s="1130">
        <f t="shared" si="1155"/>
        <v>0.40999999999999992</v>
      </c>
      <c r="AO619" s="977">
        <f t="shared" ref="AO619:AV619" si="1156">+AO618/AK618-1</f>
        <v>0.39999999999999991</v>
      </c>
      <c r="AP619" s="976">
        <f t="shared" si="1156"/>
        <v>0.3899999999999999</v>
      </c>
      <c r="AQ619" s="976">
        <f t="shared" si="1156"/>
        <v>0.37999999999999989</v>
      </c>
      <c r="AR619" s="1130">
        <f t="shared" si="1156"/>
        <v>0.37000000000000011</v>
      </c>
      <c r="AS619" s="977">
        <f t="shared" si="1156"/>
        <v>0.3600000000000001</v>
      </c>
      <c r="AT619" s="976">
        <f t="shared" si="1156"/>
        <v>0.34999999999999987</v>
      </c>
      <c r="AU619" s="976">
        <f t="shared" si="1156"/>
        <v>0.33999999999999986</v>
      </c>
      <c r="AV619" s="1130">
        <f t="shared" si="1156"/>
        <v>0.32999999999999963</v>
      </c>
      <c r="AW619" s="977">
        <f t="shared" ref="AW619:BD619" si="1157">+AW618/AS618-1</f>
        <v>0.31999999999999962</v>
      </c>
      <c r="AX619" s="976">
        <f t="shared" si="1157"/>
        <v>0.30999999999999983</v>
      </c>
      <c r="AY619" s="976">
        <f t="shared" si="1157"/>
        <v>0.2999999999999996</v>
      </c>
      <c r="AZ619" s="1130">
        <f t="shared" si="1157"/>
        <v>0.28999999999999981</v>
      </c>
      <c r="BA619" s="977">
        <f t="shared" si="1157"/>
        <v>0.2799999999999998</v>
      </c>
      <c r="BB619" s="976">
        <f t="shared" si="1157"/>
        <v>0.27</v>
      </c>
      <c r="BC619" s="976">
        <f t="shared" si="1157"/>
        <v>0.26</v>
      </c>
      <c r="BD619" s="1130">
        <f t="shared" si="1157"/>
        <v>0.25</v>
      </c>
      <c r="BE619" s="226"/>
      <c r="BF619" s="857"/>
      <c r="BG619" s="231"/>
      <c r="BH619" s="231"/>
      <c r="BI619" s="231"/>
      <c r="BJ619" s="231"/>
      <c r="BK619" s="231"/>
      <c r="BL619" s="1307"/>
      <c r="BM619" s="976">
        <f t="shared" ref="BM619:BU619" si="1158">+BM618/BL618-1</f>
        <v>0.7870697385972889</v>
      </c>
      <c r="BN619" s="977">
        <f t="shared" si="1158"/>
        <v>0.70863129827407589</v>
      </c>
      <c r="BO619" s="976">
        <f t="shared" si="1158"/>
        <v>0.41187925998052566</v>
      </c>
      <c r="BP619" s="976">
        <f t="shared" si="1158"/>
        <v>0.40157586206896556</v>
      </c>
      <c r="BQ619" s="976">
        <f t="shared" si="1158"/>
        <v>0.38397523805306188</v>
      </c>
      <c r="BR619" s="976">
        <f t="shared" si="1158"/>
        <v>0.34406482078912948</v>
      </c>
      <c r="BS619" s="976">
        <f t="shared" si="1158"/>
        <v>0.30415714923258674</v>
      </c>
      <c r="BT619" s="976">
        <f>+BT618/BS618-1</f>
        <v>0.26425238516005867</v>
      </c>
      <c r="BU619" s="976">
        <f t="shared" si="1158"/>
        <v>0.25425238516005866</v>
      </c>
      <c r="BV619" s="976">
        <f>+BV618/BU618-1</f>
        <v>0.24425238516005865</v>
      </c>
      <c r="BW619" s="976">
        <f>+BW618/BV618-1</f>
        <v>0.23425238516005864</v>
      </c>
      <c r="BX619" s="976">
        <f>+BX618/BW618-1</f>
        <v>0.22425238516005863</v>
      </c>
      <c r="BY619" s="1130">
        <f>+BY618/BX618-1</f>
        <v>0.21425238516005862</v>
      </c>
      <c r="BZ619" s="226"/>
    </row>
    <row r="620" spans="8:78" s="41" customFormat="1" ht="11.25" hidden="1" customHeight="1" outlineLevel="2">
      <c r="H620" s="90"/>
      <c r="I620" s="814" t="s">
        <v>474</v>
      </c>
      <c r="J620" s="231"/>
      <c r="K620" s="231"/>
      <c r="L620" s="231"/>
      <c r="M620" s="231"/>
      <c r="N620" s="231"/>
      <c r="O620" s="231"/>
      <c r="P620" s="231"/>
      <c r="Q620" s="231"/>
      <c r="R620" s="231"/>
      <c r="S620" s="231"/>
      <c r="T620" s="1151"/>
      <c r="U620" s="236"/>
      <c r="V620" s="236"/>
      <c r="W620" s="236"/>
      <c r="X620" s="891"/>
      <c r="Y620" s="1304">
        <f t="shared" ref="Y620:AN620" si="1159">+Y618-U618</f>
        <v>4.4889797274842138</v>
      </c>
      <c r="Z620" s="1304">
        <f t="shared" si="1159"/>
        <v>5.4475555555555557</v>
      </c>
      <c r="AA620" s="1304">
        <f t="shared" si="1159"/>
        <v>5.7151560693641601</v>
      </c>
      <c r="AB620" s="1304">
        <f t="shared" si="1159"/>
        <v>6.5851494252873586</v>
      </c>
      <c r="AC620" s="1305">
        <f t="shared" si="1159"/>
        <v>7.2231764705882338</v>
      </c>
      <c r="AD620" s="1304">
        <f t="shared" si="1159"/>
        <v>9.0284444444444443</v>
      </c>
      <c r="AE620" s="1304">
        <f t="shared" si="1159"/>
        <v>9.7828439306358366</v>
      </c>
      <c r="AF620" s="1304">
        <f t="shared" si="1159"/>
        <v>9.7439999999999998</v>
      </c>
      <c r="AG620" s="1305">
        <f t="shared" si="1159"/>
        <v>9.4220000000000006</v>
      </c>
      <c r="AH620" s="1304">
        <f t="shared" si="1159"/>
        <v>9.2119999999999997</v>
      </c>
      <c r="AI620" s="1304">
        <f t="shared" si="1159"/>
        <v>8.0920000000000023</v>
      </c>
      <c r="AJ620" s="1306">
        <f t="shared" si="1159"/>
        <v>8.8059999999999974</v>
      </c>
      <c r="AK620" s="1304">
        <f t="shared" si="1159"/>
        <v>10.43</v>
      </c>
      <c r="AL620" s="1304">
        <f t="shared" si="1159"/>
        <v>11.535999999999998</v>
      </c>
      <c r="AM620" s="1304">
        <f t="shared" si="1159"/>
        <v>12.992000000000001</v>
      </c>
      <c r="AN620" s="1306">
        <f t="shared" si="1159"/>
        <v>13.953939999999996</v>
      </c>
      <c r="AO620" s="1305">
        <f t="shared" ref="AO620:AV620" si="1160">+AO618-AK618</f>
        <v>14.957599999999992</v>
      </c>
      <c r="AP620" s="1304">
        <f t="shared" si="1160"/>
        <v>16.014179999999996</v>
      </c>
      <c r="AQ620" s="1304">
        <f t="shared" si="1160"/>
        <v>16.821839999999995</v>
      </c>
      <c r="AR620" s="1306">
        <f t="shared" si="1160"/>
        <v>17.755537799999999</v>
      </c>
      <c r="AS620" s="1305">
        <f t="shared" si="1160"/>
        <v>18.846575999999999</v>
      </c>
      <c r="AT620" s="1304">
        <f t="shared" si="1160"/>
        <v>19.976662999999988</v>
      </c>
      <c r="AU620" s="1304">
        <f t="shared" si="1160"/>
        <v>20.770545599999991</v>
      </c>
      <c r="AV620" s="1306">
        <f t="shared" si="1160"/>
        <v>21.695347673999976</v>
      </c>
      <c r="AW620" s="1305">
        <f t="shared" ref="AW620:BD620" si="1161">+AW618-AS618</f>
        <v>22.783416319999972</v>
      </c>
      <c r="AX620" s="1304">
        <f t="shared" si="1161"/>
        <v>23.886381329999978</v>
      </c>
      <c r="AY620" s="1304">
        <f t="shared" si="1161"/>
        <v>24.558115679999972</v>
      </c>
      <c r="AZ620" s="1306">
        <f t="shared" si="1161"/>
        <v>25.357259387459976</v>
      </c>
      <c r="BA620" s="1305">
        <f t="shared" si="1161"/>
        <v>26.314845849599976</v>
      </c>
      <c r="BB620" s="1304">
        <f t="shared" si="1161"/>
        <v>27.253590569099984</v>
      </c>
      <c r="BC620" s="1304">
        <f t="shared" si="1161"/>
        <v>27.668810332799978</v>
      </c>
      <c r="BD620" s="1306">
        <f t="shared" si="1161"/>
        <v>28.199021215364979</v>
      </c>
      <c r="BE620" s="226"/>
      <c r="BF620" s="857"/>
      <c r="BG620" s="231"/>
      <c r="BH620" s="231"/>
      <c r="BI620" s="231"/>
      <c r="BJ620" s="231"/>
      <c r="BK620" s="231"/>
      <c r="BL620" s="1307"/>
      <c r="BM620" s="1283">
        <f t="shared" ref="BM620:BT620" si="1162">+BM618-BL618</f>
        <v>22.236840777691292</v>
      </c>
      <c r="BN620" s="1310">
        <f t="shared" si="1162"/>
        <v>35.778464845668516</v>
      </c>
      <c r="BO620" s="1283">
        <f t="shared" si="1162"/>
        <v>35.531999999999982</v>
      </c>
      <c r="BP620" s="1283">
        <f t="shared" si="1162"/>
        <v>48.911939999999987</v>
      </c>
      <c r="BQ620" s="1283">
        <f t="shared" si="1162"/>
        <v>65.549157799999989</v>
      </c>
      <c r="BR620" s="1283">
        <f t="shared" si="1162"/>
        <v>81.289132273999996</v>
      </c>
      <c r="BS620" s="1283">
        <f t="shared" si="1162"/>
        <v>96.585172717459841</v>
      </c>
      <c r="BT620" s="1283">
        <f t="shared" si="1162"/>
        <v>109.43626796686488</v>
      </c>
      <c r="BU620" s="1283">
        <f>+BU618-BT618</f>
        <v>133.11934609254104</v>
      </c>
      <c r="BV620" s="1283">
        <f>+BV618-BU618</f>
        <v>160.39834717900817</v>
      </c>
      <c r="BW620" s="1283">
        <f>+BW618-BV618</f>
        <v>191.40513241291342</v>
      </c>
      <c r="BX620" s="1283">
        <f>+BX618-BW618</f>
        <v>226.15729624808728</v>
      </c>
      <c r="BY620" s="1390">
        <f>+BY618-BX618</f>
        <v>264.52709142616209</v>
      </c>
      <c r="BZ620" s="226"/>
    </row>
    <row r="621" spans="8:78" s="41" customFormat="1" ht="11.25" hidden="1" customHeight="1" outlineLevel="2">
      <c r="H621" s="90"/>
      <c r="I621" s="814"/>
      <c r="J621" s="231"/>
      <c r="K621" s="231"/>
      <c r="L621" s="231"/>
      <c r="M621" s="231"/>
      <c r="N621" s="231"/>
      <c r="O621" s="231"/>
      <c r="P621" s="231"/>
      <c r="Q621" s="231"/>
      <c r="R621" s="231"/>
      <c r="S621" s="231"/>
      <c r="T621" s="1151"/>
      <c r="U621" s="236"/>
      <c r="V621" s="236"/>
      <c r="W621" s="236"/>
      <c r="X621" s="891"/>
      <c r="Y621" s="1304"/>
      <c r="Z621" s="1304"/>
      <c r="AA621" s="1304"/>
      <c r="AB621" s="1304"/>
      <c r="AC621" s="1305"/>
      <c r="AD621" s="1304"/>
      <c r="AE621" s="1304"/>
      <c r="AF621" s="1304"/>
      <c r="AG621" s="1305"/>
      <c r="AH621" s="1304"/>
      <c r="AI621" s="1304"/>
      <c r="AJ621" s="1306"/>
      <c r="AK621" s="1304"/>
      <c r="AL621" s="1304"/>
      <c r="AM621" s="1304"/>
      <c r="AN621" s="1306"/>
      <c r="AO621" s="1305"/>
      <c r="AP621" s="1304"/>
      <c r="AQ621" s="1304"/>
      <c r="AR621" s="1306"/>
      <c r="AS621" s="1305"/>
      <c r="AT621" s="1304"/>
      <c r="AU621" s="1304"/>
      <c r="AV621" s="1306"/>
      <c r="AW621" s="1305"/>
      <c r="AX621" s="1304"/>
      <c r="AY621" s="1304"/>
      <c r="AZ621" s="1306"/>
      <c r="BA621" s="1305"/>
      <c r="BB621" s="1304"/>
      <c r="BC621" s="1304"/>
      <c r="BD621" s="1306"/>
      <c r="BE621" s="226"/>
      <c r="BF621" s="857"/>
      <c r="BG621" s="231"/>
      <c r="BH621" s="231"/>
      <c r="BI621" s="231"/>
      <c r="BJ621" s="231"/>
      <c r="BK621" s="231"/>
      <c r="BL621" s="1307"/>
      <c r="BM621" s="1283"/>
      <c r="BN621" s="1310"/>
      <c r="BO621" s="1283"/>
      <c r="BP621" s="1283"/>
      <c r="BQ621" s="1283"/>
      <c r="BR621" s="1283"/>
      <c r="BS621" s="1283"/>
      <c r="BT621" s="1283"/>
      <c r="BU621" s="1283"/>
      <c r="BV621" s="1283"/>
      <c r="BW621" s="1283"/>
      <c r="BX621" s="1283"/>
      <c r="BY621" s="1390"/>
      <c r="BZ621" s="226"/>
    </row>
    <row r="622" spans="8:78" ht="11.25" hidden="1" customHeight="1" outlineLevel="2">
      <c r="I622" s="814" t="s">
        <v>376</v>
      </c>
      <c r="J622" s="106"/>
      <c r="K622" s="106"/>
      <c r="L622" s="106"/>
      <c r="M622" s="106"/>
      <c r="N622" s="106"/>
      <c r="O622" s="106"/>
      <c r="P622" s="106"/>
      <c r="Q622" s="106"/>
      <c r="R622" s="106"/>
      <c r="S622" s="106"/>
      <c r="T622" s="830"/>
      <c r="U622" s="955">
        <f>Y622/(1+Y623)</f>
        <v>2.0799785292538915</v>
      </c>
      <c r="V622" s="961">
        <f>524/1000</f>
        <v>0.52400000000000002</v>
      </c>
      <c r="W622" s="961">
        <f>521/1000</f>
        <v>0.52100000000000002</v>
      </c>
      <c r="X622" s="980">
        <f>AB622/(1+AB623)</f>
        <v>0.56740740740740736</v>
      </c>
      <c r="Y622" s="955">
        <f>AC622/(1+AC623)</f>
        <v>2.8703703703703702</v>
      </c>
      <c r="Z622" s="955">
        <f>AD622/(1+AD623)</f>
        <v>0.6585185185185185</v>
      </c>
      <c r="AA622" s="955">
        <f>AE622/(1+AE623)</f>
        <v>0.71716417910447749</v>
      </c>
      <c r="AB622" s="970">
        <f>766/1000</f>
        <v>0.76600000000000001</v>
      </c>
      <c r="AC622" s="971">
        <f>3875/1000</f>
        <v>3.875</v>
      </c>
      <c r="AD622" s="970">
        <f>889/1000</f>
        <v>0.88900000000000001</v>
      </c>
      <c r="AE622" s="961">
        <f>961/1000</f>
        <v>0.96099999999999997</v>
      </c>
      <c r="AF622" s="961">
        <f>1026/1000</f>
        <v>1.026</v>
      </c>
      <c r="AG622" s="971">
        <v>1.1040000000000001</v>
      </c>
      <c r="AH622" s="961">
        <v>1.1839999999999999</v>
      </c>
      <c r="AI622" s="961">
        <v>1.276</v>
      </c>
      <c r="AJ622" s="980">
        <v>1.353</v>
      </c>
      <c r="AK622" s="961">
        <v>1.4410000000000001</v>
      </c>
      <c r="AL622" s="961">
        <v>1.534</v>
      </c>
      <c r="AM622" s="961">
        <v>1.629</v>
      </c>
      <c r="AN622" s="830"/>
      <c r="AO622" s="814"/>
      <c r="AP622" s="106"/>
      <c r="AQ622" s="106"/>
      <c r="AR622" s="830"/>
      <c r="AS622" s="814"/>
      <c r="AT622" s="106"/>
      <c r="AU622" s="106"/>
      <c r="AV622" s="830"/>
      <c r="AW622" s="814"/>
      <c r="AX622" s="106"/>
      <c r="AY622" s="106"/>
      <c r="AZ622" s="830"/>
      <c r="BA622" s="814"/>
      <c r="BB622" s="106"/>
      <c r="BC622" s="106"/>
      <c r="BD622" s="830"/>
      <c r="BE622" s="83"/>
      <c r="BF622" s="814"/>
      <c r="BG622" s="106"/>
      <c r="BH622" s="106"/>
      <c r="BI622" s="106"/>
      <c r="BJ622" s="106"/>
      <c r="BK622" s="286">
        <f>BL622/(1+BL623)</f>
        <v>0.39507042253521135</v>
      </c>
      <c r="BL622" s="970">
        <f>561/1000</f>
        <v>0.56100000000000005</v>
      </c>
      <c r="BM622" s="286"/>
      <c r="BN622" s="1801"/>
      <c r="BO622" s="320"/>
      <c r="BP622" s="320"/>
      <c r="BQ622" s="320"/>
      <c r="BR622" s="320"/>
      <c r="BS622" s="320"/>
      <c r="BT622" s="320"/>
      <c r="BU622" s="320"/>
      <c r="BV622" s="320"/>
      <c r="BW622" s="320"/>
      <c r="BX622" s="320"/>
      <c r="BY622" s="1122"/>
    </row>
    <row r="623" spans="8:78" ht="11.25" hidden="1" customHeight="1" outlineLevel="2">
      <c r="I623" s="770" t="s">
        <v>132</v>
      </c>
      <c r="J623" s="106"/>
      <c r="K623" s="106"/>
      <c r="L623" s="106"/>
      <c r="M623" s="106"/>
      <c r="N623" s="106"/>
      <c r="O623" s="106"/>
      <c r="P623" s="106"/>
      <c r="Q623" s="106"/>
      <c r="R623" s="106"/>
      <c r="S623" s="106"/>
      <c r="T623" s="830"/>
      <c r="U623" s="958"/>
      <c r="V623" s="972">
        <v>0.57999999999999996</v>
      </c>
      <c r="W623" s="964">
        <v>0.45</v>
      </c>
      <c r="X623" s="830"/>
      <c r="Y623" s="978">
        <v>0.38</v>
      </c>
      <c r="Z623" s="979">
        <v>0.36</v>
      </c>
      <c r="AA623" s="979">
        <v>0.35</v>
      </c>
      <c r="AB623" s="972">
        <v>0.35</v>
      </c>
      <c r="AC623" s="973">
        <v>0.35</v>
      </c>
      <c r="AD623" s="972">
        <v>0.35</v>
      </c>
      <c r="AE623" s="964">
        <v>0.34</v>
      </c>
      <c r="AF623" s="425">
        <f>AF622/AB622-1</f>
        <v>0.33942558746736284</v>
      </c>
      <c r="AG623" s="973">
        <v>0.34</v>
      </c>
      <c r="AH623" s="964">
        <v>0.33</v>
      </c>
      <c r="AI623" s="964">
        <v>0.34</v>
      </c>
      <c r="AJ623" s="2491">
        <f>AJ622/AF622-1</f>
        <v>0.31871345029239762</v>
      </c>
      <c r="AK623" s="964">
        <v>0.31</v>
      </c>
      <c r="AL623" s="964">
        <v>0.3</v>
      </c>
      <c r="AM623" s="964">
        <v>0.28000000000000003</v>
      </c>
      <c r="AN623" s="830"/>
      <c r="AO623" s="814"/>
      <c r="AP623" s="106"/>
      <c r="AQ623" s="106"/>
      <c r="AR623" s="830"/>
      <c r="AS623" s="814"/>
      <c r="AT623" s="106"/>
      <c r="AU623" s="106"/>
      <c r="AV623" s="830"/>
      <c r="AW623" s="814"/>
      <c r="AX623" s="106"/>
      <c r="AY623" s="106"/>
      <c r="AZ623" s="830"/>
      <c r="BA623" s="814"/>
      <c r="BB623" s="106"/>
      <c r="BC623" s="106"/>
      <c r="BD623" s="830"/>
      <c r="BE623" s="83"/>
      <c r="BF623" s="814"/>
      <c r="BG623" s="106"/>
      <c r="BH623" s="106"/>
      <c r="BI623" s="106"/>
      <c r="BJ623" s="106"/>
      <c r="BK623" s="106"/>
      <c r="BL623" s="979">
        <v>0.42</v>
      </c>
      <c r="BM623" s="404"/>
      <c r="BN623" s="1519"/>
      <c r="BO623" s="404"/>
      <c r="BP623" s="1123"/>
      <c r="BQ623" s="1123"/>
      <c r="BR623" s="1123"/>
      <c r="BS623" s="1123"/>
      <c r="BT623" s="1123"/>
      <c r="BU623" s="1123"/>
      <c r="BV623" s="1123"/>
      <c r="BW623" s="1123"/>
      <c r="BX623" s="1123"/>
      <c r="BY623" s="1124"/>
    </row>
    <row r="624" spans="8:78" ht="11.25" hidden="1" customHeight="1" outlineLevel="2">
      <c r="I624" s="770"/>
      <c r="J624" s="106"/>
      <c r="K624" s="106"/>
      <c r="L624" s="106"/>
      <c r="M624" s="106"/>
      <c r="N624" s="106"/>
      <c r="O624" s="106"/>
      <c r="P624" s="106"/>
      <c r="Q624" s="106"/>
      <c r="R624" s="106"/>
      <c r="S624" s="106"/>
      <c r="T624" s="830"/>
      <c r="U624" s="958"/>
      <c r="V624" s="972"/>
      <c r="W624" s="964"/>
      <c r="X624" s="830"/>
      <c r="Y624" s="978"/>
      <c r="Z624" s="979"/>
      <c r="AA624" s="979"/>
      <c r="AB624" s="972"/>
      <c r="AC624" s="973"/>
      <c r="AD624" s="972"/>
      <c r="AE624" s="964"/>
      <c r="AF624" s="106"/>
      <c r="AG624" s="814"/>
      <c r="AH624" s="106"/>
      <c r="AI624" s="106"/>
      <c r="AJ624" s="830"/>
      <c r="AK624" s="106"/>
      <c r="AM624" s="106"/>
      <c r="AN624" s="830"/>
      <c r="AO624" s="814"/>
      <c r="AP624" s="106"/>
      <c r="AQ624" s="106"/>
      <c r="AR624" s="830"/>
      <c r="AS624" s="814"/>
      <c r="AT624" s="106"/>
      <c r="AU624" s="106"/>
      <c r="AV624" s="830"/>
      <c r="AW624" s="814"/>
      <c r="AX624" s="106"/>
      <c r="AY624" s="106"/>
      <c r="AZ624" s="830"/>
      <c r="BA624" s="814"/>
      <c r="BB624" s="106"/>
      <c r="BC624" s="106"/>
      <c r="BD624" s="830"/>
      <c r="BE624" s="83"/>
      <c r="BF624" s="814"/>
      <c r="BG624" s="106"/>
      <c r="BH624" s="106"/>
      <c r="BI624" s="106"/>
      <c r="BJ624" s="106"/>
      <c r="BK624" s="106"/>
      <c r="BL624" s="979"/>
      <c r="BM624" s="404"/>
      <c r="BN624" s="1519"/>
      <c r="BO624" s="404"/>
      <c r="BP624" s="1123"/>
      <c r="BQ624" s="1123"/>
      <c r="BR624" s="1123"/>
      <c r="BS624" s="1123"/>
      <c r="BT624" s="1123"/>
      <c r="BU624" s="1123"/>
      <c r="BV624" s="1123"/>
      <c r="BW624" s="1123"/>
      <c r="BX624" s="1123"/>
      <c r="BY624" s="1124"/>
    </row>
    <row r="625" spans="8:78" ht="11.25" hidden="1" customHeight="1" outlineLevel="2">
      <c r="I625" s="771" t="s">
        <v>375</v>
      </c>
      <c r="J625" s="339"/>
      <c r="K625" s="339"/>
      <c r="L625" s="339"/>
      <c r="M625" s="339"/>
      <c r="N625" s="339"/>
      <c r="O625" s="339"/>
      <c r="P625" s="339"/>
      <c r="Q625" s="339"/>
      <c r="R625" s="339"/>
      <c r="S625" s="339"/>
      <c r="T625" s="758"/>
      <c r="U625" s="757"/>
      <c r="V625" s="339"/>
      <c r="W625" s="339"/>
      <c r="X625" s="758"/>
      <c r="Y625" s="757"/>
      <c r="Z625" s="339"/>
      <c r="AA625" s="339"/>
      <c r="AB625" s="339"/>
      <c r="AC625" s="757"/>
      <c r="AD625" s="339"/>
      <c r="AE625" s="383"/>
      <c r="AF625" s="339"/>
      <c r="AG625" s="757"/>
      <c r="AH625" s="339"/>
      <c r="AI625" s="339"/>
      <c r="AJ625" s="758"/>
      <c r="AK625" s="757"/>
      <c r="AL625" s="339"/>
      <c r="AM625" s="339"/>
      <c r="AN625" s="758"/>
      <c r="AO625" s="1646"/>
      <c r="AP625" s="339"/>
      <c r="AQ625" s="339"/>
      <c r="AR625" s="758"/>
      <c r="AS625" s="1646"/>
      <c r="AT625" s="339"/>
      <c r="AU625" s="339"/>
      <c r="AV625" s="758"/>
      <c r="AW625" s="1646"/>
      <c r="AX625" s="339"/>
      <c r="AY625" s="339"/>
      <c r="AZ625" s="758"/>
      <c r="BA625" s="1646"/>
      <c r="BB625" s="339"/>
      <c r="BC625" s="339"/>
      <c r="BD625" s="758"/>
      <c r="BE625" s="277"/>
      <c r="BF625" s="757"/>
      <c r="BG625" s="339"/>
      <c r="BH625" s="339"/>
      <c r="BI625" s="339"/>
      <c r="BJ625" s="339"/>
      <c r="BK625" s="339"/>
      <c r="BL625" s="339"/>
      <c r="BM625" s="339"/>
      <c r="BN625" s="1646"/>
      <c r="BO625" s="339"/>
      <c r="BP625" s="339"/>
      <c r="BQ625" s="339"/>
      <c r="BR625" s="339"/>
      <c r="BS625" s="339"/>
      <c r="BT625" s="339"/>
      <c r="BU625" s="339"/>
      <c r="BV625" s="339"/>
      <c r="BW625" s="339"/>
      <c r="BX625" s="339"/>
      <c r="BY625" s="758"/>
    </row>
    <row r="626" spans="8:78" ht="11.25" hidden="1" customHeight="1" outlineLevel="2">
      <c r="I626" s="814"/>
      <c r="J626" s="106"/>
      <c r="K626" s="106"/>
      <c r="L626" s="106"/>
      <c r="M626" s="106"/>
      <c r="N626" s="106"/>
      <c r="O626" s="106"/>
      <c r="P626" s="106"/>
      <c r="Q626" s="106"/>
      <c r="R626" s="106"/>
      <c r="S626" s="106"/>
      <c r="T626" s="830"/>
      <c r="U626" s="814"/>
      <c r="V626" s="106"/>
      <c r="W626" s="106"/>
      <c r="X626" s="830"/>
      <c r="Y626" s="814"/>
      <c r="Z626" s="106"/>
      <c r="AA626" s="106"/>
      <c r="AB626" s="106"/>
      <c r="AC626" s="814"/>
      <c r="AD626" s="106"/>
      <c r="AE626" s="957"/>
      <c r="AF626" s="106"/>
      <c r="AG626" s="814"/>
      <c r="AH626" s="106"/>
      <c r="AI626" s="106"/>
      <c r="AJ626" s="830"/>
      <c r="AK626" s="814"/>
      <c r="AM626" s="106"/>
      <c r="AN626" s="830"/>
      <c r="AO626" s="814"/>
      <c r="AP626" s="106"/>
      <c r="AQ626" s="106"/>
      <c r="AR626" s="830"/>
      <c r="AS626" s="814"/>
      <c r="AT626" s="106"/>
      <c r="AU626" s="106"/>
      <c r="AV626" s="830"/>
      <c r="AW626" s="814"/>
      <c r="AX626" s="106"/>
      <c r="AY626" s="106"/>
      <c r="AZ626" s="830"/>
      <c r="BA626" s="814"/>
      <c r="BB626" s="106"/>
      <c r="BC626" s="106"/>
      <c r="BD626" s="830"/>
      <c r="BE626" s="83"/>
      <c r="BF626" s="814"/>
      <c r="BG626" s="106"/>
      <c r="BH626" s="106"/>
      <c r="BI626" s="106"/>
      <c r="BJ626" s="106"/>
      <c r="BK626" s="106"/>
      <c r="BL626" s="106"/>
      <c r="BN626" s="814"/>
      <c r="BP626" s="106"/>
      <c r="BQ626" s="106"/>
      <c r="BR626" s="106"/>
      <c r="BS626" s="106"/>
      <c r="BT626" s="106"/>
      <c r="BV626" s="106"/>
      <c r="BW626" s="106"/>
      <c r="BX626" s="106"/>
      <c r="BY626" s="830"/>
    </row>
    <row r="627" spans="8:78" ht="11.25" hidden="1" customHeight="1" outlineLevel="2">
      <c r="I627" s="783" t="s">
        <v>378</v>
      </c>
      <c r="J627" s="106"/>
      <c r="K627" s="106"/>
      <c r="L627" s="106"/>
      <c r="M627" s="106"/>
      <c r="N627" s="106"/>
      <c r="O627" s="106"/>
      <c r="P627" s="106"/>
      <c r="Q627" s="106"/>
      <c r="R627" s="106"/>
      <c r="S627" s="106"/>
      <c r="T627" s="830"/>
      <c r="U627" s="955">
        <f>Y627/(1+Y628)</f>
        <v>6.8022803835190465E-2</v>
      </c>
      <c r="V627" s="955">
        <f>68/1000</f>
        <v>6.8000000000000005E-2</v>
      </c>
      <c r="W627" s="955">
        <f>107/1000</f>
        <v>0.107</v>
      </c>
      <c r="X627" s="975">
        <f>AB627/(1+AB628)</f>
        <v>0.13134328358208958</v>
      </c>
      <c r="Y627" s="955">
        <f>AC627/(1+AC628)</f>
        <v>0.15441176470588236</v>
      </c>
      <c r="Z627" s="955">
        <f>AD627/(1+AD628)</f>
        <v>0.16981981981981983</v>
      </c>
      <c r="AA627" s="955">
        <f>AE627/(1+AE628)</f>
        <v>0.21299999999999999</v>
      </c>
      <c r="AB627" s="389">
        <f>264/1000</f>
        <v>0.26400000000000001</v>
      </c>
      <c r="AC627" s="959">
        <f>315/1000</f>
        <v>0.315</v>
      </c>
      <c r="AD627" s="960">
        <f>377/1000</f>
        <v>0.377</v>
      </c>
      <c r="AE627" s="961">
        <f>426/1000</f>
        <v>0.42599999999999999</v>
      </c>
      <c r="AF627" s="961">
        <v>0.47</v>
      </c>
      <c r="AG627" s="1020">
        <v>0.50600000000000001</v>
      </c>
      <c r="AH627" s="961">
        <v>0.54600000000000004</v>
      </c>
      <c r="AI627" s="961">
        <v>0.57899999999999996</v>
      </c>
      <c r="AJ627" s="961">
        <v>0.65500000000000003</v>
      </c>
      <c r="AK627" s="1019">
        <v>0.72899999999999998</v>
      </c>
      <c r="AL627" s="961">
        <v>0.76900000000000002</v>
      </c>
      <c r="AM627" s="961">
        <v>0.84199999999999997</v>
      </c>
      <c r="AN627" s="975">
        <f>AJ627*(1+AN628)</f>
        <v>0.94320000000000004</v>
      </c>
      <c r="AO627" s="1020">
        <f>AK627*(1+AO628)</f>
        <v>1.04247</v>
      </c>
      <c r="AP627" s="955">
        <f>AL627*(1+AP628)</f>
        <v>1.09198</v>
      </c>
      <c r="AQ627" s="955">
        <f>AM627*(1+AQ628)</f>
        <v>1.1872199999999999</v>
      </c>
      <c r="AR627" s="975">
        <f>AN627*(1+AR628)</f>
        <v>1.3204799999999999</v>
      </c>
      <c r="AS627" s="1020">
        <f t="shared" ref="AS627:BD627" si="1163">AO627*(1+AS628)</f>
        <v>1.4490333</v>
      </c>
      <c r="AT627" s="955">
        <f t="shared" si="1163"/>
        <v>1.5069323999999997</v>
      </c>
      <c r="AU627" s="955">
        <f t="shared" si="1163"/>
        <v>1.6264913999999997</v>
      </c>
      <c r="AV627" s="975">
        <f t="shared" si="1163"/>
        <v>1.7958527999999996</v>
      </c>
      <c r="AW627" s="1020">
        <f t="shared" si="1163"/>
        <v>1.9561949549999997</v>
      </c>
      <c r="AX627" s="955">
        <f t="shared" si="1163"/>
        <v>2.0192894159999994</v>
      </c>
      <c r="AY627" s="955">
        <f t="shared" si="1163"/>
        <v>2.1632335619999994</v>
      </c>
      <c r="AZ627" s="975">
        <f t="shared" si="1163"/>
        <v>2.3705256959999992</v>
      </c>
      <c r="BA627" s="1020">
        <f t="shared" si="1163"/>
        <v>2.5626153910499991</v>
      </c>
      <c r="BB627" s="955">
        <f t="shared" si="1163"/>
        <v>2.625076240799999</v>
      </c>
      <c r="BC627" s="955">
        <f t="shared" si="1163"/>
        <v>2.790571294979999</v>
      </c>
      <c r="BD627" s="975">
        <f t="shared" si="1163"/>
        <v>3.0342728908799983</v>
      </c>
      <c r="BE627" s="955"/>
      <c r="BF627" s="814"/>
      <c r="BG627" s="106"/>
      <c r="BH627" s="106"/>
      <c r="BI627" s="106"/>
      <c r="BJ627" s="106"/>
      <c r="BK627" s="286">
        <f>BL627/(1+BL628)</f>
        <v>0.14332129963898918</v>
      </c>
      <c r="BL627" s="970">
        <f>397/1000</f>
        <v>0.39700000000000002</v>
      </c>
      <c r="BM627" s="286">
        <f>SUM(Y627:AB627)</f>
        <v>0.8012315845257022</v>
      </c>
      <c r="BN627" s="1801">
        <f>SUM(AC627:AF627)</f>
        <v>1.5879999999999999</v>
      </c>
      <c r="BO627" s="320">
        <f>SUM(AG627:AJ627)</f>
        <v>2.286</v>
      </c>
      <c r="BP627" s="320">
        <f>SUM(AK627:AN627)</f>
        <v>3.2831999999999999</v>
      </c>
      <c r="BQ627" s="320">
        <f>SUM(AO627:AR627)</f>
        <v>4.64215</v>
      </c>
      <c r="BR627" s="320">
        <f>SUM(AS627:AV627)</f>
        <v>6.3783098999999988</v>
      </c>
      <c r="BS627" s="320">
        <f>SUM(AW627:AZ627)</f>
        <v>8.5092436289999984</v>
      </c>
      <c r="BT627" s="320">
        <f>SUM(BA627:BD627)</f>
        <v>11.012535817709995</v>
      </c>
      <c r="BU627" s="320">
        <f>BT627*(1+BU628)</f>
        <v>14.142133764247138</v>
      </c>
      <c r="BV627" s="320">
        <f>BU627*(1+BV628)</f>
        <v>18.019695294934163</v>
      </c>
      <c r="BW627" s="320">
        <f>BV627*(1+BW628)</f>
        <v>22.780229241234547</v>
      </c>
      <c r="BX627" s="320">
        <f>BW627*(1+BX628)</f>
        <v>28.57062275249314</v>
      </c>
      <c r="BY627" s="1122">
        <f>BX627*(1+BY628)</f>
        <v>35.547141450220444</v>
      </c>
    </row>
    <row r="628" spans="8:78" ht="11.25" hidden="1" customHeight="1" outlineLevel="2">
      <c r="I628" s="770" t="s">
        <v>132</v>
      </c>
      <c r="J628" s="106"/>
      <c r="K628" s="106"/>
      <c r="L628" s="106"/>
      <c r="M628" s="106"/>
      <c r="N628" s="106"/>
      <c r="O628" s="106"/>
      <c r="P628" s="106"/>
      <c r="Q628" s="106"/>
      <c r="R628" s="106"/>
      <c r="S628" s="106"/>
      <c r="T628" s="830"/>
      <c r="U628" s="956"/>
      <c r="V628" s="956">
        <v>1.48</v>
      </c>
      <c r="W628" s="425">
        <v>1.91</v>
      </c>
      <c r="X628" s="253"/>
      <c r="Y628" s="956">
        <v>1.27</v>
      </c>
      <c r="Z628" s="956">
        <v>0.87</v>
      </c>
      <c r="AA628" s="425">
        <v>0.99</v>
      </c>
      <c r="AB628" s="962">
        <v>1.01</v>
      </c>
      <c r="AC628" s="963">
        <v>1.04</v>
      </c>
      <c r="AD628" s="962">
        <v>1.22</v>
      </c>
      <c r="AE628" s="964">
        <v>1</v>
      </c>
      <c r="AF628" s="964">
        <v>0.78</v>
      </c>
      <c r="AG628" s="1001">
        <f>AG627/AC627-1</f>
        <v>0.60634920634920642</v>
      </c>
      <c r="AH628" s="964">
        <v>0.45</v>
      </c>
      <c r="AI628" s="964">
        <v>0.36</v>
      </c>
      <c r="AJ628" s="956">
        <f>AJ627/AF627-1</f>
        <v>0.39361702127659592</v>
      </c>
      <c r="AK628" s="2413">
        <v>0.44</v>
      </c>
      <c r="AL628" s="964">
        <v>0.41</v>
      </c>
      <c r="AM628" s="964">
        <v>0.45</v>
      </c>
      <c r="AN628" s="1117">
        <f t="shared" ref="AN628:BD628" si="1164">+AM628-1%</f>
        <v>0.44</v>
      </c>
      <c r="AO628" s="1226">
        <f>+AN628-1%</f>
        <v>0.43</v>
      </c>
      <c r="AP628" s="1118">
        <f t="shared" si="1164"/>
        <v>0.42</v>
      </c>
      <c r="AQ628" s="1118">
        <f t="shared" si="1164"/>
        <v>0.41</v>
      </c>
      <c r="AR628" s="1117">
        <f t="shared" si="1164"/>
        <v>0.39999999999999997</v>
      </c>
      <c r="AS628" s="1226">
        <f>+AR628-1%</f>
        <v>0.38999999999999996</v>
      </c>
      <c r="AT628" s="1118">
        <f t="shared" si="1164"/>
        <v>0.37999999999999995</v>
      </c>
      <c r="AU628" s="1118">
        <f t="shared" si="1164"/>
        <v>0.36999999999999994</v>
      </c>
      <c r="AV628" s="1117">
        <f t="shared" si="1164"/>
        <v>0.35999999999999993</v>
      </c>
      <c r="AW628" s="1226">
        <f>+AV628-1%</f>
        <v>0.34999999999999992</v>
      </c>
      <c r="AX628" s="1118">
        <f t="shared" si="1164"/>
        <v>0.33999999999999991</v>
      </c>
      <c r="AY628" s="1118">
        <f t="shared" si="1164"/>
        <v>0.3299999999999999</v>
      </c>
      <c r="AZ628" s="1117">
        <f t="shared" si="1164"/>
        <v>0.3199999999999999</v>
      </c>
      <c r="BA628" s="1226">
        <f>+AZ628-1%</f>
        <v>0.30999999999999989</v>
      </c>
      <c r="BB628" s="1118">
        <f t="shared" si="1164"/>
        <v>0.29999999999999988</v>
      </c>
      <c r="BC628" s="1118">
        <f t="shared" si="1164"/>
        <v>0.28999999999999987</v>
      </c>
      <c r="BD628" s="1117">
        <f t="shared" si="1164"/>
        <v>0.27999999999999986</v>
      </c>
      <c r="BE628" s="964"/>
      <c r="BF628" s="814"/>
      <c r="BG628" s="106"/>
      <c r="BH628" s="106"/>
      <c r="BI628" s="106"/>
      <c r="BJ628" s="106"/>
      <c r="BK628" s="106"/>
      <c r="BL628" s="979">
        <v>1.77</v>
      </c>
      <c r="BM628" s="404">
        <f t="shared" ref="BM628:BT628" si="1165">BM627/BL627-1</f>
        <v>1.0182155781503832</v>
      </c>
      <c r="BN628" s="1519">
        <f t="shared" si="1165"/>
        <v>0.98194882811569872</v>
      </c>
      <c r="BO628" s="404">
        <f t="shared" si="1165"/>
        <v>0.43954659949622177</v>
      </c>
      <c r="BP628" s="404">
        <f t="shared" si="1165"/>
        <v>0.43622047244094486</v>
      </c>
      <c r="BQ628" s="404">
        <f t="shared" si="1165"/>
        <v>0.41391020955165692</v>
      </c>
      <c r="BR628" s="404">
        <f t="shared" si="1165"/>
        <v>0.37399909524681418</v>
      </c>
      <c r="BS628" s="404">
        <f t="shared" si="1165"/>
        <v>0.33409065448513253</v>
      </c>
      <c r="BT628" s="404">
        <f t="shared" si="1165"/>
        <v>0.2941850413330076</v>
      </c>
      <c r="BU628" s="1120">
        <f>+BT628-1%</f>
        <v>0.28418504133300759</v>
      </c>
      <c r="BV628" s="1120">
        <f>+BU628-1%</f>
        <v>0.27418504133300758</v>
      </c>
      <c r="BW628" s="1120">
        <f>+BV628-1%</f>
        <v>0.26418504133300758</v>
      </c>
      <c r="BX628" s="1120">
        <f>+BW628-1%</f>
        <v>0.25418504133300757</v>
      </c>
      <c r="BY628" s="1121">
        <f>+BX628-1%</f>
        <v>0.24418504133300756</v>
      </c>
    </row>
    <row r="629" spans="8:78" ht="11.25" hidden="1" customHeight="1" outlineLevel="2">
      <c r="I629" s="785"/>
      <c r="J629" s="106"/>
      <c r="K629" s="106"/>
      <c r="L629" s="106"/>
      <c r="M629" s="106"/>
      <c r="N629" s="106"/>
      <c r="O629" s="106"/>
      <c r="P629" s="106"/>
      <c r="Q629" s="106"/>
      <c r="R629" s="106"/>
      <c r="S629" s="106"/>
      <c r="T629" s="830"/>
      <c r="U629" s="379"/>
      <c r="V629" s="379"/>
      <c r="W629" s="955"/>
      <c r="X629" s="821"/>
      <c r="Y629" s="379"/>
      <c r="Z629" s="379"/>
      <c r="AA629" s="955"/>
      <c r="AB629" s="965"/>
      <c r="AC629" s="966"/>
      <c r="AD629" s="965"/>
      <c r="AE629" s="961"/>
      <c r="AF629" s="106"/>
      <c r="AG629" s="814"/>
      <c r="AH629" s="106"/>
      <c r="AI629" s="106"/>
      <c r="AJ629" s="106"/>
      <c r="AK629" s="814"/>
      <c r="AM629" s="106"/>
      <c r="AN629" s="830"/>
      <c r="AO629" s="814"/>
      <c r="AP629" s="106"/>
      <c r="AQ629" s="106"/>
      <c r="AR629" s="830"/>
      <c r="AS629" s="814"/>
      <c r="AT629" s="106"/>
      <c r="AU629" s="106"/>
      <c r="AV629" s="830"/>
      <c r="AW629" s="814"/>
      <c r="AX629" s="106"/>
      <c r="AY629" s="106"/>
      <c r="AZ629" s="830"/>
      <c r="BA629" s="814"/>
      <c r="BB629" s="106"/>
      <c r="BC629" s="106"/>
      <c r="BD629" s="830"/>
      <c r="BE629" s="83"/>
      <c r="BF629" s="814"/>
      <c r="BG629" s="106"/>
      <c r="BH629" s="106"/>
      <c r="BI629" s="106"/>
      <c r="BJ629" s="106"/>
      <c r="BK629" s="106"/>
      <c r="BL629" s="967"/>
      <c r="BN629" s="814"/>
      <c r="BP629" s="106"/>
      <c r="BQ629" s="106"/>
      <c r="BR629" s="106"/>
      <c r="BS629" s="106"/>
      <c r="BT629" s="106"/>
      <c r="BV629" s="106"/>
      <c r="BW629" s="106"/>
      <c r="BX629" s="106"/>
      <c r="BY629" s="830"/>
    </row>
    <row r="630" spans="8:78" ht="11.25" hidden="1" customHeight="1" outlineLevel="2">
      <c r="I630" s="814" t="s">
        <v>372</v>
      </c>
      <c r="J630" s="106"/>
      <c r="K630" s="106"/>
      <c r="L630" s="106"/>
      <c r="M630" s="106"/>
      <c r="N630" s="106"/>
      <c r="O630" s="106"/>
      <c r="P630" s="106"/>
      <c r="Q630" s="106"/>
      <c r="R630" s="106"/>
      <c r="S630" s="106"/>
      <c r="T630" s="974">
        <v>18</v>
      </c>
      <c r="U630" s="967">
        <v>18</v>
      </c>
      <c r="V630" s="967">
        <v>18</v>
      </c>
      <c r="W630" s="969">
        <v>18</v>
      </c>
      <c r="X630" s="974">
        <v>18</v>
      </c>
      <c r="Y630" s="967">
        <v>18</v>
      </c>
      <c r="Z630" s="967">
        <v>18</v>
      </c>
      <c r="AA630" s="969">
        <v>18</v>
      </c>
      <c r="AB630" s="967">
        <v>18</v>
      </c>
      <c r="AC630" s="968">
        <f>18</f>
        <v>18</v>
      </c>
      <c r="AD630" s="967">
        <v>18</v>
      </c>
      <c r="AE630" s="969">
        <v>18</v>
      </c>
      <c r="AF630" s="969">
        <v>18</v>
      </c>
      <c r="AG630" s="1116">
        <v>18</v>
      </c>
      <c r="AH630" s="969">
        <v>18</v>
      </c>
      <c r="AI630" s="969">
        <v>18</v>
      </c>
      <c r="AJ630" s="969">
        <v>18</v>
      </c>
      <c r="AK630" s="1116">
        <v>18</v>
      </c>
      <c r="AL630" s="969">
        <v>18</v>
      </c>
      <c r="AM630" s="969">
        <v>18</v>
      </c>
      <c r="AN630" s="1115">
        <v>18</v>
      </c>
      <c r="AO630" s="1116">
        <v>18</v>
      </c>
      <c r="AP630" s="969">
        <v>18</v>
      </c>
      <c r="AQ630" s="969">
        <v>18</v>
      </c>
      <c r="AR630" s="1115">
        <v>18</v>
      </c>
      <c r="AS630" s="1116">
        <v>18</v>
      </c>
      <c r="AT630" s="969">
        <v>18</v>
      </c>
      <c r="AU630" s="969">
        <v>18</v>
      </c>
      <c r="AV630" s="1115">
        <v>18</v>
      </c>
      <c r="AW630" s="1116">
        <v>18</v>
      </c>
      <c r="AX630" s="969">
        <v>18</v>
      </c>
      <c r="AY630" s="969">
        <v>18</v>
      </c>
      <c r="AZ630" s="1115">
        <v>18</v>
      </c>
      <c r="BA630" s="1116">
        <v>18</v>
      </c>
      <c r="BB630" s="969">
        <v>18</v>
      </c>
      <c r="BC630" s="969">
        <v>18</v>
      </c>
      <c r="BD630" s="1115">
        <v>18</v>
      </c>
      <c r="BE630" s="969"/>
      <c r="BF630" s="814"/>
      <c r="BG630" s="106"/>
      <c r="BH630" s="106"/>
      <c r="BI630" s="106"/>
      <c r="BJ630" s="106"/>
      <c r="BK630" s="106"/>
      <c r="BL630" s="967">
        <v>18</v>
      </c>
      <c r="BM630" s="967">
        <v>18</v>
      </c>
      <c r="BN630" s="1658">
        <v>18</v>
      </c>
      <c r="BO630" s="967">
        <v>18</v>
      </c>
      <c r="BP630" s="967">
        <v>18</v>
      </c>
      <c r="BQ630" s="967">
        <v>18</v>
      </c>
      <c r="BR630" s="967">
        <v>18</v>
      </c>
      <c r="BS630" s="967">
        <v>18</v>
      </c>
      <c r="BT630" s="967">
        <v>18</v>
      </c>
      <c r="BU630" s="967">
        <v>18</v>
      </c>
      <c r="BV630" s="967">
        <v>18</v>
      </c>
      <c r="BW630" s="967">
        <v>18</v>
      </c>
      <c r="BX630" s="967">
        <v>18</v>
      </c>
      <c r="BY630" s="974">
        <v>18</v>
      </c>
    </row>
    <row r="631" spans="8:78" ht="11.25" hidden="1" customHeight="1" outlineLevel="2">
      <c r="I631" s="814"/>
      <c r="J631" s="106"/>
      <c r="K631" s="106"/>
      <c r="L631" s="106"/>
      <c r="M631" s="106"/>
      <c r="N631" s="106"/>
      <c r="O631" s="106"/>
      <c r="P631" s="106"/>
      <c r="Q631" s="106"/>
      <c r="R631" s="106"/>
      <c r="S631" s="106"/>
      <c r="T631" s="106"/>
      <c r="U631" s="814"/>
      <c r="V631" s="106"/>
      <c r="W631" s="955"/>
      <c r="X631" s="830"/>
      <c r="Y631" s="106"/>
      <c r="Z631" s="106"/>
      <c r="AA631" s="955"/>
      <c r="AB631" s="967"/>
      <c r="AC631" s="968"/>
      <c r="AD631" s="967"/>
      <c r="AE631" s="961"/>
      <c r="AF631" s="106"/>
      <c r="AG631" s="1310"/>
      <c r="AH631" s="106"/>
      <c r="AI631" s="106"/>
      <c r="AJ631" s="106"/>
      <c r="AK631" s="814"/>
      <c r="AM631" s="106"/>
      <c r="AN631" s="830"/>
      <c r="AO631" s="1310"/>
      <c r="AP631" s="1283"/>
      <c r="AQ631" s="106"/>
      <c r="AR631" s="830"/>
      <c r="AS631" s="1310"/>
      <c r="AT631" s="1283"/>
      <c r="AU631" s="106"/>
      <c r="AV631" s="830"/>
      <c r="AW631" s="1310"/>
      <c r="AX631" s="1283"/>
      <c r="AY631" s="106"/>
      <c r="AZ631" s="830"/>
      <c r="BA631" s="1310"/>
      <c r="BB631" s="1283"/>
      <c r="BC631" s="106"/>
      <c r="BD631" s="830"/>
      <c r="BE631" s="83"/>
      <c r="BF631" s="814"/>
      <c r="BG631" s="106"/>
      <c r="BH631" s="106"/>
      <c r="BI631" s="106"/>
      <c r="BJ631" s="106"/>
      <c r="BK631" s="106"/>
      <c r="BL631" s="967"/>
      <c r="BM631" s="83"/>
      <c r="BN631" s="656"/>
      <c r="BO631" s="83"/>
      <c r="BP631" s="83"/>
      <c r="BQ631" s="83"/>
      <c r="BR631" s="83"/>
      <c r="BS631" s="83"/>
      <c r="BT631" s="83"/>
      <c r="BU631" s="83"/>
      <c r="BV631" s="83"/>
      <c r="BW631" s="83"/>
      <c r="BX631" s="83"/>
      <c r="BY631" s="883"/>
    </row>
    <row r="632" spans="8:78" s="41" customFormat="1" ht="11.25" hidden="1" customHeight="1" outlineLevel="2">
      <c r="H632" s="90"/>
      <c r="I632" s="857" t="s">
        <v>472</v>
      </c>
      <c r="J632" s="231"/>
      <c r="K632" s="231"/>
      <c r="L632" s="231"/>
      <c r="M632" s="231"/>
      <c r="N632" s="231"/>
      <c r="O632" s="231"/>
      <c r="P632" s="231"/>
      <c r="Q632" s="231"/>
      <c r="R632" s="231"/>
      <c r="S632" s="231"/>
      <c r="T632" s="1151"/>
      <c r="U632" s="236">
        <f t="shared" ref="U632:AC632" si="1166">+U630*U627</f>
        <v>1.2244104690334283</v>
      </c>
      <c r="V632" s="236">
        <f t="shared" si="1166"/>
        <v>1.2240000000000002</v>
      </c>
      <c r="W632" s="236">
        <f t="shared" si="1166"/>
        <v>1.9259999999999999</v>
      </c>
      <c r="X632" s="891">
        <f t="shared" si="1166"/>
        <v>2.3641791044776124</v>
      </c>
      <c r="Y632" s="236">
        <f t="shared" si="1166"/>
        <v>2.7794117647058822</v>
      </c>
      <c r="Z632" s="236">
        <f t="shared" si="1166"/>
        <v>3.0567567567567568</v>
      </c>
      <c r="AA632" s="236">
        <f t="shared" si="1166"/>
        <v>3.8340000000000001</v>
      </c>
      <c r="AB632" s="236">
        <f t="shared" si="1166"/>
        <v>4.7520000000000007</v>
      </c>
      <c r="AC632" s="890">
        <f t="shared" si="1166"/>
        <v>5.67</v>
      </c>
      <c r="AD632" s="236">
        <f>+AD630*AD627</f>
        <v>6.7859999999999996</v>
      </c>
      <c r="AE632" s="236">
        <f>+AE630*AE627</f>
        <v>7.6680000000000001</v>
      </c>
      <c r="AF632" s="236">
        <f t="shared" ref="AF632:AN632" si="1167">+AF630*AF627</f>
        <v>8.4599999999999991</v>
      </c>
      <c r="AG632" s="890">
        <f t="shared" si="1167"/>
        <v>9.1080000000000005</v>
      </c>
      <c r="AH632" s="236">
        <f t="shared" si="1167"/>
        <v>9.8280000000000012</v>
      </c>
      <c r="AI632" s="236">
        <f t="shared" si="1167"/>
        <v>10.421999999999999</v>
      </c>
      <c r="AJ632" s="236">
        <f>+AJ630*AJ627</f>
        <v>11.790000000000001</v>
      </c>
      <c r="AK632" s="890">
        <f>+AK630*AK627</f>
        <v>13.122</v>
      </c>
      <c r="AL632" s="236">
        <f>+AL630*AL627</f>
        <v>13.842000000000001</v>
      </c>
      <c r="AM632" s="236">
        <f t="shared" si="1167"/>
        <v>15.155999999999999</v>
      </c>
      <c r="AN632" s="891">
        <f t="shared" si="1167"/>
        <v>16.977600000000002</v>
      </c>
      <c r="AO632" s="890">
        <f t="shared" ref="AO632:AV632" si="1168">+AO630*AO627</f>
        <v>18.76446</v>
      </c>
      <c r="AP632" s="236">
        <f t="shared" si="1168"/>
        <v>19.655639999999998</v>
      </c>
      <c r="AQ632" s="236">
        <f t="shared" si="1168"/>
        <v>21.369959999999999</v>
      </c>
      <c r="AR632" s="891">
        <f t="shared" si="1168"/>
        <v>23.768639999999998</v>
      </c>
      <c r="AS632" s="890">
        <f t="shared" si="1168"/>
        <v>26.082599399999999</v>
      </c>
      <c r="AT632" s="236">
        <f t="shared" si="1168"/>
        <v>27.124783199999996</v>
      </c>
      <c r="AU632" s="236">
        <f t="shared" si="1168"/>
        <v>29.276845199999993</v>
      </c>
      <c r="AV632" s="891">
        <f t="shared" si="1168"/>
        <v>32.325350399999991</v>
      </c>
      <c r="AW632" s="890">
        <f t="shared" ref="AW632:BD632" si="1169">+AW630*AW627</f>
        <v>35.211509189999994</v>
      </c>
      <c r="AX632" s="236">
        <f t="shared" si="1169"/>
        <v>36.34720948799999</v>
      </c>
      <c r="AY632" s="236">
        <f t="shared" si="1169"/>
        <v>38.938204115999987</v>
      </c>
      <c r="AZ632" s="891">
        <f t="shared" si="1169"/>
        <v>42.669462527999983</v>
      </c>
      <c r="BA632" s="890">
        <f t="shared" si="1169"/>
        <v>46.127077038899984</v>
      </c>
      <c r="BB632" s="236">
        <f t="shared" si="1169"/>
        <v>47.251372334399981</v>
      </c>
      <c r="BC632" s="236">
        <f t="shared" si="1169"/>
        <v>50.230283309639979</v>
      </c>
      <c r="BD632" s="891">
        <f t="shared" si="1169"/>
        <v>54.616912035839967</v>
      </c>
      <c r="BE632" s="226"/>
      <c r="BF632" s="857"/>
      <c r="BG632" s="231"/>
      <c r="BH632" s="231"/>
      <c r="BI632" s="231"/>
      <c r="BJ632" s="231"/>
      <c r="BK632" s="231"/>
      <c r="BL632" s="1307">
        <f>+SUM(U632:X632)</f>
        <v>6.7385895735110406</v>
      </c>
      <c r="BM632" s="1307">
        <f>+SUM(Y632:AB632)</f>
        <v>14.422168521462639</v>
      </c>
      <c r="BN632" s="1802">
        <f>+SUM(AC632:AF632)</f>
        <v>28.583999999999996</v>
      </c>
      <c r="BO632" s="1307">
        <f>+SUM(AG632:AJ632)</f>
        <v>41.147999999999996</v>
      </c>
      <c r="BP632" s="1307">
        <f>SUM(AK632:AN632)</f>
        <v>59.0976</v>
      </c>
      <c r="BQ632" s="236">
        <f>SUM(AO632:AR632)</f>
        <v>83.558699999999988</v>
      </c>
      <c r="BR632" s="236">
        <f>SUM(AS632:AV632)</f>
        <v>114.80957819999998</v>
      </c>
      <c r="BS632" s="236">
        <f>SUM(AW632:AZ632)</f>
        <v>153.16638532199994</v>
      </c>
      <c r="BT632" s="236">
        <f>SUM(BA632:BD632)</f>
        <v>198.2256447187799</v>
      </c>
      <c r="BU632" s="236">
        <f>+BU630*BU627</f>
        <v>254.55840775644847</v>
      </c>
      <c r="BV632" s="236">
        <f>+BV630*BV627</f>
        <v>324.35451530881494</v>
      </c>
      <c r="BW632" s="236">
        <f>+BW630*BW627</f>
        <v>410.04412634222183</v>
      </c>
      <c r="BX632" s="236">
        <f>+BX630*BX627</f>
        <v>514.27120954487657</v>
      </c>
      <c r="BY632" s="891">
        <f>+BY630*BY627</f>
        <v>639.84854610396803</v>
      </c>
      <c r="BZ632" s="226"/>
    </row>
    <row r="633" spans="8:78" s="41" customFormat="1" ht="11.25" hidden="1" customHeight="1" outlineLevel="2">
      <c r="H633" s="90"/>
      <c r="I633" s="814" t="s">
        <v>473</v>
      </c>
      <c r="J633" s="231"/>
      <c r="K633" s="231"/>
      <c r="L633" s="231"/>
      <c r="M633" s="231"/>
      <c r="N633" s="231"/>
      <c r="O633" s="231"/>
      <c r="P633" s="231"/>
      <c r="Q633" s="231"/>
      <c r="R633" s="231"/>
      <c r="S633" s="231"/>
      <c r="T633" s="1151"/>
      <c r="U633" s="236"/>
      <c r="V633" s="236"/>
      <c r="W633" s="236"/>
      <c r="X633" s="891"/>
      <c r="Y633" s="976">
        <f t="shared" ref="Y633:AN633" si="1170">+Y632/U632-1</f>
        <v>1.27</v>
      </c>
      <c r="Z633" s="976">
        <f t="shared" si="1170"/>
        <v>1.4973502914679382</v>
      </c>
      <c r="AA633" s="976">
        <f t="shared" si="1170"/>
        <v>0.99065420560747675</v>
      </c>
      <c r="AB633" s="976">
        <f t="shared" si="1170"/>
        <v>1.0099999999999998</v>
      </c>
      <c r="AC633" s="977">
        <f t="shared" si="1170"/>
        <v>1.04</v>
      </c>
      <c r="AD633" s="976">
        <f t="shared" si="1170"/>
        <v>1.2199999999999998</v>
      </c>
      <c r="AE633" s="976">
        <f t="shared" si="1170"/>
        <v>1</v>
      </c>
      <c r="AF633" s="976">
        <f t="shared" si="1170"/>
        <v>0.78030303030302983</v>
      </c>
      <c r="AG633" s="977">
        <f t="shared" si="1170"/>
        <v>0.60634920634920642</v>
      </c>
      <c r="AH633" s="976">
        <f t="shared" si="1170"/>
        <v>0.44827586206896575</v>
      </c>
      <c r="AI633" s="976">
        <f t="shared" si="1170"/>
        <v>0.35915492957746453</v>
      </c>
      <c r="AJ633" s="976">
        <f t="shared" si="1170"/>
        <v>0.39361702127659592</v>
      </c>
      <c r="AK633" s="977">
        <f t="shared" si="1170"/>
        <v>0.44071146245059278</v>
      </c>
      <c r="AL633" s="976">
        <f t="shared" si="1170"/>
        <v>0.40842490842490831</v>
      </c>
      <c r="AM633" s="976">
        <f t="shared" si="1170"/>
        <v>0.45423143350604489</v>
      </c>
      <c r="AN633" s="1130">
        <f t="shared" si="1170"/>
        <v>0.44000000000000017</v>
      </c>
      <c r="AO633" s="977">
        <f t="shared" ref="AO633:AV633" si="1171">+AO632/AK632-1</f>
        <v>0.42999999999999994</v>
      </c>
      <c r="AP633" s="976">
        <f t="shared" si="1171"/>
        <v>0.41999999999999971</v>
      </c>
      <c r="AQ633" s="976">
        <f t="shared" si="1171"/>
        <v>0.41000000000000014</v>
      </c>
      <c r="AR633" s="1130">
        <f t="shared" si="1171"/>
        <v>0.39999999999999969</v>
      </c>
      <c r="AS633" s="977">
        <f t="shared" si="1171"/>
        <v>0.3899999999999999</v>
      </c>
      <c r="AT633" s="976">
        <f t="shared" si="1171"/>
        <v>0.37999999999999989</v>
      </c>
      <c r="AU633" s="976">
        <f t="shared" si="1171"/>
        <v>0.36999999999999966</v>
      </c>
      <c r="AV633" s="1130">
        <f t="shared" si="1171"/>
        <v>0.35999999999999965</v>
      </c>
      <c r="AW633" s="977">
        <f t="shared" ref="AW633:BD633" si="1172">+AW632/AS632-1</f>
        <v>0.34999999999999987</v>
      </c>
      <c r="AX633" s="976">
        <f t="shared" si="1172"/>
        <v>0.33999999999999986</v>
      </c>
      <c r="AY633" s="976">
        <f t="shared" si="1172"/>
        <v>0.32999999999999985</v>
      </c>
      <c r="AZ633" s="1130">
        <f t="shared" si="1172"/>
        <v>0.31999999999999984</v>
      </c>
      <c r="BA633" s="977">
        <f t="shared" si="1172"/>
        <v>0.30999999999999983</v>
      </c>
      <c r="BB633" s="976">
        <f t="shared" si="1172"/>
        <v>0.29999999999999982</v>
      </c>
      <c r="BC633" s="976">
        <f t="shared" si="1172"/>
        <v>0.28999999999999981</v>
      </c>
      <c r="BD633" s="1130">
        <f t="shared" si="1172"/>
        <v>0.2799999999999998</v>
      </c>
      <c r="BE633" s="226"/>
      <c r="BF633" s="857"/>
      <c r="BG633" s="231"/>
      <c r="BH633" s="231"/>
      <c r="BI633" s="231"/>
      <c r="BJ633" s="231"/>
      <c r="BK633" s="231"/>
      <c r="BL633" s="1307"/>
      <c r="BM633" s="976">
        <f t="shared" ref="BM633:BU633" si="1173">+BM632/BL632-1</f>
        <v>1.1402354846116833</v>
      </c>
      <c r="BN633" s="977">
        <f t="shared" si="1173"/>
        <v>0.98194882811569872</v>
      </c>
      <c r="BO633" s="976">
        <f t="shared" si="1173"/>
        <v>0.43954659949622177</v>
      </c>
      <c r="BP633" s="976">
        <f t="shared" si="1173"/>
        <v>0.43622047244094508</v>
      </c>
      <c r="BQ633" s="976">
        <f t="shared" si="1173"/>
        <v>0.41391020955165669</v>
      </c>
      <c r="BR633" s="976">
        <f t="shared" si="1173"/>
        <v>0.37399909524681441</v>
      </c>
      <c r="BS633" s="976">
        <f t="shared" si="1173"/>
        <v>0.33409065448513231</v>
      </c>
      <c r="BT633" s="976">
        <f t="shared" si="1173"/>
        <v>0.29418504133300782</v>
      </c>
      <c r="BU633" s="976">
        <f t="shared" si="1173"/>
        <v>0.28418504133300782</v>
      </c>
      <c r="BV633" s="976">
        <f>+BV632/BU632-1</f>
        <v>0.27418504133300781</v>
      </c>
      <c r="BW633" s="976">
        <f>+BW632/BV632-1</f>
        <v>0.26418504133300758</v>
      </c>
      <c r="BX633" s="976">
        <f>+BX632/BW632-1</f>
        <v>0.25418504133300779</v>
      </c>
      <c r="BY633" s="1130">
        <f>+BY632/BX632-1</f>
        <v>0.24418504133300756</v>
      </c>
      <c r="BZ633" s="226"/>
    </row>
    <row r="634" spans="8:78" s="41" customFormat="1" hidden="1" outlineLevel="2">
      <c r="H634" s="90"/>
      <c r="I634" s="814" t="s">
        <v>474</v>
      </c>
      <c r="J634" s="231"/>
      <c r="K634" s="231"/>
      <c r="L634" s="231"/>
      <c r="M634" s="231"/>
      <c r="N634" s="231"/>
      <c r="O634" s="231"/>
      <c r="P634" s="231"/>
      <c r="Q634" s="231"/>
      <c r="R634" s="231"/>
      <c r="S634" s="231"/>
      <c r="T634" s="1151"/>
      <c r="U634" s="236"/>
      <c r="V634" s="236"/>
      <c r="W634" s="236"/>
      <c r="X634" s="891"/>
      <c r="Y634" s="1304">
        <f t="shared" ref="Y634:AN634" si="1174">+Y632-U632</f>
        <v>1.5550012956724539</v>
      </c>
      <c r="Z634" s="1304">
        <f t="shared" si="1174"/>
        <v>1.8327567567567566</v>
      </c>
      <c r="AA634" s="1304">
        <f t="shared" si="1174"/>
        <v>1.9080000000000001</v>
      </c>
      <c r="AB634" s="1304">
        <f t="shared" si="1174"/>
        <v>2.3878208955223883</v>
      </c>
      <c r="AC634" s="1305">
        <f t="shared" si="1174"/>
        <v>2.8905882352941177</v>
      </c>
      <c r="AD634" s="1304">
        <f t="shared" si="1174"/>
        <v>3.7292432432432427</v>
      </c>
      <c r="AE634" s="1304">
        <f t="shared" si="1174"/>
        <v>3.8340000000000001</v>
      </c>
      <c r="AF634" s="1304">
        <f t="shared" si="1174"/>
        <v>3.7079999999999984</v>
      </c>
      <c r="AG634" s="1305">
        <f t="shared" si="1174"/>
        <v>3.4380000000000006</v>
      </c>
      <c r="AH634" s="1304">
        <f t="shared" si="1174"/>
        <v>3.0420000000000016</v>
      </c>
      <c r="AI634" s="1304">
        <f t="shared" si="1174"/>
        <v>2.7539999999999987</v>
      </c>
      <c r="AJ634" s="1304">
        <f t="shared" si="1174"/>
        <v>3.3300000000000018</v>
      </c>
      <c r="AK634" s="1305">
        <f t="shared" si="1174"/>
        <v>4.0139999999999993</v>
      </c>
      <c r="AL634" s="1304">
        <f t="shared" si="1174"/>
        <v>4.0139999999999993</v>
      </c>
      <c r="AM634" s="1304">
        <f t="shared" si="1174"/>
        <v>4.734</v>
      </c>
      <c r="AN634" s="1306">
        <f t="shared" si="1174"/>
        <v>5.1876000000000015</v>
      </c>
      <c r="AO634" s="1305">
        <f t="shared" ref="AO634:AV634" si="1175">+AO632-AK632</f>
        <v>5.6424599999999998</v>
      </c>
      <c r="AP634" s="1304">
        <f t="shared" si="1175"/>
        <v>5.8136399999999977</v>
      </c>
      <c r="AQ634" s="1304">
        <f t="shared" si="1175"/>
        <v>6.2139600000000002</v>
      </c>
      <c r="AR634" s="1306">
        <f t="shared" si="1175"/>
        <v>6.7910399999999953</v>
      </c>
      <c r="AS634" s="1305">
        <f t="shared" si="1175"/>
        <v>7.3181393999999997</v>
      </c>
      <c r="AT634" s="1304">
        <f t="shared" si="1175"/>
        <v>7.4691431999999978</v>
      </c>
      <c r="AU634" s="1304">
        <f t="shared" si="1175"/>
        <v>7.9068851999999943</v>
      </c>
      <c r="AV634" s="1306">
        <f t="shared" si="1175"/>
        <v>8.5567103999999929</v>
      </c>
      <c r="AW634" s="1305">
        <f t="shared" ref="AW634:BD634" si="1176">+AW632-AS632</f>
        <v>9.1289097899999945</v>
      </c>
      <c r="AX634" s="1304">
        <f t="shared" si="1176"/>
        <v>9.2224262879999941</v>
      </c>
      <c r="AY634" s="1304">
        <f t="shared" si="1176"/>
        <v>9.661358915999994</v>
      </c>
      <c r="AZ634" s="1306">
        <f t="shared" si="1176"/>
        <v>10.344112127999992</v>
      </c>
      <c r="BA634" s="1305">
        <f t="shared" si="1176"/>
        <v>10.91556784889999</v>
      </c>
      <c r="BB634" s="1304">
        <f t="shared" si="1176"/>
        <v>10.904162846399991</v>
      </c>
      <c r="BC634" s="1304">
        <f t="shared" si="1176"/>
        <v>11.292079193639992</v>
      </c>
      <c r="BD634" s="1306">
        <f t="shared" si="1176"/>
        <v>11.947449507839984</v>
      </c>
      <c r="BE634" s="226"/>
      <c r="BF634" s="857"/>
      <c r="BG634" s="231"/>
      <c r="BH634" s="231"/>
      <c r="BI634" s="231"/>
      <c r="BJ634" s="231"/>
      <c r="BK634" s="231"/>
      <c r="BL634" s="1307"/>
      <c r="BM634" s="1283">
        <f t="shared" ref="BM634:BR634" si="1177">+BM632-BL632</f>
        <v>7.6835789479515988</v>
      </c>
      <c r="BN634" s="1310">
        <f t="shared" si="1177"/>
        <v>14.161831478537357</v>
      </c>
      <c r="BO634" s="1283">
        <f t="shared" si="1177"/>
        <v>12.564</v>
      </c>
      <c r="BP634" s="1283">
        <f t="shared" si="1177"/>
        <v>17.949600000000004</v>
      </c>
      <c r="BQ634" s="1283">
        <f t="shared" si="1177"/>
        <v>24.461099999999988</v>
      </c>
      <c r="BR634" s="1283">
        <f t="shared" si="1177"/>
        <v>31.250878199999988</v>
      </c>
      <c r="BS634" s="1283">
        <f t="shared" ref="BS634:BY634" si="1178">+BS632-BR632</f>
        <v>38.356807121999964</v>
      </c>
      <c r="BT634" s="1283">
        <f t="shared" si="1178"/>
        <v>45.059259396779964</v>
      </c>
      <c r="BU634" s="1283">
        <f t="shared" si="1178"/>
        <v>56.33276303766857</v>
      </c>
      <c r="BV634" s="1283">
        <f t="shared" si="1178"/>
        <v>69.796107552366465</v>
      </c>
      <c r="BW634" s="1283">
        <f t="shared" si="1178"/>
        <v>85.689611033406891</v>
      </c>
      <c r="BX634" s="1283">
        <f t="shared" si="1178"/>
        <v>104.22708320265474</v>
      </c>
      <c r="BY634" s="1390">
        <f t="shared" si="1178"/>
        <v>125.57733655909146</v>
      </c>
      <c r="BZ634" s="226"/>
    </row>
    <row r="635" spans="8:78" ht="11.25" hidden="1" customHeight="1" outlineLevel="2">
      <c r="I635" s="814"/>
      <c r="J635" s="106"/>
      <c r="K635" s="106"/>
      <c r="L635" s="106"/>
      <c r="M635" s="106"/>
      <c r="N635" s="106"/>
      <c r="O635" s="106"/>
      <c r="P635" s="106"/>
      <c r="Q635" s="106"/>
      <c r="R635" s="106"/>
      <c r="S635" s="106"/>
      <c r="T635" s="106"/>
      <c r="U635" s="814"/>
      <c r="V635" s="106"/>
      <c r="W635" s="955"/>
      <c r="X635" s="830"/>
      <c r="Y635" s="106"/>
      <c r="Z635" s="106"/>
      <c r="AA635" s="955"/>
      <c r="AB635" s="967"/>
      <c r="AC635" s="967"/>
      <c r="AD635" s="967"/>
      <c r="AE635" s="961"/>
      <c r="AF635" s="106"/>
      <c r="AG635" s="814"/>
      <c r="AH635" s="106"/>
      <c r="AI635" s="106"/>
      <c r="AJ635" s="106"/>
      <c r="AK635" s="814"/>
      <c r="AM635" s="106"/>
      <c r="AN635" s="830"/>
      <c r="AO635" s="814"/>
      <c r="AP635" s="106"/>
      <c r="AQ635" s="106"/>
      <c r="AR635" s="830"/>
      <c r="AS635" s="814"/>
      <c r="AT635" s="106"/>
      <c r="AU635" s="106"/>
      <c r="AV635" s="830"/>
      <c r="AW635" s="814"/>
      <c r="AX635" s="106"/>
      <c r="AY635" s="106"/>
      <c r="AZ635" s="830"/>
      <c r="BA635" s="814"/>
      <c r="BB635" s="106"/>
      <c r="BC635" s="106"/>
      <c r="BD635" s="830"/>
      <c r="BE635" s="83"/>
      <c r="BF635" s="814"/>
      <c r="BG635" s="106"/>
      <c r="BH635" s="106"/>
      <c r="BI635" s="106"/>
      <c r="BJ635" s="106"/>
      <c r="BK635" s="106"/>
      <c r="BL635" s="967"/>
      <c r="BM635" s="83"/>
      <c r="BN635" s="656"/>
      <c r="BO635" s="83"/>
      <c r="BP635" s="83"/>
      <c r="BQ635" s="83"/>
      <c r="BR635" s="83"/>
      <c r="BS635" s="83"/>
      <c r="BT635" s="83"/>
      <c r="BU635" s="83"/>
      <c r="BV635" s="83"/>
      <c r="BW635" s="83"/>
      <c r="BX635" s="83"/>
      <c r="BY635" s="883"/>
    </row>
    <row r="636" spans="8:78" ht="11.25" hidden="1" customHeight="1" outlineLevel="2">
      <c r="I636" s="814" t="s">
        <v>376</v>
      </c>
      <c r="J636" s="106"/>
      <c r="K636" s="106"/>
      <c r="L636" s="106"/>
      <c r="M636" s="106"/>
      <c r="N636" s="106"/>
      <c r="O636" s="106"/>
      <c r="P636" s="106"/>
      <c r="Q636" s="106"/>
      <c r="R636" s="106"/>
      <c r="S636" s="106"/>
      <c r="T636" s="106"/>
      <c r="U636" s="1020"/>
      <c r="V636" s="955">
        <f>141/1000</f>
        <v>0.14099999999999999</v>
      </c>
      <c r="W636" s="955">
        <f>143/1000</f>
        <v>0.14299999999999999</v>
      </c>
      <c r="X636" s="975">
        <f>AB636/(1+AB637)</f>
        <v>0.16326530612244897</v>
      </c>
      <c r="Y636" s="1020">
        <f>AC636/(1+AC637)</f>
        <v>0.18206896551724139</v>
      </c>
      <c r="Z636" s="955">
        <f>AD636/(1+AD637)</f>
        <v>0.20069444444444443</v>
      </c>
      <c r="AA636" s="955">
        <f>AE636/(1+AE637)</f>
        <v>0.22013888888888891</v>
      </c>
      <c r="AB636" s="981">
        <f>240/1000</f>
        <v>0.24</v>
      </c>
      <c r="AC636" s="970">
        <f>264/1000</f>
        <v>0.26400000000000001</v>
      </c>
      <c r="AD636" s="970">
        <f>289/1000</f>
        <v>0.28899999999999998</v>
      </c>
      <c r="AE636" s="961">
        <f>317/1000</f>
        <v>0.317</v>
      </c>
      <c r="AF636" s="961">
        <f>344/1000</f>
        <v>0.34399999999999997</v>
      </c>
      <c r="AG636" s="968">
        <v>0.375</v>
      </c>
      <c r="AH636" s="1778">
        <v>0.40799999999999997</v>
      </c>
      <c r="AI636" s="1778">
        <v>0.44500000000000001</v>
      </c>
      <c r="AJ636" s="1778">
        <v>0.47899999999999998</v>
      </c>
      <c r="AK636" s="2414">
        <v>0.51700000000000002</v>
      </c>
      <c r="AL636" s="1778">
        <v>0.55800000000000005</v>
      </c>
      <c r="AM636" s="1778">
        <v>0.6</v>
      </c>
      <c r="AN636" s="830"/>
      <c r="AO636" s="814"/>
      <c r="AP636" s="106"/>
      <c r="AQ636" s="106"/>
      <c r="AR636" s="830"/>
      <c r="AS636" s="814"/>
      <c r="AT636" s="106"/>
      <c r="AU636" s="106"/>
      <c r="AV636" s="830"/>
      <c r="AW636" s="814"/>
      <c r="AX636" s="106"/>
      <c r="AY636" s="106"/>
      <c r="AZ636" s="830"/>
      <c r="BA636" s="814"/>
      <c r="BB636" s="106"/>
      <c r="BC636" s="106"/>
      <c r="BD636" s="830"/>
      <c r="BE636" s="83"/>
      <c r="BF636" s="814"/>
      <c r="BG636" s="106"/>
      <c r="BH636" s="106"/>
      <c r="BI636" s="106"/>
      <c r="BJ636" s="106"/>
      <c r="BK636" s="286">
        <f>BL636/(1+BL637)</f>
        <v>9.9393939393939409E-2</v>
      </c>
      <c r="BL636" s="970">
        <f>164/1000</f>
        <v>0.16400000000000001</v>
      </c>
      <c r="BM636" s="286"/>
      <c r="BN636" s="1801"/>
      <c r="BO636" s="320"/>
      <c r="BP636" s="320"/>
      <c r="BQ636" s="320"/>
      <c r="BR636" s="320"/>
      <c r="BS636" s="320"/>
      <c r="BT636" s="320"/>
      <c r="BU636" s="320"/>
      <c r="BV636" s="320"/>
      <c r="BW636" s="320"/>
      <c r="BX636" s="320"/>
      <c r="BY636" s="1122"/>
    </row>
    <row r="637" spans="8:78" ht="11.25" hidden="1" customHeight="1" outlineLevel="2">
      <c r="I637" s="770" t="s">
        <v>132</v>
      </c>
      <c r="J637" s="106"/>
      <c r="K637" s="106"/>
      <c r="L637" s="106"/>
      <c r="M637" s="106"/>
      <c r="N637" s="106"/>
      <c r="O637" s="106"/>
      <c r="P637" s="106"/>
      <c r="Q637" s="106"/>
      <c r="R637" s="106"/>
      <c r="S637" s="106"/>
      <c r="T637" s="106"/>
      <c r="U637" s="1146"/>
      <c r="V637" s="958">
        <v>0.79</v>
      </c>
      <c r="W637" s="425">
        <v>0.56999999999999995</v>
      </c>
      <c r="X637" s="830"/>
      <c r="Y637" s="977">
        <v>0.55000000000000004</v>
      </c>
      <c r="Z637" s="976">
        <v>0.52</v>
      </c>
      <c r="AA637" s="976">
        <v>0.54</v>
      </c>
      <c r="AB637" s="1144">
        <v>0.47</v>
      </c>
      <c r="AC637" s="972">
        <v>0.45</v>
      </c>
      <c r="AD637" s="972">
        <v>0.44</v>
      </c>
      <c r="AE637" s="964">
        <v>0.44</v>
      </c>
      <c r="AF637" s="964">
        <v>0.43</v>
      </c>
      <c r="AG637" s="1146">
        <f>AG636/AC636-1</f>
        <v>0.42045454545454541</v>
      </c>
      <c r="AH637" s="964">
        <v>0.41</v>
      </c>
      <c r="AI637" s="964">
        <v>0.4</v>
      </c>
      <c r="AJ637" s="958">
        <f>AJ636/AF636-1</f>
        <v>0.39244186046511631</v>
      </c>
      <c r="AK637" s="2413">
        <v>0.38</v>
      </c>
      <c r="AL637" s="964">
        <v>0.37</v>
      </c>
      <c r="AM637" s="964">
        <v>0.35</v>
      </c>
      <c r="AN637" s="830"/>
      <c r="AO637" s="814"/>
      <c r="AP637" s="106"/>
      <c r="AQ637" s="106"/>
      <c r="AR637" s="830"/>
      <c r="AS637" s="814"/>
      <c r="AT637" s="106"/>
      <c r="AU637" s="106"/>
      <c r="AV637" s="830"/>
      <c r="AW637" s="814"/>
      <c r="AX637" s="106"/>
      <c r="AY637" s="106"/>
      <c r="AZ637" s="830"/>
      <c r="BA637" s="814"/>
      <c r="BB637" s="106"/>
      <c r="BC637" s="106"/>
      <c r="BD637" s="830"/>
      <c r="BE637" s="83"/>
      <c r="BF637" s="814"/>
      <c r="BG637" s="106"/>
      <c r="BH637" s="106"/>
      <c r="BI637" s="106"/>
      <c r="BJ637" s="106"/>
      <c r="BK637" s="106"/>
      <c r="BL637" s="979">
        <v>0.65</v>
      </c>
      <c r="BM637" s="404"/>
      <c r="BN637" s="1519"/>
      <c r="BO637" s="404"/>
      <c r="BP637" s="1123"/>
      <c r="BQ637" s="1123"/>
      <c r="BR637" s="1123"/>
      <c r="BS637" s="1123"/>
      <c r="BT637" s="1123"/>
      <c r="BU637" s="1123"/>
      <c r="BV637" s="1123"/>
      <c r="BW637" s="1123"/>
      <c r="BX637" s="1123"/>
      <c r="BY637" s="1124"/>
    </row>
    <row r="638" spans="8:78" ht="11.25" hidden="1" customHeight="1" outlineLevel="2">
      <c r="I638" s="814"/>
      <c r="J638" s="106"/>
      <c r="K638" s="106"/>
      <c r="L638" s="106"/>
      <c r="M638" s="106"/>
      <c r="N638" s="106"/>
      <c r="O638" s="106"/>
      <c r="P638" s="106"/>
      <c r="Q638" s="106"/>
      <c r="R638" s="106"/>
      <c r="S638" s="106"/>
      <c r="T638" s="106"/>
      <c r="U638" s="814"/>
      <c r="V638" s="106"/>
      <c r="W638" s="106"/>
      <c r="X638" s="830"/>
      <c r="Y638" s="814"/>
      <c r="Z638" s="106"/>
      <c r="AA638" s="106"/>
      <c r="AB638" s="830"/>
      <c r="AC638" s="106"/>
      <c r="AD638" s="106"/>
      <c r="AE638" s="106"/>
      <c r="AF638" s="106"/>
      <c r="AG638" s="814"/>
      <c r="AH638" s="106"/>
      <c r="AI638" s="106"/>
      <c r="AJ638" s="106"/>
      <c r="AK638" s="814"/>
      <c r="AM638" s="106"/>
      <c r="AN638" s="830"/>
      <c r="AO638" s="814"/>
      <c r="AP638" s="106"/>
      <c r="AQ638" s="106"/>
      <c r="AR638" s="830"/>
      <c r="AS638" s="814"/>
      <c r="AT638" s="106"/>
      <c r="AU638" s="106"/>
      <c r="AV638" s="830"/>
      <c r="AW638" s="814"/>
      <c r="AX638" s="106"/>
      <c r="AY638" s="106"/>
      <c r="AZ638" s="830"/>
      <c r="BA638" s="814"/>
      <c r="BB638" s="106"/>
      <c r="BC638" s="106"/>
      <c r="BD638" s="830"/>
      <c r="BE638" s="83"/>
      <c r="BF638" s="814"/>
      <c r="BG638" s="106"/>
      <c r="BH638" s="106"/>
      <c r="BI638" s="106"/>
      <c r="BJ638" s="106"/>
      <c r="BK638" s="106"/>
      <c r="BL638" s="106"/>
      <c r="BN638" s="814"/>
      <c r="BP638" s="106"/>
      <c r="BQ638" s="106"/>
      <c r="BR638" s="106"/>
      <c r="BS638" s="106"/>
      <c r="BT638" s="106"/>
      <c r="BV638" s="106"/>
      <c r="BW638" s="106"/>
      <c r="BX638" s="106"/>
      <c r="BY638" s="830"/>
    </row>
    <row r="639" spans="8:78" s="90" customFormat="1" ht="11.25" hidden="1" customHeight="1" outlineLevel="2">
      <c r="I639" s="1054" t="s">
        <v>390</v>
      </c>
      <c r="J639" s="226"/>
      <c r="K639" s="226"/>
      <c r="L639" s="226"/>
      <c r="M639" s="226"/>
      <c r="N639" s="226"/>
      <c r="O639" s="226"/>
      <c r="P639" s="226"/>
      <c r="Q639" s="226"/>
      <c r="R639" s="226"/>
      <c r="S639" s="226"/>
      <c r="T639" s="226"/>
      <c r="U639" s="1140">
        <f t="shared" ref="U639:BD639" si="1179">+U632+U618+U604</f>
        <v>18.907670420029302</v>
      </c>
      <c r="V639" s="1125">
        <f t="shared" si="1179"/>
        <v>18.923999999999999</v>
      </c>
      <c r="W639" s="1125">
        <f t="shared" si="1179"/>
        <v>24.281999999999996</v>
      </c>
      <c r="X639" s="1126">
        <f t="shared" si="1179"/>
        <v>27.159325975486553</v>
      </c>
      <c r="Y639" s="1140">
        <f t="shared" si="1179"/>
        <v>30.878359517720131</v>
      </c>
      <c r="Z639" s="1125">
        <f t="shared" si="1179"/>
        <v>33.615996522838628</v>
      </c>
      <c r="AA639" s="1125">
        <f t="shared" si="1179"/>
        <v>40.27592040057435</v>
      </c>
      <c r="AB639" s="1126">
        <f t="shared" si="1179"/>
        <v>45.988</v>
      </c>
      <c r="AC639" s="1125">
        <f t="shared" si="1179"/>
        <v>51.837999999999994</v>
      </c>
      <c r="AD639" s="1125">
        <f t="shared" si="1179"/>
        <v>60.058</v>
      </c>
      <c r="AE639" s="1125">
        <f t="shared" si="1179"/>
        <v>67.025999999999996</v>
      </c>
      <c r="AF639" s="1125">
        <f t="shared" si="1179"/>
        <v>72.825999999999993</v>
      </c>
      <c r="AG639" s="1140">
        <f t="shared" si="1179"/>
        <v>77.262</v>
      </c>
      <c r="AH639" s="1125">
        <f t="shared" si="1179"/>
        <v>84.048000000000002</v>
      </c>
      <c r="AI639" s="1125">
        <f t="shared" si="1179"/>
        <v>89.77600000000001</v>
      </c>
      <c r="AJ639" s="1125">
        <f t="shared" si="1179"/>
        <v>96.68</v>
      </c>
      <c r="AK639" s="1140">
        <f t="shared" si="1179"/>
        <v>105.038</v>
      </c>
      <c r="AL639" s="1125">
        <f t="shared" si="1179"/>
        <v>113.884</v>
      </c>
      <c r="AM639" s="1125">
        <f t="shared" si="1179"/>
        <v>122.274</v>
      </c>
      <c r="AN639" s="1126">
        <f t="shared" si="1179"/>
        <v>131.07834000000003</v>
      </c>
      <c r="AO639" s="1140">
        <f t="shared" si="1179"/>
        <v>141.44943999999998</v>
      </c>
      <c r="AP639" s="1125">
        <f t="shared" si="1179"/>
        <v>152.22622000000001</v>
      </c>
      <c r="AQ639" s="1125">
        <f t="shared" si="1179"/>
        <v>162.27930000000001</v>
      </c>
      <c r="AR639" s="1126">
        <f t="shared" si="1179"/>
        <v>172.81424580000001</v>
      </c>
      <c r="AS639" s="1140">
        <f t="shared" si="1179"/>
        <v>185.19750039999997</v>
      </c>
      <c r="AT639" s="1125">
        <f t="shared" si="1179"/>
        <v>197.79068219999999</v>
      </c>
      <c r="AU639" s="1125">
        <f t="shared" si="1179"/>
        <v>209.31521579999998</v>
      </c>
      <c r="AV639" s="1126">
        <f t="shared" si="1179"/>
        <v>221.39277203399996</v>
      </c>
      <c r="AW639" s="1140">
        <f t="shared" si="1179"/>
        <v>235.57233875999995</v>
      </c>
      <c r="AX639" s="1125">
        <f t="shared" si="1179"/>
        <v>249.62210101799994</v>
      </c>
      <c r="AY639" s="1125">
        <f t="shared" si="1179"/>
        <v>262.18850754599993</v>
      </c>
      <c r="AZ639" s="1126">
        <f t="shared" si="1179"/>
        <v>275.38729085825992</v>
      </c>
      <c r="BA639" s="1140">
        <f t="shared" si="1179"/>
        <v>290.88722279099989</v>
      </c>
      <c r="BB639" s="1125">
        <f t="shared" si="1179"/>
        <v>305.7535611854999</v>
      </c>
      <c r="BC639" s="1125">
        <f t="shared" si="1179"/>
        <v>318.6741673949399</v>
      </c>
      <c r="BD639" s="1126">
        <f t="shared" si="1179"/>
        <v>332.32280566709687</v>
      </c>
      <c r="BE639" s="1125"/>
      <c r="BF639" s="1054"/>
      <c r="BG639" s="226"/>
      <c r="BH639" s="226"/>
      <c r="BI639" s="226"/>
      <c r="BJ639" s="226"/>
      <c r="BK639" s="226"/>
      <c r="BL639" s="1125">
        <f t="shared" ref="BL639:BY639" si="1180">+BL632+BL618+BL604</f>
        <v>89.272996395515861</v>
      </c>
      <c r="BM639" s="1125">
        <f t="shared" si="1180"/>
        <v>150.75827644113312</v>
      </c>
      <c r="BN639" s="1140">
        <f t="shared" si="1180"/>
        <v>251.74799999999999</v>
      </c>
      <c r="BO639" s="1125">
        <f t="shared" si="1180"/>
        <v>347.76599999999996</v>
      </c>
      <c r="BP639" s="1125">
        <f t="shared" si="1180"/>
        <v>472.27434</v>
      </c>
      <c r="BQ639" s="1125">
        <f t="shared" si="1180"/>
        <v>628.76920580000001</v>
      </c>
      <c r="BR639" s="1125">
        <f t="shared" si="1180"/>
        <v>813.6961704339999</v>
      </c>
      <c r="BS639" s="1125">
        <f t="shared" si="1180"/>
        <v>1022.7702381822596</v>
      </c>
      <c r="BT639" s="1125">
        <f t="shared" si="1180"/>
        <v>1247.6377570385366</v>
      </c>
      <c r="BU639" s="1125">
        <f t="shared" si="1180"/>
        <v>1498.023459496319</v>
      </c>
      <c r="BV639" s="1125">
        <f t="shared" si="1180"/>
        <v>1796.2123999902128</v>
      </c>
      <c r="BW639" s="1125">
        <f t="shared" si="1180"/>
        <v>2149.1807271468406</v>
      </c>
      <c r="BX639" s="1125">
        <f t="shared" si="1180"/>
        <v>2555.7642362245997</v>
      </c>
      <c r="BY639" s="1126">
        <f t="shared" si="1180"/>
        <v>3030.0146495152549</v>
      </c>
      <c r="BZ639" s="226"/>
    </row>
    <row r="640" spans="8:78" s="42" customFormat="1" ht="11.25" hidden="1" customHeight="1" outlineLevel="2">
      <c r="I640" s="1127" t="s">
        <v>132</v>
      </c>
      <c r="J640" s="83"/>
      <c r="K640" s="83"/>
      <c r="L640" s="83"/>
      <c r="M640" s="83"/>
      <c r="N640" s="83"/>
      <c r="O640" s="83"/>
      <c r="P640" s="83"/>
      <c r="Q640" s="83"/>
      <c r="R640" s="83"/>
      <c r="S640" s="83"/>
      <c r="T640" s="83"/>
      <c r="U640" s="656"/>
      <c r="V640" s="83"/>
      <c r="W640" s="83"/>
      <c r="X640" s="883"/>
      <c r="Y640" s="1141"/>
      <c r="Z640" s="1128">
        <f t="shared" ref="Z640:AE640" si="1181">+Z639/V639-1</f>
        <v>0.77636844868096744</v>
      </c>
      <c r="AA640" s="1128">
        <f t="shared" si="1181"/>
        <v>0.65867393133079455</v>
      </c>
      <c r="AB640" s="1129">
        <f t="shared" si="1181"/>
        <v>0.69326735286095897</v>
      </c>
      <c r="AC640" s="1128">
        <f t="shared" si="1181"/>
        <v>0.67878089411621034</v>
      </c>
      <c r="AD640" s="1128">
        <f t="shared" si="1181"/>
        <v>0.78658990398207407</v>
      </c>
      <c r="AE640" s="1128">
        <f t="shared" si="1181"/>
        <v>0.66417053498407896</v>
      </c>
      <c r="AF640" s="1128">
        <f t="shared" ref="AF640:AN640" si="1182">+AF639/AB639-1</f>
        <v>0.58358702270157425</v>
      </c>
      <c r="AG640" s="1141">
        <f t="shared" si="1182"/>
        <v>0.4904510204869017</v>
      </c>
      <c r="AH640" s="1128">
        <f t="shared" si="1182"/>
        <v>0.39944720103899578</v>
      </c>
      <c r="AI640" s="1128">
        <f t="shared" si="1182"/>
        <v>0.33942052337898754</v>
      </c>
      <c r="AJ640" s="1128">
        <f t="shared" si="1182"/>
        <v>0.32754785378848239</v>
      </c>
      <c r="AK640" s="1141">
        <f t="shared" si="1182"/>
        <v>0.35950402526468372</v>
      </c>
      <c r="AL640" s="1128">
        <f t="shared" si="1182"/>
        <v>0.35498762611840839</v>
      </c>
      <c r="AM640" s="1128">
        <f t="shared" si="1182"/>
        <v>0.36198984138299761</v>
      </c>
      <c r="AN640" s="1129">
        <f t="shared" si="1182"/>
        <v>0.35579582126603237</v>
      </c>
      <c r="AO640" s="1141">
        <f t="shared" ref="AO640:AV640" si="1183">+AO639/AK639-1</f>
        <v>0.34665016470229815</v>
      </c>
      <c r="AP640" s="1128">
        <f t="shared" si="1183"/>
        <v>0.3366778476344352</v>
      </c>
      <c r="AQ640" s="1128">
        <f t="shared" si="1183"/>
        <v>0.32717748662839208</v>
      </c>
      <c r="AR640" s="1129">
        <f t="shared" si="1183"/>
        <v>0.31840429013672256</v>
      </c>
      <c r="AS640" s="1141">
        <f t="shared" si="1183"/>
        <v>0.30928408341524705</v>
      </c>
      <c r="AT640" s="1128">
        <f t="shared" si="1183"/>
        <v>0.29932072280320687</v>
      </c>
      <c r="AU640" s="1128">
        <f t="shared" si="1183"/>
        <v>0.28984544424335068</v>
      </c>
      <c r="AV640" s="1129">
        <f t="shared" si="1183"/>
        <v>0.28110255615280955</v>
      </c>
      <c r="AW640" s="1141">
        <f t="shared" ref="AW640:BD640" si="1184">+AW639/AS639-1</f>
        <v>0.27200603815492963</v>
      </c>
      <c r="AX640" s="1128">
        <f t="shared" si="1184"/>
        <v>0.26205187343248837</v>
      </c>
      <c r="AY640" s="1128">
        <f t="shared" si="1184"/>
        <v>0.25260128148791727</v>
      </c>
      <c r="AZ640" s="1129">
        <f t="shared" si="1184"/>
        <v>0.2438856441797832</v>
      </c>
      <c r="BA640" s="1141">
        <f t="shared" si="1184"/>
        <v>0.2348106077401324</v>
      </c>
      <c r="BB640" s="1128">
        <f t="shared" si="1184"/>
        <v>0.22486574681723548</v>
      </c>
      <c r="BC640" s="1128">
        <f t="shared" si="1184"/>
        <v>0.21543911431369578</v>
      </c>
      <c r="BD640" s="1129">
        <f t="shared" si="1184"/>
        <v>0.20674706748954974</v>
      </c>
      <c r="BE640" s="1128"/>
      <c r="BF640" s="656"/>
      <c r="BG640" s="83"/>
      <c r="BH640" s="83"/>
      <c r="BI640" s="83"/>
      <c r="BJ640" s="83"/>
      <c r="BK640" s="83"/>
      <c r="BL640" s="83"/>
      <c r="BM640" s="404">
        <f>BM639/BL639-1</f>
        <v>0.68873323992859325</v>
      </c>
      <c r="BN640" s="1519">
        <f>BN639/BM639-1</f>
        <v>0.66987846997773626</v>
      </c>
      <c r="BO640" s="404">
        <f t="shared" ref="BO640:BU640" si="1185">BO639/BN639-1</f>
        <v>0.38140521473854805</v>
      </c>
      <c r="BP640" s="404">
        <f t="shared" si="1185"/>
        <v>0.35802332602957176</v>
      </c>
      <c r="BQ640" s="404">
        <f t="shared" si="1185"/>
        <v>0.33136432057689191</v>
      </c>
      <c r="BR640" s="404">
        <f t="shared" si="1185"/>
        <v>0.29410944894909785</v>
      </c>
      <c r="BS640" s="404">
        <f t="shared" si="1185"/>
        <v>0.25694365457901336</v>
      </c>
      <c r="BT640" s="404">
        <f t="shared" si="1185"/>
        <v>0.21986122636490446</v>
      </c>
      <c r="BU640" s="404">
        <f t="shared" si="1185"/>
        <v>0.20068782067970758</v>
      </c>
      <c r="BV640" s="404">
        <f>BV639/BU639-1</f>
        <v>0.19905492040435324</v>
      </c>
      <c r="BW640" s="404">
        <f>BW639/BV639-1</f>
        <v>0.19650700950430533</v>
      </c>
      <c r="BX640" s="404">
        <f>BX639/BW639-1</f>
        <v>0.18918069752910993</v>
      </c>
      <c r="BY640" s="1119">
        <f>BY639/BX639-1</f>
        <v>0.18556109619532934</v>
      </c>
      <c r="BZ640" s="83"/>
    </row>
    <row r="641" spans="8:78" s="42" customFormat="1" ht="11.25" hidden="1" customHeight="1" outlineLevel="2">
      <c r="I641" s="1127"/>
      <c r="J641" s="83"/>
      <c r="K641" s="83"/>
      <c r="L641" s="83"/>
      <c r="M641" s="83"/>
      <c r="N641" s="83"/>
      <c r="O641" s="83"/>
      <c r="P641" s="83"/>
      <c r="Q641" s="83"/>
      <c r="R641" s="83"/>
      <c r="S641" s="83"/>
      <c r="T641" s="83"/>
      <c r="U641" s="656"/>
      <c r="V641" s="83"/>
      <c r="W641" s="83"/>
      <c r="X641" s="883"/>
      <c r="Y641" s="1141"/>
      <c r="Z641" s="1128"/>
      <c r="AA641" s="1128"/>
      <c r="AB641" s="1129"/>
      <c r="AC641" s="1128"/>
      <c r="AD641" s="1128"/>
      <c r="AE641" s="1128"/>
      <c r="AF641" s="1128"/>
      <c r="AG641" s="1141"/>
      <c r="AH641" s="1128"/>
      <c r="AI641" s="1128"/>
      <c r="AJ641" s="1129"/>
      <c r="AK641" s="1141"/>
      <c r="AL641" s="1128"/>
      <c r="AM641" s="1128"/>
      <c r="AN641" s="1129"/>
      <c r="AO641" s="1141"/>
      <c r="AP641" s="1128"/>
      <c r="AQ641" s="1128"/>
      <c r="AR641" s="1129"/>
      <c r="AS641" s="1141"/>
      <c r="AT641" s="1128"/>
      <c r="AU641" s="1128"/>
      <c r="AV641" s="1129"/>
      <c r="AW641" s="1141"/>
      <c r="AX641" s="1128"/>
      <c r="AY641" s="1128"/>
      <c r="AZ641" s="1129"/>
      <c r="BA641" s="1141"/>
      <c r="BB641" s="1128"/>
      <c r="BC641" s="1128"/>
      <c r="BD641" s="1129"/>
      <c r="BE641" s="1128"/>
      <c r="BF641" s="656"/>
      <c r="BG641" s="83"/>
      <c r="BH641" s="83"/>
      <c r="BI641" s="83"/>
      <c r="BJ641" s="83"/>
      <c r="BK641" s="83"/>
      <c r="BL641" s="83"/>
      <c r="BM641" s="83"/>
      <c r="BN641" s="1519"/>
      <c r="BO641" s="404"/>
      <c r="BP641" s="404"/>
      <c r="BQ641" s="404"/>
      <c r="BR641" s="404"/>
      <c r="BS641" s="404"/>
      <c r="BT641" s="404"/>
      <c r="BU641" s="404"/>
      <c r="BV641" s="404"/>
      <c r="BW641" s="404"/>
      <c r="BX641" s="404"/>
      <c r="BY641" s="1119"/>
      <c r="BZ641" s="83"/>
    </row>
    <row r="642" spans="8:78" ht="11.25" hidden="1" customHeight="1" outlineLevel="2">
      <c r="I642" s="771" t="s">
        <v>441</v>
      </c>
      <c r="J642" s="339"/>
      <c r="K642" s="339"/>
      <c r="L642" s="339"/>
      <c r="M642" s="339"/>
      <c r="N642" s="339"/>
      <c r="O642" s="339"/>
      <c r="P642" s="339"/>
      <c r="Q642" s="339"/>
      <c r="R642" s="339"/>
      <c r="S642" s="339"/>
      <c r="T642" s="339"/>
      <c r="U642" s="757"/>
      <c r="V642" s="339"/>
      <c r="W642" s="339"/>
      <c r="X642" s="758"/>
      <c r="Y642" s="757"/>
      <c r="Z642" s="339"/>
      <c r="AA642" s="339"/>
      <c r="AB642" s="758"/>
      <c r="AC642" s="757"/>
      <c r="AD642" s="339"/>
      <c r="AE642" s="339"/>
      <c r="AF642" s="339"/>
      <c r="AG642" s="757"/>
      <c r="AH642" s="339"/>
      <c r="AI642" s="339"/>
      <c r="AJ642" s="339"/>
      <c r="AK642" s="757"/>
      <c r="AL642" s="339"/>
      <c r="AM642" s="339"/>
      <c r="AN642" s="758"/>
      <c r="AO642" s="1646"/>
      <c r="AP642" s="339"/>
      <c r="AQ642" s="339"/>
      <c r="AR642" s="758"/>
      <c r="AS642" s="1646"/>
      <c r="AT642" s="339"/>
      <c r="AU642" s="339"/>
      <c r="AV642" s="758"/>
      <c r="AW642" s="1646"/>
      <c r="AX642" s="339"/>
      <c r="AY642" s="339"/>
      <c r="AZ642" s="758"/>
      <c r="BA642" s="1646"/>
      <c r="BB642" s="339"/>
      <c r="BC642" s="339"/>
      <c r="BD642" s="758"/>
      <c r="BE642" s="277"/>
      <c r="BF642" s="757"/>
      <c r="BG642" s="339"/>
      <c r="BH642" s="339"/>
      <c r="BI642" s="339"/>
      <c r="BJ642" s="339"/>
      <c r="BK642" s="339"/>
      <c r="BL642" s="339"/>
      <c r="BM642" s="339"/>
      <c r="BN642" s="1646"/>
      <c r="BO642" s="339"/>
      <c r="BP642" s="339"/>
      <c r="BQ642" s="339"/>
      <c r="BR642" s="339"/>
      <c r="BS642" s="339"/>
      <c r="BT642" s="339"/>
      <c r="BU642" s="339"/>
      <c r="BV642" s="339"/>
      <c r="BW642" s="339"/>
      <c r="BX642" s="339"/>
      <c r="BY642" s="758"/>
    </row>
    <row r="643" spans="8:78" s="42" customFormat="1" ht="11.25" hidden="1" customHeight="1" outlineLevel="2">
      <c r="I643" s="772"/>
      <c r="J643" s="277"/>
      <c r="K643" s="277"/>
      <c r="L643" s="277"/>
      <c r="M643" s="277"/>
      <c r="N643" s="277"/>
      <c r="O643" s="277"/>
      <c r="P643" s="277"/>
      <c r="Q643" s="277"/>
      <c r="R643" s="277"/>
      <c r="S643" s="277"/>
      <c r="T643" s="277"/>
      <c r="U643" s="728"/>
      <c r="V643" s="277"/>
      <c r="W643" s="277"/>
      <c r="X643" s="729"/>
      <c r="Y643" s="728"/>
      <c r="Z643" s="277"/>
      <c r="AA643" s="277"/>
      <c r="AB643" s="729"/>
      <c r="AC643" s="277"/>
      <c r="AD643" s="277"/>
      <c r="AE643" s="277"/>
      <c r="AF643" s="277"/>
      <c r="AG643" s="728"/>
      <c r="AH643" s="277"/>
      <c r="AI643" s="277"/>
      <c r="AJ643" s="277"/>
      <c r="AK643" s="728"/>
      <c r="AL643" s="277"/>
      <c r="AM643" s="277"/>
      <c r="AN643" s="729"/>
      <c r="AO643" s="728"/>
      <c r="AP643" s="277"/>
      <c r="AQ643" s="277"/>
      <c r="AR643" s="729"/>
      <c r="AS643" s="728"/>
      <c r="AT643" s="277"/>
      <c r="AU643" s="277"/>
      <c r="AV643" s="729"/>
      <c r="AW643" s="728"/>
      <c r="AX643" s="277"/>
      <c r="AY643" s="277"/>
      <c r="AZ643" s="729"/>
      <c r="BA643" s="728"/>
      <c r="BB643" s="277"/>
      <c r="BC643" s="277"/>
      <c r="BD643" s="729"/>
      <c r="BE643" s="277"/>
      <c r="BF643" s="728"/>
      <c r="BG643" s="277"/>
      <c r="BH643" s="277"/>
      <c r="BI643" s="277"/>
      <c r="BJ643" s="277"/>
      <c r="BK643" s="277"/>
      <c r="BL643" s="277"/>
      <c r="BM643" s="277"/>
      <c r="BN643" s="728"/>
      <c r="BO643" s="277"/>
      <c r="BP643" s="277"/>
      <c r="BQ643" s="277"/>
      <c r="BR643" s="277"/>
      <c r="BS643" s="277"/>
      <c r="BT643" s="277"/>
      <c r="BU643" s="277"/>
      <c r="BV643" s="277"/>
      <c r="BW643" s="277"/>
      <c r="BX643" s="277"/>
      <c r="BY643" s="729"/>
      <c r="BZ643" s="83"/>
    </row>
    <row r="644" spans="8:78" s="41" customFormat="1" ht="11.25" hidden="1" customHeight="1" outlineLevel="2">
      <c r="H644" s="90"/>
      <c r="I644" s="1052" t="s">
        <v>447</v>
      </c>
      <c r="J644" s="226"/>
      <c r="K644" s="226"/>
      <c r="L644" s="226"/>
      <c r="M644" s="226"/>
      <c r="N644" s="226"/>
      <c r="O644" s="226"/>
      <c r="P644" s="226"/>
      <c r="Q644" s="226"/>
      <c r="R644" s="226"/>
      <c r="S644" s="226"/>
      <c r="T644" s="226"/>
      <c r="U644" s="1308">
        <f t="shared" ref="U644:BD644" si="1186">+U490-U639-U57</f>
        <v>2.5653295799706974</v>
      </c>
      <c r="V644" s="433">
        <f t="shared" si="1186"/>
        <v>6.3309999999999995</v>
      </c>
      <c r="W644" s="433">
        <f t="shared" si="1186"/>
        <v>4.203000000000003</v>
      </c>
      <c r="X644" s="1309">
        <f t="shared" si="1186"/>
        <v>6.7856740245134475</v>
      </c>
      <c r="Y644" s="1308">
        <f t="shared" si="1186"/>
        <v>5.680990482279868</v>
      </c>
      <c r="Z644" s="433">
        <f t="shared" si="1186"/>
        <v>8.4328534771613679</v>
      </c>
      <c r="AA644" s="433">
        <f t="shared" si="1186"/>
        <v>7.8320295994256517</v>
      </c>
      <c r="AB644" s="1309">
        <f t="shared" si="1186"/>
        <v>9.4499130000000005</v>
      </c>
      <c r="AC644" s="433">
        <f t="shared" si="1186"/>
        <v>10.840569000000009</v>
      </c>
      <c r="AD644" s="433">
        <f t="shared" si="1186"/>
        <v>12.963390000000002</v>
      </c>
      <c r="AE644" s="433">
        <f t="shared" si="1186"/>
        <v>15.032350000000008</v>
      </c>
      <c r="AF644" s="433">
        <f t="shared" si="1186"/>
        <v>16.97739</v>
      </c>
      <c r="AG644" s="1308">
        <f t="shared" si="1186"/>
        <v>18.107999999999993</v>
      </c>
      <c r="AH644" s="433">
        <f t="shared" si="1186"/>
        <v>20.834000000000003</v>
      </c>
      <c r="AI644" s="433">
        <f t="shared" si="1186"/>
        <v>23.255999999999993</v>
      </c>
      <c r="AJ644" s="433">
        <f t="shared" si="1186"/>
        <v>26.170999999999992</v>
      </c>
      <c r="AK644" s="1308">
        <f t="shared" si="1186"/>
        <v>29.878000000000018</v>
      </c>
      <c r="AL644" s="433">
        <f t="shared" si="1186"/>
        <v>34.294999999999987</v>
      </c>
      <c r="AM644" s="433">
        <f t="shared" si="1186"/>
        <v>37.425999999999995</v>
      </c>
      <c r="AN644" s="1309">
        <f t="shared" si="1186"/>
        <v>36.12165999999997</v>
      </c>
      <c r="AO644" s="1308">
        <f t="shared" si="1186"/>
        <v>35.550560000000019</v>
      </c>
      <c r="AP644" s="433">
        <f t="shared" si="1186"/>
        <v>35.652779999999979</v>
      </c>
      <c r="AQ644" s="433">
        <f t="shared" si="1186"/>
        <v>35.320699999999988</v>
      </c>
      <c r="AR644" s="1309">
        <f t="shared" si="1186"/>
        <v>36.285754199999985</v>
      </c>
      <c r="AS644" s="1308">
        <f t="shared" si="1186"/>
        <v>27.802499600000033</v>
      </c>
      <c r="AT644" s="433">
        <f t="shared" si="1186"/>
        <v>27.088317799999999</v>
      </c>
      <c r="AU644" s="433">
        <f t="shared" si="1186"/>
        <v>25.284784200000018</v>
      </c>
      <c r="AV644" s="1309">
        <f t="shared" si="1186"/>
        <v>23.707227966000033</v>
      </c>
      <c r="AW644" s="1308">
        <f t="shared" si="1186"/>
        <v>14.427661240000049</v>
      </c>
      <c r="AX644" s="433">
        <f t="shared" si="1186"/>
        <v>12.256898982000081</v>
      </c>
      <c r="AY644" s="433">
        <f t="shared" si="1186"/>
        <v>9.411492454000097</v>
      </c>
      <c r="AZ644" s="1309">
        <f t="shared" si="1186"/>
        <v>6.7127091417401061</v>
      </c>
      <c r="BA644" s="1308">
        <f t="shared" si="1186"/>
        <v>-3.8872227909998855</v>
      </c>
      <c r="BB644" s="433">
        <f t="shared" si="1186"/>
        <v>-6.8745611854998856</v>
      </c>
      <c r="BC644" s="433">
        <f t="shared" si="1186"/>
        <v>-10.074167394939877</v>
      </c>
      <c r="BD644" s="1309">
        <f t="shared" si="1186"/>
        <v>-13.22280566709685</v>
      </c>
      <c r="BE644" s="433"/>
      <c r="BF644" s="857"/>
      <c r="BG644" s="231"/>
      <c r="BH644" s="231"/>
      <c r="BI644" s="231"/>
      <c r="BJ644" s="231"/>
      <c r="BK644" s="231"/>
      <c r="BL644" s="433">
        <f t="shared" ref="BL644:BY644" si="1187">+BL490-BL639-BL57</f>
        <v>19.885003604484126</v>
      </c>
      <c r="BM644" s="433">
        <f t="shared" si="1187"/>
        <v>31.395786558866874</v>
      </c>
      <c r="BN644" s="1308">
        <f t="shared" si="1187"/>
        <v>55.813698999999971</v>
      </c>
      <c r="BO644" s="433">
        <f t="shared" si="1187"/>
        <v>88.369000000000057</v>
      </c>
      <c r="BP644" s="433">
        <f t="shared" si="1187"/>
        <v>137.72066000000007</v>
      </c>
      <c r="BQ644" s="433">
        <f t="shared" si="1187"/>
        <v>142.80979420000006</v>
      </c>
      <c r="BR644" s="433">
        <f t="shared" si="1187"/>
        <v>103.88282956600017</v>
      </c>
      <c r="BS644" s="433">
        <f t="shared" si="1187"/>
        <v>42.80876181774056</v>
      </c>
      <c r="BT644" s="433">
        <f t="shared" si="1187"/>
        <v>-34.058757038536442</v>
      </c>
      <c r="BU644" s="433">
        <f t="shared" si="1187"/>
        <v>-182.45645949631881</v>
      </c>
      <c r="BV644" s="433">
        <f t="shared" si="1187"/>
        <v>-359.38539999021265</v>
      </c>
      <c r="BW644" s="433">
        <f t="shared" si="1187"/>
        <v>-606.01372714684044</v>
      </c>
      <c r="BX644" s="433">
        <f t="shared" si="1187"/>
        <v>-911.17723622459948</v>
      </c>
      <c r="BY644" s="1309">
        <f t="shared" si="1187"/>
        <v>-1287.9476495152546</v>
      </c>
      <c r="BZ644" s="226"/>
    </row>
    <row r="645" spans="8:78" ht="11.25" hidden="1" customHeight="1" outlineLevel="2">
      <c r="I645" s="1127" t="s">
        <v>132</v>
      </c>
      <c r="J645" s="83"/>
      <c r="K645" s="83"/>
      <c r="L645" s="83"/>
      <c r="M645" s="83"/>
      <c r="N645" s="83"/>
      <c r="O645" s="83"/>
      <c r="P645" s="83"/>
      <c r="Q645" s="83"/>
      <c r="R645" s="83"/>
      <c r="S645" s="83"/>
      <c r="T645" s="83"/>
      <c r="U645" s="656"/>
      <c r="V645" s="83"/>
      <c r="W645" s="83"/>
      <c r="X645" s="883"/>
      <c r="Y645" s="1128">
        <f t="shared" ref="Y645:AE645" si="1188">+Y644/U644-1</f>
        <v>1.2145265569910744</v>
      </c>
      <c r="Z645" s="1128">
        <f t="shared" si="1188"/>
        <v>0.33199391520476529</v>
      </c>
      <c r="AA645" s="1128">
        <f t="shared" si="1188"/>
        <v>0.86343792515480522</v>
      </c>
      <c r="AB645" s="1129">
        <f t="shared" si="1188"/>
        <v>0.39262702067059374</v>
      </c>
      <c r="AC645" s="1128">
        <f t="shared" si="1188"/>
        <v>0.90821812390178902</v>
      </c>
      <c r="AD645" s="1128">
        <f t="shared" si="1188"/>
        <v>0.53724833890552603</v>
      </c>
      <c r="AE645" s="1128">
        <f t="shared" si="1188"/>
        <v>0.91934284838535074</v>
      </c>
      <c r="AF645" s="1128">
        <f t="shared" ref="AF645:AN645" si="1189">+AF644/AB644-1</f>
        <v>0.79656574616083753</v>
      </c>
      <c r="AG645" s="1141">
        <f t="shared" si="1189"/>
        <v>0.6703920246252737</v>
      </c>
      <c r="AH645" s="1128">
        <f t="shared" si="1189"/>
        <v>0.60714134188665159</v>
      </c>
      <c r="AI645" s="1128">
        <f t="shared" si="1189"/>
        <v>0.54706349971893831</v>
      </c>
      <c r="AJ645" s="1128">
        <f t="shared" si="1189"/>
        <v>0.54152081091380899</v>
      </c>
      <c r="AK645" s="1141">
        <f t="shared" si="1189"/>
        <v>0.64998895515794275</v>
      </c>
      <c r="AL645" s="1128">
        <f t="shared" si="1189"/>
        <v>0.64610732456561304</v>
      </c>
      <c r="AM645" s="1128">
        <f t="shared" si="1189"/>
        <v>0.60930512555899585</v>
      </c>
      <c r="AN645" s="1129">
        <f t="shared" si="1189"/>
        <v>0.38021703412173702</v>
      </c>
      <c r="AO645" s="1141">
        <f t="shared" ref="AO645:AV645" si="1190">+AO644/AK644-1</f>
        <v>0.18985742017537977</v>
      </c>
      <c r="AP645" s="1128">
        <f t="shared" si="1190"/>
        <v>3.9591194051610712E-2</v>
      </c>
      <c r="AQ645" s="1128">
        <f t="shared" si="1190"/>
        <v>-5.6252337946882003E-2</v>
      </c>
      <c r="AR645" s="1129">
        <f t="shared" si="1190"/>
        <v>4.5428200143629027E-3</v>
      </c>
      <c r="AS645" s="1141">
        <f t="shared" si="1190"/>
        <v>-0.21794481999720905</v>
      </c>
      <c r="AT645" s="1128">
        <f t="shared" si="1190"/>
        <v>-0.24021863652708109</v>
      </c>
      <c r="AU645" s="1128">
        <f t="shared" si="1190"/>
        <v>-0.2841369451907797</v>
      </c>
      <c r="AV645" s="1129">
        <f t="shared" si="1190"/>
        <v>-0.34665191647029225</v>
      </c>
      <c r="AW645" s="1141">
        <f t="shared" ref="AW645:BD645" si="1191">+AW644/AS644-1</f>
        <v>-0.48106603911253965</v>
      </c>
      <c r="AX645" s="1128">
        <f t="shared" si="1191"/>
        <v>-0.54752085114712878</v>
      </c>
      <c r="AY645" s="1128">
        <f t="shared" si="1191"/>
        <v>-0.6277803923673555</v>
      </c>
      <c r="AZ645" s="1129">
        <f t="shared" si="1191"/>
        <v>-0.7168496818199408</v>
      </c>
      <c r="BA645" s="1141">
        <f t="shared" si="1191"/>
        <v>-1.2694284767528872</v>
      </c>
      <c r="BB645" s="1128">
        <f t="shared" si="1191"/>
        <v>-1.560872794627381</v>
      </c>
      <c r="BC645" s="1128">
        <f t="shared" si="1191"/>
        <v>-2.0704112492443354</v>
      </c>
      <c r="BD645" s="1129">
        <f t="shared" si="1191"/>
        <v>-2.9698165655467621</v>
      </c>
      <c r="BE645" s="1128"/>
      <c r="BF645" s="814"/>
      <c r="BG645" s="106"/>
      <c r="BH645" s="106"/>
      <c r="BI645" s="106"/>
      <c r="BJ645" s="106"/>
      <c r="BK645" s="106"/>
      <c r="BL645" s="106"/>
      <c r="BM645" s="958">
        <f>BM644/BL644-1</f>
        <v>0.57886753170047367</v>
      </c>
      <c r="BN645" s="1146">
        <f>BN644/BM644-1</f>
        <v>0.77774488609640935</v>
      </c>
      <c r="BO645" s="958">
        <f t="shared" ref="BO645:BT645" si="1192">BO644/BN644-1</f>
        <v>0.58328513578718555</v>
      </c>
      <c r="BP645" s="958">
        <f t="shared" si="1192"/>
        <v>0.55847254127578649</v>
      </c>
      <c r="BQ645" s="958">
        <f t="shared" si="1192"/>
        <v>3.6952583584772158E-2</v>
      </c>
      <c r="BR645" s="958">
        <f t="shared" si="1192"/>
        <v>-0.27257909621719678</v>
      </c>
      <c r="BS645" s="958">
        <f t="shared" si="1192"/>
        <v>-0.58791301703480503</v>
      </c>
      <c r="BT645" s="958">
        <f t="shared" si="1192"/>
        <v>-1.7956024793135223</v>
      </c>
      <c r="BU645" s="958">
        <f>BU644/BT644-1</f>
        <v>4.3571085782688694</v>
      </c>
      <c r="BV645" s="958">
        <f>BV644/BU644-1</f>
        <v>0.96970499691990075</v>
      </c>
      <c r="BW645" s="958">
        <f>BW644/BV644-1</f>
        <v>0.68625026827284685</v>
      </c>
      <c r="BX645" s="958">
        <f>BX644/BW644-1</f>
        <v>0.50355874035146453</v>
      </c>
      <c r="BY645" s="1152">
        <f>BY644/BX644-1</f>
        <v>0.41349849218334023</v>
      </c>
    </row>
    <row r="646" spans="8:78" s="41" customFormat="1" hidden="1" outlineLevel="2">
      <c r="H646" s="90"/>
      <c r="I646" s="814" t="s">
        <v>474</v>
      </c>
      <c r="J646" s="231"/>
      <c r="K646" s="231"/>
      <c r="L646" s="231"/>
      <c r="M646" s="231"/>
      <c r="N646" s="231"/>
      <c r="O646" s="231"/>
      <c r="P646" s="231"/>
      <c r="Q646" s="231"/>
      <c r="R646" s="231"/>
      <c r="S646" s="231"/>
      <c r="T646" s="1151"/>
      <c r="U646" s="236"/>
      <c r="V646" s="236"/>
      <c r="W646" s="236"/>
      <c r="X646" s="891"/>
      <c r="Y646" s="1304">
        <f t="shared" ref="Y646:AN646" si="1193">+Y644-U644</f>
        <v>3.1156609023091706</v>
      </c>
      <c r="Z646" s="1304">
        <f t="shared" si="1193"/>
        <v>2.1018534771613684</v>
      </c>
      <c r="AA646" s="1304">
        <f t="shared" si="1193"/>
        <v>3.6290295994256487</v>
      </c>
      <c r="AB646" s="1304">
        <f t="shared" si="1193"/>
        <v>2.664238975486553</v>
      </c>
      <c r="AC646" s="1305">
        <f t="shared" si="1193"/>
        <v>5.1595785177201412</v>
      </c>
      <c r="AD646" s="1304">
        <f t="shared" si="1193"/>
        <v>4.5305365228386343</v>
      </c>
      <c r="AE646" s="1304">
        <f t="shared" si="1193"/>
        <v>7.2003204005743564</v>
      </c>
      <c r="AF646" s="1304">
        <f t="shared" si="1193"/>
        <v>7.5274769999999993</v>
      </c>
      <c r="AG646" s="1305">
        <f t="shared" si="1193"/>
        <v>7.2674309999999842</v>
      </c>
      <c r="AH646" s="1304">
        <f t="shared" si="1193"/>
        <v>7.870610000000001</v>
      </c>
      <c r="AI646" s="1304">
        <f t="shared" si="1193"/>
        <v>8.223649999999985</v>
      </c>
      <c r="AJ646" s="1304">
        <f t="shared" si="1193"/>
        <v>9.1936099999999925</v>
      </c>
      <c r="AK646" s="1305">
        <f t="shared" si="1193"/>
        <v>11.770000000000024</v>
      </c>
      <c r="AL646" s="1304">
        <f t="shared" si="1193"/>
        <v>13.460999999999984</v>
      </c>
      <c r="AM646" s="1304">
        <f t="shared" si="1193"/>
        <v>14.170000000000002</v>
      </c>
      <c r="AN646" s="1306">
        <f t="shared" si="1193"/>
        <v>9.9506599999999779</v>
      </c>
      <c r="AO646" s="1305">
        <f t="shared" ref="AO646:AV646" si="1194">+AO644-AK644</f>
        <v>5.6725600000000007</v>
      </c>
      <c r="AP646" s="1304">
        <f t="shared" si="1194"/>
        <v>1.3577799999999911</v>
      </c>
      <c r="AQ646" s="1304">
        <f t="shared" si="1194"/>
        <v>-2.1053000000000068</v>
      </c>
      <c r="AR646" s="1306">
        <f t="shared" si="1194"/>
        <v>0.16409420000001518</v>
      </c>
      <c r="AS646" s="1305">
        <f t="shared" si="1194"/>
        <v>-7.7480603999999857</v>
      </c>
      <c r="AT646" s="1304">
        <f t="shared" si="1194"/>
        <v>-8.5644621999999799</v>
      </c>
      <c r="AU646" s="1304">
        <f t="shared" si="1194"/>
        <v>-10.03591579999997</v>
      </c>
      <c r="AV646" s="1306">
        <f t="shared" si="1194"/>
        <v>-12.578526233999952</v>
      </c>
      <c r="AW646" s="1305">
        <f t="shared" ref="AW646:BD646" si="1195">+AW644-AS644</f>
        <v>-13.374838359999984</v>
      </c>
      <c r="AX646" s="1304">
        <f t="shared" si="1195"/>
        <v>-14.831418817999918</v>
      </c>
      <c r="AY646" s="1304">
        <f t="shared" si="1195"/>
        <v>-15.873291745999921</v>
      </c>
      <c r="AZ646" s="1306">
        <f t="shared" si="1195"/>
        <v>-16.994518824259927</v>
      </c>
      <c r="BA646" s="1305">
        <f t="shared" si="1195"/>
        <v>-18.314884030999934</v>
      </c>
      <c r="BB646" s="1304">
        <f t="shared" si="1195"/>
        <v>-19.131460167499966</v>
      </c>
      <c r="BC646" s="1304">
        <f t="shared" si="1195"/>
        <v>-19.485659848939974</v>
      </c>
      <c r="BD646" s="1306">
        <f t="shared" si="1195"/>
        <v>-19.935514808836956</v>
      </c>
      <c r="BE646" s="226"/>
      <c r="BF646" s="857"/>
      <c r="BG646" s="231"/>
      <c r="BH646" s="231"/>
      <c r="BI646" s="231"/>
      <c r="BJ646" s="231"/>
      <c r="BK646" s="231"/>
      <c r="BL646" s="1283"/>
      <c r="BM646" s="1283">
        <f t="shared" ref="BM646:BT646" si="1196">+BM644-BL644</f>
        <v>11.510782954382748</v>
      </c>
      <c r="BN646" s="1310">
        <f t="shared" si="1196"/>
        <v>24.417912441133097</v>
      </c>
      <c r="BO646" s="1283">
        <f t="shared" si="1196"/>
        <v>32.555301000000085</v>
      </c>
      <c r="BP646" s="1283">
        <f t="shared" si="1196"/>
        <v>49.35166000000001</v>
      </c>
      <c r="BQ646" s="1283">
        <f>+BQ644-BP644</f>
        <v>5.0891341999999895</v>
      </c>
      <c r="BR646" s="1283">
        <f t="shared" si="1196"/>
        <v>-38.926964633999887</v>
      </c>
      <c r="BS646" s="1283">
        <f t="shared" si="1196"/>
        <v>-61.074067748259608</v>
      </c>
      <c r="BT646" s="1283">
        <f t="shared" si="1196"/>
        <v>-76.867518856277002</v>
      </c>
      <c r="BU646" s="1283">
        <f>+BU644-BT644</f>
        <v>-148.39770245778237</v>
      </c>
      <c r="BV646" s="1283">
        <f>+BV644-BU644</f>
        <v>-176.92894049389383</v>
      </c>
      <c r="BW646" s="1283">
        <f>+BW644-BV644</f>
        <v>-246.62832715662779</v>
      </c>
      <c r="BX646" s="1283">
        <f>+BX644-BW644</f>
        <v>-305.16350907775904</v>
      </c>
      <c r="BY646" s="1390">
        <f>+BY644-BX644</f>
        <v>-376.77041329065514</v>
      </c>
      <c r="BZ646" s="226"/>
    </row>
    <row r="647" spans="8:78" ht="11.25" hidden="1" customHeight="1" outlineLevel="2">
      <c r="I647" s="1127" t="s">
        <v>391</v>
      </c>
      <c r="J647" s="83"/>
      <c r="K647" s="83"/>
      <c r="L647" s="83"/>
      <c r="M647" s="83"/>
      <c r="N647" s="83"/>
      <c r="O647" s="83"/>
      <c r="P647" s="83"/>
      <c r="Q647" s="83"/>
      <c r="R647" s="83"/>
      <c r="S647" s="83"/>
      <c r="T647" s="83"/>
      <c r="U647" s="656"/>
      <c r="V647" s="83"/>
      <c r="W647" s="83"/>
      <c r="X647" s="883"/>
      <c r="Y647" s="814"/>
      <c r="Z647" s="106"/>
      <c r="AA647" s="106"/>
      <c r="AB647" s="830"/>
      <c r="AC647" s="976">
        <f t="shared" ref="AC647:AJ647" si="1197">+AC645+Y645</f>
        <v>2.1227446808928634</v>
      </c>
      <c r="AD647" s="976">
        <f t="shared" si="1197"/>
        <v>0.86924225411029132</v>
      </c>
      <c r="AE647" s="976">
        <f t="shared" si="1197"/>
        <v>1.782780773540156</v>
      </c>
      <c r="AF647" s="976">
        <f t="shared" si="1197"/>
        <v>1.1891927668314313</v>
      </c>
      <c r="AG647" s="977">
        <f t="shared" si="1197"/>
        <v>1.5786101485270627</v>
      </c>
      <c r="AH647" s="976">
        <f t="shared" si="1197"/>
        <v>1.1443896807921776</v>
      </c>
      <c r="AI647" s="976">
        <f t="shared" si="1197"/>
        <v>1.466406348104289</v>
      </c>
      <c r="AJ647" s="976">
        <f t="shared" si="1197"/>
        <v>1.3380865570746465</v>
      </c>
      <c r="AK647" s="977">
        <f t="shared" ref="AK647:AR647" si="1198">+AK645+AG645</f>
        <v>1.3203809797832164</v>
      </c>
      <c r="AL647" s="976">
        <f t="shared" si="1198"/>
        <v>1.2532486664522646</v>
      </c>
      <c r="AM647" s="976">
        <f t="shared" si="1198"/>
        <v>1.1563686252779342</v>
      </c>
      <c r="AN647" s="1130">
        <f t="shared" si="1198"/>
        <v>0.92173784503554601</v>
      </c>
      <c r="AO647" s="977">
        <f t="shared" si="1198"/>
        <v>0.83984637533332251</v>
      </c>
      <c r="AP647" s="976">
        <f t="shared" si="1198"/>
        <v>0.68569851861722375</v>
      </c>
      <c r="AQ647" s="976">
        <f t="shared" si="1198"/>
        <v>0.55305278761211385</v>
      </c>
      <c r="AR647" s="1130">
        <f t="shared" si="1198"/>
        <v>0.38475985413609992</v>
      </c>
      <c r="AS647" s="977">
        <f t="shared" ref="AS647:BD647" si="1199">+AS645+AO645</f>
        <v>-2.8087399821829284E-2</v>
      </c>
      <c r="AT647" s="976">
        <f t="shared" si="1199"/>
        <v>-0.20062744247547037</v>
      </c>
      <c r="AU647" s="976">
        <f t="shared" si="1199"/>
        <v>-0.3403892831376617</v>
      </c>
      <c r="AV647" s="1130">
        <f t="shared" si="1199"/>
        <v>-0.34210909645592935</v>
      </c>
      <c r="AW647" s="977">
        <f t="shared" si="1199"/>
        <v>-0.69901085910974869</v>
      </c>
      <c r="AX647" s="976">
        <f t="shared" si="1199"/>
        <v>-0.78773948767420987</v>
      </c>
      <c r="AY647" s="976">
        <f t="shared" si="1199"/>
        <v>-0.9119173375581352</v>
      </c>
      <c r="AZ647" s="1130">
        <f t="shared" si="1199"/>
        <v>-1.0635015982902329</v>
      </c>
      <c r="BA647" s="977">
        <f t="shared" si="1199"/>
        <v>-1.7504945158654268</v>
      </c>
      <c r="BB647" s="976">
        <f t="shared" si="1199"/>
        <v>-2.1083936457745098</v>
      </c>
      <c r="BC647" s="976">
        <f t="shared" si="1199"/>
        <v>-2.6981916416116909</v>
      </c>
      <c r="BD647" s="1130">
        <f t="shared" si="1199"/>
        <v>-3.6866662473667029</v>
      </c>
      <c r="BE647" s="1128"/>
      <c r="BF647" s="814"/>
      <c r="BG647" s="106"/>
      <c r="BH647" s="106"/>
      <c r="BI647" s="106"/>
      <c r="BJ647" s="106"/>
      <c r="BK647" s="106"/>
      <c r="BL647" s="106"/>
      <c r="BN647" s="1146"/>
      <c r="BO647" s="958"/>
      <c r="BP647" s="958"/>
      <c r="BQ647" s="106"/>
      <c r="BR647" s="106"/>
      <c r="BS647" s="106"/>
      <c r="BT647" s="106"/>
      <c r="BV647" s="106"/>
      <c r="BW647" s="106"/>
      <c r="BX647" s="106"/>
      <c r="BY647" s="830"/>
    </row>
    <row r="648" spans="8:78" ht="11.25" hidden="1" customHeight="1" outlineLevel="2">
      <c r="I648" s="1127"/>
      <c r="J648" s="83"/>
      <c r="K648" s="83"/>
      <c r="L648" s="83"/>
      <c r="M648" s="83"/>
      <c r="N648" s="83"/>
      <c r="O648" s="83"/>
      <c r="P648" s="83"/>
      <c r="Q648" s="83"/>
      <c r="R648" s="83"/>
      <c r="S648" s="83"/>
      <c r="T648" s="83"/>
      <c r="U648" s="656"/>
      <c r="V648" s="83"/>
      <c r="W648" s="83"/>
      <c r="X648" s="883"/>
      <c r="Y648" s="814"/>
      <c r="Z648" s="106"/>
      <c r="AA648" s="106"/>
      <c r="AB648" s="830"/>
      <c r="AC648" s="976"/>
      <c r="AD648" s="976"/>
      <c r="AE648" s="976"/>
      <c r="AF648" s="976"/>
      <c r="AG648" s="977"/>
      <c r="AH648" s="976"/>
      <c r="AI648" s="976"/>
      <c r="AJ648" s="976"/>
      <c r="AK648" s="977"/>
      <c r="AL648" s="976"/>
      <c r="AM648" s="976"/>
      <c r="AN648" s="1130"/>
      <c r="AO648" s="977"/>
      <c r="AP648" s="976"/>
      <c r="AQ648" s="976"/>
      <c r="AR648" s="1130"/>
      <c r="AS648" s="977"/>
      <c r="AT648" s="976"/>
      <c r="AU648" s="976"/>
      <c r="AV648" s="1130"/>
      <c r="AW648" s="977"/>
      <c r="AX648" s="976"/>
      <c r="AY648" s="976"/>
      <c r="AZ648" s="1130"/>
      <c r="BA648" s="977"/>
      <c r="BB648" s="976"/>
      <c r="BC648" s="976"/>
      <c r="BD648" s="1130"/>
      <c r="BE648" s="1128"/>
      <c r="BF648" s="814"/>
      <c r="BG648" s="106"/>
      <c r="BH648" s="106"/>
      <c r="BI648" s="106"/>
      <c r="BJ648" s="106"/>
      <c r="BK648" s="106"/>
      <c r="BL648" s="106"/>
      <c r="BN648" s="1146"/>
      <c r="BO648" s="958"/>
      <c r="BP648" s="958"/>
      <c r="BQ648" s="106"/>
      <c r="BR648" s="106"/>
      <c r="BS648" s="106"/>
      <c r="BT648" s="106"/>
      <c r="BV648" s="106"/>
      <c r="BW648" s="106"/>
      <c r="BX648" s="106"/>
      <c r="BY648" s="830"/>
    </row>
    <row r="649" spans="8:78" s="42" customFormat="1" ht="11.25" hidden="1" customHeight="1" outlineLevel="2">
      <c r="I649" s="656"/>
      <c r="J649" s="83"/>
      <c r="K649" s="83"/>
      <c r="L649" s="83"/>
      <c r="M649" s="83"/>
      <c r="N649" s="83"/>
      <c r="O649" s="83"/>
      <c r="P649" s="83"/>
      <c r="Q649" s="83"/>
      <c r="R649" s="83"/>
      <c r="S649" s="83"/>
      <c r="T649" s="83"/>
      <c r="U649" s="656"/>
      <c r="V649" s="83"/>
      <c r="W649" s="83"/>
      <c r="X649" s="883"/>
      <c r="Y649" s="83"/>
      <c r="Z649" s="83"/>
      <c r="AA649" s="83"/>
      <c r="AB649" s="83"/>
      <c r="AC649" s="1141"/>
      <c r="AD649" s="1128"/>
      <c r="AE649" s="1128"/>
      <c r="AF649" s="883"/>
      <c r="AG649" s="83"/>
      <c r="AH649" s="83"/>
      <c r="AI649" s="83"/>
      <c r="AJ649" s="83"/>
      <c r="AK649" s="656"/>
      <c r="AL649" s="83"/>
      <c r="AM649" s="83"/>
      <c r="AN649" s="883"/>
      <c r="AO649" s="656"/>
      <c r="AP649" s="83"/>
      <c r="AQ649" s="83"/>
      <c r="AR649" s="883"/>
      <c r="AS649" s="656"/>
      <c r="AT649" s="83"/>
      <c r="AU649" s="83"/>
      <c r="AV649" s="883"/>
      <c r="AW649" s="656"/>
      <c r="AX649" s="83"/>
      <c r="AY649" s="83"/>
      <c r="AZ649" s="883"/>
      <c r="BA649" s="656"/>
      <c r="BB649" s="83"/>
      <c r="BC649" s="83"/>
      <c r="BD649" s="883"/>
      <c r="BE649" s="83"/>
      <c r="BF649" s="656"/>
      <c r="BG649" s="83"/>
      <c r="BH649" s="83"/>
      <c r="BI649" s="83"/>
      <c r="BJ649" s="83"/>
      <c r="BK649" s="83"/>
      <c r="BL649" s="83"/>
      <c r="BM649" s="83"/>
      <c r="BN649" s="656"/>
      <c r="BO649" s="83"/>
      <c r="BP649" s="83"/>
      <c r="BQ649" s="83"/>
      <c r="BR649" s="83"/>
      <c r="BS649" s="83"/>
      <c r="BT649" s="83"/>
      <c r="BU649" s="83"/>
      <c r="BV649" s="83"/>
      <c r="BW649" s="83"/>
      <c r="BX649" s="83"/>
      <c r="BY649" s="883"/>
      <c r="BZ649" s="83"/>
    </row>
    <row r="650" spans="8:78" ht="11.25" hidden="1" customHeight="1" outlineLevel="2">
      <c r="I650" s="656" t="s">
        <v>372</v>
      </c>
      <c r="J650" s="83"/>
      <c r="K650" s="83"/>
      <c r="L650" s="83"/>
      <c r="M650" s="83"/>
      <c r="N650" s="83"/>
      <c r="O650" s="83"/>
      <c r="P650" s="83"/>
      <c r="Q650" s="83"/>
      <c r="R650" s="83"/>
      <c r="S650" s="83"/>
      <c r="T650" s="1145">
        <v>11</v>
      </c>
      <c r="U650" s="1147">
        <f t="shared" ref="U650:BD650" si="1200">+U452-U602-U616-U630</f>
        <v>11</v>
      </c>
      <c r="V650" s="1131">
        <f t="shared" si="1200"/>
        <v>13</v>
      </c>
      <c r="W650" s="1131">
        <f t="shared" si="1200"/>
        <v>15</v>
      </c>
      <c r="X650" s="1148">
        <f t="shared" si="1200"/>
        <v>15</v>
      </c>
      <c r="Y650" s="1131">
        <f t="shared" si="1200"/>
        <v>16</v>
      </c>
      <c r="Z650" s="1131">
        <f t="shared" si="1200"/>
        <v>18</v>
      </c>
      <c r="AA650" s="1131">
        <f t="shared" si="1200"/>
        <v>22</v>
      </c>
      <c r="AB650" s="1131">
        <f t="shared" si="1200"/>
        <v>23</v>
      </c>
      <c r="AC650" s="1147">
        <f t="shared" si="1200"/>
        <v>23</v>
      </c>
      <c r="AD650" s="1131">
        <f t="shared" si="1200"/>
        <v>23</v>
      </c>
      <c r="AE650" s="1131">
        <f t="shared" si="1200"/>
        <v>23</v>
      </c>
      <c r="AF650" s="1148">
        <f t="shared" si="1200"/>
        <v>23</v>
      </c>
      <c r="AG650" s="1131">
        <f t="shared" si="1200"/>
        <v>23</v>
      </c>
      <c r="AH650" s="1131">
        <f t="shared" si="1200"/>
        <v>23</v>
      </c>
      <c r="AI650" s="1131">
        <f t="shared" si="1200"/>
        <v>23</v>
      </c>
      <c r="AJ650" s="1131">
        <f t="shared" si="1200"/>
        <v>23</v>
      </c>
      <c r="AK650" s="1147">
        <f t="shared" si="1200"/>
        <v>23</v>
      </c>
      <c r="AL650" s="1131">
        <f t="shared" si="1200"/>
        <v>23</v>
      </c>
      <c r="AM650" s="1131">
        <f t="shared" si="1200"/>
        <v>23</v>
      </c>
      <c r="AN650" s="1148">
        <f t="shared" si="1200"/>
        <v>23</v>
      </c>
      <c r="AO650" s="1147">
        <f t="shared" si="1200"/>
        <v>23</v>
      </c>
      <c r="AP650" s="1131">
        <f t="shared" si="1200"/>
        <v>23</v>
      </c>
      <c r="AQ650" s="1131">
        <f t="shared" si="1200"/>
        <v>23</v>
      </c>
      <c r="AR650" s="1148">
        <f t="shared" si="1200"/>
        <v>23</v>
      </c>
      <c r="AS650" s="1147">
        <f t="shared" si="1200"/>
        <v>23</v>
      </c>
      <c r="AT650" s="1131">
        <f t="shared" si="1200"/>
        <v>23</v>
      </c>
      <c r="AU650" s="1131">
        <f t="shared" si="1200"/>
        <v>23</v>
      </c>
      <c r="AV650" s="1148">
        <f t="shared" si="1200"/>
        <v>23</v>
      </c>
      <c r="AW650" s="1147">
        <f t="shared" si="1200"/>
        <v>23</v>
      </c>
      <c r="AX650" s="1131">
        <f t="shared" si="1200"/>
        <v>23</v>
      </c>
      <c r="AY650" s="1131">
        <f t="shared" si="1200"/>
        <v>23</v>
      </c>
      <c r="AZ650" s="1148">
        <f t="shared" si="1200"/>
        <v>23</v>
      </c>
      <c r="BA650" s="1147">
        <f t="shared" si="1200"/>
        <v>23</v>
      </c>
      <c r="BB650" s="1131">
        <f t="shared" si="1200"/>
        <v>23</v>
      </c>
      <c r="BC650" s="1131">
        <f t="shared" si="1200"/>
        <v>23</v>
      </c>
      <c r="BD650" s="1148">
        <f t="shared" si="1200"/>
        <v>23</v>
      </c>
      <c r="BE650" s="1131"/>
      <c r="BF650" s="814"/>
      <c r="BG650" s="106"/>
      <c r="BH650" s="106"/>
      <c r="BI650" s="106"/>
      <c r="BJ650" s="106"/>
      <c r="BK650" s="106"/>
      <c r="BL650" s="1132">
        <f t="shared" ref="BL650:BY650" si="1201">+BL452-BL602-BL616-BL630</f>
        <v>15</v>
      </c>
      <c r="BM650" s="1132">
        <f t="shared" si="1201"/>
        <v>23</v>
      </c>
      <c r="BN650" s="1659">
        <f t="shared" si="1201"/>
        <v>23</v>
      </c>
      <c r="BO650" s="1132">
        <f t="shared" si="1201"/>
        <v>23</v>
      </c>
      <c r="BP650" s="1132">
        <f t="shared" si="1201"/>
        <v>23</v>
      </c>
      <c r="BQ650" s="1132">
        <f t="shared" si="1201"/>
        <v>23</v>
      </c>
      <c r="BR650" s="1132">
        <f t="shared" si="1201"/>
        <v>23</v>
      </c>
      <c r="BS650" s="1132">
        <f t="shared" si="1201"/>
        <v>23</v>
      </c>
      <c r="BT650" s="1132">
        <f t="shared" si="1201"/>
        <v>23</v>
      </c>
      <c r="BU650" s="1132">
        <f t="shared" si="1201"/>
        <v>23</v>
      </c>
      <c r="BV650" s="1132">
        <f t="shared" si="1201"/>
        <v>23</v>
      </c>
      <c r="BW650" s="1132">
        <f t="shared" si="1201"/>
        <v>23</v>
      </c>
      <c r="BX650" s="1132">
        <f t="shared" si="1201"/>
        <v>23</v>
      </c>
      <c r="BY650" s="1133">
        <f t="shared" si="1201"/>
        <v>23</v>
      </c>
    </row>
    <row r="651" spans="8:78" ht="11.25" hidden="1" customHeight="1" outlineLevel="2">
      <c r="I651" s="1127" t="s">
        <v>132</v>
      </c>
      <c r="J651" s="83"/>
      <c r="K651" s="83"/>
      <c r="L651" s="83"/>
      <c r="M651" s="83"/>
      <c r="N651" s="83"/>
      <c r="O651" s="83"/>
      <c r="P651" s="83"/>
      <c r="Q651" s="83"/>
      <c r="R651" s="83"/>
      <c r="S651" s="83"/>
      <c r="T651" s="83"/>
      <c r="U651" s="656"/>
      <c r="V651" s="83"/>
      <c r="W651" s="83"/>
      <c r="X651" s="883"/>
      <c r="Y651" s="1128">
        <f t="shared" ref="Y651:AE651" si="1202">+Y650/U650-1</f>
        <v>0.45454545454545459</v>
      </c>
      <c r="Z651" s="1128">
        <f t="shared" si="1202"/>
        <v>0.38461538461538458</v>
      </c>
      <c r="AA651" s="1128">
        <f t="shared" si="1202"/>
        <v>0.46666666666666656</v>
      </c>
      <c r="AB651" s="1128">
        <f t="shared" si="1202"/>
        <v>0.53333333333333344</v>
      </c>
      <c r="AC651" s="1141">
        <f t="shared" si="1202"/>
        <v>0.4375</v>
      </c>
      <c r="AD651" s="1128">
        <f t="shared" si="1202"/>
        <v>0.27777777777777768</v>
      </c>
      <c r="AE651" s="1128">
        <f t="shared" si="1202"/>
        <v>4.5454545454545414E-2</v>
      </c>
      <c r="AF651" s="1129">
        <f t="shared" ref="AF651:AN651" si="1203">+AF650/AB650-1</f>
        <v>0</v>
      </c>
      <c r="AG651" s="1128">
        <f t="shared" si="1203"/>
        <v>0</v>
      </c>
      <c r="AH651" s="1128">
        <f t="shared" si="1203"/>
        <v>0</v>
      </c>
      <c r="AI651" s="1128">
        <f t="shared" si="1203"/>
        <v>0</v>
      </c>
      <c r="AJ651" s="1128">
        <f t="shared" si="1203"/>
        <v>0</v>
      </c>
      <c r="AK651" s="1141">
        <f t="shared" si="1203"/>
        <v>0</v>
      </c>
      <c r="AL651" s="1128">
        <f t="shared" si="1203"/>
        <v>0</v>
      </c>
      <c r="AM651" s="1128">
        <f t="shared" si="1203"/>
        <v>0</v>
      </c>
      <c r="AN651" s="1129">
        <f t="shared" si="1203"/>
        <v>0</v>
      </c>
      <c r="AO651" s="1141">
        <f t="shared" ref="AO651:AV651" si="1204">+AO650/AK650-1</f>
        <v>0</v>
      </c>
      <c r="AP651" s="1128">
        <f t="shared" si="1204"/>
        <v>0</v>
      </c>
      <c r="AQ651" s="1128">
        <f t="shared" si="1204"/>
        <v>0</v>
      </c>
      <c r="AR651" s="1129">
        <f t="shared" si="1204"/>
        <v>0</v>
      </c>
      <c r="AS651" s="1141">
        <f t="shared" si="1204"/>
        <v>0</v>
      </c>
      <c r="AT651" s="1128">
        <f t="shared" si="1204"/>
        <v>0</v>
      </c>
      <c r="AU651" s="1128">
        <f t="shared" si="1204"/>
        <v>0</v>
      </c>
      <c r="AV651" s="1129">
        <f t="shared" si="1204"/>
        <v>0</v>
      </c>
      <c r="AW651" s="1141">
        <f t="shared" ref="AW651:BD651" si="1205">+AW650/AS650-1</f>
        <v>0</v>
      </c>
      <c r="AX651" s="1128">
        <f t="shared" si="1205"/>
        <v>0</v>
      </c>
      <c r="AY651" s="1128">
        <f t="shared" si="1205"/>
        <v>0</v>
      </c>
      <c r="AZ651" s="1129">
        <f t="shared" si="1205"/>
        <v>0</v>
      </c>
      <c r="BA651" s="1141">
        <f t="shared" si="1205"/>
        <v>0</v>
      </c>
      <c r="BB651" s="1128">
        <f t="shared" si="1205"/>
        <v>0</v>
      </c>
      <c r="BC651" s="1128">
        <f t="shared" si="1205"/>
        <v>0</v>
      </c>
      <c r="BD651" s="1129">
        <f t="shared" si="1205"/>
        <v>0</v>
      </c>
      <c r="BE651" s="1128"/>
      <c r="BF651" s="814"/>
      <c r="BG651" s="106"/>
      <c r="BH651" s="106"/>
      <c r="BI651" s="106"/>
      <c r="BJ651" s="106"/>
      <c r="BK651" s="106"/>
      <c r="BL651" s="106"/>
      <c r="BN651" s="1146">
        <f>BN650/BM650-1</f>
        <v>0</v>
      </c>
      <c r="BO651" s="958">
        <f t="shared" ref="BO651:BT651" si="1206">BO650/BN650-1</f>
        <v>0</v>
      </c>
      <c r="BP651" s="958">
        <f t="shared" si="1206"/>
        <v>0</v>
      </c>
      <c r="BQ651" s="958">
        <f t="shared" si="1206"/>
        <v>0</v>
      </c>
      <c r="BR651" s="958">
        <f t="shared" si="1206"/>
        <v>0</v>
      </c>
      <c r="BS651" s="958">
        <f t="shared" si="1206"/>
        <v>0</v>
      </c>
      <c r="BT651" s="958">
        <f t="shared" si="1206"/>
        <v>0</v>
      </c>
      <c r="BU651" s="958">
        <f>BU650/BT650-1</f>
        <v>0</v>
      </c>
      <c r="BV651" s="958">
        <f>BV650/BU650-1</f>
        <v>0</v>
      </c>
      <c r="BW651" s="958">
        <f>BW650/BV650-1</f>
        <v>0</v>
      </c>
      <c r="BX651" s="958">
        <f>BX650/BW650-1</f>
        <v>0</v>
      </c>
      <c r="BY651" s="1152">
        <f>BY650/BX650-1</f>
        <v>0</v>
      </c>
    </row>
    <row r="652" spans="8:78" s="42" customFormat="1" ht="11.25" hidden="1" customHeight="1" outlineLevel="2">
      <c r="I652" s="1127"/>
      <c r="J652" s="83"/>
      <c r="K652" s="83"/>
      <c r="L652" s="83"/>
      <c r="M652" s="83"/>
      <c r="N652" s="83"/>
      <c r="O652" s="83"/>
      <c r="P652" s="83"/>
      <c r="Q652" s="83"/>
      <c r="R652" s="83"/>
      <c r="S652" s="83"/>
      <c r="T652" s="83"/>
      <c r="U652" s="656"/>
      <c r="V652" s="83"/>
      <c r="W652" s="83"/>
      <c r="X652" s="883"/>
      <c r="Y652" s="83"/>
      <c r="Z652" s="1128"/>
      <c r="AA652" s="1128"/>
      <c r="AB652" s="1128"/>
      <c r="AC652" s="1141"/>
      <c r="AD652" s="1128"/>
      <c r="AE652" s="1128"/>
      <c r="AF652" s="883"/>
      <c r="AG652" s="83"/>
      <c r="AH652" s="83"/>
      <c r="AI652" s="83"/>
      <c r="AJ652" s="83"/>
      <c r="AK652" s="656"/>
      <c r="AL652" s="83"/>
      <c r="AM652" s="83"/>
      <c r="AN652" s="883"/>
      <c r="AO652" s="656"/>
      <c r="AP652" s="83"/>
      <c r="AQ652" s="83"/>
      <c r="AR652" s="883"/>
      <c r="AS652" s="656"/>
      <c r="AT652" s="83"/>
      <c r="AU652" s="83"/>
      <c r="AV652" s="883"/>
      <c r="AW652" s="656"/>
      <c r="AX652" s="83"/>
      <c r="AY652" s="83"/>
      <c r="AZ652" s="883"/>
      <c r="BA652" s="656"/>
      <c r="BB652" s="83"/>
      <c r="BC652" s="83"/>
      <c r="BD652" s="883"/>
      <c r="BE652" s="83"/>
      <c r="BF652" s="656"/>
      <c r="BG652" s="83"/>
      <c r="BH652" s="83"/>
      <c r="BI652" s="83"/>
      <c r="BJ652" s="83"/>
      <c r="BK652" s="83"/>
      <c r="BL652" s="83"/>
      <c r="BM652" s="83"/>
      <c r="BN652" s="656"/>
      <c r="BO652" s="83"/>
      <c r="BP652" s="83"/>
      <c r="BQ652" s="83"/>
      <c r="BR652" s="83"/>
      <c r="BS652" s="83"/>
      <c r="BT652" s="83"/>
      <c r="BU652" s="83"/>
      <c r="BV652" s="83"/>
      <c r="BW652" s="83"/>
      <c r="BX652" s="83"/>
      <c r="BY652" s="883"/>
      <c r="BZ652" s="83"/>
    </row>
    <row r="653" spans="8:78" s="41" customFormat="1" ht="11.25" hidden="1" customHeight="1" outlineLevel="2">
      <c r="H653" s="90"/>
      <c r="I653" s="1052" t="s">
        <v>378</v>
      </c>
      <c r="J653" s="226"/>
      <c r="K653" s="226"/>
      <c r="L653" s="226"/>
      <c r="M653" s="226"/>
      <c r="N653" s="226"/>
      <c r="O653" s="226"/>
      <c r="P653" s="226"/>
      <c r="Q653" s="226"/>
      <c r="R653" s="226"/>
      <c r="S653" s="226"/>
      <c r="T653" s="226"/>
      <c r="U653" s="1142">
        <f t="shared" ref="U653:AD653" si="1207">+U644/AVERAGE(T650:U650)</f>
        <v>0.23321177999733614</v>
      </c>
      <c r="V653" s="1134">
        <f t="shared" si="1207"/>
        <v>0.52758333333333329</v>
      </c>
      <c r="W653" s="1134">
        <f t="shared" si="1207"/>
        <v>0.30021428571428593</v>
      </c>
      <c r="X653" s="1135">
        <f t="shared" si="1207"/>
        <v>0.4523782683008965</v>
      </c>
      <c r="Y653" s="1134">
        <f t="shared" si="1207"/>
        <v>0.36651551498579793</v>
      </c>
      <c r="Z653" s="1134">
        <f t="shared" si="1207"/>
        <v>0.49605020453890397</v>
      </c>
      <c r="AA653" s="1134">
        <f t="shared" si="1207"/>
        <v>0.39160147997128258</v>
      </c>
      <c r="AB653" s="1134">
        <f t="shared" si="1207"/>
        <v>0.41999613333333335</v>
      </c>
      <c r="AC653" s="1142">
        <f t="shared" si="1207"/>
        <v>0.47132908695652215</v>
      </c>
      <c r="AD653" s="1134">
        <f t="shared" si="1207"/>
        <v>0.56362565217391314</v>
      </c>
      <c r="AE653" s="1134">
        <f>+AE644/AVERAGE(AD650:AE650)</f>
        <v>0.65358043478260908</v>
      </c>
      <c r="AF653" s="1135">
        <f t="shared" ref="AF653:AN653" si="1208">+AF644/AVERAGE(AE650:AF650)</f>
        <v>0.73814739130434781</v>
      </c>
      <c r="AG653" s="1134">
        <f t="shared" si="1208"/>
        <v>0.78730434782608671</v>
      </c>
      <c r="AH653" s="1134">
        <f t="shared" si="1208"/>
        <v>0.90582608695652189</v>
      </c>
      <c r="AI653" s="1134">
        <f t="shared" si="1208"/>
        <v>1.0111304347826084</v>
      </c>
      <c r="AJ653" s="1134">
        <f t="shared" si="1208"/>
        <v>1.1378695652173909</v>
      </c>
      <c r="AK653" s="1142">
        <f t="shared" si="1208"/>
        <v>1.2990434782608704</v>
      </c>
      <c r="AL653" s="1134">
        <f t="shared" si="1208"/>
        <v>1.4910869565217386</v>
      </c>
      <c r="AM653" s="1134">
        <f t="shared" si="1208"/>
        <v>1.6272173913043475</v>
      </c>
      <c r="AN653" s="1135">
        <f t="shared" si="1208"/>
        <v>1.5705069565217378</v>
      </c>
      <c r="AO653" s="1142">
        <f t="shared" ref="AO653:AV653" si="1209">+AO644/AVERAGE(AN650:AO650)</f>
        <v>1.5456765217391313</v>
      </c>
      <c r="AP653" s="1134">
        <f t="shared" si="1209"/>
        <v>1.5501208695652164</v>
      </c>
      <c r="AQ653" s="1134">
        <f t="shared" si="1209"/>
        <v>1.5356826086956517</v>
      </c>
      <c r="AR653" s="1135">
        <f t="shared" si="1209"/>
        <v>1.5776414869565212</v>
      </c>
      <c r="AS653" s="1142">
        <f t="shared" si="1209"/>
        <v>1.208804330434784</v>
      </c>
      <c r="AT653" s="1134">
        <f t="shared" si="1209"/>
        <v>1.1777529478260869</v>
      </c>
      <c r="AU653" s="1134">
        <f t="shared" si="1209"/>
        <v>1.0993384434782616</v>
      </c>
      <c r="AV653" s="1135">
        <f t="shared" si="1209"/>
        <v>1.0307490420000014</v>
      </c>
      <c r="AW653" s="1142">
        <f t="shared" ref="AW653:BD653" si="1210">+AW644/AVERAGE(AV650:AW650)</f>
        <v>0.6272896191304369</v>
      </c>
      <c r="AX653" s="1134">
        <f t="shared" si="1210"/>
        <v>0.53290865139130783</v>
      </c>
      <c r="AY653" s="1134">
        <f t="shared" si="1210"/>
        <v>0.40919532408696074</v>
      </c>
      <c r="AZ653" s="1135">
        <f t="shared" si="1210"/>
        <v>0.29185691920609158</v>
      </c>
      <c r="BA653" s="1142">
        <f t="shared" si="1210"/>
        <v>-0.16900968656521242</v>
      </c>
      <c r="BB653" s="1134">
        <f t="shared" si="1210"/>
        <v>-0.29889396458695155</v>
      </c>
      <c r="BC653" s="1134">
        <f t="shared" si="1210"/>
        <v>-0.43800727804086426</v>
      </c>
      <c r="BD653" s="1135">
        <f t="shared" si="1210"/>
        <v>-0.57490459422160212</v>
      </c>
      <c r="BE653" s="1134"/>
      <c r="BF653" s="857"/>
      <c r="BG653" s="231"/>
      <c r="BH653" s="231"/>
      <c r="BI653" s="231"/>
      <c r="BJ653" s="231"/>
      <c r="BK653" s="231"/>
      <c r="BL653" s="231"/>
      <c r="BM653" s="1134">
        <f t="shared" ref="BM653:BT653" si="1211">+BM644/AVERAGE(BL650:BM650)</f>
        <v>1.6524098188877303</v>
      </c>
      <c r="BN653" s="1142">
        <f t="shared" si="1211"/>
        <v>2.4266825652173902</v>
      </c>
      <c r="BO653" s="1134">
        <f t="shared" si="1211"/>
        <v>3.8421304347826113</v>
      </c>
      <c r="BP653" s="1134">
        <f t="shared" si="1211"/>
        <v>5.9878547826086983</v>
      </c>
      <c r="BQ653" s="1134">
        <f t="shared" si="1211"/>
        <v>6.2091214869565245</v>
      </c>
      <c r="BR653" s="1134">
        <f t="shared" si="1211"/>
        <v>4.516644763739138</v>
      </c>
      <c r="BS653" s="1134">
        <f t="shared" si="1211"/>
        <v>1.861250513814807</v>
      </c>
      <c r="BT653" s="1134">
        <f t="shared" si="1211"/>
        <v>-1.4808155234146279</v>
      </c>
      <c r="BU653" s="1134">
        <f>+BU644/AVERAGE(BT650:BU650)</f>
        <v>-7.9328895433182094</v>
      </c>
      <c r="BV653" s="1134">
        <f>+BV644/AVERAGE(BU650:BV650)</f>
        <v>-15.625452173487506</v>
      </c>
      <c r="BW653" s="1134">
        <f>+BW644/AVERAGE(BV650:BW650)</f>
        <v>-26.348422919427843</v>
      </c>
      <c r="BX653" s="1134">
        <f>+BX644/AVERAGE(BW650:BX650)</f>
        <v>-39.616401574982589</v>
      </c>
      <c r="BY653" s="1135">
        <f>+BY644/AVERAGE(BX650:BY650)</f>
        <v>-55.997723891967595</v>
      </c>
      <c r="BZ653" s="226"/>
    </row>
    <row r="654" spans="8:78" ht="11.25" hidden="1" customHeight="1" outlineLevel="2">
      <c r="I654" s="1127" t="s">
        <v>132</v>
      </c>
      <c r="J654" s="83"/>
      <c r="K654" s="83"/>
      <c r="L654" s="83"/>
      <c r="M654" s="83"/>
      <c r="N654" s="83"/>
      <c r="O654" s="83"/>
      <c r="P654" s="83"/>
      <c r="Q654" s="83"/>
      <c r="R654" s="83"/>
      <c r="S654" s="83"/>
      <c r="T654" s="83"/>
      <c r="U654" s="656"/>
      <c r="V654" s="83"/>
      <c r="W654" s="83"/>
      <c r="X654" s="883"/>
      <c r="Y654" s="1128">
        <f t="shared" ref="Y654:AE654" si="1212">+Y653/U653-1</f>
        <v>0.57159949205818195</v>
      </c>
      <c r="Z654" s="1128">
        <f t="shared" si="1212"/>
        <v>-5.9769001031930502E-2</v>
      </c>
      <c r="AA654" s="1128">
        <f t="shared" si="1212"/>
        <v>0.3044065476083635</v>
      </c>
      <c r="AB654" s="1128">
        <f t="shared" si="1212"/>
        <v>-7.1581986219604099E-2</v>
      </c>
      <c r="AC654" s="1141">
        <f t="shared" si="1212"/>
        <v>0.28597308349903172</v>
      </c>
      <c r="AD654" s="1128">
        <f t="shared" si="1212"/>
        <v>0.13622703310408446</v>
      </c>
      <c r="AE654" s="1128">
        <f t="shared" si="1212"/>
        <v>0.66899378120465292</v>
      </c>
      <c r="AF654" s="1129">
        <f t="shared" ref="AF654:AN654" si="1213">+AF653/AB653-1</f>
        <v>0.75750996907038459</v>
      </c>
      <c r="AG654" s="1128">
        <f t="shared" si="1213"/>
        <v>0.6703920246252737</v>
      </c>
      <c r="AH654" s="1128">
        <f t="shared" si="1213"/>
        <v>0.60714134188665159</v>
      </c>
      <c r="AI654" s="1128">
        <f t="shared" si="1213"/>
        <v>0.54706349971893831</v>
      </c>
      <c r="AJ654" s="1128">
        <f t="shared" si="1213"/>
        <v>0.54152081091380899</v>
      </c>
      <c r="AK654" s="1141">
        <f t="shared" si="1213"/>
        <v>0.64998895515794275</v>
      </c>
      <c r="AL654" s="1128">
        <f t="shared" si="1213"/>
        <v>0.64610732456561304</v>
      </c>
      <c r="AM654" s="1128">
        <f t="shared" si="1213"/>
        <v>0.60930512555899563</v>
      </c>
      <c r="AN654" s="1129">
        <f t="shared" si="1213"/>
        <v>0.38021703412173702</v>
      </c>
      <c r="AO654" s="1141">
        <f t="shared" ref="AO654:AV654" si="1214">+AO653/AK653-1</f>
        <v>0.18985742017537977</v>
      </c>
      <c r="AP654" s="1128">
        <f t="shared" si="1214"/>
        <v>3.9591194051610712E-2</v>
      </c>
      <c r="AQ654" s="1128">
        <f t="shared" si="1214"/>
        <v>-5.6252337946882003E-2</v>
      </c>
      <c r="AR654" s="1129">
        <f t="shared" si="1214"/>
        <v>4.5428200143631248E-3</v>
      </c>
      <c r="AS654" s="1141">
        <f t="shared" si="1214"/>
        <v>-0.21794481999720916</v>
      </c>
      <c r="AT654" s="1128">
        <f t="shared" si="1214"/>
        <v>-0.24021863652708109</v>
      </c>
      <c r="AU654" s="1128">
        <f t="shared" si="1214"/>
        <v>-0.28413694519077981</v>
      </c>
      <c r="AV654" s="1129">
        <f t="shared" si="1214"/>
        <v>-0.34665191647029236</v>
      </c>
      <c r="AW654" s="1141">
        <f t="shared" ref="AW654:BD654" si="1215">+AW653/AS653-1</f>
        <v>-0.48106603911253965</v>
      </c>
      <c r="AX654" s="1128">
        <f t="shared" si="1215"/>
        <v>-0.54752085114712878</v>
      </c>
      <c r="AY654" s="1128">
        <f t="shared" si="1215"/>
        <v>-0.6277803923673555</v>
      </c>
      <c r="AZ654" s="1129">
        <f t="shared" si="1215"/>
        <v>-0.7168496818199408</v>
      </c>
      <c r="BA654" s="1141">
        <f t="shared" si="1215"/>
        <v>-1.2694284767528874</v>
      </c>
      <c r="BB654" s="1128">
        <f t="shared" si="1215"/>
        <v>-1.560872794627381</v>
      </c>
      <c r="BC654" s="1128">
        <f t="shared" si="1215"/>
        <v>-2.0704112492443354</v>
      </c>
      <c r="BD654" s="1129">
        <f t="shared" si="1215"/>
        <v>-2.9698165655467621</v>
      </c>
      <c r="BE654" s="1128"/>
      <c r="BF654" s="814"/>
      <c r="BG654" s="106"/>
      <c r="BH654" s="106"/>
      <c r="BI654" s="106"/>
      <c r="BJ654" s="106"/>
      <c r="BK654" s="106"/>
      <c r="BL654" s="106"/>
      <c r="BN654" s="1146">
        <f t="shared" ref="BN654:BT654" si="1216">BN653/BM653-1</f>
        <v>0.46857186242746862</v>
      </c>
      <c r="BO654" s="958">
        <f t="shared" si="1216"/>
        <v>0.58328513578718555</v>
      </c>
      <c r="BP654" s="958">
        <f t="shared" si="1216"/>
        <v>0.55847254127578649</v>
      </c>
      <c r="BQ654" s="958">
        <f t="shared" si="1216"/>
        <v>3.6952583584772158E-2</v>
      </c>
      <c r="BR654" s="958">
        <f t="shared" si="1216"/>
        <v>-0.27257909621719678</v>
      </c>
      <c r="BS654" s="958">
        <f t="shared" si="1216"/>
        <v>-0.58791301703480503</v>
      </c>
      <c r="BT654" s="958">
        <f t="shared" si="1216"/>
        <v>-1.7956024793135223</v>
      </c>
      <c r="BU654" s="958">
        <f>BU653/BT653-1</f>
        <v>4.3571085782688694</v>
      </c>
      <c r="BV654" s="958">
        <f>BV653/BU653-1</f>
        <v>0.96970499691990075</v>
      </c>
      <c r="BW654" s="958">
        <f>BW653/BV653-1</f>
        <v>0.68625026827284663</v>
      </c>
      <c r="BX654" s="958">
        <f>BX653/BW653-1</f>
        <v>0.50355874035146475</v>
      </c>
      <c r="BY654" s="1152">
        <f>BY653/BX653-1</f>
        <v>0.41349849218334023</v>
      </c>
    </row>
    <row r="655" spans="8:78" ht="11.25" hidden="1" customHeight="1" outlineLevel="2">
      <c r="I655" s="1127" t="s">
        <v>391</v>
      </c>
      <c r="J655" s="83"/>
      <c r="K655" s="83"/>
      <c r="L655" s="83"/>
      <c r="M655" s="83"/>
      <c r="N655" s="83"/>
      <c r="O655" s="83"/>
      <c r="P655" s="83"/>
      <c r="Q655" s="83"/>
      <c r="R655" s="83"/>
      <c r="S655" s="83"/>
      <c r="T655" s="83"/>
      <c r="U655" s="656"/>
      <c r="V655" s="83"/>
      <c r="W655" s="83"/>
      <c r="X655" s="883"/>
      <c r="Y655" s="106"/>
      <c r="Z655" s="106"/>
      <c r="AA655" s="106"/>
      <c r="AB655" s="106"/>
      <c r="AC655" s="977">
        <f t="shared" ref="AC655:AJ655" si="1217">+AC654+Y654</f>
        <v>0.85757257555721367</v>
      </c>
      <c r="AD655" s="976">
        <f t="shared" si="1217"/>
        <v>7.6458032072153959E-2</v>
      </c>
      <c r="AE655" s="976">
        <f t="shared" si="1217"/>
        <v>0.97340032881301641</v>
      </c>
      <c r="AF655" s="1130">
        <f t="shared" si="1217"/>
        <v>0.68592798285078049</v>
      </c>
      <c r="AG655" s="976">
        <f t="shared" si="1217"/>
        <v>0.95636510812430542</v>
      </c>
      <c r="AH655" s="976">
        <f t="shared" si="1217"/>
        <v>0.74336837499073605</v>
      </c>
      <c r="AI655" s="976">
        <f t="shared" si="1217"/>
        <v>1.2160572809235912</v>
      </c>
      <c r="AJ655" s="976">
        <f t="shared" si="1217"/>
        <v>1.2990307799841936</v>
      </c>
      <c r="AK655" s="977">
        <f t="shared" ref="AK655:AR655" si="1218">+AK654+AG654</f>
        <v>1.3203809797832164</v>
      </c>
      <c r="AL655" s="976">
        <f t="shared" si="1218"/>
        <v>1.2532486664522646</v>
      </c>
      <c r="AM655" s="976">
        <f t="shared" si="1218"/>
        <v>1.1563686252779339</v>
      </c>
      <c r="AN655" s="1130">
        <f t="shared" si="1218"/>
        <v>0.92173784503554601</v>
      </c>
      <c r="AO655" s="977">
        <f t="shared" si="1218"/>
        <v>0.83984637533332251</v>
      </c>
      <c r="AP655" s="976">
        <f t="shared" si="1218"/>
        <v>0.68569851861722375</v>
      </c>
      <c r="AQ655" s="976">
        <f t="shared" si="1218"/>
        <v>0.55305278761211363</v>
      </c>
      <c r="AR655" s="1130">
        <f t="shared" si="1218"/>
        <v>0.38475985413610014</v>
      </c>
      <c r="AS655" s="977">
        <f t="shared" ref="AS655:BD655" si="1219">+AS654+AO654</f>
        <v>-2.8087399821829395E-2</v>
      </c>
      <c r="AT655" s="976">
        <f t="shared" si="1219"/>
        <v>-0.20062744247547037</v>
      </c>
      <c r="AU655" s="976">
        <f t="shared" si="1219"/>
        <v>-0.34038928313766181</v>
      </c>
      <c r="AV655" s="1130">
        <f t="shared" si="1219"/>
        <v>-0.34210909645592924</v>
      </c>
      <c r="AW655" s="977">
        <f t="shared" si="1219"/>
        <v>-0.69901085910974881</v>
      </c>
      <c r="AX655" s="976">
        <f t="shared" si="1219"/>
        <v>-0.78773948767420987</v>
      </c>
      <c r="AY655" s="976">
        <f t="shared" si="1219"/>
        <v>-0.91191733755813531</v>
      </c>
      <c r="AZ655" s="1130">
        <f t="shared" si="1219"/>
        <v>-1.0635015982902332</v>
      </c>
      <c r="BA655" s="977">
        <f t="shared" si="1219"/>
        <v>-1.750494515865427</v>
      </c>
      <c r="BB655" s="976">
        <f t="shared" si="1219"/>
        <v>-2.1083936457745098</v>
      </c>
      <c r="BC655" s="976">
        <f t="shared" si="1219"/>
        <v>-2.6981916416116909</v>
      </c>
      <c r="BD655" s="1130">
        <f t="shared" si="1219"/>
        <v>-3.6866662473667029</v>
      </c>
      <c r="BE655" s="1128"/>
      <c r="BF655" s="814"/>
      <c r="BG655" s="106"/>
      <c r="BH655" s="106"/>
      <c r="BI655" s="106"/>
      <c r="BJ655" s="106"/>
      <c r="BK655" s="106"/>
      <c r="BL655" s="106"/>
      <c r="BN655" s="814"/>
      <c r="BP655" s="958">
        <f t="shared" ref="BP655:BY655" si="1220">+BP654+BO654</f>
        <v>1.141757677062972</v>
      </c>
      <c r="BQ655" s="958">
        <f t="shared" si="1220"/>
        <v>0.59542512486055865</v>
      </c>
      <c r="BR655" s="958">
        <f t="shared" si="1220"/>
        <v>-0.23562651263242462</v>
      </c>
      <c r="BS655" s="958">
        <f t="shared" si="1220"/>
        <v>-0.86049211325200181</v>
      </c>
      <c r="BT655" s="958">
        <f t="shared" si="1220"/>
        <v>-2.3835154963483274</v>
      </c>
      <c r="BU655" s="958">
        <f t="shared" si="1220"/>
        <v>2.5615060989553471</v>
      </c>
      <c r="BV655" s="958">
        <f t="shared" si="1220"/>
        <v>5.32681357518877</v>
      </c>
      <c r="BW655" s="958">
        <f t="shared" si="1220"/>
        <v>1.6559552651927474</v>
      </c>
      <c r="BX655" s="958">
        <f t="shared" si="1220"/>
        <v>1.1898090086243114</v>
      </c>
      <c r="BY655" s="1152">
        <f t="shared" si="1220"/>
        <v>0.91705723253480498</v>
      </c>
    </row>
    <row r="656" spans="8:78" ht="11.25" hidden="1" customHeight="1" outlineLevel="2">
      <c r="I656" s="1127"/>
      <c r="J656" s="83"/>
      <c r="K656" s="83"/>
      <c r="L656" s="83"/>
      <c r="M656" s="83"/>
      <c r="N656" s="83"/>
      <c r="O656" s="83"/>
      <c r="P656" s="83"/>
      <c r="Q656" s="83"/>
      <c r="R656" s="83"/>
      <c r="S656" s="83"/>
      <c r="T656" s="83"/>
      <c r="U656" s="656"/>
      <c r="V656" s="83"/>
      <c r="W656" s="83"/>
      <c r="X656" s="883"/>
      <c r="Y656" s="106"/>
      <c r="Z656" s="106"/>
      <c r="AA656" s="106"/>
      <c r="AB656" s="106"/>
      <c r="AC656" s="977"/>
      <c r="AD656" s="976"/>
      <c r="AE656" s="976"/>
      <c r="AF656" s="1130"/>
      <c r="AG656" s="976"/>
      <c r="AH656" s="976"/>
      <c r="AI656" s="976"/>
      <c r="AJ656" s="976"/>
      <c r="AK656" s="977"/>
      <c r="AL656" s="976"/>
      <c r="AM656" s="976"/>
      <c r="AN656" s="1130"/>
      <c r="AO656" s="977"/>
      <c r="AP656" s="976"/>
      <c r="AQ656" s="976"/>
      <c r="AR656" s="1130"/>
      <c r="AS656" s="977"/>
      <c r="AT656" s="976"/>
      <c r="AU656" s="976"/>
      <c r="AV656" s="1130"/>
      <c r="AW656" s="977"/>
      <c r="AX656" s="976"/>
      <c r="AY656" s="976"/>
      <c r="AZ656" s="1130"/>
      <c r="BA656" s="977"/>
      <c r="BB656" s="976"/>
      <c r="BC656" s="976"/>
      <c r="BD656" s="1130"/>
      <c r="BE656" s="1128"/>
      <c r="BF656" s="814"/>
      <c r="BG656" s="106"/>
      <c r="BH656" s="106"/>
      <c r="BI656" s="106"/>
      <c r="BJ656" s="106"/>
      <c r="BK656" s="106"/>
      <c r="BL656" s="106"/>
      <c r="BN656" s="814"/>
      <c r="BO656" s="1169"/>
      <c r="BP656" s="1169"/>
      <c r="BQ656" s="958"/>
      <c r="BR656" s="958"/>
      <c r="BS656" s="958"/>
      <c r="BT656" s="958"/>
      <c r="BU656" s="958"/>
      <c r="BV656" s="958"/>
      <c r="BW656" s="958"/>
      <c r="BX656" s="958"/>
      <c r="BY656" s="1152"/>
    </row>
    <row r="657" spans="1:85" s="41" customFormat="1" ht="11.25" hidden="1" customHeight="1" outlineLevel="2">
      <c r="H657" s="90"/>
      <c r="I657" s="1311" t="s">
        <v>475</v>
      </c>
      <c r="J657" s="226"/>
      <c r="K657" s="226"/>
      <c r="L657" s="226"/>
      <c r="M657" s="226"/>
      <c r="N657" s="226"/>
      <c r="O657" s="226"/>
      <c r="P657" s="226"/>
      <c r="Q657" s="226"/>
      <c r="R657" s="226"/>
      <c r="S657" s="226"/>
      <c r="T657" s="226"/>
      <c r="U657" s="1361">
        <f t="shared" ref="U657:BD657" si="1221">+U653/U599</f>
        <v>0.11804788276955917</v>
      </c>
      <c r="V657" s="1313">
        <f t="shared" si="1221"/>
        <v>0.26686056314280893</v>
      </c>
      <c r="W657" s="1313">
        <f t="shared" si="1221"/>
        <v>0.12278702892199835</v>
      </c>
      <c r="X657" s="1391">
        <f t="shared" si="1221"/>
        <v>0.17074855420490503</v>
      </c>
      <c r="Y657" s="1313">
        <f t="shared" si="1221"/>
        <v>0.12368266173278865</v>
      </c>
      <c r="Z657" s="1313">
        <f t="shared" si="1221"/>
        <v>0.15442305657409897</v>
      </c>
      <c r="AA657" s="1313">
        <f t="shared" si="1221"/>
        <v>0.10197616910846137</v>
      </c>
      <c r="AB657" s="1313">
        <f t="shared" si="1221"/>
        <v>9.7855576265921104E-2</v>
      </c>
      <c r="AC657" s="1361">
        <f t="shared" si="1221"/>
        <v>9.8790418561417348E-2</v>
      </c>
      <c r="AD657" s="1313">
        <f t="shared" si="1221"/>
        <v>0.10260798328307175</v>
      </c>
      <c r="AE657" s="1313">
        <f t="shared" si="1221"/>
        <v>0.10840610960069814</v>
      </c>
      <c r="AF657" s="1391">
        <f t="shared" si="1221"/>
        <v>0.113160722260363</v>
      </c>
      <c r="AG657" s="1313">
        <f t="shared" si="1221"/>
        <v>0.11468380886031852</v>
      </c>
      <c r="AH657" s="1313">
        <f t="shared" si="1221"/>
        <v>0.12160371686891153</v>
      </c>
      <c r="AI657" s="1313">
        <f t="shared" si="1221"/>
        <v>0.12618625168883171</v>
      </c>
      <c r="AJ657" s="1313">
        <f t="shared" si="1221"/>
        <v>0.13424605535835191</v>
      </c>
      <c r="AK657" s="1361">
        <f t="shared" si="1221"/>
        <v>0.14295625379782881</v>
      </c>
      <c r="AL657" s="1313">
        <f t="shared" si="1221"/>
        <v>0.15168738113140778</v>
      </c>
      <c r="AM657" s="1313">
        <f t="shared" si="1221"/>
        <v>0.15534294905053436</v>
      </c>
      <c r="AN657" s="1391">
        <f t="shared" si="1221"/>
        <v>0.14252976336095921</v>
      </c>
      <c r="AO657" s="1361">
        <f t="shared" si="1221"/>
        <v>0.13185857313319491</v>
      </c>
      <c r="AP657" s="1313">
        <f t="shared" si="1221"/>
        <v>0.12319755130700157</v>
      </c>
      <c r="AQ657" s="1313">
        <f t="shared" si="1221"/>
        <v>0.11543664959281767</v>
      </c>
      <c r="AR657" s="1391">
        <f t="shared" si="1221"/>
        <v>0.11363273843063319</v>
      </c>
      <c r="AS657" s="1361">
        <f t="shared" si="1221"/>
        <v>8.2496544117273529E-2</v>
      </c>
      <c r="AT657" s="1313">
        <f t="shared" si="1221"/>
        <v>7.5486454442385914E-2</v>
      </c>
      <c r="AU657" s="1313">
        <f t="shared" si="1221"/>
        <v>6.7184416759720325E-2</v>
      </c>
      <c r="AV657" s="1391">
        <f t="shared" si="1221"/>
        <v>6.0853878590071117E-2</v>
      </c>
      <c r="AW657" s="1361">
        <f t="shared" si="1221"/>
        <v>3.5380378841573447E-2</v>
      </c>
      <c r="AX657" s="1313">
        <f t="shared" si="1221"/>
        <v>2.8463372213343181E-2</v>
      </c>
      <c r="AY657" s="1313">
        <f t="shared" si="1221"/>
        <v>2.101458592044636E-2</v>
      </c>
      <c r="AZ657" s="1391">
        <f t="shared" si="1221"/>
        <v>1.4602368716329939E-2</v>
      </c>
      <c r="BA657" s="1361">
        <f t="shared" si="1221"/>
        <v>-8.1474201523292454E-3</v>
      </c>
      <c r="BB657" s="1313">
        <f t="shared" si="1221"/>
        <v>-1.3762354411911322E-2</v>
      </c>
      <c r="BC657" s="1313">
        <f t="shared" si="1221"/>
        <v>-1.9560216667354267E-2</v>
      </c>
      <c r="BD657" s="1391">
        <f t="shared" si="1221"/>
        <v>-2.5231568240042562E-2</v>
      </c>
      <c r="BE657" s="1312"/>
      <c r="BF657" s="857"/>
      <c r="BG657" s="231"/>
      <c r="BH657" s="231"/>
      <c r="BI657" s="231"/>
      <c r="BJ657" s="231"/>
      <c r="BK657" s="231"/>
      <c r="BL657" s="1313"/>
      <c r="BM657" s="1313">
        <f t="shared" ref="BM657:BY657" si="1222">+BM653/BM599</f>
        <v>0.11549044526713356</v>
      </c>
      <c r="BN657" s="1361">
        <f t="shared" si="1222"/>
        <v>0.10635880808280988</v>
      </c>
      <c r="BO657" s="1313">
        <f t="shared" si="1222"/>
        <v>0.12473234538137881</v>
      </c>
      <c r="BP657" s="1313">
        <f t="shared" si="1222"/>
        <v>0.14817461625626557</v>
      </c>
      <c r="BQ657" s="1313">
        <f t="shared" si="1222"/>
        <v>0.12058520895997038</v>
      </c>
      <c r="BR657" s="1313">
        <f t="shared" si="1222"/>
        <v>7.1065524485871986E-2</v>
      </c>
      <c r="BS657" s="1313">
        <f t="shared" si="1222"/>
        <v>2.4518719312395739E-2</v>
      </c>
      <c r="BT657" s="1313">
        <f t="shared" si="1222"/>
        <v>-1.6896557279057776E-2</v>
      </c>
      <c r="BU657" s="1313">
        <f t="shared" si="1222"/>
        <v>-8.111697933074502E-2</v>
      </c>
      <c r="BV657" s="1313">
        <f t="shared" si="1222"/>
        <v>-0.14318451496054954</v>
      </c>
      <c r="BW657" s="1313">
        <f t="shared" si="1222"/>
        <v>-0.21637206037372958</v>
      </c>
      <c r="BX657" s="1313">
        <f t="shared" si="1222"/>
        <v>-0.29460369579126</v>
      </c>
      <c r="BY657" s="1391">
        <f t="shared" si="1222"/>
        <v>-0.37709445890586396</v>
      </c>
      <c r="BZ657" s="226"/>
    </row>
    <row r="658" spans="1:85" ht="11.25" hidden="1" customHeight="1" outlineLevel="2">
      <c r="I658" s="1127"/>
      <c r="J658" s="83"/>
      <c r="K658" s="83"/>
      <c r="L658" s="83"/>
      <c r="M658" s="83"/>
      <c r="N658" s="83"/>
      <c r="O658" s="83"/>
      <c r="P658" s="83"/>
      <c r="Q658" s="83"/>
      <c r="R658" s="83"/>
      <c r="S658" s="83"/>
      <c r="T658" s="83"/>
      <c r="U658" s="656"/>
      <c r="V658" s="83"/>
      <c r="W658" s="83"/>
      <c r="X658" s="883"/>
      <c r="Y658" s="106"/>
      <c r="Z658" s="106"/>
      <c r="AA658" s="106"/>
      <c r="AB658" s="106"/>
      <c r="AC658" s="977"/>
      <c r="AD658" s="976"/>
      <c r="AE658" s="976"/>
      <c r="AF658" s="1130"/>
      <c r="AG658" s="976"/>
      <c r="AH658" s="976"/>
      <c r="AI658" s="976"/>
      <c r="AJ658" s="976"/>
      <c r="AK658" s="977"/>
      <c r="AL658" s="976"/>
      <c r="AM658" s="976"/>
      <c r="AN658" s="1130"/>
      <c r="AO658" s="977"/>
      <c r="AP658" s="976"/>
      <c r="AQ658" s="976"/>
      <c r="AR658" s="1130"/>
      <c r="AS658" s="977"/>
      <c r="AT658" s="976"/>
      <c r="AU658" s="976"/>
      <c r="AV658" s="1130"/>
      <c r="AW658" s="977"/>
      <c r="AX658" s="976"/>
      <c r="AY658" s="976"/>
      <c r="AZ658" s="1130"/>
      <c r="BA658" s="977"/>
      <c r="BB658" s="976"/>
      <c r="BC658" s="976"/>
      <c r="BD658" s="1130"/>
      <c r="BE658" s="1128"/>
      <c r="BF658" s="814"/>
      <c r="BG658" s="106"/>
      <c r="BH658" s="106"/>
      <c r="BI658" s="106"/>
      <c r="BJ658" s="106"/>
      <c r="BK658" s="106"/>
      <c r="BL658" s="106"/>
      <c r="BN658" s="814"/>
      <c r="BO658" s="1169"/>
      <c r="BP658" s="1169"/>
      <c r="BQ658" s="958"/>
      <c r="BR658" s="958"/>
      <c r="BS658" s="958"/>
      <c r="BT658" s="958"/>
      <c r="BU658" s="958"/>
      <c r="BV658" s="958"/>
      <c r="BW658" s="958"/>
      <c r="BX658" s="958"/>
      <c r="BY658" s="1152"/>
    </row>
    <row r="659" spans="1:85" ht="11.25" hidden="1" customHeight="1" outlineLevel="2">
      <c r="I659" s="863" t="s">
        <v>437</v>
      </c>
      <c r="J659" s="83"/>
      <c r="K659" s="83"/>
      <c r="L659" s="83"/>
      <c r="M659" s="83"/>
      <c r="N659" s="83"/>
      <c r="O659" s="83"/>
      <c r="P659" s="83"/>
      <c r="Q659" s="83"/>
      <c r="R659" s="83"/>
      <c r="S659" s="83"/>
      <c r="T659" s="83"/>
      <c r="U659" s="656"/>
      <c r="V659" s="83"/>
      <c r="W659" s="83"/>
      <c r="X659" s="883"/>
      <c r="Y659" s="106"/>
      <c r="Z659" s="106"/>
      <c r="AA659" s="106"/>
      <c r="AB659" s="106"/>
      <c r="AC659" s="1362">
        <f>+AC644/AC660</f>
        <v>7.2449999999999992</v>
      </c>
      <c r="AD659" s="1169">
        <f>+AD644/AD660</f>
        <v>8.6709999999999994</v>
      </c>
      <c r="AE659" s="1169">
        <f>+AE644/AE660</f>
        <v>9.7979999999999983</v>
      </c>
      <c r="AF659" s="1400">
        <f>+AF644/AF660</f>
        <v>10.809999999999999</v>
      </c>
      <c r="AG659" s="976"/>
      <c r="AH659" s="976"/>
      <c r="AI659" s="976"/>
      <c r="AJ659" s="976"/>
      <c r="AK659" s="977"/>
      <c r="AL659" s="976"/>
      <c r="AM659" s="976"/>
      <c r="AN659" s="1130"/>
      <c r="AO659" s="977"/>
      <c r="AP659" s="976"/>
      <c r="AQ659" s="976"/>
      <c r="AR659" s="1130"/>
      <c r="AS659" s="977"/>
      <c r="AT659" s="976"/>
      <c r="AU659" s="976"/>
      <c r="AV659" s="1130"/>
      <c r="AW659" s="977"/>
      <c r="AX659" s="976"/>
      <c r="AY659" s="976"/>
      <c r="AZ659" s="1130"/>
      <c r="BA659" s="977"/>
      <c r="BB659" s="976"/>
      <c r="BC659" s="976"/>
      <c r="BD659" s="1130"/>
      <c r="BE659" s="1128"/>
      <c r="BF659" s="814"/>
      <c r="BG659" s="106"/>
      <c r="BH659" s="106"/>
      <c r="BI659" s="106"/>
      <c r="BJ659" s="106"/>
      <c r="BL659" s="106">
        <f>24817/1000</f>
        <v>24.817</v>
      </c>
      <c r="BM659" s="106">
        <f>(24817+35959+52757)/1000</f>
        <v>113.533</v>
      </c>
      <c r="BN659" s="814"/>
      <c r="BP659" s="958"/>
      <c r="BQ659" s="958"/>
      <c r="BR659" s="958"/>
      <c r="BS659" s="958"/>
      <c r="BT659" s="958"/>
      <c r="BU659" s="958"/>
      <c r="BV659" s="958"/>
      <c r="BW659" s="958"/>
      <c r="BX659" s="958"/>
      <c r="BY659" s="1152"/>
    </row>
    <row r="660" spans="1:85" ht="11.25" hidden="1" customHeight="1" outlineLevel="2">
      <c r="I660" s="863"/>
      <c r="J660" s="83"/>
      <c r="K660" s="83"/>
      <c r="L660" s="83"/>
      <c r="M660" s="83"/>
      <c r="N660" s="83"/>
      <c r="O660" s="83"/>
      <c r="P660" s="83"/>
      <c r="Q660" s="83"/>
      <c r="R660" s="83"/>
      <c r="S660" s="83"/>
      <c r="T660" s="83"/>
      <c r="U660" s="656"/>
      <c r="V660" s="83"/>
      <c r="W660" s="83"/>
      <c r="X660" s="883"/>
      <c r="Y660" s="1169">
        <f t="shared" ref="Y660:BD660" si="1223">+Y653/Y627</f>
        <v>2.3736242875270723</v>
      </c>
      <c r="Z660" s="1169">
        <f t="shared" si="1223"/>
        <v>2.9210383397251105</v>
      </c>
      <c r="AA660" s="1169">
        <f t="shared" si="1223"/>
        <v>1.8385046008041437</v>
      </c>
      <c r="AB660" s="1169">
        <f t="shared" si="1223"/>
        <v>1.5908944444444444</v>
      </c>
      <c r="AC660" s="1362">
        <f t="shared" si="1223"/>
        <v>1.496282815734991</v>
      </c>
      <c r="AD660" s="1169">
        <f t="shared" si="1223"/>
        <v>1.4950282551032179</v>
      </c>
      <c r="AE660" s="1169">
        <f t="shared" si="1223"/>
        <v>1.5342263727291294</v>
      </c>
      <c r="AF660" s="1400">
        <f t="shared" si="1223"/>
        <v>1.570526364477336</v>
      </c>
      <c r="AG660" s="1169">
        <f t="shared" si="1223"/>
        <v>1.555937446296614</v>
      </c>
      <c r="AH660" s="1169">
        <f t="shared" si="1223"/>
        <v>1.659022137283007</v>
      </c>
      <c r="AI660" s="1169">
        <f t="shared" si="1223"/>
        <v>1.7463392656003602</v>
      </c>
      <c r="AJ660" s="1169">
        <f t="shared" si="1223"/>
        <v>1.7372054430799861</v>
      </c>
      <c r="AK660" s="1362">
        <f t="shared" si="1223"/>
        <v>1.7819526450766399</v>
      </c>
      <c r="AL660" s="1169">
        <f t="shared" si="1223"/>
        <v>1.9389947419008304</v>
      </c>
      <c r="AM660" s="1169">
        <f t="shared" si="1223"/>
        <v>1.9325622224517192</v>
      </c>
      <c r="AN660" s="1400">
        <f t="shared" si="1223"/>
        <v>1.6650837113249977</v>
      </c>
      <c r="AO660" s="1362">
        <f t="shared" si="1223"/>
        <v>1.4827059980039055</v>
      </c>
      <c r="AP660" s="1169">
        <f t="shared" si="1223"/>
        <v>1.4195506049242812</v>
      </c>
      <c r="AQ660" s="1169">
        <f t="shared" si="1223"/>
        <v>1.293511403695736</v>
      </c>
      <c r="AR660" s="1400">
        <f t="shared" si="1223"/>
        <v>1.1947484906674251</v>
      </c>
      <c r="AS660" s="1362">
        <f t="shared" si="1223"/>
        <v>0.83421432097853376</v>
      </c>
      <c r="AT660" s="1169">
        <f t="shared" si="1223"/>
        <v>0.78155658994795463</v>
      </c>
      <c r="AU660" s="1169">
        <f t="shared" si="1223"/>
        <v>0.6758956385986804</v>
      </c>
      <c r="AV660" s="1400">
        <f t="shared" si="1223"/>
        <v>0.57396076226292136</v>
      </c>
      <c r="AW660" s="1362">
        <f t="shared" si="1223"/>
        <v>0.32066825319587688</v>
      </c>
      <c r="AX660" s="1169">
        <f t="shared" si="1223"/>
        <v>0.26390900044776344</v>
      </c>
      <c r="AY660" s="1169">
        <f t="shared" si="1223"/>
        <v>0.18915910481189219</v>
      </c>
      <c r="AZ660" s="1400">
        <f t="shared" si="1223"/>
        <v>0.12311907004364811</v>
      </c>
      <c r="BA660" s="1362">
        <f t="shared" si="1223"/>
        <v>-6.5952029772194123E-2</v>
      </c>
      <c r="BB660" s="1169">
        <f t="shared" si="1223"/>
        <v>-0.11386106046804295</v>
      </c>
      <c r="BC660" s="1169">
        <f t="shared" si="1223"/>
        <v>-0.15695971603692843</v>
      </c>
      <c r="BD660" s="1400">
        <f t="shared" si="1223"/>
        <v>-0.18947029977085172</v>
      </c>
      <c r="BE660" s="1128"/>
      <c r="BF660" s="814"/>
      <c r="BG660" s="106"/>
      <c r="BH660" s="106"/>
      <c r="BI660" s="106"/>
      <c r="BJ660" s="106"/>
      <c r="BL660" s="106"/>
      <c r="BN660" s="814"/>
      <c r="BP660" s="958"/>
      <c r="BQ660" s="958"/>
      <c r="BR660" s="958"/>
      <c r="BS660" s="958"/>
      <c r="BT660" s="958"/>
      <c r="BU660" s="958"/>
      <c r="BV660" s="958"/>
      <c r="BW660" s="958"/>
      <c r="BX660" s="958"/>
      <c r="BY660" s="1152"/>
    </row>
    <row r="661" spans="1:85" ht="11.25" hidden="1" customHeight="1" outlineLevel="2">
      <c r="I661" s="863" t="s">
        <v>438</v>
      </c>
      <c r="J661" s="83"/>
      <c r="K661" s="83"/>
      <c r="L661" s="83"/>
      <c r="M661" s="83"/>
      <c r="N661" s="83"/>
      <c r="O661" s="83"/>
      <c r="P661" s="83"/>
      <c r="Q661" s="83"/>
      <c r="R661" s="83"/>
      <c r="S661" s="83"/>
      <c r="T661" s="83"/>
      <c r="U661" s="656"/>
      <c r="V661" s="83"/>
      <c r="W661" s="83"/>
      <c r="X661" s="883"/>
      <c r="Y661" s="106"/>
      <c r="Z661" s="106"/>
      <c r="AA661" s="106"/>
      <c r="AB661" s="106"/>
      <c r="AC661" s="977"/>
      <c r="AD661" s="976"/>
      <c r="AE661" s="976"/>
      <c r="AF661" s="1130"/>
      <c r="AG661" s="976"/>
      <c r="AH661" s="976"/>
      <c r="AI661" s="976"/>
      <c r="AJ661" s="976"/>
      <c r="AK661" s="977"/>
      <c r="AL661" s="976"/>
      <c r="AM661" s="976"/>
      <c r="AN661" s="1130"/>
      <c r="AO661" s="977"/>
      <c r="AP661" s="976"/>
      <c r="AQ661" s="976"/>
      <c r="AR661" s="1130"/>
      <c r="AS661" s="977"/>
      <c r="AT661" s="976"/>
      <c r="AU661" s="976"/>
      <c r="AV661" s="1130"/>
      <c r="AW661" s="977"/>
      <c r="AX661" s="976"/>
      <c r="AY661" s="976"/>
      <c r="AZ661" s="1130"/>
      <c r="BA661" s="977"/>
      <c r="BB661" s="976"/>
      <c r="BC661" s="976"/>
      <c r="BD661" s="1130"/>
      <c r="BE661" s="1128"/>
      <c r="BF661" s="814"/>
      <c r="BG661" s="106"/>
      <c r="BH661" s="106"/>
      <c r="BI661" s="106"/>
      <c r="BJ661" s="106"/>
      <c r="BL661" s="106">
        <f>65796/1000</f>
        <v>65.796000000000006</v>
      </c>
      <c r="BM661" s="106">
        <f>(65796+86308+120005)/1000</f>
        <v>272.10899999999998</v>
      </c>
      <c r="BN661" s="814"/>
      <c r="BP661" s="958"/>
      <c r="BQ661" s="958"/>
      <c r="BR661" s="958"/>
      <c r="BS661" s="958"/>
      <c r="BT661" s="958"/>
      <c r="BU661" s="958"/>
      <c r="BV661" s="958"/>
      <c r="BW661" s="958"/>
      <c r="BX661" s="958"/>
      <c r="BY661" s="1152"/>
    </row>
    <row r="662" spans="1:85" ht="11.25" hidden="1" customHeight="1" outlineLevel="2">
      <c r="I662" s="863"/>
      <c r="J662" s="83"/>
      <c r="K662" s="83"/>
      <c r="L662" s="83"/>
      <c r="M662" s="83"/>
      <c r="N662" s="83"/>
      <c r="O662" s="83"/>
      <c r="P662" s="83"/>
      <c r="Q662" s="83"/>
      <c r="R662" s="83"/>
      <c r="S662" s="83"/>
      <c r="T662" s="83"/>
      <c r="U662" s="656"/>
      <c r="V662" s="83"/>
      <c r="W662" s="83"/>
      <c r="X662" s="883"/>
      <c r="Y662" s="106"/>
      <c r="Z662" s="106"/>
      <c r="AA662" s="106"/>
      <c r="AB662" s="106"/>
      <c r="AC662" s="977"/>
      <c r="AD662" s="976"/>
      <c r="AE662" s="976"/>
      <c r="AF662" s="1130"/>
      <c r="AG662" s="976"/>
      <c r="AH662" s="976"/>
      <c r="AI662" s="976"/>
      <c r="AJ662" s="976"/>
      <c r="AK662" s="977"/>
      <c r="AL662" s="976"/>
      <c r="AM662" s="976"/>
      <c r="AN662" s="1130"/>
      <c r="AO662" s="977"/>
      <c r="AP662" s="976"/>
      <c r="AQ662" s="976"/>
      <c r="AR662" s="1130"/>
      <c r="AS662" s="977"/>
      <c r="AT662" s="976"/>
      <c r="AU662" s="976"/>
      <c r="AV662" s="1130"/>
      <c r="AW662" s="977"/>
      <c r="AX662" s="976"/>
      <c r="AY662" s="976"/>
      <c r="AZ662" s="1130"/>
      <c r="BA662" s="977"/>
      <c r="BB662" s="976"/>
      <c r="BC662" s="976"/>
      <c r="BD662" s="1130"/>
      <c r="BE662" s="1128"/>
      <c r="BF662" s="814"/>
      <c r="BG662" s="106"/>
      <c r="BH662" s="106"/>
      <c r="BI662" s="106"/>
      <c r="BJ662" s="106"/>
      <c r="BL662" s="106"/>
      <c r="BN662" s="814"/>
      <c r="BP662" s="958"/>
      <c r="BQ662" s="958"/>
      <c r="BR662" s="958"/>
      <c r="BS662" s="958"/>
      <c r="BT662" s="958"/>
      <c r="BU662" s="958"/>
      <c r="BV662" s="958"/>
      <c r="BW662" s="958"/>
      <c r="BX662" s="958"/>
      <c r="BY662" s="1152"/>
    </row>
    <row r="663" spans="1:85" ht="11.25" hidden="1" customHeight="1" outlineLevel="2">
      <c r="I663" s="863" t="s">
        <v>439</v>
      </c>
      <c r="J663" s="83"/>
      <c r="K663" s="83"/>
      <c r="L663" s="83"/>
      <c r="M663" s="83"/>
      <c r="N663" s="83"/>
      <c r="O663" s="83"/>
      <c r="P663" s="83"/>
      <c r="Q663" s="83"/>
      <c r="R663" s="83"/>
      <c r="S663" s="83"/>
      <c r="T663" s="83"/>
      <c r="U663" s="656"/>
      <c r="V663" s="83"/>
      <c r="W663" s="83"/>
      <c r="X663" s="883"/>
      <c r="Y663" s="106"/>
      <c r="Z663" s="106"/>
      <c r="AA663" s="106"/>
      <c r="AB663" s="106"/>
      <c r="AC663" s="977"/>
      <c r="AD663" s="976"/>
      <c r="AE663" s="976"/>
      <c r="AF663" s="1130"/>
      <c r="AG663" s="976"/>
      <c r="AH663" s="976"/>
      <c r="AI663" s="976"/>
      <c r="AJ663" s="976"/>
      <c r="AK663" s="977"/>
      <c r="AL663" s="976"/>
      <c r="AM663" s="976"/>
      <c r="AN663" s="1130"/>
      <c r="AO663" s="977"/>
      <c r="AP663" s="976"/>
      <c r="AQ663" s="976"/>
      <c r="AR663" s="1130"/>
      <c r="AS663" s="977"/>
      <c r="AT663" s="976"/>
      <c r="AU663" s="976"/>
      <c r="AV663" s="1130"/>
      <c r="AW663" s="977"/>
      <c r="AX663" s="976"/>
      <c r="AY663" s="976"/>
      <c r="AZ663" s="1130"/>
      <c r="BA663" s="977"/>
      <c r="BB663" s="976"/>
      <c r="BC663" s="976"/>
      <c r="BD663" s="1130"/>
      <c r="BE663" s="1128"/>
      <c r="BF663" s="814"/>
      <c r="BG663" s="106"/>
      <c r="BH663" s="106"/>
      <c r="BI663" s="106"/>
      <c r="BJ663" s="106"/>
      <c r="BL663" s="106">
        <f>606/1000</f>
        <v>0.60599999999999998</v>
      </c>
      <c r="BM663" s="106">
        <f>(606+994+1488)/1000</f>
        <v>3.0880000000000001</v>
      </c>
      <c r="BN663" s="814"/>
      <c r="BP663" s="958"/>
      <c r="BQ663" s="958"/>
      <c r="BR663" s="958"/>
      <c r="BS663" s="958"/>
      <c r="BT663" s="958"/>
      <c r="BU663" s="958"/>
      <c r="BV663" s="958"/>
      <c r="BW663" s="958"/>
      <c r="BX663" s="958"/>
      <c r="BY663" s="1152"/>
    </row>
    <row r="664" spans="1:85" ht="11.25" hidden="1" customHeight="1" outlineLevel="2">
      <c r="I664" s="863"/>
      <c r="J664" s="83"/>
      <c r="K664" s="83"/>
      <c r="L664" s="83"/>
      <c r="M664" s="83"/>
      <c r="N664" s="83"/>
      <c r="O664" s="83"/>
      <c r="P664" s="83"/>
      <c r="Q664" s="83"/>
      <c r="R664" s="83"/>
      <c r="S664" s="83"/>
      <c r="T664" s="83"/>
      <c r="U664" s="656"/>
      <c r="V664" s="83"/>
      <c r="W664" s="83"/>
      <c r="X664" s="883"/>
      <c r="Y664" s="814"/>
      <c r="Z664" s="106"/>
      <c r="AA664" s="106"/>
      <c r="AB664" s="106"/>
      <c r="AC664" s="977"/>
      <c r="AD664" s="976"/>
      <c r="AE664" s="976"/>
      <c r="AF664" s="1130"/>
      <c r="AG664" s="976"/>
      <c r="AH664" s="976"/>
      <c r="AI664" s="976"/>
      <c r="AJ664" s="976"/>
      <c r="AK664" s="977"/>
      <c r="AL664" s="976"/>
      <c r="AM664" s="976"/>
      <c r="AN664" s="1130"/>
      <c r="AO664" s="977"/>
      <c r="AP664" s="976"/>
      <c r="AQ664" s="976"/>
      <c r="AR664" s="1130"/>
      <c r="AS664" s="977"/>
      <c r="AT664" s="976"/>
      <c r="AU664" s="976"/>
      <c r="AV664" s="1130"/>
      <c r="AW664" s="977"/>
      <c r="AX664" s="976"/>
      <c r="AY664" s="976"/>
      <c r="AZ664" s="1130"/>
      <c r="BA664" s="977"/>
      <c r="BB664" s="976"/>
      <c r="BC664" s="976"/>
      <c r="BD664" s="1130"/>
      <c r="BE664" s="1128"/>
      <c r="BF664" s="814"/>
      <c r="BG664" s="106"/>
      <c r="BH664" s="106"/>
      <c r="BI664" s="106"/>
      <c r="BJ664" s="106"/>
      <c r="BL664" s="106"/>
      <c r="BN664" s="814"/>
      <c r="BP664" s="958"/>
      <c r="BQ664" s="958"/>
      <c r="BR664" s="958"/>
      <c r="BS664" s="958"/>
      <c r="BT664" s="958"/>
      <c r="BU664" s="958"/>
      <c r="BV664" s="958"/>
      <c r="BW664" s="958"/>
      <c r="BX664" s="958"/>
      <c r="BY664" s="1152"/>
    </row>
    <row r="665" spans="1:85" ht="11.25" hidden="1" customHeight="1" outlineLevel="2">
      <c r="I665" s="863" t="s">
        <v>440</v>
      </c>
      <c r="J665" s="83"/>
      <c r="K665" s="83"/>
      <c r="L665" s="83"/>
      <c r="M665" s="83"/>
      <c r="N665" s="83"/>
      <c r="O665" s="83"/>
      <c r="P665" s="83"/>
      <c r="Q665" s="83"/>
      <c r="R665" s="83"/>
      <c r="S665" s="83"/>
      <c r="T665" s="83"/>
      <c r="U665" s="656"/>
      <c r="V665" s="83"/>
      <c r="W665" s="83"/>
      <c r="X665" s="883"/>
      <c r="Y665" s="814"/>
      <c r="Z665" s="106"/>
      <c r="AA665" s="106"/>
      <c r="AB665" s="106"/>
      <c r="AC665" s="977"/>
      <c r="AD665" s="976"/>
      <c r="AE665" s="976"/>
      <c r="AF665" s="1130"/>
      <c r="AG665" s="976"/>
      <c r="AH665" s="976"/>
      <c r="AI665" s="976"/>
      <c r="AJ665" s="976"/>
      <c r="AK665" s="977"/>
      <c r="AL665" s="976"/>
      <c r="AM665" s="976"/>
      <c r="AN665" s="1130"/>
      <c r="AO665" s="977"/>
      <c r="AP665" s="976"/>
      <c r="AQ665" s="976"/>
      <c r="AR665" s="1130"/>
      <c r="AS665" s="977"/>
      <c r="AT665" s="976"/>
      <c r="AU665" s="976"/>
      <c r="AV665" s="1130"/>
      <c r="AW665" s="977"/>
      <c r="AX665" s="976"/>
      <c r="AY665" s="976"/>
      <c r="AZ665" s="1130"/>
      <c r="BA665" s="977"/>
      <c r="BB665" s="976"/>
      <c r="BC665" s="976"/>
      <c r="BD665" s="1130"/>
      <c r="BE665" s="1128"/>
      <c r="BF665" s="814"/>
      <c r="BG665" s="106"/>
      <c r="BH665" s="106"/>
      <c r="BI665" s="106"/>
      <c r="BJ665" s="106"/>
      <c r="BL665" s="106">
        <f>24/1000</f>
        <v>2.4E-2</v>
      </c>
      <c r="BM665" s="106">
        <f>(11+24+40+67)/1000</f>
        <v>0.14199999999999999</v>
      </c>
      <c r="BN665" s="814"/>
      <c r="BP665" s="958"/>
      <c r="BQ665" s="958"/>
      <c r="BR665" s="958"/>
      <c r="BS665" s="958"/>
      <c r="BT665" s="958"/>
      <c r="BU665" s="958"/>
      <c r="BV665" s="958"/>
      <c r="BW665" s="958"/>
      <c r="BX665" s="958"/>
      <c r="BY665" s="1152"/>
    </row>
    <row r="666" spans="1:85" ht="11.25" hidden="1" customHeight="1" outlineLevel="1" collapsed="1">
      <c r="I666" s="1136"/>
      <c r="J666" s="1137"/>
      <c r="K666" s="1137"/>
      <c r="L666" s="1137"/>
      <c r="M666" s="1137"/>
      <c r="N666" s="1137"/>
      <c r="O666" s="1137"/>
      <c r="P666" s="1137"/>
      <c r="Q666" s="1137"/>
      <c r="R666" s="1137"/>
      <c r="S666" s="1137"/>
      <c r="T666" s="1137"/>
      <c r="U666" s="1149"/>
      <c r="V666" s="1137"/>
      <c r="W666" s="1137"/>
      <c r="X666" s="1150"/>
      <c r="Y666" s="853"/>
      <c r="Z666" s="846"/>
      <c r="AA666" s="846"/>
      <c r="AB666" s="847"/>
      <c r="AC666" s="1138"/>
      <c r="AD666" s="1138"/>
      <c r="AE666" s="1138"/>
      <c r="AF666" s="1138"/>
      <c r="AG666" s="1143"/>
      <c r="AH666" s="1138"/>
      <c r="AI666" s="1138"/>
      <c r="AJ666" s="1138"/>
      <c r="AK666" s="1143"/>
      <c r="AL666" s="1138"/>
      <c r="AM666" s="1138"/>
      <c r="AN666" s="1139"/>
      <c r="AO666" s="1143"/>
      <c r="AP666" s="1138"/>
      <c r="AQ666" s="1138"/>
      <c r="AR666" s="1139"/>
      <c r="AS666" s="1143"/>
      <c r="AT666" s="1138"/>
      <c r="AU666" s="1138"/>
      <c r="AV666" s="1139"/>
      <c r="AW666" s="1143"/>
      <c r="AX666" s="1138"/>
      <c r="AY666" s="1138"/>
      <c r="AZ666" s="1139"/>
      <c r="BA666" s="1143"/>
      <c r="BB666" s="1138"/>
      <c r="BC666" s="1138"/>
      <c r="BD666" s="1139"/>
      <c r="BE666" s="1128"/>
      <c r="BF666" s="853"/>
      <c r="BG666" s="846"/>
      <c r="BH666" s="846"/>
      <c r="BI666" s="846"/>
      <c r="BJ666" s="846"/>
      <c r="BK666" s="846"/>
      <c r="BL666" s="846"/>
      <c r="BM666" s="846"/>
      <c r="BN666" s="853"/>
      <c r="BO666" s="846"/>
      <c r="BP666" s="846"/>
      <c r="BQ666" s="846"/>
      <c r="BR666" s="846"/>
      <c r="BS666" s="846"/>
      <c r="BT666" s="846"/>
      <c r="BU666" s="846"/>
      <c r="BV666" s="846"/>
      <c r="BW666" s="846"/>
      <c r="BX666" s="846"/>
      <c r="BY666" s="847"/>
    </row>
    <row r="667" spans="1:85" ht="11.25" hidden="1" customHeight="1" outlineLevel="1"/>
    <row r="668" spans="1:85" ht="11.25" hidden="1" customHeight="1" outlineLevel="2">
      <c r="A668" s="36"/>
      <c r="B668" s="36"/>
      <c r="C668" s="36"/>
      <c r="D668" s="36"/>
      <c r="E668" s="36"/>
      <c r="F668" s="36"/>
      <c r="G668" s="36"/>
      <c r="I668" s="54"/>
      <c r="J668" s="54"/>
      <c r="K668" s="54"/>
      <c r="L668" s="54"/>
      <c r="M668" s="54"/>
      <c r="N668" s="54"/>
      <c r="O668" s="54"/>
      <c r="P668" s="54"/>
      <c r="Q668" s="54"/>
      <c r="R668" s="54"/>
      <c r="S668" s="54"/>
      <c r="T668" s="54"/>
      <c r="U668" s="54"/>
      <c r="V668" s="54"/>
      <c r="W668" s="54"/>
      <c r="X668" s="54"/>
      <c r="Y668" s="54"/>
      <c r="Z668" s="54"/>
      <c r="AA668" s="54"/>
      <c r="AB668" s="54"/>
      <c r="AC668" s="54"/>
      <c r="AD668" s="54"/>
      <c r="AE668" s="54"/>
      <c r="AF668" s="54"/>
      <c r="AG668" s="54"/>
      <c r="AH668" s="54"/>
      <c r="AI668" s="54"/>
      <c r="AJ668" s="54"/>
      <c r="AK668" s="54"/>
      <c r="AL668" s="54"/>
      <c r="AM668" s="54"/>
      <c r="AN668" s="54"/>
      <c r="AO668" s="54"/>
      <c r="AP668" s="54"/>
      <c r="AQ668" s="54"/>
      <c r="AR668" s="54"/>
      <c r="AS668" s="54"/>
      <c r="AT668" s="54"/>
      <c r="AU668" s="54"/>
      <c r="AV668" s="54"/>
      <c r="AW668" s="54"/>
      <c r="AX668" s="54"/>
      <c r="AY668" s="54"/>
      <c r="AZ668" s="54"/>
      <c r="BA668" s="54"/>
      <c r="BB668" s="54"/>
      <c r="BC668" s="54"/>
      <c r="BD668" s="54"/>
      <c r="BE668" s="83"/>
      <c r="BF668" s="54"/>
      <c r="BG668" s="54"/>
      <c r="BH668" s="54"/>
      <c r="BI668" s="54"/>
      <c r="BJ668" s="54"/>
      <c r="BK668" s="54"/>
      <c r="BL668" s="54"/>
      <c r="BM668" s="54"/>
      <c r="BN668" s="54"/>
      <c r="BO668" s="54"/>
      <c r="BP668" s="54"/>
      <c r="BQ668" s="54"/>
      <c r="BR668" s="54"/>
      <c r="BS668" s="54"/>
      <c r="BT668" s="54"/>
      <c r="BU668" s="54"/>
      <c r="BV668" s="54"/>
      <c r="BW668" s="54"/>
      <c r="BX668" s="54"/>
      <c r="BY668" s="54"/>
      <c r="CA668" s="36"/>
      <c r="CB668" s="36"/>
      <c r="CC668" s="36"/>
      <c r="CD668" s="36"/>
      <c r="CE668" s="36"/>
      <c r="CF668" s="36"/>
      <c r="CG668" s="36"/>
    </row>
    <row r="669" spans="1:85" ht="11.25" hidden="1" customHeight="1" outlineLevel="2">
      <c r="A669" s="36"/>
      <c r="B669" s="36"/>
      <c r="C669" s="36"/>
      <c r="D669" s="36"/>
      <c r="E669" s="36"/>
      <c r="F669" s="36"/>
      <c r="G669" s="36"/>
      <c r="I669" s="54"/>
      <c r="J669" s="54"/>
      <c r="K669" s="54"/>
      <c r="L669" s="54"/>
      <c r="M669" s="54"/>
      <c r="N669" s="54"/>
      <c r="O669" s="54"/>
      <c r="P669" s="54"/>
      <c r="Q669" s="54"/>
      <c r="R669" s="54"/>
      <c r="S669" s="54"/>
      <c r="T669" s="54"/>
      <c r="U669" s="54"/>
      <c r="V669" s="54"/>
      <c r="W669" s="54"/>
      <c r="X669" s="54"/>
      <c r="Y669" s="54"/>
      <c r="Z669" s="54"/>
      <c r="AA669" s="54"/>
      <c r="AB669" s="54"/>
      <c r="AC669" s="54"/>
      <c r="AD669" s="54"/>
      <c r="AE669" s="54"/>
      <c r="AF669" s="54"/>
      <c r="AG669" s="54"/>
      <c r="AH669" s="54"/>
      <c r="AI669" s="54"/>
      <c r="AJ669" s="54"/>
      <c r="AK669" s="54"/>
      <c r="AL669" s="54"/>
      <c r="AM669" s="54"/>
      <c r="AN669" s="54"/>
      <c r="AO669" s="54"/>
      <c r="AP669" s="54"/>
      <c r="AQ669" s="54"/>
      <c r="AR669" s="54"/>
      <c r="AS669" s="54"/>
      <c r="AT669" s="54"/>
      <c r="AU669" s="54"/>
      <c r="AV669" s="54"/>
      <c r="AW669" s="54"/>
      <c r="AX669" s="54"/>
      <c r="AY669" s="54"/>
      <c r="AZ669" s="54"/>
      <c r="BA669" s="54"/>
      <c r="BB669" s="54"/>
      <c r="BC669" s="54"/>
      <c r="BD669" s="54"/>
      <c r="BE669" s="83"/>
      <c r="BF669" s="54"/>
      <c r="BG669" s="54"/>
      <c r="BH669" s="54"/>
      <c r="BI669" s="54"/>
      <c r="BJ669" s="54"/>
      <c r="BK669" s="54"/>
      <c r="BL669" s="54"/>
      <c r="BM669" s="54"/>
      <c r="BN669" s="54"/>
      <c r="BO669" s="54"/>
      <c r="BP669" s="54"/>
      <c r="BQ669" s="54"/>
      <c r="BR669" s="54"/>
      <c r="BS669" s="54"/>
      <c r="BT669" s="54"/>
      <c r="BU669" s="54"/>
      <c r="BV669" s="54"/>
      <c r="BW669" s="54"/>
      <c r="BX669" s="54"/>
      <c r="BY669" s="54"/>
      <c r="CA669" s="36"/>
      <c r="CB669" s="36"/>
      <c r="CC669" s="36"/>
      <c r="CD669" s="36"/>
      <c r="CE669" s="36"/>
      <c r="CF669" s="36"/>
      <c r="CG669" s="36"/>
    </row>
    <row r="670" spans="1:85" ht="11.25" hidden="1" customHeight="1" outlineLevel="2"/>
    <row r="671" spans="1:85" ht="11.25" hidden="1" customHeight="1" outlineLevel="1"/>
    <row r="672" spans="1:85" ht="11.25" customHeight="1" collapsed="1"/>
  </sheetData>
  <mergeCells count="3">
    <mergeCell ref="AS7:AV7"/>
    <mergeCell ref="AW7:AZ7"/>
    <mergeCell ref="BA7:BD7"/>
  </mergeCells>
  <phoneticPr fontId="2" type="noConversion"/>
  <pageMargins left="0" right="0" top="0" bottom="0" header="0" footer="0"/>
  <pageSetup paperSize="5" scale="15" orientation="landscape" r:id="rId1"/>
  <headerFooter alignWithMargins="0"/>
  <rowBreaks count="1" manualBreakCount="1">
    <brk id="470" min="8" max="71"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4"/>
    <pageSetUpPr fitToPage="1"/>
  </sheetPr>
  <dimension ref="A1:CX254"/>
  <sheetViews>
    <sheetView showGridLines="0" topLeftCell="H4" zoomScale="85" zoomScaleNormal="85" workbookViewId="0">
      <pane xSplit="25" ySplit="5" topLeftCell="AL9" activePane="bottomRight" state="frozen"/>
      <selection activeCell="H4" sqref="H4"/>
      <selection pane="topRight" activeCell="AG4" sqref="AG4"/>
      <selection pane="bottomLeft" activeCell="H9" sqref="H9"/>
      <selection pane="bottomRight" activeCell="BX10" sqref="BX10"/>
    </sheetView>
  </sheetViews>
  <sheetFormatPr defaultRowHeight="11.25" customHeight="1" outlineLevelRow="1" outlineLevelCol="1"/>
  <cols>
    <col min="1" max="7" width="8.7109375" style="40" hidden="1" customWidth="1" outlineLevel="1"/>
    <col min="8" max="8" width="1.7109375" style="40" customWidth="1" collapsed="1"/>
    <col min="9" max="12" width="10.85546875" style="40" customWidth="1"/>
    <col min="13" max="16" width="9.28515625" style="40" hidden="1" customWidth="1" outlineLevel="1"/>
    <col min="17" max="17" width="9.28515625" style="40" hidden="1" customWidth="1" outlineLevel="1" collapsed="1"/>
    <col min="18" max="21" width="9.28515625" style="40" hidden="1" customWidth="1" outlineLevel="1"/>
    <col min="22" max="23" width="9.42578125" style="40" hidden="1" customWidth="1" outlineLevel="1"/>
    <col min="24" max="24" width="9.5703125" style="40" hidden="1" customWidth="1" outlineLevel="1"/>
    <col min="25" max="25" width="9.28515625" style="40" hidden="1" customWidth="1" outlineLevel="1" collapsed="1"/>
    <col min="26" max="32" width="9.28515625" style="40" hidden="1" customWidth="1" outlineLevel="1"/>
    <col min="33" max="33" width="9.28515625" style="40" customWidth="1" collapsed="1"/>
    <col min="34" max="36" width="9.28515625" style="40" customWidth="1"/>
    <col min="37" max="37" width="9.28515625" style="40" customWidth="1" collapsed="1"/>
    <col min="38" max="40" width="9.28515625" style="40" customWidth="1"/>
    <col min="41" max="41" width="9.28515625" style="40" customWidth="1" collapsed="1"/>
    <col min="42" max="44" width="9.28515625" style="40" customWidth="1"/>
    <col min="45" max="45" width="9.28515625" style="40" customWidth="1" collapsed="1"/>
    <col min="46" max="48" width="9.28515625" style="40" customWidth="1"/>
    <col min="49" max="49" width="9.28515625" style="40" hidden="1" customWidth="1" outlineLevel="1" collapsed="1"/>
    <col min="50" max="52" width="9.28515625" style="40" hidden="1" customWidth="1" outlineLevel="1"/>
    <col min="53" max="53" width="9.28515625" style="40" hidden="1" customWidth="1" outlineLevel="1" collapsed="1"/>
    <col min="54" max="56" width="9.28515625" style="40" hidden="1" customWidth="1" outlineLevel="1"/>
    <col min="57" max="57" width="4.28515625" style="83" customWidth="1" collapsed="1"/>
    <col min="58" max="60" width="9.140625" style="40" hidden="1" customWidth="1" outlineLevel="1"/>
    <col min="61" max="62" width="9.28515625" style="40" hidden="1" customWidth="1" outlineLevel="1"/>
    <col min="63" max="63" width="9.42578125" style="40" hidden="1" customWidth="1" outlineLevel="1"/>
    <col min="64" max="64" width="10.7109375" style="40" hidden="1" customWidth="1" outlineLevel="1"/>
    <col min="65" max="65" width="10.7109375" style="40" hidden="1" customWidth="1" outlineLevel="1" collapsed="1"/>
    <col min="66" max="66" width="10.7109375" style="106" bestFit="1" customWidth="1" collapsed="1"/>
    <col min="67" max="67" width="12.85546875" style="40" bestFit="1" customWidth="1"/>
    <col min="68" max="68" width="11.28515625" style="40" customWidth="1"/>
    <col min="69" max="69" width="10.85546875" style="40" bestFit="1" customWidth="1"/>
    <col min="70" max="71" width="10.28515625" style="40" bestFit="1" customWidth="1"/>
    <col min="72" max="72" width="10.5703125" style="40" bestFit="1" customWidth="1"/>
    <col min="73" max="73" width="10.5703125" style="83" bestFit="1" customWidth="1"/>
    <col min="74" max="75" width="10.5703125" style="42" bestFit="1" customWidth="1"/>
    <col min="76" max="76" width="10.28515625" style="42" bestFit="1" customWidth="1"/>
    <col min="77" max="77" width="10.85546875" style="83" bestFit="1" customWidth="1"/>
    <col min="78" max="78" width="4.7109375" style="40" customWidth="1"/>
    <col min="79" max="16384" width="9.140625" style="40"/>
  </cols>
  <sheetData>
    <row r="1" spans="1:84" ht="11.25" customHeight="1">
      <c r="A1" s="36"/>
      <c r="B1" s="36"/>
      <c r="C1" s="36"/>
      <c r="D1" s="36"/>
      <c r="E1" s="36"/>
      <c r="F1" s="36"/>
      <c r="G1" s="36"/>
      <c r="H1" s="36"/>
      <c r="I1" s="48">
        <f>fair_value</f>
        <v>40</v>
      </c>
      <c r="J1" s="49"/>
      <c r="K1" s="1"/>
      <c r="M1" s="107"/>
      <c r="N1" s="8"/>
      <c r="O1" s="8"/>
      <c r="P1" s="8"/>
      <c r="Q1" s="8"/>
      <c r="R1" s="8"/>
      <c r="S1" s="8"/>
      <c r="T1" s="8"/>
      <c r="U1" s="8"/>
      <c r="V1" s="8"/>
      <c r="W1" s="8"/>
      <c r="X1" s="8"/>
      <c r="Y1" s="8"/>
      <c r="Z1" s="8"/>
      <c r="AA1" s="8"/>
      <c r="AB1" s="254"/>
      <c r="AC1" s="8"/>
      <c r="AD1" s="8"/>
      <c r="AE1" s="8"/>
      <c r="AF1" s="254"/>
      <c r="AG1" s="254"/>
      <c r="AH1" s="254"/>
      <c r="AI1" s="254"/>
      <c r="AJ1" s="254"/>
      <c r="AK1" s="254"/>
      <c r="AL1" s="254"/>
      <c r="AM1" s="254"/>
      <c r="AN1" s="254"/>
      <c r="AO1" s="254"/>
      <c r="AP1" s="254"/>
      <c r="AQ1" s="254"/>
      <c r="AR1" s="254"/>
      <c r="AS1" s="254"/>
      <c r="AT1" s="254"/>
      <c r="AU1" s="254"/>
      <c r="AV1" s="254"/>
      <c r="AW1" s="254"/>
      <c r="AX1" s="254"/>
      <c r="AY1" s="254"/>
      <c r="AZ1" s="254"/>
      <c r="BA1" s="254"/>
      <c r="BB1" s="254"/>
      <c r="BC1" s="254"/>
      <c r="BD1" s="254"/>
      <c r="BE1" s="1636"/>
      <c r="BF1" s="8"/>
      <c r="BG1" s="8"/>
      <c r="BH1" s="8"/>
      <c r="BI1" s="8"/>
      <c r="BJ1" s="8"/>
      <c r="BK1" s="8"/>
      <c r="BL1" s="8"/>
      <c r="BM1" s="8"/>
      <c r="BN1" s="1219"/>
      <c r="BO1" s="8"/>
      <c r="BP1" s="8"/>
      <c r="BQ1" s="8">
        <v>0.36</v>
      </c>
      <c r="BR1" s="8"/>
      <c r="BS1" s="8"/>
      <c r="BT1" s="8"/>
      <c r="BU1" s="272"/>
      <c r="BV1" s="1192"/>
      <c r="BW1" s="1192"/>
      <c r="BX1" s="1192"/>
      <c r="BY1" s="272"/>
      <c r="BZ1" s="36"/>
      <c r="CA1" s="36"/>
      <c r="CB1" s="36"/>
      <c r="CC1" s="36"/>
      <c r="CD1" s="36"/>
      <c r="CE1" s="36"/>
      <c r="CF1" s="36"/>
    </row>
    <row r="2" spans="1:84" ht="11.25" customHeight="1">
      <c r="A2" s="36"/>
      <c r="B2" s="36"/>
      <c r="C2" s="36"/>
      <c r="D2" s="36"/>
      <c r="E2" s="36"/>
      <c r="F2" s="36"/>
      <c r="G2" s="36"/>
      <c r="H2" s="36"/>
      <c r="I2" s="49"/>
      <c r="J2" s="49"/>
      <c r="K2" s="1"/>
      <c r="L2" s="1"/>
      <c r="M2" s="8"/>
      <c r="N2" s="8"/>
      <c r="O2" s="8"/>
      <c r="P2" s="8"/>
      <c r="Q2" s="8"/>
      <c r="R2" s="8"/>
      <c r="S2" s="8"/>
      <c r="T2" s="8"/>
      <c r="U2" s="8"/>
      <c r="V2" s="8"/>
      <c r="W2" s="8"/>
      <c r="X2" s="8"/>
      <c r="Y2" s="8"/>
      <c r="Z2" s="8"/>
      <c r="AA2" s="8"/>
      <c r="AB2" s="93"/>
      <c r="AC2" s="8"/>
      <c r="AD2" s="8"/>
      <c r="AE2" s="8"/>
      <c r="AF2" s="93"/>
      <c r="AG2" s="93"/>
      <c r="AH2" s="93"/>
      <c r="AI2" s="93"/>
      <c r="AJ2" s="93"/>
      <c r="AK2" s="1884"/>
      <c r="AL2" s="1884"/>
      <c r="AM2" s="1884"/>
      <c r="AN2" s="1884"/>
      <c r="AO2" s="1884"/>
      <c r="AP2" s="1884"/>
      <c r="AQ2" s="1884"/>
      <c r="AR2" s="1884"/>
      <c r="AS2" s="1884"/>
      <c r="AT2" s="1884"/>
      <c r="AU2" s="1884"/>
      <c r="AV2" s="1884"/>
      <c r="AW2" s="1884"/>
      <c r="BB2" s="210"/>
      <c r="BC2" s="272"/>
      <c r="BD2" s="1192"/>
      <c r="BF2" s="8"/>
      <c r="BG2" s="8"/>
      <c r="BH2" s="8"/>
      <c r="BI2" s="8"/>
      <c r="BJ2" s="8"/>
      <c r="BK2" s="8"/>
      <c r="BL2" s="8"/>
      <c r="BM2" s="8"/>
      <c r="BN2" s="1219"/>
      <c r="BO2" s="8"/>
      <c r="BP2" s="2403">
        <f>Model!BQ53</f>
        <v>0.42172877362130784</v>
      </c>
      <c r="BQ2" s="2403">
        <f>Model!BR53</f>
        <v>0.27309636320134018</v>
      </c>
      <c r="BR2" s="2403">
        <f>Model!BS53</f>
        <v>0.26487056250884916</v>
      </c>
      <c r="BS2" s="2403">
        <f>Model!BT53</f>
        <v>0.30819156310752788</v>
      </c>
      <c r="BT2" s="2403">
        <f>Model!BU53</f>
        <v>0.33654185248630608</v>
      </c>
      <c r="BU2" s="2403">
        <f>Model!BV53</f>
        <v>0.40787432479491159</v>
      </c>
      <c r="BV2" s="2403">
        <f>Model!BW53</f>
        <v>0.45009140508688461</v>
      </c>
      <c r="BW2" s="2403">
        <f>Model!BX53</f>
        <v>0.47721312178739428</v>
      </c>
      <c r="BX2" s="2403">
        <f>Model!BY53</f>
        <v>0.50738424727553244</v>
      </c>
      <c r="BY2" s="2403">
        <f>Model!BZ53</f>
        <v>0.54681495971555072</v>
      </c>
      <c r="BZ2" s="36"/>
      <c r="CA2" s="36"/>
      <c r="CB2" s="36"/>
      <c r="CC2" s="36"/>
      <c r="CD2" s="36"/>
      <c r="CE2" s="36"/>
      <c r="CF2" s="36"/>
    </row>
    <row r="3" spans="1:84" ht="11.25" customHeight="1">
      <c r="A3" s="36"/>
      <c r="B3" s="36"/>
      <c r="C3" s="36"/>
      <c r="D3" s="36"/>
      <c r="E3" s="36"/>
      <c r="F3" s="36"/>
      <c r="G3" s="36"/>
      <c r="H3" s="36"/>
      <c r="I3" s="49"/>
      <c r="J3" s="49"/>
      <c r="K3" s="1"/>
      <c r="L3" s="1"/>
      <c r="M3" s="8"/>
      <c r="N3" s="8"/>
      <c r="O3" s="8"/>
      <c r="P3" s="8"/>
      <c r="Q3" s="8"/>
      <c r="R3" s="8"/>
      <c r="S3" s="8"/>
      <c r="T3" s="8"/>
      <c r="U3" s="8"/>
      <c r="V3" s="8"/>
      <c r="W3" s="8"/>
      <c r="X3" s="8"/>
      <c r="Y3" s="8"/>
      <c r="Z3" s="8"/>
      <c r="AA3" s="8"/>
      <c r="AB3" s="93"/>
      <c r="AC3" s="8"/>
      <c r="AD3" s="8"/>
      <c r="AE3" s="8"/>
      <c r="AF3" s="93"/>
      <c r="AG3" s="93"/>
      <c r="AH3" s="93"/>
      <c r="AI3" s="93"/>
      <c r="AJ3" s="93"/>
      <c r="AK3" s="1892"/>
      <c r="AL3" s="1892"/>
      <c r="AN3" s="1892"/>
      <c r="AO3" s="1892"/>
      <c r="AP3" s="2459"/>
      <c r="AQ3" s="1884"/>
      <c r="AU3" s="2459"/>
      <c r="AV3" s="2459"/>
      <c r="AW3" s="2459"/>
      <c r="AX3" s="210"/>
      <c r="AY3" s="210"/>
      <c r="AZ3" s="210"/>
      <c r="BA3" s="210"/>
      <c r="BB3" s="210"/>
      <c r="BC3" s="1892"/>
      <c r="BD3" s="1892"/>
      <c r="BF3" s="8"/>
      <c r="BG3" s="8"/>
      <c r="BH3" s="8"/>
      <c r="BI3" s="8"/>
      <c r="BJ3" s="8"/>
      <c r="BK3" s="8"/>
      <c r="BL3" s="8"/>
      <c r="BM3" s="8"/>
      <c r="BN3" s="1219"/>
      <c r="BO3" s="8"/>
      <c r="BP3" s="1913"/>
      <c r="BQ3" s="210">
        <f>BQ103</f>
        <v>11.778359999999982</v>
      </c>
      <c r="BR3" s="210">
        <f>BR103</f>
        <v>1.0433518125429257</v>
      </c>
      <c r="BU3" s="1990">
        <f>BU103</f>
        <v>-24.90677934080005</v>
      </c>
      <c r="BV3" s="1965">
        <f>BV103</f>
        <v>-28.165945784320037</v>
      </c>
      <c r="BW3" s="1965">
        <f>BW103</f>
        <v>-25.045297157652509</v>
      </c>
      <c r="BX3" s="1965">
        <f>BX103</f>
        <v>-156.68577974429127</v>
      </c>
      <c r="BY3" s="1965">
        <f>BY103</f>
        <v>5.8802827445100974</v>
      </c>
      <c r="BZ3" s="36"/>
      <c r="CA3" s="36"/>
      <c r="CB3" s="36"/>
      <c r="CC3" s="36"/>
      <c r="CD3" s="36"/>
      <c r="CE3" s="36"/>
      <c r="CF3" s="36"/>
    </row>
    <row r="4" spans="1:84" ht="11.25" customHeight="1">
      <c r="A4" s="36"/>
      <c r="B4" s="36"/>
      <c r="C4" s="36"/>
      <c r="D4" s="36"/>
      <c r="E4" s="36"/>
      <c r="F4" s="36"/>
      <c r="G4" s="36"/>
      <c r="H4" s="36"/>
      <c r="I4" s="49"/>
      <c r="J4" s="49"/>
      <c r="K4" s="1"/>
      <c r="L4" s="1">
        <f>DCF!L1</f>
        <v>40</v>
      </c>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2870"/>
      <c r="AR4" s="2870"/>
      <c r="AS4" s="2910"/>
      <c r="AT4" s="8"/>
      <c r="AU4" s="8"/>
      <c r="AV4" s="8"/>
      <c r="AW4" s="8"/>
      <c r="AX4" s="8"/>
      <c r="AY4" s="8"/>
      <c r="AZ4" s="8"/>
      <c r="BA4" s="8"/>
      <c r="BB4" s="8"/>
      <c r="BC4" s="8"/>
      <c r="BD4" s="8"/>
      <c r="BF4" s="8"/>
      <c r="BG4" s="8"/>
      <c r="BH4" s="8"/>
      <c r="BI4" s="8"/>
      <c r="BJ4" s="8"/>
      <c r="BK4" s="8"/>
      <c r="BL4" s="8"/>
      <c r="BM4" s="8"/>
      <c r="BN4" s="1219"/>
      <c r="BO4" s="8"/>
      <c r="BP4" s="8"/>
      <c r="BQ4" s="210"/>
      <c r="BR4" s="2909"/>
      <c r="BS4" s="2657"/>
      <c r="BT4" s="2657">
        <f>Model!BU53</f>
        <v>0.33654185248630608</v>
      </c>
      <c r="BU4" s="2657">
        <f>Model!BV53</f>
        <v>0.40787432479491159</v>
      </c>
      <c r="BV4" s="2657">
        <f>Model!BW53</f>
        <v>0.45009140508688461</v>
      </c>
      <c r="BW4" s="2657">
        <f>Model!BX53</f>
        <v>0.47721312178739428</v>
      </c>
      <c r="BX4" s="2657">
        <f>Model!BY53</f>
        <v>0.50738424727553244</v>
      </c>
      <c r="BY4" s="2657">
        <f>Model!BZ53</f>
        <v>0.54681495971555072</v>
      </c>
      <c r="BZ4" s="36"/>
      <c r="CA4" s="36"/>
      <c r="CB4" s="36"/>
      <c r="CC4" s="36"/>
      <c r="CD4" s="36"/>
      <c r="CE4" s="36"/>
      <c r="CF4" s="36"/>
    </row>
    <row r="5" spans="1:84" ht="11.25" hidden="1" customHeight="1" outlineLevel="1">
      <c r="A5" s="56"/>
      <c r="B5" s="56"/>
      <c r="C5" s="56"/>
      <c r="D5" s="56"/>
      <c r="E5" s="56"/>
      <c r="F5" s="56"/>
      <c r="G5" s="56"/>
      <c r="H5" s="56"/>
      <c r="I5" s="6"/>
      <c r="J5" s="6"/>
      <c r="K5" s="6"/>
      <c r="L5" s="6"/>
      <c r="M5" s="7" t="str">
        <f t="shared" ref="M5:AJ5" si="0">+YEAR(M$6)&amp;"-Q"&amp;M8</f>
        <v>2010-Q1</v>
      </c>
      <c r="N5" s="7" t="str">
        <f t="shared" si="0"/>
        <v>2010-Q2</v>
      </c>
      <c r="O5" s="7" t="str">
        <f t="shared" si="0"/>
        <v>2010-Q3</v>
      </c>
      <c r="P5" s="7" t="str">
        <f t="shared" si="0"/>
        <v>2010-Q4</v>
      </c>
      <c r="Q5" s="7" t="str">
        <f t="shared" si="0"/>
        <v>2011-Q1</v>
      </c>
      <c r="R5" s="7" t="str">
        <f t="shared" si="0"/>
        <v>2011-Q2</v>
      </c>
      <c r="S5" s="7" t="str">
        <f t="shared" si="0"/>
        <v>2011-Q3</v>
      </c>
      <c r="T5" s="7" t="str">
        <f t="shared" si="0"/>
        <v>2011-Q4</v>
      </c>
      <c r="U5" s="7" t="str">
        <f t="shared" si="0"/>
        <v>2012-Q1</v>
      </c>
      <c r="V5" s="7" t="str">
        <f t="shared" si="0"/>
        <v>2012-Q2</v>
      </c>
      <c r="W5" s="7" t="str">
        <f t="shared" si="0"/>
        <v>2012-Q3</v>
      </c>
      <c r="X5" s="7" t="str">
        <f t="shared" si="0"/>
        <v>2012-Q4</v>
      </c>
      <c r="Y5" s="7" t="str">
        <f t="shared" si="0"/>
        <v>2013-Q1</v>
      </c>
      <c r="Z5" s="7" t="str">
        <f t="shared" si="0"/>
        <v>2013-Q2</v>
      </c>
      <c r="AA5" s="7" t="str">
        <f t="shared" si="0"/>
        <v>2013-Q3</v>
      </c>
      <c r="AB5" s="7" t="str">
        <f t="shared" si="0"/>
        <v>2013-Q4</v>
      </c>
      <c r="AC5" s="7" t="str">
        <f t="shared" si="0"/>
        <v>2014-Q1</v>
      </c>
      <c r="AD5" s="7" t="str">
        <f t="shared" si="0"/>
        <v>2014-Q2</v>
      </c>
      <c r="AE5" s="7" t="str">
        <f t="shared" si="0"/>
        <v>2014-Q3</v>
      </c>
      <c r="AF5" s="7" t="str">
        <f t="shared" si="0"/>
        <v>2014-Q4</v>
      </c>
      <c r="AG5" s="7" t="str">
        <f t="shared" si="0"/>
        <v>2015-Q1</v>
      </c>
      <c r="AH5" s="7" t="str">
        <f t="shared" si="0"/>
        <v>2015-Q2</v>
      </c>
      <c r="AI5" s="7" t="str">
        <f t="shared" si="0"/>
        <v>2015-Q3</v>
      </c>
      <c r="AJ5" s="7" t="str">
        <f t="shared" si="0"/>
        <v>2015-Q4</v>
      </c>
      <c r="AK5" s="7" t="str">
        <f t="shared" ref="AK5:AV5" si="1">+YEAR(AK$6)&amp;"-Q"&amp;AK8</f>
        <v>2016-Q1</v>
      </c>
      <c r="AL5" s="7" t="str">
        <f t="shared" si="1"/>
        <v>2016-Q2</v>
      </c>
      <c r="AM5" s="7" t="str">
        <f t="shared" si="1"/>
        <v>2016-Q3</v>
      </c>
      <c r="AN5" s="7" t="str">
        <f t="shared" si="1"/>
        <v>2016-Q4</v>
      </c>
      <c r="AO5" s="7" t="str">
        <f t="shared" si="1"/>
        <v>2017-Q1</v>
      </c>
      <c r="AP5" s="7" t="str">
        <f t="shared" si="1"/>
        <v>2017-Q2</v>
      </c>
      <c r="AQ5" s="7" t="str">
        <f t="shared" si="1"/>
        <v>2017-Q3</v>
      </c>
      <c r="AR5" s="7" t="str">
        <f t="shared" si="1"/>
        <v>2017-Q4</v>
      </c>
      <c r="AS5" s="7" t="str">
        <f t="shared" si="1"/>
        <v>2018-Q1</v>
      </c>
      <c r="AT5" s="7" t="str">
        <f t="shared" si="1"/>
        <v>2018-Q2</v>
      </c>
      <c r="AU5" s="7" t="str">
        <f t="shared" si="1"/>
        <v>2018-Q3</v>
      </c>
      <c r="AV5" s="7" t="str">
        <f t="shared" si="1"/>
        <v>2018-Q4</v>
      </c>
      <c r="AW5" s="7" t="str">
        <f t="shared" ref="AW5:BD5" si="2">+YEAR(AW$6)&amp;"-Q"&amp;AW8</f>
        <v>2019-Q1</v>
      </c>
      <c r="AX5" s="7" t="str">
        <f t="shared" si="2"/>
        <v>2019-Q2</v>
      </c>
      <c r="AY5" s="7" t="str">
        <f t="shared" si="2"/>
        <v>2019-Q3</v>
      </c>
      <c r="AZ5" s="7" t="str">
        <f t="shared" si="2"/>
        <v>2019-Q4</v>
      </c>
      <c r="BA5" s="7" t="str">
        <f t="shared" si="2"/>
        <v>2020-Q1</v>
      </c>
      <c r="BB5" s="7" t="str">
        <f t="shared" si="2"/>
        <v>2020-Q2</v>
      </c>
      <c r="BC5" s="7" t="str">
        <f t="shared" si="2"/>
        <v>2020-Q3</v>
      </c>
      <c r="BD5" s="7" t="str">
        <f t="shared" si="2"/>
        <v>2020-Q4</v>
      </c>
      <c r="BF5" s="7" t="str">
        <f t="shared" ref="BF5:BY5" si="3">+YEAR(BF$8)&amp;"-FY"</f>
        <v>2006-FY</v>
      </c>
      <c r="BG5" s="7" t="str">
        <f t="shared" si="3"/>
        <v>2007-FY</v>
      </c>
      <c r="BH5" s="7" t="str">
        <f t="shared" si="3"/>
        <v>2008-FY</v>
      </c>
      <c r="BI5" s="7" t="str">
        <f t="shared" si="3"/>
        <v>2009-FY</v>
      </c>
      <c r="BJ5" s="7" t="str">
        <f t="shared" si="3"/>
        <v>2010-FY</v>
      </c>
      <c r="BK5" s="7" t="str">
        <f t="shared" si="3"/>
        <v>2011-FY</v>
      </c>
      <c r="BL5" s="7" t="str">
        <f t="shared" si="3"/>
        <v>2012-FY</v>
      </c>
      <c r="BM5" s="7" t="str">
        <f t="shared" si="3"/>
        <v>2013-FY</v>
      </c>
      <c r="BN5" s="1220" t="str">
        <f t="shared" si="3"/>
        <v>2014-FY</v>
      </c>
      <c r="BO5" s="7" t="s">
        <v>271</v>
      </c>
      <c r="BP5" s="7" t="s">
        <v>272</v>
      </c>
      <c r="BQ5" s="7" t="str">
        <f t="shared" si="3"/>
        <v>2017-FY</v>
      </c>
      <c r="BR5" s="7" t="str">
        <f t="shared" si="3"/>
        <v>2018-FY</v>
      </c>
      <c r="BS5" s="7" t="str">
        <f t="shared" si="3"/>
        <v>2019-FY</v>
      </c>
      <c r="BT5" s="7" t="str">
        <f t="shared" si="3"/>
        <v>2020-FY</v>
      </c>
      <c r="BU5" s="1220" t="str">
        <f t="shared" si="3"/>
        <v>2021-FY</v>
      </c>
      <c r="BV5" s="7" t="str">
        <f t="shared" si="3"/>
        <v>2022-FY</v>
      </c>
      <c r="BW5" s="7" t="str">
        <f t="shared" si="3"/>
        <v>2023-FY</v>
      </c>
      <c r="BX5" s="7" t="str">
        <f t="shared" si="3"/>
        <v>2024-FY</v>
      </c>
      <c r="BY5" s="7" t="str">
        <f t="shared" si="3"/>
        <v>2025-FY</v>
      </c>
      <c r="BZ5" s="56"/>
      <c r="CA5" s="56"/>
      <c r="CB5" s="56"/>
      <c r="CC5" s="56"/>
      <c r="CD5" s="56"/>
      <c r="CE5" s="56"/>
      <c r="CF5" s="56"/>
    </row>
    <row r="6" spans="1:84" ht="11.25" hidden="1" customHeight="1" outlineLevel="1">
      <c r="A6" s="56"/>
      <c r="B6" s="56"/>
      <c r="C6" s="56"/>
      <c r="D6" s="56"/>
      <c r="E6" s="56"/>
      <c r="F6" s="56"/>
      <c r="G6" s="56"/>
      <c r="H6" s="56"/>
      <c r="I6" s="6" t="s">
        <v>108</v>
      </c>
      <c r="J6" s="6"/>
      <c r="K6" s="6"/>
      <c r="L6" s="6"/>
      <c r="M6" s="45">
        <v>40268</v>
      </c>
      <c r="N6" s="45">
        <f t="shared" ref="N6:AJ6" si="4">+EOMONTH(M6,3)</f>
        <v>40359</v>
      </c>
      <c r="O6" s="45">
        <f t="shared" si="4"/>
        <v>40451</v>
      </c>
      <c r="P6" s="45">
        <f t="shared" si="4"/>
        <v>40543</v>
      </c>
      <c r="Q6" s="45">
        <f t="shared" si="4"/>
        <v>40633</v>
      </c>
      <c r="R6" s="45">
        <f t="shared" si="4"/>
        <v>40724</v>
      </c>
      <c r="S6" s="45">
        <f t="shared" si="4"/>
        <v>40816</v>
      </c>
      <c r="T6" s="45">
        <f t="shared" si="4"/>
        <v>40908</v>
      </c>
      <c r="U6" s="45">
        <f t="shared" si="4"/>
        <v>40999</v>
      </c>
      <c r="V6" s="45">
        <f t="shared" si="4"/>
        <v>41090</v>
      </c>
      <c r="W6" s="45">
        <f t="shared" si="4"/>
        <v>41182</v>
      </c>
      <c r="X6" s="45">
        <f t="shared" si="4"/>
        <v>41274</v>
      </c>
      <c r="Y6" s="45">
        <f t="shared" si="4"/>
        <v>41364</v>
      </c>
      <c r="Z6" s="45">
        <f t="shared" si="4"/>
        <v>41455</v>
      </c>
      <c r="AA6" s="45">
        <f t="shared" si="4"/>
        <v>41547</v>
      </c>
      <c r="AB6" s="45">
        <f t="shared" si="4"/>
        <v>41639</v>
      </c>
      <c r="AC6" s="45">
        <f t="shared" si="4"/>
        <v>41729</v>
      </c>
      <c r="AD6" s="45">
        <f t="shared" si="4"/>
        <v>41820</v>
      </c>
      <c r="AE6" s="45">
        <f t="shared" si="4"/>
        <v>41912</v>
      </c>
      <c r="AF6" s="45">
        <f t="shared" si="4"/>
        <v>42004</v>
      </c>
      <c r="AG6" s="45">
        <f t="shared" si="4"/>
        <v>42094</v>
      </c>
      <c r="AH6" s="45">
        <f t="shared" si="4"/>
        <v>42185</v>
      </c>
      <c r="AI6" s="45">
        <f t="shared" si="4"/>
        <v>42277</v>
      </c>
      <c r="AJ6" s="45">
        <f t="shared" si="4"/>
        <v>42369</v>
      </c>
      <c r="AK6" s="45">
        <f t="shared" ref="AK6:AV6" si="5">+EOMONTH(AJ6,3)</f>
        <v>42460</v>
      </c>
      <c r="AL6" s="45">
        <f t="shared" si="5"/>
        <v>42551</v>
      </c>
      <c r="AM6" s="45">
        <f t="shared" si="5"/>
        <v>42643</v>
      </c>
      <c r="AN6" s="45">
        <f t="shared" si="5"/>
        <v>42735</v>
      </c>
      <c r="AO6" s="45">
        <f t="shared" si="5"/>
        <v>42825</v>
      </c>
      <c r="AP6" s="45">
        <f t="shared" si="5"/>
        <v>42916</v>
      </c>
      <c r="AQ6" s="45">
        <f t="shared" si="5"/>
        <v>43008</v>
      </c>
      <c r="AR6" s="45">
        <f t="shared" si="5"/>
        <v>43100</v>
      </c>
      <c r="AS6" s="45">
        <f t="shared" si="5"/>
        <v>43190</v>
      </c>
      <c r="AT6" s="45">
        <f t="shared" si="5"/>
        <v>43281</v>
      </c>
      <c r="AU6" s="45">
        <f t="shared" si="5"/>
        <v>43373</v>
      </c>
      <c r="AV6" s="45">
        <f t="shared" si="5"/>
        <v>43465</v>
      </c>
      <c r="AW6" s="45">
        <f t="shared" ref="AW6:BD6" si="6">+EOMONTH(AV6,3)</f>
        <v>43555</v>
      </c>
      <c r="AX6" s="45">
        <f t="shared" si="6"/>
        <v>43646</v>
      </c>
      <c r="AY6" s="45">
        <f t="shared" si="6"/>
        <v>43738</v>
      </c>
      <c r="AZ6" s="45">
        <f t="shared" si="6"/>
        <v>43830</v>
      </c>
      <c r="BA6" s="45">
        <f t="shared" si="6"/>
        <v>43921</v>
      </c>
      <c r="BB6" s="45">
        <f t="shared" si="6"/>
        <v>44012</v>
      </c>
      <c r="BC6" s="45">
        <f t="shared" si="6"/>
        <v>44104</v>
      </c>
      <c r="BD6" s="45">
        <f t="shared" si="6"/>
        <v>44196</v>
      </c>
      <c r="BF6" s="46">
        <v>39082</v>
      </c>
      <c r="BG6" s="46">
        <f t="shared" ref="BG6:BY6" si="7">+EOMONTH(BF6,12)</f>
        <v>39447</v>
      </c>
      <c r="BH6" s="46">
        <f t="shared" si="7"/>
        <v>39813</v>
      </c>
      <c r="BI6" s="46">
        <f t="shared" si="7"/>
        <v>40178</v>
      </c>
      <c r="BJ6" s="46">
        <f t="shared" si="7"/>
        <v>40543</v>
      </c>
      <c r="BK6" s="46">
        <f t="shared" si="7"/>
        <v>40908</v>
      </c>
      <c r="BL6" s="46">
        <f t="shared" si="7"/>
        <v>41274</v>
      </c>
      <c r="BM6" s="46">
        <f t="shared" si="7"/>
        <v>41639</v>
      </c>
      <c r="BN6" s="1221">
        <f t="shared" si="7"/>
        <v>42004</v>
      </c>
      <c r="BO6" s="46">
        <f t="shared" si="7"/>
        <v>42369</v>
      </c>
      <c r="BP6" s="46">
        <f t="shared" si="7"/>
        <v>42735</v>
      </c>
      <c r="BQ6" s="46">
        <f t="shared" si="7"/>
        <v>43100</v>
      </c>
      <c r="BR6" s="46">
        <f t="shared" si="7"/>
        <v>43465</v>
      </c>
      <c r="BS6" s="46">
        <f t="shared" si="7"/>
        <v>43830</v>
      </c>
      <c r="BT6" s="46">
        <f t="shared" si="7"/>
        <v>44196</v>
      </c>
      <c r="BU6" s="1221">
        <f t="shared" si="7"/>
        <v>44561</v>
      </c>
      <c r="BV6" s="46">
        <f t="shared" si="7"/>
        <v>44926</v>
      </c>
      <c r="BW6" s="46">
        <f t="shared" si="7"/>
        <v>45291</v>
      </c>
      <c r="BX6" s="46">
        <f t="shared" si="7"/>
        <v>45657</v>
      </c>
      <c r="BY6" s="46">
        <f t="shared" si="7"/>
        <v>46022</v>
      </c>
      <c r="BZ6" s="56"/>
      <c r="CA6" s="56"/>
      <c r="CB6" s="56"/>
      <c r="CC6" s="56"/>
      <c r="CD6" s="56"/>
      <c r="CE6" s="56"/>
      <c r="CF6" s="56"/>
    </row>
    <row r="7" spans="1:84" ht="11.25" customHeight="1" collapsed="1">
      <c r="A7" s="36"/>
      <c r="B7" s="36"/>
      <c r="C7" s="36"/>
      <c r="D7" s="36"/>
      <c r="E7" s="36"/>
      <c r="F7" s="36"/>
      <c r="G7" s="36"/>
      <c r="H7" s="1"/>
      <c r="I7" s="741" t="s">
        <v>255</v>
      </c>
      <c r="J7" s="742"/>
      <c r="K7" s="742"/>
      <c r="L7" s="742"/>
      <c r="M7" s="298">
        <v>2010</v>
      </c>
      <c r="N7" s="299"/>
      <c r="O7" s="299"/>
      <c r="P7" s="299"/>
      <c r="Q7" s="298">
        <v>2011</v>
      </c>
      <c r="R7" s="299"/>
      <c r="S7" s="299"/>
      <c r="T7" s="300"/>
      <c r="U7" s="302">
        <v>2012</v>
      </c>
      <c r="V7" s="301"/>
      <c r="W7" s="301"/>
      <c r="X7" s="303"/>
      <c r="Y7" s="299">
        <v>2013</v>
      </c>
      <c r="Z7" s="301"/>
      <c r="AA7" s="301"/>
      <c r="AB7" s="301"/>
      <c r="AC7" s="302" t="s">
        <v>448</v>
      </c>
      <c r="AD7" s="301"/>
      <c r="AE7" s="301"/>
      <c r="AF7" s="301"/>
      <c r="AG7" s="302" t="s">
        <v>520</v>
      </c>
      <c r="AH7" s="301"/>
      <c r="AI7" s="301"/>
      <c r="AJ7" s="301"/>
      <c r="AK7" s="302" t="s">
        <v>501</v>
      </c>
      <c r="AL7" s="301"/>
      <c r="AM7" s="301"/>
      <c r="AN7" s="301"/>
      <c r="AO7" s="302" t="s">
        <v>517</v>
      </c>
      <c r="AP7" s="301"/>
      <c r="AQ7" s="301"/>
      <c r="AR7" s="301"/>
      <c r="AS7" s="2912" t="s">
        <v>203</v>
      </c>
      <c r="AT7" s="2912"/>
      <c r="AU7" s="2912"/>
      <c r="AV7" s="2913"/>
      <c r="AW7" s="2912" t="s">
        <v>204</v>
      </c>
      <c r="AX7" s="2912"/>
      <c r="AY7" s="2912"/>
      <c r="AZ7" s="2913"/>
      <c r="BA7" s="2912" t="s">
        <v>205</v>
      </c>
      <c r="BB7" s="2912"/>
      <c r="BC7" s="2912"/>
      <c r="BD7" s="2913"/>
      <c r="BE7" s="42"/>
      <c r="BF7" s="310"/>
      <c r="BG7" s="311"/>
      <c r="BH7" s="311"/>
      <c r="BI7" s="311"/>
      <c r="BJ7" s="311"/>
      <c r="BK7" s="311"/>
      <c r="BL7" s="311"/>
      <c r="BM7" s="311"/>
      <c r="BN7" s="311"/>
      <c r="BO7" s="311"/>
      <c r="BP7" s="311"/>
      <c r="BQ7" s="311"/>
      <c r="BR7" s="311"/>
      <c r="BS7" s="311"/>
      <c r="BT7" s="311"/>
      <c r="BU7" s="724"/>
      <c r="BV7" s="724"/>
      <c r="BW7" s="724"/>
      <c r="BX7" s="724"/>
      <c r="BY7" s="725"/>
      <c r="BZ7" s="36"/>
      <c r="CA7" s="71" t="s">
        <v>135</v>
      </c>
      <c r="CB7" s="71"/>
      <c r="CC7" s="71"/>
      <c r="CD7" s="71"/>
      <c r="CE7" s="71"/>
      <c r="CF7" s="71"/>
    </row>
    <row r="8" spans="1:84" ht="11.25" customHeight="1" thickBot="1">
      <c r="A8" s="36"/>
      <c r="B8" s="36"/>
      <c r="C8" s="36"/>
      <c r="D8" s="36"/>
      <c r="E8" s="36"/>
      <c r="F8" s="36"/>
      <c r="G8" s="36"/>
      <c r="H8" s="1"/>
      <c r="I8" s="743" t="s">
        <v>83</v>
      </c>
      <c r="J8" s="51"/>
      <c r="K8" s="51"/>
      <c r="L8" s="51"/>
      <c r="M8" s="304">
        <v>1</v>
      </c>
      <c r="N8" s="305">
        <v>2</v>
      </c>
      <c r="O8" s="305">
        <v>3</v>
      </c>
      <c r="P8" s="305">
        <v>4</v>
      </c>
      <c r="Q8" s="304">
        <v>1</v>
      </c>
      <c r="R8" s="305">
        <v>2</v>
      </c>
      <c r="S8" s="305">
        <v>3</v>
      </c>
      <c r="T8" s="306">
        <v>4</v>
      </c>
      <c r="U8" s="304">
        <v>1</v>
      </c>
      <c r="V8" s="305">
        <v>2</v>
      </c>
      <c r="W8" s="305">
        <v>3</v>
      </c>
      <c r="X8" s="306">
        <v>4</v>
      </c>
      <c r="Y8" s="305">
        <v>1</v>
      </c>
      <c r="Z8" s="305">
        <v>2</v>
      </c>
      <c r="AA8" s="305">
        <v>3</v>
      </c>
      <c r="AB8" s="305">
        <v>4</v>
      </c>
      <c r="AC8" s="304">
        <v>1</v>
      </c>
      <c r="AD8" s="305">
        <v>2</v>
      </c>
      <c r="AE8" s="305">
        <v>3</v>
      </c>
      <c r="AF8" s="305">
        <v>4</v>
      </c>
      <c r="AG8" s="304">
        <v>1</v>
      </c>
      <c r="AH8" s="305">
        <v>2</v>
      </c>
      <c r="AI8" s="305">
        <v>3</v>
      </c>
      <c r="AJ8" s="305">
        <v>4</v>
      </c>
      <c r="AK8" s="2383">
        <v>1</v>
      </c>
      <c r="AL8" s="305">
        <v>2</v>
      </c>
      <c r="AM8" s="305">
        <v>3</v>
      </c>
      <c r="AN8" s="305">
        <v>4</v>
      </c>
      <c r="AO8" s="2383">
        <v>1</v>
      </c>
      <c r="AP8" s="305">
        <v>2</v>
      </c>
      <c r="AQ8" s="305">
        <v>3</v>
      </c>
      <c r="AR8" s="305">
        <v>4</v>
      </c>
      <c r="AS8" s="309">
        <v>1</v>
      </c>
      <c r="AT8" s="309">
        <v>2</v>
      </c>
      <c r="AU8" s="309">
        <v>3</v>
      </c>
      <c r="AV8" s="307">
        <v>4</v>
      </c>
      <c r="AW8" s="309">
        <v>1</v>
      </c>
      <c r="AX8" s="309">
        <v>2</v>
      </c>
      <c r="AY8" s="309">
        <v>3</v>
      </c>
      <c r="AZ8" s="307">
        <v>4</v>
      </c>
      <c r="BA8" s="309">
        <v>1</v>
      </c>
      <c r="BB8" s="309">
        <v>2</v>
      </c>
      <c r="BC8" s="309">
        <v>3</v>
      </c>
      <c r="BD8" s="307">
        <v>4</v>
      </c>
      <c r="BE8" s="883"/>
      <c r="BF8" s="312">
        <v>39082</v>
      </c>
      <c r="BG8" s="312">
        <v>39447</v>
      </c>
      <c r="BH8" s="312">
        <v>39813</v>
      </c>
      <c r="BI8" s="312">
        <v>40178</v>
      </c>
      <c r="BJ8" s="312">
        <v>40543</v>
      </c>
      <c r="BK8" s="312">
        <v>40908</v>
      </c>
      <c r="BL8" s="312">
        <v>41274</v>
      </c>
      <c r="BM8" s="312">
        <v>41639</v>
      </c>
      <c r="BN8" s="312">
        <v>42004</v>
      </c>
      <c r="BO8" s="312">
        <v>42369</v>
      </c>
      <c r="BP8" s="312">
        <v>42559</v>
      </c>
      <c r="BQ8" s="312">
        <v>42924</v>
      </c>
      <c r="BR8" s="314">
        <v>43465</v>
      </c>
      <c r="BS8" s="314">
        <v>43830</v>
      </c>
      <c r="BT8" s="314">
        <v>44196</v>
      </c>
      <c r="BU8" s="1357">
        <v>44561</v>
      </c>
      <c r="BV8" s="1357">
        <v>44926</v>
      </c>
      <c r="BW8" s="1357">
        <v>45291</v>
      </c>
      <c r="BX8" s="1357">
        <v>45657</v>
      </c>
      <c r="BY8" s="1358">
        <v>46022</v>
      </c>
      <c r="BZ8" s="36"/>
      <c r="CA8" s="72" t="s">
        <v>198</v>
      </c>
      <c r="CB8" s="72" t="s">
        <v>136</v>
      </c>
      <c r="CC8" s="72" t="s">
        <v>137</v>
      </c>
      <c r="CD8" s="72" t="s">
        <v>138</v>
      </c>
      <c r="CE8" s="72" t="s">
        <v>139</v>
      </c>
      <c r="CF8" s="72" t="s">
        <v>325</v>
      </c>
    </row>
    <row r="9" spans="1:84" s="42" customFormat="1" ht="11.25" customHeight="1">
      <c r="H9" s="213"/>
      <c r="I9" s="728"/>
      <c r="J9" s="277"/>
      <c r="K9" s="277"/>
      <c r="L9" s="277"/>
      <c r="M9" s="315"/>
      <c r="N9" s="315"/>
      <c r="O9" s="315"/>
      <c r="P9" s="315"/>
      <c r="Q9" s="765"/>
      <c r="R9" s="315"/>
      <c r="S9" s="315"/>
      <c r="T9" s="766"/>
      <c r="U9" s="765"/>
      <c r="V9" s="315"/>
      <c r="W9" s="315"/>
      <c r="X9" s="766"/>
      <c r="Y9" s="315"/>
      <c r="Z9" s="315"/>
      <c r="AA9" s="315"/>
      <c r="AB9" s="315"/>
      <c r="AC9" s="765"/>
      <c r="AD9" s="315"/>
      <c r="AE9" s="315"/>
      <c r="AF9" s="745"/>
      <c r="AG9" s="316"/>
      <c r="AH9" s="316"/>
      <c r="AI9" s="316"/>
      <c r="AJ9" s="745"/>
      <c r="AK9" s="316"/>
      <c r="AL9" s="316"/>
      <c r="AM9" s="316"/>
      <c r="AN9" s="745"/>
      <c r="AO9" s="316"/>
      <c r="AP9" s="316"/>
      <c r="AQ9" s="316"/>
      <c r="AR9" s="745"/>
      <c r="AS9" s="316"/>
      <c r="AT9" s="316"/>
      <c r="AU9" s="316"/>
      <c r="AV9" s="745"/>
      <c r="AW9" s="316"/>
      <c r="AX9" s="316"/>
      <c r="AY9" s="316"/>
      <c r="AZ9" s="745"/>
      <c r="BA9" s="316"/>
      <c r="BB9" s="316"/>
      <c r="BC9" s="316"/>
      <c r="BD9" s="745"/>
      <c r="BE9" s="883"/>
      <c r="BF9" s="317"/>
      <c r="BG9" s="317"/>
      <c r="BH9" s="317"/>
      <c r="BI9" s="317"/>
      <c r="BJ9" s="317"/>
      <c r="BK9" s="317"/>
      <c r="BL9" s="317"/>
      <c r="BM9" s="317"/>
      <c r="BN9" s="318"/>
      <c r="BO9" s="318"/>
      <c r="BP9" s="318"/>
      <c r="BQ9" s="318"/>
      <c r="BY9" s="1661"/>
      <c r="BZ9" s="319"/>
      <c r="CA9" s="319"/>
      <c r="CB9" s="319"/>
      <c r="CC9" s="319"/>
      <c r="CD9" s="319"/>
      <c r="CE9" s="319"/>
      <c r="CF9" s="319"/>
    </row>
    <row r="10" spans="1:84" s="106" customFormat="1" ht="11.25" customHeight="1">
      <c r="A10" s="86"/>
      <c r="B10" s="86"/>
      <c r="C10" s="86"/>
      <c r="D10" s="86"/>
      <c r="E10" s="86"/>
      <c r="F10" s="86"/>
      <c r="G10" s="86"/>
      <c r="H10" s="86"/>
      <c r="I10" s="771" t="s">
        <v>55</v>
      </c>
      <c r="J10" s="339"/>
      <c r="K10" s="339"/>
      <c r="L10" s="339"/>
      <c r="M10" s="383">
        <f>'Revenue drivers'!M12</f>
        <v>9.1359999999999992</v>
      </c>
      <c r="N10" s="383">
        <f>'Revenue drivers'!N12</f>
        <v>10.726999999999999</v>
      </c>
      <c r="O10" s="383">
        <f>'Revenue drivers'!O12</f>
        <v>12.594000000000001</v>
      </c>
      <c r="P10" s="383">
        <f>'Revenue drivers'!P12</f>
        <v>15.274000000000001</v>
      </c>
      <c r="Q10" s="864">
        <f>'Revenue drivers'!Q12</f>
        <v>16.5</v>
      </c>
      <c r="R10" s="383">
        <f>'Revenue drivers'!R12</f>
        <v>19.577999999999999</v>
      </c>
      <c r="S10" s="383">
        <f>'Revenue drivers'!S12</f>
        <v>22.302</v>
      </c>
      <c r="T10" s="858">
        <f>'Revenue drivers'!T12</f>
        <v>24.905000000000001</v>
      </c>
      <c r="U10" s="864">
        <f>'Revenue drivers'!U12</f>
        <v>27.384999999999998</v>
      </c>
      <c r="V10" s="383">
        <f>'Revenue drivers'!V12</f>
        <v>32.652999999999999</v>
      </c>
      <c r="W10" s="383">
        <f>'Revenue drivers'!W12</f>
        <v>36.371000000000002</v>
      </c>
      <c r="X10" s="858">
        <f>'Revenue drivers'!X12</f>
        <v>41.156999999999996</v>
      </c>
      <c r="Y10" s="383">
        <f>'Revenue drivers'!Y12</f>
        <v>46.133000000000003</v>
      </c>
      <c r="Z10" s="383">
        <f>'Revenue drivers'!Z12</f>
        <v>55.023000000000003</v>
      </c>
      <c r="AA10" s="383">
        <f>'Revenue drivers'!AA12</f>
        <v>61.180999999999997</v>
      </c>
      <c r="AB10" s="383">
        <f>'Revenue drivers'!AB12</f>
        <v>70.650999999999996</v>
      </c>
      <c r="AC10" s="864">
        <f>'Revenue drivers'!AC12</f>
        <v>76.406999999999996</v>
      </c>
      <c r="AD10" s="383">
        <f>'Revenue drivers'!AD12</f>
        <v>88.787000000000006</v>
      </c>
      <c r="AE10" s="383">
        <f>'Revenue drivers'!AE12</f>
        <v>102.455</v>
      </c>
      <c r="AF10" s="858">
        <f>'Revenue drivers'!AF12</f>
        <v>109.887</v>
      </c>
      <c r="AG10" s="383">
        <f>'Revenue drivers'!AG12</f>
        <v>111.8</v>
      </c>
      <c r="AH10" s="383">
        <f>'Revenue drivers'!AH12</f>
        <v>125.6</v>
      </c>
      <c r="AI10" s="383">
        <f>'Revenue drivers'!AI12</f>
        <v>134.6</v>
      </c>
      <c r="AJ10" s="858">
        <f>'Revenue drivers'!AJ12</f>
        <v>146.69999999999999</v>
      </c>
      <c r="AK10" s="383">
        <f>'Revenue drivers'!AK12</f>
        <v>158.613</v>
      </c>
      <c r="AL10" s="383">
        <f>'Revenue drivers'!AL12</f>
        <v>173.428</v>
      </c>
      <c r="AM10" s="383">
        <f>'Revenue drivers'!AM12</f>
        <v>186.232</v>
      </c>
      <c r="AN10" s="858">
        <f>'Revenue drivers'!AN12</f>
        <v>194.79599999999999</v>
      </c>
      <c r="AO10" s="383">
        <f>'Revenue drivers'!AO12</f>
        <v>197.32300000000001</v>
      </c>
      <c r="AP10" s="383">
        <f>'Revenue drivers'!AP12</f>
        <v>208.864</v>
      </c>
      <c r="AQ10" s="383">
        <f>'Revenue drivers'!AQ12</f>
        <v>222.38</v>
      </c>
      <c r="AR10" s="858">
        <f>'Revenue drivers'!AR12</f>
        <v>218.24600000000001</v>
      </c>
      <c r="AS10" s="383">
        <f>'Revenue drivers'!AS12</f>
        <v>221.2</v>
      </c>
      <c r="AT10" s="383">
        <f>'Revenue drivers'!AT12</f>
        <v>231.4</v>
      </c>
      <c r="AU10" s="383">
        <f>'Revenue drivers'!AU12</f>
        <v>248</v>
      </c>
      <c r="AV10" s="858">
        <f>'Revenue drivers'!AV12</f>
        <v>259.39999999999998</v>
      </c>
      <c r="AW10" s="383">
        <f>'Revenue drivers'!AW12</f>
        <v>262.2</v>
      </c>
      <c r="AX10" s="383">
        <f>'Revenue drivers'!AX12</f>
        <v>271</v>
      </c>
      <c r="AY10" s="383">
        <f>'Revenue drivers'!AY12</f>
        <v>286.8</v>
      </c>
      <c r="AZ10" s="858">
        <f>'Revenue drivers'!AZ12</f>
        <v>296.39999999999998</v>
      </c>
      <c r="BA10" s="383">
        <f>'Revenue drivers'!BA12</f>
        <v>298.39999999999998</v>
      </c>
      <c r="BB10" s="383">
        <f>'Revenue drivers'!BB12</f>
        <v>307.40000000000003</v>
      </c>
      <c r="BC10" s="383">
        <f>'Revenue drivers'!BC12</f>
        <v>322.8</v>
      </c>
      <c r="BD10" s="858">
        <f>'Revenue drivers'!BD12</f>
        <v>332</v>
      </c>
      <c r="BE10" s="2575"/>
      <c r="BF10" s="383">
        <f>'Revenue drivers'!BF12</f>
        <v>0.443</v>
      </c>
      <c r="BG10" s="383">
        <f>'Revenue drivers'!BG12</f>
        <v>3.7450000000000001</v>
      </c>
      <c r="BH10" s="383">
        <f>'Revenue drivers'!BH12</f>
        <v>12.139000000000001</v>
      </c>
      <c r="BI10" s="383">
        <f>'Revenue drivers'!BI12</f>
        <v>25.808000000000003</v>
      </c>
      <c r="BJ10" s="383">
        <f>'Revenue drivers'!BJ12</f>
        <v>47.731000000000002</v>
      </c>
      <c r="BK10" s="383">
        <f>'Revenue drivers'!BK12</f>
        <v>83.284999999999997</v>
      </c>
      <c r="BL10" s="383">
        <f>'Revenue drivers'!BL12</f>
        <v>137.56599999999997</v>
      </c>
      <c r="BM10" s="383">
        <f>'Revenue drivers'!BM12</f>
        <v>232.988</v>
      </c>
      <c r="BN10" s="2213">
        <f>'Revenue drivers'!BN12</f>
        <v>377.536</v>
      </c>
      <c r="BO10" s="2213">
        <f>'Revenue drivers'!BO12</f>
        <v>518.70000000000005</v>
      </c>
      <c r="BP10" s="2213">
        <f>'Revenue drivers'!BP12</f>
        <v>713.06899999999996</v>
      </c>
      <c r="BQ10" s="2213">
        <f>'Revenue drivers'!BQ12</f>
        <v>846.81299999999999</v>
      </c>
      <c r="BR10" s="2213">
        <f>'Revenue drivers'!BR12</f>
        <v>960</v>
      </c>
      <c r="BS10" s="2213">
        <f>'Revenue drivers'!BS12</f>
        <v>1116.4000000000001</v>
      </c>
      <c r="BT10" s="2213">
        <f>'Revenue drivers'!BT12</f>
        <v>1260.5999999999999</v>
      </c>
      <c r="BU10" s="2213">
        <f>'Revenue drivers'!BU12</f>
        <v>1400.6</v>
      </c>
      <c r="BV10" s="2213">
        <f>'Revenue drivers'!BV12</f>
        <v>1537.6</v>
      </c>
      <c r="BW10" s="2213">
        <f>'Revenue drivers'!BW12</f>
        <v>1670.6</v>
      </c>
      <c r="BX10" s="2213">
        <f>'Revenue drivers'!BX12</f>
        <v>1799.6</v>
      </c>
      <c r="BY10" s="2214">
        <f>'Revenue drivers'!BY12</f>
        <v>1925.6</v>
      </c>
      <c r="BZ10" s="99"/>
      <c r="CA10" s="327">
        <f t="shared" ref="CA10:CF10" si="8">IF(ISERROR(RATE(3,,-BK10,BN10)),"NM",(RATE(3,,-BK10,BN10)))</f>
        <v>0.65499693326849895</v>
      </c>
      <c r="CB10" s="327">
        <f t="shared" si="8"/>
        <v>0.55644954257198587</v>
      </c>
      <c r="CC10" s="327">
        <f t="shared" si="8"/>
        <v>0.45188650189823898</v>
      </c>
      <c r="CD10" s="327">
        <f t="shared" si="8"/>
        <v>0.30901025469906773</v>
      </c>
      <c r="CE10" s="327">
        <f t="shared" si="8"/>
        <v>0.22777370615442566</v>
      </c>
      <c r="CF10" s="327">
        <f t="shared" si="8"/>
        <v>0.16117075834531464</v>
      </c>
    </row>
    <row r="11" spans="1:84" ht="11.25" customHeight="1">
      <c r="A11" s="86"/>
      <c r="B11" s="86"/>
      <c r="C11" s="86"/>
      <c r="D11" s="86"/>
      <c r="E11" s="86"/>
      <c r="F11" s="86"/>
      <c r="G11" s="86"/>
      <c r="H11" s="86"/>
      <c r="I11" s="770" t="s">
        <v>132</v>
      </c>
      <c r="J11" s="193"/>
      <c r="K11" s="67"/>
      <c r="L11" s="67"/>
      <c r="M11" s="198" t="str">
        <f t="shared" ref="M11:S11" si="9">IF(ISERROR(M9/I9-1),"NA",(IF(M9&lt;=0,"NM",M9/I9-1)))</f>
        <v>NA</v>
      </c>
      <c r="N11" s="198" t="str">
        <f t="shared" si="9"/>
        <v>NA</v>
      </c>
      <c r="O11" s="198" t="str">
        <f t="shared" si="9"/>
        <v>NA</v>
      </c>
      <c r="P11" s="198" t="str">
        <f t="shared" si="9"/>
        <v>NA</v>
      </c>
      <c r="Q11" s="751" t="str">
        <f t="shared" si="9"/>
        <v>NA</v>
      </c>
      <c r="R11" s="198" t="str">
        <f t="shared" si="9"/>
        <v>NA</v>
      </c>
      <c r="S11" s="198" t="str">
        <f t="shared" si="9"/>
        <v>NA</v>
      </c>
      <c r="T11" s="752">
        <f t="shared" ref="T11:AO11" si="10">IF(ISERROR(T10/P10-1),"NA",(IF(T10&lt;=0,"NM",T10/P10-1)))</f>
        <v>0.6305486447557942</v>
      </c>
      <c r="U11" s="751">
        <f t="shared" si="10"/>
        <v>0.65969696969696967</v>
      </c>
      <c r="V11" s="198">
        <f t="shared" si="10"/>
        <v>0.66784145469404432</v>
      </c>
      <c r="W11" s="198">
        <f t="shared" si="10"/>
        <v>0.6308402833826563</v>
      </c>
      <c r="X11" s="752">
        <f t="shared" si="10"/>
        <v>0.65255972696245723</v>
      </c>
      <c r="Y11" s="198">
        <f t="shared" si="10"/>
        <v>0.68460836224210353</v>
      </c>
      <c r="Z11" s="198">
        <f t="shared" si="10"/>
        <v>0.68508253452975243</v>
      </c>
      <c r="AA11" s="198">
        <f t="shared" si="10"/>
        <v>0.68213686728437484</v>
      </c>
      <c r="AB11" s="198">
        <f t="shared" si="10"/>
        <v>0.71662171684039166</v>
      </c>
      <c r="AC11" s="751">
        <f t="shared" si="10"/>
        <v>0.65623306526781255</v>
      </c>
      <c r="AD11" s="198">
        <f t="shared" si="10"/>
        <v>0.61363429838431194</v>
      </c>
      <c r="AE11" s="198">
        <f t="shared" si="10"/>
        <v>0.67462120592994568</v>
      </c>
      <c r="AF11" s="752">
        <f t="shared" si="10"/>
        <v>0.55534953503842832</v>
      </c>
      <c r="AG11" s="198">
        <f t="shared" si="10"/>
        <v>0.46321672098106204</v>
      </c>
      <c r="AH11" s="198">
        <f t="shared" si="10"/>
        <v>0.41462150990572932</v>
      </c>
      <c r="AI11" s="198">
        <f t="shared" si="10"/>
        <v>0.31374749890195686</v>
      </c>
      <c r="AJ11" s="752">
        <f t="shared" si="10"/>
        <v>0.33500778072019433</v>
      </c>
      <c r="AK11" s="198">
        <f t="shared" si="10"/>
        <v>0.41872093023255808</v>
      </c>
      <c r="AL11" s="198">
        <f t="shared" si="10"/>
        <v>0.38079617834394908</v>
      </c>
      <c r="AM11" s="198">
        <f t="shared" si="10"/>
        <v>0.38359583952451715</v>
      </c>
      <c r="AN11" s="752">
        <f t="shared" si="10"/>
        <v>0.32785276073619629</v>
      </c>
      <c r="AO11" s="198">
        <f t="shared" si="10"/>
        <v>0.24405313561940067</v>
      </c>
      <c r="AP11" s="198">
        <f t="shared" ref="AP11:AV11" si="11">IF(ISERROR(AP10/AL10-1),"NA",(IF(AP10&lt;=0,"NM",AP10/AL10-1)))</f>
        <v>0.20432686763383079</v>
      </c>
      <c r="AQ11" s="198">
        <f t="shared" si="11"/>
        <v>0.19410198032561543</v>
      </c>
      <c r="AR11" s="752">
        <f t="shared" si="11"/>
        <v>0.12038234871352604</v>
      </c>
      <c r="AS11" s="198">
        <f t="shared" si="11"/>
        <v>0.12100464720280946</v>
      </c>
      <c r="AT11" s="198">
        <f t="shared" si="11"/>
        <v>0.10789796231040305</v>
      </c>
      <c r="AU11" s="198">
        <f t="shared" si="11"/>
        <v>0.11520820217645467</v>
      </c>
      <c r="AV11" s="752">
        <f t="shared" si="11"/>
        <v>0.18856702986538121</v>
      </c>
      <c r="AW11" s="198">
        <f t="shared" ref="AW11:BD11" si="12">IF(ISERROR(AW10/AS10-1),"NA",(IF(AW10&lt;=0,"NM",AW10/AS10-1)))</f>
        <v>0.18535262206148273</v>
      </c>
      <c r="AX11" s="198">
        <f t="shared" si="12"/>
        <v>0.17113223854796877</v>
      </c>
      <c r="AY11" s="198">
        <f t="shared" si="12"/>
        <v>0.15645161290322585</v>
      </c>
      <c r="AZ11" s="752">
        <f t="shared" si="12"/>
        <v>0.14263685427910566</v>
      </c>
      <c r="BA11" s="198">
        <f t="shared" si="12"/>
        <v>0.13806254767353154</v>
      </c>
      <c r="BB11" s="198">
        <f t="shared" si="12"/>
        <v>0.13431734317343191</v>
      </c>
      <c r="BC11" s="198">
        <f t="shared" si="12"/>
        <v>0.12552301255230125</v>
      </c>
      <c r="BD11" s="752">
        <f t="shared" si="12"/>
        <v>0.12010796221322551</v>
      </c>
      <c r="BE11" s="2576"/>
      <c r="BF11" s="198" t="str">
        <f t="shared" ref="BF11:BT11" si="13">IF(ISERROR(BF10/BE10-1),"NA",(IF(BF10&lt;=0,"NM",BF10/BE10-1)))</f>
        <v>NA</v>
      </c>
      <c r="BG11" s="198">
        <f t="shared" si="13"/>
        <v>7.4537246049661405</v>
      </c>
      <c r="BH11" s="198">
        <f t="shared" si="13"/>
        <v>2.2413885180240323</v>
      </c>
      <c r="BI11" s="198">
        <f t="shared" si="13"/>
        <v>1.1260400362468079</v>
      </c>
      <c r="BJ11" s="198">
        <f t="shared" si="13"/>
        <v>0.84946528208307481</v>
      </c>
      <c r="BK11" s="198">
        <f t="shared" si="13"/>
        <v>0.74488278058284951</v>
      </c>
      <c r="BL11" s="198">
        <f t="shared" si="13"/>
        <v>0.65175001500870477</v>
      </c>
      <c r="BM11" s="198">
        <f t="shared" si="13"/>
        <v>0.69364523210677098</v>
      </c>
      <c r="BN11" s="198">
        <f t="shared" si="13"/>
        <v>0.62040963483097844</v>
      </c>
      <c r="BO11" s="198">
        <f t="shared" si="13"/>
        <v>0.37390871334124443</v>
      </c>
      <c r="BP11" s="198">
        <f t="shared" si="13"/>
        <v>0.37472334682860975</v>
      </c>
      <c r="BQ11" s="198">
        <f t="shared" si="13"/>
        <v>0.1875610915633692</v>
      </c>
      <c r="BR11" s="198">
        <f t="shared" si="13"/>
        <v>0.13366233158914653</v>
      </c>
      <c r="BS11" s="198">
        <f t="shared" si="13"/>
        <v>0.16291666666666682</v>
      </c>
      <c r="BT11" s="198">
        <f t="shared" si="13"/>
        <v>0.1291651737728412</v>
      </c>
      <c r="BU11" s="198">
        <f>IF(ISERROR(BU10/BT10-1),"NA",(IF(BU10&lt;=0,"NM",BU10/BT10-1)))</f>
        <v>0.11105822624147232</v>
      </c>
      <c r="BV11" s="198">
        <f>IF(ISERROR(BV10/BU10-1),"NA",(IF(BV10&lt;=0,"NM",BV10/BU10-1)))</f>
        <v>9.7815222047693773E-2</v>
      </c>
      <c r="BW11" s="198">
        <f>IF(ISERROR(BW10/BV10-1),"NA",(IF(BW10&lt;=0,"NM",BW10/BV10-1)))</f>
        <v>8.6498439125910487E-2</v>
      </c>
      <c r="BX11" s="198">
        <f>IF(ISERROR(BX10/BW10-1),"NA",(IF(BX10&lt;=0,"NM",BX10/BW10-1)))</f>
        <v>7.7217766072069871E-2</v>
      </c>
      <c r="BY11" s="752">
        <f>IF(ISERROR(BY10/BX10-1),"NA",(IF(BY10&lt;=0,"NM",BY10/BX10-1)))</f>
        <v>7.0015559013113959E-2</v>
      </c>
      <c r="BZ11" s="80"/>
      <c r="CA11" s="88"/>
      <c r="CB11" s="88"/>
      <c r="CC11" s="88"/>
      <c r="CD11" s="88"/>
      <c r="CE11" s="88"/>
      <c r="CF11" s="88"/>
    </row>
    <row r="12" spans="1:84" ht="11.25" customHeight="1">
      <c r="A12" s="86"/>
      <c r="B12" s="86"/>
      <c r="C12" s="86"/>
      <c r="D12" s="86"/>
      <c r="E12" s="86"/>
      <c r="F12" s="86"/>
      <c r="G12" s="86"/>
      <c r="H12" s="86"/>
      <c r="I12" s="770" t="s">
        <v>146</v>
      </c>
      <c r="J12" s="193"/>
      <c r="K12" s="67"/>
      <c r="L12" s="67"/>
      <c r="M12" s="198" t="str">
        <f t="shared" ref="M12:S12" si="14">IF(ISERROR(M9/L9-1),"NA",(IF(M9&lt;=0,"NM",M9/L9-1)))</f>
        <v>NA</v>
      </c>
      <c r="N12" s="198" t="str">
        <f t="shared" si="14"/>
        <v>NA</v>
      </c>
      <c r="O12" s="198" t="str">
        <f t="shared" si="14"/>
        <v>NA</v>
      </c>
      <c r="P12" s="198" t="str">
        <f t="shared" si="14"/>
        <v>NA</v>
      </c>
      <c r="Q12" s="751" t="str">
        <f t="shared" si="14"/>
        <v>NA</v>
      </c>
      <c r="R12" s="198" t="str">
        <f t="shared" si="14"/>
        <v>NA</v>
      </c>
      <c r="S12" s="198" t="str">
        <f t="shared" si="14"/>
        <v>NA</v>
      </c>
      <c r="T12" s="752">
        <f t="shared" ref="T12:AO12" si="15">IF(ISERROR(T10/S10-1),"NA",(IF(T10&lt;=0,"NM",T10/S10-1)))</f>
        <v>0.11671598959734553</v>
      </c>
      <c r="U12" s="751">
        <f t="shared" si="15"/>
        <v>9.9578397912065686E-2</v>
      </c>
      <c r="V12" s="198">
        <f t="shared" si="15"/>
        <v>0.19236808471791123</v>
      </c>
      <c r="W12" s="198">
        <f t="shared" si="15"/>
        <v>0.11386396349493166</v>
      </c>
      <c r="X12" s="752">
        <f t="shared" si="15"/>
        <v>0.13158835335844477</v>
      </c>
      <c r="Y12" s="198">
        <f t="shared" si="15"/>
        <v>0.12090288407804284</v>
      </c>
      <c r="Z12" s="198">
        <f t="shared" si="15"/>
        <v>0.1927037045065354</v>
      </c>
      <c r="AA12" s="198">
        <f t="shared" si="15"/>
        <v>0.11191683477818359</v>
      </c>
      <c r="AB12" s="198">
        <f t="shared" si="15"/>
        <v>0.1547866167601053</v>
      </c>
      <c r="AC12" s="751">
        <f t="shared" si="15"/>
        <v>8.1470892131746186E-2</v>
      </c>
      <c r="AD12" s="198">
        <f t="shared" si="15"/>
        <v>0.16202703940738417</v>
      </c>
      <c r="AE12" s="198">
        <f t="shared" si="15"/>
        <v>0.15394145539324433</v>
      </c>
      <c r="AF12" s="752">
        <f t="shared" si="15"/>
        <v>7.2539163535210616E-2</v>
      </c>
      <c r="AG12" s="198">
        <f t="shared" si="15"/>
        <v>1.740879266883244E-2</v>
      </c>
      <c r="AH12" s="198">
        <f t="shared" si="15"/>
        <v>0.1234347048300537</v>
      </c>
      <c r="AI12" s="198">
        <f t="shared" si="15"/>
        <v>7.1656050955414052E-2</v>
      </c>
      <c r="AJ12" s="752">
        <f t="shared" si="15"/>
        <v>8.9895988112927094E-2</v>
      </c>
      <c r="AK12" s="198">
        <f t="shared" si="15"/>
        <v>8.120654396728022E-2</v>
      </c>
      <c r="AL12" s="198">
        <f t="shared" si="15"/>
        <v>9.3403441079860983E-2</v>
      </c>
      <c r="AM12" s="198">
        <f t="shared" si="15"/>
        <v>7.3828908826717665E-2</v>
      </c>
      <c r="AN12" s="752">
        <f t="shared" si="15"/>
        <v>4.5985652304652236E-2</v>
      </c>
      <c r="AO12" s="198">
        <f t="shared" si="15"/>
        <v>1.2972545637487398E-2</v>
      </c>
      <c r="AP12" s="198">
        <f t="shared" ref="AP12:AV12" si="16">IF(ISERROR(AP10/AO10-1),"NA",(IF(AP10&lt;=0,"NM",AP10/AO10-1)))</f>
        <v>5.8487860006182668E-2</v>
      </c>
      <c r="AQ12" s="198">
        <f t="shared" si="16"/>
        <v>6.4711965681017336E-2</v>
      </c>
      <c r="AR12" s="752">
        <f t="shared" si="16"/>
        <v>-1.8589801241118753E-2</v>
      </c>
      <c r="AS12" s="198">
        <f t="shared" si="16"/>
        <v>1.3535185066392952E-2</v>
      </c>
      <c r="AT12" s="198">
        <f t="shared" si="16"/>
        <v>4.6112115732368952E-2</v>
      </c>
      <c r="AU12" s="198">
        <f t="shared" si="16"/>
        <v>7.1737251512532296E-2</v>
      </c>
      <c r="AV12" s="752">
        <f t="shared" si="16"/>
        <v>4.5967741935483808E-2</v>
      </c>
      <c r="AW12" s="198">
        <f t="shared" ref="AW12:BD12" si="17">IF(ISERROR(AW10/AV10-1),"NA",(IF(AW10&lt;=0,"NM",AW10/AV10-1)))</f>
        <v>1.0794140323824308E-2</v>
      </c>
      <c r="AX12" s="198">
        <f t="shared" si="17"/>
        <v>3.3562166285278527E-2</v>
      </c>
      <c r="AY12" s="198">
        <f t="shared" si="17"/>
        <v>5.8302583025830357E-2</v>
      </c>
      <c r="AZ12" s="752">
        <f t="shared" si="17"/>
        <v>3.34728033472802E-2</v>
      </c>
      <c r="BA12" s="198">
        <f t="shared" si="17"/>
        <v>6.7476383265856477E-3</v>
      </c>
      <c r="BB12" s="198">
        <f t="shared" si="17"/>
        <v>3.0160857908847483E-2</v>
      </c>
      <c r="BC12" s="198">
        <f t="shared" si="17"/>
        <v>5.0097592713077344E-2</v>
      </c>
      <c r="BD12" s="752">
        <f t="shared" si="17"/>
        <v>2.8500619578686548E-2</v>
      </c>
      <c r="BE12" s="2576"/>
      <c r="BF12" s="868"/>
      <c r="BG12" s="868"/>
      <c r="BH12" s="868"/>
      <c r="BI12" s="868"/>
      <c r="BJ12" s="868"/>
      <c r="BK12" s="868"/>
      <c r="BL12" s="868"/>
      <c r="BM12" s="868"/>
      <c r="BN12" s="869"/>
      <c r="BO12" s="869"/>
      <c r="BP12" s="869"/>
      <c r="BQ12" s="869"/>
      <c r="BR12" s="869"/>
      <c r="BS12" s="869"/>
      <c r="BT12" s="869"/>
      <c r="BU12" s="869"/>
      <c r="BV12" s="869"/>
      <c r="BW12" s="869"/>
      <c r="BX12" s="869"/>
      <c r="BY12" s="1662"/>
      <c r="BZ12" s="80"/>
      <c r="CA12" s="88"/>
      <c r="CB12" s="88"/>
      <c r="CC12" s="88"/>
      <c r="CD12" s="88"/>
      <c r="CE12" s="88"/>
      <c r="CF12" s="88"/>
    </row>
    <row r="13" spans="1:84" ht="11.25" customHeight="1">
      <c r="A13" s="86"/>
      <c r="B13" s="86"/>
      <c r="C13" s="86"/>
      <c r="D13" s="86"/>
      <c r="E13" s="86"/>
      <c r="F13" s="86"/>
      <c r="G13" s="86"/>
      <c r="H13" s="86"/>
      <c r="I13" s="770"/>
      <c r="J13" s="193"/>
      <c r="K13" s="67"/>
      <c r="L13" s="67"/>
      <c r="M13" s="198"/>
      <c r="N13" s="198"/>
      <c r="O13" s="198"/>
      <c r="P13" s="198"/>
      <c r="Q13" s="751"/>
      <c r="R13" s="198"/>
      <c r="S13" s="198"/>
      <c r="T13" s="752"/>
      <c r="U13" s="751"/>
      <c r="V13" s="198"/>
      <c r="W13" s="198"/>
      <c r="X13" s="752"/>
      <c r="Y13" s="198"/>
      <c r="Z13" s="198"/>
      <c r="AA13" s="198"/>
      <c r="AB13" s="198"/>
      <c r="AC13" s="751"/>
      <c r="AD13" s="198"/>
      <c r="AE13" s="198"/>
      <c r="AF13" s="752"/>
      <c r="AG13" s="198"/>
      <c r="AH13" s="198"/>
      <c r="AI13" s="198"/>
      <c r="AJ13" s="752"/>
      <c r="AK13" s="198"/>
      <c r="AL13" s="198"/>
      <c r="AM13" s="198"/>
      <c r="AN13" s="752"/>
      <c r="AO13" s="198"/>
      <c r="AP13" s="198"/>
      <c r="AQ13" s="198"/>
      <c r="AR13" s="752"/>
      <c r="AS13" s="198"/>
      <c r="AT13" s="198"/>
      <c r="AU13" s="198"/>
      <c r="AV13" s="752"/>
      <c r="AW13" s="198"/>
      <c r="AX13" s="198"/>
      <c r="AY13" s="198"/>
      <c r="AZ13" s="752"/>
      <c r="BA13" s="198"/>
      <c r="BB13" s="198"/>
      <c r="BC13" s="198"/>
      <c r="BD13" s="752"/>
      <c r="BE13" s="2576"/>
      <c r="BF13" s="868"/>
      <c r="BG13" s="868"/>
      <c r="BH13" s="868"/>
      <c r="BI13" s="868"/>
      <c r="BJ13" s="868"/>
      <c r="BK13" s="868"/>
      <c r="BL13" s="868"/>
      <c r="BM13" s="868"/>
      <c r="BN13" s="869"/>
      <c r="BO13" s="869"/>
      <c r="BP13" s="869"/>
      <c r="BQ13" s="869"/>
      <c r="BR13" s="869"/>
      <c r="BS13" s="869"/>
      <c r="BT13" s="869"/>
      <c r="BU13" s="869"/>
      <c r="BV13" s="869"/>
      <c r="BW13" s="869"/>
      <c r="BX13" s="869"/>
      <c r="BY13" s="1662"/>
      <c r="BZ13" s="80"/>
      <c r="CA13" s="88"/>
      <c r="CB13" s="88"/>
      <c r="CC13" s="88"/>
      <c r="CD13" s="88"/>
      <c r="CE13" s="88"/>
      <c r="CF13" s="88"/>
    </row>
    <row r="14" spans="1:84" s="42" customFormat="1" ht="11.25" hidden="1" customHeight="1" outlineLevel="1">
      <c r="A14" s="1919"/>
      <c r="B14" s="1919"/>
      <c r="C14" s="1919"/>
      <c r="D14" s="1919"/>
      <c r="E14" s="1919"/>
      <c r="F14" s="1919"/>
      <c r="G14" s="1919"/>
      <c r="H14" s="328"/>
      <c r="I14" s="1920" t="s">
        <v>478</v>
      </c>
      <c r="J14" s="1921"/>
      <c r="K14" s="1922"/>
      <c r="L14" s="1922"/>
      <c r="M14" s="1923"/>
      <c r="N14" s="1923"/>
      <c r="O14" s="1923"/>
      <c r="P14" s="1923"/>
      <c r="Q14" s="1924"/>
      <c r="R14" s="1923"/>
      <c r="S14" s="1923"/>
      <c r="T14" s="1925"/>
      <c r="U14" s="1924"/>
      <c r="V14" s="1923"/>
      <c r="W14" s="1923"/>
      <c r="X14" s="1925"/>
      <c r="Y14" s="1923"/>
      <c r="Z14" s="1923"/>
      <c r="AA14" s="1923"/>
      <c r="AB14" s="1923"/>
      <c r="AC14" s="1924"/>
      <c r="AD14" s="1923"/>
      <c r="AE14" s="1923"/>
      <c r="AF14" s="1925"/>
      <c r="AG14" s="1926" t="e">
        <f>+AG10-#REF!</f>
        <v>#REF!</v>
      </c>
      <c r="AH14" s="1926" t="e">
        <f>+AH10-#REF!</f>
        <v>#REF!</v>
      </c>
      <c r="AI14" s="1926" t="e">
        <f>+AI10-#REF!</f>
        <v>#REF!</v>
      </c>
      <c r="AJ14" s="1926" t="e">
        <f>+AJ10-#REF!</f>
        <v>#REF!</v>
      </c>
      <c r="AK14" s="2289" t="e">
        <f>+AK10-#REF!</f>
        <v>#REF!</v>
      </c>
      <c r="AL14" s="1926" t="e">
        <f>+AL10-#REF!</f>
        <v>#REF!</v>
      </c>
      <c r="AM14" s="1926" t="e">
        <f>+AM10-#REF!</f>
        <v>#REF!</v>
      </c>
      <c r="AN14" s="1927" t="e">
        <f>+AN10-#REF!</f>
        <v>#REF!</v>
      </c>
      <c r="AO14" s="2289" t="e">
        <f>+AO10-#REF!</f>
        <v>#REF!</v>
      </c>
      <c r="AP14" s="1926" t="e">
        <f>+AP10-#REF!</f>
        <v>#REF!</v>
      </c>
      <c r="AQ14" s="1926" t="e">
        <f>+AQ10-#REF!</f>
        <v>#REF!</v>
      </c>
      <c r="AR14" s="1927" t="e">
        <f>+AR10-#REF!</f>
        <v>#REF!</v>
      </c>
      <c r="AS14" s="1926" t="e">
        <f>+AS10-#REF!</f>
        <v>#REF!</v>
      </c>
      <c r="AT14" s="1926" t="e">
        <f>+AT10-#REF!</f>
        <v>#REF!</v>
      </c>
      <c r="AU14" s="1926" t="e">
        <f>+AU10-#REF!</f>
        <v>#REF!</v>
      </c>
      <c r="AV14" s="1927" t="e">
        <f>+AV10-#REF!</f>
        <v>#REF!</v>
      </c>
      <c r="AW14" s="1926" t="e">
        <f>+AW10-#REF!</f>
        <v>#REF!</v>
      </c>
      <c r="AX14" s="1926" t="e">
        <f>+AX10-#REF!</f>
        <v>#REF!</v>
      </c>
      <c r="AY14" s="1926" t="e">
        <f>+AY10-#REF!</f>
        <v>#REF!</v>
      </c>
      <c r="AZ14" s="1927" t="e">
        <f>+AZ10-#REF!</f>
        <v>#REF!</v>
      </c>
      <c r="BA14" s="1926" t="e">
        <f>+BA10-#REF!</f>
        <v>#REF!</v>
      </c>
      <c r="BB14" s="1926" t="e">
        <f>+BB10-#REF!</f>
        <v>#REF!</v>
      </c>
      <c r="BC14" s="1926" t="e">
        <f>+BC10-#REF!</f>
        <v>#REF!</v>
      </c>
      <c r="BD14" s="1927" t="e">
        <f>+BD10-#REF!</f>
        <v>#REF!</v>
      </c>
      <c r="BE14" s="2576"/>
      <c r="BF14" s="1928"/>
      <c r="BG14" s="1928"/>
      <c r="BH14" s="1928"/>
      <c r="BI14" s="1926" t="e">
        <f>+BI10-#REF!</f>
        <v>#REF!</v>
      </c>
      <c r="BJ14" s="1926" t="e">
        <f>+BJ10-#REF!</f>
        <v>#REF!</v>
      </c>
      <c r="BK14" s="1926" t="e">
        <f>+BK10-#REF!</f>
        <v>#REF!</v>
      </c>
      <c r="BL14" s="1926" t="e">
        <f>+BL10-#REF!</f>
        <v>#REF!</v>
      </c>
      <c r="BM14" s="1926" t="e">
        <f>+BM10-#REF!</f>
        <v>#REF!</v>
      </c>
      <c r="BN14" s="1926" t="e">
        <f>+BN10-#REF!</f>
        <v>#REF!</v>
      </c>
      <c r="BO14" s="1926" t="e">
        <f>+BO10-#REF!</f>
        <v>#REF!</v>
      </c>
      <c r="BP14" s="1926" t="e">
        <f>+BP10-#REF!</f>
        <v>#REF!</v>
      </c>
      <c r="BQ14" s="1926" t="e">
        <f>+BQ10-#REF!</f>
        <v>#REF!</v>
      </c>
      <c r="BR14" s="1926" t="e">
        <f>+BR10-#REF!</f>
        <v>#REF!</v>
      </c>
      <c r="BS14" s="1926" t="e">
        <f>+BS10-#REF!</f>
        <v>#REF!</v>
      </c>
      <c r="BT14" s="1926" t="e">
        <f>+BT10-#REF!</f>
        <v>#REF!</v>
      </c>
      <c r="BU14" s="1926" t="e">
        <f>+BU10-#REF!</f>
        <v>#REF!</v>
      </c>
      <c r="BV14" s="1926" t="e">
        <f>+BV10-#REF!</f>
        <v>#REF!</v>
      </c>
      <c r="BW14" s="1926" t="e">
        <f>+BW10-#REF!</f>
        <v>#REF!</v>
      </c>
      <c r="BX14" s="1926" t="e">
        <f>+BX10-#REF!</f>
        <v>#REF!</v>
      </c>
      <c r="BY14" s="1927" t="e">
        <f>+BY10-#REF!</f>
        <v>#REF!</v>
      </c>
      <c r="BZ14" s="1917"/>
      <c r="CA14" s="1918"/>
      <c r="CB14" s="1918"/>
      <c r="CC14" s="1918"/>
      <c r="CD14" s="1918"/>
      <c r="CE14" s="1918"/>
      <c r="CF14" s="1918"/>
    </row>
    <row r="15" spans="1:84" ht="11.25" hidden="1" customHeight="1" outlineLevel="1">
      <c r="A15" s="86"/>
      <c r="B15" s="86"/>
      <c r="C15" s="86"/>
      <c r="D15" s="86"/>
      <c r="E15" s="86"/>
      <c r="F15" s="86"/>
      <c r="G15" s="86"/>
      <c r="H15" s="86"/>
      <c r="I15" s="770"/>
      <c r="J15" s="193"/>
      <c r="K15" s="67"/>
      <c r="L15" s="67"/>
      <c r="M15" s="198"/>
      <c r="N15" s="198"/>
      <c r="O15" s="198"/>
      <c r="P15" s="198"/>
      <c r="Q15" s="751"/>
      <c r="R15" s="198"/>
      <c r="S15" s="198"/>
      <c r="T15" s="752"/>
      <c r="U15" s="751"/>
      <c r="V15" s="198"/>
      <c r="W15" s="198"/>
      <c r="X15" s="752"/>
      <c r="Y15" s="198"/>
      <c r="Z15" s="198"/>
      <c r="AA15" s="198"/>
      <c r="AB15" s="198"/>
      <c r="AC15" s="751"/>
      <c r="AD15" s="198"/>
      <c r="AE15" s="198"/>
      <c r="AF15" s="752"/>
      <c r="AG15" s="198"/>
      <c r="AH15" s="198"/>
      <c r="AI15" s="198"/>
      <c r="AJ15" s="752"/>
      <c r="AK15" s="198"/>
      <c r="AL15" s="198"/>
      <c r="AM15" s="198"/>
      <c r="AN15" s="752"/>
      <c r="AO15" s="198"/>
      <c r="AP15" s="198"/>
      <c r="AQ15" s="198"/>
      <c r="AR15" s="752"/>
      <c r="AS15" s="198"/>
      <c r="AT15" s="198"/>
      <c r="AU15" s="198"/>
      <c r="AV15" s="752"/>
      <c r="AW15" s="198"/>
      <c r="AX15" s="198"/>
      <c r="AY15" s="198"/>
      <c r="AZ15" s="752"/>
      <c r="BA15" s="198"/>
      <c r="BB15" s="198"/>
      <c r="BC15" s="198"/>
      <c r="BD15" s="752"/>
      <c r="BE15" s="2576"/>
      <c r="BF15" s="868"/>
      <c r="BG15" s="868"/>
      <c r="BH15" s="868"/>
      <c r="BI15" s="868"/>
      <c r="BJ15" s="868"/>
      <c r="BK15" s="868"/>
      <c r="BL15" s="868"/>
      <c r="BM15" s="868"/>
      <c r="BN15" s="1929"/>
      <c r="BO15" s="1929"/>
      <c r="BP15" s="869"/>
      <c r="BQ15" s="869"/>
      <c r="BR15" s="869"/>
      <c r="BS15" s="869"/>
      <c r="BT15" s="869"/>
      <c r="BU15" s="869"/>
      <c r="BV15" s="869"/>
      <c r="BW15" s="869"/>
      <c r="BX15" s="869"/>
      <c r="BY15" s="1662"/>
      <c r="BZ15" s="80"/>
      <c r="CA15" s="88"/>
      <c r="CB15" s="88"/>
      <c r="CC15" s="88"/>
      <c r="CD15" s="88"/>
      <c r="CE15" s="88"/>
      <c r="CF15" s="88"/>
    </row>
    <row r="16" spans="1:84" ht="11.25" customHeight="1" collapsed="1">
      <c r="A16" s="86"/>
      <c r="B16" s="86"/>
      <c r="C16" s="86"/>
      <c r="D16" s="86"/>
      <c r="E16" s="86"/>
      <c r="F16" s="86"/>
      <c r="G16" s="86"/>
      <c r="H16" s="86"/>
      <c r="I16" s="770"/>
      <c r="J16" s="193"/>
      <c r="K16" s="67"/>
      <c r="L16" s="67"/>
      <c r="M16" s="199"/>
      <c r="N16" s="199"/>
      <c r="O16" s="199"/>
      <c r="P16" s="199"/>
      <c r="Q16" s="449"/>
      <c r="R16" s="199"/>
      <c r="S16" s="199"/>
      <c r="T16" s="620"/>
      <c r="U16" s="449"/>
      <c r="V16" s="199"/>
      <c r="W16" s="199"/>
      <c r="X16" s="620"/>
      <c r="Y16" s="199"/>
      <c r="Z16" s="199"/>
      <c r="AA16" s="199"/>
      <c r="AB16" s="199"/>
      <c r="AC16" s="449"/>
      <c r="AD16" s="199"/>
      <c r="AE16" s="199"/>
      <c r="AF16" s="620"/>
      <c r="AG16" s="199"/>
      <c r="AH16" s="199"/>
      <c r="AI16" s="199"/>
      <c r="AJ16" s="620"/>
      <c r="AK16" s="199"/>
      <c r="AL16" s="199"/>
      <c r="AM16" s="199"/>
      <c r="AN16" s="620"/>
      <c r="AO16" s="199"/>
      <c r="AP16" s="199"/>
      <c r="AQ16" s="199"/>
      <c r="AR16" s="620"/>
      <c r="AS16" s="199"/>
      <c r="AT16" s="199"/>
      <c r="AU16" s="199"/>
      <c r="AV16" s="620"/>
      <c r="AW16" s="199"/>
      <c r="AX16" s="199"/>
      <c r="AY16" s="199"/>
      <c r="AZ16" s="620"/>
      <c r="BA16" s="199"/>
      <c r="BB16" s="199"/>
      <c r="BC16" s="199"/>
      <c r="BD16" s="620"/>
      <c r="BE16" s="1122"/>
      <c r="BF16" s="67"/>
      <c r="BG16" s="67"/>
      <c r="BH16" s="67"/>
      <c r="BI16" s="67"/>
      <c r="BJ16" s="67"/>
      <c r="BK16" s="67"/>
      <c r="BL16" s="67"/>
      <c r="BM16" s="67"/>
      <c r="BN16" s="194"/>
      <c r="BO16" s="194"/>
      <c r="BP16" s="194"/>
      <c r="BQ16" s="194"/>
      <c r="BR16" s="194"/>
      <c r="BS16" s="194"/>
      <c r="BT16" s="194"/>
      <c r="BU16" s="194"/>
      <c r="BV16" s="194"/>
      <c r="BW16" s="194"/>
      <c r="BX16" s="194"/>
      <c r="BY16" s="753"/>
      <c r="BZ16" s="80"/>
      <c r="CA16" s="88"/>
      <c r="CB16" s="88"/>
      <c r="CC16" s="88"/>
      <c r="CD16" s="88"/>
      <c r="CE16" s="88"/>
      <c r="CF16" s="88"/>
    </row>
    <row r="17" spans="1:84" s="106" customFormat="1" ht="11.25" customHeight="1">
      <c r="A17" s="54"/>
      <c r="B17" s="54"/>
      <c r="C17" s="54"/>
      <c r="D17" s="54"/>
      <c r="E17" s="54"/>
      <c r="F17" s="54"/>
      <c r="G17" s="54"/>
      <c r="H17" s="54"/>
      <c r="I17" s="769" t="s">
        <v>79</v>
      </c>
      <c r="J17" s="324"/>
      <c r="K17" s="324"/>
      <c r="L17" s="324"/>
      <c r="M17" s="325"/>
      <c r="N17" s="325"/>
      <c r="O17" s="325"/>
      <c r="P17" s="325"/>
      <c r="Q17" s="746"/>
      <c r="R17" s="325"/>
      <c r="S17" s="325"/>
      <c r="T17" s="747"/>
      <c r="U17" s="788"/>
      <c r="V17" s="325"/>
      <c r="W17" s="325"/>
      <c r="X17" s="747"/>
      <c r="Y17" s="325"/>
      <c r="Z17" s="325"/>
      <c r="AA17" s="325"/>
      <c r="AB17" s="325"/>
      <c r="AC17" s="746"/>
      <c r="AD17" s="325"/>
      <c r="AE17" s="325"/>
      <c r="AF17" s="747"/>
      <c r="AG17" s="325"/>
      <c r="AH17" s="325"/>
      <c r="AI17" s="325"/>
      <c r="AJ17" s="747"/>
      <c r="AK17" s="325"/>
      <c r="AL17" s="325"/>
      <c r="AM17" s="325"/>
      <c r="AN17" s="747"/>
      <c r="AO17" s="325"/>
      <c r="AP17" s="325"/>
      <c r="AQ17" s="325"/>
      <c r="AR17" s="747"/>
      <c r="AS17" s="325"/>
      <c r="AT17" s="325"/>
      <c r="AU17" s="325"/>
      <c r="AV17" s="747"/>
      <c r="AW17" s="325"/>
      <c r="AX17" s="325"/>
      <c r="AY17" s="325"/>
      <c r="AZ17" s="747"/>
      <c r="BA17" s="325"/>
      <c r="BB17" s="325"/>
      <c r="BC17" s="325"/>
      <c r="BD17" s="747"/>
      <c r="BE17" s="2577"/>
      <c r="BF17" s="323"/>
      <c r="BG17" s="323"/>
      <c r="BH17" s="323"/>
      <c r="BI17" s="323"/>
      <c r="BJ17" s="323"/>
      <c r="BK17" s="323"/>
      <c r="BL17" s="323"/>
      <c r="BM17" s="323"/>
      <c r="BN17" s="323"/>
      <c r="BO17" s="323"/>
      <c r="BP17" s="323"/>
      <c r="BQ17" s="323"/>
      <c r="BR17" s="323"/>
      <c r="BS17" s="323"/>
      <c r="BT17" s="323"/>
      <c r="BU17" s="1643"/>
      <c r="BV17" s="1643"/>
      <c r="BW17" s="1643"/>
      <c r="BX17" s="1643"/>
      <c r="BY17" s="1645"/>
      <c r="BZ17" s="54"/>
      <c r="CA17" s="54"/>
      <c r="CB17" s="54"/>
      <c r="CC17" s="54"/>
      <c r="CD17" s="54"/>
      <c r="CE17" s="54"/>
      <c r="CF17" s="54"/>
    </row>
    <row r="18" spans="1:84" ht="11.25" customHeight="1">
      <c r="A18" s="36"/>
      <c r="B18" s="36"/>
      <c r="C18" s="36"/>
      <c r="D18" s="36"/>
      <c r="E18" s="36"/>
      <c r="F18" s="36"/>
      <c r="G18" s="36"/>
      <c r="H18" s="36"/>
      <c r="I18" s="859" t="s">
        <v>123</v>
      </c>
      <c r="J18" s="54"/>
      <c r="K18" s="54"/>
      <c r="L18" s="54"/>
      <c r="M18" s="385"/>
      <c r="N18" s="385"/>
      <c r="O18" s="385"/>
      <c r="P18" s="385"/>
      <c r="Q18" s="865">
        <f>Model!Q49</f>
        <v>-0.87999999999999812</v>
      </c>
      <c r="R18" s="860">
        <f>Model!R49</f>
        <v>0.64900000000000146</v>
      </c>
      <c r="S18" s="860">
        <f>Model!S49</f>
        <v>-0.88200000000000567</v>
      </c>
      <c r="T18" s="861">
        <f>Model!T49</f>
        <v>-1.499999999999746E-2</v>
      </c>
      <c r="U18" s="865">
        <f>Model!U49</f>
        <v>-0.95100000000000118</v>
      </c>
      <c r="V18" s="860">
        <f>Model!V49</f>
        <v>1.5809999999999982</v>
      </c>
      <c r="W18" s="860">
        <f>Model!W49</f>
        <v>2.1620000000000053</v>
      </c>
      <c r="X18" s="861">
        <f>Model!X49</f>
        <v>1.8049999999999931</v>
      </c>
      <c r="Y18" s="860">
        <f>Model!Y49</f>
        <v>3.2040000000000064</v>
      </c>
      <c r="Z18" s="860">
        <f>Model!Z49</f>
        <v>7.7700000000000031</v>
      </c>
      <c r="AA18" s="860">
        <f>Model!AA49</f>
        <v>8.0499999999999936</v>
      </c>
      <c r="AB18" s="860">
        <f>Model!AB49</f>
        <v>10.404999999999994</v>
      </c>
      <c r="AC18" s="865">
        <f>Model!AC49</f>
        <v>8.5129999999999892</v>
      </c>
      <c r="AD18" s="860">
        <f>Model!AD49</f>
        <v>17.243999999999993</v>
      </c>
      <c r="AE18" s="860">
        <f>Model!AE49</f>
        <v>20.066000000000003</v>
      </c>
      <c r="AF18" s="861">
        <f>Model!AF49</f>
        <v>25.099000000000007</v>
      </c>
      <c r="AG18" s="860">
        <f>Model!AG49</f>
        <v>9.6089999999999982</v>
      </c>
      <c r="AH18" s="860">
        <f>Model!AH49</f>
        <v>14.419999999999986</v>
      </c>
      <c r="AI18" s="860">
        <f>Model!AI49</f>
        <v>3.5740000000000007</v>
      </c>
      <c r="AJ18" s="861">
        <f>Model!AJ49</f>
        <v>10.507999999999992</v>
      </c>
      <c r="AK18" s="860">
        <f>Model!AK49</f>
        <v>13.026000000000018</v>
      </c>
      <c r="AL18" s="860">
        <f>Model!AL49</f>
        <v>28.102999999999987</v>
      </c>
      <c r="AM18" s="860">
        <f>Model!AM49</f>
        <v>33.678999999999981</v>
      </c>
      <c r="AN18" s="861">
        <f>Model!AN49</f>
        <v>45.273999999999987</v>
      </c>
      <c r="AO18" s="860">
        <f>Model!AO49</f>
        <v>29.270999999999979</v>
      </c>
      <c r="AP18" s="860">
        <f>Model!AP49</f>
        <v>42.891999999999989</v>
      </c>
      <c r="AQ18" s="860">
        <f>Model!AQ49</f>
        <v>42.807999999999986</v>
      </c>
      <c r="AR18" s="861">
        <f>Model!AR49</f>
        <v>41.635999999999981</v>
      </c>
      <c r="AS18" s="860">
        <f>Model!AS49</f>
        <v>32.778578998900251</v>
      </c>
      <c r="AT18" s="860">
        <f>Model!AT49</f>
        <v>47.355181476941937</v>
      </c>
      <c r="AU18" s="860">
        <f>Model!AU49</f>
        <v>49.635846478999952</v>
      </c>
      <c r="AV18" s="861">
        <f>Model!AV49</f>
        <v>56.817297403847036</v>
      </c>
      <c r="AW18" s="860">
        <f>Model!AW49</f>
        <v>44.23587203215029</v>
      </c>
      <c r="AX18" s="860">
        <f>Model!AX49</f>
        <v>59.837247969970896</v>
      </c>
      <c r="AY18" s="860">
        <f>Model!AY49</f>
        <v>61.798811170069271</v>
      </c>
      <c r="AZ18" s="861">
        <f>Model!AZ49</f>
        <v>68.916133656516024</v>
      </c>
      <c r="BA18" s="860">
        <f>Model!BA49</f>
        <v>54.812523929800328</v>
      </c>
      <c r="BB18" s="860">
        <f>Model!BB49</f>
        <v>72.407898988815731</v>
      </c>
      <c r="BC18" s="860">
        <f>Model!BC49</f>
        <v>74.227759852504732</v>
      </c>
      <c r="BD18" s="861">
        <f>Model!BD49</f>
        <v>81.869217186111086</v>
      </c>
      <c r="BE18" s="2578"/>
      <c r="BF18" s="385"/>
      <c r="BG18" s="860"/>
      <c r="BH18" s="860"/>
      <c r="BI18" s="860">
        <f>Model!BJ49</f>
        <v>-0.57499999999999618</v>
      </c>
      <c r="BJ18" s="860">
        <f>Model!BK49</f>
        <v>-4.4409999999999989</v>
      </c>
      <c r="BK18" s="860">
        <f>Model!BL49</f>
        <v>-1.1280000000000001</v>
      </c>
      <c r="BL18" s="860">
        <f>Model!BM49</f>
        <v>4.5969999999999676</v>
      </c>
      <c r="BM18" s="860">
        <f>Model!BN49</f>
        <v>29.428999999999988</v>
      </c>
      <c r="BN18" s="860">
        <f>Model!BO49</f>
        <v>70.921999999999997</v>
      </c>
      <c r="BO18" s="860">
        <f>Model!BP49</f>
        <v>38.111000000000004</v>
      </c>
      <c r="BP18" s="860">
        <f>Model!BQ49</f>
        <v>120.08199999999995</v>
      </c>
      <c r="BQ18" s="860">
        <f>Model!BR49</f>
        <v>156.607</v>
      </c>
      <c r="BR18" s="860">
        <f>Model!BS49</f>
        <v>186.58690435868911</v>
      </c>
      <c r="BS18" s="860">
        <f>Model!BT49</f>
        <v>234.7880648287065</v>
      </c>
      <c r="BT18" s="860">
        <f>Model!BU49</f>
        <v>283.31739995723177</v>
      </c>
      <c r="BU18" s="860">
        <f>Model!BV49</f>
        <v>340.4198054285194</v>
      </c>
      <c r="BV18" s="860">
        <f>Model!BW49</f>
        <v>402.08232792542259</v>
      </c>
      <c r="BW18" s="860">
        <f>Model!BX49</f>
        <v>465.55167312314603</v>
      </c>
      <c r="BX18" s="860">
        <f>Model!BY49</f>
        <v>531.00424102168972</v>
      </c>
      <c r="BY18" s="861">
        <f>Model!BZ49</f>
        <v>599.90292594584912</v>
      </c>
      <c r="BZ18" s="36"/>
      <c r="CA18" s="36"/>
      <c r="CB18" s="36"/>
      <c r="CC18" s="36"/>
      <c r="CD18" s="36"/>
      <c r="CE18" s="36"/>
      <c r="CF18" s="36"/>
    </row>
    <row r="19" spans="1:84" s="41" customFormat="1" ht="11.25" customHeight="1">
      <c r="A19" s="29"/>
      <c r="B19" s="29"/>
      <c r="C19" s="29"/>
      <c r="D19" s="29"/>
      <c r="E19" s="29"/>
      <c r="F19" s="29"/>
      <c r="G19" s="29"/>
      <c r="H19" s="29"/>
      <c r="I19" s="862" t="s">
        <v>124</v>
      </c>
      <c r="J19" s="233"/>
      <c r="K19" s="233"/>
      <c r="L19" s="233"/>
      <c r="M19" s="387"/>
      <c r="N19" s="387"/>
      <c r="O19" s="387"/>
      <c r="P19" s="387"/>
      <c r="Q19" s="852">
        <f>Model!Q51</f>
        <v>-5.3333333333333219E-2</v>
      </c>
      <c r="R19" s="359">
        <f>Model!R51</f>
        <v>3.3149453468178644E-2</v>
      </c>
      <c r="S19" s="359">
        <f>Model!S51</f>
        <v>-3.954802259887031E-2</v>
      </c>
      <c r="T19" s="843">
        <f>Model!T51</f>
        <v>-6.022886970486834E-4</v>
      </c>
      <c r="U19" s="852">
        <f>Model!U51</f>
        <v>-3.4727040350556918E-2</v>
      </c>
      <c r="V19" s="359">
        <f>Model!V51</f>
        <v>4.841821578415454E-2</v>
      </c>
      <c r="W19" s="359">
        <f>Model!W51</f>
        <v>5.9442962800033132E-2</v>
      </c>
      <c r="X19" s="843">
        <f>Model!X51</f>
        <v>4.3856452122360549E-2</v>
      </c>
      <c r="Y19" s="359">
        <f>Model!Y51</f>
        <v>6.9451368868272301E-2</v>
      </c>
      <c r="Z19" s="359">
        <f>Model!Z51</f>
        <v>0.14121367428166409</v>
      </c>
      <c r="AA19" s="359">
        <f>Model!AA51</f>
        <v>0.13157679671793521</v>
      </c>
      <c r="AB19" s="359">
        <f>Model!AB51</f>
        <v>0.1472732162319004</v>
      </c>
      <c r="AC19" s="852">
        <f>Model!AC51</f>
        <v>0.11141649325323583</v>
      </c>
      <c r="AD19" s="359">
        <f>Model!AD51</f>
        <v>0.19421762194915912</v>
      </c>
      <c r="AE19" s="359">
        <f>Model!AE51</f>
        <v>0.1958518373920258</v>
      </c>
      <c r="AF19" s="843">
        <f>Model!AF51</f>
        <v>0.22840736392839925</v>
      </c>
      <c r="AG19" s="359">
        <f>Model!AG51</f>
        <v>8.5948121645796044E-2</v>
      </c>
      <c r="AH19" s="359">
        <f>Model!AH51</f>
        <v>0.11480891719745212</v>
      </c>
      <c r="AI19" s="359">
        <f>Model!AI51</f>
        <v>2.6552748885586931E-2</v>
      </c>
      <c r="AJ19" s="843">
        <f>Model!AJ51</f>
        <v>7.1629175187457345E-2</v>
      </c>
      <c r="AK19" s="359">
        <f>Model!AK51</f>
        <v>8.2124416031472941E-2</v>
      </c>
      <c r="AL19" s="359">
        <f>Model!AL51</f>
        <v>0.16204419124939448</v>
      </c>
      <c r="AM19" s="359">
        <f>Model!AM51</f>
        <v>0.18084432320975977</v>
      </c>
      <c r="AN19" s="843">
        <f>Model!AN51</f>
        <v>0.23241750343949563</v>
      </c>
      <c r="AO19" s="359">
        <f>Model!AO51</f>
        <v>0.14834053810250189</v>
      </c>
      <c r="AP19" s="359">
        <f>Model!AP51</f>
        <v>0.20535851080128689</v>
      </c>
      <c r="AQ19" s="359">
        <f>Model!AQ51</f>
        <v>0.19249932547890991</v>
      </c>
      <c r="AR19" s="843">
        <f>Model!AR51</f>
        <v>0.19077554685996526</v>
      </c>
      <c r="AS19" s="359">
        <f>Model!AS51</f>
        <v>0.14818525768038088</v>
      </c>
      <c r="AT19" s="359">
        <f>Model!AT51</f>
        <v>0.20464641952006021</v>
      </c>
      <c r="AU19" s="359">
        <f>Model!AU51</f>
        <v>0.20014454225403205</v>
      </c>
      <c r="AV19" s="843">
        <f>Model!AV51</f>
        <v>0.21903352892770639</v>
      </c>
      <c r="AW19" s="359">
        <f>Model!AW51</f>
        <v>0.16871041964969599</v>
      </c>
      <c r="AX19" s="359">
        <f>Model!AX51</f>
        <v>0.22080165302572285</v>
      </c>
      <c r="AY19" s="359">
        <f>Model!AY51</f>
        <v>0.21547702639494165</v>
      </c>
      <c r="AZ19" s="843">
        <f>Model!AZ51</f>
        <v>0.23251057239040496</v>
      </c>
      <c r="BA19" s="359">
        <f>Model!BA51</f>
        <v>0.18368808287466598</v>
      </c>
      <c r="BB19" s="359">
        <f>Model!BB51</f>
        <v>0.23554944368515199</v>
      </c>
      <c r="BC19" s="359">
        <f>Model!BC51</f>
        <v>0.22994968975373212</v>
      </c>
      <c r="BD19" s="843">
        <f>Model!BD51</f>
        <v>0.24659402766900929</v>
      </c>
      <c r="BE19" s="2579"/>
      <c r="BF19" s="387"/>
      <c r="BG19" s="359"/>
      <c r="BH19" s="359"/>
      <c r="BI19" s="359">
        <f>Model!BJ51</f>
        <v>-2.2279913205207537E-2</v>
      </c>
      <c r="BJ19" s="359">
        <f>Model!BK51</f>
        <v>-9.3042257652259514E-2</v>
      </c>
      <c r="BK19" s="359">
        <f>Model!BL51</f>
        <v>-1.354385543615297E-2</v>
      </c>
      <c r="BL19" s="359">
        <f>Model!BM51</f>
        <v>3.3416687262840881E-2</v>
      </c>
      <c r="BM19" s="359">
        <f>Model!BN51</f>
        <v>0.12631122632925296</v>
      </c>
      <c r="BN19" s="359">
        <f>Model!BO51</f>
        <v>0.18785493303949821</v>
      </c>
      <c r="BO19" s="359">
        <f>Model!BP51</f>
        <v>7.3474069789859264E-2</v>
      </c>
      <c r="BP19" s="359">
        <f>Model!BQ51</f>
        <v>0.16840165537977383</v>
      </c>
      <c r="BQ19" s="359">
        <f>Model!BR51</f>
        <v>0.18493693412831405</v>
      </c>
      <c r="BR19" s="359">
        <f>Model!BS51</f>
        <v>0.19436135870696783</v>
      </c>
      <c r="BS19" s="359">
        <f>Model!BT51</f>
        <v>0.2103081913549861</v>
      </c>
      <c r="BT19" s="359">
        <f>Model!BU51</f>
        <v>0.2247480564471139</v>
      </c>
      <c r="BU19" s="359">
        <f>Model!BV51</f>
        <v>0.24305283837535299</v>
      </c>
      <c r="BV19" s="359">
        <f>Model!BW51</f>
        <v>0.26149995312527485</v>
      </c>
      <c r="BW19" s="359">
        <f>Model!BX51</f>
        <v>0.27867333480375078</v>
      </c>
      <c r="BX19" s="359">
        <f>Model!BY51</f>
        <v>0.29506792677355509</v>
      </c>
      <c r="BY19" s="843">
        <f>Model!BZ51</f>
        <v>0.31154077998849666</v>
      </c>
      <c r="BZ19" s="29"/>
      <c r="CA19" s="29"/>
      <c r="CB19" s="29"/>
      <c r="CC19" s="29"/>
      <c r="CD19" s="29"/>
      <c r="CE19" s="29"/>
      <c r="CF19" s="29"/>
    </row>
    <row r="20" spans="1:84" ht="11.25" customHeight="1">
      <c r="A20" s="36"/>
      <c r="B20" s="36"/>
      <c r="C20" s="36"/>
      <c r="D20" s="36"/>
      <c r="E20" s="36"/>
      <c r="F20" s="36"/>
      <c r="G20" s="36"/>
      <c r="H20" s="36"/>
      <c r="I20" s="633" t="s">
        <v>34</v>
      </c>
      <c r="J20" s="54"/>
      <c r="K20" s="54"/>
      <c r="L20" s="54"/>
      <c r="M20" s="384"/>
      <c r="N20" s="384"/>
      <c r="O20" s="384"/>
      <c r="P20" s="384"/>
      <c r="Q20" s="751" t="str">
        <f>Model!Q53</f>
        <v>NM</v>
      </c>
      <c r="R20" s="198" t="str">
        <f>Model!R53</f>
        <v>NM</v>
      </c>
      <c r="S20" s="198" t="str">
        <f>Model!S53</f>
        <v>NM</v>
      </c>
      <c r="T20" s="752" t="str">
        <f>Model!T53</f>
        <v>NM</v>
      </c>
      <c r="U20" s="751" t="str">
        <f>Model!U53</f>
        <v>NM</v>
      </c>
      <c r="V20" s="198">
        <f>Model!V53</f>
        <v>7.1281070745697644E-2</v>
      </c>
      <c r="W20" s="198" t="str">
        <f>Model!W53</f>
        <v>NM</v>
      </c>
      <c r="X20" s="752" t="str">
        <f>Model!X53</f>
        <v>NM</v>
      </c>
      <c r="Y20" s="198" t="str">
        <f>Model!Y53</f>
        <v>NM</v>
      </c>
      <c r="Z20" s="198">
        <f>Model!Z53</f>
        <v>0.27666517657577133</v>
      </c>
      <c r="AA20" s="198">
        <f>Model!AA53</f>
        <v>0.23732365981459047</v>
      </c>
      <c r="AB20" s="198">
        <f>Model!AB53</f>
        <v>0.2915847290974436</v>
      </c>
      <c r="AC20" s="751">
        <f>Model!AC53</f>
        <v>0.17536499966968305</v>
      </c>
      <c r="AD20" s="198">
        <f>Model!AD53</f>
        <v>0.28059471626584492</v>
      </c>
      <c r="AE20" s="198">
        <f>Model!AE53</f>
        <v>0.29112758637398867</v>
      </c>
      <c r="AF20" s="752">
        <f>Model!AF53</f>
        <v>0.37450300744214526</v>
      </c>
      <c r="AG20" s="198">
        <f>Model!AG53</f>
        <v>3.0966575311502528E-2</v>
      </c>
      <c r="AH20" s="198">
        <f>Model!AH53</f>
        <v>-7.6712031075978807E-2</v>
      </c>
      <c r="AI20" s="198">
        <f>Model!AI53</f>
        <v>-0.51305024109503816</v>
      </c>
      <c r="AJ20" s="752">
        <f>Model!AJ53</f>
        <v>-0.39635454866487435</v>
      </c>
      <c r="AK20" s="198">
        <f>Model!AK53</f>
        <v>7.2992544805930384E-2</v>
      </c>
      <c r="AL20" s="198">
        <f>Model!AL53</f>
        <v>0.28608764740319481</v>
      </c>
      <c r="AM20" s="198">
        <f>Model!AM53</f>
        <v>0.58306863960334632</v>
      </c>
      <c r="AN20" s="752">
        <f>Model!AN53</f>
        <v>0.722845974717232</v>
      </c>
      <c r="AO20" s="198">
        <f>Model!AO53</f>
        <v>0.41965900284164193</v>
      </c>
      <c r="AP20" s="198">
        <f>Model!AP53</f>
        <v>0.41734394401173941</v>
      </c>
      <c r="AQ20" s="198">
        <f>Model!AQ53</f>
        <v>0.25254509239791983</v>
      </c>
      <c r="AR20" s="752">
        <f>Model!AR53</f>
        <v>-0.15513859275053316</v>
      </c>
      <c r="AS20" s="198">
        <f>Model!AS53</f>
        <v>0.1469019976923514</v>
      </c>
      <c r="AT20" s="198">
        <f>Model!AT53</f>
        <v>0.19804674640317482</v>
      </c>
      <c r="AU20" s="198">
        <f>Model!AU53</f>
        <v>0.26650454640905408</v>
      </c>
      <c r="AV20" s="752">
        <f>Model!AV53</f>
        <v>0.36888995975718197</v>
      </c>
      <c r="AW20" s="198">
        <f>Model!AW53</f>
        <v>0.27944617154268386</v>
      </c>
      <c r="AX20" s="198">
        <f>Model!AX53</f>
        <v>0.31520369931891318</v>
      </c>
      <c r="AY20" s="198">
        <f>Model!AY53</f>
        <v>0.31347847141931229</v>
      </c>
      <c r="AZ20" s="752">
        <f>Model!AZ53</f>
        <v>0.32699557439645915</v>
      </c>
      <c r="BA20" s="198">
        <f>Model!BA53</f>
        <v>0.2921727043549735</v>
      </c>
      <c r="BB20" s="198">
        <f>Model!BB53</f>
        <v>0.34534755546276985</v>
      </c>
      <c r="BC20" s="198">
        <f>Model!BC53</f>
        <v>0.34524857451209612</v>
      </c>
      <c r="BD20" s="752">
        <f>Model!BD53</f>
        <v>0.36385066094368129</v>
      </c>
      <c r="BE20" s="2576"/>
      <c r="BF20" s="384"/>
      <c r="BG20" s="198"/>
      <c r="BH20" s="198"/>
      <c r="BI20" s="198" t="str">
        <f>Model!BJ53</f>
        <v>NM</v>
      </c>
      <c r="BJ20" s="198" t="str">
        <f>Model!BK53</f>
        <v>NM</v>
      </c>
      <c r="BK20" s="198" t="str">
        <f>Model!BL53</f>
        <v>NM</v>
      </c>
      <c r="BL20" s="198" t="str">
        <f>Model!BM53</f>
        <v>NM</v>
      </c>
      <c r="BM20" s="198">
        <f>Model!BN53</f>
        <v>0.26023348913248534</v>
      </c>
      <c r="BN20" s="198">
        <f>Model!BO53</f>
        <v>0.28705343553698431</v>
      </c>
      <c r="BO20" s="198">
        <f>Model!BP53</f>
        <v>-0.23243178147403007</v>
      </c>
      <c r="BP20" s="198">
        <f>Model!BQ53</f>
        <v>0.42172877362130784</v>
      </c>
      <c r="BQ20" s="198">
        <f>Model!BR53</f>
        <v>0.27309636320134018</v>
      </c>
      <c r="BR20" s="198">
        <f>Model!BS53</f>
        <v>0.26487056250884916</v>
      </c>
      <c r="BS20" s="198">
        <f>Model!BT53</f>
        <v>0.30819156310752788</v>
      </c>
      <c r="BT20" s="198">
        <f>Model!BU53</f>
        <v>0.33654185248630608</v>
      </c>
      <c r="BU20" s="198">
        <f>Model!BV53</f>
        <v>0.40787432479491159</v>
      </c>
      <c r="BV20" s="198">
        <f>Model!BW53</f>
        <v>0.45009140508688461</v>
      </c>
      <c r="BW20" s="198">
        <f>Model!BX53</f>
        <v>0.47721312178739428</v>
      </c>
      <c r="BX20" s="198">
        <f>Model!BY53</f>
        <v>0.50738424727553244</v>
      </c>
      <c r="BY20" s="752">
        <f>Model!BZ53</f>
        <v>0.54681495971555072</v>
      </c>
      <c r="BZ20" s="36"/>
      <c r="CA20" s="36"/>
      <c r="CB20" s="36"/>
      <c r="CC20" s="36"/>
      <c r="CD20" s="36"/>
      <c r="CE20" s="36"/>
      <c r="CF20" s="36"/>
    </row>
    <row r="21" spans="1:84" ht="11.25" customHeight="1">
      <c r="A21" s="86"/>
      <c r="B21" s="86"/>
      <c r="C21" s="86"/>
      <c r="D21" s="86"/>
      <c r="E21" s="86"/>
      <c r="F21" s="86"/>
      <c r="G21" s="86"/>
      <c r="H21" s="86"/>
      <c r="I21" s="863" t="s">
        <v>132</v>
      </c>
      <c r="J21" s="193"/>
      <c r="K21" s="67"/>
      <c r="L21" s="67"/>
      <c r="M21" s="198" t="str">
        <f t="shared" ref="M21:AO21" si="18">IF(ISERROR(M18/I18-1),"NA",(IF(M18&lt;=0,"NM",M18/I18-1)))</f>
        <v>NA</v>
      </c>
      <c r="N21" s="198" t="str">
        <f t="shared" si="18"/>
        <v>NA</v>
      </c>
      <c r="O21" s="198" t="str">
        <f t="shared" si="18"/>
        <v>NA</v>
      </c>
      <c r="P21" s="198" t="str">
        <f t="shared" si="18"/>
        <v>NA</v>
      </c>
      <c r="Q21" s="751" t="str">
        <f t="shared" si="18"/>
        <v>NA</v>
      </c>
      <c r="R21" s="198" t="str">
        <f t="shared" si="18"/>
        <v>NA</v>
      </c>
      <c r="S21" s="198" t="str">
        <f t="shared" si="18"/>
        <v>NA</v>
      </c>
      <c r="T21" s="752" t="str">
        <f t="shared" si="18"/>
        <v>NA</v>
      </c>
      <c r="U21" s="751" t="str">
        <f t="shared" si="18"/>
        <v>NM</v>
      </c>
      <c r="V21" s="198">
        <f t="shared" si="18"/>
        <v>1.4360554699537667</v>
      </c>
      <c r="W21" s="198">
        <f t="shared" si="18"/>
        <v>-3.45124716553287</v>
      </c>
      <c r="X21" s="752">
        <f t="shared" si="18"/>
        <v>-121.33333333335325</v>
      </c>
      <c r="Y21" s="198">
        <f t="shared" si="18"/>
        <v>-4.3690851735015794</v>
      </c>
      <c r="Z21" s="198">
        <f t="shared" si="18"/>
        <v>3.9146110056926071</v>
      </c>
      <c r="AA21" s="198">
        <f t="shared" si="18"/>
        <v>2.7234042553191369</v>
      </c>
      <c r="AB21" s="198">
        <f t="shared" si="18"/>
        <v>4.7645429362881071</v>
      </c>
      <c r="AC21" s="751">
        <f t="shared" si="18"/>
        <v>1.6569912609238364</v>
      </c>
      <c r="AD21" s="198">
        <f t="shared" si="18"/>
        <v>1.2193050193050174</v>
      </c>
      <c r="AE21" s="198">
        <f t="shared" si="18"/>
        <v>1.4926708074534183</v>
      </c>
      <c r="AF21" s="752">
        <f t="shared" si="18"/>
        <v>1.412205670350795</v>
      </c>
      <c r="AG21" s="198">
        <f t="shared" si="18"/>
        <v>0.12874427346411488</v>
      </c>
      <c r="AH21" s="198">
        <f t="shared" si="18"/>
        <v>-0.1637671073996757</v>
      </c>
      <c r="AI21" s="198">
        <f t="shared" si="18"/>
        <v>-0.82188777035781913</v>
      </c>
      <c r="AJ21" s="752">
        <f t="shared" si="18"/>
        <v>-0.58133790190844303</v>
      </c>
      <c r="AK21" s="198">
        <f t="shared" si="18"/>
        <v>0.35560412113643669</v>
      </c>
      <c r="AL21" s="198">
        <f t="shared" si="18"/>
        <v>0.94889042995839223</v>
      </c>
      <c r="AM21" s="198">
        <f t="shared" si="18"/>
        <v>8.4233351986569591</v>
      </c>
      <c r="AN21" s="752">
        <f t="shared" si="18"/>
        <v>3.3085268366958527</v>
      </c>
      <c r="AO21" s="198">
        <f t="shared" si="18"/>
        <v>1.2471211423307187</v>
      </c>
      <c r="AP21" s="198">
        <f>IF(ISERROR(AP18/AL18-1),"NA",(IF(AP18&lt;=0,"NM",AP18/AL18-1)))</f>
        <v>0.52624274988435427</v>
      </c>
      <c r="AQ21" s="198">
        <f>IF(ISERROR(AQ18/AM18-1),"NA",(IF(AQ18&lt;=0,"NM",AQ18/AM18-1)))</f>
        <v>0.27105911695715457</v>
      </c>
      <c r="AR21" s="752">
        <f t="shared" ref="AR21" si="19">IF(ISERROR(AR18/AN18-1),"NA",(IF(AR18&lt;=0,"NM",AR18/AN18-1)))</f>
        <v>-8.035517073817211E-2</v>
      </c>
      <c r="AS21" s="198">
        <f>IF(ISERROR(AS18/AO18-1),"NA",(IF(AS18&lt;=0,"NM",AS18/AO18-1)))</f>
        <v>0.11983119807660403</v>
      </c>
      <c r="AT21" s="198">
        <f t="shared" ref="AT21:BD21" si="20">IF(ISERROR(AT18/AP18-1),"NA",(IF(AT18&lt;=0,"NM",AT18/AP18-1)))</f>
        <v>0.10405626869677209</v>
      </c>
      <c r="AU21" s="198">
        <f t="shared" si="20"/>
        <v>0.15949931038590837</v>
      </c>
      <c r="AV21" s="752">
        <f t="shared" si="20"/>
        <v>0.36461949764259449</v>
      </c>
      <c r="AW21" s="198">
        <f t="shared" si="20"/>
        <v>0.34953598914810913</v>
      </c>
      <c r="AX21" s="198">
        <f t="shared" si="20"/>
        <v>0.26358396491641978</v>
      </c>
      <c r="AY21" s="198">
        <f t="shared" si="20"/>
        <v>0.24504396628382796</v>
      </c>
      <c r="AZ21" s="752">
        <f t="shared" si="20"/>
        <v>0.21294283264958302</v>
      </c>
      <c r="BA21" s="198">
        <f t="shared" si="20"/>
        <v>0.23909671973829316</v>
      </c>
      <c r="BB21" s="198">
        <f t="shared" si="20"/>
        <v>0.21008070132425494</v>
      </c>
      <c r="BC21" s="198">
        <f t="shared" si="20"/>
        <v>0.20111954335547333</v>
      </c>
      <c r="BD21" s="752">
        <f t="shared" si="20"/>
        <v>0.18795429810607711</v>
      </c>
      <c r="BE21" s="2576"/>
      <c r="BF21" s="198"/>
      <c r="BG21" s="198"/>
      <c r="BH21" s="198"/>
      <c r="BI21" s="198" t="str">
        <f t="shared" ref="BI21:BT21" si="21">IF(ISERROR(BI18/BH18-1),"NA",(IF(BI18&lt;=0,"NM",BI18/BH18-1)))</f>
        <v>NA</v>
      </c>
      <c r="BJ21" s="198" t="str">
        <f t="shared" si="21"/>
        <v>NM</v>
      </c>
      <c r="BK21" s="198" t="str">
        <f t="shared" si="21"/>
        <v>NM</v>
      </c>
      <c r="BL21" s="198">
        <f t="shared" si="21"/>
        <v>-5.0753546099290485</v>
      </c>
      <c r="BM21" s="198">
        <f t="shared" si="21"/>
        <v>5.4017837720252766</v>
      </c>
      <c r="BN21" s="198">
        <f t="shared" si="21"/>
        <v>1.4099357776343071</v>
      </c>
      <c r="BO21" s="198">
        <f t="shared" si="21"/>
        <v>-0.46263500747299846</v>
      </c>
      <c r="BP21" s="198">
        <f t="shared" si="21"/>
        <v>2.1508488362939819</v>
      </c>
      <c r="BQ21" s="198">
        <f t="shared" si="21"/>
        <v>0.30416715244582915</v>
      </c>
      <c r="BR21" s="198">
        <f t="shared" si="21"/>
        <v>0.19143399949356743</v>
      </c>
      <c r="BS21" s="198">
        <f t="shared" si="21"/>
        <v>0.25833088680948846</v>
      </c>
      <c r="BT21" s="198">
        <f t="shared" si="21"/>
        <v>0.20669421660735043</v>
      </c>
      <c r="BU21" s="198">
        <f>IF(ISERROR(BU18/BT18-1),"NA",(IF(BU18&lt;=0,"NM",BU18/BT18-1)))</f>
        <v>0.20154923587434981</v>
      </c>
      <c r="BV21" s="198">
        <f>IF(ISERROR(BV18/BU18-1),"NA",(IF(BV18&lt;=0,"NM",BV18/BU18-1)))</f>
        <v>0.18113670683549854</v>
      </c>
      <c r="BW21" s="198">
        <f>IF(ISERROR(BW18/BV18-1),"NA",(IF(BW18&lt;=0,"NM",BW18/BV18-1)))</f>
        <v>0.1578516159245269</v>
      </c>
      <c r="BX21" s="198">
        <f>IF(ISERROR(BX18/BW18-1),"NA",(IF(BX18&lt;=0,"NM",BX18/BW18-1)))</f>
        <v>0.1405914137510369</v>
      </c>
      <c r="BY21" s="752">
        <f>IF(ISERROR(BY18/BX18-1),"NA",(IF(BY18&lt;=0,"NM",BY18/BX18-1)))</f>
        <v>0.12975166599723087</v>
      </c>
      <c r="BZ21" s="80"/>
      <c r="CA21" s="88"/>
      <c r="CB21" s="88"/>
      <c r="CC21" s="88"/>
      <c r="CD21" s="88"/>
      <c r="CE21" s="88"/>
      <c r="CF21" s="88"/>
    </row>
    <row r="22" spans="1:84" ht="11.25" customHeight="1">
      <c r="A22" s="86"/>
      <c r="B22" s="86"/>
      <c r="C22" s="86"/>
      <c r="D22" s="86"/>
      <c r="E22" s="86"/>
      <c r="F22" s="86"/>
      <c r="G22" s="86"/>
      <c r="H22" s="86"/>
      <c r="I22" s="863" t="s">
        <v>146</v>
      </c>
      <c r="J22" s="193"/>
      <c r="K22" s="67"/>
      <c r="L22" s="67"/>
      <c r="M22" s="198" t="str">
        <f t="shared" ref="M22:AO22" si="22">IF(ISERROR(M18/L18-1),"NA",(IF(M18&lt;=0,"NM",M18/L18-1)))</f>
        <v>NA</v>
      </c>
      <c r="N22" s="198" t="str">
        <f t="shared" si="22"/>
        <v>NA</v>
      </c>
      <c r="O22" s="198" t="str">
        <f t="shared" si="22"/>
        <v>NA</v>
      </c>
      <c r="P22" s="198" t="str">
        <f t="shared" si="22"/>
        <v>NA</v>
      </c>
      <c r="Q22" s="751" t="str">
        <f t="shared" si="22"/>
        <v>NA</v>
      </c>
      <c r="R22" s="198">
        <f t="shared" si="22"/>
        <v>-1.7375000000000034</v>
      </c>
      <c r="S22" s="198" t="str">
        <f t="shared" si="22"/>
        <v>NM</v>
      </c>
      <c r="T22" s="752" t="str">
        <f t="shared" si="22"/>
        <v>NM</v>
      </c>
      <c r="U22" s="751" t="str">
        <f t="shared" si="22"/>
        <v>NM</v>
      </c>
      <c r="V22" s="198">
        <f t="shared" si="22"/>
        <v>-2.6624605678233397</v>
      </c>
      <c r="W22" s="198">
        <f t="shared" si="22"/>
        <v>0.36748893105629832</v>
      </c>
      <c r="X22" s="752">
        <f t="shared" si="22"/>
        <v>-0.16512488436633277</v>
      </c>
      <c r="Y22" s="198">
        <f t="shared" si="22"/>
        <v>0.7750692520775726</v>
      </c>
      <c r="Z22" s="198">
        <f t="shared" si="22"/>
        <v>1.4250936329587978</v>
      </c>
      <c r="AA22" s="198">
        <f t="shared" si="22"/>
        <v>3.603603603603478E-2</v>
      </c>
      <c r="AB22" s="198">
        <f t="shared" si="22"/>
        <v>0.29254658385093202</v>
      </c>
      <c r="AC22" s="751">
        <f t="shared" si="22"/>
        <v>-0.18183565593464734</v>
      </c>
      <c r="AD22" s="198">
        <f t="shared" si="22"/>
        <v>1.0256078938094695</v>
      </c>
      <c r="AE22" s="198">
        <f t="shared" si="22"/>
        <v>0.16365112502899626</v>
      </c>
      <c r="AF22" s="752">
        <f t="shared" si="22"/>
        <v>0.25082228645469962</v>
      </c>
      <c r="AG22" s="198">
        <f t="shared" si="22"/>
        <v>-0.61715606199450201</v>
      </c>
      <c r="AH22" s="198">
        <f t="shared" si="22"/>
        <v>0.50067644916224263</v>
      </c>
      <c r="AI22" s="198">
        <f t="shared" si="22"/>
        <v>-0.75214979195561693</v>
      </c>
      <c r="AJ22" s="752">
        <f t="shared" si="22"/>
        <v>1.9401231113598181</v>
      </c>
      <c r="AK22" s="198">
        <f t="shared" si="22"/>
        <v>0.23962695089455921</v>
      </c>
      <c r="AL22" s="198">
        <f t="shared" si="22"/>
        <v>1.1574543221249769</v>
      </c>
      <c r="AM22" s="198">
        <f t="shared" si="22"/>
        <v>0.19841298082055281</v>
      </c>
      <c r="AN22" s="752">
        <f t="shared" si="22"/>
        <v>0.34427981828439114</v>
      </c>
      <c r="AO22" s="198">
        <f t="shared" si="22"/>
        <v>-0.35346998277156894</v>
      </c>
      <c r="AP22" s="198">
        <f>IF(ISERROR(AP18/AO18-1),"NA",(IF(AP18&lt;=0,"NM",AP18/AO18-1)))</f>
        <v>0.46534112261282568</v>
      </c>
      <c r="AQ22" s="198">
        <f>IF(ISERROR(AQ18/AP18-1),"NA",(IF(AQ18&lt;=0,"NM",AQ18/AP18-1)))</f>
        <v>-1.95840716217488E-3</v>
      </c>
      <c r="AR22" s="752">
        <f t="shared" ref="AR22" si="23">IF(ISERROR(AR18/AQ18-1),"NA",(IF(AR18&lt;=0,"NM",AR18/AQ18-1)))</f>
        <v>-2.737806017566824E-2</v>
      </c>
      <c r="AS22" s="198">
        <f>IF(ISERROR(AS18/AR18-1),"NA",(IF(AS18&lt;=0,"NM",AS18/AR18-1)))</f>
        <v>-0.21273467674848046</v>
      </c>
      <c r="AT22" s="198">
        <f t="shared" ref="AT22:BD22" si="24">IF(ISERROR(AT18/AS18-1),"NA",(IF(AT18&lt;=0,"NM",AT18/AS18-1)))</f>
        <v>0.44469903587128479</v>
      </c>
      <c r="AU22" s="198">
        <f t="shared" si="24"/>
        <v>4.8160833322294705E-2</v>
      </c>
      <c r="AV22" s="752">
        <f t="shared" si="24"/>
        <v>0.14468275317688861</v>
      </c>
      <c r="AW22" s="198">
        <f t="shared" si="24"/>
        <v>-0.22143653335480318</v>
      </c>
      <c r="AX22" s="198">
        <f t="shared" si="24"/>
        <v>0.35268607175827005</v>
      </c>
      <c r="AY22" s="198">
        <f t="shared" si="24"/>
        <v>3.2781641312828791E-2</v>
      </c>
      <c r="AZ22" s="752">
        <f t="shared" si="24"/>
        <v>0.11516924600474931</v>
      </c>
      <c r="BA22" s="198">
        <f t="shared" si="24"/>
        <v>-0.20464888232136336</v>
      </c>
      <c r="BB22" s="198">
        <f t="shared" si="24"/>
        <v>0.32101012318918598</v>
      </c>
      <c r="BC22" s="198">
        <f t="shared" si="24"/>
        <v>2.5133457662817937E-2</v>
      </c>
      <c r="BD22" s="752">
        <f t="shared" si="24"/>
        <v>0.10294608578772158</v>
      </c>
      <c r="BE22" s="2576"/>
      <c r="BF22" s="868"/>
      <c r="BG22" s="868"/>
      <c r="BH22" s="868"/>
      <c r="BI22" s="868"/>
      <c r="BJ22" s="868"/>
      <c r="BK22" s="868"/>
      <c r="BL22" s="868"/>
      <c r="BM22" s="868"/>
      <c r="BN22" s="869"/>
      <c r="BO22" s="860"/>
      <c r="BP22" s="860"/>
      <c r="BQ22" s="869"/>
      <c r="BR22" s="869"/>
      <c r="BS22" s="869"/>
      <c r="BT22" s="869"/>
      <c r="BU22" s="869"/>
      <c r="BV22" s="869"/>
      <c r="BW22" s="869"/>
      <c r="BX22" s="869"/>
      <c r="BY22" s="1662"/>
      <c r="BZ22" s="80"/>
      <c r="CA22" s="88"/>
      <c r="CB22" s="88"/>
      <c r="CC22" s="88"/>
      <c r="CD22" s="88"/>
      <c r="CE22" s="88"/>
      <c r="CF22" s="88"/>
    </row>
    <row r="23" spans="1:84" ht="11.25" customHeight="1">
      <c r="A23" s="86"/>
      <c r="B23" s="86"/>
      <c r="C23" s="86"/>
      <c r="D23" s="86"/>
      <c r="E23" s="86"/>
      <c r="F23" s="86"/>
      <c r="G23" s="86"/>
      <c r="H23" s="86"/>
      <c r="I23" s="863"/>
      <c r="J23" s="193"/>
      <c r="K23" s="67"/>
      <c r="L23" s="67"/>
      <c r="M23" s="199"/>
      <c r="N23" s="199"/>
      <c r="O23" s="199"/>
      <c r="P23" s="199"/>
      <c r="Q23" s="449"/>
      <c r="R23" s="199"/>
      <c r="S23" s="199"/>
      <c r="T23" s="620"/>
      <c r="U23" s="449"/>
      <c r="V23" s="199"/>
      <c r="W23" s="199"/>
      <c r="X23" s="620"/>
      <c r="Y23" s="199"/>
      <c r="Z23" s="199"/>
      <c r="AA23" s="199"/>
      <c r="AB23" s="199"/>
      <c r="AC23" s="449"/>
      <c r="AD23" s="199"/>
      <c r="AE23" s="199"/>
      <c r="AF23" s="620"/>
      <c r="AG23" s="199"/>
      <c r="AH23" s="199"/>
      <c r="AI23" s="199"/>
      <c r="AJ23" s="620"/>
      <c r="AK23" s="199"/>
      <c r="AL23" s="199"/>
      <c r="AM23" s="199"/>
      <c r="AN23" s="620"/>
      <c r="AO23" s="199"/>
      <c r="AP23" s="199"/>
      <c r="AQ23" s="199"/>
      <c r="AR23" s="620"/>
      <c r="AS23" s="199"/>
      <c r="AT23" s="199"/>
      <c r="AU23" s="199"/>
      <c r="AV23" s="620"/>
      <c r="AW23" s="199"/>
      <c r="AX23" s="199"/>
      <c r="AY23" s="199"/>
      <c r="AZ23" s="620"/>
      <c r="BA23" s="199"/>
      <c r="BB23" s="199"/>
      <c r="BC23" s="199"/>
      <c r="BD23" s="620"/>
      <c r="BE23" s="1122"/>
      <c r="BF23" s="67"/>
      <c r="BG23" s="67"/>
      <c r="BH23" s="67"/>
      <c r="BI23" s="67"/>
      <c r="BJ23" s="67"/>
      <c r="BK23" s="67"/>
      <c r="BL23" s="67"/>
      <c r="BM23" s="67"/>
      <c r="BN23" s="194"/>
      <c r="BO23" s="194"/>
      <c r="BP23" s="194"/>
      <c r="BQ23" s="194"/>
      <c r="BR23" s="194"/>
      <c r="BS23" s="194"/>
      <c r="BT23" s="194"/>
      <c r="BU23" s="194"/>
      <c r="BV23" s="194"/>
      <c r="BW23" s="194"/>
      <c r="BX23" s="194"/>
      <c r="BY23" s="753"/>
      <c r="BZ23" s="80"/>
      <c r="CA23" s="88"/>
      <c r="CB23" s="88"/>
      <c r="CC23" s="88"/>
      <c r="CD23" s="88"/>
      <c r="CE23" s="88"/>
      <c r="CF23" s="88"/>
    </row>
    <row r="24" spans="1:84" ht="11.25" customHeight="1">
      <c r="A24" s="36"/>
      <c r="B24" s="36"/>
      <c r="C24" s="36"/>
      <c r="D24" s="36"/>
      <c r="E24" s="36"/>
      <c r="F24" s="36"/>
      <c r="G24" s="36"/>
      <c r="H24" s="36"/>
      <c r="I24" s="493"/>
      <c r="J24" s="494"/>
      <c r="K24" s="494"/>
      <c r="L24" s="494"/>
      <c r="M24" s="494"/>
      <c r="N24" s="494"/>
      <c r="O24" s="494"/>
      <c r="P24" s="494"/>
      <c r="Q24" s="493"/>
      <c r="R24" s="494"/>
      <c r="S24" s="494"/>
      <c r="T24" s="496"/>
      <c r="U24" s="493"/>
      <c r="V24" s="494"/>
      <c r="W24" s="494"/>
      <c r="X24" s="496"/>
      <c r="Y24" s="494"/>
      <c r="Z24" s="494"/>
      <c r="AA24" s="494"/>
      <c r="AB24" s="494"/>
      <c r="AC24" s="493"/>
      <c r="AD24" s="494"/>
      <c r="AE24" s="494"/>
      <c r="AF24" s="496"/>
      <c r="AG24" s="494"/>
      <c r="AH24" s="494"/>
      <c r="AI24" s="494"/>
      <c r="AJ24" s="496"/>
      <c r="AK24" s="494"/>
      <c r="AL24" s="494"/>
      <c r="AM24" s="494"/>
      <c r="AN24" s="496"/>
      <c r="AO24" s="494"/>
      <c r="AP24" s="494"/>
      <c r="AQ24" s="494"/>
      <c r="AR24" s="496"/>
      <c r="AS24" s="494"/>
      <c r="AT24" s="494"/>
      <c r="AU24" s="494"/>
      <c r="AV24" s="496"/>
      <c r="AW24" s="494"/>
      <c r="AX24" s="494"/>
      <c r="AY24" s="494"/>
      <c r="AZ24" s="496"/>
      <c r="BA24" s="494"/>
      <c r="BB24" s="494"/>
      <c r="BC24" s="494"/>
      <c r="BD24" s="496"/>
      <c r="BE24" s="883"/>
      <c r="BF24" s="558"/>
      <c r="BG24" s="558"/>
      <c r="BH24" s="558"/>
      <c r="BI24" s="558"/>
      <c r="BJ24" s="558"/>
      <c r="BK24" s="558"/>
      <c r="BL24" s="558"/>
      <c r="BM24" s="558"/>
      <c r="BN24" s="558"/>
      <c r="BO24" s="558"/>
      <c r="BP24" s="558"/>
      <c r="BQ24" s="558"/>
      <c r="BR24" s="558"/>
      <c r="BS24" s="558"/>
      <c r="BT24" s="558"/>
      <c r="BU24" s="494"/>
      <c r="BV24" s="494"/>
      <c r="BW24" s="494"/>
      <c r="BX24" s="494"/>
      <c r="BY24" s="496"/>
      <c r="BZ24" s="36"/>
      <c r="CA24" s="36"/>
      <c r="CB24" s="36"/>
      <c r="CC24" s="36"/>
      <c r="CD24" s="36"/>
      <c r="CE24" s="36"/>
      <c r="CF24" s="36"/>
    </row>
    <row r="25" spans="1:84" s="106" customFormat="1" ht="11.25" customHeight="1">
      <c r="A25" s="54"/>
      <c r="B25" s="54"/>
      <c r="C25" s="54"/>
      <c r="D25" s="54"/>
      <c r="E25" s="54"/>
      <c r="F25" s="54"/>
      <c r="G25" s="54"/>
      <c r="H25" s="54"/>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883"/>
      <c r="BF25" s="5"/>
      <c r="BG25" s="5"/>
      <c r="BH25" s="5"/>
      <c r="BI25" s="5"/>
      <c r="BJ25" s="5"/>
      <c r="BK25" s="5"/>
      <c r="BL25" s="5"/>
      <c r="BM25" s="5"/>
      <c r="BN25" s="5"/>
      <c r="BO25" s="5"/>
      <c r="BP25" s="5"/>
      <c r="BQ25" s="5"/>
      <c r="BR25" s="5"/>
      <c r="BS25" s="5"/>
      <c r="BT25" s="5"/>
      <c r="BU25" s="5"/>
      <c r="BV25" s="5"/>
      <c r="BW25" s="5"/>
      <c r="BX25" s="5"/>
      <c r="BY25" s="5"/>
      <c r="BZ25" s="54"/>
      <c r="CA25" s="54"/>
      <c r="CB25" s="54"/>
      <c r="CC25" s="54"/>
      <c r="CD25" s="54"/>
      <c r="CE25" s="54"/>
      <c r="CF25" s="54"/>
    </row>
    <row r="26" spans="1:84" s="106" customFormat="1" ht="11.25" customHeight="1">
      <c r="A26" s="54"/>
      <c r="B26" s="54"/>
      <c r="C26" s="54"/>
      <c r="D26" s="54"/>
      <c r="E26" s="54"/>
      <c r="F26" s="54"/>
      <c r="G26" s="54"/>
      <c r="H26" s="54"/>
      <c r="I26" s="769" t="s">
        <v>61</v>
      </c>
      <c r="J26" s="324"/>
      <c r="K26" s="324"/>
      <c r="L26" s="324"/>
      <c r="M26" s="325"/>
      <c r="N26" s="325"/>
      <c r="O26" s="325"/>
      <c r="P26" s="325"/>
      <c r="Q26" s="746"/>
      <c r="R26" s="325"/>
      <c r="S26" s="325"/>
      <c r="T26" s="747"/>
      <c r="U26" s="326"/>
      <c r="V26" s="325"/>
      <c r="W26" s="325"/>
      <c r="X26" s="325"/>
      <c r="Y26" s="746"/>
      <c r="Z26" s="325"/>
      <c r="AA26" s="325"/>
      <c r="AB26" s="747"/>
      <c r="AC26" s="325"/>
      <c r="AD26" s="325"/>
      <c r="AE26" s="325"/>
      <c r="AF26" s="325"/>
      <c r="AG26" s="746"/>
      <c r="AH26" s="325"/>
      <c r="AI26" s="325"/>
      <c r="AJ26" s="747"/>
      <c r="AK26" s="746"/>
      <c r="AL26" s="325"/>
      <c r="AM26" s="325"/>
      <c r="AN26" s="747"/>
      <c r="AO26" s="746"/>
      <c r="AP26" s="325"/>
      <c r="AQ26" s="325"/>
      <c r="AR26" s="747"/>
      <c r="AS26" s="746"/>
      <c r="AT26" s="325"/>
      <c r="AU26" s="325"/>
      <c r="AV26" s="747"/>
      <c r="AW26" s="746"/>
      <c r="AX26" s="325"/>
      <c r="AY26" s="325"/>
      <c r="AZ26" s="747"/>
      <c r="BA26" s="746"/>
      <c r="BB26" s="325"/>
      <c r="BC26" s="325"/>
      <c r="BD26" s="747"/>
      <c r="BE26" s="2577"/>
      <c r="BF26" s="323"/>
      <c r="BG26" s="323"/>
      <c r="BH26" s="323"/>
      <c r="BI26" s="323"/>
      <c r="BJ26" s="323"/>
      <c r="BK26" s="323"/>
      <c r="BL26" s="323"/>
      <c r="BM26" s="323"/>
      <c r="BN26" s="323"/>
      <c r="BO26" s="323"/>
      <c r="BP26" s="323"/>
      <c r="BQ26" s="323"/>
      <c r="BR26" s="323"/>
      <c r="BS26" s="323"/>
      <c r="BT26" s="323"/>
      <c r="BU26" s="323"/>
      <c r="BV26" s="323"/>
      <c r="BW26" s="323"/>
      <c r="BX26" s="323"/>
      <c r="BY26" s="782"/>
      <c r="BZ26" s="54"/>
      <c r="CA26" s="54"/>
      <c r="CB26" s="54"/>
      <c r="CC26" s="54"/>
      <c r="CD26" s="54"/>
      <c r="CE26" s="54"/>
      <c r="CF26" s="54"/>
    </row>
    <row r="27" spans="1:84" ht="11.25" customHeight="1">
      <c r="A27" s="36"/>
      <c r="B27" s="36"/>
      <c r="C27" s="36"/>
      <c r="D27" s="36"/>
      <c r="E27" s="36"/>
      <c r="F27" s="36"/>
      <c r="G27" s="36"/>
      <c r="H27" s="36"/>
      <c r="I27" s="450"/>
      <c r="J27" s="5"/>
      <c r="K27" s="5"/>
      <c r="L27" s="5"/>
      <c r="M27" s="5"/>
      <c r="N27" s="5"/>
      <c r="O27" s="5"/>
      <c r="P27" s="5"/>
      <c r="Q27" s="450"/>
      <c r="R27" s="5"/>
      <c r="S27" s="5"/>
      <c r="T27" s="492"/>
      <c r="U27" s="5"/>
      <c r="V27" s="5"/>
      <c r="W27" s="5"/>
      <c r="X27" s="5"/>
      <c r="Y27" s="450"/>
      <c r="Z27" s="5"/>
      <c r="AA27" s="5"/>
      <c r="AB27" s="492"/>
      <c r="AC27" s="5"/>
      <c r="AD27" s="5"/>
      <c r="AE27" s="5"/>
      <c r="AF27" s="5"/>
      <c r="AG27" s="450"/>
      <c r="AH27" s="5"/>
      <c r="AI27" s="5"/>
      <c r="AJ27" s="492"/>
      <c r="AK27" s="450"/>
      <c r="AL27" s="5"/>
      <c r="AM27" s="5"/>
      <c r="AN27" s="5"/>
      <c r="AO27" s="450"/>
      <c r="AP27" s="5"/>
      <c r="AQ27" s="5"/>
      <c r="AR27" s="492"/>
      <c r="AS27" s="5"/>
      <c r="AT27" s="5"/>
      <c r="AU27" s="5"/>
      <c r="AV27" s="492"/>
      <c r="AW27" s="450"/>
      <c r="AX27" s="5"/>
      <c r="AY27" s="5"/>
      <c r="AZ27" s="492"/>
      <c r="BA27" s="450"/>
      <c r="BB27" s="5"/>
      <c r="BC27" s="5"/>
      <c r="BD27" s="492"/>
      <c r="BE27" s="2577"/>
      <c r="BF27" s="5"/>
      <c r="BG27" s="5"/>
      <c r="BH27" s="5"/>
      <c r="BI27" s="5"/>
      <c r="BJ27" s="5"/>
      <c r="BK27" s="5"/>
      <c r="BL27" s="5"/>
      <c r="BM27" s="498"/>
      <c r="BN27" s="498"/>
      <c r="BO27" s="498"/>
      <c r="BP27" s="498"/>
      <c r="BQ27" s="498"/>
      <c r="BR27" s="498"/>
      <c r="BS27" s="498"/>
      <c r="BT27" s="498"/>
      <c r="BU27" s="498"/>
      <c r="BV27" s="498"/>
      <c r="BW27" s="498"/>
      <c r="BX27" s="498"/>
      <c r="BY27" s="954"/>
      <c r="BZ27" s="36"/>
      <c r="CA27" s="36"/>
      <c r="CB27" s="36"/>
      <c r="CC27" s="36"/>
      <c r="CD27" s="36"/>
      <c r="CE27" s="36"/>
      <c r="CF27" s="36"/>
    </row>
    <row r="28" spans="1:84" s="83" customFormat="1" ht="11.25" customHeight="1">
      <c r="A28" s="328"/>
      <c r="B28" s="328"/>
      <c r="C28" s="328"/>
      <c r="D28" s="328"/>
      <c r="E28" s="328"/>
      <c r="F28" s="328"/>
      <c r="G28" s="328"/>
      <c r="H28" s="328"/>
      <c r="I28" s="772" t="s">
        <v>54</v>
      </c>
      <c r="J28" s="277"/>
      <c r="K28" s="277"/>
      <c r="L28" s="277"/>
      <c r="M28" s="386">
        <f>M220</f>
        <v>0.56699999999999995</v>
      </c>
      <c r="N28" s="386">
        <f t="shared" ref="N28:V28" si="25">N220</f>
        <v>0.71299999999999997</v>
      </c>
      <c r="O28" s="386">
        <f t="shared" si="25"/>
        <v>0.87</v>
      </c>
      <c r="P28" s="386">
        <f t="shared" si="25"/>
        <v>0.96099999999999997</v>
      </c>
      <c r="Q28" s="870">
        <f t="shared" si="25"/>
        <v>1.2670000000000001</v>
      </c>
      <c r="R28" s="386">
        <f t="shared" si="25"/>
        <v>1.274</v>
      </c>
      <c r="S28" s="386">
        <f t="shared" si="25"/>
        <v>1.524</v>
      </c>
      <c r="T28" s="881">
        <f t="shared" si="25"/>
        <v>1.8160000000000001</v>
      </c>
      <c r="U28" s="386">
        <f t="shared" si="25"/>
        <v>2.1029999999999998</v>
      </c>
      <c r="V28" s="386">
        <f t="shared" si="25"/>
        <v>2.2629999999999999</v>
      </c>
      <c r="W28" s="386">
        <f t="shared" ref="W28:AD28" si="26">W220</f>
        <v>2.4739999999999998</v>
      </c>
      <c r="X28" s="386">
        <f t="shared" si="26"/>
        <v>2.9650000000000003</v>
      </c>
      <c r="Y28" s="870">
        <f t="shared" si="26"/>
        <v>3.2679999999999998</v>
      </c>
      <c r="Z28" s="386">
        <f t="shared" si="26"/>
        <v>3.9129999999999998</v>
      </c>
      <c r="AA28" s="386">
        <f t="shared" si="26"/>
        <v>4.173</v>
      </c>
      <c r="AB28" s="881">
        <f t="shared" si="26"/>
        <v>4.7860000000000005</v>
      </c>
      <c r="AC28" s="386">
        <f t="shared" si="26"/>
        <v>4.9269999999999996</v>
      </c>
      <c r="AD28" s="386">
        <f t="shared" si="26"/>
        <v>5.726</v>
      </c>
      <c r="AE28" s="386">
        <f t="shared" ref="AE28:AJ28" si="27">AE220</f>
        <v>5.9210000000000003</v>
      </c>
      <c r="AF28" s="386">
        <f t="shared" si="27"/>
        <v>7.0789999999999997</v>
      </c>
      <c r="AG28" s="870">
        <f t="shared" si="27"/>
        <v>8.5749999999999993</v>
      </c>
      <c r="AH28" s="386">
        <f t="shared" si="27"/>
        <v>12.835000000000001</v>
      </c>
      <c r="AI28" s="386">
        <f t="shared" si="27"/>
        <v>13.824</v>
      </c>
      <c r="AJ28" s="881">
        <f t="shared" si="27"/>
        <v>14.664</v>
      </c>
      <c r="AK28" s="1936">
        <f t="shared" ref="AK28:AP28" si="28">AK220</f>
        <v>14.677</v>
      </c>
      <c r="AL28" s="1251">
        <f t="shared" si="28"/>
        <v>14.68</v>
      </c>
      <c r="AM28" s="1251">
        <f t="shared" si="28"/>
        <v>13.83</v>
      </c>
      <c r="AN28" s="1258">
        <f t="shared" si="28"/>
        <v>14.729999999999999</v>
      </c>
      <c r="AO28" s="1251">
        <f t="shared" si="28"/>
        <v>15.933000000000002</v>
      </c>
      <c r="AP28" s="1251">
        <f t="shared" si="28"/>
        <v>17.099</v>
      </c>
      <c r="AQ28" s="1251">
        <f t="shared" ref="AQ28:AR28" si="29">AQ220</f>
        <v>18.319000000000003</v>
      </c>
      <c r="AR28" s="1258">
        <f t="shared" si="29"/>
        <v>15.157</v>
      </c>
      <c r="AS28" s="388">
        <f t="shared" ref="AS28:BD28" si="30">AS$10*(1-AS36)</f>
        <v>17.197367043882355</v>
      </c>
      <c r="AT28" s="388">
        <f t="shared" si="30"/>
        <v>18.018347257545578</v>
      </c>
      <c r="AU28" s="388">
        <f t="shared" si="30"/>
        <v>19.189499055670481</v>
      </c>
      <c r="AV28" s="871">
        <f t="shared" si="30"/>
        <v>17.236910471669582</v>
      </c>
      <c r="AW28" s="885">
        <f t="shared" si="30"/>
        <v>19.860544118019682</v>
      </c>
      <c r="AX28" s="388">
        <f t="shared" si="30"/>
        <v>20.559867358664007</v>
      </c>
      <c r="AY28" s="388">
        <f t="shared" si="30"/>
        <v>21.618127133735054</v>
      </c>
      <c r="AZ28" s="871">
        <f t="shared" si="30"/>
        <v>19.102729158839104</v>
      </c>
      <c r="BA28" s="885">
        <f t="shared" si="30"/>
        <v>22.005741437136052</v>
      </c>
      <c r="BB28" s="388">
        <f t="shared" si="30"/>
        <v>22.706614118277919</v>
      </c>
      <c r="BC28" s="388">
        <f t="shared" si="30"/>
        <v>23.686099577300126</v>
      </c>
      <c r="BD28" s="871">
        <f t="shared" si="30"/>
        <v>20.733119030818433</v>
      </c>
      <c r="BE28" s="2580"/>
      <c r="BF28" s="386"/>
      <c r="BG28" s="386">
        <f>BG220</f>
        <v>0.23200000000000001</v>
      </c>
      <c r="BH28" s="386">
        <f>BH220</f>
        <v>0.60799999999999998</v>
      </c>
      <c r="BI28" s="386">
        <f>BI220</f>
        <v>1.121</v>
      </c>
      <c r="BJ28" s="386">
        <f>SUM(M28:P28)</f>
        <v>3.1109999999999998</v>
      </c>
      <c r="BK28" s="386">
        <f>SUM(Q28:T28)</f>
        <v>5.8810000000000002</v>
      </c>
      <c r="BL28" s="386">
        <f>SUM(U28:X28)</f>
        <v>9.8049999999999997</v>
      </c>
      <c r="BM28" s="386">
        <f>SUM(Y28:AB28)</f>
        <v>16.14</v>
      </c>
      <c r="BN28" s="386">
        <f>SUM(AC28:AF28)</f>
        <v>23.652999999999999</v>
      </c>
      <c r="BO28" s="386">
        <f>SUM(AG28:AJ28)</f>
        <v>49.898000000000003</v>
      </c>
      <c r="BP28" s="386">
        <f>SUM(AK28:AN28)</f>
        <v>57.916999999999994</v>
      </c>
      <c r="BQ28" s="386">
        <f>SUM(AO28:AR28)</f>
        <v>66.50800000000001</v>
      </c>
      <c r="BR28" s="386">
        <f>SUM(AS28:AV28)</f>
        <v>71.642123828768007</v>
      </c>
      <c r="BS28" s="386">
        <f>SUM(AW28:AZ28)</f>
        <v>81.141267769257837</v>
      </c>
      <c r="BT28" s="386">
        <f>SUM(BA28:BD28)</f>
        <v>89.131574163532534</v>
      </c>
      <c r="BU28" s="388">
        <f>BU$10*(1-BU36)</f>
        <v>96.229168692244798</v>
      </c>
      <c r="BV28" s="388">
        <f>BV$10*(1-BV36)</f>
        <v>102.56664619534172</v>
      </c>
      <c r="BW28" s="388">
        <f>BW$10*(1-BW36)</f>
        <v>108.09730099761828</v>
      </c>
      <c r="BX28" s="388">
        <f>BX$10*(1-BX36)</f>
        <v>114.6447330990745</v>
      </c>
      <c r="BY28" s="871">
        <f>BY$10*(1-BY36)</f>
        <v>120.74604817491546</v>
      </c>
      <c r="BZ28" s="320"/>
      <c r="CA28" s="329">
        <f t="shared" ref="CA28:CF28" si="31">IF(ISERROR(RATE(3,,-BK28,BN28)),"NM",(RATE(3,,-BK28,BN28)))</f>
        <v>0.59029740689628674</v>
      </c>
      <c r="CB28" s="329">
        <f t="shared" si="31"/>
        <v>0.72006627268725998</v>
      </c>
      <c r="CC28" s="329">
        <f t="shared" si="31"/>
        <v>0.53097292107884875</v>
      </c>
      <c r="CD28" s="329">
        <f t="shared" si="31"/>
        <v>0.41144042572634182</v>
      </c>
      <c r="CE28" s="329">
        <f t="shared" si="31"/>
        <v>0.12813681273147751</v>
      </c>
      <c r="CF28" s="329">
        <f t="shared" si="31"/>
        <v>0.11895316821083288</v>
      </c>
    </row>
    <row r="29" spans="1:84" s="404" customFormat="1" ht="11.25" customHeight="1">
      <c r="A29" s="2096"/>
      <c r="B29" s="2096"/>
      <c r="C29" s="2096"/>
      <c r="D29" s="2096"/>
      <c r="E29" s="2096"/>
      <c r="F29" s="2096"/>
      <c r="G29" s="2096"/>
      <c r="H29" s="2096"/>
      <c r="I29" s="2097" t="s">
        <v>550</v>
      </c>
      <c r="J29" s="425"/>
      <c r="K29" s="425"/>
      <c r="L29" s="425"/>
      <c r="M29" s="264">
        <f t="shared" ref="M29:AJ29" si="32">+M28/M10</f>
        <v>6.2062171628721539E-2</v>
      </c>
      <c r="N29" s="264">
        <f t="shared" si="32"/>
        <v>6.6467791554022562E-2</v>
      </c>
      <c r="O29" s="264">
        <f t="shared" si="32"/>
        <v>6.9080514530728915E-2</v>
      </c>
      <c r="P29" s="264">
        <f t="shared" si="32"/>
        <v>6.2917375932957958E-2</v>
      </c>
      <c r="Q29" s="1373">
        <f t="shared" si="32"/>
        <v>7.6787878787878794E-2</v>
      </c>
      <c r="R29" s="264">
        <f t="shared" si="32"/>
        <v>6.5073041168658696E-2</v>
      </c>
      <c r="S29" s="264">
        <f t="shared" si="32"/>
        <v>6.8334678504170035E-2</v>
      </c>
      <c r="T29" s="1242">
        <f t="shared" si="32"/>
        <v>7.291708492270628E-2</v>
      </c>
      <c r="U29" s="264">
        <f t="shared" si="32"/>
        <v>7.6793865254701471E-2</v>
      </c>
      <c r="V29" s="264">
        <f t="shared" si="32"/>
        <v>6.9304504945946768E-2</v>
      </c>
      <c r="W29" s="264">
        <f t="shared" si="32"/>
        <v>6.8021225701795376E-2</v>
      </c>
      <c r="X29" s="264">
        <f t="shared" si="32"/>
        <v>7.204120805695266E-2</v>
      </c>
      <c r="Y29" s="1373">
        <f t="shared" si="32"/>
        <v>7.0838662129061619E-2</v>
      </c>
      <c r="Z29" s="264">
        <f t="shared" si="32"/>
        <v>7.1115715246351519E-2</v>
      </c>
      <c r="AA29" s="264">
        <f t="shared" si="32"/>
        <v>6.8207450025334668E-2</v>
      </c>
      <c r="AB29" s="1242">
        <f t="shared" si="32"/>
        <v>6.7741433242275426E-2</v>
      </c>
      <c r="AC29" s="264">
        <f t="shared" si="32"/>
        <v>6.4483620610677028E-2</v>
      </c>
      <c r="AD29" s="264">
        <f t="shared" si="32"/>
        <v>6.4491423293950689E-2</v>
      </c>
      <c r="AE29" s="264">
        <f t="shared" si="32"/>
        <v>5.7791225416036311E-2</v>
      </c>
      <c r="AF29" s="264">
        <f t="shared" si="32"/>
        <v>6.4420723106463906E-2</v>
      </c>
      <c r="AG29" s="1373">
        <f t="shared" si="32"/>
        <v>7.6699463327370293E-2</v>
      </c>
      <c r="AH29" s="264">
        <f t="shared" si="32"/>
        <v>0.10218949044585988</v>
      </c>
      <c r="AI29" s="264">
        <f t="shared" si="32"/>
        <v>0.10270430906389302</v>
      </c>
      <c r="AJ29" s="1242">
        <f t="shared" si="32"/>
        <v>9.9959100204498982E-2</v>
      </c>
      <c r="AK29" s="1373">
        <f t="shared" ref="AK29:AM29" si="33">+AK28/AK10</f>
        <v>9.2533398901729361E-2</v>
      </c>
      <c r="AL29" s="264">
        <f t="shared" si="33"/>
        <v>8.4646077911294595E-2</v>
      </c>
      <c r="AM29" s="264">
        <f t="shared" si="33"/>
        <v>7.4262210576055671E-2</v>
      </c>
      <c r="AN29" s="1242">
        <f>+AN28/AN10</f>
        <v>7.5617569149263847E-2</v>
      </c>
      <c r="AO29" s="264">
        <f>+AO28/AO10</f>
        <v>8.0745782296032395E-2</v>
      </c>
      <c r="AP29" s="264">
        <f>+AP28/AP10</f>
        <v>8.1866669220162405E-2</v>
      </c>
      <c r="AQ29" s="264">
        <f>+AQ28/AQ10</f>
        <v>8.2377012321251927E-2</v>
      </c>
      <c r="AR29" s="1242">
        <f>+AR28/AR10</f>
        <v>6.9449153707284439E-2</v>
      </c>
      <c r="AS29" s="264">
        <f t="shared" ref="AS29:BD29" si="34">+AS28/AS10</f>
        <v>7.7745782296032351E-2</v>
      </c>
      <c r="AT29" s="264">
        <f t="shared" si="34"/>
        <v>7.7866669220162388E-2</v>
      </c>
      <c r="AU29" s="264">
        <f t="shared" si="34"/>
        <v>7.7377012321251937E-2</v>
      </c>
      <c r="AV29" s="1242">
        <f t="shared" si="34"/>
        <v>6.6449153707284436E-2</v>
      </c>
      <c r="AW29" s="1373">
        <f t="shared" si="34"/>
        <v>7.5745782296032349E-2</v>
      </c>
      <c r="AX29" s="264">
        <f t="shared" si="34"/>
        <v>7.5866669220162386E-2</v>
      </c>
      <c r="AY29" s="264">
        <f t="shared" si="34"/>
        <v>7.5377012321251935E-2</v>
      </c>
      <c r="AZ29" s="1242">
        <f t="shared" si="34"/>
        <v>6.4449153707284434E-2</v>
      </c>
      <c r="BA29" s="1373">
        <f t="shared" si="34"/>
        <v>7.3745782296032347E-2</v>
      </c>
      <c r="BB29" s="264">
        <f t="shared" si="34"/>
        <v>7.3866669220162384E-2</v>
      </c>
      <c r="BC29" s="264">
        <f t="shared" si="34"/>
        <v>7.3377012321251933E-2</v>
      </c>
      <c r="BD29" s="1242">
        <f t="shared" si="34"/>
        <v>6.2449153707284433E-2</v>
      </c>
      <c r="BE29" s="2581"/>
      <c r="BF29" s="264"/>
      <c r="BG29" s="264">
        <f t="shared" ref="BG29:BY29" si="35">+BG28/BG10</f>
        <v>6.1949265687583445E-2</v>
      </c>
      <c r="BH29" s="264">
        <f t="shared" si="35"/>
        <v>5.0086498064090941E-2</v>
      </c>
      <c r="BI29" s="264">
        <f t="shared" si="35"/>
        <v>4.3436143831370115E-2</v>
      </c>
      <c r="BJ29" s="264">
        <f t="shared" si="35"/>
        <v>6.5177767069619322E-2</v>
      </c>
      <c r="BK29" s="264">
        <f t="shared" si="35"/>
        <v>7.0612955514198245E-2</v>
      </c>
      <c r="BL29" s="264">
        <f t="shared" si="35"/>
        <v>7.1274878967186664E-2</v>
      </c>
      <c r="BM29" s="264">
        <f t="shared" si="35"/>
        <v>6.9273954023383183E-2</v>
      </c>
      <c r="BN29" s="264">
        <f t="shared" si="35"/>
        <v>6.2650978979488042E-2</v>
      </c>
      <c r="BO29" s="264">
        <f t="shared" si="35"/>
        <v>9.6198187777135138E-2</v>
      </c>
      <c r="BP29" s="264">
        <f t="shared" si="35"/>
        <v>8.1222153816811554E-2</v>
      </c>
      <c r="BQ29" s="264">
        <f t="shared" si="35"/>
        <v>7.8539181613886427E-2</v>
      </c>
      <c r="BR29" s="264">
        <f>+BR28/BR10</f>
        <v>7.4627212321633343E-2</v>
      </c>
      <c r="BS29" s="264">
        <f t="shared" si="35"/>
        <v>7.268117858228039E-2</v>
      </c>
      <c r="BT29" s="264">
        <f t="shared" si="35"/>
        <v>7.0705675205086901E-2</v>
      </c>
      <c r="BU29" s="264">
        <f t="shared" si="35"/>
        <v>6.8705675205086969E-2</v>
      </c>
      <c r="BV29" s="264">
        <f t="shared" si="35"/>
        <v>6.6705675205086967E-2</v>
      </c>
      <c r="BW29" s="264">
        <f t="shared" si="35"/>
        <v>6.4705675205086965E-2</v>
      </c>
      <c r="BX29" s="264">
        <f t="shared" si="35"/>
        <v>6.3705675205086965E-2</v>
      </c>
      <c r="BY29" s="1242">
        <f t="shared" si="35"/>
        <v>6.2705675205086964E-2</v>
      </c>
      <c r="CA29" s="264"/>
      <c r="CB29" s="264"/>
      <c r="CC29" s="264"/>
      <c r="CD29" s="264"/>
      <c r="CE29" s="264"/>
      <c r="CF29" s="264"/>
    </row>
    <row r="30" spans="1:84" s="83" customFormat="1" ht="11.25" customHeight="1">
      <c r="A30" s="328"/>
      <c r="B30" s="328"/>
      <c r="C30" s="328"/>
      <c r="D30" s="328"/>
      <c r="E30" s="328"/>
      <c r="F30" s="328"/>
      <c r="G30" s="328"/>
      <c r="H30" s="328"/>
      <c r="I30" s="1520" t="s">
        <v>549</v>
      </c>
      <c r="J30" s="228"/>
      <c r="K30" s="228"/>
      <c r="L30" s="228"/>
      <c r="M30" s="2098"/>
      <c r="N30" s="2098"/>
      <c r="O30" s="2098"/>
      <c r="P30" s="2098"/>
      <c r="Q30" s="2099">
        <f t="shared" ref="Q30:AR30" si="36">+(Q29-M29)*10000</f>
        <v>147.25707159157255</v>
      </c>
      <c r="R30" s="2098">
        <f t="shared" si="36"/>
        <v>-13.94750385363866</v>
      </c>
      <c r="S30" s="2098">
        <f t="shared" si="36"/>
        <v>-7.4583602655887979</v>
      </c>
      <c r="T30" s="2100">
        <f t="shared" si="36"/>
        <v>99.997089897483207</v>
      </c>
      <c r="U30" s="2098">
        <f t="shared" si="36"/>
        <v>5.9864668226772277E-2</v>
      </c>
      <c r="V30" s="2098">
        <f t="shared" si="36"/>
        <v>42.314637772880722</v>
      </c>
      <c r="W30" s="2098">
        <f t="shared" si="36"/>
        <v>-3.1345280237465856</v>
      </c>
      <c r="X30" s="2098">
        <f t="shared" si="36"/>
        <v>-8.7587686575361925</v>
      </c>
      <c r="Y30" s="2099">
        <f t="shared" si="36"/>
        <v>-59.552031256398521</v>
      </c>
      <c r="Z30" s="2098">
        <f t="shared" si="36"/>
        <v>18.112103004047501</v>
      </c>
      <c r="AA30" s="2098">
        <f t="shared" si="36"/>
        <v>1.862243235392913</v>
      </c>
      <c r="AB30" s="2100">
        <f t="shared" si="36"/>
        <v>-42.997748146772345</v>
      </c>
      <c r="AC30" s="2098">
        <f t="shared" si="36"/>
        <v>-63.550415183845907</v>
      </c>
      <c r="AD30" s="2098">
        <f t="shared" si="36"/>
        <v>-66.242919524008286</v>
      </c>
      <c r="AE30" s="2098">
        <f t="shared" si="36"/>
        <v>-104.16224609298357</v>
      </c>
      <c r="AF30" s="2098">
        <f t="shared" si="36"/>
        <v>-33.207101358115196</v>
      </c>
      <c r="AG30" s="2099">
        <f t="shared" si="36"/>
        <v>122.15842716693265</v>
      </c>
      <c r="AH30" s="2098">
        <f t="shared" si="36"/>
        <v>376.98067151909197</v>
      </c>
      <c r="AI30" s="2098">
        <f t="shared" si="36"/>
        <v>449.13083647856712</v>
      </c>
      <c r="AJ30" s="2100">
        <f t="shared" si="36"/>
        <v>355.38377098035073</v>
      </c>
      <c r="AK30" s="2099">
        <f t="shared" si="36"/>
        <v>158.33935574359069</v>
      </c>
      <c r="AL30" s="2098">
        <f t="shared" si="36"/>
        <v>-175.43412534565289</v>
      </c>
      <c r="AM30" s="2098">
        <f t="shared" si="36"/>
        <v>-284.42098487837353</v>
      </c>
      <c r="AN30" s="2100">
        <f t="shared" si="36"/>
        <v>-243.41531055235134</v>
      </c>
      <c r="AO30" s="2098">
        <f t="shared" si="36"/>
        <v>-117.87616605696965</v>
      </c>
      <c r="AP30" s="2098">
        <f t="shared" si="36"/>
        <v>-27.794086911321902</v>
      </c>
      <c r="AQ30" s="2098">
        <f t="shared" si="36"/>
        <v>81.148017451962573</v>
      </c>
      <c r="AR30" s="2100">
        <f t="shared" si="36"/>
        <v>-61.684154419794076</v>
      </c>
      <c r="AS30" s="2098">
        <f t="shared" ref="AS30:BD30" si="37">+(AS29-AO29)*10000</f>
        <v>-30.000000000000444</v>
      </c>
      <c r="AT30" s="2098">
        <f t="shared" si="37"/>
        <v>-40.000000000000178</v>
      </c>
      <c r="AU30" s="2098">
        <f t="shared" si="37"/>
        <v>-49.999999999999908</v>
      </c>
      <c r="AV30" s="2100">
        <f t="shared" si="37"/>
        <v>-30.000000000000028</v>
      </c>
      <c r="AW30" s="2099">
        <f t="shared" si="37"/>
        <v>-20.000000000000018</v>
      </c>
      <c r="AX30" s="2098">
        <f t="shared" si="37"/>
        <v>-20.000000000000018</v>
      </c>
      <c r="AY30" s="2098">
        <f t="shared" si="37"/>
        <v>-20.000000000000018</v>
      </c>
      <c r="AZ30" s="2100">
        <f t="shared" si="37"/>
        <v>-20.000000000000018</v>
      </c>
      <c r="BA30" s="2099">
        <f t="shared" si="37"/>
        <v>-20.000000000000018</v>
      </c>
      <c r="BB30" s="2098">
        <f t="shared" si="37"/>
        <v>-20.000000000000018</v>
      </c>
      <c r="BC30" s="2098">
        <f t="shared" si="37"/>
        <v>-20.000000000000018</v>
      </c>
      <c r="BD30" s="2100">
        <f t="shared" si="37"/>
        <v>-20.000000000000018</v>
      </c>
      <c r="BE30" s="2580"/>
      <c r="BF30" s="901"/>
      <c r="BG30" s="901"/>
      <c r="BH30" s="2098">
        <f t="shared" ref="BH30:BY30" si="38">+(BH29-BG29)*10000</f>
        <v>-118.62767623492503</v>
      </c>
      <c r="BI30" s="2098">
        <f t="shared" si="38"/>
        <v>-66.503542327208265</v>
      </c>
      <c r="BJ30" s="2098">
        <f t="shared" si="38"/>
        <v>217.41623238249207</v>
      </c>
      <c r="BK30" s="2098">
        <f t="shared" si="38"/>
        <v>54.351884445789231</v>
      </c>
      <c r="BL30" s="2098">
        <f t="shared" si="38"/>
        <v>6.6192345298841939</v>
      </c>
      <c r="BM30" s="2098">
        <f t="shared" si="38"/>
        <v>-20.009249438034811</v>
      </c>
      <c r="BN30" s="2098">
        <f t="shared" si="38"/>
        <v>-66.229750438951413</v>
      </c>
      <c r="BO30" s="2098">
        <f t="shared" si="38"/>
        <v>335.47208797647096</v>
      </c>
      <c r="BP30" s="2098">
        <f t="shared" si="38"/>
        <v>-149.76033960323585</v>
      </c>
      <c r="BQ30" s="2098">
        <f t="shared" si="38"/>
        <v>-26.829722029251268</v>
      </c>
      <c r="BR30" s="2098">
        <f t="shared" si="38"/>
        <v>-39.119692922530838</v>
      </c>
      <c r="BS30" s="2098">
        <f t="shared" si="38"/>
        <v>-19.460337393529535</v>
      </c>
      <c r="BT30" s="2098">
        <f t="shared" si="38"/>
        <v>-19.755033771934883</v>
      </c>
      <c r="BU30" s="2098">
        <f t="shared" si="38"/>
        <v>-19.999999999999325</v>
      </c>
      <c r="BV30" s="2098">
        <f t="shared" si="38"/>
        <v>-20.000000000000018</v>
      </c>
      <c r="BW30" s="2098">
        <f t="shared" si="38"/>
        <v>-20.000000000000018</v>
      </c>
      <c r="BX30" s="2098">
        <f t="shared" si="38"/>
        <v>-10.000000000000009</v>
      </c>
      <c r="BY30" s="2100">
        <f t="shared" si="38"/>
        <v>-10.000000000000009</v>
      </c>
      <c r="BZ30" s="320"/>
      <c r="CA30" s="329"/>
      <c r="CB30" s="329"/>
      <c r="CC30" s="329"/>
      <c r="CD30" s="329"/>
      <c r="CE30" s="329"/>
      <c r="CF30" s="329"/>
    </row>
    <row r="31" spans="1:84" ht="11.25" customHeight="1">
      <c r="A31" s="36"/>
      <c r="B31" s="36"/>
      <c r="C31" s="36"/>
      <c r="D31" s="36"/>
      <c r="E31" s="36"/>
      <c r="F31" s="36"/>
      <c r="G31" s="36"/>
      <c r="H31" s="36"/>
      <c r="I31" s="796" t="s">
        <v>132</v>
      </c>
      <c r="J31" s="54"/>
      <c r="K31" s="54"/>
      <c r="L31" s="54"/>
      <c r="M31" s="198" t="str">
        <f t="shared" ref="M31:R31" si="39">IF(ISERROR(M28/I28-1),"NA",(IF(M28&lt;=0,"NM",M28/I28-1)))</f>
        <v>NA</v>
      </c>
      <c r="N31" s="198" t="str">
        <f t="shared" si="39"/>
        <v>NA</v>
      </c>
      <c r="O31" s="198" t="str">
        <f t="shared" si="39"/>
        <v>NA</v>
      </c>
      <c r="P31" s="198" t="str">
        <f t="shared" si="39"/>
        <v>NA</v>
      </c>
      <c r="Q31" s="751">
        <f t="shared" si="39"/>
        <v>1.2345679012345685</v>
      </c>
      <c r="R31" s="198">
        <f t="shared" si="39"/>
        <v>0.78681626928471249</v>
      </c>
      <c r="S31" s="198">
        <f t="shared" ref="S31:AR31" si="40">IF(ISERROR(S28/O28-1),"NA",(IF(S28&lt;=0,"NM",S28/O28-1)))</f>
        <v>0.75172413793103443</v>
      </c>
      <c r="T31" s="752">
        <f t="shared" si="40"/>
        <v>0.88969823100936529</v>
      </c>
      <c r="U31" s="198">
        <f t="shared" si="40"/>
        <v>0.65982636148381979</v>
      </c>
      <c r="V31" s="198">
        <f t="shared" si="40"/>
        <v>0.77629513343799039</v>
      </c>
      <c r="W31" s="198">
        <f t="shared" si="40"/>
        <v>0.62335958005249315</v>
      </c>
      <c r="X31" s="198">
        <f t="shared" si="40"/>
        <v>0.6327092511013217</v>
      </c>
      <c r="Y31" s="751">
        <f t="shared" si="40"/>
        <v>0.55397051830718036</v>
      </c>
      <c r="Z31" s="198">
        <f t="shared" si="40"/>
        <v>0.72912063632346436</v>
      </c>
      <c r="AA31" s="198">
        <f t="shared" si="40"/>
        <v>0.68674211802748597</v>
      </c>
      <c r="AB31" s="752">
        <f t="shared" si="40"/>
        <v>0.61416526138279925</v>
      </c>
      <c r="AC31" s="198">
        <f t="shared" si="40"/>
        <v>0.50764993880048959</v>
      </c>
      <c r="AD31" s="198">
        <f t="shared" si="40"/>
        <v>0.46332737030411453</v>
      </c>
      <c r="AE31" s="198">
        <f t="shared" si="40"/>
        <v>0.41888329738797037</v>
      </c>
      <c r="AF31" s="198">
        <f t="shared" si="40"/>
        <v>0.4791057250313413</v>
      </c>
      <c r="AG31" s="751">
        <f t="shared" si="40"/>
        <v>0.74040998579257145</v>
      </c>
      <c r="AH31" s="198">
        <f t="shared" si="40"/>
        <v>1.2415298637792529</v>
      </c>
      <c r="AI31" s="198">
        <f t="shared" si="40"/>
        <v>1.3347407532511397</v>
      </c>
      <c r="AJ31" s="752">
        <f t="shared" si="40"/>
        <v>1.0714790224607995</v>
      </c>
      <c r="AK31" s="1373">
        <f t="shared" si="40"/>
        <v>0.71160349854227412</v>
      </c>
      <c r="AL31" s="264">
        <f t="shared" si="40"/>
        <v>0.14374756525126586</v>
      </c>
      <c r="AM31" s="264">
        <f t="shared" si="40"/>
        <v>4.3402777777790114E-4</v>
      </c>
      <c r="AN31" s="1242">
        <f t="shared" si="40"/>
        <v>4.5008183306054494E-3</v>
      </c>
      <c r="AO31" s="264">
        <f t="shared" si="40"/>
        <v>8.5576071404237952E-2</v>
      </c>
      <c r="AP31" s="264">
        <f t="shared" si="40"/>
        <v>0.16478201634877387</v>
      </c>
      <c r="AQ31" s="264">
        <f t="shared" si="40"/>
        <v>0.32458423716558227</v>
      </c>
      <c r="AR31" s="1242">
        <f t="shared" si="40"/>
        <v>2.898845892735924E-2</v>
      </c>
      <c r="AS31" s="198">
        <f t="shared" ref="AS31:AV31" si="41">IF(ISERROR(AS28/AO28-1),"NA",(IF(AS28&lt;=0,"NM",AS28/AO28-1)))</f>
        <v>7.9355240311451247E-2</v>
      </c>
      <c r="AT31" s="198">
        <f t="shared" si="41"/>
        <v>5.376614173610017E-2</v>
      </c>
      <c r="AU31" s="198">
        <f t="shared" si="41"/>
        <v>4.7518917826872453E-2</v>
      </c>
      <c r="AV31" s="752">
        <f t="shared" si="41"/>
        <v>0.13722441589163958</v>
      </c>
      <c r="AW31" s="751">
        <f t="shared" ref="AW31:BD31" si="42">IF(ISERROR(AW28/AS28-1),"NA",(IF(AW28&lt;=0,"NM",AW28/AS28-1)))</f>
        <v>0.15485958212915518</v>
      </c>
      <c r="AX31" s="198">
        <f t="shared" si="42"/>
        <v>0.14105178820183473</v>
      </c>
      <c r="AY31" s="198">
        <f t="shared" si="42"/>
        <v>0.12656026460195258</v>
      </c>
      <c r="AZ31" s="752">
        <f t="shared" si="42"/>
        <v>0.10824554030353428</v>
      </c>
      <c r="BA31" s="751">
        <f t="shared" si="42"/>
        <v>0.10801301849378886</v>
      </c>
      <c r="BB31" s="198">
        <f t="shared" si="42"/>
        <v>0.10441442652154387</v>
      </c>
      <c r="BC31" s="198">
        <f t="shared" si="42"/>
        <v>9.5659185958713477E-2</v>
      </c>
      <c r="BD31" s="752">
        <f t="shared" si="42"/>
        <v>8.5348531009503681E-2</v>
      </c>
      <c r="BE31" s="2576"/>
      <c r="BF31" s="384"/>
      <c r="BG31" s="198" t="str">
        <f t="shared" ref="BG31:BY31" si="43">IF(ISERROR(+BG28/BF28-1),"NA",(IF(BG28&lt;=0,"NM",BG28/BF28-1)))</f>
        <v>NA</v>
      </c>
      <c r="BH31" s="198">
        <f t="shared" si="43"/>
        <v>1.6206896551724137</v>
      </c>
      <c r="BI31" s="198">
        <f t="shared" si="43"/>
        <v>0.84375</v>
      </c>
      <c r="BJ31" s="198">
        <f t="shared" si="43"/>
        <v>1.7752007136485277</v>
      </c>
      <c r="BK31" s="198">
        <f t="shared" si="43"/>
        <v>0.8903889424622311</v>
      </c>
      <c r="BL31" s="198">
        <f t="shared" si="43"/>
        <v>0.66723346369665015</v>
      </c>
      <c r="BM31" s="198">
        <f t="shared" si="43"/>
        <v>0.6460989291177972</v>
      </c>
      <c r="BN31" s="198">
        <f t="shared" si="43"/>
        <v>0.46548946716232953</v>
      </c>
      <c r="BO31" s="198">
        <f t="shared" si="43"/>
        <v>1.1095844078975183</v>
      </c>
      <c r="BP31" s="198">
        <f t="shared" si="43"/>
        <v>0.16070784400176352</v>
      </c>
      <c r="BQ31" s="198">
        <f t="shared" si="43"/>
        <v>0.1483329592347673</v>
      </c>
      <c r="BR31" s="198">
        <f t="shared" si="43"/>
        <v>7.7195582918866856E-2</v>
      </c>
      <c r="BS31" s="198">
        <f t="shared" si="43"/>
        <v>0.13259160160011096</v>
      </c>
      <c r="BT31" s="198">
        <f t="shared" si="43"/>
        <v>9.8474014689994727E-2</v>
      </c>
      <c r="BU31" s="198">
        <f t="shared" si="43"/>
        <v>7.9630530430104152E-2</v>
      </c>
      <c r="BV31" s="198">
        <f t="shared" si="43"/>
        <v>6.5858175740508784E-2</v>
      </c>
      <c r="BW31" s="198">
        <f t="shared" si="43"/>
        <v>5.3922547021214129E-2</v>
      </c>
      <c r="BX31" s="198">
        <f t="shared" si="43"/>
        <v>6.0569801845473226E-2</v>
      </c>
      <c r="BY31" s="752">
        <f t="shared" si="43"/>
        <v>5.3219322954577208E-2</v>
      </c>
      <c r="BZ31" s="36"/>
      <c r="CA31" s="36"/>
      <c r="CB31" s="36"/>
      <c r="CC31" s="36"/>
      <c r="CD31" s="36"/>
      <c r="CE31" s="36"/>
      <c r="CF31" s="36"/>
    </row>
    <row r="32" spans="1:84" ht="11.25" customHeight="1">
      <c r="A32" s="36"/>
      <c r="B32" s="36"/>
      <c r="C32" s="36"/>
      <c r="D32" s="36"/>
      <c r="E32" s="36"/>
      <c r="F32" s="36"/>
      <c r="G32" s="36"/>
      <c r="H32" s="36"/>
      <c r="I32" s="796" t="s">
        <v>146</v>
      </c>
      <c r="J32" s="54"/>
      <c r="K32" s="54"/>
      <c r="L32" s="54"/>
      <c r="M32" s="198" t="str">
        <f t="shared" ref="M32:R32" si="44">IF(ISERROR(M28/L28-1),"NA",(IF(M28&lt;=0,"NM",M28/L28-1)))</f>
        <v>NA</v>
      </c>
      <c r="N32" s="198">
        <f t="shared" si="44"/>
        <v>0.25749559082892426</v>
      </c>
      <c r="O32" s="198">
        <f t="shared" si="44"/>
        <v>0.22019635343618527</v>
      </c>
      <c r="P32" s="198">
        <f t="shared" si="44"/>
        <v>0.10459770114942524</v>
      </c>
      <c r="Q32" s="751">
        <f t="shared" si="44"/>
        <v>0.31841831425598355</v>
      </c>
      <c r="R32" s="198">
        <f t="shared" si="44"/>
        <v>5.5248618784529135E-3</v>
      </c>
      <c r="S32" s="198">
        <f t="shared" ref="S32:AR32" si="45">IF(ISERROR(S28/R28-1),"NA",(IF(S28&lt;=0,"NM",S28/R28-1)))</f>
        <v>0.19623233908948201</v>
      </c>
      <c r="T32" s="752">
        <f t="shared" si="45"/>
        <v>0.19160104986876636</v>
      </c>
      <c r="U32" s="198">
        <f t="shared" si="45"/>
        <v>0.15803964757709243</v>
      </c>
      <c r="V32" s="198">
        <f t="shared" si="45"/>
        <v>7.6081787922016142E-2</v>
      </c>
      <c r="W32" s="198">
        <f t="shared" si="45"/>
        <v>9.3239063190455163E-2</v>
      </c>
      <c r="X32" s="198">
        <f t="shared" si="45"/>
        <v>0.19846402586903822</v>
      </c>
      <c r="Y32" s="751">
        <f t="shared" si="45"/>
        <v>0.10219224283305217</v>
      </c>
      <c r="Z32" s="198">
        <f t="shared" si="45"/>
        <v>0.19736842105263164</v>
      </c>
      <c r="AA32" s="198">
        <f t="shared" si="45"/>
        <v>6.6445182724252483E-2</v>
      </c>
      <c r="AB32" s="752">
        <f t="shared" si="45"/>
        <v>0.14689671699017515</v>
      </c>
      <c r="AC32" s="198">
        <f t="shared" si="45"/>
        <v>2.9460927705808437E-2</v>
      </c>
      <c r="AD32" s="198">
        <f t="shared" si="45"/>
        <v>0.16216764765577429</v>
      </c>
      <c r="AE32" s="198">
        <f t="shared" si="45"/>
        <v>3.4055186866922771E-2</v>
      </c>
      <c r="AF32" s="198">
        <f t="shared" si="45"/>
        <v>0.19557507177841571</v>
      </c>
      <c r="AG32" s="751">
        <f t="shared" si="45"/>
        <v>0.21132928379714633</v>
      </c>
      <c r="AH32" s="198">
        <f t="shared" si="45"/>
        <v>0.49679300291545214</v>
      </c>
      <c r="AI32" s="198">
        <f t="shared" si="45"/>
        <v>7.7054927931437422E-2</v>
      </c>
      <c r="AJ32" s="752">
        <f t="shared" si="45"/>
        <v>6.076388888888884E-2</v>
      </c>
      <c r="AK32" s="1373">
        <f t="shared" si="45"/>
        <v>8.8652482269502286E-4</v>
      </c>
      <c r="AL32" s="264">
        <f t="shared" si="45"/>
        <v>2.044014444368969E-4</v>
      </c>
      <c r="AM32" s="264">
        <f t="shared" si="45"/>
        <v>-5.7901907356948223E-2</v>
      </c>
      <c r="AN32" s="1242">
        <f t="shared" si="45"/>
        <v>6.5075921908893664E-2</v>
      </c>
      <c r="AO32" s="264">
        <f t="shared" si="45"/>
        <v>8.1670061099796465E-2</v>
      </c>
      <c r="AP32" s="264">
        <f t="shared" si="45"/>
        <v>7.3181447310613157E-2</v>
      </c>
      <c r="AQ32" s="264">
        <f t="shared" si="45"/>
        <v>7.1349201707702425E-2</v>
      </c>
      <c r="AR32" s="1242">
        <f t="shared" si="45"/>
        <v>-0.17260767509143526</v>
      </c>
      <c r="AS32" s="198">
        <f t="shared" ref="AS32:AV32" si="46">IF(ISERROR(AS28/AR28-1),"NA",(IF(AS28&lt;=0,"NM",AS28/AR28-1)))</f>
        <v>0.13461549408737583</v>
      </c>
      <c r="AT32" s="198">
        <f t="shared" si="46"/>
        <v>4.7738715558511613E-2</v>
      </c>
      <c r="AU32" s="198">
        <f t="shared" si="46"/>
        <v>6.4997737105685793E-2</v>
      </c>
      <c r="AV32" s="752">
        <f t="shared" si="46"/>
        <v>-0.10175297324522448</v>
      </c>
      <c r="AW32" s="751">
        <f t="shared" ref="AW32:BD32" si="47">IF(ISERROR(AW28/AV28-1),"NA",(IF(AW28&lt;=0,"NM",AW28/AV28-1)))</f>
        <v>0.15221020325320356</v>
      </c>
      <c r="AX32" s="198">
        <f t="shared" si="47"/>
        <v>3.5211685867650555E-2</v>
      </c>
      <c r="AY32" s="198">
        <f t="shared" si="47"/>
        <v>5.1472111011703126E-2</v>
      </c>
      <c r="AZ32" s="752">
        <f t="shared" si="47"/>
        <v>-0.11635596179701779</v>
      </c>
      <c r="BA32" s="751">
        <f t="shared" si="47"/>
        <v>0.1519684571852753</v>
      </c>
      <c r="BB32" s="198">
        <f t="shared" si="47"/>
        <v>3.184953722845707E-2</v>
      </c>
      <c r="BC32" s="198">
        <f t="shared" si="47"/>
        <v>4.3136570424815668E-2</v>
      </c>
      <c r="BD32" s="752">
        <f t="shared" si="47"/>
        <v>-0.12467145706470473</v>
      </c>
      <c r="BE32" s="2576"/>
      <c r="BF32" s="384"/>
      <c r="BG32" s="384"/>
      <c r="BH32" s="384"/>
      <c r="BI32" s="908"/>
      <c r="BJ32" s="908"/>
      <c r="BK32" s="908"/>
      <c r="BL32" s="908"/>
      <c r="BM32" s="908"/>
      <c r="BN32" s="908"/>
      <c r="BO32" s="908"/>
      <c r="BP32" s="908"/>
      <c r="BQ32" s="908"/>
      <c r="BR32" s="908"/>
      <c r="BS32" s="908"/>
      <c r="BT32" s="908"/>
      <c r="BU32" s="908"/>
      <c r="BV32" s="908"/>
      <c r="BW32" s="908"/>
      <c r="BX32" s="908"/>
      <c r="BY32" s="909"/>
      <c r="BZ32" s="36"/>
      <c r="CA32" s="36"/>
      <c r="CB32" s="36"/>
      <c r="CC32" s="36"/>
      <c r="CD32" s="36"/>
      <c r="CE32" s="36"/>
      <c r="CF32" s="36"/>
    </row>
    <row r="33" spans="1:84" ht="11.25" customHeight="1">
      <c r="A33" s="36"/>
      <c r="B33" s="36"/>
      <c r="C33" s="36"/>
      <c r="D33" s="36"/>
      <c r="E33" s="36"/>
      <c r="F33" s="36"/>
      <c r="G33" s="36"/>
      <c r="H33" s="36"/>
      <c r="I33" s="994" t="s">
        <v>380</v>
      </c>
      <c r="J33" s="54"/>
      <c r="K33" s="54"/>
      <c r="L33" s="54"/>
      <c r="M33" s="198"/>
      <c r="N33" s="198"/>
      <c r="O33" s="198"/>
      <c r="P33" s="198"/>
      <c r="Q33" s="900">
        <f t="shared" ref="Q33:AR33" si="48">Q28-M28</f>
        <v>0.70000000000000018</v>
      </c>
      <c r="R33" s="901">
        <f t="shared" si="48"/>
        <v>0.56100000000000005</v>
      </c>
      <c r="S33" s="901">
        <f t="shared" si="48"/>
        <v>0.65400000000000003</v>
      </c>
      <c r="T33" s="902">
        <f t="shared" si="48"/>
        <v>0.85500000000000009</v>
      </c>
      <c r="U33" s="901">
        <f t="shared" si="48"/>
        <v>0.83599999999999963</v>
      </c>
      <c r="V33" s="901">
        <f t="shared" si="48"/>
        <v>0.98899999999999988</v>
      </c>
      <c r="W33" s="901">
        <f t="shared" si="48"/>
        <v>0.94999999999999973</v>
      </c>
      <c r="X33" s="901">
        <f t="shared" si="48"/>
        <v>1.1490000000000002</v>
      </c>
      <c r="Y33" s="900">
        <f t="shared" si="48"/>
        <v>1.165</v>
      </c>
      <c r="Z33" s="901">
        <f t="shared" si="48"/>
        <v>1.65</v>
      </c>
      <c r="AA33" s="901">
        <f t="shared" si="48"/>
        <v>1.6990000000000003</v>
      </c>
      <c r="AB33" s="902">
        <f t="shared" si="48"/>
        <v>1.8210000000000002</v>
      </c>
      <c r="AC33" s="901">
        <f t="shared" si="48"/>
        <v>1.6589999999999998</v>
      </c>
      <c r="AD33" s="901">
        <f t="shared" si="48"/>
        <v>1.8130000000000002</v>
      </c>
      <c r="AE33" s="901">
        <f t="shared" si="48"/>
        <v>1.7480000000000002</v>
      </c>
      <c r="AF33" s="901">
        <f t="shared" si="48"/>
        <v>2.2929999999999993</v>
      </c>
      <c r="AG33" s="900">
        <f t="shared" si="48"/>
        <v>3.6479999999999997</v>
      </c>
      <c r="AH33" s="901">
        <f t="shared" si="48"/>
        <v>7.1090000000000009</v>
      </c>
      <c r="AI33" s="901">
        <f t="shared" si="48"/>
        <v>7.9029999999999996</v>
      </c>
      <c r="AJ33" s="902">
        <f t="shared" si="48"/>
        <v>7.585</v>
      </c>
      <c r="AK33" s="900">
        <f t="shared" si="48"/>
        <v>6.1020000000000003</v>
      </c>
      <c r="AL33" s="901">
        <f t="shared" si="48"/>
        <v>1.8449999999999989</v>
      </c>
      <c r="AM33" s="901">
        <f t="shared" si="48"/>
        <v>6.0000000000002274E-3</v>
      </c>
      <c r="AN33" s="902">
        <f t="shared" si="48"/>
        <v>6.5999999999998948E-2</v>
      </c>
      <c r="AO33" s="901">
        <f t="shared" si="48"/>
        <v>1.256000000000002</v>
      </c>
      <c r="AP33" s="901">
        <f t="shared" si="48"/>
        <v>2.4190000000000005</v>
      </c>
      <c r="AQ33" s="901">
        <f t="shared" si="48"/>
        <v>4.4890000000000025</v>
      </c>
      <c r="AR33" s="902">
        <f t="shared" si="48"/>
        <v>0.42700000000000138</v>
      </c>
      <c r="AS33" s="901">
        <f t="shared" ref="AS33:AV33" si="49">AS28-AO28</f>
        <v>1.2643670438823538</v>
      </c>
      <c r="AT33" s="901">
        <f t="shared" si="49"/>
        <v>0.91934725754557789</v>
      </c>
      <c r="AU33" s="901">
        <f t="shared" si="49"/>
        <v>0.87049905567047858</v>
      </c>
      <c r="AV33" s="902">
        <f t="shared" si="49"/>
        <v>2.0799104716695815</v>
      </c>
      <c r="AW33" s="900">
        <f t="shared" ref="AW33:BD33" si="50">AW28-AS28</f>
        <v>2.6631770741373266</v>
      </c>
      <c r="AX33" s="901">
        <f t="shared" si="50"/>
        <v>2.5415201011184294</v>
      </c>
      <c r="AY33" s="901">
        <f t="shared" si="50"/>
        <v>2.4286280780645733</v>
      </c>
      <c r="AZ33" s="902">
        <f t="shared" si="50"/>
        <v>1.8658186871695221</v>
      </c>
      <c r="BA33" s="900">
        <f t="shared" si="50"/>
        <v>2.1451973191163702</v>
      </c>
      <c r="BB33" s="901">
        <f t="shared" si="50"/>
        <v>2.1467467596139116</v>
      </c>
      <c r="BC33" s="901">
        <f t="shared" si="50"/>
        <v>2.0679724435650719</v>
      </c>
      <c r="BD33" s="902">
        <f t="shared" si="50"/>
        <v>1.6303898719793288</v>
      </c>
      <c r="BE33" s="2576"/>
      <c r="BF33" s="384"/>
      <c r="BG33" s="384"/>
      <c r="BH33" s="901">
        <f t="shared" ref="BH33:BY33" si="51">BH28-BG28</f>
        <v>0.376</v>
      </c>
      <c r="BI33" s="901">
        <f t="shared" si="51"/>
        <v>0.51300000000000001</v>
      </c>
      <c r="BJ33" s="901">
        <f t="shared" si="51"/>
        <v>1.9899999999999998</v>
      </c>
      <c r="BK33" s="901">
        <f t="shared" si="51"/>
        <v>2.7700000000000005</v>
      </c>
      <c r="BL33" s="901">
        <f t="shared" si="51"/>
        <v>3.9239999999999995</v>
      </c>
      <c r="BM33" s="901">
        <f t="shared" si="51"/>
        <v>6.3350000000000009</v>
      </c>
      <c r="BN33" s="901">
        <f t="shared" si="51"/>
        <v>7.5129999999999981</v>
      </c>
      <c r="BO33" s="901">
        <f t="shared" si="51"/>
        <v>26.245000000000005</v>
      </c>
      <c r="BP33" s="901">
        <f t="shared" si="51"/>
        <v>8.0189999999999912</v>
      </c>
      <c r="BQ33" s="901">
        <f t="shared" si="51"/>
        <v>8.5910000000000153</v>
      </c>
      <c r="BR33" s="901">
        <f t="shared" si="51"/>
        <v>5.1341238287679971</v>
      </c>
      <c r="BS33" s="901">
        <f t="shared" si="51"/>
        <v>9.4991439404898301</v>
      </c>
      <c r="BT33" s="901">
        <f t="shared" si="51"/>
        <v>7.9903063942746968</v>
      </c>
      <c r="BU33" s="901">
        <f t="shared" si="51"/>
        <v>7.0975945287122642</v>
      </c>
      <c r="BV33" s="901">
        <f t="shared" si="51"/>
        <v>6.3374775030969204</v>
      </c>
      <c r="BW33" s="901">
        <f t="shared" si="51"/>
        <v>5.5306548022765583</v>
      </c>
      <c r="BX33" s="901">
        <f t="shared" si="51"/>
        <v>6.5474321014562236</v>
      </c>
      <c r="BY33" s="902">
        <f t="shared" si="51"/>
        <v>6.101315075840958</v>
      </c>
      <c r="BZ33" s="36"/>
      <c r="CA33" s="36"/>
      <c r="CB33" s="36"/>
      <c r="CC33" s="36"/>
      <c r="CD33" s="36"/>
      <c r="CE33" s="36"/>
      <c r="CF33" s="36"/>
    </row>
    <row r="34" spans="1:84" ht="11.25" customHeight="1">
      <c r="A34" s="36"/>
      <c r="B34" s="36"/>
      <c r="C34" s="36"/>
      <c r="D34" s="36"/>
      <c r="E34" s="36"/>
      <c r="F34" s="36"/>
      <c r="G34" s="36"/>
      <c r="H34" s="36"/>
      <c r="I34" s="994" t="s">
        <v>377</v>
      </c>
      <c r="J34" s="54"/>
      <c r="K34" s="54"/>
      <c r="L34" s="54"/>
      <c r="M34" s="901"/>
      <c r="N34" s="901">
        <f t="shared" ref="N34:AR34" si="52">N28-M28</f>
        <v>0.14600000000000002</v>
      </c>
      <c r="O34" s="901">
        <f t="shared" si="52"/>
        <v>0.15700000000000003</v>
      </c>
      <c r="P34" s="901">
        <f t="shared" si="52"/>
        <v>9.099999999999997E-2</v>
      </c>
      <c r="Q34" s="900">
        <f t="shared" si="52"/>
        <v>0.30600000000000016</v>
      </c>
      <c r="R34" s="901">
        <f t="shared" si="52"/>
        <v>6.9999999999998952E-3</v>
      </c>
      <c r="S34" s="901">
        <f t="shared" si="52"/>
        <v>0.25</v>
      </c>
      <c r="T34" s="902">
        <f t="shared" si="52"/>
        <v>0.29200000000000004</v>
      </c>
      <c r="U34" s="901">
        <f t="shared" si="52"/>
        <v>0.2869999999999997</v>
      </c>
      <c r="V34" s="901">
        <f t="shared" si="52"/>
        <v>0.16000000000000014</v>
      </c>
      <c r="W34" s="901">
        <f t="shared" si="52"/>
        <v>0.21099999999999985</v>
      </c>
      <c r="X34" s="901">
        <f t="shared" si="52"/>
        <v>0.49100000000000055</v>
      </c>
      <c r="Y34" s="900">
        <f t="shared" si="52"/>
        <v>0.30299999999999949</v>
      </c>
      <c r="Z34" s="901">
        <f t="shared" si="52"/>
        <v>0.64500000000000002</v>
      </c>
      <c r="AA34" s="901">
        <f t="shared" si="52"/>
        <v>0.26000000000000023</v>
      </c>
      <c r="AB34" s="902">
        <f t="shared" si="52"/>
        <v>0.61300000000000043</v>
      </c>
      <c r="AC34" s="901">
        <f t="shared" si="52"/>
        <v>0.14099999999999913</v>
      </c>
      <c r="AD34" s="901">
        <f t="shared" si="52"/>
        <v>0.79900000000000038</v>
      </c>
      <c r="AE34" s="901">
        <f t="shared" si="52"/>
        <v>0.19500000000000028</v>
      </c>
      <c r="AF34" s="901">
        <f t="shared" si="52"/>
        <v>1.1579999999999995</v>
      </c>
      <c r="AG34" s="900">
        <f t="shared" si="52"/>
        <v>1.4959999999999996</v>
      </c>
      <c r="AH34" s="901">
        <f t="shared" si="52"/>
        <v>4.2600000000000016</v>
      </c>
      <c r="AI34" s="901">
        <f t="shared" si="52"/>
        <v>0.98899999999999899</v>
      </c>
      <c r="AJ34" s="902">
        <f t="shared" si="52"/>
        <v>0.83999999999999986</v>
      </c>
      <c r="AK34" s="900">
        <f t="shared" si="52"/>
        <v>1.2999999999999901E-2</v>
      </c>
      <c r="AL34" s="901">
        <f t="shared" si="52"/>
        <v>3.0000000000001137E-3</v>
      </c>
      <c r="AM34" s="901">
        <f t="shared" si="52"/>
        <v>-0.84999999999999964</v>
      </c>
      <c r="AN34" s="902">
        <f t="shared" si="52"/>
        <v>0.89999999999999858</v>
      </c>
      <c r="AO34" s="901">
        <f t="shared" si="52"/>
        <v>1.203000000000003</v>
      </c>
      <c r="AP34" s="901">
        <f t="shared" si="52"/>
        <v>1.1659999999999986</v>
      </c>
      <c r="AQ34" s="901">
        <f t="shared" si="52"/>
        <v>1.2200000000000024</v>
      </c>
      <c r="AR34" s="902">
        <f t="shared" si="52"/>
        <v>-3.1620000000000026</v>
      </c>
      <c r="AS34" s="901">
        <f t="shared" ref="AS34:AV34" si="53">AS28-AR28</f>
        <v>2.0403670438823553</v>
      </c>
      <c r="AT34" s="901">
        <f t="shared" si="53"/>
        <v>0.82098021366322271</v>
      </c>
      <c r="AU34" s="901">
        <f t="shared" si="53"/>
        <v>1.1711517981249031</v>
      </c>
      <c r="AV34" s="902">
        <f t="shared" si="53"/>
        <v>-1.9525885840008996</v>
      </c>
      <c r="AW34" s="900">
        <f t="shared" ref="AW34:BD34" si="54">AW28-AV28</f>
        <v>2.6236336463501004</v>
      </c>
      <c r="AX34" s="901">
        <f t="shared" si="54"/>
        <v>0.69932324064432549</v>
      </c>
      <c r="AY34" s="901">
        <f t="shared" si="54"/>
        <v>1.058259775071047</v>
      </c>
      <c r="AZ34" s="902">
        <f t="shared" si="54"/>
        <v>-2.5153979748959507</v>
      </c>
      <c r="BA34" s="900">
        <f t="shared" si="54"/>
        <v>2.9030122782969485</v>
      </c>
      <c r="BB34" s="901">
        <f t="shared" si="54"/>
        <v>0.70087268114186685</v>
      </c>
      <c r="BC34" s="901">
        <f t="shared" si="54"/>
        <v>0.97948545902220729</v>
      </c>
      <c r="BD34" s="902">
        <f t="shared" si="54"/>
        <v>-2.9529805464816938</v>
      </c>
      <c r="BE34" s="2576"/>
      <c r="BF34" s="384"/>
      <c r="BG34" s="384"/>
      <c r="BH34" s="384"/>
      <c r="BI34" s="384"/>
      <c r="BJ34" s="384"/>
      <c r="BK34" s="384"/>
      <c r="BL34" s="384"/>
      <c r="BM34" s="384"/>
      <c r="BN34" s="198"/>
      <c r="BO34" s="198"/>
      <c r="BP34" s="384"/>
      <c r="BQ34" s="384"/>
      <c r="BR34" s="384"/>
      <c r="BS34" s="384"/>
      <c r="BT34" s="384"/>
      <c r="BU34" s="384"/>
      <c r="BV34" s="384"/>
      <c r="BW34" s="384"/>
      <c r="BX34" s="384"/>
      <c r="BY34" s="872"/>
      <c r="BZ34" s="36"/>
      <c r="CA34" s="36"/>
      <c r="CB34" s="36"/>
      <c r="CC34" s="36"/>
      <c r="CD34" s="36"/>
      <c r="CE34" s="36"/>
      <c r="CF34" s="36"/>
    </row>
    <row r="35" spans="1:84" ht="11.25" customHeight="1">
      <c r="A35" s="36"/>
      <c r="B35" s="36"/>
      <c r="C35" s="36"/>
      <c r="D35" s="36"/>
      <c r="E35" s="36"/>
      <c r="F35" s="36"/>
      <c r="G35" s="36"/>
      <c r="H35" s="36"/>
      <c r="I35" s="796"/>
      <c r="J35" s="54"/>
      <c r="K35" s="54"/>
      <c r="L35" s="54"/>
      <c r="M35" s="901"/>
      <c r="N35" s="901"/>
      <c r="O35" s="901"/>
      <c r="P35" s="901"/>
      <c r="Q35" s="900"/>
      <c r="R35" s="901"/>
      <c r="S35" s="901"/>
      <c r="T35" s="902"/>
      <c r="U35" s="901"/>
      <c r="V35" s="901"/>
      <c r="W35" s="901"/>
      <c r="X35" s="901"/>
      <c r="Y35" s="900"/>
      <c r="Z35" s="901"/>
      <c r="AA35" s="901"/>
      <c r="AB35" s="902"/>
      <c r="AC35" s="901"/>
      <c r="AD35" s="901"/>
      <c r="AE35" s="901"/>
      <c r="AF35" s="901"/>
      <c r="AG35" s="900"/>
      <c r="AH35" s="901"/>
      <c r="AI35" s="901"/>
      <c r="AJ35" s="902"/>
      <c r="AK35" s="900"/>
      <c r="AL35" s="901"/>
      <c r="AM35" s="901"/>
      <c r="AN35" s="902"/>
      <c r="AO35" s="901"/>
      <c r="AP35" s="901"/>
      <c r="AQ35" s="901"/>
      <c r="AR35" s="902"/>
      <c r="AS35" s="901"/>
      <c r="AT35" s="901"/>
      <c r="AU35" s="901"/>
      <c r="AV35" s="902"/>
      <c r="AW35" s="900"/>
      <c r="AX35" s="901"/>
      <c r="AY35" s="901"/>
      <c r="AZ35" s="902"/>
      <c r="BA35" s="900"/>
      <c r="BB35" s="901"/>
      <c r="BC35" s="901"/>
      <c r="BD35" s="902"/>
      <c r="BE35" s="2576"/>
      <c r="BF35" s="384"/>
      <c r="BG35" s="384"/>
      <c r="BH35" s="384"/>
      <c r="BI35" s="384"/>
      <c r="BJ35" s="384"/>
      <c r="BK35" s="384"/>
      <c r="BL35" s="384"/>
      <c r="BM35" s="384"/>
      <c r="BN35" s="198"/>
      <c r="BO35" s="198"/>
      <c r="BP35" s="384"/>
      <c r="BQ35" s="384"/>
      <c r="BR35" s="384"/>
      <c r="BS35" s="384"/>
      <c r="BT35" s="384"/>
      <c r="BU35" s="384"/>
      <c r="BV35" s="384"/>
      <c r="BW35" s="384"/>
      <c r="BX35" s="384"/>
      <c r="BY35" s="872"/>
      <c r="BZ35" s="36"/>
      <c r="CA35" s="36"/>
      <c r="CB35" s="36"/>
      <c r="CC35" s="36"/>
      <c r="CD35" s="36"/>
      <c r="CE35" s="36"/>
      <c r="CF35" s="36"/>
    </row>
    <row r="36" spans="1:84" s="41" customFormat="1" ht="11.25" customHeight="1">
      <c r="A36" s="29"/>
      <c r="B36" s="29"/>
      <c r="C36" s="29"/>
      <c r="D36" s="29"/>
      <c r="E36" s="29"/>
      <c r="F36" s="29"/>
      <c r="G36" s="29"/>
      <c r="H36" s="29"/>
      <c r="I36" s="882" t="s">
        <v>122</v>
      </c>
      <c r="J36" s="2"/>
      <c r="K36" s="2"/>
      <c r="L36" s="2"/>
      <c r="M36" s="359">
        <f t="shared" ref="M36:AJ36" si="55">(M10-M28)/M10</f>
        <v>0.93793782837127848</v>
      </c>
      <c r="N36" s="359">
        <f t="shared" si="55"/>
        <v>0.93353220844597751</v>
      </c>
      <c r="O36" s="359">
        <f t="shared" si="55"/>
        <v>0.93091948546927117</v>
      </c>
      <c r="P36" s="359">
        <f t="shared" si="55"/>
        <v>0.93708262406704201</v>
      </c>
      <c r="Q36" s="852">
        <f t="shared" si="55"/>
        <v>0.92321212121212126</v>
      </c>
      <c r="R36" s="359">
        <f t="shared" si="55"/>
        <v>0.93492695883134125</v>
      </c>
      <c r="S36" s="359">
        <f t="shared" si="55"/>
        <v>0.93166532149582992</v>
      </c>
      <c r="T36" s="843">
        <f t="shared" si="55"/>
        <v>0.92708291507729379</v>
      </c>
      <c r="U36" s="359">
        <f t="shared" si="55"/>
        <v>0.92320613474529845</v>
      </c>
      <c r="V36" s="359">
        <f t="shared" si="55"/>
        <v>0.93069549505405325</v>
      </c>
      <c r="W36" s="359">
        <f t="shared" si="55"/>
        <v>0.93197877429820475</v>
      </c>
      <c r="X36" s="359">
        <f t="shared" si="55"/>
        <v>0.92795879194304731</v>
      </c>
      <c r="Y36" s="852">
        <f t="shared" si="55"/>
        <v>0.92916133787093835</v>
      </c>
      <c r="Z36" s="359">
        <f t="shared" si="55"/>
        <v>0.92888428475364859</v>
      </c>
      <c r="AA36" s="359">
        <f t="shared" si="55"/>
        <v>0.93179254997466532</v>
      </c>
      <c r="AB36" s="843">
        <f t="shared" si="55"/>
        <v>0.93225856675772456</v>
      </c>
      <c r="AC36" s="359">
        <f t="shared" si="55"/>
        <v>0.93551637938932286</v>
      </c>
      <c r="AD36" s="359">
        <f t="shared" si="55"/>
        <v>0.93550857670604937</v>
      </c>
      <c r="AE36" s="359">
        <f t="shared" si="55"/>
        <v>0.94220877458396368</v>
      </c>
      <c r="AF36" s="359">
        <f t="shared" si="55"/>
        <v>0.93557927689353615</v>
      </c>
      <c r="AG36" s="852">
        <f t="shared" si="55"/>
        <v>0.92330053667262968</v>
      </c>
      <c r="AH36" s="359">
        <f t="shared" si="55"/>
        <v>0.8978105095541401</v>
      </c>
      <c r="AI36" s="1738">
        <f t="shared" si="55"/>
        <v>0.89729569093610695</v>
      </c>
      <c r="AJ36" s="1234">
        <f t="shared" si="55"/>
        <v>0.90004089979550106</v>
      </c>
      <c r="AK36" s="1257">
        <f t="shared" ref="AK36:AP36" si="56">(AK10-AK28)/AK10</f>
        <v>0.90746660109827071</v>
      </c>
      <c r="AL36" s="289">
        <f t="shared" si="56"/>
        <v>0.91535392208870536</v>
      </c>
      <c r="AM36" s="289">
        <f t="shared" si="56"/>
        <v>0.92573778942394425</v>
      </c>
      <c r="AN36" s="1234">
        <f t="shared" si="56"/>
        <v>0.92438243085073624</v>
      </c>
      <c r="AO36" s="289">
        <f t="shared" si="56"/>
        <v>0.91925421770396765</v>
      </c>
      <c r="AP36" s="289">
        <f t="shared" si="56"/>
        <v>0.91813333077983761</v>
      </c>
      <c r="AQ36" s="289">
        <f t="shared" ref="AQ36:AR36" si="57">(AQ10-AQ28)/AQ10</f>
        <v>0.91762298767874806</v>
      </c>
      <c r="AR36" s="1234">
        <f t="shared" si="57"/>
        <v>0.93055084629271556</v>
      </c>
      <c r="AS36" s="289">
        <f t="shared" ref="AS36:BB36" si="58">AO36+(AS37/10000)</f>
        <v>0.92225421770396765</v>
      </c>
      <c r="AT36" s="289">
        <f t="shared" si="58"/>
        <v>0.92213333077983761</v>
      </c>
      <c r="AU36" s="289">
        <f t="shared" si="58"/>
        <v>0.92262298767874806</v>
      </c>
      <c r="AV36" s="1234">
        <f t="shared" si="58"/>
        <v>0.93355084629271556</v>
      </c>
      <c r="AW36" s="1257">
        <f t="shared" si="58"/>
        <v>0.92425421770396765</v>
      </c>
      <c r="AX36" s="289">
        <f t="shared" si="58"/>
        <v>0.92413333077983761</v>
      </c>
      <c r="AY36" s="289">
        <f t="shared" si="58"/>
        <v>0.92462298767874807</v>
      </c>
      <c r="AZ36" s="289">
        <f t="shared" si="58"/>
        <v>0.93555084629271557</v>
      </c>
      <c r="BA36" s="1257">
        <f t="shared" si="58"/>
        <v>0.92625421770396765</v>
      </c>
      <c r="BB36" s="289">
        <f t="shared" si="58"/>
        <v>0.92613333077983762</v>
      </c>
      <c r="BC36" s="289">
        <f>AY36+(BC37/10000)</f>
        <v>0.92662298767874807</v>
      </c>
      <c r="BD36" s="1234">
        <f>AZ36+(BD37/10000)</f>
        <v>0.93755084629271557</v>
      </c>
      <c r="BE36" s="2579"/>
      <c r="BF36" s="359"/>
      <c r="BG36" s="359">
        <f t="shared" ref="BG36:BQ36" si="59">(BG10-BG28)/BG10</f>
        <v>0.93805073431241648</v>
      </c>
      <c r="BH36" s="359">
        <f t="shared" si="59"/>
        <v>0.94991350193590907</v>
      </c>
      <c r="BI36" s="359">
        <f t="shared" si="59"/>
        <v>0.95656385616862993</v>
      </c>
      <c r="BJ36" s="359">
        <f t="shared" si="59"/>
        <v>0.93482223293038069</v>
      </c>
      <c r="BK36" s="359">
        <f t="shared" si="59"/>
        <v>0.92938704448580178</v>
      </c>
      <c r="BL36" s="359">
        <f t="shared" si="59"/>
        <v>0.92872512103281324</v>
      </c>
      <c r="BM36" s="359">
        <f t="shared" si="59"/>
        <v>0.9307260459766169</v>
      </c>
      <c r="BN36" s="359">
        <f t="shared" si="59"/>
        <v>0.93734902102051187</v>
      </c>
      <c r="BO36" s="359">
        <f t="shared" si="59"/>
        <v>0.90380181222286482</v>
      </c>
      <c r="BP36" s="359">
        <f t="shared" si="59"/>
        <v>0.91877784618318836</v>
      </c>
      <c r="BQ36" s="359">
        <f t="shared" si="59"/>
        <v>0.92146081838611349</v>
      </c>
      <c r="BR36" s="359">
        <f>(BR10-BR28)/BR10</f>
        <v>0.92537278767836662</v>
      </c>
      <c r="BS36" s="359">
        <f>(BS10-BS28)/BS10</f>
        <v>0.9273188214177196</v>
      </c>
      <c r="BT36" s="359">
        <f>(BT10-BT28)/BT10</f>
        <v>0.92929432479491303</v>
      </c>
      <c r="BU36" s="289">
        <f>+BT36+BU37/10000</f>
        <v>0.93129432479491303</v>
      </c>
      <c r="BV36" s="289">
        <f>+BU36+BV37/10000</f>
        <v>0.93329432479491303</v>
      </c>
      <c r="BW36" s="289">
        <f>+BV36+BW37/10000</f>
        <v>0.93529432479491303</v>
      </c>
      <c r="BX36" s="289">
        <f>+BW36+BX37/10000</f>
        <v>0.93629432479491304</v>
      </c>
      <c r="BY36" s="1234">
        <f>+BX36+BY37/10000</f>
        <v>0.93729432479491304</v>
      </c>
      <c r="BZ36" s="29"/>
      <c r="CA36" s="29"/>
      <c r="CB36" s="29"/>
      <c r="CC36" s="29"/>
      <c r="CD36" s="29"/>
      <c r="CE36" s="29"/>
      <c r="CF36" s="29"/>
    </row>
    <row r="37" spans="1:84" ht="15.75" customHeight="1">
      <c r="I37" s="796" t="s">
        <v>366</v>
      </c>
      <c r="M37" s="106"/>
      <c r="Q37" s="907">
        <f t="shared" ref="Q37:AI37" si="60">(Q36-M36)*10000</f>
        <v>-147.25707159157218</v>
      </c>
      <c r="R37" s="908">
        <f t="shared" si="60"/>
        <v>13.947503853637411</v>
      </c>
      <c r="S37" s="908">
        <f t="shared" si="60"/>
        <v>7.4583602655875492</v>
      </c>
      <c r="T37" s="909">
        <f t="shared" si="60"/>
        <v>-99.99708989748224</v>
      </c>
      <c r="U37" s="899">
        <f t="shared" si="60"/>
        <v>-5.9864668228160056E-2</v>
      </c>
      <c r="V37" s="899">
        <f t="shared" si="60"/>
        <v>-42.314637772880026</v>
      </c>
      <c r="W37" s="899">
        <f t="shared" si="60"/>
        <v>3.1345280237482509</v>
      </c>
      <c r="X37" s="899">
        <f t="shared" si="60"/>
        <v>8.7587686575352208</v>
      </c>
      <c r="Y37" s="907">
        <f t="shared" si="60"/>
        <v>59.552031256399076</v>
      </c>
      <c r="Z37" s="908">
        <f t="shared" si="60"/>
        <v>-18.112103004046531</v>
      </c>
      <c r="AA37" s="908">
        <f t="shared" si="60"/>
        <v>-1.8622432353943008</v>
      </c>
      <c r="AB37" s="909">
        <f t="shared" si="60"/>
        <v>42.997748146772487</v>
      </c>
      <c r="AC37" s="899">
        <f t="shared" si="60"/>
        <v>63.550415183845075</v>
      </c>
      <c r="AD37" s="899">
        <f t="shared" si="60"/>
        <v>66.242919524007732</v>
      </c>
      <c r="AE37" s="899">
        <f t="shared" si="60"/>
        <v>104.16224609298364</v>
      </c>
      <c r="AF37" s="899">
        <f t="shared" si="60"/>
        <v>33.207101358115885</v>
      </c>
      <c r="AG37" s="907">
        <f t="shared" si="60"/>
        <v>-122.15842716693182</v>
      </c>
      <c r="AH37" s="899">
        <f t="shared" si="60"/>
        <v>-376.98067151909265</v>
      </c>
      <c r="AI37" s="908">
        <f t="shared" si="60"/>
        <v>-449.13083647856735</v>
      </c>
      <c r="AJ37" s="909">
        <f t="shared" ref="AJ37:AR37" si="61">(AJ36-AF36)*10000</f>
        <v>-355.3837709803509</v>
      </c>
      <c r="AK37" s="899">
        <f t="shared" si="61"/>
        <v>-158.33935574358969</v>
      </c>
      <c r="AL37" s="908">
        <f t="shared" si="61"/>
        <v>175.4341253456526</v>
      </c>
      <c r="AM37" s="908">
        <f t="shared" si="61"/>
        <v>284.42098487837296</v>
      </c>
      <c r="AN37" s="909">
        <f t="shared" si="61"/>
        <v>243.41531055235177</v>
      </c>
      <c r="AO37" s="899">
        <f t="shared" si="61"/>
        <v>117.87616605696938</v>
      </c>
      <c r="AP37" s="908">
        <f t="shared" si="61"/>
        <v>27.794086911322459</v>
      </c>
      <c r="AQ37" s="908">
        <f t="shared" si="61"/>
        <v>-81.148017451961877</v>
      </c>
      <c r="AR37" s="909">
        <f t="shared" si="61"/>
        <v>61.684154419793245</v>
      </c>
      <c r="AS37" s="2231">
        <v>30</v>
      </c>
      <c r="AT37" s="2231">
        <v>40</v>
      </c>
      <c r="AU37" s="2231">
        <v>50</v>
      </c>
      <c r="AV37" s="2233">
        <v>30</v>
      </c>
      <c r="AW37" s="2231">
        <v>20</v>
      </c>
      <c r="AX37" s="2231">
        <v>20</v>
      </c>
      <c r="AY37" s="2231">
        <v>20</v>
      </c>
      <c r="AZ37" s="2233">
        <v>20</v>
      </c>
      <c r="BA37" s="2231">
        <v>20</v>
      </c>
      <c r="BB37" s="2231">
        <v>20</v>
      </c>
      <c r="BC37" s="2231">
        <v>20</v>
      </c>
      <c r="BD37" s="2233">
        <v>20</v>
      </c>
      <c r="BE37" s="883"/>
      <c r="BF37" s="106"/>
      <c r="BG37" s="106"/>
      <c r="BH37" s="908">
        <f t="shared" ref="BH37:BT37" si="62">(BH36-BG36)*10000</f>
        <v>118.62767623492587</v>
      </c>
      <c r="BI37" s="908">
        <f t="shared" si="62"/>
        <v>66.503542327208677</v>
      </c>
      <c r="BJ37" s="908">
        <f t="shared" si="62"/>
        <v>-217.41623238249241</v>
      </c>
      <c r="BK37" s="908">
        <f t="shared" si="62"/>
        <v>-54.351884445789089</v>
      </c>
      <c r="BL37" s="908">
        <f t="shared" si="62"/>
        <v>-6.6192345298854427</v>
      </c>
      <c r="BM37" s="908">
        <f t="shared" si="62"/>
        <v>20.009249438036612</v>
      </c>
      <c r="BN37" s="908">
        <f t="shared" si="62"/>
        <v>66.229750438949736</v>
      </c>
      <c r="BO37" s="908">
        <f t="shared" si="62"/>
        <v>-335.47208797647056</v>
      </c>
      <c r="BP37" s="908">
        <f t="shared" si="62"/>
        <v>149.76033960323542</v>
      </c>
      <c r="BQ37" s="908">
        <f t="shared" si="62"/>
        <v>26.829722029251268</v>
      </c>
      <c r="BR37" s="908">
        <f t="shared" si="62"/>
        <v>39.119692922531257</v>
      </c>
      <c r="BS37" s="908">
        <f t="shared" si="62"/>
        <v>19.460337393529812</v>
      </c>
      <c r="BT37" s="908">
        <f t="shared" si="62"/>
        <v>19.755033771934329</v>
      </c>
      <c r="BU37" s="2232">
        <v>20</v>
      </c>
      <c r="BV37" s="2232">
        <v>20</v>
      </c>
      <c r="BW37" s="2232">
        <f>BV37</f>
        <v>20</v>
      </c>
      <c r="BX37" s="2232">
        <v>10</v>
      </c>
      <c r="BY37" s="2233">
        <f>BX37</f>
        <v>10</v>
      </c>
    </row>
    <row r="38" spans="1:84" ht="11.25" customHeight="1">
      <c r="I38" s="796" t="s">
        <v>367</v>
      </c>
      <c r="N38" s="899">
        <f t="shared" ref="N38:AR38" si="63">(N36-M36)*10000</f>
        <v>-44.056199253009744</v>
      </c>
      <c r="O38" s="899">
        <f t="shared" si="63"/>
        <v>-26.127229767063387</v>
      </c>
      <c r="P38" s="899">
        <f t="shared" si="63"/>
        <v>61.631385977708455</v>
      </c>
      <c r="Q38" s="907">
        <f t="shared" si="63"/>
        <v>-138.70502854920753</v>
      </c>
      <c r="R38" s="908">
        <f t="shared" si="63"/>
        <v>117.14837619219986</v>
      </c>
      <c r="S38" s="908">
        <f t="shared" si="63"/>
        <v>-32.616373355113247</v>
      </c>
      <c r="T38" s="909">
        <f t="shared" si="63"/>
        <v>-45.824064185361337</v>
      </c>
      <c r="U38" s="899">
        <f t="shared" si="63"/>
        <v>-38.767803319953444</v>
      </c>
      <c r="V38" s="899">
        <f t="shared" si="63"/>
        <v>74.893603087548001</v>
      </c>
      <c r="W38" s="899">
        <f t="shared" si="63"/>
        <v>12.832792441515029</v>
      </c>
      <c r="X38" s="899">
        <f t="shared" si="63"/>
        <v>-40.199823551574369</v>
      </c>
      <c r="Y38" s="907">
        <f t="shared" si="63"/>
        <v>12.025459278910411</v>
      </c>
      <c r="Z38" s="908">
        <f t="shared" si="63"/>
        <v>-2.7705311728976056</v>
      </c>
      <c r="AA38" s="908">
        <f t="shared" si="63"/>
        <v>29.082652210167261</v>
      </c>
      <c r="AB38" s="909">
        <f t="shared" si="63"/>
        <v>4.660167830592421</v>
      </c>
      <c r="AC38" s="899">
        <f t="shared" si="63"/>
        <v>32.578126315982999</v>
      </c>
      <c r="AD38" s="899">
        <f t="shared" si="63"/>
        <v>-7.8026832734945373E-2</v>
      </c>
      <c r="AE38" s="899">
        <f t="shared" si="63"/>
        <v>67.001978779143158</v>
      </c>
      <c r="AF38" s="899">
        <f t="shared" si="63"/>
        <v>-66.29497690427533</v>
      </c>
      <c r="AG38" s="907">
        <f t="shared" si="63"/>
        <v>-122.78740220906469</v>
      </c>
      <c r="AH38" s="899">
        <f t="shared" si="63"/>
        <v>-254.90027118489579</v>
      </c>
      <c r="AI38" s="908">
        <f t="shared" si="63"/>
        <v>-5.1481861803315265</v>
      </c>
      <c r="AJ38" s="908">
        <f t="shared" si="63"/>
        <v>27.452088593941106</v>
      </c>
      <c r="AK38" s="907">
        <f t="shared" si="63"/>
        <v>74.257013027696502</v>
      </c>
      <c r="AL38" s="908">
        <f t="shared" si="63"/>
        <v>78.873209904346538</v>
      </c>
      <c r="AM38" s="908">
        <f t="shared" si="63"/>
        <v>103.83867335238884</v>
      </c>
      <c r="AN38" s="909">
        <f t="shared" si="63"/>
        <v>-13.553585732080098</v>
      </c>
      <c r="AO38" s="908">
        <f>(AO36-AN36)*10000</f>
        <v>-51.2821314676859</v>
      </c>
      <c r="AP38" s="908">
        <f t="shared" si="63"/>
        <v>-11.208869241300379</v>
      </c>
      <c r="AQ38" s="908">
        <f t="shared" si="63"/>
        <v>-5.1034310108954983</v>
      </c>
      <c r="AR38" s="909">
        <f t="shared" si="63"/>
        <v>129.27858613967501</v>
      </c>
      <c r="AS38" s="908">
        <f t="shared" ref="AS38:AV38" si="64">(AS36-AR36)*10000</f>
        <v>-82.966285887479117</v>
      </c>
      <c r="AT38" s="908">
        <f t="shared" si="64"/>
        <v>-1.2088692413003699</v>
      </c>
      <c r="AU38" s="908">
        <f t="shared" si="64"/>
        <v>4.8965689891045105</v>
      </c>
      <c r="AV38" s="909">
        <f t="shared" si="64"/>
        <v>109.278586139675</v>
      </c>
      <c r="AW38" s="908">
        <f t="shared" ref="AW38:BD38" si="65">(AW36-AV36)*10000</f>
        <v>-92.966285887479131</v>
      </c>
      <c r="AX38" s="908">
        <f t="shared" si="65"/>
        <v>-1.2088692413003699</v>
      </c>
      <c r="AY38" s="908">
        <f t="shared" si="65"/>
        <v>4.8965689891045105</v>
      </c>
      <c r="AZ38" s="909">
        <f t="shared" si="65"/>
        <v>109.278586139675</v>
      </c>
      <c r="BA38" s="908">
        <f t="shared" si="65"/>
        <v>-92.966285887479131</v>
      </c>
      <c r="BB38" s="908">
        <f t="shared" si="65"/>
        <v>-1.2088692413003699</v>
      </c>
      <c r="BC38" s="908">
        <f t="shared" si="65"/>
        <v>4.8965689891045105</v>
      </c>
      <c r="BD38" s="909">
        <f t="shared" si="65"/>
        <v>109.278586139675</v>
      </c>
      <c r="BE38" s="883"/>
      <c r="BF38" s="106"/>
      <c r="BG38" s="106"/>
      <c r="BH38" s="106"/>
      <c r="BI38" s="106"/>
      <c r="BJ38" s="106"/>
      <c r="BK38" s="106"/>
      <c r="BL38" s="106"/>
      <c r="BM38" s="106"/>
      <c r="BP38" s="106"/>
      <c r="BQ38" s="106"/>
      <c r="BR38" s="106"/>
      <c r="BS38" s="106"/>
      <c r="BT38" s="106"/>
      <c r="BU38" s="106"/>
      <c r="BV38" s="106"/>
      <c r="BW38" s="106"/>
      <c r="BX38" s="106"/>
      <c r="BY38" s="830"/>
    </row>
    <row r="39" spans="1:84" ht="11.25" customHeight="1">
      <c r="A39" s="36"/>
      <c r="B39" s="36"/>
      <c r="C39" s="36"/>
      <c r="D39" s="36"/>
      <c r="E39" s="36"/>
      <c r="F39" s="36"/>
      <c r="G39" s="36"/>
      <c r="H39" s="36"/>
      <c r="I39" s="622"/>
      <c r="J39" s="50"/>
      <c r="K39" s="50"/>
      <c r="L39" s="50"/>
      <c r="M39" s="78"/>
      <c r="N39" s="78"/>
      <c r="O39" s="78"/>
      <c r="P39" s="78"/>
      <c r="Q39" s="873"/>
      <c r="R39" s="78"/>
      <c r="S39" s="78"/>
      <c r="T39" s="874"/>
      <c r="U39" s="78"/>
      <c r="V39" s="78"/>
      <c r="W39" s="78"/>
      <c r="X39" s="78"/>
      <c r="Y39" s="873"/>
      <c r="Z39" s="78"/>
      <c r="AA39" s="78"/>
      <c r="AB39" s="874"/>
      <c r="AC39" s="78"/>
      <c r="AD39" s="78"/>
      <c r="AE39" s="78"/>
      <c r="AF39" s="78"/>
      <c r="AG39" s="2843"/>
      <c r="AH39" s="1183"/>
      <c r="AI39" s="2696"/>
      <c r="AJ39" s="2696"/>
      <c r="AK39" s="2843"/>
      <c r="AL39" s="2696"/>
      <c r="AM39" s="2696"/>
      <c r="AN39" s="2697"/>
      <c r="AO39" s="2696"/>
      <c r="AP39" s="2696"/>
      <c r="AQ39" s="2696"/>
      <c r="AR39" s="2697"/>
      <c r="AS39" s="78"/>
      <c r="AT39" s="78"/>
      <c r="AU39" s="78"/>
      <c r="AV39" s="874"/>
      <c r="AW39" s="78"/>
      <c r="AX39" s="78"/>
      <c r="AY39" s="78"/>
      <c r="AZ39" s="874"/>
      <c r="BA39" s="78"/>
      <c r="BB39" s="78"/>
      <c r="BC39" s="78"/>
      <c r="BD39" s="874"/>
      <c r="BE39" s="883"/>
      <c r="BF39" s="78"/>
      <c r="BG39" s="78"/>
      <c r="BH39" s="78"/>
      <c r="BI39" s="78"/>
      <c r="BJ39" s="78"/>
      <c r="BK39" s="78"/>
      <c r="BL39" s="78"/>
      <c r="BM39" s="78"/>
      <c r="BN39" s="78"/>
      <c r="BO39" s="78"/>
      <c r="BP39" s="78"/>
      <c r="BQ39" s="78"/>
      <c r="BR39" s="78"/>
      <c r="BS39" s="78"/>
      <c r="BT39" s="78"/>
      <c r="BU39" s="78"/>
      <c r="BV39" s="78"/>
      <c r="BW39" s="78"/>
      <c r="BX39" s="78"/>
      <c r="BY39" s="874"/>
      <c r="BZ39" s="36"/>
      <c r="CA39" s="36"/>
      <c r="CB39" s="36"/>
      <c r="CC39" s="36"/>
      <c r="CD39" s="36"/>
      <c r="CE39" s="36"/>
      <c r="CF39" s="36"/>
    </row>
    <row r="40" spans="1:84" ht="11.25" customHeight="1">
      <c r="A40" s="36"/>
      <c r="B40" s="36"/>
      <c r="C40" s="36"/>
      <c r="D40" s="36"/>
      <c r="E40" s="36"/>
      <c r="F40" s="36"/>
      <c r="G40" s="36"/>
      <c r="H40" s="36"/>
      <c r="I40" s="622"/>
      <c r="J40" s="50"/>
      <c r="K40" s="50"/>
      <c r="L40" s="50"/>
      <c r="M40" s="78"/>
      <c r="N40" s="78"/>
      <c r="O40" s="78"/>
      <c r="P40" s="78"/>
      <c r="Q40" s="873"/>
      <c r="R40" s="78"/>
      <c r="S40" s="78"/>
      <c r="T40" s="874"/>
      <c r="U40" s="78"/>
      <c r="V40" s="78"/>
      <c r="W40" s="78"/>
      <c r="X40" s="78"/>
      <c r="Y40" s="873"/>
      <c r="Z40" s="78"/>
      <c r="AA40" s="78"/>
      <c r="AB40" s="874"/>
      <c r="AC40" s="78"/>
      <c r="AD40" s="78"/>
      <c r="AE40" s="78"/>
      <c r="AF40" s="78"/>
      <c r="AG40" s="873"/>
      <c r="AH40" s="1315"/>
      <c r="AI40" s="106"/>
      <c r="AJ40" s="78"/>
      <c r="AK40" s="873"/>
      <c r="AL40" s="1315"/>
      <c r="AM40" s="78"/>
      <c r="AN40" s="874"/>
      <c r="AO40" s="78"/>
      <c r="AP40" s="1315"/>
      <c r="AQ40" s="1315"/>
      <c r="AR40" s="874"/>
      <c r="AS40" s="78"/>
      <c r="AT40" s="1315"/>
      <c r="AU40" s="78"/>
      <c r="AV40" s="874"/>
      <c r="AW40" s="78"/>
      <c r="AX40" s="1315"/>
      <c r="AY40" s="78"/>
      <c r="AZ40" s="874"/>
      <c r="BA40" s="78"/>
      <c r="BB40" s="1315"/>
      <c r="BC40" s="78"/>
      <c r="BD40" s="874"/>
      <c r="BE40" s="2582"/>
      <c r="BF40" s="78"/>
      <c r="BG40" s="78"/>
      <c r="BH40" s="78"/>
      <c r="BI40" s="78"/>
      <c r="BJ40" s="78"/>
      <c r="BK40" s="78"/>
      <c r="BL40" s="78"/>
      <c r="BM40" s="78"/>
      <c r="BN40" s="78"/>
      <c r="BO40" s="78"/>
      <c r="BP40" s="78"/>
      <c r="BQ40" s="78"/>
      <c r="BR40" s="78"/>
      <c r="BS40" s="78"/>
      <c r="BT40" s="78"/>
      <c r="BU40" s="78"/>
      <c r="BV40" s="78"/>
      <c r="BW40" s="78"/>
      <c r="BX40" s="78"/>
      <c r="BY40" s="874"/>
      <c r="BZ40" s="36"/>
      <c r="CA40" s="36"/>
      <c r="CB40" s="36"/>
      <c r="CC40" s="36"/>
      <c r="CD40" s="36"/>
      <c r="CE40" s="36"/>
      <c r="CF40" s="36"/>
    </row>
    <row r="41" spans="1:84" ht="11.25" customHeight="1">
      <c r="A41" s="36"/>
      <c r="B41" s="36"/>
      <c r="C41" s="36"/>
      <c r="D41" s="36"/>
      <c r="E41" s="36"/>
      <c r="F41" s="36"/>
      <c r="G41" s="36"/>
      <c r="H41" s="36"/>
      <c r="I41" s="138" t="s">
        <v>521</v>
      </c>
      <c r="J41" s="50"/>
      <c r="K41" s="50"/>
      <c r="L41" s="50"/>
      <c r="M41" s="78"/>
      <c r="N41" s="78"/>
      <c r="O41" s="78"/>
      <c r="P41" s="78"/>
      <c r="Q41" s="873"/>
      <c r="R41" s="78"/>
      <c r="S41" s="78"/>
      <c r="T41" s="874"/>
      <c r="U41" s="2090">
        <f t="shared" ref="U41:AB41" si="66">U204</f>
        <v>2.1259999999999999</v>
      </c>
      <c r="V41" s="2090">
        <f t="shared" si="66"/>
        <v>2.298</v>
      </c>
      <c r="W41" s="2090">
        <f t="shared" si="66"/>
        <v>2.5009999999999999</v>
      </c>
      <c r="X41" s="2090">
        <f t="shared" si="66"/>
        <v>3.0030000000000001</v>
      </c>
      <c r="Y41" s="2090">
        <f t="shared" si="66"/>
        <v>3.34</v>
      </c>
      <c r="Z41" s="2090">
        <f t="shared" si="66"/>
        <v>4.0179999999999998</v>
      </c>
      <c r="AA41" s="2090">
        <f t="shared" si="66"/>
        <v>4.2770000000000001</v>
      </c>
      <c r="AB41" s="2090">
        <f t="shared" si="66"/>
        <v>4.9260000000000002</v>
      </c>
      <c r="AC41" s="2090">
        <f t="shared" ref="AC41:AP41" si="67">AC204</f>
        <v>5.077</v>
      </c>
      <c r="AD41" s="2090">
        <f t="shared" si="67"/>
        <v>5.8449999999999998</v>
      </c>
      <c r="AE41" s="2090">
        <f t="shared" si="67"/>
        <v>6.1740000000000004</v>
      </c>
      <c r="AF41" s="2090">
        <f t="shared" si="67"/>
        <v>7.2859999999999996</v>
      </c>
      <c r="AG41" s="2223">
        <f t="shared" si="67"/>
        <v>8.6989999999999998</v>
      </c>
      <c r="AH41" s="2090">
        <f t="shared" si="67"/>
        <v>13.057</v>
      </c>
      <c r="AI41" s="2090">
        <f t="shared" si="67"/>
        <v>14.259</v>
      </c>
      <c r="AJ41" s="2224">
        <f t="shared" si="67"/>
        <v>15</v>
      </c>
      <c r="AK41" s="2223">
        <f t="shared" si="67"/>
        <v>15.077999999999999</v>
      </c>
      <c r="AL41" s="2090">
        <f t="shared" si="67"/>
        <v>15.087</v>
      </c>
      <c r="AM41" s="2090">
        <f t="shared" si="67"/>
        <v>14.593999999999999</v>
      </c>
      <c r="AN41" s="2224">
        <f t="shared" si="67"/>
        <v>15.603999999999999</v>
      </c>
      <c r="AO41" s="2090">
        <f>AO204</f>
        <v>16.914000000000001</v>
      </c>
      <c r="AP41" s="2090">
        <f t="shared" si="67"/>
        <v>18.056000000000001</v>
      </c>
      <c r="AQ41" s="2090">
        <f t="shared" ref="AQ41:AR41" si="68">AQ204</f>
        <v>19.312000000000001</v>
      </c>
      <c r="AR41" s="2224">
        <f t="shared" si="68"/>
        <v>16.236000000000001</v>
      </c>
      <c r="AS41" s="2090">
        <f t="shared" ref="AS41:BD41" si="69">AS204</f>
        <v>18.334141342304051</v>
      </c>
      <c r="AT41" s="2090">
        <f t="shared" si="69"/>
        <v>19.203285207716789</v>
      </c>
      <c r="AU41" s="2090">
        <f t="shared" si="69"/>
        <v>20.425562843209349</v>
      </c>
      <c r="AV41" s="2224">
        <f t="shared" si="69"/>
        <v>18.53171047166958</v>
      </c>
      <c r="AW41" s="2090">
        <f t="shared" si="69"/>
        <v>21.13373133225198</v>
      </c>
      <c r="AX41" s="2090">
        <f t="shared" si="69"/>
        <v>21.886997862855765</v>
      </c>
      <c r="AY41" s="2090">
        <f t="shared" si="69"/>
        <v>23.002518575778584</v>
      </c>
      <c r="AZ41" s="2224">
        <f t="shared" si="69"/>
        <v>20.552905158839103</v>
      </c>
      <c r="BA41" s="2090">
        <f t="shared" si="69"/>
        <v>23.406247372791579</v>
      </c>
      <c r="BB41" s="2090">
        <f t="shared" si="69"/>
        <v>24.166457672888853</v>
      </c>
      <c r="BC41" s="2090">
        <f t="shared" si="69"/>
        <v>25.208930163548011</v>
      </c>
      <c r="BD41" s="2224">
        <f t="shared" si="69"/>
        <v>22.328312630818431</v>
      </c>
      <c r="BE41" s="2582"/>
      <c r="BF41" s="78"/>
      <c r="BG41" s="78"/>
      <c r="BH41" s="78"/>
      <c r="BI41" s="78"/>
      <c r="BJ41" s="78"/>
      <c r="BK41" s="1297">
        <f t="shared" ref="BK41:BY41" si="70">BK204</f>
        <v>5.931</v>
      </c>
      <c r="BL41" s="1297">
        <f t="shared" si="70"/>
        <v>9.927999999999999</v>
      </c>
      <c r="BM41" s="1297">
        <f t="shared" si="70"/>
        <v>16.561</v>
      </c>
      <c r="BN41" s="1930">
        <f t="shared" si="70"/>
        <v>24.381999999999998</v>
      </c>
      <c r="BO41" s="2090">
        <f t="shared" si="70"/>
        <v>51.015000000000001</v>
      </c>
      <c r="BP41" s="1930">
        <f t="shared" si="70"/>
        <v>60.363</v>
      </c>
      <c r="BQ41" s="1930">
        <f t="shared" si="70"/>
        <v>70.518000000000001</v>
      </c>
      <c r="BR41" s="1930">
        <f t="shared" si="70"/>
        <v>76.494699864899772</v>
      </c>
      <c r="BS41" s="1930">
        <f t="shared" si="70"/>
        <v>86.576152929725424</v>
      </c>
      <c r="BT41" s="1930">
        <f t="shared" si="70"/>
        <v>95.109947840046885</v>
      </c>
      <c r="BU41" s="1930">
        <f t="shared" si="70"/>
        <v>102.62602852611515</v>
      </c>
      <c r="BV41" s="1930">
        <f t="shared" si="70"/>
        <v>109.28334902090559</v>
      </c>
      <c r="BW41" s="1930">
        <f t="shared" si="70"/>
        <v>115.14983896446034</v>
      </c>
      <c r="BX41" s="1930">
        <f t="shared" si="70"/>
        <v>122.04989796425866</v>
      </c>
      <c r="BY41" s="2415">
        <f t="shared" si="70"/>
        <v>128.52147128335884</v>
      </c>
      <c r="BZ41" s="36"/>
      <c r="CA41" s="36"/>
      <c r="CB41" s="36"/>
      <c r="CC41" s="36"/>
      <c r="CD41" s="36"/>
      <c r="CE41" s="36"/>
      <c r="CF41" s="36"/>
    </row>
    <row r="42" spans="1:84" ht="11.25" customHeight="1">
      <c r="A42" s="36"/>
      <c r="B42" s="36"/>
      <c r="C42" s="36"/>
      <c r="D42" s="36"/>
      <c r="E42" s="36"/>
      <c r="F42" s="36"/>
      <c r="G42" s="36"/>
      <c r="H42" s="36"/>
      <c r="I42" s="1911" t="s">
        <v>522</v>
      </c>
      <c r="J42" s="50"/>
      <c r="K42" s="50"/>
      <c r="L42" s="50"/>
      <c r="M42" s="78"/>
      <c r="N42" s="78"/>
      <c r="O42" s="78"/>
      <c r="P42" s="78"/>
      <c r="Q42" s="873"/>
      <c r="R42" s="78"/>
      <c r="S42" s="78"/>
      <c r="T42" s="874"/>
      <c r="U42" s="78"/>
      <c r="V42" s="78"/>
      <c r="W42" s="78"/>
      <c r="X42" s="78"/>
      <c r="Y42" s="1913">
        <f t="shared" ref="Y42:AF42" si="71">+Y41-U41</f>
        <v>1.214</v>
      </c>
      <c r="Z42" s="1913">
        <f t="shared" si="71"/>
        <v>1.7199999999999998</v>
      </c>
      <c r="AA42" s="1913">
        <f t="shared" si="71"/>
        <v>1.7760000000000002</v>
      </c>
      <c r="AB42" s="1913">
        <f t="shared" si="71"/>
        <v>1.923</v>
      </c>
      <c r="AC42" s="1913">
        <f t="shared" si="71"/>
        <v>1.7370000000000001</v>
      </c>
      <c r="AD42" s="1913">
        <f t="shared" si="71"/>
        <v>1.827</v>
      </c>
      <c r="AE42" s="1913">
        <f t="shared" si="71"/>
        <v>1.8970000000000002</v>
      </c>
      <c r="AF42" s="1913">
        <f t="shared" si="71"/>
        <v>2.3599999999999994</v>
      </c>
      <c r="AG42" s="2210">
        <f t="shared" ref="AG42:AR42" si="72">+AG41-AC41</f>
        <v>3.6219999999999999</v>
      </c>
      <c r="AH42" s="1913">
        <f t="shared" si="72"/>
        <v>7.2120000000000006</v>
      </c>
      <c r="AI42" s="1913">
        <f t="shared" si="72"/>
        <v>8.0850000000000009</v>
      </c>
      <c r="AJ42" s="2212">
        <f t="shared" si="72"/>
        <v>7.7140000000000004</v>
      </c>
      <c r="AK42" s="2210">
        <f t="shared" si="72"/>
        <v>6.3789999999999996</v>
      </c>
      <c r="AL42" s="1913">
        <f t="shared" si="72"/>
        <v>2.0299999999999994</v>
      </c>
      <c r="AM42" s="1913">
        <f t="shared" si="72"/>
        <v>0.33499999999999908</v>
      </c>
      <c r="AN42" s="2212">
        <f t="shared" si="72"/>
        <v>0.6039999999999992</v>
      </c>
      <c r="AO42" s="1913">
        <f>+AO41-AK41</f>
        <v>1.8360000000000021</v>
      </c>
      <c r="AP42" s="1913">
        <f t="shared" si="72"/>
        <v>2.9690000000000012</v>
      </c>
      <c r="AQ42" s="1913">
        <f t="shared" si="72"/>
        <v>4.7180000000000017</v>
      </c>
      <c r="AR42" s="2212">
        <f t="shared" si="72"/>
        <v>0.63200000000000145</v>
      </c>
      <c r="AS42" s="1913">
        <f t="shared" ref="AS42:BD42" si="73">+AS41-AO41</f>
        <v>1.4201413423040492</v>
      </c>
      <c r="AT42" s="1913">
        <f t="shared" si="73"/>
        <v>1.1472852077167879</v>
      </c>
      <c r="AU42" s="1913">
        <f t="shared" si="73"/>
        <v>1.1135628432093476</v>
      </c>
      <c r="AV42" s="2212">
        <f t="shared" si="73"/>
        <v>2.2957104716695795</v>
      </c>
      <c r="AW42" s="1913">
        <f t="shared" si="73"/>
        <v>2.7995899899479291</v>
      </c>
      <c r="AX42" s="1913">
        <f t="shared" si="73"/>
        <v>2.6837126551389758</v>
      </c>
      <c r="AY42" s="1913">
        <f t="shared" si="73"/>
        <v>2.5769557325692354</v>
      </c>
      <c r="AZ42" s="2212">
        <f t="shared" si="73"/>
        <v>2.0211946871695226</v>
      </c>
      <c r="BA42" s="1913">
        <f t="shared" si="73"/>
        <v>2.2725160405395997</v>
      </c>
      <c r="BB42" s="1913">
        <f t="shared" si="73"/>
        <v>2.2794598100330887</v>
      </c>
      <c r="BC42" s="1913">
        <f t="shared" si="73"/>
        <v>2.206411587769427</v>
      </c>
      <c r="BD42" s="2212">
        <f t="shared" si="73"/>
        <v>1.775407471979328</v>
      </c>
      <c r="BE42" s="2582"/>
      <c r="BF42" s="78"/>
      <c r="BG42" s="78"/>
      <c r="BH42" s="78"/>
      <c r="BI42" s="78"/>
      <c r="BJ42" s="78"/>
      <c r="BK42" s="78"/>
      <c r="BL42" s="1913">
        <f>+BL41-BK41</f>
        <v>3.996999999999999</v>
      </c>
      <c r="BM42" s="1913">
        <f>+BM41-BL41</f>
        <v>6.6330000000000009</v>
      </c>
      <c r="BN42" s="1913">
        <f>+BN41-BM41</f>
        <v>7.820999999999998</v>
      </c>
      <c r="BO42" s="1913">
        <f>+BO41-BN41</f>
        <v>26.633000000000003</v>
      </c>
      <c r="BP42" s="1913">
        <f t="shared" ref="BP42:BY42" si="74">+BP41-BO41</f>
        <v>9.347999999999999</v>
      </c>
      <c r="BQ42" s="1913">
        <f t="shared" si="74"/>
        <v>10.155000000000001</v>
      </c>
      <c r="BR42" s="1913">
        <f t="shared" si="74"/>
        <v>5.9766998648997713</v>
      </c>
      <c r="BS42" s="1913">
        <f t="shared" si="74"/>
        <v>10.081453064825652</v>
      </c>
      <c r="BT42" s="1913">
        <f t="shared" si="74"/>
        <v>8.5337949103214612</v>
      </c>
      <c r="BU42" s="1913">
        <f t="shared" si="74"/>
        <v>7.5160806860682641</v>
      </c>
      <c r="BV42" s="1913">
        <f t="shared" si="74"/>
        <v>6.6573204947904401</v>
      </c>
      <c r="BW42" s="1913">
        <f t="shared" si="74"/>
        <v>5.8664899435547539</v>
      </c>
      <c r="BX42" s="1913">
        <f t="shared" si="74"/>
        <v>6.9000589997983184</v>
      </c>
      <c r="BY42" s="2212">
        <f t="shared" si="74"/>
        <v>6.4715733191001732</v>
      </c>
      <c r="BZ42" s="36"/>
      <c r="CA42" s="36"/>
      <c r="CB42" s="36"/>
      <c r="CC42" s="36"/>
      <c r="CD42" s="36"/>
      <c r="CE42" s="36"/>
      <c r="CF42" s="36"/>
    </row>
    <row r="43" spans="1:84" ht="11.25" customHeight="1">
      <c r="A43" s="36"/>
      <c r="B43" s="36"/>
      <c r="C43" s="36"/>
      <c r="D43" s="36"/>
      <c r="E43" s="36"/>
      <c r="F43" s="36"/>
      <c r="G43" s="36"/>
      <c r="H43" s="36"/>
      <c r="I43" s="1911"/>
      <c r="J43" s="50"/>
      <c r="K43" s="50"/>
      <c r="L43" s="50"/>
      <c r="M43" s="78"/>
      <c r="N43" s="78"/>
      <c r="O43" s="78"/>
      <c r="P43" s="78"/>
      <c r="Q43" s="873"/>
      <c r="R43" s="78"/>
      <c r="S43" s="78"/>
      <c r="T43" s="874"/>
      <c r="U43" s="78"/>
      <c r="V43" s="78"/>
      <c r="W43" s="78"/>
      <c r="X43" s="78"/>
      <c r="Y43" s="1913"/>
      <c r="Z43" s="1913"/>
      <c r="AA43" s="1913"/>
      <c r="AB43" s="1913"/>
      <c r="AC43" s="1913"/>
      <c r="AD43" s="1913"/>
      <c r="AE43" s="1913"/>
      <c r="AF43" s="1913"/>
      <c r="AG43" s="2210"/>
      <c r="AH43" s="1913"/>
      <c r="AI43" s="1913"/>
      <c r="AJ43" s="2212"/>
      <c r="AK43" s="2210"/>
      <c r="AL43" s="1913"/>
      <c r="AM43" s="1913"/>
      <c r="AN43" s="2212"/>
      <c r="AO43" s="1913"/>
      <c r="AP43" s="1913"/>
      <c r="AQ43" s="1913"/>
      <c r="AR43" s="2212"/>
      <c r="AS43" s="1913"/>
      <c r="AT43" s="1913"/>
      <c r="AU43" s="1913"/>
      <c r="AV43" s="2212"/>
      <c r="AW43" s="1913"/>
      <c r="AX43" s="1913"/>
      <c r="AY43" s="1913"/>
      <c r="AZ43" s="2212"/>
      <c r="BA43" s="1913"/>
      <c r="BB43" s="1913"/>
      <c r="BC43" s="1913"/>
      <c r="BD43" s="2212"/>
      <c r="BE43" s="2582"/>
      <c r="BF43" s="78"/>
      <c r="BG43" s="78"/>
      <c r="BH43" s="78"/>
      <c r="BI43" s="78"/>
      <c r="BJ43" s="78"/>
      <c r="BK43" s="78"/>
      <c r="BL43" s="1913"/>
      <c r="BM43" s="1913"/>
      <c r="BN43" s="1913"/>
      <c r="BO43" s="1913"/>
      <c r="BP43" s="1913"/>
      <c r="BQ43" s="1913"/>
      <c r="BR43" s="1913"/>
      <c r="BS43" s="1913"/>
      <c r="BT43" s="1913"/>
      <c r="BU43" s="1913"/>
      <c r="BV43" s="1913"/>
      <c r="BW43" s="1913"/>
      <c r="BX43" s="1913"/>
      <c r="BY43" s="2212"/>
      <c r="BZ43" s="36"/>
      <c r="CA43" s="36"/>
      <c r="CB43" s="36"/>
      <c r="CC43" s="36"/>
      <c r="CD43" s="36"/>
      <c r="CE43" s="36"/>
      <c r="CF43" s="36"/>
    </row>
    <row r="44" spans="1:84" ht="11.25" customHeight="1">
      <c r="A44" s="36"/>
      <c r="B44" s="36"/>
      <c r="C44" s="36"/>
      <c r="D44" s="36"/>
      <c r="E44" s="36"/>
      <c r="F44" s="36"/>
      <c r="G44" s="36"/>
      <c r="H44" s="36"/>
      <c r="I44" s="1914" t="s">
        <v>529</v>
      </c>
      <c r="J44" s="50"/>
      <c r="K44" s="50"/>
      <c r="L44" s="50"/>
      <c r="M44" s="78"/>
      <c r="N44" s="78"/>
      <c r="O44" s="78"/>
      <c r="P44" s="78"/>
      <c r="Q44" s="873"/>
      <c r="R44" s="78"/>
      <c r="S44" s="78"/>
      <c r="T44" s="874"/>
      <c r="U44" s="78"/>
      <c r="V44" s="78"/>
      <c r="W44" s="78"/>
      <c r="X44" s="78"/>
      <c r="Y44" s="873"/>
      <c r="Z44" s="78"/>
      <c r="AA44" s="78"/>
      <c r="AB44" s="874"/>
      <c r="AC44" s="1297"/>
      <c r="AD44" s="1297"/>
      <c r="AE44" s="1297"/>
      <c r="AF44" s="1297"/>
      <c r="AG44" s="1296"/>
      <c r="AH44" s="1297"/>
      <c r="AI44" s="1297"/>
      <c r="AJ44" s="1298"/>
      <c r="AK44" s="1296"/>
      <c r="AL44" s="1297"/>
      <c r="AM44" s="1913"/>
      <c r="AN44" s="1298"/>
      <c r="AO44" s="1297"/>
      <c r="AP44" s="1297"/>
      <c r="AQ44" s="1297"/>
      <c r="AR44" s="1298"/>
      <c r="AS44" s="1297"/>
      <c r="AT44" s="1297"/>
      <c r="AU44" s="1297"/>
      <c r="AV44" s="1298"/>
      <c r="AW44" s="1297"/>
      <c r="AX44" s="1297"/>
      <c r="AY44" s="1297"/>
      <c r="AZ44" s="1298"/>
      <c r="BA44" s="1297"/>
      <c r="BB44" s="1297"/>
      <c r="BC44" s="1297"/>
      <c r="BD44" s="1298"/>
      <c r="BE44" s="2582"/>
      <c r="BF44" s="78"/>
      <c r="BG44" s="78"/>
      <c r="BH44" s="78"/>
      <c r="BI44" s="78"/>
      <c r="BJ44" s="78"/>
      <c r="BK44" s="78"/>
      <c r="BL44" s="1297"/>
      <c r="BM44" s="1297"/>
      <c r="BN44" s="2129"/>
      <c r="BO44" s="2129"/>
      <c r="BP44" s="2572"/>
      <c r="BQ44" s="2129"/>
      <c r="BR44" s="2129"/>
      <c r="BS44" s="2129"/>
      <c r="BT44" s="1297"/>
      <c r="BU44" s="1297"/>
      <c r="BV44" s="1297"/>
      <c r="BW44" s="1297"/>
      <c r="BX44" s="1297"/>
      <c r="BY44" s="1298"/>
      <c r="BZ44" s="36"/>
      <c r="CA44" s="36"/>
      <c r="CB44" s="36"/>
      <c r="CC44" s="36"/>
      <c r="CD44" s="36"/>
      <c r="CE44" s="36"/>
      <c r="CF44" s="36"/>
    </row>
    <row r="45" spans="1:84" ht="11.25" hidden="1" customHeight="1" outlineLevel="1">
      <c r="A45" s="36"/>
      <c r="B45" s="36"/>
      <c r="C45" s="36"/>
      <c r="D45" s="36"/>
      <c r="E45" s="36"/>
      <c r="F45" s="36"/>
      <c r="G45" s="36"/>
      <c r="H45" s="36"/>
      <c r="I45" s="798" t="s">
        <v>523</v>
      </c>
      <c r="J45" s="50"/>
      <c r="K45" s="50"/>
      <c r="L45" s="50"/>
      <c r="M45" s="78"/>
      <c r="N45" s="78"/>
      <c r="O45" s="78"/>
      <c r="P45" s="78"/>
      <c r="Q45" s="873"/>
      <c r="R45" s="78"/>
      <c r="S45" s="78"/>
      <c r="T45" s="874"/>
      <c r="U45" s="78"/>
      <c r="V45" s="78"/>
      <c r="W45" s="78"/>
      <c r="X45" s="78"/>
      <c r="Y45" s="873"/>
      <c r="Z45" s="78"/>
      <c r="AA45" s="78"/>
      <c r="AB45" s="874"/>
      <c r="AC45" s="1297"/>
      <c r="AD45" s="1297"/>
      <c r="AE45" s="1297"/>
      <c r="AF45" s="1297"/>
      <c r="AG45" s="2326">
        <v>1.6</v>
      </c>
      <c r="AH45" s="2319">
        <v>3.6</v>
      </c>
      <c r="AI45" s="2319">
        <v>3.9</v>
      </c>
      <c r="AJ45" s="913">
        <f t="shared" ref="AJ45:AJ50" si="75">$BO45-SUM(AG45:AI45)</f>
        <v>2.7000000000000011</v>
      </c>
      <c r="AK45" s="2323">
        <v>2.6</v>
      </c>
      <c r="AL45" s="2319">
        <v>-0.2</v>
      </c>
      <c r="AM45" s="2319">
        <v>-1.4</v>
      </c>
      <c r="AN45" s="913">
        <f t="shared" ref="AN45:AN50" si="76">$BP45-SUM(AK45:AM45)</f>
        <v>0</v>
      </c>
      <c r="AO45" s="2323">
        <v>-0.1</v>
      </c>
      <c r="AP45" s="1915">
        <v>0</v>
      </c>
      <c r="AQ45" s="1915">
        <v>0</v>
      </c>
      <c r="AR45" s="2905"/>
      <c r="AS45" s="1297"/>
      <c r="AT45" s="1297"/>
      <c r="AU45" s="1297"/>
      <c r="AV45" s="1298"/>
      <c r="AW45" s="1297"/>
      <c r="AX45" s="1297"/>
      <c r="AY45" s="1297"/>
      <c r="AZ45" s="1298"/>
      <c r="BA45" s="1297"/>
      <c r="BB45" s="1297"/>
      <c r="BC45" s="1297"/>
      <c r="BD45" s="1298"/>
      <c r="BE45" s="2582"/>
      <c r="BF45" s="78"/>
      <c r="BG45" s="78"/>
      <c r="BH45" s="78"/>
      <c r="BI45" s="78"/>
      <c r="BJ45" s="78"/>
      <c r="BK45" s="78"/>
      <c r="BL45" s="1915">
        <v>1.9</v>
      </c>
      <c r="BM45" s="1915">
        <v>1.7</v>
      </c>
      <c r="BN45" s="1915">
        <v>4.3</v>
      </c>
      <c r="BO45" s="1915">
        <v>11.8</v>
      </c>
      <c r="BP45" s="1948">
        <v>1</v>
      </c>
      <c r="BQ45" s="1433">
        <f t="shared" ref="BQ45:BY45" si="77">+BQ53*BQ54</f>
        <v>1.3374400000000004</v>
      </c>
      <c r="BR45" s="1433">
        <f t="shared" si="77"/>
        <v>1.1318700000000002</v>
      </c>
      <c r="BS45" s="1433">
        <f t="shared" si="77"/>
        <v>1.5640000000000009</v>
      </c>
      <c r="BT45" s="1433">
        <f t="shared" si="77"/>
        <v>1.4419999999999982</v>
      </c>
      <c r="BU45" s="1433">
        <f t="shared" si="77"/>
        <v>1.4000000000000001</v>
      </c>
      <c r="BV45" s="1433">
        <f t="shared" si="77"/>
        <v>1.37</v>
      </c>
      <c r="BW45" s="1433">
        <f t="shared" si="77"/>
        <v>1.33</v>
      </c>
      <c r="BX45" s="1433">
        <f t="shared" si="77"/>
        <v>1.29</v>
      </c>
      <c r="BY45" s="1460">
        <f t="shared" si="77"/>
        <v>1.26</v>
      </c>
      <c r="BZ45" s="36"/>
      <c r="CA45" s="36"/>
      <c r="CB45" s="36"/>
      <c r="CC45" s="36"/>
      <c r="CD45" s="36"/>
      <c r="CE45" s="36"/>
      <c r="CF45" s="36"/>
    </row>
    <row r="46" spans="1:84" ht="11.25" hidden="1" customHeight="1" outlineLevel="1">
      <c r="A46" s="36"/>
      <c r="B46" s="36"/>
      <c r="C46" s="36"/>
      <c r="D46" s="36"/>
      <c r="E46" s="36"/>
      <c r="F46" s="36"/>
      <c r="G46" s="36"/>
      <c r="H46" s="36"/>
      <c r="I46" s="798" t="s">
        <v>524</v>
      </c>
      <c r="J46" s="50"/>
      <c r="K46" s="50"/>
      <c r="L46" s="50"/>
      <c r="M46" s="78"/>
      <c r="N46" s="78"/>
      <c r="O46" s="78"/>
      <c r="P46" s="78"/>
      <c r="Q46" s="873"/>
      <c r="R46" s="78"/>
      <c r="S46" s="78"/>
      <c r="T46" s="874"/>
      <c r="U46" s="78"/>
      <c r="V46" s="78"/>
      <c r="W46" s="78"/>
      <c r="X46" s="78"/>
      <c r="Y46" s="873"/>
      <c r="Z46" s="78"/>
      <c r="AA46" s="78"/>
      <c r="AB46" s="874"/>
      <c r="AC46" s="1297"/>
      <c r="AD46" s="1297"/>
      <c r="AE46" s="1297"/>
      <c r="AF46" s="1297"/>
      <c r="AG46" s="2326">
        <v>0.1</v>
      </c>
      <c r="AH46" s="2319">
        <v>-0.1</v>
      </c>
      <c r="AI46" s="2319">
        <v>0</v>
      </c>
      <c r="AJ46" s="913">
        <f t="shared" si="75"/>
        <v>0.3</v>
      </c>
      <c r="AK46" s="2323">
        <v>0.7</v>
      </c>
      <c r="AL46" s="2319">
        <v>0.7</v>
      </c>
      <c r="AM46" s="2319">
        <v>0</v>
      </c>
      <c r="AN46" s="913">
        <f t="shared" si="76"/>
        <v>-0.19999999999999996</v>
      </c>
      <c r="AO46" s="2323">
        <v>-0.4</v>
      </c>
      <c r="AP46" s="1915">
        <v>0</v>
      </c>
      <c r="AQ46" s="1915">
        <v>0</v>
      </c>
      <c r="AR46" s="2905"/>
      <c r="AS46" s="1297"/>
      <c r="AT46" s="1297"/>
      <c r="AU46" s="1297"/>
      <c r="AV46" s="1298"/>
      <c r="AW46" s="1297"/>
      <c r="AX46" s="1297"/>
      <c r="AY46" s="1297"/>
      <c r="AZ46" s="1298"/>
      <c r="BA46" s="1297"/>
      <c r="BB46" s="1297"/>
      <c r="BC46" s="1297"/>
      <c r="BD46" s="1298"/>
      <c r="BE46" s="2582"/>
      <c r="BF46" s="78"/>
      <c r="BG46" s="78"/>
      <c r="BH46" s="78"/>
      <c r="BI46" s="78"/>
      <c r="BJ46" s="78"/>
      <c r="BK46" s="78"/>
      <c r="BL46" s="1915">
        <v>0.6</v>
      </c>
      <c r="BM46" s="1915">
        <v>1.3</v>
      </c>
      <c r="BN46" s="1915">
        <v>0.4</v>
      </c>
      <c r="BO46" s="1915">
        <v>0.3</v>
      </c>
      <c r="BP46" s="1948">
        <v>1.2</v>
      </c>
      <c r="BQ46" s="1951">
        <v>1</v>
      </c>
      <c r="BR46" s="1951">
        <f t="shared" ref="BR46:BY46" si="78">BQ46</f>
        <v>1</v>
      </c>
      <c r="BS46" s="1951">
        <f t="shared" si="78"/>
        <v>1</v>
      </c>
      <c r="BT46" s="1951">
        <f>BS46</f>
        <v>1</v>
      </c>
      <c r="BU46" s="1951">
        <f t="shared" si="78"/>
        <v>1</v>
      </c>
      <c r="BV46" s="1951">
        <f>BU46</f>
        <v>1</v>
      </c>
      <c r="BW46" s="1951">
        <f t="shared" si="78"/>
        <v>1</v>
      </c>
      <c r="BX46" s="1951">
        <f t="shared" si="78"/>
        <v>1</v>
      </c>
      <c r="BY46" s="2218">
        <f t="shared" si="78"/>
        <v>1</v>
      </c>
      <c r="BZ46" s="36"/>
      <c r="CA46" s="36"/>
      <c r="CB46" s="36"/>
      <c r="CC46" s="36"/>
      <c r="CD46" s="36"/>
      <c r="CE46" s="36"/>
      <c r="CF46" s="36"/>
    </row>
    <row r="47" spans="1:84" ht="11.25" hidden="1" customHeight="1" outlineLevel="1">
      <c r="A47" s="36"/>
      <c r="B47" s="36"/>
      <c r="C47" s="36"/>
      <c r="D47" s="36"/>
      <c r="E47" s="36"/>
      <c r="F47" s="36"/>
      <c r="G47" s="36"/>
      <c r="H47" s="36"/>
      <c r="I47" s="798" t="s">
        <v>530</v>
      </c>
      <c r="J47" s="50"/>
      <c r="K47" s="50"/>
      <c r="L47" s="50"/>
      <c r="M47" s="78"/>
      <c r="N47" s="78"/>
      <c r="O47" s="78"/>
      <c r="P47" s="78"/>
      <c r="Q47" s="873"/>
      <c r="R47" s="78"/>
      <c r="S47" s="78"/>
      <c r="T47" s="874"/>
      <c r="U47" s="78"/>
      <c r="V47" s="78"/>
      <c r="W47" s="78"/>
      <c r="X47" s="78"/>
      <c r="Y47" s="873"/>
      <c r="Z47" s="78"/>
      <c r="AA47" s="78"/>
      <c r="AB47" s="874"/>
      <c r="AC47" s="1297"/>
      <c r="AD47" s="1297"/>
      <c r="AE47" s="1297"/>
      <c r="AF47" s="1297"/>
      <c r="AG47" s="2326">
        <v>0.5</v>
      </c>
      <c r="AH47" s="2319">
        <v>0.6</v>
      </c>
      <c r="AI47" s="2319">
        <v>0.6</v>
      </c>
      <c r="AJ47" s="913">
        <f t="shared" si="75"/>
        <v>0.5</v>
      </c>
      <c r="AK47" s="2323">
        <v>0</v>
      </c>
      <c r="AL47" s="2319">
        <v>0</v>
      </c>
      <c r="AM47" s="2319">
        <v>0</v>
      </c>
      <c r="AN47" s="913">
        <f t="shared" si="76"/>
        <v>0</v>
      </c>
      <c r="AO47" s="2323">
        <v>0</v>
      </c>
      <c r="AP47" s="1915">
        <v>0</v>
      </c>
      <c r="AQ47" s="1915">
        <v>0</v>
      </c>
      <c r="AR47" s="2905"/>
      <c r="AS47" s="1297"/>
      <c r="AT47" s="1297"/>
      <c r="AU47" s="1297"/>
      <c r="AV47" s="1298"/>
      <c r="AW47" s="1297"/>
      <c r="AX47" s="1297"/>
      <c r="AY47" s="1297"/>
      <c r="AZ47" s="1298"/>
      <c r="BA47" s="1297"/>
      <c r="BB47" s="1297"/>
      <c r="BC47" s="1297"/>
      <c r="BD47" s="1298"/>
      <c r="BE47" s="2582"/>
      <c r="BF47" s="78"/>
      <c r="BG47" s="78"/>
      <c r="BH47" s="78"/>
      <c r="BI47" s="78"/>
      <c r="BJ47" s="78"/>
      <c r="BK47" s="78"/>
      <c r="BL47" s="1915">
        <v>0.4</v>
      </c>
      <c r="BM47" s="1915">
        <v>0.2</v>
      </c>
      <c r="BN47" s="1915">
        <v>0.7</v>
      </c>
      <c r="BO47" s="1915">
        <v>2.2000000000000002</v>
      </c>
      <c r="BP47" s="1948">
        <v>0</v>
      </c>
      <c r="BQ47" s="1951">
        <v>0</v>
      </c>
      <c r="BR47" s="1951">
        <v>0</v>
      </c>
      <c r="BS47" s="1951">
        <v>0</v>
      </c>
      <c r="BT47" s="1951">
        <v>0</v>
      </c>
      <c r="BU47" s="1951">
        <v>0</v>
      </c>
      <c r="BV47" s="1951">
        <v>0</v>
      </c>
      <c r="BW47" s="1951">
        <v>0</v>
      </c>
      <c r="BX47" s="1951">
        <v>0</v>
      </c>
      <c r="BY47" s="2218">
        <v>0</v>
      </c>
      <c r="BZ47" s="36"/>
      <c r="CA47" s="36"/>
      <c r="CB47" s="36"/>
      <c r="CC47" s="36"/>
      <c r="CD47" s="36"/>
      <c r="CE47" s="36"/>
      <c r="CF47" s="36"/>
    </row>
    <row r="48" spans="1:84" ht="11.25" hidden="1" customHeight="1" outlineLevel="1">
      <c r="A48" s="36"/>
      <c r="B48" s="36"/>
      <c r="C48" s="36"/>
      <c r="D48" s="36"/>
      <c r="E48" s="36"/>
      <c r="F48" s="36"/>
      <c r="G48" s="36"/>
      <c r="H48" s="36"/>
      <c r="I48" s="798" t="s">
        <v>531</v>
      </c>
      <c r="J48" s="50"/>
      <c r="K48" s="50"/>
      <c r="L48" s="50"/>
      <c r="M48" s="78"/>
      <c r="N48" s="78"/>
      <c r="O48" s="78"/>
      <c r="P48" s="78"/>
      <c r="Q48" s="873"/>
      <c r="R48" s="78"/>
      <c r="S48" s="78"/>
      <c r="T48" s="874"/>
      <c r="U48" s="78"/>
      <c r="V48" s="78"/>
      <c r="W48" s="78"/>
      <c r="X48" s="78"/>
      <c r="Y48" s="873"/>
      <c r="Z48" s="78"/>
      <c r="AA48" s="78"/>
      <c r="AB48" s="874"/>
      <c r="AC48" s="1297"/>
      <c r="AD48" s="1297"/>
      <c r="AE48" s="1297"/>
      <c r="AF48" s="1297"/>
      <c r="AG48" s="2326">
        <v>-0.2</v>
      </c>
      <c r="AH48" s="2319">
        <v>0.2</v>
      </c>
      <c r="AI48" s="2319">
        <v>0</v>
      </c>
      <c r="AJ48" s="913">
        <f t="shared" si="75"/>
        <v>0.3</v>
      </c>
      <c r="AK48" s="2323">
        <v>0.6</v>
      </c>
      <c r="AL48" s="2319">
        <v>0</v>
      </c>
      <c r="AM48" s="1948">
        <v>0</v>
      </c>
      <c r="AN48" s="913">
        <f t="shared" si="76"/>
        <v>-0.6</v>
      </c>
      <c r="AO48" s="2323">
        <v>0</v>
      </c>
      <c r="AP48" s="1915">
        <v>1</v>
      </c>
      <c r="AQ48" s="1915">
        <v>2.1</v>
      </c>
      <c r="AR48" s="2905"/>
      <c r="AS48" s="1297"/>
      <c r="AT48" s="1297"/>
      <c r="AU48" s="1913"/>
      <c r="AV48" s="1298"/>
      <c r="AW48" s="1297"/>
      <c r="AX48" s="1913"/>
      <c r="AY48" s="1913"/>
      <c r="AZ48" s="1298"/>
      <c r="BA48" s="1297"/>
      <c r="BB48" s="1297"/>
      <c r="BC48" s="1297"/>
      <c r="BD48" s="1298"/>
      <c r="BE48" s="2582"/>
      <c r="BF48" s="78"/>
      <c r="BG48" s="78"/>
      <c r="BH48" s="78"/>
      <c r="BI48" s="78"/>
      <c r="BJ48" s="78"/>
      <c r="BK48" s="78"/>
      <c r="BL48" s="1915">
        <v>0.3</v>
      </c>
      <c r="BM48" s="1915">
        <v>1.6</v>
      </c>
      <c r="BN48" s="1915">
        <v>0.4</v>
      </c>
      <c r="BO48" s="1915">
        <v>0.3</v>
      </c>
      <c r="BP48" s="1948">
        <v>0</v>
      </c>
      <c r="BQ48" s="1951">
        <v>1</v>
      </c>
      <c r="BR48" s="1951">
        <f t="shared" ref="BR48:BX48" si="79">BQ48</f>
        <v>1</v>
      </c>
      <c r="BS48" s="1951">
        <f t="shared" si="79"/>
        <v>1</v>
      </c>
      <c r="BT48" s="1951">
        <f t="shared" si="79"/>
        <v>1</v>
      </c>
      <c r="BU48" s="1951">
        <f t="shared" si="79"/>
        <v>1</v>
      </c>
      <c r="BV48" s="1951">
        <f t="shared" si="79"/>
        <v>1</v>
      </c>
      <c r="BW48" s="1951">
        <f t="shared" si="79"/>
        <v>1</v>
      </c>
      <c r="BX48" s="1951">
        <f t="shared" si="79"/>
        <v>1</v>
      </c>
      <c r="BY48" s="2218">
        <v>1</v>
      </c>
      <c r="BZ48" s="36"/>
      <c r="CA48" s="36"/>
      <c r="CB48" s="36"/>
      <c r="CC48" s="36"/>
      <c r="CD48" s="36"/>
      <c r="CE48" s="36"/>
      <c r="CF48" s="36"/>
    </row>
    <row r="49" spans="1:84" ht="11.25" hidden="1" customHeight="1" outlineLevel="1">
      <c r="A49" s="36"/>
      <c r="B49" s="36"/>
      <c r="C49" s="36"/>
      <c r="D49" s="36"/>
      <c r="E49" s="36"/>
      <c r="F49" s="36"/>
      <c r="G49" s="36"/>
      <c r="H49" s="36"/>
      <c r="I49" s="798" t="s">
        <v>532</v>
      </c>
      <c r="J49" s="50"/>
      <c r="K49" s="50"/>
      <c r="L49" s="50"/>
      <c r="M49" s="78"/>
      <c r="N49" s="78"/>
      <c r="O49" s="78"/>
      <c r="P49" s="78"/>
      <c r="Q49" s="873"/>
      <c r="R49" s="78"/>
      <c r="S49" s="78"/>
      <c r="T49" s="874"/>
      <c r="U49" s="78"/>
      <c r="V49" s="78"/>
      <c r="W49" s="78"/>
      <c r="X49" s="78"/>
      <c r="Y49" s="873"/>
      <c r="Z49" s="78"/>
      <c r="AA49" s="78"/>
      <c r="AB49" s="874"/>
      <c r="AC49" s="78"/>
      <c r="AD49" s="78"/>
      <c r="AE49" s="78"/>
      <c r="AF49" s="78"/>
      <c r="AG49" s="1523">
        <v>1.6</v>
      </c>
      <c r="AH49" s="1383">
        <v>2.2000000000000002</v>
      </c>
      <c r="AI49" s="1383">
        <v>2.2999999999999998</v>
      </c>
      <c r="AJ49" s="913">
        <f t="shared" si="75"/>
        <v>3</v>
      </c>
      <c r="AK49" s="2328">
        <v>1.9</v>
      </c>
      <c r="AL49" s="2319">
        <v>1.6</v>
      </c>
      <c r="AM49" s="2319">
        <v>1.8</v>
      </c>
      <c r="AN49" s="913">
        <f t="shared" si="76"/>
        <v>1.6000000000000005</v>
      </c>
      <c r="AO49" s="2323">
        <v>1.2</v>
      </c>
      <c r="AP49" s="1915">
        <v>1.1000000000000001</v>
      </c>
      <c r="AQ49" s="1915">
        <v>1</v>
      </c>
      <c r="AR49" s="2906"/>
      <c r="AS49" s="78"/>
      <c r="AT49" s="1315"/>
      <c r="AU49" s="78"/>
      <c r="AV49" s="874"/>
      <c r="AW49" s="78"/>
      <c r="AX49" s="1315"/>
      <c r="AY49" s="78"/>
      <c r="AZ49" s="874"/>
      <c r="BA49" s="78"/>
      <c r="BB49" s="1315"/>
      <c r="BC49" s="78"/>
      <c r="BD49" s="874"/>
      <c r="BE49" s="2582"/>
      <c r="BF49" s="78"/>
      <c r="BG49" s="78"/>
      <c r="BH49" s="78"/>
      <c r="BI49" s="78"/>
      <c r="BJ49" s="78"/>
      <c r="BK49" s="78"/>
      <c r="BL49" s="1915">
        <v>0.7</v>
      </c>
      <c r="BM49" s="1915">
        <v>1.8</v>
      </c>
      <c r="BN49" s="1915">
        <v>2</v>
      </c>
      <c r="BO49" s="1948">
        <v>9.1</v>
      </c>
      <c r="BP49" s="1948">
        <v>6.9</v>
      </c>
      <c r="BQ49" s="1433" t="e">
        <f t="shared" ref="BQ49:BY49" si="80">+(BQ56-BP56)*BQ57</f>
        <v>#REF!</v>
      </c>
      <c r="BR49" s="1433" t="e">
        <f t="shared" si="80"/>
        <v>#REF!</v>
      </c>
      <c r="BS49" s="1433" t="e">
        <f t="shared" si="80"/>
        <v>#REF!</v>
      </c>
      <c r="BT49" s="1433" t="e">
        <f t="shared" si="80"/>
        <v>#REF!</v>
      </c>
      <c r="BU49" s="1433" t="e">
        <f t="shared" si="80"/>
        <v>#REF!</v>
      </c>
      <c r="BV49" s="1433" t="e">
        <f t="shared" si="80"/>
        <v>#REF!</v>
      </c>
      <c r="BW49" s="1433" t="e">
        <f t="shared" si="80"/>
        <v>#REF!</v>
      </c>
      <c r="BX49" s="1433" t="e">
        <f t="shared" si="80"/>
        <v>#REF!</v>
      </c>
      <c r="BY49" s="1460" t="e">
        <f t="shared" si="80"/>
        <v>#REF!</v>
      </c>
      <c r="BZ49" s="36"/>
      <c r="CA49" s="36"/>
      <c r="CB49" s="36"/>
      <c r="CC49" s="36"/>
      <c r="CD49" s="36"/>
      <c r="CE49" s="36"/>
      <c r="CF49" s="36"/>
    </row>
    <row r="50" spans="1:84" ht="11.25" hidden="1" customHeight="1" outlineLevel="1">
      <c r="A50" s="36"/>
      <c r="B50" s="36"/>
      <c r="C50" s="36"/>
      <c r="D50" s="36"/>
      <c r="E50" s="36"/>
      <c r="F50" s="36"/>
      <c r="G50" s="36"/>
      <c r="H50" s="36"/>
      <c r="I50" s="798" t="s">
        <v>533</v>
      </c>
      <c r="J50" s="50"/>
      <c r="K50" s="50"/>
      <c r="L50" s="50"/>
      <c r="M50" s="78"/>
      <c r="N50" s="78"/>
      <c r="O50" s="78"/>
      <c r="P50" s="78"/>
      <c r="Q50" s="873"/>
      <c r="R50" s="78"/>
      <c r="S50" s="78"/>
      <c r="T50" s="874"/>
      <c r="U50" s="78"/>
      <c r="V50" s="78"/>
      <c r="W50" s="78"/>
      <c r="X50" s="78"/>
      <c r="Y50" s="873"/>
      <c r="Z50" s="78"/>
      <c r="AA50" s="78"/>
      <c r="AB50" s="874"/>
      <c r="AC50" s="78"/>
      <c r="AD50" s="78"/>
      <c r="AE50" s="78"/>
      <c r="AF50" s="78"/>
      <c r="AG50" s="2327">
        <v>0</v>
      </c>
      <c r="AH50" s="2325">
        <v>0.7</v>
      </c>
      <c r="AI50" s="2325">
        <v>0.7</v>
      </c>
      <c r="AJ50" s="913">
        <f t="shared" si="75"/>
        <v>1.5</v>
      </c>
      <c r="AK50" s="2324">
        <v>0.6</v>
      </c>
      <c r="AL50" s="1383">
        <v>0</v>
      </c>
      <c r="AM50" s="1433">
        <v>0</v>
      </c>
      <c r="AN50" s="913">
        <f t="shared" si="76"/>
        <v>-0.39999999999999997</v>
      </c>
      <c r="AO50" s="2323">
        <v>1.2</v>
      </c>
      <c r="AP50" s="1915">
        <v>1.2</v>
      </c>
      <c r="AQ50" s="1915">
        <v>1.4</v>
      </c>
      <c r="AR50" s="2906"/>
      <c r="AS50" s="78"/>
      <c r="AT50" s="1315"/>
      <c r="AU50" s="78"/>
      <c r="AV50" s="874"/>
      <c r="AW50" s="78"/>
      <c r="AX50" s="1315"/>
      <c r="AY50" s="78"/>
      <c r="AZ50" s="874"/>
      <c r="BA50" s="78"/>
      <c r="BB50" s="1315"/>
      <c r="BC50" s="78"/>
      <c r="BD50" s="874"/>
      <c r="BE50" s="2582"/>
      <c r="BF50" s="78"/>
      <c r="BG50" s="78"/>
      <c r="BH50" s="78"/>
      <c r="BI50" s="78"/>
      <c r="BJ50" s="78"/>
      <c r="BK50" s="78"/>
      <c r="BL50" s="1915">
        <v>0</v>
      </c>
      <c r="BM50" s="1915">
        <v>0</v>
      </c>
      <c r="BN50" s="1915">
        <v>0</v>
      </c>
      <c r="BO50" s="1915">
        <v>2.9</v>
      </c>
      <c r="BP50" s="1948">
        <v>0.2</v>
      </c>
      <c r="BQ50" s="1433" t="e">
        <f t="shared" ref="BQ50:BY50" si="81">+(BQ56-BP56)*BQ58</f>
        <v>#REF!</v>
      </c>
      <c r="BR50" s="1433" t="e">
        <f t="shared" si="81"/>
        <v>#REF!</v>
      </c>
      <c r="BS50" s="1433" t="e">
        <f t="shared" si="81"/>
        <v>#REF!</v>
      </c>
      <c r="BT50" s="1433" t="e">
        <f t="shared" si="81"/>
        <v>#REF!</v>
      </c>
      <c r="BU50" s="1433" t="e">
        <f t="shared" si="81"/>
        <v>#REF!</v>
      </c>
      <c r="BV50" s="1433" t="e">
        <f t="shared" si="81"/>
        <v>#REF!</v>
      </c>
      <c r="BW50" s="1433" t="e">
        <f t="shared" si="81"/>
        <v>#REF!</v>
      </c>
      <c r="BX50" s="1433" t="e">
        <f t="shared" si="81"/>
        <v>#REF!</v>
      </c>
      <c r="BY50" s="1460" t="e">
        <f t="shared" si="81"/>
        <v>#REF!</v>
      </c>
      <c r="BZ50" s="36"/>
      <c r="CA50" s="36"/>
      <c r="CB50" s="36"/>
      <c r="CC50" s="36"/>
      <c r="CD50" s="36"/>
      <c r="CE50" s="36"/>
      <c r="CF50" s="36"/>
    </row>
    <row r="51" spans="1:84" ht="11.25" hidden="1" customHeight="1" outlineLevel="1">
      <c r="A51" s="36"/>
      <c r="B51" s="36"/>
      <c r="C51" s="36"/>
      <c r="D51" s="36"/>
      <c r="E51" s="36"/>
      <c r="F51" s="36"/>
      <c r="G51" s="36"/>
      <c r="H51" s="36"/>
      <c r="I51" s="798" t="s">
        <v>458</v>
      </c>
      <c r="J51" s="50"/>
      <c r="K51" s="50"/>
      <c r="L51" s="50"/>
      <c r="M51" s="78"/>
      <c r="N51" s="78"/>
      <c r="O51" s="78"/>
      <c r="P51" s="78"/>
      <c r="Q51" s="873"/>
      <c r="R51" s="78"/>
      <c r="S51" s="78"/>
      <c r="T51" s="874"/>
      <c r="U51" s="78"/>
      <c r="V51" s="78"/>
      <c r="W51" s="78"/>
      <c r="X51" s="78"/>
      <c r="Y51" s="873"/>
      <c r="Z51" s="78"/>
      <c r="AA51" s="78"/>
      <c r="AB51" s="874"/>
      <c r="AC51" s="78"/>
      <c r="AD51" s="78"/>
      <c r="AE51" s="78"/>
      <c r="AF51" s="78"/>
      <c r="AG51" s="2210">
        <f t="shared" ref="AG51:AO51" si="82">+AG42-SUM(AG45:AG50)</f>
        <v>2.1999999999999797E-2</v>
      </c>
      <c r="AH51" s="1913">
        <f t="shared" si="82"/>
        <v>1.2000000000000455E-2</v>
      </c>
      <c r="AI51" s="1913">
        <f t="shared" si="82"/>
        <v>0.58500000000000085</v>
      </c>
      <c r="AJ51" s="2212">
        <f t="shared" si="82"/>
        <v>-0.5860000000000003</v>
      </c>
      <c r="AK51" s="2210">
        <f t="shared" si="82"/>
        <v>-2.0999999999999908E-2</v>
      </c>
      <c r="AL51" s="1913">
        <f t="shared" si="82"/>
        <v>-7.0000000000000728E-2</v>
      </c>
      <c r="AM51" s="1913">
        <f t="shared" si="82"/>
        <v>-6.5000000000001057E-2</v>
      </c>
      <c r="AN51" s="2212">
        <f>+AN42-SUM(AN45:AN50)</f>
        <v>0.20399999999999857</v>
      </c>
      <c r="AO51" s="2210">
        <f t="shared" si="82"/>
        <v>-6.3999999999997836E-2</v>
      </c>
      <c r="AP51" s="1913">
        <f t="shared" ref="AP51:AQ51" si="83">+AP42-SUM(AP45:AP50)</f>
        <v>-0.33099999999999863</v>
      </c>
      <c r="AQ51" s="1913">
        <f t="shared" si="83"/>
        <v>0.21800000000000175</v>
      </c>
      <c r="AR51" s="2907"/>
      <c r="AS51" s="873"/>
      <c r="AT51" s="2798"/>
      <c r="AU51" s="2798"/>
      <c r="AV51" s="2799"/>
      <c r="AW51" s="2800"/>
      <c r="AX51" s="2798"/>
      <c r="AY51" s="78"/>
      <c r="AZ51" s="874"/>
      <c r="BA51" s="78"/>
      <c r="BB51" s="1315"/>
      <c r="BC51" s="78"/>
      <c r="BD51" s="874"/>
      <c r="BE51" s="2582"/>
      <c r="BF51" s="78"/>
      <c r="BG51" s="78"/>
      <c r="BH51" s="78"/>
      <c r="BI51" s="78"/>
      <c r="BJ51" s="78"/>
      <c r="BK51" s="78"/>
      <c r="BL51" s="1913">
        <f>+BL42-SUM(BL45:BL50)</f>
        <v>9.6999999999999531E-2</v>
      </c>
      <c r="BM51" s="1913">
        <f>+BM42-SUM(BM45:BM50)</f>
        <v>3.3000000000000362E-2</v>
      </c>
      <c r="BN51" s="1913">
        <f>+BN42-SUM(BN45:BN50)</f>
        <v>2.0999999999997243E-2</v>
      </c>
      <c r="BO51" s="1913">
        <f t="shared" ref="BO51:BY51" si="84">+BO42-SUM(BO45:BO50)</f>
        <v>3.3000000000001251E-2</v>
      </c>
      <c r="BP51" s="1278">
        <f t="shared" si="84"/>
        <v>4.7999999999998266E-2</v>
      </c>
      <c r="BQ51" s="1278" t="e">
        <f t="shared" si="84"/>
        <v>#REF!</v>
      </c>
      <c r="BR51" s="1278" t="e">
        <f t="shared" si="84"/>
        <v>#REF!</v>
      </c>
      <c r="BS51" s="1278" t="e">
        <f t="shared" si="84"/>
        <v>#REF!</v>
      </c>
      <c r="BT51" s="1278" t="e">
        <f t="shared" si="84"/>
        <v>#REF!</v>
      </c>
      <c r="BU51" s="1278" t="e">
        <f t="shared" si="84"/>
        <v>#REF!</v>
      </c>
      <c r="BV51" s="1278" t="e">
        <f t="shared" si="84"/>
        <v>#REF!</v>
      </c>
      <c r="BW51" s="1278" t="e">
        <f t="shared" si="84"/>
        <v>#REF!</v>
      </c>
      <c r="BX51" s="1278" t="e">
        <f t="shared" si="84"/>
        <v>#REF!</v>
      </c>
      <c r="BY51" s="1280" t="e">
        <f t="shared" si="84"/>
        <v>#REF!</v>
      </c>
      <c r="BZ51" s="36"/>
      <c r="CA51" s="36"/>
      <c r="CB51" s="36"/>
      <c r="CC51" s="36"/>
      <c r="CD51" s="36"/>
      <c r="CE51" s="36"/>
      <c r="CF51" s="36"/>
    </row>
    <row r="52" spans="1:84" ht="11.25" hidden="1" customHeight="1" outlineLevel="1">
      <c r="A52" s="36"/>
      <c r="B52" s="36"/>
      <c r="C52" s="36"/>
      <c r="D52" s="36"/>
      <c r="E52" s="36"/>
      <c r="F52" s="36"/>
      <c r="G52" s="36"/>
      <c r="H52" s="36"/>
      <c r="I52" s="138"/>
      <c r="J52" s="50"/>
      <c r="K52" s="50"/>
      <c r="L52" s="50"/>
      <c r="M52" s="78"/>
      <c r="N52" s="78"/>
      <c r="O52" s="78"/>
      <c r="P52" s="78"/>
      <c r="Q52" s="873"/>
      <c r="R52" s="78"/>
      <c r="S52" s="78"/>
      <c r="T52" s="874"/>
      <c r="U52" s="78"/>
      <c r="V52" s="78"/>
      <c r="W52" s="78"/>
      <c r="X52" s="78"/>
      <c r="Y52" s="873"/>
      <c r="Z52" s="78"/>
      <c r="AA52" s="78"/>
      <c r="AB52" s="874"/>
      <c r="AC52" s="78"/>
      <c r="AD52" s="78"/>
      <c r="AE52" s="78"/>
      <c r="AF52" s="78"/>
      <c r="AG52" s="873"/>
      <c r="AH52" s="1315"/>
      <c r="AI52" s="106"/>
      <c r="AJ52" s="874"/>
      <c r="AK52" s="873"/>
      <c r="AL52" s="1315"/>
      <c r="AM52" s="295"/>
      <c r="AN52" s="2121"/>
      <c r="AO52" s="78"/>
      <c r="AP52" s="78"/>
      <c r="AQ52" s="78"/>
      <c r="AR52" s="874"/>
      <c r="AS52" s="873"/>
      <c r="AT52" s="1315"/>
      <c r="AU52" s="78"/>
      <c r="AV52" s="874"/>
      <c r="AW52" s="873"/>
      <c r="AX52" s="1315"/>
      <c r="AY52" s="78"/>
      <c r="AZ52" s="874"/>
      <c r="BA52" s="873"/>
      <c r="BB52" s="1315"/>
      <c r="BC52" s="78"/>
      <c r="BD52" s="874"/>
      <c r="BE52" s="2582"/>
      <c r="BF52" s="78"/>
      <c r="BG52" s="78"/>
      <c r="BH52" s="78"/>
      <c r="BI52" s="78"/>
      <c r="BJ52" s="78"/>
      <c r="BK52" s="78"/>
      <c r="BL52" s="78"/>
      <c r="BM52" s="78"/>
      <c r="BN52" s="1912"/>
      <c r="BO52" s="1912"/>
      <c r="BP52" s="1912"/>
      <c r="BQ52" s="78"/>
      <c r="BR52" s="78"/>
      <c r="BS52" s="78"/>
      <c r="BT52" s="78"/>
      <c r="BU52" s="78"/>
      <c r="BV52" s="78"/>
      <c r="BW52" s="78"/>
      <c r="BX52" s="78"/>
      <c r="BY52" s="874"/>
      <c r="BZ52" s="36"/>
      <c r="CA52" s="36"/>
      <c r="CB52" s="36"/>
      <c r="CC52" s="36"/>
      <c r="CD52" s="36"/>
      <c r="CE52" s="36"/>
      <c r="CF52" s="36"/>
    </row>
    <row r="53" spans="1:84" s="1973" customFormat="1" ht="11.25" hidden="1" customHeight="1" outlineLevel="1">
      <c r="A53" s="1964"/>
      <c r="B53" s="1964"/>
      <c r="C53" s="1964"/>
      <c r="D53" s="1964"/>
      <c r="E53" s="1964"/>
      <c r="F53" s="1964"/>
      <c r="G53" s="1964"/>
      <c r="H53" s="1964"/>
      <c r="I53" s="2141" t="s">
        <v>568</v>
      </c>
      <c r="J53" s="1974"/>
      <c r="K53" s="1974"/>
      <c r="L53" s="1974"/>
      <c r="M53" s="1975"/>
      <c r="N53" s="1975"/>
      <c r="O53" s="1975"/>
      <c r="P53" s="1975"/>
      <c r="Q53" s="1976"/>
      <c r="R53" s="1975"/>
      <c r="S53" s="1975"/>
      <c r="T53" s="1977"/>
      <c r="U53" s="1975"/>
      <c r="V53" s="1975"/>
      <c r="W53" s="1975"/>
      <c r="X53" s="1975"/>
      <c r="Y53" s="1976"/>
      <c r="Z53" s="1975"/>
      <c r="AA53" s="1975"/>
      <c r="AB53" s="1977"/>
      <c r="AC53" s="1975"/>
      <c r="AD53" s="1975"/>
      <c r="AE53" s="1975"/>
      <c r="AF53" s="1975"/>
      <c r="AG53" s="1976">
        <f t="shared" ref="AG53:AR53" si="85">AG10-AC10</f>
        <v>35.393000000000001</v>
      </c>
      <c r="AH53" s="1975">
        <f t="shared" si="85"/>
        <v>36.812999999999988</v>
      </c>
      <c r="AI53" s="2188">
        <f t="shared" si="85"/>
        <v>32.144999999999996</v>
      </c>
      <c r="AJ53" s="1977">
        <f t="shared" si="85"/>
        <v>36.812999999999988</v>
      </c>
      <c r="AK53" s="1976">
        <f t="shared" si="85"/>
        <v>46.813000000000002</v>
      </c>
      <c r="AL53" s="1975">
        <f t="shared" si="85"/>
        <v>47.828000000000003</v>
      </c>
      <c r="AM53" s="1975">
        <f t="shared" si="85"/>
        <v>51.632000000000005</v>
      </c>
      <c r="AN53" s="1977">
        <f t="shared" si="85"/>
        <v>48.096000000000004</v>
      </c>
      <c r="AO53" s="2741">
        <f t="shared" si="85"/>
        <v>38.710000000000008</v>
      </c>
      <c r="AP53" s="2741">
        <f t="shared" si="85"/>
        <v>35.436000000000007</v>
      </c>
      <c r="AQ53" s="2741">
        <f t="shared" si="85"/>
        <v>36.147999999999996</v>
      </c>
      <c r="AR53" s="1977">
        <f t="shared" si="85"/>
        <v>23.450000000000017</v>
      </c>
      <c r="AS53" s="1976"/>
      <c r="AT53" s="1975"/>
      <c r="AU53" s="1975"/>
      <c r="AV53" s="1977"/>
      <c r="AW53" s="1976"/>
      <c r="AX53" s="1975"/>
      <c r="AY53" s="1975"/>
      <c r="AZ53" s="1977"/>
      <c r="BA53" s="1976"/>
      <c r="BB53" s="1975"/>
      <c r="BC53" s="1975"/>
      <c r="BD53" s="1977"/>
      <c r="BE53" s="2489"/>
      <c r="BF53" s="1975"/>
      <c r="BG53" s="1975"/>
      <c r="BH53" s="1975"/>
      <c r="BI53" s="1975"/>
      <c r="BJ53" s="1975"/>
      <c r="BK53" s="1975"/>
      <c r="BL53" s="1975">
        <f>BL10-BK10</f>
        <v>54.280999999999977</v>
      </c>
      <c r="BM53" s="1975">
        <f t="shared" ref="BM53:BS53" si="86">BM10-BL10</f>
        <v>95.422000000000025</v>
      </c>
      <c r="BN53" s="1975">
        <f t="shared" si="86"/>
        <v>144.548</v>
      </c>
      <c r="BO53" s="1975">
        <f t="shared" si="86"/>
        <v>141.16400000000004</v>
      </c>
      <c r="BP53" s="1975">
        <f t="shared" si="86"/>
        <v>194.36899999999991</v>
      </c>
      <c r="BQ53" s="1975">
        <f t="shared" si="86"/>
        <v>133.74400000000003</v>
      </c>
      <c r="BR53" s="1975">
        <f t="shared" si="86"/>
        <v>113.18700000000001</v>
      </c>
      <c r="BS53" s="1975">
        <f t="shared" si="86"/>
        <v>156.40000000000009</v>
      </c>
      <c r="BT53" s="1975">
        <f t="shared" ref="BT53:BY53" si="87">BT10-BS10</f>
        <v>144.19999999999982</v>
      </c>
      <c r="BU53" s="1975">
        <f t="shared" si="87"/>
        <v>140</v>
      </c>
      <c r="BV53" s="1975">
        <f t="shared" si="87"/>
        <v>137</v>
      </c>
      <c r="BW53" s="1975">
        <f t="shared" si="87"/>
        <v>133</v>
      </c>
      <c r="BX53" s="1975">
        <f t="shared" si="87"/>
        <v>129</v>
      </c>
      <c r="BY53" s="1977">
        <f t="shared" si="87"/>
        <v>126</v>
      </c>
      <c r="BZ53" s="1964"/>
      <c r="CA53" s="1964"/>
      <c r="CB53" s="1964"/>
      <c r="CC53" s="1964"/>
      <c r="CD53" s="1964"/>
      <c r="CE53" s="1964"/>
      <c r="CF53" s="1964"/>
    </row>
    <row r="54" spans="1:84" ht="11.25" hidden="1" customHeight="1" outlineLevel="1">
      <c r="A54" s="36"/>
      <c r="B54" s="36"/>
      <c r="C54" s="36"/>
      <c r="D54" s="36"/>
      <c r="E54" s="36"/>
      <c r="F54" s="36"/>
      <c r="G54" s="36"/>
      <c r="H54" s="36"/>
      <c r="I54" s="798" t="s">
        <v>572</v>
      </c>
      <c r="J54" s="50"/>
      <c r="K54" s="50"/>
      <c r="L54" s="50"/>
      <c r="M54" s="78"/>
      <c r="N54" s="78"/>
      <c r="O54" s="78"/>
      <c r="P54" s="78"/>
      <c r="Q54" s="873"/>
      <c r="R54" s="78"/>
      <c r="S54" s="78"/>
      <c r="T54" s="874"/>
      <c r="U54" s="78"/>
      <c r="V54" s="78"/>
      <c r="W54" s="78"/>
      <c r="X54" s="78"/>
      <c r="Y54" s="873"/>
      <c r="Z54" s="78"/>
      <c r="AA54" s="78"/>
      <c r="AB54" s="874"/>
      <c r="AC54" s="78"/>
      <c r="AD54" s="78"/>
      <c r="AE54" s="78"/>
      <c r="AF54" s="78"/>
      <c r="AG54" s="2330">
        <f t="shared" ref="AG54:AL54" si="88">+AG45/AG53</f>
        <v>4.5206679286864636E-2</v>
      </c>
      <c r="AH54" s="2331">
        <f t="shared" si="88"/>
        <v>9.779154103170079E-2</v>
      </c>
      <c r="AI54" s="1937">
        <f t="shared" si="88"/>
        <v>0.12132524498366777</v>
      </c>
      <c r="AJ54" s="2571">
        <f t="shared" si="88"/>
        <v>7.3343655773775621E-2</v>
      </c>
      <c r="AK54" s="2330">
        <f t="shared" si="88"/>
        <v>5.5540127742293804E-2</v>
      </c>
      <c r="AL54" s="2331">
        <f t="shared" si="88"/>
        <v>-4.1816509157815507E-3</v>
      </c>
      <c r="AM54" s="2331">
        <f t="shared" ref="AM54:AR54" si="89">+AM45/AM53</f>
        <v>-2.7114967462039043E-2</v>
      </c>
      <c r="AN54" s="2571">
        <f t="shared" si="89"/>
        <v>0</v>
      </c>
      <c r="AO54" s="1949">
        <f t="shared" si="89"/>
        <v>-2.5833118057349519E-3</v>
      </c>
      <c r="AP54" s="1949">
        <f t="shared" si="89"/>
        <v>0</v>
      </c>
      <c r="AQ54" s="1949">
        <f t="shared" si="89"/>
        <v>0</v>
      </c>
      <c r="AR54" s="2571">
        <f t="shared" si="89"/>
        <v>0</v>
      </c>
      <c r="AS54" s="873"/>
      <c r="AT54" s="1315"/>
      <c r="AU54" s="78"/>
      <c r="AV54" s="874"/>
      <c r="AW54" s="873"/>
      <c r="AX54" s="1315"/>
      <c r="AY54" s="78"/>
      <c r="AZ54" s="874"/>
      <c r="BA54" s="873"/>
      <c r="BB54" s="1315"/>
      <c r="BC54" s="78"/>
      <c r="BD54" s="874"/>
      <c r="BE54" s="2582"/>
      <c r="BF54" s="78"/>
      <c r="BG54" s="78"/>
      <c r="BH54" s="78"/>
      <c r="BI54" s="78"/>
      <c r="BJ54" s="78"/>
      <c r="BK54" s="78"/>
      <c r="BL54" s="2140">
        <f>+BL45/BL53</f>
        <v>3.5003039737661439E-2</v>
      </c>
      <c r="BM54" s="2140">
        <f>+BM45/BM53</f>
        <v>1.7815598080107308E-2</v>
      </c>
      <c r="BN54" s="2329">
        <f>+BN45/BN53</f>
        <v>2.9747903810498934E-2</v>
      </c>
      <c r="BO54" s="2329">
        <f>+BO45/BO53</f>
        <v>8.3590717180017551E-2</v>
      </c>
      <c r="BP54" s="2329">
        <f>+BP45/BP53</f>
        <v>5.1448533459553759E-3</v>
      </c>
      <c r="BQ54" s="875">
        <v>0.01</v>
      </c>
      <c r="BR54" s="875">
        <v>0.01</v>
      </c>
      <c r="BS54" s="875">
        <v>0.01</v>
      </c>
      <c r="BT54" s="875">
        <f t="shared" ref="BT54:BY54" si="90">+BS54</f>
        <v>0.01</v>
      </c>
      <c r="BU54" s="875">
        <f t="shared" si="90"/>
        <v>0.01</v>
      </c>
      <c r="BV54" s="875">
        <f t="shared" si="90"/>
        <v>0.01</v>
      </c>
      <c r="BW54" s="875">
        <f t="shared" si="90"/>
        <v>0.01</v>
      </c>
      <c r="BX54" s="875">
        <f t="shared" si="90"/>
        <v>0.01</v>
      </c>
      <c r="BY54" s="875">
        <f t="shared" si="90"/>
        <v>0.01</v>
      </c>
      <c r="BZ54" s="36"/>
      <c r="CA54" s="36"/>
      <c r="CB54" s="36"/>
      <c r="CC54" s="36"/>
      <c r="CD54" s="36"/>
      <c r="CE54" s="36"/>
      <c r="CF54" s="36"/>
    </row>
    <row r="55" spans="1:84" ht="11.25" hidden="1" customHeight="1" outlineLevel="1">
      <c r="A55" s="36"/>
      <c r="B55" s="36"/>
      <c r="C55" s="36"/>
      <c r="D55" s="36"/>
      <c r="E55" s="36"/>
      <c r="F55" s="36"/>
      <c r="G55" s="36"/>
      <c r="H55" s="36"/>
      <c r="I55" s="138"/>
      <c r="J55" s="50"/>
      <c r="K55" s="50"/>
      <c r="L55" s="50"/>
      <c r="M55" s="78"/>
      <c r="N55" s="78"/>
      <c r="O55" s="78"/>
      <c r="P55" s="78"/>
      <c r="Q55" s="873"/>
      <c r="R55" s="78"/>
      <c r="S55" s="78"/>
      <c r="T55" s="874"/>
      <c r="U55" s="78"/>
      <c r="V55" s="78"/>
      <c r="W55" s="78"/>
      <c r="X55" s="78"/>
      <c r="Y55" s="873"/>
      <c r="Z55" s="78"/>
      <c r="AA55" s="78"/>
      <c r="AB55" s="874"/>
      <c r="AC55" s="78"/>
      <c r="AD55" s="78"/>
      <c r="AE55" s="78"/>
      <c r="AF55" s="78"/>
      <c r="AG55" s="873"/>
      <c r="AH55" s="1315"/>
      <c r="AI55" s="106"/>
      <c r="AJ55" s="874"/>
      <c r="AK55" s="873"/>
      <c r="AL55" s="1315"/>
      <c r="AM55" s="1315"/>
      <c r="AN55" s="874"/>
      <c r="AO55" s="295"/>
      <c r="AP55" s="295"/>
      <c r="AQ55" s="295"/>
      <c r="AR55" s="874"/>
      <c r="AS55" s="873"/>
      <c r="AT55" s="1315"/>
      <c r="AU55" s="78"/>
      <c r="AV55" s="874"/>
      <c r="AW55" s="873"/>
      <c r="AX55" s="1315"/>
      <c r="AY55" s="78"/>
      <c r="AZ55" s="874"/>
      <c r="BA55" s="873"/>
      <c r="BB55" s="1315"/>
      <c r="BC55" s="78"/>
      <c r="BD55" s="874"/>
      <c r="BE55" s="2582"/>
      <c r="BF55" s="78"/>
      <c r="BG55" s="78"/>
      <c r="BH55" s="78"/>
      <c r="BI55" s="78"/>
      <c r="BJ55" s="78"/>
      <c r="BK55" s="78"/>
      <c r="BL55" s="2140"/>
      <c r="BM55" s="2140"/>
      <c r="BN55" s="2140"/>
      <c r="BO55" s="2140"/>
      <c r="BP55" s="2140"/>
      <c r="BQ55" s="78"/>
      <c r="BR55" s="78"/>
      <c r="BS55" s="78"/>
      <c r="BT55" s="78"/>
      <c r="BU55" s="78"/>
      <c r="BV55" s="78"/>
      <c r="BW55" s="78"/>
      <c r="BX55" s="78"/>
      <c r="BY55" s="874"/>
      <c r="BZ55" s="36"/>
      <c r="CA55" s="36"/>
      <c r="CB55" s="36"/>
      <c r="CC55" s="36"/>
      <c r="CD55" s="36"/>
      <c r="CE55" s="36"/>
      <c r="CF55" s="36"/>
    </row>
    <row r="56" spans="1:84" s="41" customFormat="1" ht="11.25" hidden="1" customHeight="1" outlineLevel="1">
      <c r="A56" s="29"/>
      <c r="B56" s="29"/>
      <c r="C56" s="29"/>
      <c r="D56" s="29"/>
      <c r="E56" s="29"/>
      <c r="F56" s="29"/>
      <c r="G56" s="29"/>
      <c r="H56" s="29"/>
      <c r="I56" s="2138" t="s">
        <v>551</v>
      </c>
      <c r="J56" s="2"/>
      <c r="K56" s="2"/>
      <c r="L56" s="2"/>
      <c r="M56" s="1235"/>
      <c r="N56" s="1235"/>
      <c r="O56" s="1235"/>
      <c r="P56" s="1235"/>
      <c r="Q56" s="1236"/>
      <c r="R56" s="1235"/>
      <c r="S56" s="1235"/>
      <c r="T56" s="1237"/>
      <c r="U56" s="1235"/>
      <c r="V56" s="1235"/>
      <c r="W56" s="1235"/>
      <c r="X56" s="1235"/>
      <c r="Y56" s="1236"/>
      <c r="Z56" s="1235"/>
      <c r="AA56" s="1235"/>
      <c r="AB56" s="1237"/>
      <c r="AC56" s="1235"/>
      <c r="AD56" s="1235"/>
      <c r="AE56" s="1235"/>
      <c r="AF56" s="1235"/>
      <c r="AG56" s="1277" t="e">
        <f>#REF!</f>
        <v>#REF!</v>
      </c>
      <c r="AH56" s="1277" t="e">
        <f>#REF!</f>
        <v>#REF!</v>
      </c>
      <c r="AI56" s="1277" t="e">
        <f>#REF!</f>
        <v>#REF!</v>
      </c>
      <c r="AJ56" s="1277" t="e">
        <f>'Revenue drivers'!AJ144</f>
        <v>#REF!</v>
      </c>
      <c r="AK56" s="1277" t="e">
        <f>'Revenue drivers'!AK144</f>
        <v>#REF!</v>
      </c>
      <c r="AL56" s="1277" t="e">
        <f>'Revenue drivers'!AL144</f>
        <v>#REF!</v>
      </c>
      <c r="AM56" s="1277" t="e">
        <f>'Revenue drivers'!AM144</f>
        <v>#REF!</v>
      </c>
      <c r="AN56" s="1282" t="e">
        <f>'Revenue drivers'!AN144</f>
        <v>#REF!</v>
      </c>
      <c r="AO56" s="1277" t="e">
        <f>'Revenue drivers'!AO144</f>
        <v>#REF!</v>
      </c>
      <c r="AP56" s="1277" t="e">
        <f>'Revenue drivers'!AP144</f>
        <v>#REF!</v>
      </c>
      <c r="AQ56" s="1277" t="e">
        <f>'Revenue drivers'!AQ144</f>
        <v>#REF!</v>
      </c>
      <c r="AR56" s="1282" t="e">
        <f>'Revenue drivers'!AR144</f>
        <v>#REF!</v>
      </c>
      <c r="AS56" s="1277" t="e">
        <f>'Revenue drivers'!AS144</f>
        <v>#REF!</v>
      </c>
      <c r="AT56" s="1277" t="e">
        <f>'Revenue drivers'!AT144</f>
        <v>#REF!</v>
      </c>
      <c r="AU56" s="1277" t="e">
        <f>'Revenue drivers'!AU144</f>
        <v>#REF!</v>
      </c>
      <c r="AV56" s="1282" t="e">
        <f>'Revenue drivers'!AV144</f>
        <v>#REF!</v>
      </c>
      <c r="AW56" s="1277" t="e">
        <f>'Revenue drivers'!AW144</f>
        <v>#REF!</v>
      </c>
      <c r="AX56" s="1277" t="e">
        <f>'Revenue drivers'!AX144</f>
        <v>#REF!</v>
      </c>
      <c r="AY56" s="1277" t="e">
        <f>'Revenue drivers'!AY144</f>
        <v>#REF!</v>
      </c>
      <c r="AZ56" s="1282" t="e">
        <f>'Revenue drivers'!AZ144</f>
        <v>#REF!</v>
      </c>
      <c r="BA56" s="1277" t="e">
        <f>'Revenue drivers'!BA144</f>
        <v>#REF!</v>
      </c>
      <c r="BB56" s="1277" t="e">
        <f>'Revenue drivers'!BB144</f>
        <v>#REF!</v>
      </c>
      <c r="BC56" s="1277" t="e">
        <f>'Revenue drivers'!BC144</f>
        <v>#REF!</v>
      </c>
      <c r="BD56" s="1277" t="e">
        <f>'Revenue drivers'!BD144</f>
        <v>#REF!</v>
      </c>
      <c r="BE56" s="1126"/>
      <c r="BF56" s="1235"/>
      <c r="BG56" s="1235"/>
      <c r="BH56" s="1235"/>
      <c r="BI56" s="1235"/>
      <c r="BJ56" s="1235"/>
      <c r="BK56" s="1235"/>
      <c r="BL56" s="1235"/>
      <c r="BM56" s="1235"/>
      <c r="BN56" s="1277">
        <v>0</v>
      </c>
      <c r="BO56" s="1277" t="e">
        <f>'Revenue drivers'!BO144</f>
        <v>#REF!</v>
      </c>
      <c r="BP56" s="1277" t="e">
        <f>'Revenue drivers'!BP144</f>
        <v>#REF!</v>
      </c>
      <c r="BQ56" s="1277" t="e">
        <f>'Revenue drivers'!BQ144</f>
        <v>#REF!</v>
      </c>
      <c r="BR56" s="1277" t="e">
        <f>'Revenue drivers'!BR144</f>
        <v>#REF!</v>
      </c>
      <c r="BS56" s="1277" t="e">
        <f>'Revenue drivers'!BS144</f>
        <v>#REF!</v>
      </c>
      <c r="BT56" s="1277" t="e">
        <f>'Revenue drivers'!BT144</f>
        <v>#REF!</v>
      </c>
      <c r="BU56" s="1277" t="e">
        <f>'Revenue drivers'!BU144</f>
        <v>#REF!</v>
      </c>
      <c r="BV56" s="1277" t="e">
        <f>'Revenue drivers'!BV144</f>
        <v>#REF!</v>
      </c>
      <c r="BW56" s="1277" t="e">
        <f>'Revenue drivers'!BW144</f>
        <v>#REF!</v>
      </c>
      <c r="BX56" s="1277" t="e">
        <f>'Revenue drivers'!BX144</f>
        <v>#REF!</v>
      </c>
      <c r="BY56" s="1282" t="e">
        <f>'Revenue drivers'!BY144</f>
        <v>#REF!</v>
      </c>
      <c r="BZ56" s="29"/>
      <c r="CA56" s="29"/>
      <c r="CB56" s="29"/>
      <c r="CC56" s="29"/>
      <c r="CD56" s="29"/>
      <c r="CE56" s="29"/>
      <c r="CF56" s="29"/>
    </row>
    <row r="57" spans="1:84" ht="11.25" hidden="1" customHeight="1" outlineLevel="1">
      <c r="A57" s="36"/>
      <c r="B57" s="36"/>
      <c r="C57" s="36"/>
      <c r="D57" s="36"/>
      <c r="E57" s="36"/>
      <c r="F57" s="36"/>
      <c r="G57" s="36"/>
      <c r="H57" s="36"/>
      <c r="I57" s="798" t="s">
        <v>552</v>
      </c>
      <c r="J57" s="50"/>
      <c r="K57" s="50"/>
      <c r="L57" s="50"/>
      <c r="M57" s="78"/>
      <c r="N57" s="78"/>
      <c r="O57" s="78"/>
      <c r="P57" s="78"/>
      <c r="Q57" s="873"/>
      <c r="R57" s="78"/>
      <c r="S57" s="78"/>
      <c r="T57" s="874"/>
      <c r="U57" s="78"/>
      <c r="V57" s="78"/>
      <c r="W57" s="78"/>
      <c r="X57" s="78"/>
      <c r="Y57" s="873"/>
      <c r="Z57" s="78"/>
      <c r="AA57" s="78"/>
      <c r="AB57" s="874"/>
      <c r="AC57" s="78"/>
      <c r="AD57" s="78"/>
      <c r="AE57" s="78"/>
      <c r="AF57" s="78"/>
      <c r="AG57" s="873"/>
      <c r="AH57" s="1315"/>
      <c r="AI57" s="106"/>
      <c r="AJ57" s="874"/>
      <c r="AK57" s="2332" t="e">
        <f t="shared" ref="AK57:AR57" si="91">+AK49/(AK56-AG56)</f>
        <v>#REF!</v>
      </c>
      <c r="AL57" s="2333" t="e">
        <f t="shared" si="91"/>
        <v>#REF!</v>
      </c>
      <c r="AM57" s="2333" t="e">
        <f t="shared" si="91"/>
        <v>#REF!</v>
      </c>
      <c r="AN57" s="2624" t="e">
        <f t="shared" si="91"/>
        <v>#REF!</v>
      </c>
      <c r="AO57" s="2333" t="e">
        <f t="shared" si="91"/>
        <v>#REF!</v>
      </c>
      <c r="AP57" s="2333" t="e">
        <f t="shared" si="91"/>
        <v>#REF!</v>
      </c>
      <c r="AQ57" s="2333" t="e">
        <f t="shared" si="91"/>
        <v>#REF!</v>
      </c>
      <c r="AR57" s="2624" t="e">
        <f t="shared" si="91"/>
        <v>#REF!</v>
      </c>
      <c r="AS57" s="873"/>
      <c r="AT57" s="1315"/>
      <c r="AU57" s="78"/>
      <c r="AV57" s="874"/>
      <c r="AW57" s="873"/>
      <c r="AX57" s="1315"/>
      <c r="AY57" s="78"/>
      <c r="AZ57" s="874"/>
      <c r="BA57" s="873"/>
      <c r="BB57" s="1315"/>
      <c r="BC57" s="78"/>
      <c r="BD57" s="874"/>
      <c r="BE57" s="2582"/>
      <c r="BF57" s="78"/>
      <c r="BG57" s="78"/>
      <c r="BH57" s="78"/>
      <c r="BI57" s="78"/>
      <c r="BJ57" s="78"/>
      <c r="BK57" s="78"/>
      <c r="BL57" s="78"/>
      <c r="BM57" s="78"/>
      <c r="BN57" s="1299"/>
      <c r="BO57" s="2206" t="e">
        <f>+BO49/(BO56-BN56)</f>
        <v>#REF!</v>
      </c>
      <c r="BP57" s="2206" t="e">
        <f>+BP49/(BP56-BO56)</f>
        <v>#REF!</v>
      </c>
      <c r="BQ57" s="875">
        <v>0.4</v>
      </c>
      <c r="BR57" s="875">
        <f>+BQ57+0.002</f>
        <v>0.40200000000000002</v>
      </c>
      <c r="BS57" s="875">
        <f t="shared" ref="BS57:BY57" si="92">+BR57+0.002</f>
        <v>0.40400000000000003</v>
      </c>
      <c r="BT57" s="875">
        <f t="shared" si="92"/>
        <v>0.40600000000000003</v>
      </c>
      <c r="BU57" s="875">
        <f t="shared" si="92"/>
        <v>0.40800000000000003</v>
      </c>
      <c r="BV57" s="875">
        <f t="shared" si="92"/>
        <v>0.41000000000000003</v>
      </c>
      <c r="BW57" s="875">
        <f t="shared" si="92"/>
        <v>0.41200000000000003</v>
      </c>
      <c r="BX57" s="875">
        <f t="shared" si="92"/>
        <v>0.41400000000000003</v>
      </c>
      <c r="BY57" s="875">
        <f t="shared" si="92"/>
        <v>0.41600000000000004</v>
      </c>
      <c r="BZ57" s="36"/>
      <c r="CA57" s="36"/>
      <c r="CB57" s="36"/>
      <c r="CC57" s="36"/>
      <c r="CD57" s="36"/>
      <c r="CE57" s="36"/>
      <c r="CF57" s="36"/>
    </row>
    <row r="58" spans="1:84" ht="11.25" hidden="1" customHeight="1" outlineLevel="1">
      <c r="A58" s="36"/>
      <c r="B58" s="36"/>
      <c r="C58" s="36"/>
      <c r="D58" s="36"/>
      <c r="E58" s="36"/>
      <c r="F58" s="36"/>
      <c r="G58" s="36"/>
      <c r="H58" s="36"/>
      <c r="I58" s="798" t="s">
        <v>553</v>
      </c>
      <c r="J58" s="50"/>
      <c r="K58" s="50"/>
      <c r="L58" s="50"/>
      <c r="M58" s="78"/>
      <c r="N58" s="78"/>
      <c r="O58" s="78"/>
      <c r="P58" s="78"/>
      <c r="Q58" s="873"/>
      <c r="R58" s="78"/>
      <c r="S58" s="78"/>
      <c r="T58" s="874"/>
      <c r="U58" s="78"/>
      <c r="V58" s="78"/>
      <c r="W58" s="78"/>
      <c r="X58" s="78"/>
      <c r="Y58" s="873"/>
      <c r="Z58" s="78"/>
      <c r="AA58" s="78"/>
      <c r="AB58" s="874"/>
      <c r="AC58" s="78"/>
      <c r="AD58" s="78"/>
      <c r="AE58" s="78"/>
      <c r="AF58" s="78"/>
      <c r="AG58" s="873"/>
      <c r="AH58" s="1315"/>
      <c r="AI58" s="106"/>
      <c r="AJ58" s="78"/>
      <c r="AK58" s="2332" t="e">
        <f t="shared" ref="AK58:AR58" si="93">+AK50/(AK56-AG56)</f>
        <v>#REF!</v>
      </c>
      <c r="AL58" s="2333" t="e">
        <f t="shared" si="93"/>
        <v>#REF!</v>
      </c>
      <c r="AM58" s="2333" t="e">
        <f t="shared" si="93"/>
        <v>#REF!</v>
      </c>
      <c r="AN58" s="2624" t="e">
        <f t="shared" si="93"/>
        <v>#REF!</v>
      </c>
      <c r="AO58" s="2333" t="e">
        <f t="shared" si="93"/>
        <v>#REF!</v>
      </c>
      <c r="AP58" s="2333" t="e">
        <f t="shared" si="93"/>
        <v>#REF!</v>
      </c>
      <c r="AQ58" s="2333" t="e">
        <f t="shared" si="93"/>
        <v>#REF!</v>
      </c>
      <c r="AR58" s="2624" t="e">
        <f t="shared" si="93"/>
        <v>#REF!</v>
      </c>
      <c r="AS58" s="873"/>
      <c r="AT58" s="1315"/>
      <c r="AU58" s="78"/>
      <c r="AV58" s="874"/>
      <c r="AW58" s="873"/>
      <c r="AX58" s="1315"/>
      <c r="AY58" s="78"/>
      <c r="AZ58" s="874"/>
      <c r="BA58" s="873"/>
      <c r="BB58" s="1315"/>
      <c r="BC58" s="78"/>
      <c r="BD58" s="874"/>
      <c r="BE58" s="2582"/>
      <c r="BF58" s="78"/>
      <c r="BG58" s="78"/>
      <c r="BH58" s="78"/>
      <c r="BI58" s="78"/>
      <c r="BJ58" s="78"/>
      <c r="BK58" s="78"/>
      <c r="BL58" s="78"/>
      <c r="BM58" s="78"/>
      <c r="BN58" s="1299"/>
      <c r="BO58" s="2206" t="e">
        <f>+BO50/(BO56-BN56)</f>
        <v>#REF!</v>
      </c>
      <c r="BP58" s="2206" t="e">
        <f>+BP50/(BP56-BO56)</f>
        <v>#REF!</v>
      </c>
      <c r="BQ58" s="875" t="e">
        <f t="shared" ref="BQ58:BY58" si="94">+BP58-0</f>
        <v>#REF!</v>
      </c>
      <c r="BR58" s="875" t="e">
        <f t="shared" si="94"/>
        <v>#REF!</v>
      </c>
      <c r="BS58" s="875" t="e">
        <f t="shared" si="94"/>
        <v>#REF!</v>
      </c>
      <c r="BT58" s="875" t="e">
        <f t="shared" si="94"/>
        <v>#REF!</v>
      </c>
      <c r="BU58" s="875" t="e">
        <f t="shared" si="94"/>
        <v>#REF!</v>
      </c>
      <c r="BV58" s="875" t="e">
        <f t="shared" si="94"/>
        <v>#REF!</v>
      </c>
      <c r="BW58" s="875" t="e">
        <f t="shared" si="94"/>
        <v>#REF!</v>
      </c>
      <c r="BX58" s="875" t="e">
        <f t="shared" si="94"/>
        <v>#REF!</v>
      </c>
      <c r="BY58" s="2416" t="e">
        <f t="shared" si="94"/>
        <v>#REF!</v>
      </c>
      <c r="BZ58" s="36"/>
      <c r="CA58" s="36"/>
      <c r="CB58" s="36"/>
      <c r="CC58" s="36"/>
      <c r="CD58" s="36"/>
      <c r="CE58" s="36"/>
      <c r="CF58" s="36"/>
    </row>
    <row r="59" spans="1:84" ht="11.25" customHeight="1" collapsed="1">
      <c r="A59" s="36"/>
      <c r="B59" s="36"/>
      <c r="C59" s="36"/>
      <c r="D59" s="36"/>
      <c r="E59" s="36"/>
      <c r="F59" s="36"/>
      <c r="G59" s="36"/>
      <c r="H59" s="36"/>
      <c r="I59" s="798"/>
      <c r="J59" s="50"/>
      <c r="K59" s="50"/>
      <c r="L59" s="50"/>
      <c r="M59" s="78"/>
      <c r="N59" s="78"/>
      <c r="O59" s="78"/>
      <c r="P59" s="78"/>
      <c r="Q59" s="873"/>
      <c r="R59" s="78"/>
      <c r="S59" s="78"/>
      <c r="T59" s="874"/>
      <c r="U59" s="78"/>
      <c r="V59" s="78"/>
      <c r="W59" s="78"/>
      <c r="X59" s="78"/>
      <c r="Y59" s="873"/>
      <c r="Z59" s="78"/>
      <c r="AA59" s="78"/>
      <c r="AB59" s="874"/>
      <c r="AC59" s="78"/>
      <c r="AD59" s="78"/>
      <c r="AE59" s="78"/>
      <c r="AF59" s="78"/>
      <c r="AG59" s="873"/>
      <c r="AH59" s="1315"/>
      <c r="AI59" s="106"/>
      <c r="AJ59" s="78"/>
      <c r="AK59" s="873"/>
      <c r="AL59" s="1315"/>
      <c r="AM59" s="78"/>
      <c r="AN59" s="874"/>
      <c r="AO59" s="873"/>
      <c r="AP59" s="1315"/>
      <c r="AQ59" s="78"/>
      <c r="AR59" s="874"/>
      <c r="AS59" s="873"/>
      <c r="AT59" s="1315"/>
      <c r="AU59" s="78"/>
      <c r="AV59" s="874"/>
      <c r="AW59" s="873"/>
      <c r="AX59" s="1315"/>
      <c r="AY59" s="78"/>
      <c r="AZ59" s="874"/>
      <c r="BA59" s="873"/>
      <c r="BB59" s="1315"/>
      <c r="BC59" s="78"/>
      <c r="BD59" s="874"/>
      <c r="BE59" s="2582"/>
      <c r="BF59" s="78"/>
      <c r="BG59" s="78"/>
      <c r="BH59" s="78"/>
      <c r="BI59" s="78"/>
      <c r="BJ59" s="78"/>
      <c r="BK59" s="78"/>
      <c r="BL59" s="78"/>
      <c r="BM59" s="78"/>
      <c r="BN59" s="1299"/>
      <c r="BO59" s="1299"/>
      <c r="BP59" s="1299"/>
      <c r="BQ59" s="1299"/>
      <c r="BR59" s="1299"/>
      <c r="BS59" s="1299"/>
      <c r="BT59" s="1299"/>
      <c r="BU59" s="1299"/>
      <c r="BV59" s="1299"/>
      <c r="BW59" s="1299"/>
      <c r="BX59" s="1299"/>
      <c r="BY59" s="1299"/>
      <c r="BZ59" s="36"/>
      <c r="CA59" s="36"/>
      <c r="CB59" s="36"/>
      <c r="CC59" s="36"/>
      <c r="CD59" s="36"/>
      <c r="CE59" s="36"/>
      <c r="CF59" s="36"/>
    </row>
    <row r="60" spans="1:84" s="106" customFormat="1" ht="11.25" customHeight="1">
      <c r="A60" s="54"/>
      <c r="B60" s="54"/>
      <c r="C60" s="54"/>
      <c r="D60" s="54"/>
      <c r="E60" s="54"/>
      <c r="F60" s="54"/>
      <c r="G60" s="54"/>
      <c r="H60" s="54"/>
      <c r="I60" s="769"/>
      <c r="J60" s="324"/>
      <c r="K60" s="324"/>
      <c r="L60" s="324"/>
      <c r="M60" s="325"/>
      <c r="N60" s="325"/>
      <c r="O60" s="325"/>
      <c r="P60" s="325"/>
      <c r="Q60" s="746"/>
      <c r="R60" s="325"/>
      <c r="S60" s="325"/>
      <c r="T60" s="747"/>
      <c r="U60" s="326"/>
      <c r="V60" s="325"/>
      <c r="W60" s="325"/>
      <c r="X60" s="325"/>
      <c r="Y60" s="746"/>
      <c r="Z60" s="325"/>
      <c r="AA60" s="325"/>
      <c r="AB60" s="747"/>
      <c r="AC60" s="325"/>
      <c r="AD60" s="325"/>
      <c r="AE60" s="325"/>
      <c r="AF60" s="325"/>
      <c r="AG60" s="746"/>
      <c r="AH60" s="325"/>
      <c r="AI60" s="325"/>
      <c r="AJ60" s="325"/>
      <c r="AK60" s="746"/>
      <c r="AL60" s="325"/>
      <c r="AM60" s="325"/>
      <c r="AN60" s="747"/>
      <c r="AO60" s="746"/>
      <c r="AP60" s="325"/>
      <c r="AQ60" s="325"/>
      <c r="AR60" s="747"/>
      <c r="AS60" s="746"/>
      <c r="AT60" s="325"/>
      <c r="AU60" s="325"/>
      <c r="AV60" s="747"/>
      <c r="AW60" s="746"/>
      <c r="AX60" s="325"/>
      <c r="AY60" s="325"/>
      <c r="AZ60" s="747"/>
      <c r="BA60" s="746"/>
      <c r="BB60" s="325"/>
      <c r="BC60" s="325"/>
      <c r="BD60" s="747"/>
      <c r="BE60" s="2577"/>
      <c r="BF60" s="323"/>
      <c r="BG60" s="323"/>
      <c r="BH60" s="323"/>
      <c r="BI60" s="323"/>
      <c r="BJ60" s="323"/>
      <c r="BK60" s="323"/>
      <c r="BL60" s="323"/>
      <c r="BM60" s="323"/>
      <c r="BN60" s="323"/>
      <c r="BO60" s="323"/>
      <c r="BP60" s="323"/>
      <c r="BQ60" s="323"/>
      <c r="BR60" s="323"/>
      <c r="BS60" s="323"/>
      <c r="BT60" s="323"/>
      <c r="BU60" s="1643"/>
      <c r="BV60" s="1643"/>
      <c r="BW60" s="1643"/>
      <c r="BX60" s="1643"/>
      <c r="BY60" s="1645"/>
      <c r="BZ60" s="54"/>
      <c r="CA60" s="54"/>
      <c r="CB60" s="54"/>
      <c r="CC60" s="54"/>
      <c r="CD60" s="54"/>
      <c r="CE60" s="54"/>
      <c r="CF60" s="54"/>
    </row>
    <row r="61" spans="1:84" s="90" customFormat="1" ht="11.25" customHeight="1">
      <c r="I61" s="1500" t="s">
        <v>672</v>
      </c>
      <c r="J61" s="413"/>
      <c r="K61" s="413"/>
      <c r="L61" s="413"/>
      <c r="M61" s="2400">
        <f>'Revenue drivers'!M490</f>
        <v>7.0880000000000001</v>
      </c>
      <c r="N61" s="2400">
        <f>'Revenue drivers'!N490</f>
        <v>8.1519999999999992</v>
      </c>
      <c r="O61" s="2400">
        <f>'Revenue drivers'!O490</f>
        <v>8.8800000000000008</v>
      </c>
      <c r="P61" s="2400">
        <f>'Revenue drivers'!P490</f>
        <v>9.6389999999999993</v>
      </c>
      <c r="Q61" s="2402">
        <f>'Revenue drivers'!Q490</f>
        <v>11.222</v>
      </c>
      <c r="R61" s="2400">
        <f>'Revenue drivers'!R490</f>
        <v>13.356999999999999</v>
      </c>
      <c r="S61" s="2400">
        <f>'Revenue drivers'!S490</f>
        <v>15.746</v>
      </c>
      <c r="T61" s="2401">
        <f>'Revenue drivers'!T490</f>
        <v>18.148</v>
      </c>
      <c r="U61" s="2400">
        <f>'Revenue drivers'!U490</f>
        <v>21.472999999999999</v>
      </c>
      <c r="V61" s="2400">
        <f>'Revenue drivers'!V490</f>
        <v>25.254999999999999</v>
      </c>
      <c r="W61" s="2400">
        <f>'Revenue drivers'!W490</f>
        <v>28.484999999999999</v>
      </c>
      <c r="X61" s="2400">
        <f>'Revenue drivers'!X490</f>
        <v>33.945</v>
      </c>
      <c r="Y61" s="2402">
        <f>'Revenue drivers'!Y490</f>
        <v>38.866</v>
      </c>
      <c r="Z61" s="2400">
        <f>'Revenue drivers'!Z490</f>
        <v>44.8</v>
      </c>
      <c r="AA61" s="2400">
        <f>'Revenue drivers'!AA490</f>
        <v>51.167000000000002</v>
      </c>
      <c r="AB61" s="2401">
        <f>'Revenue drivers'!AB490</f>
        <v>58.052</v>
      </c>
      <c r="AC61" s="2400">
        <f>'Revenue drivers'!AC490</f>
        <v>65.2</v>
      </c>
      <c r="AD61" s="2400">
        <f>'Revenue drivers'!AD490</f>
        <v>75.685000000000002</v>
      </c>
      <c r="AE61" s="2400">
        <f>'Revenue drivers'!AE490</f>
        <v>85.132000000000005</v>
      </c>
      <c r="AF61" s="2400">
        <f>'Revenue drivers'!AF490</f>
        <v>93.1</v>
      </c>
      <c r="AG61" s="2402">
        <f>'Revenue drivers'!AG22</f>
        <v>104.3</v>
      </c>
      <c r="AH61" s="2400">
        <f>'Revenue drivers'!AH22</f>
        <v>113.5</v>
      </c>
      <c r="AI61" s="2194">
        <f>'Revenue drivers'!AI22</f>
        <v>121.9</v>
      </c>
      <c r="AJ61" s="2400">
        <f>'Revenue drivers'!AJ22</f>
        <v>131.69999999999999</v>
      </c>
      <c r="AK61" s="2402">
        <f>'Revenue drivers'!AK22</f>
        <v>143</v>
      </c>
      <c r="AL61" s="2400">
        <f>'Revenue drivers'!AL22</f>
        <v>156.69999999999999</v>
      </c>
      <c r="AM61" s="2400">
        <f>'Revenue drivers'!AM22</f>
        <v>169</v>
      </c>
      <c r="AN61" s="2401">
        <f>'Revenue drivers'!AN22</f>
        <v>176.5</v>
      </c>
      <c r="AO61" s="2400">
        <f>'Revenue drivers'!AO22</f>
        <v>177</v>
      </c>
      <c r="AP61" s="2400">
        <f>'Revenue drivers'!AP22</f>
        <v>186.6</v>
      </c>
      <c r="AQ61" s="2400">
        <f>'Revenue drivers'!AQ22</f>
        <v>199.6</v>
      </c>
      <c r="AR61" s="2401">
        <f>'Revenue drivers'!AR22</f>
        <v>208.4</v>
      </c>
      <c r="AS61" s="2402">
        <f>'Revenue drivers'!AS490</f>
        <v>213</v>
      </c>
      <c r="AT61" s="2400">
        <f>'Revenue drivers'!AT490</f>
        <v>224.87899999999999</v>
      </c>
      <c r="AU61" s="2400">
        <f>'Revenue drivers'!AU490</f>
        <v>234.6</v>
      </c>
      <c r="AV61" s="2401">
        <f>'Revenue drivers'!AV490</f>
        <v>245.1</v>
      </c>
      <c r="AW61" s="2402">
        <f>'Revenue drivers'!AW490</f>
        <v>250</v>
      </c>
      <c r="AX61" s="2400">
        <f>'Revenue drivers'!AX490</f>
        <v>261.87900000000002</v>
      </c>
      <c r="AY61" s="2400">
        <f>'Revenue drivers'!AY490</f>
        <v>271.60000000000002</v>
      </c>
      <c r="AZ61" s="2401">
        <f>'Revenue drivers'!AZ490</f>
        <v>282.10000000000002</v>
      </c>
      <c r="BA61" s="2402">
        <f>'Revenue drivers'!BA490</f>
        <v>287</v>
      </c>
      <c r="BB61" s="2400">
        <f>'Revenue drivers'!BB490</f>
        <v>298.87900000000002</v>
      </c>
      <c r="BC61" s="2400">
        <f>'Revenue drivers'!BC490</f>
        <v>308.60000000000002</v>
      </c>
      <c r="BD61" s="2401">
        <f>'Revenue drivers'!BD490</f>
        <v>319.10000000000002</v>
      </c>
      <c r="BE61" s="1126"/>
      <c r="BF61" s="1238"/>
      <c r="BG61" s="1251"/>
      <c r="BH61" s="2400">
        <f>'Revenue drivers'!BH22</f>
        <v>0</v>
      </c>
      <c r="BI61" s="2400">
        <f>'Revenue drivers'!BI22</f>
        <v>0</v>
      </c>
      <c r="BJ61" s="2400">
        <f>'Revenue drivers'!BJ22</f>
        <v>0</v>
      </c>
      <c r="BK61" s="2400">
        <f>'Revenue drivers'!BK22</f>
        <v>0</v>
      </c>
      <c r="BL61" s="2400">
        <f>'Revenue drivers'!BL22</f>
        <v>0</v>
      </c>
      <c r="BM61" s="2400">
        <f>'Revenue drivers'!BM22</f>
        <v>0</v>
      </c>
      <c r="BN61" s="2400">
        <f>'Revenue drivers'!BN22</f>
        <v>319.11699999999996</v>
      </c>
      <c r="BO61" s="2400">
        <f>'Revenue drivers'!BO22</f>
        <v>471.40000000000003</v>
      </c>
      <c r="BP61" s="2400">
        <f>'Revenue drivers'!BP22</f>
        <v>645.20000000000005</v>
      </c>
      <c r="BQ61" s="2400">
        <f>'Revenue drivers'!BQ22</f>
        <v>771.6</v>
      </c>
      <c r="BR61" s="2400">
        <f>'Revenue drivers'!BR22</f>
        <v>907.6</v>
      </c>
      <c r="BS61" s="2400">
        <f>'Revenue drivers'!BS22</f>
        <v>1036.0999999999999</v>
      </c>
      <c r="BT61" s="2400">
        <f>'Revenue drivers'!BT22</f>
        <v>1158.5999999999999</v>
      </c>
      <c r="BU61" s="2400">
        <f>'Revenue drivers'!BU22</f>
        <v>1276.5999999999999</v>
      </c>
      <c r="BV61" s="2400">
        <f>'Revenue drivers'!BV22</f>
        <v>1390.6</v>
      </c>
      <c r="BW61" s="2400">
        <f>'Revenue drivers'!BW22</f>
        <v>1499.6</v>
      </c>
      <c r="BX61" s="2400">
        <f>'Revenue drivers'!BX22</f>
        <v>1603.6</v>
      </c>
      <c r="BY61" s="2401">
        <f>'Revenue drivers'!BY22</f>
        <v>1703.6</v>
      </c>
    </row>
    <row r="62" spans="1:84" s="90" customFormat="1" ht="11.25" customHeight="1">
      <c r="I62" s="1500" t="s">
        <v>500</v>
      </c>
      <c r="J62" s="413"/>
      <c r="K62" s="413"/>
      <c r="L62" s="413"/>
      <c r="M62" s="2400"/>
      <c r="N62" s="2400"/>
      <c r="O62" s="2400"/>
      <c r="P62" s="2400"/>
      <c r="Q62" s="2402"/>
      <c r="R62" s="2400"/>
      <c r="S62" s="2400"/>
      <c r="T62" s="2401"/>
      <c r="U62" s="2400"/>
      <c r="V62" s="2400"/>
      <c r="W62" s="2400"/>
      <c r="X62" s="2400"/>
      <c r="Y62" s="2402"/>
      <c r="Z62" s="2400"/>
      <c r="AA62" s="2400"/>
      <c r="AB62" s="2401"/>
      <c r="AC62" s="2400"/>
      <c r="AD62" s="2400"/>
      <c r="AE62" s="2400"/>
      <c r="AF62" s="2400"/>
      <c r="AG62" s="2402">
        <f>'Revenue drivers'!AG242</f>
        <v>83.961499999999987</v>
      </c>
      <c r="AH62" s="2400">
        <f>'Revenue drivers'!AH242</f>
        <v>90.232499999999987</v>
      </c>
      <c r="AI62" s="2194">
        <f>'Revenue drivers'!AI242</f>
        <v>95.935299999999998</v>
      </c>
      <c r="AJ62" s="2400">
        <f>'Revenue drivers'!AJ242</f>
        <v>103.12109999999998</v>
      </c>
      <c r="AK62" s="2402">
        <f>'Revenue drivers'!AK242</f>
        <v>110.53899999999999</v>
      </c>
      <c r="AL62" s="2400">
        <f>'Revenue drivers'!AL242</f>
        <v>121.9126</v>
      </c>
      <c r="AM62" s="2400">
        <f>'Revenue drivers'!AM242</f>
        <v>130.29899999999998</v>
      </c>
      <c r="AN62" s="2401">
        <f>'Revenue drivers'!AN242</f>
        <v>135.55199999999999</v>
      </c>
      <c r="AO62" s="2400">
        <f>'Revenue drivers'!AO242</f>
        <v>134.69699999999997</v>
      </c>
      <c r="AP62" s="2400">
        <f>'Revenue drivers'!AP242</f>
        <v>141.44280000000001</v>
      </c>
      <c r="AQ62" s="2400">
        <f>'Revenue drivers'!AQ242</f>
        <v>150.4984</v>
      </c>
      <c r="AR62" s="2401">
        <f>'Revenue drivers'!AR242</f>
        <v>156.92519999999999</v>
      </c>
      <c r="AS62" s="2400">
        <f>'Revenue drivers'!AS242</f>
        <v>159.13364000000001</v>
      </c>
      <c r="AT62" s="2400">
        <f>'Revenue drivers'!AT242</f>
        <v>163.99693199999999</v>
      </c>
      <c r="AU62" s="2400">
        <f>'Revenue drivers'!AU242</f>
        <v>173.75592800000001</v>
      </c>
      <c r="AV62" s="2401">
        <f>'Revenue drivers'!AV242</f>
        <v>180.59898000000001</v>
      </c>
      <c r="AW62" s="2402">
        <f>'Revenue drivers'!AW242</f>
        <v>181.0992268</v>
      </c>
      <c r="AX62" s="2400">
        <f>'Revenue drivers'!AX242</f>
        <v>185.62586261000001</v>
      </c>
      <c r="AY62" s="2400">
        <f>'Revenue drivers'!AY242</f>
        <v>195.38792356800005</v>
      </c>
      <c r="AZ62" s="2401">
        <f>'Revenue drivers'!AZ242</f>
        <v>201.61939995</v>
      </c>
      <c r="BA62" s="2402">
        <f>'Revenue drivers'!BA242</f>
        <v>201.79070545280001</v>
      </c>
      <c r="BB62" s="2400">
        <f>'Revenue drivers'!BB242</f>
        <v>205.99615526370005</v>
      </c>
      <c r="BC62" s="2400">
        <f>'Revenue drivers'!BC242</f>
        <v>215.19727354035203</v>
      </c>
      <c r="BD62" s="2401">
        <f>'Revenue drivers'!BD242</f>
        <v>221.20494698489998</v>
      </c>
      <c r="BE62" s="1126"/>
      <c r="BF62" s="1238"/>
      <c r="BG62" s="1251"/>
      <c r="BH62" s="2400"/>
      <c r="BI62" s="2400"/>
      <c r="BJ62" s="2400"/>
      <c r="BK62" s="2400"/>
      <c r="BL62" s="2400"/>
      <c r="BM62" s="2400"/>
      <c r="BN62" s="2400"/>
      <c r="BO62" s="2400">
        <f>'Revenue drivers'!BO242</f>
        <v>373.2503999999999</v>
      </c>
      <c r="BP62" s="2400">
        <f>'Revenue drivers'!BP242</f>
        <v>498.30259999999998</v>
      </c>
      <c r="BQ62" s="2400">
        <f>'Revenue drivers'!BQ242</f>
        <v>583.5634</v>
      </c>
      <c r="BR62" s="2400">
        <f>'Revenue drivers'!BR242</f>
        <v>677.48548000000005</v>
      </c>
      <c r="BS62" s="2400">
        <f>'Revenue drivers'!BS242</f>
        <v>763.73241292800003</v>
      </c>
      <c r="BT62" s="2400">
        <f>'Revenue drivers'!BT242</f>
        <v>844.18908124175209</v>
      </c>
      <c r="BU62" s="2400">
        <f>'Revenue drivers'!BU242</f>
        <v>910.84931558796995</v>
      </c>
      <c r="BV62" s="2400">
        <f>'Revenue drivers'!BV242</f>
        <v>973.29367256676028</v>
      </c>
      <c r="BW62" s="2400">
        <f>'Revenue drivers'!BW242</f>
        <v>1031.9004524643399</v>
      </c>
      <c r="BX62" s="2400">
        <f>'Revenue drivers'!BX242</f>
        <v>1087.8536416198583</v>
      </c>
      <c r="BY62" s="2401">
        <f>'Revenue drivers'!BY242</f>
        <v>1143.0977844239476</v>
      </c>
    </row>
    <row r="63" spans="1:84" s="42" customFormat="1" ht="11.25" customHeight="1">
      <c r="I63" s="2399"/>
      <c r="J63" s="277"/>
      <c r="K63" s="277"/>
      <c r="L63" s="277"/>
      <c r="M63" s="295"/>
      <c r="N63" s="295"/>
      <c r="O63" s="295"/>
      <c r="P63" s="295"/>
      <c r="Q63" s="2120"/>
      <c r="R63" s="295"/>
      <c r="S63" s="295"/>
      <c r="T63" s="2121"/>
      <c r="U63" s="295"/>
      <c r="V63" s="295"/>
      <c r="W63" s="295"/>
      <c r="X63" s="295"/>
      <c r="Y63" s="2120"/>
      <c r="Z63" s="295"/>
      <c r="AA63" s="295"/>
      <c r="AB63" s="2121"/>
      <c r="AC63" s="295"/>
      <c r="AD63" s="295"/>
      <c r="AE63" s="295"/>
      <c r="AF63" s="295"/>
      <c r="AG63" s="2120"/>
      <c r="AH63" s="2352"/>
      <c r="AI63" s="83"/>
      <c r="AJ63" s="295"/>
      <c r="AK63" s="2120"/>
      <c r="AL63" s="2352"/>
      <c r="AM63" s="295"/>
      <c r="AN63" s="2121"/>
      <c r="AO63" s="295"/>
      <c r="AP63" s="2352"/>
      <c r="AQ63" s="2352"/>
      <c r="AR63" s="2121"/>
      <c r="AS63" s="2872">
        <v>122.66170358934338</v>
      </c>
      <c r="AT63" s="2872">
        <v>115.1796581699096</v>
      </c>
      <c r="AU63" s="2872">
        <v>126.01665583487262</v>
      </c>
      <c r="AV63" s="2871">
        <v>125.18761167744719</v>
      </c>
      <c r="AW63" s="2120"/>
      <c r="AX63" s="2352"/>
      <c r="AZ63" s="2121"/>
      <c r="BA63" s="2120"/>
      <c r="BB63" s="2352"/>
      <c r="BC63" s="295"/>
      <c r="BD63" s="2121"/>
      <c r="BE63" s="2582"/>
      <c r="BF63" s="295"/>
      <c r="BG63" s="295"/>
      <c r="BH63" s="295"/>
      <c r="BI63" s="295"/>
      <c r="BJ63" s="295"/>
      <c r="BK63" s="295"/>
      <c r="BL63" s="295"/>
      <c r="BM63" s="295"/>
      <c r="BN63" s="295"/>
      <c r="BO63" s="295"/>
      <c r="BP63" s="295"/>
      <c r="BQ63" s="295"/>
      <c r="BR63" s="2873"/>
      <c r="BS63" s="75"/>
      <c r="BT63" s="75"/>
      <c r="BU63" s="75"/>
      <c r="BV63" s="295"/>
      <c r="BW63" s="295"/>
      <c r="BX63" s="295"/>
      <c r="BY63" s="2121"/>
    </row>
    <row r="64" spans="1:84" s="83" customFormat="1" ht="11.25" customHeight="1">
      <c r="A64" s="328"/>
      <c r="B64" s="328"/>
      <c r="C64" s="328"/>
      <c r="D64" s="328"/>
      <c r="E64" s="328"/>
      <c r="F64" s="328"/>
      <c r="G64" s="328"/>
      <c r="H64" s="328"/>
      <c r="I64" s="772" t="s">
        <v>58</v>
      </c>
      <c r="J64" s="277"/>
      <c r="K64" s="277"/>
      <c r="L64" s="277"/>
      <c r="M64" s="386">
        <f>M221</f>
        <v>6.5660000000000007</v>
      </c>
      <c r="N64" s="386">
        <f t="shared" ref="N64:AD64" si="95">N221</f>
        <v>7.7779999999999996</v>
      </c>
      <c r="O64" s="386">
        <f t="shared" si="95"/>
        <v>9.3360000000000003</v>
      </c>
      <c r="P64" s="386">
        <f t="shared" si="95"/>
        <v>9.577</v>
      </c>
      <c r="Q64" s="870">
        <f t="shared" si="95"/>
        <v>11</v>
      </c>
      <c r="R64" s="386">
        <f t="shared" si="95"/>
        <v>12.065999999999999</v>
      </c>
      <c r="S64" s="386">
        <f t="shared" si="95"/>
        <v>14.338000000000001</v>
      </c>
      <c r="T64" s="881">
        <f t="shared" si="95"/>
        <v>15.528</v>
      </c>
      <c r="U64" s="386">
        <f t="shared" si="95"/>
        <v>17.646000000000001</v>
      </c>
      <c r="V64" s="386">
        <f t="shared" si="95"/>
        <v>19.437999999999999</v>
      </c>
      <c r="W64" s="386">
        <f t="shared" si="95"/>
        <v>20.149999999999999</v>
      </c>
      <c r="X64" s="386">
        <f t="shared" si="95"/>
        <v>23.765000000000001</v>
      </c>
      <c r="Y64" s="870">
        <f t="shared" si="95"/>
        <v>26.206</v>
      </c>
      <c r="Z64" s="386">
        <f t="shared" si="95"/>
        <v>28.521000000000001</v>
      </c>
      <c r="AA64" s="386">
        <f t="shared" si="95"/>
        <v>31.465999999999998</v>
      </c>
      <c r="AB64" s="881">
        <f t="shared" si="95"/>
        <v>35.646000000000001</v>
      </c>
      <c r="AC64" s="386">
        <f t="shared" si="95"/>
        <v>41.724000000000004</v>
      </c>
      <c r="AD64" s="386">
        <f t="shared" si="95"/>
        <v>44.07</v>
      </c>
      <c r="AE64" s="386">
        <f t="shared" ref="AE64:AJ64" si="96">AE221</f>
        <v>50.667999999999999</v>
      </c>
      <c r="AF64" s="386">
        <f t="shared" si="96"/>
        <v>49.585000000000001</v>
      </c>
      <c r="AG64" s="870">
        <f t="shared" si="96"/>
        <v>58.329000000000001</v>
      </c>
      <c r="AH64" s="1736">
        <f t="shared" si="96"/>
        <v>62.36</v>
      </c>
      <c r="AI64" s="1737">
        <f t="shared" si="96"/>
        <v>77.381</v>
      </c>
      <c r="AJ64" s="386">
        <f t="shared" si="96"/>
        <v>81.731999999999999</v>
      </c>
      <c r="AK64" s="1936">
        <f t="shared" ref="AK64:AP64" si="97">AK221</f>
        <v>89.286000000000001</v>
      </c>
      <c r="AL64" s="1251">
        <f t="shared" si="97"/>
        <v>87.558999999999997</v>
      </c>
      <c r="AM64" s="1251">
        <f t="shared" si="97"/>
        <v>92.082999999999998</v>
      </c>
      <c r="AN64" s="1258">
        <f t="shared" si="97"/>
        <v>86.828000000000003</v>
      </c>
      <c r="AO64" s="1251">
        <f t="shared" si="97"/>
        <v>102.41800000000001</v>
      </c>
      <c r="AP64" s="1251">
        <f t="shared" si="97"/>
        <v>97.971000000000004</v>
      </c>
      <c r="AQ64" s="1251">
        <f t="shared" ref="AQ64:AR64" si="98">AQ221</f>
        <v>105.73599999999999</v>
      </c>
      <c r="AR64" s="1258">
        <f t="shared" si="98"/>
        <v>104.41800000000001</v>
      </c>
      <c r="AS64" s="388">
        <f t="shared" ref="AS64:BD64" si="99">AS$10*AS65</f>
        <v>117.02305395721736</v>
      </c>
      <c r="AT64" s="388">
        <f t="shared" si="99"/>
        <v>110.6244712655125</v>
      </c>
      <c r="AU64" s="388">
        <f t="shared" si="99"/>
        <v>119.1576544653296</v>
      </c>
      <c r="AV64" s="871">
        <f t="shared" si="99"/>
        <v>122.81079212448338</v>
      </c>
      <c r="AW64" s="885">
        <f t="shared" si="99"/>
        <v>137.40258384982999</v>
      </c>
      <c r="AX64" s="388">
        <f t="shared" si="99"/>
        <v>128.20088467136509</v>
      </c>
      <c r="AY64" s="388">
        <f t="shared" si="99"/>
        <v>136.36606169619569</v>
      </c>
      <c r="AZ64" s="871">
        <f t="shared" si="99"/>
        <v>138.84613718464485</v>
      </c>
      <c r="BA64" s="885">
        <f t="shared" si="99"/>
        <v>154.88073463306355</v>
      </c>
      <c r="BB64" s="388">
        <f t="shared" si="99"/>
        <v>143.8834868929064</v>
      </c>
      <c r="BC64" s="388">
        <f t="shared" si="99"/>
        <v>151.86914057019516</v>
      </c>
      <c r="BD64" s="871">
        <f t="shared" si="99"/>
        <v>153.86266378307047</v>
      </c>
      <c r="BE64" s="2580"/>
      <c r="BF64" s="386"/>
      <c r="BG64" s="386">
        <f>BG221</f>
        <v>3.9359999999999999</v>
      </c>
      <c r="BH64" s="386">
        <f>BH221</f>
        <v>9.8979999999999997</v>
      </c>
      <c r="BI64" s="386">
        <f>BI221</f>
        <v>17.757999999999999</v>
      </c>
      <c r="BJ64" s="386">
        <f>SUM(M64:P64)</f>
        <v>33.256999999999998</v>
      </c>
      <c r="BK64" s="386">
        <f>SUM(Q64:T64)</f>
        <v>52.931999999999995</v>
      </c>
      <c r="BL64" s="386">
        <f>SUM(U64:X64)</f>
        <v>80.998999999999995</v>
      </c>
      <c r="BM64" s="386">
        <f>SUM(Y64:AB64)</f>
        <v>121.839</v>
      </c>
      <c r="BN64" s="386">
        <f>SUM(AC64:AF64)</f>
        <v>186.04700000000003</v>
      </c>
      <c r="BO64" s="386">
        <f>SUM(AG64:AJ64)</f>
        <v>279.80200000000002</v>
      </c>
      <c r="BP64" s="386">
        <f>SUM(AK64:AN64)</f>
        <v>355.75599999999997</v>
      </c>
      <c r="BQ64" s="386">
        <f>SUM(AO64:AR64)</f>
        <v>410.54300000000001</v>
      </c>
      <c r="BR64" s="386">
        <f>SUM(AS64:AV64)</f>
        <v>469.61597181254285</v>
      </c>
      <c r="BS64" s="386">
        <f>SUM(AW64:AZ64)</f>
        <v>540.81566740203561</v>
      </c>
      <c r="BT64" s="386">
        <f>SUM(BA64:BD64)</f>
        <v>604.49602587923562</v>
      </c>
      <c r="BU64" s="388">
        <f>+BT64+BU70</f>
        <v>659.49602587923562</v>
      </c>
      <c r="BV64" s="388">
        <f>+BU64+BV70</f>
        <v>709.49602587923562</v>
      </c>
      <c r="BW64" s="388">
        <f>+BV64+BW70</f>
        <v>754.49602587923562</v>
      </c>
      <c r="BX64" s="388">
        <f>+BW64+BX70</f>
        <v>794.49602587923562</v>
      </c>
      <c r="BY64" s="871">
        <f>+BX64+BY70</f>
        <v>829.49602587923562</v>
      </c>
      <c r="BZ64" s="320"/>
      <c r="CA64" s="329">
        <f t="shared" ref="CA64:CF64" si="100">IF(ISERROR(RATE(3,,-BK64,BN64)),"NM",(RATE(3,,-BK64,BN64)))</f>
        <v>0.52043592476771983</v>
      </c>
      <c r="CB64" s="329">
        <f t="shared" si="100"/>
        <v>0.51167020223464033</v>
      </c>
      <c r="CC64" s="329">
        <f t="shared" si="100"/>
        <v>0.42929531177700825</v>
      </c>
      <c r="CD64" s="329">
        <f t="shared" si="100"/>
        <v>0.30190309678220073</v>
      </c>
      <c r="CE64" s="329">
        <f t="shared" si="100"/>
        <v>0.18840375355692562</v>
      </c>
      <c r="CF64" s="329">
        <f t="shared" si="100"/>
        <v>0.14982657980128936</v>
      </c>
    </row>
    <row r="65" spans="1:84" s="41" customFormat="1" ht="11.25" customHeight="1">
      <c r="A65" s="29"/>
      <c r="B65" s="29"/>
      <c r="C65" s="29"/>
      <c r="D65" s="29"/>
      <c r="E65" s="29"/>
      <c r="F65" s="29"/>
      <c r="G65" s="29"/>
      <c r="H65" s="29"/>
      <c r="I65" s="785" t="s">
        <v>702</v>
      </c>
      <c r="J65" s="2"/>
      <c r="K65" s="2"/>
      <c r="L65" s="2"/>
      <c r="M65" s="359">
        <f t="shared" ref="M65:AF65" si="101">M64/M$10</f>
        <v>0.71869527145359036</v>
      </c>
      <c r="N65" s="359">
        <f t="shared" si="101"/>
        <v>0.72508623100587311</v>
      </c>
      <c r="O65" s="359">
        <f t="shared" si="101"/>
        <v>0.74130538351595998</v>
      </c>
      <c r="P65" s="359">
        <f t="shared" si="101"/>
        <v>0.62701322508838542</v>
      </c>
      <c r="Q65" s="852">
        <f t="shared" si="101"/>
        <v>0.66666666666666663</v>
      </c>
      <c r="R65" s="359">
        <f t="shared" si="101"/>
        <v>0.6163040147103892</v>
      </c>
      <c r="S65" s="359">
        <f t="shared" si="101"/>
        <v>0.64290198188503278</v>
      </c>
      <c r="T65" s="843">
        <f t="shared" si="101"/>
        <v>0.62348925918490261</v>
      </c>
      <c r="U65" s="359">
        <f t="shared" si="101"/>
        <v>0.64436735439109005</v>
      </c>
      <c r="V65" s="359">
        <f t="shared" si="101"/>
        <v>0.5952898661684991</v>
      </c>
      <c r="W65" s="359">
        <f t="shared" si="101"/>
        <v>0.55401281240548783</v>
      </c>
      <c r="X65" s="359">
        <f t="shared" si="101"/>
        <v>0.57742303860825628</v>
      </c>
      <c r="Y65" s="852">
        <f t="shared" si="101"/>
        <v>0.5680532373788828</v>
      </c>
      <c r="Z65" s="359">
        <f t="shared" si="101"/>
        <v>0.51834687312578376</v>
      </c>
      <c r="AA65" s="359">
        <f t="shared" si="101"/>
        <v>0.51430999820205614</v>
      </c>
      <c r="AB65" s="843">
        <f t="shared" si="101"/>
        <v>0.50453638306605708</v>
      </c>
      <c r="AC65" s="359">
        <f t="shared" si="101"/>
        <v>0.54607562134359422</v>
      </c>
      <c r="AD65" s="359">
        <f t="shared" si="101"/>
        <v>0.49635644857918387</v>
      </c>
      <c r="AE65" s="359">
        <f t="shared" si="101"/>
        <v>0.49453906593138452</v>
      </c>
      <c r="AF65" s="359">
        <f t="shared" si="101"/>
        <v>0.45123626998644062</v>
      </c>
      <c r="AG65" s="852">
        <f t="shared" ref="AG65:AL65" si="102">AG64/AG$10</f>
        <v>0.52172629695885508</v>
      </c>
      <c r="AH65" s="1738">
        <f t="shared" si="102"/>
        <v>0.4964968152866242</v>
      </c>
      <c r="AI65" s="1738">
        <f t="shared" si="102"/>
        <v>0.57489598811292719</v>
      </c>
      <c r="AJ65" s="843">
        <f t="shared" si="102"/>
        <v>0.55713701431492846</v>
      </c>
      <c r="AK65" s="289">
        <f t="shared" si="102"/>
        <v>0.56291728925119633</v>
      </c>
      <c r="AL65" s="289">
        <f t="shared" si="102"/>
        <v>0.50487233895334083</v>
      </c>
      <c r="AM65" s="289">
        <f t="shared" ref="AM65:AR65" si="103">AM64/AM$10</f>
        <v>0.49445315520426136</v>
      </c>
      <c r="AN65" s="1234">
        <f t="shared" si="103"/>
        <v>0.44573810550524656</v>
      </c>
      <c r="AO65" s="289">
        <f t="shared" si="103"/>
        <v>0.51903731445396639</v>
      </c>
      <c r="AP65" s="289">
        <f t="shared" si="103"/>
        <v>0.46906599509728819</v>
      </c>
      <c r="AQ65" s="289">
        <f t="shared" si="103"/>
        <v>0.47547441316665162</v>
      </c>
      <c r="AR65" s="1234">
        <f t="shared" si="103"/>
        <v>0.47844175838274244</v>
      </c>
      <c r="AS65" s="289">
        <f t="shared" ref="AS65:BD65" si="104">+AO65+AS66/10000</f>
        <v>0.5290373144539664</v>
      </c>
      <c r="AT65" s="289">
        <f t="shared" si="104"/>
        <v>0.4780659950972882</v>
      </c>
      <c r="AU65" s="289">
        <f t="shared" si="104"/>
        <v>0.48047441316665163</v>
      </c>
      <c r="AV65" s="1234">
        <f t="shared" si="104"/>
        <v>0.47344175838274244</v>
      </c>
      <c r="AW65" s="1257">
        <f t="shared" si="104"/>
        <v>0.5240373144539664</v>
      </c>
      <c r="AX65" s="289">
        <f t="shared" si="104"/>
        <v>0.47306599509728819</v>
      </c>
      <c r="AY65" s="289">
        <f t="shared" si="104"/>
        <v>0.47547441316665162</v>
      </c>
      <c r="AZ65" s="289">
        <f t="shared" si="104"/>
        <v>0.46844175838274243</v>
      </c>
      <c r="BA65" s="1257">
        <f t="shared" si="104"/>
        <v>0.51903731445396639</v>
      </c>
      <c r="BB65" s="289">
        <f t="shared" si="104"/>
        <v>0.46806599509728819</v>
      </c>
      <c r="BC65" s="289">
        <f t="shared" si="104"/>
        <v>0.47047441316665162</v>
      </c>
      <c r="BD65" s="1234">
        <f t="shared" si="104"/>
        <v>0.46344175838274243</v>
      </c>
      <c r="BE65" s="1309"/>
      <c r="BF65" s="108"/>
      <c r="BG65" s="353">
        <f t="shared" ref="BG65:BP65" si="105">BG64/BG$10</f>
        <v>1.0510013351134846</v>
      </c>
      <c r="BH65" s="353">
        <f t="shared" si="105"/>
        <v>0.8153884174973226</v>
      </c>
      <c r="BI65" s="353">
        <f t="shared" si="105"/>
        <v>0.6880812151270923</v>
      </c>
      <c r="BJ65" s="353">
        <f t="shared" si="105"/>
        <v>0.69675891977959814</v>
      </c>
      <c r="BK65" s="353">
        <f t="shared" si="105"/>
        <v>0.63555262051990147</v>
      </c>
      <c r="BL65" s="353">
        <f t="shared" si="105"/>
        <v>0.58880101187793499</v>
      </c>
      <c r="BM65" s="353">
        <f t="shared" si="105"/>
        <v>0.52294109567874736</v>
      </c>
      <c r="BN65" s="353">
        <f t="shared" si="105"/>
        <v>0.49279274029496534</v>
      </c>
      <c r="BO65" s="353">
        <f t="shared" si="105"/>
        <v>0.53942934258723729</v>
      </c>
      <c r="BP65" s="353">
        <f t="shared" si="105"/>
        <v>0.49890824029652109</v>
      </c>
      <c r="BQ65" s="353">
        <f>BQ64/BQ$10</f>
        <v>0.48480951520583648</v>
      </c>
      <c r="BR65" s="353">
        <f>BR64/BR$10</f>
        <v>0.48918330397139881</v>
      </c>
      <c r="BS65" s="353">
        <f t="shared" ref="BS65:BY65" si="106">BS64/BS$10</f>
        <v>0.4844282223235718</v>
      </c>
      <c r="BT65" s="353">
        <f t="shared" si="106"/>
        <v>0.47953040288690757</v>
      </c>
      <c r="BU65" s="353">
        <f t="shared" si="106"/>
        <v>0.47086678986094221</v>
      </c>
      <c r="BV65" s="353">
        <f t="shared" si="106"/>
        <v>0.46143081807962777</v>
      </c>
      <c r="BW65" s="353">
        <f t="shared" si="106"/>
        <v>0.45163176456317233</v>
      </c>
      <c r="BX65" s="353">
        <f t="shared" si="106"/>
        <v>0.44148478877485869</v>
      </c>
      <c r="BY65" s="621">
        <f t="shared" si="106"/>
        <v>0.43077275959661177</v>
      </c>
      <c r="BZ65" s="29"/>
      <c r="CA65" s="29"/>
      <c r="CB65" s="29"/>
      <c r="CC65" s="29"/>
      <c r="CD65" s="29"/>
      <c r="CE65" s="29"/>
      <c r="CF65" s="29"/>
    </row>
    <row r="66" spans="1:84">
      <c r="I66" s="796" t="s">
        <v>366</v>
      </c>
      <c r="Q66" s="907">
        <f t="shared" ref="Q66:AR66" si="107">(Q65-M65)*10000</f>
        <v>-520.28604786923722</v>
      </c>
      <c r="R66" s="908">
        <f t="shared" si="107"/>
        <v>-1087.8221629548391</v>
      </c>
      <c r="S66" s="908">
        <f t="shared" si="107"/>
        <v>-984.03401630927203</v>
      </c>
      <c r="T66" s="909">
        <f t="shared" si="107"/>
        <v>-35.239659034828065</v>
      </c>
      <c r="U66" s="899">
        <f t="shared" si="107"/>
        <v>-222.99312275576577</v>
      </c>
      <c r="V66" s="899">
        <f t="shared" si="107"/>
        <v>-210.141485418901</v>
      </c>
      <c r="W66" s="899">
        <f t="shared" si="107"/>
        <v>-888.89169479544944</v>
      </c>
      <c r="X66" s="899">
        <f t="shared" si="107"/>
        <v>-460.66220576646333</v>
      </c>
      <c r="Y66" s="907">
        <f t="shared" si="107"/>
        <v>-763.14117012207248</v>
      </c>
      <c r="Z66" s="908">
        <f t="shared" si="107"/>
        <v>-769.42993042715341</v>
      </c>
      <c r="AA66" s="908">
        <f t="shared" si="107"/>
        <v>-397.02814203431689</v>
      </c>
      <c r="AB66" s="909">
        <f t="shared" si="107"/>
        <v>-728.86655542199196</v>
      </c>
      <c r="AC66" s="899">
        <f t="shared" si="107"/>
        <v>-219.77616035288582</v>
      </c>
      <c r="AD66" s="899">
        <f t="shared" si="107"/>
        <v>-219.90424546599886</v>
      </c>
      <c r="AE66" s="899">
        <f t="shared" si="107"/>
        <v>-197.70932270671614</v>
      </c>
      <c r="AF66" s="899">
        <f t="shared" si="107"/>
        <v>-533.0011307961646</v>
      </c>
      <c r="AG66" s="907">
        <f t="shared" si="107"/>
        <v>-243.49324384739134</v>
      </c>
      <c r="AH66" s="899">
        <f t="shared" si="107"/>
        <v>1.4036670744033142</v>
      </c>
      <c r="AI66" s="908">
        <f t="shared" si="107"/>
        <v>803.56922181542666</v>
      </c>
      <c r="AJ66" s="909">
        <f t="shared" si="107"/>
        <v>1059.0074432848785</v>
      </c>
      <c r="AK66" s="899">
        <f t="shared" si="107"/>
        <v>411.90992292341247</v>
      </c>
      <c r="AL66" s="908">
        <f t="shared" si="107"/>
        <v>83.755236667166216</v>
      </c>
      <c r="AM66" s="908">
        <f t="shared" si="107"/>
        <v>-804.42832908665832</v>
      </c>
      <c r="AN66" s="909">
        <f t="shared" si="107"/>
        <v>-1113.9890880968189</v>
      </c>
      <c r="AO66" s="899">
        <f t="shared" si="107"/>
        <v>-438.79974797229937</v>
      </c>
      <c r="AP66" s="908">
        <f t="shared" si="107"/>
        <v>-358.06343856052638</v>
      </c>
      <c r="AQ66" s="908">
        <f t="shared" si="107"/>
        <v>-189.78742037609743</v>
      </c>
      <c r="AR66" s="909">
        <f t="shared" si="107"/>
        <v>327.03652877495881</v>
      </c>
      <c r="AS66" s="2231">
        <v>100</v>
      </c>
      <c r="AT66" s="2231">
        <v>90</v>
      </c>
      <c r="AU66" s="2231">
        <v>50</v>
      </c>
      <c r="AV66" s="2233">
        <v>-50</v>
      </c>
      <c r="AW66" s="2568">
        <v>-50</v>
      </c>
      <c r="AX66" s="2232">
        <v>-50</v>
      </c>
      <c r="AY66" s="2232">
        <v>-50</v>
      </c>
      <c r="AZ66" s="2232">
        <v>-50</v>
      </c>
      <c r="BA66" s="2568">
        <v>-50</v>
      </c>
      <c r="BB66" s="2232">
        <v>-50</v>
      </c>
      <c r="BC66" s="2232">
        <v>-50</v>
      </c>
      <c r="BD66" s="2233">
        <v>-50</v>
      </c>
      <c r="BE66" s="883"/>
      <c r="BF66" s="106"/>
      <c r="BG66" s="106"/>
      <c r="BH66" s="908">
        <f t="shared" ref="BH66:BQ66" si="108">(BH65-BG65)*10000</f>
        <v>-2356.1291761616199</v>
      </c>
      <c r="BI66" s="908">
        <f t="shared" si="108"/>
        <v>-1273.0720237023029</v>
      </c>
      <c r="BJ66" s="908">
        <f t="shared" si="108"/>
        <v>86.777046525058353</v>
      </c>
      <c r="BK66" s="908">
        <f t="shared" si="108"/>
        <v>-612.06299259696675</v>
      </c>
      <c r="BL66" s="908">
        <f t="shared" si="108"/>
        <v>-467.51608641966482</v>
      </c>
      <c r="BM66" s="908">
        <f t="shared" si="108"/>
        <v>-658.59916199187626</v>
      </c>
      <c r="BN66" s="908">
        <f t="shared" si="108"/>
        <v>-301.48355383782024</v>
      </c>
      <c r="BO66" s="908">
        <f t="shared" si="108"/>
        <v>466.36602292271954</v>
      </c>
      <c r="BP66" s="908">
        <f t="shared" si="108"/>
        <v>-405.21102290716203</v>
      </c>
      <c r="BQ66" s="908">
        <f t="shared" si="108"/>
        <v>-140.98725090684604</v>
      </c>
      <c r="BR66" s="908">
        <f t="shared" ref="BR66:BY66" si="109">(BR65-BQ65)*10000</f>
        <v>43.737887655623254</v>
      </c>
      <c r="BS66" s="908">
        <f t="shared" si="109"/>
        <v>-47.550816478270086</v>
      </c>
      <c r="BT66" s="908">
        <f t="shared" si="109"/>
        <v>-48.978194366642299</v>
      </c>
      <c r="BU66" s="908">
        <f t="shared" si="109"/>
        <v>-86.636130259653555</v>
      </c>
      <c r="BV66" s="908">
        <f t="shared" si="109"/>
        <v>-94.359717813144456</v>
      </c>
      <c r="BW66" s="908">
        <f t="shared" si="109"/>
        <v>-97.990535164554359</v>
      </c>
      <c r="BX66" s="908">
        <f t="shared" si="109"/>
        <v>-101.4697578831364</v>
      </c>
      <c r="BY66" s="909">
        <f t="shared" si="109"/>
        <v>-107.12029178246929</v>
      </c>
    </row>
    <row r="67" spans="1:84" ht="11.25" customHeight="1">
      <c r="I67" s="796" t="s">
        <v>367</v>
      </c>
      <c r="N67" s="899">
        <f t="shared" ref="N67:AR67" si="110">(N65-M65)*10000</f>
        <v>63.909595522827487</v>
      </c>
      <c r="O67" s="899">
        <f t="shared" si="110"/>
        <v>162.19152510086877</v>
      </c>
      <c r="P67" s="899">
        <f t="shared" si="110"/>
        <v>-1142.9215842757455</v>
      </c>
      <c r="Q67" s="907">
        <f t="shared" si="110"/>
        <v>396.53441578281212</v>
      </c>
      <c r="R67" s="908">
        <f t="shared" si="110"/>
        <v>-503.62651956277426</v>
      </c>
      <c r="S67" s="908">
        <f t="shared" si="110"/>
        <v>265.97967174643577</v>
      </c>
      <c r="T67" s="909">
        <f t="shared" si="110"/>
        <v>-194.12722700130169</v>
      </c>
      <c r="U67" s="899">
        <f t="shared" si="110"/>
        <v>208.78095206187442</v>
      </c>
      <c r="V67" s="899">
        <f t="shared" si="110"/>
        <v>-490.77488222590949</v>
      </c>
      <c r="W67" s="899">
        <f t="shared" si="110"/>
        <v>-412.77053763011276</v>
      </c>
      <c r="X67" s="899">
        <f t="shared" si="110"/>
        <v>234.10226202768447</v>
      </c>
      <c r="Y67" s="907">
        <f t="shared" si="110"/>
        <v>-93.698012293734763</v>
      </c>
      <c r="Z67" s="908">
        <f t="shared" si="110"/>
        <v>-497.06364253099042</v>
      </c>
      <c r="AA67" s="908">
        <f t="shared" si="110"/>
        <v>-40.368749237276177</v>
      </c>
      <c r="AB67" s="909">
        <f t="shared" si="110"/>
        <v>-97.736151359990586</v>
      </c>
      <c r="AC67" s="899">
        <f t="shared" si="110"/>
        <v>415.3923827753714</v>
      </c>
      <c r="AD67" s="899">
        <f t="shared" si="110"/>
        <v>-497.19172764410348</v>
      </c>
      <c r="AE67" s="899">
        <f t="shared" si="110"/>
        <v>-18.173826477993483</v>
      </c>
      <c r="AF67" s="899">
        <f t="shared" si="110"/>
        <v>-433.02795944943904</v>
      </c>
      <c r="AG67" s="907">
        <f t="shared" si="110"/>
        <v>704.90026972414466</v>
      </c>
      <c r="AH67" s="899">
        <f t="shared" si="110"/>
        <v>-252.29481672230881</v>
      </c>
      <c r="AI67" s="908">
        <f t="shared" si="110"/>
        <v>783.99172826302993</v>
      </c>
      <c r="AJ67" s="909">
        <f t="shared" si="110"/>
        <v>-177.58973797998735</v>
      </c>
      <c r="AK67" s="907">
        <f t="shared" si="110"/>
        <v>57.802749362678711</v>
      </c>
      <c r="AL67" s="908">
        <f t="shared" si="110"/>
        <v>-580.44950297855507</v>
      </c>
      <c r="AM67" s="908">
        <f t="shared" si="110"/>
        <v>-104.19183749079464</v>
      </c>
      <c r="AN67" s="909">
        <f t="shared" si="110"/>
        <v>-487.15049699014799</v>
      </c>
      <c r="AO67" s="908">
        <f t="shared" si="110"/>
        <v>732.99208948719831</v>
      </c>
      <c r="AP67" s="908">
        <f t="shared" si="110"/>
        <v>-499.71319356678202</v>
      </c>
      <c r="AQ67" s="908">
        <f t="shared" si="110"/>
        <v>64.084180693634309</v>
      </c>
      <c r="AR67" s="909">
        <f t="shared" si="110"/>
        <v>29.673452160908219</v>
      </c>
      <c r="AS67" s="908">
        <f t="shared" ref="AS67:AV67" si="111">(AS65-AR65)*10000</f>
        <v>505.95556071223956</v>
      </c>
      <c r="AT67" s="908">
        <f t="shared" si="111"/>
        <v>-509.71319356678202</v>
      </c>
      <c r="AU67" s="908">
        <f t="shared" si="111"/>
        <v>24.084180693634273</v>
      </c>
      <c r="AV67" s="909">
        <f t="shared" si="111"/>
        <v>-70.326547839091873</v>
      </c>
      <c r="AW67" s="907">
        <f t="shared" ref="AW67:BD67" si="112">(AW65-AV65)*10000</f>
        <v>505.95556071223956</v>
      </c>
      <c r="AX67" s="908">
        <f t="shared" si="112"/>
        <v>-509.71319356678202</v>
      </c>
      <c r="AY67" s="908">
        <f t="shared" si="112"/>
        <v>24.084180693634273</v>
      </c>
      <c r="AZ67" s="909">
        <f t="shared" si="112"/>
        <v>-70.326547839091873</v>
      </c>
      <c r="BA67" s="907">
        <f t="shared" si="112"/>
        <v>505.95556071223956</v>
      </c>
      <c r="BB67" s="908">
        <f t="shared" si="112"/>
        <v>-509.71319356678202</v>
      </c>
      <c r="BC67" s="908">
        <f t="shared" si="112"/>
        <v>24.084180693634273</v>
      </c>
      <c r="BD67" s="909">
        <f t="shared" si="112"/>
        <v>-70.326547839091873</v>
      </c>
      <c r="BE67" s="883"/>
      <c r="BF67" s="106"/>
      <c r="BG67" s="106"/>
      <c r="BH67" s="106"/>
      <c r="BI67" s="106"/>
      <c r="BJ67" s="106"/>
      <c r="BK67" s="106"/>
      <c r="BL67" s="106"/>
      <c r="BM67" s="106"/>
      <c r="BP67" s="106"/>
      <c r="BQ67" s="106"/>
      <c r="BR67" s="106"/>
      <c r="BS67" s="106"/>
      <c r="BT67" s="106"/>
      <c r="BU67" s="106"/>
      <c r="BV67" s="106"/>
      <c r="BW67" s="106"/>
      <c r="BX67" s="106"/>
      <c r="BY67" s="830"/>
    </row>
    <row r="68" spans="1:84" ht="11.25" customHeight="1">
      <c r="A68" s="36"/>
      <c r="B68" s="36"/>
      <c r="C68" s="36"/>
      <c r="D68" s="36"/>
      <c r="E68" s="36"/>
      <c r="F68" s="36"/>
      <c r="G68" s="36"/>
      <c r="H68" s="36"/>
      <c r="I68" s="796" t="s">
        <v>132</v>
      </c>
      <c r="J68" s="54"/>
      <c r="K68" s="54"/>
      <c r="L68" s="54"/>
      <c r="M68" s="198" t="str">
        <f t="shared" ref="M68:R68" si="113">IF(ISERROR(M64/I64-1),"NA",(IF(M64&lt;=0,"NM",M64/I64-1)))</f>
        <v>NA</v>
      </c>
      <c r="N68" s="198" t="str">
        <f t="shared" si="113"/>
        <v>NA</v>
      </c>
      <c r="O68" s="198" t="str">
        <f t="shared" si="113"/>
        <v>NA</v>
      </c>
      <c r="P68" s="198" t="str">
        <f t="shared" si="113"/>
        <v>NA</v>
      </c>
      <c r="Q68" s="751">
        <f t="shared" si="113"/>
        <v>0.67529698446542774</v>
      </c>
      <c r="R68" s="198">
        <f t="shared" si="113"/>
        <v>0.55129853432759068</v>
      </c>
      <c r="S68" s="198">
        <f t="shared" ref="S68:AR68" si="114">IF(ISERROR(S64/O64-1),"NA",(IF(S64&lt;=0,"NM",S64/O64-1)))</f>
        <v>0.53577549271636671</v>
      </c>
      <c r="T68" s="752">
        <f t="shared" si="114"/>
        <v>0.62138456719223134</v>
      </c>
      <c r="U68" s="198">
        <f t="shared" si="114"/>
        <v>0.60418181818181815</v>
      </c>
      <c r="V68" s="198">
        <f t="shared" si="114"/>
        <v>0.61097298193270344</v>
      </c>
      <c r="W68" s="198">
        <f t="shared" si="114"/>
        <v>0.40535639559213266</v>
      </c>
      <c r="X68" s="198">
        <f t="shared" si="114"/>
        <v>0.53046110252447187</v>
      </c>
      <c r="Y68" s="751">
        <f t="shared" si="114"/>
        <v>0.48509577241301138</v>
      </c>
      <c r="Z68" s="198">
        <f t="shared" si="114"/>
        <v>0.46728058442226583</v>
      </c>
      <c r="AA68" s="198">
        <f t="shared" si="114"/>
        <v>0.56158808933002491</v>
      </c>
      <c r="AB68" s="752">
        <f t="shared" si="114"/>
        <v>0.49993688196928265</v>
      </c>
      <c r="AC68" s="198">
        <f t="shared" si="114"/>
        <v>0.59215446844234165</v>
      </c>
      <c r="AD68" s="198">
        <f t="shared" si="114"/>
        <v>0.54517723782476057</v>
      </c>
      <c r="AE68" s="198">
        <f t="shared" si="114"/>
        <v>0.61024597978770756</v>
      </c>
      <c r="AF68" s="198">
        <f t="shared" si="114"/>
        <v>0.3910396678449195</v>
      </c>
      <c r="AG68" s="751">
        <f t="shared" si="114"/>
        <v>0.39797238999137186</v>
      </c>
      <c r="AH68" s="198">
        <f t="shared" si="114"/>
        <v>0.41502155661447704</v>
      </c>
      <c r="AI68" s="198">
        <f t="shared" si="114"/>
        <v>0.52721638904239354</v>
      </c>
      <c r="AJ68" s="752">
        <f t="shared" si="114"/>
        <v>0.64832106483815677</v>
      </c>
      <c r="AK68" s="751">
        <f t="shared" si="114"/>
        <v>0.53073085429203304</v>
      </c>
      <c r="AL68" s="198">
        <f t="shared" si="114"/>
        <v>0.40408915971776782</v>
      </c>
      <c r="AM68" s="198">
        <f t="shared" si="114"/>
        <v>0.18999496000310145</v>
      </c>
      <c r="AN68" s="752">
        <f t="shared" si="114"/>
        <v>6.2350119904076795E-2</v>
      </c>
      <c r="AO68" s="198">
        <f t="shared" si="114"/>
        <v>0.14707792935062614</v>
      </c>
      <c r="AP68" s="198">
        <f t="shared" si="114"/>
        <v>0.11891410363297905</v>
      </c>
      <c r="AQ68" s="198">
        <f t="shared" si="114"/>
        <v>0.14826841002139357</v>
      </c>
      <c r="AR68" s="752">
        <f t="shared" si="114"/>
        <v>0.20258441977242359</v>
      </c>
      <c r="AS68" s="198">
        <f t="shared" ref="AS68:AV68" si="115">IF(ISERROR(AS64/AO64-1),"NA",(IF(AS64&lt;=0,"NM",AS64/AO64-1)))</f>
        <v>0.14260241322050171</v>
      </c>
      <c r="AT68" s="198">
        <f t="shared" si="115"/>
        <v>0.12915527314728337</v>
      </c>
      <c r="AU68" s="198">
        <f t="shared" si="115"/>
        <v>0.1269355230510858</v>
      </c>
      <c r="AV68" s="752">
        <f t="shared" si="115"/>
        <v>0.17614579980926059</v>
      </c>
      <c r="AW68" s="1978">
        <f t="shared" ref="AW68:BD68" si="116">IF(ISERROR(AW64/AS64-1),"NA",(IF(AW64&lt;=0,"NM",AW64/AS64-1)))</f>
        <v>0.17414970130640439</v>
      </c>
      <c r="AX68" s="198">
        <f t="shared" si="116"/>
        <v>0.15888359243468853</v>
      </c>
      <c r="AY68" s="198">
        <f t="shared" si="116"/>
        <v>0.14441713633993269</v>
      </c>
      <c r="AZ68" s="752">
        <f t="shared" si="116"/>
        <v>0.13056951089369839</v>
      </c>
      <c r="BA68" s="751">
        <f t="shared" si="116"/>
        <v>0.12720394546827274</v>
      </c>
      <c r="BB68" s="198">
        <f t="shared" si="116"/>
        <v>0.12232834634287193</v>
      </c>
      <c r="BC68" s="198">
        <f t="shared" si="116"/>
        <v>0.1136872230609558</v>
      </c>
      <c r="BD68" s="752">
        <f t="shared" si="116"/>
        <v>0.10815228210818617</v>
      </c>
      <c r="BE68" s="1119"/>
      <c r="BF68" s="201"/>
      <c r="BG68" s="198" t="str">
        <f t="shared" ref="BG68:BY68" si="117">IF(ISERROR(+BG64/BF64-1),"NA",(IF(BG64&lt;=0,"NM",BG64/BF64-1)))</f>
        <v>NA</v>
      </c>
      <c r="BH68" s="198">
        <f t="shared" si="117"/>
        <v>1.5147357723577235</v>
      </c>
      <c r="BI68" s="198">
        <f t="shared" si="117"/>
        <v>0.79409981814507979</v>
      </c>
      <c r="BJ68" s="198">
        <f t="shared" si="117"/>
        <v>0.87278972857303749</v>
      </c>
      <c r="BK68" s="198">
        <f t="shared" si="117"/>
        <v>0.59160477493460029</v>
      </c>
      <c r="BL68" s="198">
        <f t="shared" si="117"/>
        <v>0.53024635381243868</v>
      </c>
      <c r="BM68" s="198">
        <f t="shared" si="117"/>
        <v>0.50420375560192099</v>
      </c>
      <c r="BN68" s="198">
        <f t="shared" si="117"/>
        <v>0.52699053669186413</v>
      </c>
      <c r="BO68" s="198">
        <f t="shared" si="117"/>
        <v>0.50393180217901912</v>
      </c>
      <c r="BP68" s="198">
        <f t="shared" si="117"/>
        <v>0.27145624405829816</v>
      </c>
      <c r="BQ68" s="198">
        <f t="shared" si="117"/>
        <v>0.15400161908723975</v>
      </c>
      <c r="BR68" s="198">
        <f t="shared" si="117"/>
        <v>0.14388985273782007</v>
      </c>
      <c r="BS68" s="198">
        <f t="shared" si="117"/>
        <v>0.15161259382786407</v>
      </c>
      <c r="BT68" s="198">
        <f t="shared" si="117"/>
        <v>0.11774873088109117</v>
      </c>
      <c r="BU68" s="198">
        <f t="shared" si="117"/>
        <v>9.0984882688025737E-2</v>
      </c>
      <c r="BV68" s="198">
        <f t="shared" si="117"/>
        <v>7.5815468233247252E-2</v>
      </c>
      <c r="BW68" s="198">
        <f t="shared" si="117"/>
        <v>6.3425302409882089E-2</v>
      </c>
      <c r="BX68" s="198">
        <f t="shared" si="117"/>
        <v>5.3015521126684284E-2</v>
      </c>
      <c r="BY68" s="752">
        <f t="shared" si="117"/>
        <v>4.4053083791409708E-2</v>
      </c>
      <c r="BZ68" s="36"/>
      <c r="CA68" s="36"/>
      <c r="CB68" s="36"/>
      <c r="CC68" s="36"/>
      <c r="CD68" s="36"/>
      <c r="CE68" s="36"/>
      <c r="CF68" s="36"/>
    </row>
    <row r="69" spans="1:84" ht="11.25" customHeight="1">
      <c r="A69" s="36"/>
      <c r="B69" s="36"/>
      <c r="C69" s="36"/>
      <c r="D69" s="36"/>
      <c r="E69" s="36"/>
      <c r="F69" s="36"/>
      <c r="G69" s="36"/>
      <c r="H69" s="36"/>
      <c r="I69" s="796" t="s">
        <v>146</v>
      </c>
      <c r="J69" s="54"/>
      <c r="K69" s="54"/>
      <c r="L69" s="54"/>
      <c r="M69" s="198" t="str">
        <f t="shared" ref="M69:R69" si="118">IF(ISERROR(M64/L64-1),"NA",(IF(M64&lt;=0,"NM",M64/L64-1)))</f>
        <v>NA</v>
      </c>
      <c r="N69" s="198">
        <f t="shared" si="118"/>
        <v>0.18458726774291789</v>
      </c>
      <c r="O69" s="198">
        <f t="shared" si="118"/>
        <v>0.20030856261249697</v>
      </c>
      <c r="P69" s="198">
        <f t="shared" si="118"/>
        <v>2.5814053127677816E-2</v>
      </c>
      <c r="Q69" s="751">
        <f t="shared" si="118"/>
        <v>0.14858515192649047</v>
      </c>
      <c r="R69" s="198">
        <f t="shared" si="118"/>
        <v>9.6909090909090834E-2</v>
      </c>
      <c r="S69" s="198">
        <f t="shared" ref="S69:AR69" si="119">IF(ISERROR(S64/R64-1),"NA",(IF(S64&lt;=0,"NM",S64/R64-1)))</f>
        <v>0.18829769600530444</v>
      </c>
      <c r="T69" s="752">
        <f t="shared" si="119"/>
        <v>8.2996233784349283E-2</v>
      </c>
      <c r="U69" s="198">
        <f t="shared" si="119"/>
        <v>0.13639876352395675</v>
      </c>
      <c r="V69" s="198">
        <f t="shared" si="119"/>
        <v>0.10155275983225653</v>
      </c>
      <c r="W69" s="198">
        <f t="shared" si="119"/>
        <v>3.6629282848029687E-2</v>
      </c>
      <c r="X69" s="198">
        <f t="shared" si="119"/>
        <v>0.17940446650124087</v>
      </c>
      <c r="Y69" s="751">
        <f t="shared" si="119"/>
        <v>0.10271407532084997</v>
      </c>
      <c r="Z69" s="198">
        <f t="shared" si="119"/>
        <v>8.833854842402511E-2</v>
      </c>
      <c r="AA69" s="198">
        <f t="shared" si="119"/>
        <v>0.10325724904456357</v>
      </c>
      <c r="AB69" s="752">
        <f t="shared" si="119"/>
        <v>0.13284179749570968</v>
      </c>
      <c r="AC69" s="198">
        <f t="shared" si="119"/>
        <v>0.17051001514896491</v>
      </c>
      <c r="AD69" s="198">
        <f t="shared" si="119"/>
        <v>5.6226632154155798E-2</v>
      </c>
      <c r="AE69" s="198">
        <f t="shared" si="119"/>
        <v>0.14971636033582936</v>
      </c>
      <c r="AF69" s="198">
        <f t="shared" si="119"/>
        <v>-2.1374437514802169E-2</v>
      </c>
      <c r="AG69" s="751">
        <f t="shared" si="119"/>
        <v>0.1763436523142079</v>
      </c>
      <c r="AH69" s="198">
        <f t="shared" si="119"/>
        <v>6.9107990879322401E-2</v>
      </c>
      <c r="AI69" s="198">
        <f t="shared" si="119"/>
        <v>0.24087556125721621</v>
      </c>
      <c r="AJ69" s="752">
        <f t="shared" si="119"/>
        <v>5.6228273090293435E-2</v>
      </c>
      <c r="AK69" s="751">
        <f t="shared" si="119"/>
        <v>9.2424019967699333E-2</v>
      </c>
      <c r="AL69" s="198">
        <f t="shared" si="119"/>
        <v>-1.9342338104518131E-2</v>
      </c>
      <c r="AM69" s="198">
        <f t="shared" si="119"/>
        <v>5.1668018136342253E-2</v>
      </c>
      <c r="AN69" s="752">
        <f t="shared" si="119"/>
        <v>-5.7068079884452061E-2</v>
      </c>
      <c r="AO69" s="198">
        <f t="shared" si="119"/>
        <v>0.17955037545492236</v>
      </c>
      <c r="AP69" s="198">
        <f t="shared" si="119"/>
        <v>-4.3420101935206734E-2</v>
      </c>
      <c r="AQ69" s="198">
        <f t="shared" si="119"/>
        <v>7.9258147819252445E-2</v>
      </c>
      <c r="AR69" s="752">
        <f t="shared" si="119"/>
        <v>-1.2465007187712596E-2</v>
      </c>
      <c r="AS69" s="198">
        <f t="shared" ref="AS69:AV69" si="120">IF(ISERROR(AS64/AR64-1),"NA",(IF(AS64&lt;=0,"NM",AS64/AR64-1)))</f>
        <v>0.12071725140509626</v>
      </c>
      <c r="AT69" s="198">
        <f t="shared" si="120"/>
        <v>-5.4677967078556433E-2</v>
      </c>
      <c r="AU69" s="198">
        <f t="shared" si="120"/>
        <v>7.7136487995828729E-2</v>
      </c>
      <c r="AV69" s="752">
        <f t="shared" si="120"/>
        <v>3.0658019206115883E-2</v>
      </c>
      <c r="AW69" s="1978">
        <f t="shared" ref="AW69:BD69" si="121">IF(ISERROR(AW64/AV64-1),"NA",(IF(AW64&lt;=0,"NM",AW64/AV64-1)))</f>
        <v>0.11881522358846186</v>
      </c>
      <c r="AX69" s="198">
        <f t="shared" si="121"/>
        <v>-6.6968894766357701E-2</v>
      </c>
      <c r="AY69" s="198">
        <f t="shared" si="121"/>
        <v>6.3690488921051669E-2</v>
      </c>
      <c r="AZ69" s="752">
        <f t="shared" si="121"/>
        <v>1.8186896780625794E-2</v>
      </c>
      <c r="BA69" s="751">
        <f t="shared" si="121"/>
        <v>0.11548464922070578</v>
      </c>
      <c r="BB69" s="198">
        <f t="shared" si="121"/>
        <v>-7.10046202080028E-2</v>
      </c>
      <c r="BC69" s="198">
        <f t="shared" si="121"/>
        <v>5.5500835083545974E-2</v>
      </c>
      <c r="BD69" s="752">
        <f t="shared" si="121"/>
        <v>1.3126585199538354E-2</v>
      </c>
      <c r="BE69" s="1119"/>
      <c r="BF69" s="201"/>
      <c r="BG69" s="201"/>
      <c r="BH69" s="201"/>
      <c r="BI69" s="201"/>
      <c r="BJ69" s="201"/>
      <c r="BK69" s="201"/>
      <c r="BL69" s="201"/>
      <c r="BM69" s="201"/>
      <c r="BN69" s="198"/>
      <c r="BO69" s="198"/>
      <c r="BP69" s="201"/>
      <c r="BQ69" s="201"/>
      <c r="BR69" s="201"/>
      <c r="BS69" s="201"/>
      <c r="BT69" s="201"/>
      <c r="BU69" s="201"/>
      <c r="BV69" s="201"/>
      <c r="BW69" s="201"/>
      <c r="BX69" s="201"/>
      <c r="BY69" s="877"/>
      <c r="BZ69" s="36"/>
      <c r="CA69" s="36"/>
      <c r="CB69" s="36"/>
      <c r="CC69" s="36"/>
      <c r="CD69" s="36"/>
      <c r="CE69" s="36"/>
      <c r="CF69" s="36"/>
    </row>
    <row r="70" spans="1:84" ht="11.25" customHeight="1">
      <c r="A70" s="36"/>
      <c r="B70" s="36"/>
      <c r="C70" s="36"/>
      <c r="D70" s="36"/>
      <c r="E70" s="36"/>
      <c r="F70" s="36"/>
      <c r="G70" s="36"/>
      <c r="H70" s="36"/>
      <c r="I70" s="994" t="s">
        <v>380</v>
      </c>
      <c r="J70" s="54"/>
      <c r="K70" s="54"/>
      <c r="L70" s="54"/>
      <c r="M70" s="198"/>
      <c r="N70" s="198"/>
      <c r="O70" s="198"/>
      <c r="P70" s="198"/>
      <c r="Q70" s="900">
        <f t="shared" ref="Q70:AR70" si="122">Q64-M64</f>
        <v>4.4339999999999993</v>
      </c>
      <c r="R70" s="901">
        <f t="shared" si="122"/>
        <v>4.2879999999999994</v>
      </c>
      <c r="S70" s="901">
        <f t="shared" si="122"/>
        <v>5.0020000000000007</v>
      </c>
      <c r="T70" s="902">
        <f t="shared" si="122"/>
        <v>5.9510000000000005</v>
      </c>
      <c r="U70" s="901">
        <f t="shared" si="122"/>
        <v>6.6460000000000008</v>
      </c>
      <c r="V70" s="901">
        <f t="shared" si="122"/>
        <v>7.3719999999999999</v>
      </c>
      <c r="W70" s="901">
        <f t="shared" si="122"/>
        <v>5.8119999999999976</v>
      </c>
      <c r="X70" s="901">
        <f t="shared" si="122"/>
        <v>8.2370000000000001</v>
      </c>
      <c r="Y70" s="900">
        <f t="shared" si="122"/>
        <v>8.5599999999999987</v>
      </c>
      <c r="Z70" s="901">
        <f t="shared" si="122"/>
        <v>9.083000000000002</v>
      </c>
      <c r="AA70" s="901">
        <f t="shared" si="122"/>
        <v>11.315999999999999</v>
      </c>
      <c r="AB70" s="902">
        <f t="shared" si="122"/>
        <v>11.881</v>
      </c>
      <c r="AC70" s="901">
        <f t="shared" si="122"/>
        <v>15.518000000000004</v>
      </c>
      <c r="AD70" s="901">
        <f t="shared" si="122"/>
        <v>15.548999999999999</v>
      </c>
      <c r="AE70" s="901">
        <f t="shared" si="122"/>
        <v>19.202000000000002</v>
      </c>
      <c r="AF70" s="901">
        <f t="shared" si="122"/>
        <v>13.939</v>
      </c>
      <c r="AG70" s="900">
        <f t="shared" si="122"/>
        <v>16.604999999999997</v>
      </c>
      <c r="AH70" s="901">
        <f t="shared" si="122"/>
        <v>18.29</v>
      </c>
      <c r="AI70" s="901">
        <f t="shared" si="122"/>
        <v>26.713000000000001</v>
      </c>
      <c r="AJ70" s="902">
        <f t="shared" si="122"/>
        <v>32.146999999999998</v>
      </c>
      <c r="AK70" s="900">
        <f t="shared" si="122"/>
        <v>30.957000000000001</v>
      </c>
      <c r="AL70" s="901">
        <f t="shared" si="122"/>
        <v>25.198999999999998</v>
      </c>
      <c r="AM70" s="901">
        <f t="shared" si="122"/>
        <v>14.701999999999998</v>
      </c>
      <c r="AN70" s="902">
        <f t="shared" si="122"/>
        <v>5.0960000000000036</v>
      </c>
      <c r="AO70" s="901">
        <f t="shared" si="122"/>
        <v>13.132000000000005</v>
      </c>
      <c r="AP70" s="901">
        <f t="shared" si="122"/>
        <v>10.412000000000006</v>
      </c>
      <c r="AQ70" s="901">
        <f t="shared" si="122"/>
        <v>13.652999999999992</v>
      </c>
      <c r="AR70" s="902">
        <f t="shared" si="122"/>
        <v>17.590000000000003</v>
      </c>
      <c r="AS70" s="900">
        <f t="shared" ref="AS70:AV70" si="123">AS64-AO64</f>
        <v>14.605053957217351</v>
      </c>
      <c r="AT70" s="901">
        <f t="shared" si="123"/>
        <v>12.653471265512493</v>
      </c>
      <c r="AU70" s="901">
        <f t="shared" si="123"/>
        <v>13.42165446532961</v>
      </c>
      <c r="AV70" s="902">
        <f t="shared" si="123"/>
        <v>18.392792124483378</v>
      </c>
      <c r="AW70" s="900">
        <f t="shared" ref="AW70:BD70" si="124">AW64-AS64</f>
        <v>20.379529892612638</v>
      </c>
      <c r="AX70" s="901">
        <f t="shared" si="124"/>
        <v>17.576413405852591</v>
      </c>
      <c r="AY70" s="901">
        <f t="shared" si="124"/>
        <v>17.208407230866086</v>
      </c>
      <c r="AZ70" s="902">
        <f t="shared" si="124"/>
        <v>16.035345060161461</v>
      </c>
      <c r="BA70" s="900">
        <f t="shared" si="124"/>
        <v>17.478150783233559</v>
      </c>
      <c r="BB70" s="901">
        <f t="shared" si="124"/>
        <v>15.682602221541316</v>
      </c>
      <c r="BC70" s="901">
        <f t="shared" si="124"/>
        <v>15.50307887399947</v>
      </c>
      <c r="BD70" s="902">
        <f t="shared" si="124"/>
        <v>15.016526598425628</v>
      </c>
      <c r="BE70" s="2576"/>
      <c r="BF70" s="384"/>
      <c r="BG70" s="384"/>
      <c r="BH70" s="901">
        <f t="shared" ref="BH70:BT70" si="125">BH64-BG64</f>
        <v>5.9619999999999997</v>
      </c>
      <c r="BI70" s="901">
        <f t="shared" si="125"/>
        <v>7.8599999999999994</v>
      </c>
      <c r="BJ70" s="901">
        <f t="shared" si="125"/>
        <v>15.498999999999999</v>
      </c>
      <c r="BK70" s="901">
        <f t="shared" si="125"/>
        <v>19.674999999999997</v>
      </c>
      <c r="BL70" s="901">
        <f t="shared" si="125"/>
        <v>28.067</v>
      </c>
      <c r="BM70" s="901">
        <f t="shared" si="125"/>
        <v>40.840000000000003</v>
      </c>
      <c r="BN70" s="901">
        <f t="shared" si="125"/>
        <v>64.208000000000027</v>
      </c>
      <c r="BO70" s="901">
        <f t="shared" si="125"/>
        <v>93.754999999999995</v>
      </c>
      <c r="BP70" s="901">
        <f t="shared" si="125"/>
        <v>75.953999999999951</v>
      </c>
      <c r="BQ70" s="901">
        <f t="shared" si="125"/>
        <v>54.787000000000035</v>
      </c>
      <c r="BR70" s="901">
        <f t="shared" si="125"/>
        <v>59.072971812542846</v>
      </c>
      <c r="BS70" s="901">
        <f t="shared" si="125"/>
        <v>71.199695589492762</v>
      </c>
      <c r="BT70" s="901">
        <f t="shared" si="125"/>
        <v>63.680358477200002</v>
      </c>
      <c r="BU70" s="2131">
        <v>55</v>
      </c>
      <c r="BV70" s="2131">
        <v>50</v>
      </c>
      <c r="BW70" s="2131">
        <v>45</v>
      </c>
      <c r="BX70" s="2131">
        <v>40</v>
      </c>
      <c r="BY70" s="2132">
        <v>35</v>
      </c>
      <c r="BZ70" s="36"/>
      <c r="CA70" s="36"/>
      <c r="CB70" s="36"/>
      <c r="CC70" s="36"/>
      <c r="CD70" s="36"/>
      <c r="CE70" s="36"/>
      <c r="CF70" s="36"/>
    </row>
    <row r="71" spans="1:84" ht="11.25" customHeight="1">
      <c r="A71" s="36"/>
      <c r="B71" s="36"/>
      <c r="C71" s="36"/>
      <c r="D71" s="36"/>
      <c r="E71" s="36"/>
      <c r="F71" s="36"/>
      <c r="G71" s="36"/>
      <c r="H71" s="36"/>
      <c r="I71" s="994" t="s">
        <v>377</v>
      </c>
      <c r="J71" s="54"/>
      <c r="K71" s="54"/>
      <c r="L71" s="54"/>
      <c r="M71" s="901"/>
      <c r="N71" s="901">
        <f t="shared" ref="N71:AR71" si="126">N64-M64</f>
        <v>1.2119999999999989</v>
      </c>
      <c r="O71" s="901">
        <f t="shared" si="126"/>
        <v>1.5580000000000007</v>
      </c>
      <c r="P71" s="901">
        <f t="shared" si="126"/>
        <v>0.24099999999999966</v>
      </c>
      <c r="Q71" s="900">
        <f t="shared" si="126"/>
        <v>1.423</v>
      </c>
      <c r="R71" s="901">
        <f t="shared" si="126"/>
        <v>1.0659999999999989</v>
      </c>
      <c r="S71" s="901">
        <f t="shared" si="126"/>
        <v>2.272000000000002</v>
      </c>
      <c r="T71" s="902">
        <f t="shared" si="126"/>
        <v>1.1899999999999995</v>
      </c>
      <c r="U71" s="901">
        <f t="shared" si="126"/>
        <v>2.1180000000000003</v>
      </c>
      <c r="V71" s="901">
        <f t="shared" si="126"/>
        <v>1.791999999999998</v>
      </c>
      <c r="W71" s="901">
        <f t="shared" si="126"/>
        <v>0.71199999999999974</v>
      </c>
      <c r="X71" s="901">
        <f t="shared" si="126"/>
        <v>3.615000000000002</v>
      </c>
      <c r="Y71" s="900">
        <f t="shared" si="126"/>
        <v>2.4409999999999989</v>
      </c>
      <c r="Z71" s="901">
        <f t="shared" si="126"/>
        <v>2.3150000000000013</v>
      </c>
      <c r="AA71" s="901">
        <f t="shared" si="126"/>
        <v>2.9449999999999967</v>
      </c>
      <c r="AB71" s="902">
        <f t="shared" si="126"/>
        <v>4.1800000000000033</v>
      </c>
      <c r="AC71" s="901">
        <f t="shared" si="126"/>
        <v>6.078000000000003</v>
      </c>
      <c r="AD71" s="901">
        <f t="shared" si="126"/>
        <v>2.3459999999999965</v>
      </c>
      <c r="AE71" s="901">
        <f t="shared" si="126"/>
        <v>6.597999999999999</v>
      </c>
      <c r="AF71" s="901">
        <f t="shared" si="126"/>
        <v>-1.0829999999999984</v>
      </c>
      <c r="AG71" s="900">
        <f t="shared" si="126"/>
        <v>8.7439999999999998</v>
      </c>
      <c r="AH71" s="901">
        <f t="shared" si="126"/>
        <v>4.0309999999999988</v>
      </c>
      <c r="AI71" s="901">
        <f t="shared" si="126"/>
        <v>15.021000000000001</v>
      </c>
      <c r="AJ71" s="902">
        <f t="shared" si="126"/>
        <v>4.3509999999999991</v>
      </c>
      <c r="AK71" s="900">
        <f t="shared" si="126"/>
        <v>7.554000000000002</v>
      </c>
      <c r="AL71" s="901">
        <f t="shared" si="126"/>
        <v>-1.7270000000000039</v>
      </c>
      <c r="AM71" s="901">
        <f t="shared" si="126"/>
        <v>4.5240000000000009</v>
      </c>
      <c r="AN71" s="902">
        <f t="shared" si="126"/>
        <v>-5.2549999999999955</v>
      </c>
      <c r="AO71" s="901">
        <f t="shared" si="126"/>
        <v>15.590000000000003</v>
      </c>
      <c r="AP71" s="901">
        <f t="shared" si="126"/>
        <v>-4.4470000000000027</v>
      </c>
      <c r="AQ71" s="901">
        <f t="shared" si="126"/>
        <v>7.7649999999999864</v>
      </c>
      <c r="AR71" s="902">
        <f t="shared" si="126"/>
        <v>-1.3179999999999836</v>
      </c>
      <c r="AS71" s="900">
        <f t="shared" ref="AS71:AV71" si="127">AS64-AR64</f>
        <v>12.605053957217351</v>
      </c>
      <c r="AT71" s="901">
        <f t="shared" si="127"/>
        <v>-6.3985826917048598</v>
      </c>
      <c r="AU71" s="901">
        <f t="shared" si="127"/>
        <v>8.5331831998171026</v>
      </c>
      <c r="AV71" s="902">
        <f t="shared" si="127"/>
        <v>3.653137659153785</v>
      </c>
      <c r="AW71" s="900">
        <f t="shared" ref="AW71:BD71" si="128">AW64-AV64</f>
        <v>14.59179172534661</v>
      </c>
      <c r="AX71" s="901">
        <f t="shared" si="128"/>
        <v>-9.2016991784649065</v>
      </c>
      <c r="AY71" s="901">
        <f t="shared" si="128"/>
        <v>8.1651770248305979</v>
      </c>
      <c r="AZ71" s="902">
        <f t="shared" si="128"/>
        <v>2.4800754884491596</v>
      </c>
      <c r="BA71" s="900">
        <f t="shared" si="128"/>
        <v>16.034597448418708</v>
      </c>
      <c r="BB71" s="901">
        <f t="shared" si="128"/>
        <v>-10.99724774015715</v>
      </c>
      <c r="BC71" s="901">
        <f t="shared" si="128"/>
        <v>7.9856536772887523</v>
      </c>
      <c r="BD71" s="902">
        <f t="shared" si="128"/>
        <v>1.9935232128753171</v>
      </c>
      <c r="BE71" s="2576"/>
      <c r="BF71" s="384"/>
      <c r="BG71" s="384"/>
      <c r="BH71" s="384"/>
      <c r="BI71" s="384"/>
      <c r="BJ71" s="384"/>
      <c r="BK71" s="384"/>
      <c r="BL71" s="384"/>
      <c r="BM71" s="384"/>
      <c r="BN71" s="198"/>
      <c r="BO71" s="198"/>
      <c r="BP71" s="384"/>
      <c r="BQ71" s="384"/>
      <c r="BR71" s="384"/>
      <c r="BS71" s="384"/>
      <c r="BT71" s="384"/>
      <c r="BU71" s="384"/>
      <c r="BV71" s="384"/>
      <c r="BW71" s="384"/>
      <c r="BX71" s="384"/>
      <c r="BY71" s="872"/>
      <c r="BZ71" s="36"/>
      <c r="CA71" s="36"/>
      <c r="CB71" s="36"/>
      <c r="CC71" s="36"/>
      <c r="CD71" s="36"/>
      <c r="CE71" s="36"/>
      <c r="CF71" s="36"/>
    </row>
    <row r="72" spans="1:84" ht="11.25" hidden="1" customHeight="1" outlineLevel="1">
      <c r="A72" s="36"/>
      <c r="B72" s="36"/>
      <c r="C72" s="36"/>
      <c r="D72" s="36"/>
      <c r="E72" s="36"/>
      <c r="F72" s="36"/>
      <c r="G72" s="36"/>
      <c r="H72" s="36"/>
      <c r="I72" s="796"/>
      <c r="J72" s="54"/>
      <c r="K72" s="54"/>
      <c r="L72" s="54"/>
      <c r="M72" s="901"/>
      <c r="N72" s="899"/>
      <c r="O72" s="899"/>
      <c r="P72" s="899"/>
      <c r="Q72" s="907"/>
      <c r="R72" s="908"/>
      <c r="S72" s="908"/>
      <c r="T72" s="909"/>
      <c r="U72" s="899"/>
      <c r="V72" s="899"/>
      <c r="W72" s="899"/>
      <c r="X72" s="899"/>
      <c r="Y72" s="907"/>
      <c r="Z72" s="908"/>
      <c r="AA72" s="908"/>
      <c r="AB72" s="909"/>
      <c r="AC72" s="899"/>
      <c r="AD72" s="899"/>
      <c r="AE72" s="899"/>
      <c r="AF72" s="899"/>
      <c r="AG72" s="907"/>
      <c r="AH72" s="908"/>
      <c r="AI72" s="908"/>
      <c r="AJ72" s="909"/>
      <c r="AK72" s="907"/>
      <c r="AL72" s="908"/>
      <c r="AM72" s="908"/>
      <c r="AN72" s="909"/>
      <c r="AO72" s="908"/>
      <c r="AP72" s="2458"/>
      <c r="AQ72" s="2458"/>
      <c r="AR72" s="909"/>
      <c r="AS72" s="2457"/>
      <c r="AT72" s="2156">
        <f>$BR$70</f>
        <v>59.072971812542846</v>
      </c>
      <c r="AU72" s="2407"/>
      <c r="AV72" s="830"/>
      <c r="AW72" s="814"/>
      <c r="AX72" s="908"/>
      <c r="AY72" s="908"/>
      <c r="AZ72" s="909"/>
      <c r="BA72" s="907"/>
      <c r="BB72" s="2407"/>
      <c r="BC72" s="2407"/>
      <c r="BD72" s="909"/>
      <c r="BE72" s="2576"/>
      <c r="BF72" s="384"/>
      <c r="BG72" s="384"/>
      <c r="BH72" s="384"/>
      <c r="BI72" s="384"/>
      <c r="BJ72" s="384"/>
      <c r="BK72" s="384"/>
      <c r="BL72" s="384"/>
      <c r="BM72" s="384"/>
      <c r="BN72" s="198"/>
      <c r="BO72" s="384"/>
      <c r="BP72" s="384"/>
      <c r="BQ72" s="384"/>
      <c r="BR72" s="384"/>
      <c r="BS72" s="384"/>
      <c r="BT72" s="384"/>
      <c r="BU72" s="384"/>
      <c r="BV72" s="384"/>
      <c r="BW72" s="384"/>
      <c r="BX72" s="384"/>
      <c r="BY72" s="872"/>
      <c r="BZ72" s="36"/>
      <c r="CA72" s="2405"/>
      <c r="CB72" s="36"/>
      <c r="CC72" s="36"/>
      <c r="CD72" s="36"/>
      <c r="CE72" s="36"/>
      <c r="CF72" s="36"/>
    </row>
    <row r="73" spans="1:84" s="41" customFormat="1" ht="11.25" hidden="1" customHeight="1" outlineLevel="1">
      <c r="A73" s="29"/>
      <c r="B73" s="29"/>
      <c r="C73" s="29"/>
      <c r="D73" s="29"/>
      <c r="E73" s="29"/>
      <c r="F73" s="29"/>
      <c r="G73" s="29"/>
      <c r="H73" s="29"/>
      <c r="I73" s="2398" t="s">
        <v>464</v>
      </c>
      <c r="J73" s="2"/>
      <c r="K73" s="2"/>
      <c r="L73" s="2"/>
      <c r="M73" s="1235"/>
      <c r="N73" s="1235"/>
      <c r="O73" s="1235"/>
      <c r="P73" s="1235"/>
      <c r="Q73" s="1236"/>
      <c r="R73" s="1235"/>
      <c r="S73" s="1235"/>
      <c r="T73" s="1237"/>
      <c r="U73" s="1235"/>
      <c r="V73" s="1235"/>
      <c r="W73" s="1235"/>
      <c r="X73" s="1235"/>
      <c r="Y73" s="1236"/>
      <c r="Z73" s="1235"/>
      <c r="AA73" s="1235"/>
      <c r="AB73" s="1237"/>
      <c r="AC73" s="1255">
        <v>3</v>
      </c>
      <c r="AD73" s="1255">
        <v>2</v>
      </c>
      <c r="AE73" s="1255">
        <v>3</v>
      </c>
      <c r="AF73" s="1255">
        <v>2</v>
      </c>
      <c r="AG73" s="1271">
        <v>2</v>
      </c>
      <c r="AH73" s="1255">
        <v>8</v>
      </c>
      <c r="AI73" s="1255">
        <v>10</v>
      </c>
      <c r="AJ73" s="1255">
        <v>13</v>
      </c>
      <c r="AK73" s="1271">
        <v>13</v>
      </c>
      <c r="AL73" s="1255">
        <f>25-AK73</f>
        <v>12</v>
      </c>
      <c r="AM73" s="1255">
        <v>12.4</v>
      </c>
      <c r="AN73" s="1272">
        <v>12</v>
      </c>
      <c r="AO73" s="1255">
        <v>13</v>
      </c>
      <c r="AP73" s="1255">
        <v>13</v>
      </c>
      <c r="AQ73" s="1255">
        <v>13</v>
      </c>
      <c r="AR73" s="1272">
        <v>13</v>
      </c>
      <c r="AS73" s="2848">
        <f>AO73+AS77</f>
        <v>14</v>
      </c>
      <c r="AT73" s="2142">
        <f t="shared" ref="AT73:BD73" si="129">AP73+AT77</f>
        <v>14</v>
      </c>
      <c r="AU73" s="2142">
        <f t="shared" si="129"/>
        <v>14</v>
      </c>
      <c r="AV73" s="2849">
        <f t="shared" si="129"/>
        <v>14</v>
      </c>
      <c r="AW73" s="2848">
        <f t="shared" si="129"/>
        <v>18</v>
      </c>
      <c r="AX73" s="2142">
        <f t="shared" si="129"/>
        <v>18</v>
      </c>
      <c r="AY73" s="2142">
        <f t="shared" si="129"/>
        <v>18</v>
      </c>
      <c r="AZ73" s="2142">
        <f t="shared" si="129"/>
        <v>18</v>
      </c>
      <c r="BA73" s="2848">
        <f t="shared" si="129"/>
        <v>21</v>
      </c>
      <c r="BB73" s="2142">
        <f t="shared" si="129"/>
        <v>21</v>
      </c>
      <c r="BC73" s="2142">
        <f t="shared" si="129"/>
        <v>21</v>
      </c>
      <c r="BD73" s="2849">
        <f t="shared" si="129"/>
        <v>21</v>
      </c>
      <c r="BE73" s="2354"/>
      <c r="BF73" s="1235"/>
      <c r="BG73" s="1235"/>
      <c r="BH73" s="1235"/>
      <c r="BI73" s="1235"/>
      <c r="BJ73" s="1235"/>
      <c r="BK73" s="1235"/>
      <c r="BL73" s="1251">
        <v>0</v>
      </c>
      <c r="BM73" s="1736">
        <v>0</v>
      </c>
      <c r="BN73" s="1251">
        <f>SUM(AC73:AF73)</f>
        <v>10</v>
      </c>
      <c r="BO73" s="1251">
        <f>SUM(AG73:AJ73)</f>
        <v>33</v>
      </c>
      <c r="BP73" s="1251">
        <f>SUM(AK73:AN73)</f>
        <v>49.4</v>
      </c>
      <c r="BQ73" s="1277">
        <f>SUM(AO73:AR73)</f>
        <v>52</v>
      </c>
      <c r="BR73" s="1277">
        <f>SUM(AS73:AV73)</f>
        <v>56</v>
      </c>
      <c r="BS73" s="386">
        <f>SUM(AW73:AZ73)</f>
        <v>72</v>
      </c>
      <c r="BT73" s="386">
        <f>SUM(BA73:BD73)</f>
        <v>84</v>
      </c>
      <c r="BU73" s="1277">
        <f>+BT73+BU77</f>
        <v>96</v>
      </c>
      <c r="BV73" s="1277">
        <f>+BU73+BV77</f>
        <v>108</v>
      </c>
      <c r="BW73" s="1277">
        <f>+BV73+BW77</f>
        <v>120</v>
      </c>
      <c r="BX73" s="1277">
        <f>+BW73+BX77</f>
        <v>132</v>
      </c>
      <c r="BY73" s="1282">
        <f>+BX73+BY77</f>
        <v>144</v>
      </c>
      <c r="BZ73" s="29"/>
      <c r="CA73" s="29"/>
      <c r="CB73" s="29"/>
      <c r="CC73" s="29"/>
      <c r="CD73" s="29"/>
      <c r="CE73" s="29"/>
      <c r="CF73" s="29"/>
    </row>
    <row r="74" spans="1:84" s="90" customFormat="1" ht="11.25" hidden="1" customHeight="1" outlineLevel="1">
      <c r="I74" s="2399" t="s">
        <v>550</v>
      </c>
      <c r="J74" s="413"/>
      <c r="K74" s="413"/>
      <c r="L74" s="413"/>
      <c r="M74" s="1238"/>
      <c r="N74" s="1238"/>
      <c r="O74" s="1238"/>
      <c r="P74" s="1238"/>
      <c r="Q74" s="1269"/>
      <c r="R74" s="1238"/>
      <c r="S74" s="1238"/>
      <c r="T74" s="1270"/>
      <c r="U74" s="1238"/>
      <c r="V74" s="1238"/>
      <c r="W74" s="1238"/>
      <c r="X74" s="1238"/>
      <c r="Y74" s="1269"/>
      <c r="Z74" s="1238"/>
      <c r="AA74" s="1238"/>
      <c r="AB74" s="1270"/>
      <c r="AC74" s="403">
        <f t="shared" ref="AC74:BD74" si="130">AC73/AC$10</f>
        <v>3.9263418273194864E-2</v>
      </c>
      <c r="AD74" s="403">
        <f t="shared" si="130"/>
        <v>2.2525820221428811E-2</v>
      </c>
      <c r="AE74" s="403">
        <f t="shared" si="130"/>
        <v>2.9281147820994582E-2</v>
      </c>
      <c r="AF74" s="403">
        <f t="shared" si="130"/>
        <v>1.8200515074576609E-2</v>
      </c>
      <c r="AG74" s="1260">
        <f t="shared" si="130"/>
        <v>1.7889087656529516E-2</v>
      </c>
      <c r="AH74" s="403">
        <f t="shared" si="130"/>
        <v>6.3694267515923567E-2</v>
      </c>
      <c r="AI74" s="403">
        <f t="shared" si="130"/>
        <v>7.4294205052005943E-2</v>
      </c>
      <c r="AJ74" s="1261">
        <f t="shared" si="130"/>
        <v>8.8616223585548742E-2</v>
      </c>
      <c r="AK74" s="1260">
        <f t="shared" si="130"/>
        <v>8.1960495041390052E-2</v>
      </c>
      <c r="AL74" s="403">
        <f t="shared" si="130"/>
        <v>6.9192979219041911E-2</v>
      </c>
      <c r="AM74" s="403">
        <f t="shared" si="130"/>
        <v>6.6583616134713697E-2</v>
      </c>
      <c r="AN74" s="1261">
        <f t="shared" si="130"/>
        <v>6.1602907657241426E-2</v>
      </c>
      <c r="AO74" s="403">
        <f t="shared" si="130"/>
        <v>6.5881828271412854E-2</v>
      </c>
      <c r="AP74" s="403">
        <f t="shared" si="130"/>
        <v>6.2241458556764211E-2</v>
      </c>
      <c r="AQ74" s="403">
        <f t="shared" ref="AQ74:AR74" si="131">AQ73/AQ$10</f>
        <v>5.8458494468927064E-2</v>
      </c>
      <c r="AR74" s="1261">
        <f t="shared" si="131"/>
        <v>5.9565811057247321E-2</v>
      </c>
      <c r="AS74" s="1260">
        <f t="shared" si="130"/>
        <v>6.3291139240506333E-2</v>
      </c>
      <c r="AT74" s="403">
        <f t="shared" si="130"/>
        <v>6.0501296456352632E-2</v>
      </c>
      <c r="AU74" s="403">
        <f t="shared" si="130"/>
        <v>5.6451612903225805E-2</v>
      </c>
      <c r="AV74" s="1261">
        <f t="shared" si="130"/>
        <v>5.3970701619121056E-2</v>
      </c>
      <c r="AW74" s="1260">
        <f t="shared" si="130"/>
        <v>6.8649885583524028E-2</v>
      </c>
      <c r="AX74" s="403">
        <f t="shared" si="130"/>
        <v>6.6420664206642069E-2</v>
      </c>
      <c r="AY74" s="403">
        <f t="shared" si="130"/>
        <v>6.2761506276150625E-2</v>
      </c>
      <c r="AZ74" s="1261">
        <f t="shared" si="130"/>
        <v>6.0728744939271259E-2</v>
      </c>
      <c r="BA74" s="1260">
        <f t="shared" si="130"/>
        <v>7.0375335120643437E-2</v>
      </c>
      <c r="BB74" s="403">
        <f t="shared" si="130"/>
        <v>6.8314899154196473E-2</v>
      </c>
      <c r="BC74" s="403">
        <f t="shared" si="130"/>
        <v>6.5055762081784388E-2</v>
      </c>
      <c r="BD74" s="1261">
        <f t="shared" si="130"/>
        <v>6.3253012048192767E-2</v>
      </c>
      <c r="BE74" s="2354"/>
      <c r="BF74" s="1238"/>
      <c r="BG74" s="1238"/>
      <c r="BH74" s="1238"/>
      <c r="BI74" s="1238"/>
      <c r="BJ74" s="1238"/>
      <c r="BK74" s="1238"/>
      <c r="BL74" s="295"/>
      <c r="BM74" s="1251"/>
      <c r="BN74" s="2850">
        <f t="shared" ref="BN74:BY74" si="132">BN73/BN$10</f>
        <v>2.6487540261061197E-2</v>
      </c>
      <c r="BO74" s="264">
        <f t="shared" si="132"/>
        <v>6.362058993637941E-2</v>
      </c>
      <c r="BP74" s="264">
        <f t="shared" si="132"/>
        <v>6.9278008159098209E-2</v>
      </c>
      <c r="BQ74" s="264">
        <f t="shared" si="132"/>
        <v>6.1406709627745443E-2</v>
      </c>
      <c r="BR74" s="264">
        <f t="shared" si="132"/>
        <v>5.8333333333333334E-2</v>
      </c>
      <c r="BS74" s="264">
        <f t="shared" si="132"/>
        <v>6.4493013256897158E-2</v>
      </c>
      <c r="BT74" s="264">
        <f t="shared" si="132"/>
        <v>6.6634935744883397E-2</v>
      </c>
      <c r="BU74" s="264">
        <f t="shared" si="132"/>
        <v>6.8542053405683284E-2</v>
      </c>
      <c r="BV74" s="264">
        <f t="shared" si="132"/>
        <v>7.023933402705515E-2</v>
      </c>
      <c r="BW74" s="264">
        <f t="shared" si="132"/>
        <v>7.1830480067041791E-2</v>
      </c>
      <c r="BX74" s="264">
        <f t="shared" si="132"/>
        <v>7.3349633251833746E-2</v>
      </c>
      <c r="BY74" s="1242">
        <f t="shared" si="132"/>
        <v>7.4781886165351058E-2</v>
      </c>
    </row>
    <row r="75" spans="1:84" s="41" customFormat="1" ht="11.25" hidden="1" customHeight="1" outlineLevel="1">
      <c r="A75" s="29"/>
      <c r="B75" s="29"/>
      <c r="C75" s="29"/>
      <c r="D75" s="29"/>
      <c r="E75" s="29"/>
      <c r="F75" s="29"/>
      <c r="G75" s="29"/>
      <c r="H75" s="29"/>
      <c r="I75" s="1274" t="s">
        <v>132</v>
      </c>
      <c r="J75" s="2"/>
      <c r="K75" s="2"/>
      <c r="L75" s="2"/>
      <c r="M75" s="1235"/>
      <c r="N75" s="1235"/>
      <c r="O75" s="1235"/>
      <c r="P75" s="1235"/>
      <c r="Q75" s="1236"/>
      <c r="R75" s="1235"/>
      <c r="S75" s="1235"/>
      <c r="T75" s="1237"/>
      <c r="U75" s="1235"/>
      <c r="V75" s="1235"/>
      <c r="W75" s="1235"/>
      <c r="X75" s="1235"/>
      <c r="Y75" s="1236"/>
      <c r="Z75" s="1235"/>
      <c r="AA75" s="1235"/>
      <c r="AB75" s="1237"/>
      <c r="AC75" s="1259"/>
      <c r="AD75" s="1259"/>
      <c r="AE75" s="1259"/>
      <c r="AF75" s="1259"/>
      <c r="AG75" s="1260">
        <f t="shared" ref="AG75:AO75" si="133">AG73/AC73-1</f>
        <v>-0.33333333333333337</v>
      </c>
      <c r="AH75" s="403">
        <f t="shared" si="133"/>
        <v>3</v>
      </c>
      <c r="AI75" s="403">
        <f t="shared" si="133"/>
        <v>2.3333333333333335</v>
      </c>
      <c r="AJ75" s="1261">
        <f t="shared" si="133"/>
        <v>5.5</v>
      </c>
      <c r="AK75" s="1260">
        <f t="shared" si="133"/>
        <v>5.5</v>
      </c>
      <c r="AL75" s="403">
        <f t="shared" si="133"/>
        <v>0.5</v>
      </c>
      <c r="AM75" s="403">
        <f t="shared" si="133"/>
        <v>0.24</v>
      </c>
      <c r="AN75" s="1261">
        <f t="shared" si="133"/>
        <v>-7.6923076923076872E-2</v>
      </c>
      <c r="AO75" s="403">
        <f t="shared" si="133"/>
        <v>0</v>
      </c>
      <c r="AP75" s="403">
        <f t="shared" ref="AP75:AV75" si="134">AP73/AL73-1</f>
        <v>8.3333333333333259E-2</v>
      </c>
      <c r="AQ75" s="403">
        <f t="shared" si="134"/>
        <v>4.8387096774193505E-2</v>
      </c>
      <c r="AR75" s="1261">
        <f t="shared" si="134"/>
        <v>8.3333333333333259E-2</v>
      </c>
      <c r="AS75" s="1260">
        <f t="shared" si="134"/>
        <v>7.6923076923076872E-2</v>
      </c>
      <c r="AT75" s="403">
        <f t="shared" si="134"/>
        <v>7.6923076923076872E-2</v>
      </c>
      <c r="AU75" s="403">
        <f t="shared" si="134"/>
        <v>7.6923076923076872E-2</v>
      </c>
      <c r="AV75" s="1261">
        <f t="shared" si="134"/>
        <v>7.6923076923076872E-2</v>
      </c>
      <c r="AW75" s="1260">
        <f t="shared" ref="AW75:BD75" si="135">AW73/AS73-1</f>
        <v>0.28571428571428581</v>
      </c>
      <c r="AX75" s="403">
        <f t="shared" si="135"/>
        <v>0.28571428571428581</v>
      </c>
      <c r="AY75" s="403">
        <f t="shared" si="135"/>
        <v>0.28571428571428581</v>
      </c>
      <c r="AZ75" s="1261">
        <f t="shared" si="135"/>
        <v>0.28571428571428581</v>
      </c>
      <c r="BA75" s="1260">
        <f t="shared" si="135"/>
        <v>0.16666666666666674</v>
      </c>
      <c r="BB75" s="403">
        <f t="shared" si="135"/>
        <v>0.16666666666666674</v>
      </c>
      <c r="BC75" s="403">
        <f t="shared" si="135"/>
        <v>0.16666666666666674</v>
      </c>
      <c r="BD75" s="1261">
        <f t="shared" si="135"/>
        <v>0.16666666666666674</v>
      </c>
      <c r="BE75" s="2354"/>
      <c r="BF75" s="1235"/>
      <c r="BG75" s="1235"/>
      <c r="BH75" s="1235"/>
      <c r="BI75" s="1235"/>
      <c r="BJ75" s="1235"/>
      <c r="BK75" s="1235"/>
      <c r="BL75" s="78"/>
      <c r="BM75" s="1251"/>
      <c r="BN75" s="1251"/>
      <c r="BO75" s="403">
        <f t="shared" ref="BO75:BT75" si="136">BO73/BN73-1</f>
        <v>2.2999999999999998</v>
      </c>
      <c r="BP75" s="403">
        <f t="shared" si="136"/>
        <v>0.49696969696969684</v>
      </c>
      <c r="BQ75" s="403">
        <f t="shared" si="136"/>
        <v>5.2631578947368363E-2</v>
      </c>
      <c r="BR75" s="403">
        <f t="shared" si="136"/>
        <v>7.6923076923076872E-2</v>
      </c>
      <c r="BS75" s="403">
        <f t="shared" si="136"/>
        <v>0.28571428571428581</v>
      </c>
      <c r="BT75" s="403">
        <f t="shared" si="136"/>
        <v>0.16666666666666674</v>
      </c>
      <c r="BU75" s="403">
        <f>BU73/BT73-1</f>
        <v>0.14285714285714279</v>
      </c>
      <c r="BV75" s="403">
        <f>BV73/BU73-1</f>
        <v>0.125</v>
      </c>
      <c r="BW75" s="403">
        <f>BW73/BV73-1</f>
        <v>0.11111111111111116</v>
      </c>
      <c r="BX75" s="403">
        <f>BX73/BW73-1</f>
        <v>0.10000000000000009</v>
      </c>
      <c r="BY75" s="1261">
        <f>BY73/BX73-1</f>
        <v>9.0909090909090828E-2</v>
      </c>
      <c r="BZ75" s="29"/>
      <c r="CA75" s="29"/>
      <c r="CB75" s="29"/>
      <c r="CC75" s="29"/>
      <c r="CD75" s="29"/>
      <c r="CE75" s="29"/>
      <c r="CF75" s="29"/>
    </row>
    <row r="76" spans="1:84" s="41" customFormat="1" ht="11.25" hidden="1" customHeight="1" outlineLevel="1">
      <c r="A76" s="29"/>
      <c r="B76" s="29"/>
      <c r="C76" s="29"/>
      <c r="D76" s="29"/>
      <c r="E76" s="29"/>
      <c r="F76" s="29"/>
      <c r="G76" s="29"/>
      <c r="H76" s="29"/>
      <c r="I76" s="1274" t="s">
        <v>146</v>
      </c>
      <c r="J76" s="2"/>
      <c r="K76" s="2"/>
      <c r="L76" s="2"/>
      <c r="M76" s="1235"/>
      <c r="N76" s="1235"/>
      <c r="O76" s="1235"/>
      <c r="P76" s="1235"/>
      <c r="Q76" s="1236"/>
      <c r="R76" s="1235"/>
      <c r="S76" s="1235"/>
      <c r="T76" s="1237"/>
      <c r="U76" s="1235"/>
      <c r="V76" s="1235"/>
      <c r="W76" s="1235"/>
      <c r="X76" s="1235"/>
      <c r="Y76" s="1236"/>
      <c r="Z76" s="1235"/>
      <c r="AA76" s="1235"/>
      <c r="AB76" s="1237"/>
      <c r="AC76" s="1259"/>
      <c r="AD76" s="403">
        <f t="shared" ref="AD76:AO76" si="137">AD73/AC73-1</f>
        <v>-0.33333333333333337</v>
      </c>
      <c r="AE76" s="403">
        <f t="shared" si="137"/>
        <v>0.5</v>
      </c>
      <c r="AF76" s="403">
        <f t="shared" si="137"/>
        <v>-0.33333333333333337</v>
      </c>
      <c r="AG76" s="1260">
        <f t="shared" si="137"/>
        <v>0</v>
      </c>
      <c r="AH76" s="403">
        <f t="shared" si="137"/>
        <v>3</v>
      </c>
      <c r="AI76" s="403">
        <f t="shared" si="137"/>
        <v>0.25</v>
      </c>
      <c r="AJ76" s="1261">
        <f t="shared" si="137"/>
        <v>0.30000000000000004</v>
      </c>
      <c r="AK76" s="1260">
        <f t="shared" si="137"/>
        <v>0</v>
      </c>
      <c r="AL76" s="403">
        <f t="shared" si="137"/>
        <v>-7.6923076923076872E-2</v>
      </c>
      <c r="AM76" s="403">
        <f t="shared" si="137"/>
        <v>3.3333333333333437E-2</v>
      </c>
      <c r="AN76" s="1261">
        <f t="shared" si="137"/>
        <v>-3.2258064516129115E-2</v>
      </c>
      <c r="AO76" s="403">
        <f t="shared" si="137"/>
        <v>8.3333333333333259E-2</v>
      </c>
      <c r="AP76" s="403">
        <f t="shared" ref="AP76:AV76" si="138">AP73/AO73-1</f>
        <v>0</v>
      </c>
      <c r="AQ76" s="403">
        <f t="shared" si="138"/>
        <v>0</v>
      </c>
      <c r="AR76" s="1261">
        <f t="shared" si="138"/>
        <v>0</v>
      </c>
      <c r="AS76" s="1260">
        <f t="shared" si="138"/>
        <v>7.6923076923076872E-2</v>
      </c>
      <c r="AT76" s="403">
        <f t="shared" si="138"/>
        <v>0</v>
      </c>
      <c r="AU76" s="403">
        <f t="shared" si="138"/>
        <v>0</v>
      </c>
      <c r="AV76" s="1261">
        <f t="shared" si="138"/>
        <v>0</v>
      </c>
      <c r="AW76" s="1260">
        <f t="shared" ref="AW76:BD76" si="139">AW73/AV73-1</f>
        <v>0.28571428571428581</v>
      </c>
      <c r="AX76" s="403">
        <f t="shared" si="139"/>
        <v>0</v>
      </c>
      <c r="AY76" s="403">
        <f t="shared" si="139"/>
        <v>0</v>
      </c>
      <c r="AZ76" s="1261">
        <f t="shared" si="139"/>
        <v>0</v>
      </c>
      <c r="BA76" s="1260">
        <f t="shared" si="139"/>
        <v>0.16666666666666674</v>
      </c>
      <c r="BB76" s="403">
        <f t="shared" si="139"/>
        <v>0</v>
      </c>
      <c r="BC76" s="403">
        <f t="shared" si="139"/>
        <v>0</v>
      </c>
      <c r="BD76" s="1261">
        <f t="shared" si="139"/>
        <v>0</v>
      </c>
      <c r="BE76" s="2354"/>
      <c r="BF76" s="1235"/>
      <c r="BG76" s="1235"/>
      <c r="BH76" s="1235"/>
      <c r="BI76" s="1235"/>
      <c r="BJ76" s="1235"/>
      <c r="BK76" s="1235"/>
      <c r="BL76" s="78"/>
      <c r="BM76" s="1251"/>
      <c r="BN76" s="1251"/>
      <c r="BO76" s="1251"/>
      <c r="BP76" s="1251"/>
      <c r="BQ76" s="1262"/>
      <c r="BR76" s="1262"/>
      <c r="BS76" s="1262"/>
      <c r="BT76" s="1262"/>
      <c r="BU76" s="1262"/>
      <c r="BV76" s="1262"/>
      <c r="BW76" s="1262"/>
      <c r="BX76" s="1262"/>
      <c r="BY76" s="1273"/>
      <c r="BZ76" s="29"/>
      <c r="CA76" s="35"/>
      <c r="CB76" s="29"/>
      <c r="CC76" s="29"/>
      <c r="CD76" s="29"/>
      <c r="CE76" s="29"/>
      <c r="CF76" s="29"/>
    </row>
    <row r="77" spans="1:84" ht="11.25" hidden="1" customHeight="1" outlineLevel="1">
      <c r="A77" s="36"/>
      <c r="B77" s="36"/>
      <c r="C77" s="36"/>
      <c r="D77" s="36"/>
      <c r="E77" s="36"/>
      <c r="F77" s="36"/>
      <c r="G77" s="36"/>
      <c r="H77" s="36"/>
      <c r="I77" s="1012" t="s">
        <v>380</v>
      </c>
      <c r="J77" s="5"/>
      <c r="K77" s="5"/>
      <c r="L77" s="5"/>
      <c r="M77" s="1263"/>
      <c r="N77" s="1263"/>
      <c r="O77" s="1263"/>
      <c r="P77" s="1263"/>
      <c r="Q77" s="1264"/>
      <c r="R77" s="1263"/>
      <c r="S77" s="1263"/>
      <c r="T77" s="1265"/>
      <c r="U77" s="1263"/>
      <c r="V77" s="1263"/>
      <c r="W77" s="1263"/>
      <c r="X77" s="1263"/>
      <c r="Y77" s="1264"/>
      <c r="Z77" s="1263"/>
      <c r="AA77" s="1263"/>
      <c r="AB77" s="1265"/>
      <c r="AC77" s="588"/>
      <c r="AD77" s="329">
        <f t="shared" ref="AD77:AO77" si="140">AD73-Z73</f>
        <v>2</v>
      </c>
      <c r="AE77" s="329">
        <f t="shared" si="140"/>
        <v>3</v>
      </c>
      <c r="AF77" s="329">
        <f t="shared" si="140"/>
        <v>2</v>
      </c>
      <c r="AG77" s="1266">
        <f t="shared" si="140"/>
        <v>-1</v>
      </c>
      <c r="AH77" s="329">
        <f t="shared" si="140"/>
        <v>6</v>
      </c>
      <c r="AI77" s="329">
        <f t="shared" si="140"/>
        <v>7</v>
      </c>
      <c r="AJ77" s="1267">
        <f t="shared" si="140"/>
        <v>11</v>
      </c>
      <c r="AK77" s="1266">
        <f t="shared" si="140"/>
        <v>11</v>
      </c>
      <c r="AL77" s="329">
        <f t="shared" si="140"/>
        <v>4</v>
      </c>
      <c r="AM77" s="329">
        <f t="shared" si="140"/>
        <v>2.4000000000000004</v>
      </c>
      <c r="AN77" s="1267">
        <f t="shared" si="140"/>
        <v>-1</v>
      </c>
      <c r="AO77" s="329">
        <f t="shared" si="140"/>
        <v>0</v>
      </c>
      <c r="AP77" s="329">
        <f t="shared" ref="AP77:AR77" si="141">AP73-AL73</f>
        <v>1</v>
      </c>
      <c r="AQ77" s="329">
        <f t="shared" si="141"/>
        <v>0.59999999999999964</v>
      </c>
      <c r="AR77" s="1267">
        <f t="shared" si="141"/>
        <v>1</v>
      </c>
      <c r="AS77" s="2569">
        <v>1</v>
      </c>
      <c r="AT77" s="1255">
        <v>1</v>
      </c>
      <c r="AU77" s="1255">
        <v>1</v>
      </c>
      <c r="AV77" s="1272">
        <v>1</v>
      </c>
      <c r="AW77" s="2569">
        <v>4</v>
      </c>
      <c r="AX77" s="1255">
        <v>4</v>
      </c>
      <c r="AY77" s="1255">
        <v>4</v>
      </c>
      <c r="AZ77" s="1255">
        <v>4</v>
      </c>
      <c r="BA77" s="2569">
        <v>3</v>
      </c>
      <c r="BB77" s="1255">
        <v>3</v>
      </c>
      <c r="BC77" s="1255">
        <v>3</v>
      </c>
      <c r="BD77" s="1272">
        <v>3</v>
      </c>
      <c r="BE77" s="883"/>
      <c r="BF77" s="1263"/>
      <c r="BG77" s="1263"/>
      <c r="BH77" s="1263"/>
      <c r="BI77" s="1263"/>
      <c r="BJ77" s="1263"/>
      <c r="BK77" s="1263"/>
      <c r="BL77" s="1263"/>
      <c r="BM77" s="901"/>
      <c r="BN77" s="901">
        <f t="shared" ref="BN77:BT77" si="142">BN73-BM73</f>
        <v>10</v>
      </c>
      <c r="BO77" s="901">
        <f t="shared" si="142"/>
        <v>23</v>
      </c>
      <c r="BP77" s="901">
        <f t="shared" si="142"/>
        <v>16.399999999999999</v>
      </c>
      <c r="BQ77" s="901">
        <f t="shared" si="142"/>
        <v>2.6000000000000014</v>
      </c>
      <c r="BR77" s="901">
        <f t="shared" si="142"/>
        <v>4</v>
      </c>
      <c r="BS77" s="901">
        <f t="shared" si="142"/>
        <v>16</v>
      </c>
      <c r="BT77" s="901">
        <f t="shared" si="142"/>
        <v>12</v>
      </c>
      <c r="BU77" s="390">
        <v>12</v>
      </c>
      <c r="BV77" s="390">
        <v>12</v>
      </c>
      <c r="BW77" s="390">
        <v>12</v>
      </c>
      <c r="BX77" s="390">
        <v>12</v>
      </c>
      <c r="BY77" s="884">
        <v>12</v>
      </c>
      <c r="BZ77" s="36"/>
      <c r="CA77" s="36"/>
      <c r="CB77" s="36"/>
      <c r="CC77" s="36"/>
      <c r="CD77" s="36"/>
      <c r="CE77" s="36"/>
      <c r="CF77" s="36"/>
    </row>
    <row r="78" spans="1:84" s="41" customFormat="1" ht="11.25" hidden="1" customHeight="1" outlineLevel="1">
      <c r="A78" s="29"/>
      <c r="B78" s="29"/>
      <c r="C78" s="29"/>
      <c r="D78" s="29"/>
      <c r="E78" s="29"/>
      <c r="F78" s="29"/>
      <c r="G78" s="29"/>
      <c r="H78" s="29"/>
      <c r="I78" s="1012" t="s">
        <v>377</v>
      </c>
      <c r="J78" s="2"/>
      <c r="K78" s="2"/>
      <c r="L78" s="2"/>
      <c r="M78" s="1235"/>
      <c r="N78" s="1235"/>
      <c r="O78" s="1235"/>
      <c r="P78" s="1235"/>
      <c r="Q78" s="1236"/>
      <c r="R78" s="1235"/>
      <c r="S78" s="1235"/>
      <c r="T78" s="1237"/>
      <c r="U78" s="1235"/>
      <c r="V78" s="1235"/>
      <c r="W78" s="1235"/>
      <c r="X78" s="1235"/>
      <c r="Y78" s="1236"/>
      <c r="Z78" s="1235"/>
      <c r="AA78" s="1235"/>
      <c r="AB78" s="1237"/>
      <c r="AC78" s="1259"/>
      <c r="AD78" s="329">
        <f t="shared" ref="AD78:AO78" si="143">AD73-AC73</f>
        <v>-1</v>
      </c>
      <c r="AE78" s="329">
        <f t="shared" si="143"/>
        <v>1</v>
      </c>
      <c r="AF78" s="329">
        <f t="shared" si="143"/>
        <v>-1</v>
      </c>
      <c r="AG78" s="1266">
        <f t="shared" si="143"/>
        <v>0</v>
      </c>
      <c r="AH78" s="329">
        <f t="shared" si="143"/>
        <v>6</v>
      </c>
      <c r="AI78" s="329">
        <f t="shared" si="143"/>
        <v>2</v>
      </c>
      <c r="AJ78" s="1267">
        <f t="shared" si="143"/>
        <v>3</v>
      </c>
      <c r="AK78" s="1266">
        <f t="shared" si="143"/>
        <v>0</v>
      </c>
      <c r="AL78" s="329">
        <f t="shared" si="143"/>
        <v>-1</v>
      </c>
      <c r="AM78" s="329">
        <f t="shared" si="143"/>
        <v>0.40000000000000036</v>
      </c>
      <c r="AN78" s="1267">
        <f t="shared" si="143"/>
        <v>-0.40000000000000036</v>
      </c>
      <c r="AO78" s="329">
        <f t="shared" si="143"/>
        <v>1</v>
      </c>
      <c r="AP78" s="329">
        <f t="shared" ref="AP78:AV78" si="144">AP73-AO73</f>
        <v>0</v>
      </c>
      <c r="AQ78" s="329">
        <f t="shared" si="144"/>
        <v>0</v>
      </c>
      <c r="AR78" s="1267">
        <f t="shared" si="144"/>
        <v>0</v>
      </c>
      <c r="AS78" s="1266">
        <f t="shared" si="144"/>
        <v>1</v>
      </c>
      <c r="AT78" s="329">
        <f t="shared" si="144"/>
        <v>0</v>
      </c>
      <c r="AU78" s="329">
        <f t="shared" si="144"/>
        <v>0</v>
      </c>
      <c r="AV78" s="1267">
        <f t="shared" si="144"/>
        <v>0</v>
      </c>
      <c r="AW78" s="1266">
        <f t="shared" ref="AW78:BD78" si="145">AW73-AV73</f>
        <v>4</v>
      </c>
      <c r="AX78" s="329">
        <f t="shared" si="145"/>
        <v>0</v>
      </c>
      <c r="AY78" s="329">
        <f t="shared" si="145"/>
        <v>0</v>
      </c>
      <c r="AZ78" s="1267">
        <f t="shared" si="145"/>
        <v>0</v>
      </c>
      <c r="BA78" s="1266">
        <f t="shared" si="145"/>
        <v>3</v>
      </c>
      <c r="BB78" s="329">
        <f t="shared" si="145"/>
        <v>0</v>
      </c>
      <c r="BC78" s="329">
        <f t="shared" si="145"/>
        <v>0</v>
      </c>
      <c r="BD78" s="1267">
        <f t="shared" si="145"/>
        <v>0</v>
      </c>
      <c r="BE78" s="2354"/>
      <c r="BF78" s="1235"/>
      <c r="BG78" s="1235"/>
      <c r="BH78" s="1235"/>
      <c r="BI78" s="1235"/>
      <c r="BJ78" s="1235"/>
      <c r="BK78" s="1235"/>
      <c r="BL78" s="78"/>
      <c r="BM78" s="1251"/>
      <c r="BN78" s="1251"/>
      <c r="BO78" s="1251"/>
      <c r="BP78" s="1251"/>
      <c r="BQ78" s="1262"/>
      <c r="BR78" s="1262"/>
      <c r="BS78" s="1262"/>
      <c r="BT78" s="1262"/>
      <c r="BU78" s="1262"/>
      <c r="BV78" s="1262"/>
      <c r="BW78" s="1262"/>
      <c r="BX78" s="1262"/>
      <c r="BY78" s="1273"/>
      <c r="BZ78" s="29"/>
      <c r="CA78" s="29"/>
      <c r="CB78" s="29"/>
      <c r="CC78" s="29"/>
      <c r="CD78" s="29"/>
      <c r="CE78" s="29"/>
      <c r="CF78" s="29"/>
    </row>
    <row r="79" spans="1:84" s="41" customFormat="1" ht="11.25" hidden="1" customHeight="1" outlineLevel="1">
      <c r="A79" s="29"/>
      <c r="B79" s="29"/>
      <c r="C79" s="29"/>
      <c r="D79" s="29"/>
      <c r="E79" s="29"/>
      <c r="F79" s="29"/>
      <c r="G79" s="29"/>
      <c r="H79" s="29"/>
      <c r="I79" s="1274" t="s">
        <v>389</v>
      </c>
      <c r="J79" s="2"/>
      <c r="K79" s="2"/>
      <c r="L79" s="2"/>
      <c r="M79" s="1235"/>
      <c r="N79" s="1235"/>
      <c r="O79" s="1235"/>
      <c r="P79" s="1235"/>
      <c r="Q79" s="1236"/>
      <c r="R79" s="1235"/>
      <c r="S79" s="1235"/>
      <c r="T79" s="1237"/>
      <c r="U79" s="1235"/>
      <c r="V79" s="1235"/>
      <c r="W79" s="1235"/>
      <c r="X79" s="1235"/>
      <c r="Y79" s="1236"/>
      <c r="Z79" s="1235"/>
      <c r="AA79" s="1235"/>
      <c r="AB79" s="1237"/>
      <c r="AC79" s="1259"/>
      <c r="AD79" s="1259"/>
      <c r="AE79" s="1259"/>
      <c r="AF79" s="1259"/>
      <c r="AG79" s="1049">
        <f t="shared" ref="AG79:AO79" si="146">(AG74-AC74)*10000</f>
        <v>-213.74330616665347</v>
      </c>
      <c r="AH79" s="1050">
        <f t="shared" si="146"/>
        <v>411.68447294494757</v>
      </c>
      <c r="AI79" s="1050">
        <f t="shared" si="146"/>
        <v>450.13057231011356</v>
      </c>
      <c r="AJ79" s="1051">
        <f t="shared" si="146"/>
        <v>704.15708510972138</v>
      </c>
      <c r="AK79" s="1049">
        <f t="shared" si="146"/>
        <v>640.71407384860527</v>
      </c>
      <c r="AL79" s="1050">
        <f t="shared" si="146"/>
        <v>54.987117031183445</v>
      </c>
      <c r="AM79" s="1050">
        <f t="shared" si="146"/>
        <v>-77.10588917292246</v>
      </c>
      <c r="AN79" s="1051">
        <f t="shared" si="146"/>
        <v>-270.13315928307316</v>
      </c>
      <c r="AO79" s="1050">
        <f t="shared" si="146"/>
        <v>-160.78666769977198</v>
      </c>
      <c r="AP79" s="1050">
        <f t="shared" ref="AP79:AV79" si="147">(AP74-AL74)*10000</f>
        <v>-69.515206622777001</v>
      </c>
      <c r="AQ79" s="1050">
        <f t="shared" si="147"/>
        <v>-81.251216657866337</v>
      </c>
      <c r="AR79" s="1051">
        <f t="shared" si="147"/>
        <v>-20.370965999941053</v>
      </c>
      <c r="AS79" s="1049">
        <f t="shared" si="147"/>
        <v>-25.906890309065204</v>
      </c>
      <c r="AT79" s="1050">
        <f t="shared" si="147"/>
        <v>-17.401621004115782</v>
      </c>
      <c r="AU79" s="1050">
        <f t="shared" si="147"/>
        <v>-20.068815657012586</v>
      </c>
      <c r="AV79" s="1051">
        <f t="shared" si="147"/>
        <v>-55.951094381262656</v>
      </c>
      <c r="AW79" s="1049">
        <f t="shared" ref="AW79:BD79" si="148">(AW74-AS74)*10000</f>
        <v>53.587463430176953</v>
      </c>
      <c r="AX79" s="1050">
        <f t="shared" si="148"/>
        <v>59.193677502894367</v>
      </c>
      <c r="AY79" s="1050">
        <f t="shared" si="148"/>
        <v>63.098933729248202</v>
      </c>
      <c r="AZ79" s="1051">
        <f t="shared" si="148"/>
        <v>67.580433201502032</v>
      </c>
      <c r="BA79" s="1049">
        <f t="shared" si="148"/>
        <v>17.254495371194086</v>
      </c>
      <c r="BB79" s="1050">
        <f t="shared" si="148"/>
        <v>18.942349475544045</v>
      </c>
      <c r="BC79" s="1050">
        <f t="shared" si="148"/>
        <v>22.942558056337631</v>
      </c>
      <c r="BD79" s="1051">
        <f t="shared" si="148"/>
        <v>25.242671089215072</v>
      </c>
      <c r="BE79" s="2354"/>
      <c r="BF79" s="1235"/>
      <c r="BG79" s="1235"/>
      <c r="BH79" s="1235"/>
      <c r="BI79" s="1235"/>
      <c r="BJ79" s="1235"/>
      <c r="BK79" s="1235"/>
      <c r="BL79" s="78"/>
      <c r="BM79" s="1251"/>
      <c r="BN79" s="1251"/>
      <c r="BO79" s="1050">
        <f t="shared" ref="BO79:BT79" si="149">(BO74-BN74)*10000</f>
        <v>371.3304967531821</v>
      </c>
      <c r="BP79" s="1050">
        <f t="shared" si="149"/>
        <v>56.57418222718799</v>
      </c>
      <c r="BQ79" s="1050">
        <f t="shared" si="149"/>
        <v>-78.712985313527668</v>
      </c>
      <c r="BR79" s="1050">
        <f t="shared" si="149"/>
        <v>-30.733762944121086</v>
      </c>
      <c r="BS79" s="1050">
        <f t="shared" si="149"/>
        <v>61.596799235638237</v>
      </c>
      <c r="BT79" s="1050">
        <f t="shared" si="149"/>
        <v>21.419224879862391</v>
      </c>
      <c r="BU79" s="1050">
        <f>(BU74-BT74)*10000</f>
        <v>19.071176607998868</v>
      </c>
      <c r="BV79" s="1050">
        <f>(BV74-BU74)*10000</f>
        <v>16.972806213718663</v>
      </c>
      <c r="BW79" s="1050">
        <f>(BW74-BV74)*10000</f>
        <v>15.911460399866407</v>
      </c>
      <c r="BX79" s="1050">
        <f>(BX74-BW74)*10000</f>
        <v>15.191531847919549</v>
      </c>
      <c r="BY79" s="1051">
        <f>(BY74-BX74)*10000</f>
        <v>14.322529135173124</v>
      </c>
      <c r="BZ79" s="29"/>
      <c r="CA79" s="29"/>
      <c r="CB79" s="29"/>
      <c r="CC79" s="29"/>
      <c r="CD79" s="29"/>
      <c r="CE79" s="29"/>
      <c r="CF79" s="29"/>
    </row>
    <row r="80" spans="1:84" s="41" customFormat="1" ht="11.25" hidden="1" customHeight="1" outlineLevel="1">
      <c r="A80" s="29"/>
      <c r="B80" s="29"/>
      <c r="C80" s="29"/>
      <c r="D80" s="29"/>
      <c r="E80" s="29"/>
      <c r="F80" s="29"/>
      <c r="G80" s="29"/>
      <c r="H80" s="29"/>
      <c r="I80" s="1274" t="s">
        <v>368</v>
      </c>
      <c r="J80" s="2"/>
      <c r="K80" s="2"/>
      <c r="L80" s="2"/>
      <c r="M80" s="1235"/>
      <c r="N80" s="1235"/>
      <c r="O80" s="1235"/>
      <c r="P80" s="1235"/>
      <c r="Q80" s="1236"/>
      <c r="R80" s="1235"/>
      <c r="S80" s="1235"/>
      <c r="T80" s="1237"/>
      <c r="U80" s="1235"/>
      <c r="V80" s="1235"/>
      <c r="W80" s="1235"/>
      <c r="X80" s="1235"/>
      <c r="Y80" s="1236"/>
      <c r="Z80" s="1235"/>
      <c r="AA80" s="1235"/>
      <c r="AB80" s="1237"/>
      <c r="AC80" s="1259"/>
      <c r="AD80" s="1050">
        <f t="shared" ref="AD80:AO80" si="150">(AD74-AC74)*10000</f>
        <v>-167.37598051766054</v>
      </c>
      <c r="AE80" s="1050">
        <f t="shared" si="150"/>
        <v>67.5532759956577</v>
      </c>
      <c r="AF80" s="1050">
        <f t="shared" si="150"/>
        <v>-110.80632746417973</v>
      </c>
      <c r="AG80" s="1049">
        <f t="shared" si="150"/>
        <v>-3.1142741804709302</v>
      </c>
      <c r="AH80" s="1050">
        <f t="shared" si="150"/>
        <v>458.05179859394053</v>
      </c>
      <c r="AI80" s="1050">
        <f t="shared" si="150"/>
        <v>105.99937536082376</v>
      </c>
      <c r="AJ80" s="1051">
        <f t="shared" si="150"/>
        <v>143.220185335428</v>
      </c>
      <c r="AK80" s="1049">
        <f t="shared" si="150"/>
        <v>-66.557285441586899</v>
      </c>
      <c r="AL80" s="1050">
        <f t="shared" si="150"/>
        <v>-127.67515822348142</v>
      </c>
      <c r="AM80" s="1050">
        <f t="shared" si="150"/>
        <v>-26.093630843282146</v>
      </c>
      <c r="AN80" s="1051">
        <f t="shared" si="150"/>
        <v>-49.807084774722703</v>
      </c>
      <c r="AO80" s="1050">
        <f t="shared" si="150"/>
        <v>42.789206141714274</v>
      </c>
      <c r="AP80" s="1050">
        <f t="shared" ref="AP80:AV80" si="151">(AP74-AO74)*10000</f>
        <v>-36.403697146486429</v>
      </c>
      <c r="AQ80" s="1050">
        <f t="shared" si="151"/>
        <v>-37.829640878371471</v>
      </c>
      <c r="AR80" s="1051">
        <f t="shared" si="151"/>
        <v>11.073165883202577</v>
      </c>
      <c r="AS80" s="1049">
        <f t="shared" si="151"/>
        <v>37.253281832590119</v>
      </c>
      <c r="AT80" s="1050">
        <f t="shared" si="151"/>
        <v>-27.898427841537011</v>
      </c>
      <c r="AU80" s="1050">
        <f t="shared" si="151"/>
        <v>-40.496835531268275</v>
      </c>
      <c r="AV80" s="1051">
        <f t="shared" si="151"/>
        <v>-24.80911284104749</v>
      </c>
      <c r="AW80" s="1049">
        <f t="shared" ref="AW80:BD80" si="152">(AW74-AV74)*10000</f>
        <v>146.79183964402972</v>
      </c>
      <c r="AX80" s="1050">
        <f t="shared" si="152"/>
        <v>-22.292213768819597</v>
      </c>
      <c r="AY80" s="1050">
        <f t="shared" si="152"/>
        <v>-36.59157930491444</v>
      </c>
      <c r="AZ80" s="1051">
        <f t="shared" si="152"/>
        <v>-20.327613368793656</v>
      </c>
      <c r="BA80" s="1049">
        <f t="shared" si="152"/>
        <v>96.465901813721771</v>
      </c>
      <c r="BB80" s="1050">
        <f t="shared" si="152"/>
        <v>-20.604359664469634</v>
      </c>
      <c r="BC80" s="1050">
        <f t="shared" si="152"/>
        <v>-32.591370724120857</v>
      </c>
      <c r="BD80" s="1051">
        <f t="shared" si="152"/>
        <v>-18.027500335916212</v>
      </c>
      <c r="BE80" s="2354"/>
      <c r="BF80" s="1235"/>
      <c r="BG80" s="1235"/>
      <c r="BH80" s="1235"/>
      <c r="BI80" s="1235"/>
      <c r="BJ80" s="1235"/>
      <c r="BK80" s="1235"/>
      <c r="BL80" s="78"/>
      <c r="BM80" s="1251"/>
      <c r="BN80" s="1251"/>
      <c r="BO80" s="1251"/>
      <c r="BP80" s="1251"/>
      <c r="BQ80" s="1262"/>
      <c r="BR80" s="1262"/>
      <c r="BS80" s="1262"/>
      <c r="BT80" s="1262"/>
      <c r="BU80" s="1262"/>
      <c r="BV80" s="1262"/>
      <c r="BW80" s="1262"/>
      <c r="BX80" s="1262"/>
      <c r="BY80" s="1273"/>
      <c r="BZ80" s="29"/>
      <c r="CA80" s="29"/>
      <c r="CB80" s="29"/>
      <c r="CC80" s="29"/>
      <c r="CD80" s="29"/>
      <c r="CE80" s="29"/>
      <c r="CF80" s="29"/>
    </row>
    <row r="81" spans="1:84" s="41" customFormat="1" ht="11.25" hidden="1" customHeight="1" outlineLevel="1">
      <c r="A81" s="29"/>
      <c r="B81" s="29"/>
      <c r="C81" s="29"/>
      <c r="D81" s="29"/>
      <c r="E81" s="29"/>
      <c r="F81" s="29"/>
      <c r="G81" s="29"/>
      <c r="H81" s="29"/>
      <c r="I81" s="796"/>
      <c r="J81" s="2"/>
      <c r="K81" s="2"/>
      <c r="L81" s="2"/>
      <c r="M81" s="1235"/>
      <c r="N81" s="1235"/>
      <c r="O81" s="1235"/>
      <c r="P81" s="1235"/>
      <c r="Q81" s="1236"/>
      <c r="R81" s="1235"/>
      <c r="S81" s="1235"/>
      <c r="T81" s="1237"/>
      <c r="U81" s="1235"/>
      <c r="V81" s="1235"/>
      <c r="W81" s="1235"/>
      <c r="X81" s="1235"/>
      <c r="Y81" s="1236"/>
      <c r="Z81" s="1235"/>
      <c r="AA81" s="1235"/>
      <c r="AB81" s="1237"/>
      <c r="AC81" s="1259"/>
      <c r="AD81" s="1050"/>
      <c r="AE81" s="1050"/>
      <c r="AF81" s="1050"/>
      <c r="AG81" s="1049"/>
      <c r="AH81" s="1050"/>
      <c r="AI81" s="1050"/>
      <c r="AJ81" s="1050"/>
      <c r="AK81" s="1049"/>
      <c r="AL81" s="1050"/>
      <c r="AM81" s="1050"/>
      <c r="AN81" s="1051"/>
      <c r="AO81" s="1050"/>
      <c r="AP81" s="1050"/>
      <c r="AQ81" s="1050"/>
      <c r="AR81" s="1051"/>
      <c r="AS81" s="1049"/>
      <c r="AT81" s="1050"/>
      <c r="AU81" s="1050"/>
      <c r="AV81" s="1051"/>
      <c r="AW81" s="1049"/>
      <c r="AX81" s="1050"/>
      <c r="AY81" s="1050"/>
      <c r="AZ81" s="1051"/>
      <c r="BA81" s="1049"/>
      <c r="BB81" s="1050"/>
      <c r="BC81" s="1050"/>
      <c r="BD81" s="1051"/>
      <c r="BE81" s="2354"/>
      <c r="BF81" s="1235"/>
      <c r="BG81" s="1235"/>
      <c r="BH81" s="1235"/>
      <c r="BI81" s="1235"/>
      <c r="BJ81" s="1235"/>
      <c r="BK81" s="1235"/>
      <c r="BL81" s="78"/>
      <c r="BM81" s="1251"/>
      <c r="BN81" s="1251"/>
      <c r="BO81" s="1211"/>
      <c r="BP81" s="1211"/>
      <c r="BQ81" s="1211"/>
      <c r="BR81" s="1211"/>
      <c r="BS81" s="1211"/>
      <c r="BT81" s="1211"/>
      <c r="BU81" s="1262"/>
      <c r="BV81" s="1262"/>
      <c r="BW81" s="1262"/>
      <c r="BX81" s="1262"/>
      <c r="BY81" s="1273"/>
      <c r="BZ81" s="29"/>
      <c r="CA81" s="29"/>
      <c r="CB81" s="29"/>
      <c r="CC81" s="35"/>
      <c r="CD81" s="29"/>
      <c r="CE81" s="29"/>
      <c r="CF81" s="29"/>
    </row>
    <row r="82" spans="1:84" s="41" customFormat="1" ht="11.25" hidden="1" customHeight="1" outlineLevel="1">
      <c r="A82" s="29"/>
      <c r="B82" s="29"/>
      <c r="C82" s="29"/>
      <c r="D82" s="29"/>
      <c r="E82" s="29"/>
      <c r="F82" s="29"/>
      <c r="G82" s="29"/>
      <c r="H82" s="29"/>
      <c r="I82" s="2398" t="s">
        <v>624</v>
      </c>
      <c r="J82" s="2"/>
      <c r="K82" s="2"/>
      <c r="L82" s="2"/>
      <c r="M82" s="1235"/>
      <c r="N82" s="1235"/>
      <c r="O82" s="1235"/>
      <c r="P82" s="1235"/>
      <c r="Q82" s="1236"/>
      <c r="R82" s="1235"/>
      <c r="S82" s="1235"/>
      <c r="T82" s="1237"/>
      <c r="U82" s="1235"/>
      <c r="V82" s="1235"/>
      <c r="W82" s="1235"/>
      <c r="X82" s="1235"/>
      <c r="Y82" s="1236"/>
      <c r="Z82" s="1235"/>
      <c r="AA82" s="1235"/>
      <c r="AB82" s="1237"/>
      <c r="AC82" s="1251">
        <f>AC64-AC73</f>
        <v>38.724000000000004</v>
      </c>
      <c r="AD82" s="1251">
        <f t="shared" ref="AD82:BD82" si="153">AD64-AD73</f>
        <v>42.07</v>
      </c>
      <c r="AE82" s="1251">
        <f t="shared" si="153"/>
        <v>47.667999999999999</v>
      </c>
      <c r="AF82" s="1251">
        <f t="shared" si="153"/>
        <v>47.585000000000001</v>
      </c>
      <c r="AG82" s="1936">
        <f t="shared" si="153"/>
        <v>56.329000000000001</v>
      </c>
      <c r="AH82" s="1251">
        <f t="shared" si="153"/>
        <v>54.36</v>
      </c>
      <c r="AI82" s="1251">
        <f t="shared" si="153"/>
        <v>67.381</v>
      </c>
      <c r="AJ82" s="1251">
        <f t="shared" si="153"/>
        <v>68.731999999999999</v>
      </c>
      <c r="AK82" s="1936">
        <f t="shared" si="153"/>
        <v>76.286000000000001</v>
      </c>
      <c r="AL82" s="1251">
        <f t="shared" si="153"/>
        <v>75.558999999999997</v>
      </c>
      <c r="AM82" s="1251">
        <f>AM64-AM73</f>
        <v>79.682999999999993</v>
      </c>
      <c r="AN82" s="1258">
        <f t="shared" si="153"/>
        <v>74.828000000000003</v>
      </c>
      <c r="AO82" s="1251">
        <f>AO64-AO73</f>
        <v>89.418000000000006</v>
      </c>
      <c r="AP82" s="1251">
        <f t="shared" si="153"/>
        <v>84.971000000000004</v>
      </c>
      <c r="AQ82" s="1251">
        <f t="shared" ref="AQ82:AR82" si="154">AQ64-AQ73</f>
        <v>92.73599999999999</v>
      </c>
      <c r="AR82" s="1258">
        <f t="shared" si="154"/>
        <v>91.418000000000006</v>
      </c>
      <c r="AS82" s="1936">
        <f t="shared" si="153"/>
        <v>103.02305395721736</v>
      </c>
      <c r="AT82" s="1251">
        <f t="shared" si="153"/>
        <v>96.624471265512497</v>
      </c>
      <c r="AU82" s="1251">
        <f t="shared" si="153"/>
        <v>105.1576544653296</v>
      </c>
      <c r="AV82" s="1258">
        <f t="shared" si="153"/>
        <v>108.81079212448338</v>
      </c>
      <c r="AW82" s="1936">
        <f t="shared" si="153"/>
        <v>119.40258384982999</v>
      </c>
      <c r="AX82" s="1251">
        <f t="shared" si="153"/>
        <v>110.20088467136509</v>
      </c>
      <c r="AY82" s="1251">
        <f t="shared" si="153"/>
        <v>118.36606169619569</v>
      </c>
      <c r="AZ82" s="1258">
        <f t="shared" si="153"/>
        <v>120.84613718464485</v>
      </c>
      <c r="BA82" s="1936">
        <f t="shared" si="153"/>
        <v>133.88073463306355</v>
      </c>
      <c r="BB82" s="1251">
        <f t="shared" si="153"/>
        <v>122.8834868929064</v>
      </c>
      <c r="BC82" s="1251">
        <f t="shared" si="153"/>
        <v>130.86914057019516</v>
      </c>
      <c r="BD82" s="1258">
        <f t="shared" si="153"/>
        <v>132.86266378307047</v>
      </c>
      <c r="BE82" s="2354"/>
      <c r="BF82" s="1235"/>
      <c r="BG82" s="1235"/>
      <c r="BH82" s="1235"/>
      <c r="BI82" s="1235"/>
      <c r="BJ82" s="1235"/>
      <c r="BK82" s="1235"/>
      <c r="BL82" s="78"/>
      <c r="BM82" s="1251"/>
      <c r="BN82" s="1251">
        <f t="shared" ref="BN82:BY82" si="155">BN64-BN73</f>
        <v>176.04700000000003</v>
      </c>
      <c r="BO82" s="1251">
        <f t="shared" si="155"/>
        <v>246.80200000000002</v>
      </c>
      <c r="BP82" s="1251">
        <f t="shared" si="155"/>
        <v>306.35599999999999</v>
      </c>
      <c r="BQ82" s="1251">
        <f t="shared" si="155"/>
        <v>358.54300000000001</v>
      </c>
      <c r="BR82" s="1251">
        <f t="shared" si="155"/>
        <v>413.61597181254285</v>
      </c>
      <c r="BS82" s="1251">
        <f t="shared" si="155"/>
        <v>468.81566740203561</v>
      </c>
      <c r="BT82" s="1251">
        <f t="shared" si="155"/>
        <v>520.49602587923562</v>
      </c>
      <c r="BU82" s="1251">
        <f t="shared" si="155"/>
        <v>563.49602587923562</v>
      </c>
      <c r="BV82" s="1251">
        <f t="shared" si="155"/>
        <v>601.49602587923562</v>
      </c>
      <c r="BW82" s="1251">
        <f t="shared" si="155"/>
        <v>634.49602587923562</v>
      </c>
      <c r="BX82" s="1251">
        <f t="shared" si="155"/>
        <v>662.49602587923562</v>
      </c>
      <c r="BY82" s="1258">
        <f t="shared" si="155"/>
        <v>685.49602587923562</v>
      </c>
      <c r="BZ82" s="29"/>
      <c r="CA82" s="29"/>
      <c r="CB82" s="29"/>
      <c r="CC82" s="29"/>
      <c r="CD82" s="29"/>
      <c r="CE82" s="29"/>
      <c r="CF82" s="29"/>
    </row>
    <row r="83" spans="1:84" s="41" customFormat="1" ht="11.25" hidden="1" customHeight="1" outlineLevel="1">
      <c r="A83" s="29"/>
      <c r="B83" s="29"/>
      <c r="C83" s="29"/>
      <c r="D83" s="29"/>
      <c r="E83" s="29"/>
      <c r="F83" s="29"/>
      <c r="G83" s="29"/>
      <c r="H83" s="29"/>
      <c r="I83" s="2399" t="s">
        <v>550</v>
      </c>
      <c r="J83" s="2"/>
      <c r="K83" s="2"/>
      <c r="L83" s="2"/>
      <c r="M83" s="1235"/>
      <c r="N83" s="1235"/>
      <c r="O83" s="1235"/>
      <c r="P83" s="1235"/>
      <c r="Q83" s="1236"/>
      <c r="R83" s="1235"/>
      <c r="S83" s="1235"/>
      <c r="T83" s="1237"/>
      <c r="U83" s="1235"/>
      <c r="V83" s="1235"/>
      <c r="W83" s="1235"/>
      <c r="X83" s="1235"/>
      <c r="Y83" s="1236"/>
      <c r="Z83" s="1235"/>
      <c r="AA83" s="1235"/>
      <c r="AB83" s="1237"/>
      <c r="AC83" s="1949">
        <f t="shared" ref="AC83:BD83" si="156">AC82/AC$10</f>
        <v>0.50681220307039943</v>
      </c>
      <c r="AD83" s="1949">
        <f t="shared" si="156"/>
        <v>0.47383062835775502</v>
      </c>
      <c r="AE83" s="1949">
        <f t="shared" si="156"/>
        <v>0.46525791811038991</v>
      </c>
      <c r="AF83" s="1949">
        <f t="shared" si="156"/>
        <v>0.43303575491186402</v>
      </c>
      <c r="AG83" s="2023">
        <f t="shared" si="156"/>
        <v>0.50383720930232556</v>
      </c>
      <c r="AH83" s="1949">
        <f t="shared" si="156"/>
        <v>0.43280254777070065</v>
      </c>
      <c r="AI83" s="1949">
        <f t="shared" si="156"/>
        <v>0.50060178306092129</v>
      </c>
      <c r="AJ83" s="1949">
        <f t="shared" si="156"/>
        <v>0.46852079072937974</v>
      </c>
      <c r="AK83" s="2023">
        <f t="shared" si="156"/>
        <v>0.48095679420980625</v>
      </c>
      <c r="AL83" s="1949">
        <f t="shared" si="156"/>
        <v>0.43567935973429894</v>
      </c>
      <c r="AM83" s="1949">
        <f t="shared" si="156"/>
        <v>0.42786953906954761</v>
      </c>
      <c r="AN83" s="2024">
        <f t="shared" si="156"/>
        <v>0.38413519784800515</v>
      </c>
      <c r="AO83" s="1949">
        <f t="shared" si="156"/>
        <v>0.45315548618255347</v>
      </c>
      <c r="AP83" s="1949">
        <f t="shared" si="156"/>
        <v>0.40682453654052397</v>
      </c>
      <c r="AQ83" s="1949">
        <f t="shared" ref="AQ83:AR83" si="157">AQ82/AQ$10</f>
        <v>0.41701591869772459</v>
      </c>
      <c r="AR83" s="2024">
        <f t="shared" si="157"/>
        <v>0.4188759473254951</v>
      </c>
      <c r="AS83" s="2023">
        <f t="shared" si="156"/>
        <v>0.46574617521346007</v>
      </c>
      <c r="AT83" s="1949">
        <f t="shared" si="156"/>
        <v>0.41756469864093559</v>
      </c>
      <c r="AU83" s="1949">
        <f t="shared" si="156"/>
        <v>0.42402280026342581</v>
      </c>
      <c r="AV83" s="2024">
        <f t="shared" si="156"/>
        <v>0.4194710567636214</v>
      </c>
      <c r="AW83" s="2023">
        <f t="shared" si="156"/>
        <v>0.45538742887044242</v>
      </c>
      <c r="AX83" s="1949">
        <f t="shared" si="156"/>
        <v>0.40664533089064608</v>
      </c>
      <c r="AY83" s="1949">
        <f t="shared" si="156"/>
        <v>0.412712906890501</v>
      </c>
      <c r="AZ83" s="2024">
        <f t="shared" si="156"/>
        <v>0.40771301344347116</v>
      </c>
      <c r="BA83" s="2023">
        <f t="shared" si="156"/>
        <v>0.44866197933332291</v>
      </c>
      <c r="BB83" s="1949">
        <f t="shared" si="156"/>
        <v>0.39975109594309172</v>
      </c>
      <c r="BC83" s="1949">
        <f t="shared" si="156"/>
        <v>0.40541865108486724</v>
      </c>
      <c r="BD83" s="2024">
        <f t="shared" si="156"/>
        <v>0.40018874633454959</v>
      </c>
      <c r="BE83" s="2354"/>
      <c r="BF83" s="1235"/>
      <c r="BG83" s="1235"/>
      <c r="BH83" s="1235"/>
      <c r="BI83" s="1235"/>
      <c r="BJ83" s="1235"/>
      <c r="BK83" s="1235"/>
      <c r="BL83" s="78"/>
      <c r="BM83" s="1251"/>
      <c r="BN83" s="264">
        <f t="shared" ref="BN83:BY83" si="158">BN82/BN$10</f>
        <v>0.46630520003390413</v>
      </c>
      <c r="BO83" s="264">
        <f t="shared" si="158"/>
        <v>0.47580875265085792</v>
      </c>
      <c r="BP83" s="264">
        <f t="shared" si="158"/>
        <v>0.42963023213742291</v>
      </c>
      <c r="BQ83" s="264">
        <f t="shared" si="158"/>
        <v>0.42340280557809107</v>
      </c>
      <c r="BR83" s="264">
        <f t="shared" si="158"/>
        <v>0.43084997063806546</v>
      </c>
      <c r="BS83" s="264">
        <f t="shared" si="158"/>
        <v>0.41993520906667464</v>
      </c>
      <c r="BT83" s="264">
        <f t="shared" si="158"/>
        <v>0.41289546714202419</v>
      </c>
      <c r="BU83" s="264">
        <f t="shared" si="158"/>
        <v>0.4023247364552589</v>
      </c>
      <c r="BV83" s="264">
        <f t="shared" si="158"/>
        <v>0.39119148405257259</v>
      </c>
      <c r="BW83" s="264">
        <f t="shared" si="158"/>
        <v>0.37980128449613054</v>
      </c>
      <c r="BX83" s="264">
        <f t="shared" si="158"/>
        <v>0.36813515552302495</v>
      </c>
      <c r="BY83" s="1242">
        <f t="shared" si="158"/>
        <v>0.35599087343126073</v>
      </c>
      <c r="BZ83" s="29"/>
      <c r="CA83" s="29"/>
      <c r="CB83" s="29"/>
      <c r="CC83" s="29"/>
      <c r="CD83" s="29"/>
      <c r="CE83" s="29"/>
      <c r="CF83" s="29"/>
    </row>
    <row r="84" spans="1:84" s="41" customFormat="1" ht="11.25" hidden="1" customHeight="1" outlineLevel="1">
      <c r="A84" s="29"/>
      <c r="B84" s="29"/>
      <c r="C84" s="29"/>
      <c r="D84" s="29"/>
      <c r="E84" s="29"/>
      <c r="F84" s="29"/>
      <c r="G84" s="29"/>
      <c r="H84" s="29"/>
      <c r="I84" s="2399" t="s">
        <v>700</v>
      </c>
      <c r="J84" s="2"/>
      <c r="K84" s="2"/>
      <c r="L84" s="2"/>
      <c r="M84" s="1235"/>
      <c r="N84" s="1235"/>
      <c r="O84" s="1235"/>
      <c r="P84" s="1235"/>
      <c r="Q84" s="1236"/>
      <c r="R84" s="1235"/>
      <c r="S84" s="1235"/>
      <c r="T84" s="1237"/>
      <c r="U84" s="1235"/>
      <c r="V84" s="1235"/>
      <c r="W84" s="1235"/>
      <c r="X84" s="1235"/>
      <c r="Y84" s="1236"/>
      <c r="Z84" s="1235"/>
      <c r="AA84" s="1235"/>
      <c r="AB84" s="1237"/>
      <c r="AC84" s="1949"/>
      <c r="AD84" s="1949"/>
      <c r="AE84" s="1949"/>
      <c r="AF84" s="1949"/>
      <c r="AG84" s="2023">
        <f>AG82/AG62</f>
        <v>0.67089082496144081</v>
      </c>
      <c r="AH84" s="1949">
        <f t="shared" ref="AH84:BD84" si="159">AH82/AH62</f>
        <v>0.60244368714155105</v>
      </c>
      <c r="AI84" s="1949">
        <f t="shared" si="159"/>
        <v>0.70235877721756224</v>
      </c>
      <c r="AJ84" s="1949">
        <f t="shared" si="159"/>
        <v>0.66651732768560468</v>
      </c>
      <c r="AK84" s="2023">
        <f t="shared" si="159"/>
        <v>0.69012746632410293</v>
      </c>
      <c r="AL84" s="1949">
        <f t="shared" si="159"/>
        <v>0.61978007195318607</v>
      </c>
      <c r="AM84" s="1949">
        <f t="shared" si="159"/>
        <v>0.61153961273685908</v>
      </c>
      <c r="AN84" s="2024">
        <f t="shared" si="159"/>
        <v>0.55202431539187924</v>
      </c>
      <c r="AO84" s="1949">
        <f t="shared" si="159"/>
        <v>0.66384551994476504</v>
      </c>
      <c r="AP84" s="1949">
        <f t="shared" si="159"/>
        <v>0.60074461195621132</v>
      </c>
      <c r="AQ84" s="1949">
        <f t="shared" ref="AQ84:AR84" si="160">AQ82/AQ62</f>
        <v>0.61619259739638421</v>
      </c>
      <c r="AR84" s="2024">
        <f t="shared" si="160"/>
        <v>0.58255780461009454</v>
      </c>
      <c r="AS84" s="2023">
        <f t="shared" si="159"/>
        <v>0.64739959418522286</v>
      </c>
      <c r="AT84" s="1949">
        <f t="shared" si="159"/>
        <v>0.58918462734115362</v>
      </c>
      <c r="AU84" s="1949">
        <f t="shared" si="159"/>
        <v>0.60520326227563059</v>
      </c>
      <c r="AV84" s="2024">
        <f t="shared" si="159"/>
        <v>0.60249948324449776</v>
      </c>
      <c r="AW84" s="2023">
        <f t="shared" si="159"/>
        <v>0.6593213342743548</v>
      </c>
      <c r="AX84" s="1949">
        <f t="shared" si="159"/>
        <v>0.59367204074842295</v>
      </c>
      <c r="AY84" s="1949">
        <f t="shared" si="159"/>
        <v>0.60580029479151121</v>
      </c>
      <c r="AZ84" s="2024">
        <f t="shared" si="159"/>
        <v>0.59937752624307838</v>
      </c>
      <c r="BA84" s="2023">
        <f t="shared" si="159"/>
        <v>0.66346333609690966</v>
      </c>
      <c r="BB84" s="1949">
        <f t="shared" si="159"/>
        <v>0.59653291458571467</v>
      </c>
      <c r="BC84" s="1949">
        <f t="shared" si="159"/>
        <v>0.60813568135497609</v>
      </c>
      <c r="BD84" s="2024">
        <f t="shared" si="159"/>
        <v>0.60063152110309737</v>
      </c>
      <c r="BE84" s="2354"/>
      <c r="BF84" s="1235"/>
      <c r="BG84" s="1235"/>
      <c r="BH84" s="1235"/>
      <c r="BI84" s="1235"/>
      <c r="BJ84" s="1235"/>
      <c r="BK84" s="1235"/>
      <c r="BL84" s="78"/>
      <c r="BM84" s="1251"/>
      <c r="BN84" s="264"/>
      <c r="BO84" s="1949">
        <f t="shared" ref="BO84:BY84" si="161">BO82/BO62</f>
        <v>0.66122367182995678</v>
      </c>
      <c r="BP84" s="1949">
        <f t="shared" si="161"/>
        <v>0.61479912005275505</v>
      </c>
      <c r="BQ84" s="1949">
        <f t="shared" si="161"/>
        <v>0.61440282238399457</v>
      </c>
      <c r="BR84" s="1949">
        <f t="shared" si="161"/>
        <v>0.61051636385261399</v>
      </c>
      <c r="BS84" s="1949">
        <f t="shared" si="161"/>
        <v>0.61384806964613225</v>
      </c>
      <c r="BT84" s="1949">
        <f t="shared" si="161"/>
        <v>0.6165633238392717</v>
      </c>
      <c r="BU84" s="1949">
        <f t="shared" si="161"/>
        <v>0.61864900838783476</v>
      </c>
      <c r="BV84" s="1949">
        <f t="shared" si="161"/>
        <v>0.61800055094674189</v>
      </c>
      <c r="BW84" s="1949">
        <f t="shared" si="161"/>
        <v>0.61488104241446906</v>
      </c>
      <c r="BX84" s="1949">
        <f t="shared" si="161"/>
        <v>0.60899371067302044</v>
      </c>
      <c r="BY84" s="2024">
        <f t="shared" si="161"/>
        <v>0.5996827526218016</v>
      </c>
      <c r="BZ84" s="29"/>
      <c r="CA84" s="29"/>
      <c r="CB84" s="29"/>
      <c r="CC84" s="29"/>
      <c r="CD84" s="29"/>
      <c r="CE84" s="29"/>
      <c r="CF84" s="29"/>
    </row>
    <row r="85" spans="1:84" s="41" customFormat="1" ht="11.25" hidden="1" customHeight="1" outlineLevel="1">
      <c r="A85" s="29"/>
      <c r="B85" s="29"/>
      <c r="C85" s="29"/>
      <c r="D85" s="29"/>
      <c r="E85" s="29"/>
      <c r="F85" s="29"/>
      <c r="G85" s="29"/>
      <c r="H85" s="29"/>
      <c r="I85" s="1274" t="s">
        <v>132</v>
      </c>
      <c r="J85" s="2"/>
      <c r="K85" s="2"/>
      <c r="L85" s="2"/>
      <c r="M85" s="1235"/>
      <c r="N85" s="1235"/>
      <c r="O85" s="1235"/>
      <c r="P85" s="1235"/>
      <c r="Q85" s="1236"/>
      <c r="R85" s="1235"/>
      <c r="S85" s="1235"/>
      <c r="T85" s="1237"/>
      <c r="U85" s="1235"/>
      <c r="V85" s="1235"/>
      <c r="W85" s="1235"/>
      <c r="X85" s="1235"/>
      <c r="Y85" s="1236"/>
      <c r="Z85" s="1235"/>
      <c r="AA85" s="1235"/>
      <c r="AB85" s="1237"/>
      <c r="AC85" s="1259"/>
      <c r="AD85" s="1050"/>
      <c r="AE85" s="1050"/>
      <c r="AF85" s="1050"/>
      <c r="AG85" s="907">
        <f t="shared" ref="AG85:BD85" si="162">(AG83-AC83)*10000</f>
        <v>-29.749937680738636</v>
      </c>
      <c r="AH85" s="899">
        <f t="shared" si="162"/>
        <v>-410.2808058705437</v>
      </c>
      <c r="AI85" s="908">
        <f t="shared" si="162"/>
        <v>353.43864950531378</v>
      </c>
      <c r="AJ85" s="909">
        <f t="shared" si="162"/>
        <v>354.85035817515723</v>
      </c>
      <c r="AK85" s="907">
        <f t="shared" si="162"/>
        <v>-228.80415092519314</v>
      </c>
      <c r="AL85" s="899">
        <f t="shared" si="162"/>
        <v>28.768119635982913</v>
      </c>
      <c r="AM85" s="899">
        <f t="shared" si="162"/>
        <v>-727.32243991373684</v>
      </c>
      <c r="AN85" s="909">
        <f t="shared" si="162"/>
        <v>-843.85592881374589</v>
      </c>
      <c r="AO85" s="908">
        <f t="shared" si="162"/>
        <v>-278.01308027252782</v>
      </c>
      <c r="AP85" s="899">
        <f t="shared" si="162"/>
        <v>-288.54823193774968</v>
      </c>
      <c r="AQ85" s="899">
        <f t="shared" si="162"/>
        <v>-108.53620371823025</v>
      </c>
      <c r="AR85" s="909">
        <f t="shared" si="162"/>
        <v>347.40749477489953</v>
      </c>
      <c r="AS85" s="907">
        <f t="shared" si="162"/>
        <v>125.90689030906599</v>
      </c>
      <c r="AT85" s="899">
        <f t="shared" si="162"/>
        <v>107.40162100411621</v>
      </c>
      <c r="AU85" s="908">
        <f t="shared" si="162"/>
        <v>70.06881565701228</v>
      </c>
      <c r="AV85" s="909">
        <f t="shared" si="162"/>
        <v>5.9510943812629558</v>
      </c>
      <c r="AW85" s="907">
        <f t="shared" si="162"/>
        <v>-103.58746343017644</v>
      </c>
      <c r="AX85" s="899">
        <f t="shared" si="162"/>
        <v>-109.1936775028951</v>
      </c>
      <c r="AY85" s="908">
        <f t="shared" si="162"/>
        <v>-113.09893372924817</v>
      </c>
      <c r="AZ85" s="909">
        <f t="shared" si="162"/>
        <v>-117.58043320150236</v>
      </c>
      <c r="BA85" s="907">
        <f t="shared" si="162"/>
        <v>-67.254495371195105</v>
      </c>
      <c r="BB85" s="899">
        <f t="shared" si="162"/>
        <v>-68.942349475543679</v>
      </c>
      <c r="BC85" s="908">
        <f t="shared" si="162"/>
        <v>-72.942558056337532</v>
      </c>
      <c r="BD85" s="909">
        <f t="shared" si="162"/>
        <v>-75.242671089215676</v>
      </c>
      <c r="BE85" s="2354"/>
      <c r="BF85" s="1235"/>
      <c r="BG85" s="1235"/>
      <c r="BH85" s="1235"/>
      <c r="BI85" s="1235"/>
      <c r="BJ85" s="1235"/>
      <c r="BK85" s="1235"/>
      <c r="BL85" s="78"/>
      <c r="BM85" s="1251"/>
      <c r="BN85" s="403"/>
      <c r="BO85" s="403">
        <f t="shared" ref="BO85:BY85" si="163">BO82/BN82-1</f>
        <v>0.40190971729140501</v>
      </c>
      <c r="BP85" s="403">
        <f t="shared" si="163"/>
        <v>0.24130274471033442</v>
      </c>
      <c r="BQ85" s="403">
        <f t="shared" si="163"/>
        <v>0.17034756949431396</v>
      </c>
      <c r="BR85" s="403">
        <f t="shared" si="163"/>
        <v>0.1536021392484106</v>
      </c>
      <c r="BS85" s="403">
        <f t="shared" si="163"/>
        <v>0.13345639276838694</v>
      </c>
      <c r="BT85" s="403">
        <f t="shared" si="163"/>
        <v>0.11023598840795823</v>
      </c>
      <c r="BU85" s="403">
        <f t="shared" si="163"/>
        <v>8.2613503008718059E-2</v>
      </c>
      <c r="BV85" s="403">
        <f t="shared" si="163"/>
        <v>6.7436145517987933E-2</v>
      </c>
      <c r="BW85" s="403">
        <f t="shared" si="163"/>
        <v>5.4863205374902302E-2</v>
      </c>
      <c r="BX85" s="403">
        <f t="shared" si="163"/>
        <v>4.4129512018928452E-2</v>
      </c>
      <c r="BY85" s="1261">
        <f t="shared" si="163"/>
        <v>3.4717189389136927E-2</v>
      </c>
      <c r="BZ85" s="29"/>
      <c r="CA85" s="29"/>
      <c r="CB85" s="29"/>
      <c r="CC85" s="29"/>
      <c r="CD85" s="29"/>
      <c r="CE85" s="29"/>
      <c r="CF85" s="29"/>
    </row>
    <row r="86" spans="1:84" s="41" customFormat="1" ht="11.25" hidden="1" customHeight="1" outlineLevel="1">
      <c r="A86" s="29"/>
      <c r="B86" s="29"/>
      <c r="C86" s="29"/>
      <c r="D86" s="29"/>
      <c r="E86" s="29"/>
      <c r="F86" s="29"/>
      <c r="G86" s="29"/>
      <c r="H86" s="29"/>
      <c r="I86" s="1274" t="s">
        <v>146</v>
      </c>
      <c r="J86" s="2"/>
      <c r="K86" s="2"/>
      <c r="L86" s="2"/>
      <c r="M86" s="1235"/>
      <c r="N86" s="1235"/>
      <c r="O86" s="1235"/>
      <c r="P86" s="1235"/>
      <c r="Q86" s="1236"/>
      <c r="R86" s="1235"/>
      <c r="S86" s="1235"/>
      <c r="T86" s="1237"/>
      <c r="U86" s="1235"/>
      <c r="V86" s="1235"/>
      <c r="W86" s="1235"/>
      <c r="X86" s="1235"/>
      <c r="Y86" s="1236"/>
      <c r="Z86" s="1235"/>
      <c r="AA86" s="1235"/>
      <c r="AB86" s="1237"/>
      <c r="AC86" s="1259"/>
      <c r="AD86" s="1050"/>
      <c r="AE86" s="1050"/>
      <c r="AF86" s="1050"/>
      <c r="AG86" s="907">
        <f t="shared" ref="AG86:BD86" si="164">(AG83-AF83)*10000</f>
        <v>708.01454390461538</v>
      </c>
      <c r="AH86" s="899">
        <f t="shared" si="164"/>
        <v>-710.34661531624909</v>
      </c>
      <c r="AI86" s="908">
        <f t="shared" si="164"/>
        <v>677.99235290220633</v>
      </c>
      <c r="AJ86" s="909">
        <f t="shared" si="164"/>
        <v>-320.80992331541546</v>
      </c>
      <c r="AK86" s="907">
        <f t="shared" si="164"/>
        <v>124.36003480426506</v>
      </c>
      <c r="AL86" s="899">
        <f t="shared" si="164"/>
        <v>-452.77434475507306</v>
      </c>
      <c r="AM86" s="899">
        <f t="shared" si="164"/>
        <v>-78.098206647513322</v>
      </c>
      <c r="AN86" s="909">
        <f t="shared" si="164"/>
        <v>-437.34341221542462</v>
      </c>
      <c r="AO86" s="908">
        <f t="shared" si="164"/>
        <v>690.2028833454832</v>
      </c>
      <c r="AP86" s="899">
        <f t="shared" si="164"/>
        <v>-463.30949642029498</v>
      </c>
      <c r="AQ86" s="899">
        <f t="shared" si="164"/>
        <v>101.91382157200613</v>
      </c>
      <c r="AR86" s="909">
        <f t="shared" si="164"/>
        <v>18.600286277705159</v>
      </c>
      <c r="AS86" s="907">
        <f t="shared" si="164"/>
        <v>468.70227887964967</v>
      </c>
      <c r="AT86" s="899">
        <f t="shared" si="164"/>
        <v>-481.81476572524474</v>
      </c>
      <c r="AU86" s="908">
        <f t="shared" si="164"/>
        <v>64.5810162249022</v>
      </c>
      <c r="AV86" s="909">
        <f t="shared" si="164"/>
        <v>-45.517434998044173</v>
      </c>
      <c r="AW86" s="907">
        <f t="shared" si="164"/>
        <v>359.16372106821024</v>
      </c>
      <c r="AX86" s="899">
        <f t="shared" si="164"/>
        <v>-487.42097979796341</v>
      </c>
      <c r="AY86" s="908">
        <f t="shared" si="164"/>
        <v>60.675759998549125</v>
      </c>
      <c r="AZ86" s="909">
        <f t="shared" si="164"/>
        <v>-49.998934470298352</v>
      </c>
      <c r="BA86" s="907">
        <f t="shared" si="164"/>
        <v>409.48965889851752</v>
      </c>
      <c r="BB86" s="899">
        <f t="shared" si="164"/>
        <v>-489.10883390231197</v>
      </c>
      <c r="BC86" s="908">
        <f t="shared" si="164"/>
        <v>56.675551417755266</v>
      </c>
      <c r="BD86" s="909">
        <f t="shared" si="164"/>
        <v>-52.299047503176489</v>
      </c>
      <c r="BE86" s="2354"/>
      <c r="BF86" s="1235"/>
      <c r="BG86" s="1235"/>
      <c r="BH86" s="1235"/>
      <c r="BI86" s="1235"/>
      <c r="BJ86" s="1235"/>
      <c r="BK86" s="1235"/>
      <c r="BL86" s="78"/>
      <c r="BM86" s="1251"/>
      <c r="BN86" s="1251"/>
      <c r="BO86" s="1251"/>
      <c r="BP86" s="1251"/>
      <c r="BQ86" s="1251"/>
      <c r="BR86" s="1251"/>
      <c r="BS86" s="1251"/>
      <c r="BT86" s="1251"/>
      <c r="BU86" s="1251"/>
      <c r="BV86" s="1251"/>
      <c r="BW86" s="1251"/>
      <c r="BX86" s="1251"/>
      <c r="BY86" s="1258"/>
      <c r="BZ86" s="29"/>
      <c r="CA86" s="29"/>
      <c r="CB86" s="29"/>
      <c r="CC86" s="29"/>
      <c r="CD86" s="29"/>
      <c r="CE86" s="29"/>
      <c r="CF86" s="29"/>
    </row>
    <row r="87" spans="1:84" s="41" customFormat="1" ht="11.25" hidden="1" customHeight="1" outlineLevel="1">
      <c r="A87" s="29"/>
      <c r="B87" s="29"/>
      <c r="C87" s="29"/>
      <c r="D87" s="29"/>
      <c r="E87" s="29"/>
      <c r="F87" s="29"/>
      <c r="G87" s="29"/>
      <c r="H87" s="29"/>
      <c r="I87" s="1012" t="s">
        <v>380</v>
      </c>
      <c r="J87" s="2"/>
      <c r="K87" s="2"/>
      <c r="L87" s="2"/>
      <c r="M87" s="1235"/>
      <c r="N87" s="1235"/>
      <c r="O87" s="1235"/>
      <c r="P87" s="1235"/>
      <c r="Q87" s="1236"/>
      <c r="R87" s="1235"/>
      <c r="S87" s="1235"/>
      <c r="T87" s="1237"/>
      <c r="U87" s="1235"/>
      <c r="V87" s="1235"/>
      <c r="W87" s="1235"/>
      <c r="X87" s="1235"/>
      <c r="Y87" s="1236"/>
      <c r="Z87" s="1235"/>
      <c r="AA87" s="1235"/>
      <c r="AB87" s="1237"/>
      <c r="AC87" s="1259"/>
      <c r="AD87" s="1050"/>
      <c r="AE87" s="1050"/>
      <c r="AF87" s="1050"/>
      <c r="AG87" s="751">
        <f t="shared" ref="AG87:BD87" si="165">IF(ISERROR(AG82/AC82-1),"NA",(IF(AG82&lt;=0,"NM",AG82/AC82-1)))</f>
        <v>0.45462762111352117</v>
      </c>
      <c r="AH87" s="198">
        <f t="shared" si="165"/>
        <v>0.29213216068457326</v>
      </c>
      <c r="AI87" s="198">
        <f t="shared" si="165"/>
        <v>0.41354787278677518</v>
      </c>
      <c r="AJ87" s="752">
        <f t="shared" si="165"/>
        <v>0.44440474939581787</v>
      </c>
      <c r="AK87" s="751">
        <f t="shared" si="165"/>
        <v>0.35429352553746729</v>
      </c>
      <c r="AL87" s="198">
        <f t="shared" si="165"/>
        <v>0.38997424576894768</v>
      </c>
      <c r="AM87" s="198">
        <f t="shared" si="165"/>
        <v>0.18257372256274018</v>
      </c>
      <c r="AN87" s="752">
        <f t="shared" si="165"/>
        <v>8.8692312169004195E-2</v>
      </c>
      <c r="AO87" s="198">
        <f t="shared" si="165"/>
        <v>0.17214167737199482</v>
      </c>
      <c r="AP87" s="198">
        <f t="shared" si="165"/>
        <v>0.12456490954088872</v>
      </c>
      <c r="AQ87" s="198">
        <f t="shared" si="165"/>
        <v>0.16381160347878465</v>
      </c>
      <c r="AR87" s="752">
        <f t="shared" si="165"/>
        <v>0.2217084513818357</v>
      </c>
      <c r="AS87" s="751">
        <f t="shared" si="165"/>
        <v>0.1521511771367885</v>
      </c>
      <c r="AT87" s="198">
        <f t="shared" si="165"/>
        <v>0.13714645309002482</v>
      </c>
      <c r="AU87" s="198">
        <f t="shared" si="165"/>
        <v>0.13394641202261925</v>
      </c>
      <c r="AV87" s="752">
        <f t="shared" si="165"/>
        <v>0.19025566217247558</v>
      </c>
      <c r="AW87" s="751">
        <f t="shared" si="165"/>
        <v>0.15898897638401022</v>
      </c>
      <c r="AX87" s="198">
        <f t="shared" si="165"/>
        <v>0.140506987805876</v>
      </c>
      <c r="AY87" s="198">
        <f t="shared" si="165"/>
        <v>0.12560576115950628</v>
      </c>
      <c r="AZ87" s="752">
        <f t="shared" si="165"/>
        <v>0.11060800886728783</v>
      </c>
      <c r="BA87" s="751">
        <f t="shared" si="165"/>
        <v>0.1212549202573574</v>
      </c>
      <c r="BB87" s="198">
        <f t="shared" si="165"/>
        <v>0.11508621059951252</v>
      </c>
      <c r="BC87" s="198">
        <f t="shared" si="165"/>
        <v>0.10563060639873711</v>
      </c>
      <c r="BD87" s="752">
        <f t="shared" si="165"/>
        <v>9.943658008749745E-2</v>
      </c>
      <c r="BE87" s="2354"/>
      <c r="BF87" s="1235"/>
      <c r="BG87" s="1235"/>
      <c r="BH87" s="1235"/>
      <c r="BI87" s="1235"/>
      <c r="BJ87" s="1235"/>
      <c r="BK87" s="1235"/>
      <c r="BL87" s="78"/>
      <c r="BM87" s="1251"/>
      <c r="BN87" s="901"/>
      <c r="BO87" s="901">
        <f t="shared" ref="BO87:BT87" si="166">BO82-BN82</f>
        <v>70.754999999999995</v>
      </c>
      <c r="BP87" s="901">
        <f t="shared" si="166"/>
        <v>59.553999999999974</v>
      </c>
      <c r="BQ87" s="901">
        <f t="shared" si="166"/>
        <v>52.187000000000012</v>
      </c>
      <c r="BR87" s="901">
        <f t="shared" si="166"/>
        <v>55.072971812542846</v>
      </c>
      <c r="BS87" s="901">
        <f t="shared" si="166"/>
        <v>55.199695589492762</v>
      </c>
      <c r="BT87" s="901">
        <f t="shared" si="166"/>
        <v>51.680358477200002</v>
      </c>
      <c r="BU87" s="901">
        <f>BU82-BT82</f>
        <v>43</v>
      </c>
      <c r="BV87" s="901">
        <f>BV82-BU82</f>
        <v>38</v>
      </c>
      <c r="BW87" s="901">
        <f>BW82-BV82</f>
        <v>33</v>
      </c>
      <c r="BX87" s="901">
        <f>BX82-BW82</f>
        <v>28</v>
      </c>
      <c r="BY87" s="902">
        <f>BY82-BX82</f>
        <v>23</v>
      </c>
      <c r="BZ87" s="29"/>
      <c r="CA87" s="29"/>
      <c r="CB87" s="29"/>
      <c r="CC87" s="29"/>
      <c r="CD87" s="29"/>
      <c r="CE87" s="29"/>
      <c r="CF87" s="29"/>
    </row>
    <row r="88" spans="1:84" s="41" customFormat="1" ht="11.25" hidden="1" customHeight="1" outlineLevel="1">
      <c r="A88" s="29"/>
      <c r="B88" s="29"/>
      <c r="C88" s="29"/>
      <c r="D88" s="29"/>
      <c r="E88" s="29"/>
      <c r="F88" s="29"/>
      <c r="G88" s="29"/>
      <c r="H88" s="29"/>
      <c r="I88" s="1012" t="s">
        <v>377</v>
      </c>
      <c r="J88" s="2"/>
      <c r="K88" s="2"/>
      <c r="L88" s="2"/>
      <c r="M88" s="1235"/>
      <c r="N88" s="1235"/>
      <c r="O88" s="1235"/>
      <c r="P88" s="1235"/>
      <c r="Q88" s="1236"/>
      <c r="R88" s="1235"/>
      <c r="S88" s="1235"/>
      <c r="T88" s="1237"/>
      <c r="U88" s="1235"/>
      <c r="V88" s="1235"/>
      <c r="W88" s="1235"/>
      <c r="X88" s="1235"/>
      <c r="Y88" s="1236"/>
      <c r="Z88" s="1235"/>
      <c r="AA88" s="1235"/>
      <c r="AB88" s="1237"/>
      <c r="AC88" s="1259"/>
      <c r="AD88" s="1050"/>
      <c r="AE88" s="1050"/>
      <c r="AF88" s="1050"/>
      <c r="AG88" s="751">
        <f t="shared" ref="AG88:BD88" si="167">IF(ISERROR(AG82/AF82-1),"NA",(IF(AG82&lt;=0,"NM",AG82/AF82-1)))</f>
        <v>0.18375538510034684</v>
      </c>
      <c r="AH88" s="198">
        <f t="shared" si="167"/>
        <v>-3.4955351595093109E-2</v>
      </c>
      <c r="AI88" s="198">
        <f t="shared" si="167"/>
        <v>0.23953274466519492</v>
      </c>
      <c r="AJ88" s="752">
        <f t="shared" si="167"/>
        <v>2.0050162508719049E-2</v>
      </c>
      <c r="AK88" s="751">
        <f t="shared" si="167"/>
        <v>0.10990513879997676</v>
      </c>
      <c r="AL88" s="198">
        <f t="shared" si="167"/>
        <v>-9.5299268542066162E-3</v>
      </c>
      <c r="AM88" s="198">
        <f t="shared" si="167"/>
        <v>5.4579864741460149E-2</v>
      </c>
      <c r="AN88" s="752">
        <f t="shared" si="167"/>
        <v>-6.0928930888646149E-2</v>
      </c>
      <c r="AO88" s="198">
        <f t="shared" si="167"/>
        <v>0.19498048858715999</v>
      </c>
      <c r="AP88" s="198">
        <f t="shared" si="167"/>
        <v>-4.9732716007962585E-2</v>
      </c>
      <c r="AQ88" s="198">
        <f t="shared" si="167"/>
        <v>9.1384119287756915E-2</v>
      </c>
      <c r="AR88" s="752">
        <f t="shared" si="167"/>
        <v>-1.4212387853692054E-2</v>
      </c>
      <c r="AS88" s="751">
        <f t="shared" si="167"/>
        <v>0.12694495566756392</v>
      </c>
      <c r="AT88" s="198">
        <f t="shared" si="167"/>
        <v>-6.210826068466202E-2</v>
      </c>
      <c r="AU88" s="198">
        <f t="shared" si="167"/>
        <v>8.8312857892582253E-2</v>
      </c>
      <c r="AV88" s="752">
        <f t="shared" si="167"/>
        <v>3.4739626684600733E-2</v>
      </c>
      <c r="AW88" s="751">
        <f t="shared" si="167"/>
        <v>9.7341371370858409E-2</v>
      </c>
      <c r="AX88" s="198">
        <f t="shared" si="167"/>
        <v>-7.7064489576186057E-2</v>
      </c>
      <c r="AY88" s="198">
        <f t="shared" si="167"/>
        <v>7.4093570565974431E-2</v>
      </c>
      <c r="AZ88" s="752">
        <f t="shared" si="167"/>
        <v>2.095258939014677E-2</v>
      </c>
      <c r="BA88" s="751">
        <f t="shared" si="167"/>
        <v>0.10786110133171012</v>
      </c>
      <c r="BB88" s="198">
        <f t="shared" si="167"/>
        <v>-8.2142122765445635E-2</v>
      </c>
      <c r="BC88" s="198">
        <f t="shared" si="167"/>
        <v>6.4985571936514885E-2</v>
      </c>
      <c r="BD88" s="752">
        <f t="shared" si="167"/>
        <v>1.5232951054691357E-2</v>
      </c>
      <c r="BE88" s="2354"/>
      <c r="BF88" s="1235"/>
      <c r="BG88" s="1235"/>
      <c r="BH88" s="1235"/>
      <c r="BI88" s="1235"/>
      <c r="BJ88" s="1235"/>
      <c r="BK88" s="1235"/>
      <c r="BL88" s="78"/>
      <c r="BM88" s="1251"/>
      <c r="BN88" s="1251"/>
      <c r="BO88" s="1251"/>
      <c r="BP88" s="1251"/>
      <c r="BQ88" s="1251"/>
      <c r="BR88" s="1251"/>
      <c r="BS88" s="1251"/>
      <c r="BT88" s="1251"/>
      <c r="BU88" s="1251"/>
      <c r="BV88" s="1251"/>
      <c r="BW88" s="1251"/>
      <c r="BX88" s="1251"/>
      <c r="BY88" s="1258"/>
      <c r="BZ88" s="29"/>
      <c r="CA88" s="29"/>
      <c r="CB88" s="29"/>
      <c r="CC88" s="29"/>
      <c r="CD88" s="29"/>
      <c r="CE88" s="29"/>
      <c r="CF88" s="29"/>
    </row>
    <row r="89" spans="1:84" s="41" customFormat="1" ht="11.25" hidden="1" customHeight="1" outlineLevel="1">
      <c r="A89" s="29"/>
      <c r="B89" s="29"/>
      <c r="C89" s="29"/>
      <c r="D89" s="29"/>
      <c r="E89" s="29"/>
      <c r="F89" s="29"/>
      <c r="G89" s="29"/>
      <c r="H89" s="29"/>
      <c r="I89" s="1274" t="s">
        <v>389</v>
      </c>
      <c r="J89" s="2"/>
      <c r="K89" s="2"/>
      <c r="L89" s="2"/>
      <c r="M89" s="1235"/>
      <c r="N89" s="1235"/>
      <c r="O89" s="1235"/>
      <c r="P89" s="1235"/>
      <c r="Q89" s="1236"/>
      <c r="R89" s="1235"/>
      <c r="S89" s="1235"/>
      <c r="T89" s="1237"/>
      <c r="U89" s="1235"/>
      <c r="V89" s="1235"/>
      <c r="W89" s="1235"/>
      <c r="X89" s="1235"/>
      <c r="Y89" s="1236"/>
      <c r="Z89" s="1235"/>
      <c r="AA89" s="1235"/>
      <c r="AB89" s="1237"/>
      <c r="AC89" s="1259"/>
      <c r="AD89" s="1050"/>
      <c r="AE89" s="1050"/>
      <c r="AF89" s="1050"/>
      <c r="AG89" s="900">
        <f t="shared" ref="AG89:BD89" si="168">AG82-AC82</f>
        <v>17.604999999999997</v>
      </c>
      <c r="AH89" s="901">
        <f t="shared" si="168"/>
        <v>12.29</v>
      </c>
      <c r="AI89" s="901">
        <f t="shared" si="168"/>
        <v>19.713000000000001</v>
      </c>
      <c r="AJ89" s="902">
        <f t="shared" si="168"/>
        <v>21.146999999999998</v>
      </c>
      <c r="AK89" s="900">
        <f t="shared" si="168"/>
        <v>19.957000000000001</v>
      </c>
      <c r="AL89" s="901">
        <f t="shared" si="168"/>
        <v>21.198999999999998</v>
      </c>
      <c r="AM89" s="901">
        <f t="shared" si="168"/>
        <v>12.301999999999992</v>
      </c>
      <c r="AN89" s="902">
        <f t="shared" si="168"/>
        <v>6.0960000000000036</v>
      </c>
      <c r="AO89" s="901">
        <f t="shared" si="168"/>
        <v>13.132000000000005</v>
      </c>
      <c r="AP89" s="901">
        <f t="shared" si="168"/>
        <v>9.4120000000000061</v>
      </c>
      <c r="AQ89" s="901">
        <f t="shared" si="168"/>
        <v>13.052999999999997</v>
      </c>
      <c r="AR89" s="902">
        <f t="shared" si="168"/>
        <v>16.590000000000003</v>
      </c>
      <c r="AS89" s="900">
        <f t="shared" si="168"/>
        <v>13.605053957217351</v>
      </c>
      <c r="AT89" s="901">
        <f t="shared" si="168"/>
        <v>11.653471265512493</v>
      </c>
      <c r="AU89" s="901">
        <f t="shared" si="168"/>
        <v>12.42165446532961</v>
      </c>
      <c r="AV89" s="902">
        <f t="shared" si="168"/>
        <v>17.392792124483378</v>
      </c>
      <c r="AW89" s="900">
        <f t="shared" si="168"/>
        <v>16.379529892612638</v>
      </c>
      <c r="AX89" s="901">
        <f t="shared" si="168"/>
        <v>13.576413405852591</v>
      </c>
      <c r="AY89" s="901">
        <f t="shared" si="168"/>
        <v>13.208407230866086</v>
      </c>
      <c r="AZ89" s="902">
        <f t="shared" si="168"/>
        <v>12.035345060161461</v>
      </c>
      <c r="BA89" s="900">
        <f t="shared" si="168"/>
        <v>14.478150783233559</v>
      </c>
      <c r="BB89" s="901">
        <f t="shared" si="168"/>
        <v>12.682602221541316</v>
      </c>
      <c r="BC89" s="901">
        <f t="shared" si="168"/>
        <v>12.50307887399947</v>
      </c>
      <c r="BD89" s="902">
        <f t="shared" si="168"/>
        <v>12.016526598425628</v>
      </c>
      <c r="BE89" s="2354"/>
      <c r="BF89" s="1235"/>
      <c r="BG89" s="1235"/>
      <c r="BH89" s="1235"/>
      <c r="BI89" s="1235"/>
      <c r="BJ89" s="1235"/>
      <c r="BK89" s="1235"/>
      <c r="BL89" s="78"/>
      <c r="BM89" s="1251"/>
      <c r="BN89" s="1050"/>
      <c r="BO89" s="1247">
        <f t="shared" ref="BO89:BY89" si="169">(BO83-BN83)*10000</f>
        <v>95.035526169537917</v>
      </c>
      <c r="BP89" s="1247">
        <f t="shared" si="169"/>
        <v>-461.78520513435018</v>
      </c>
      <c r="BQ89" s="1247">
        <f t="shared" si="169"/>
        <v>-62.27426559331839</v>
      </c>
      <c r="BR89" s="1247">
        <f t="shared" si="169"/>
        <v>74.471650599743924</v>
      </c>
      <c r="BS89" s="1247">
        <f t="shared" si="169"/>
        <v>-109.14761571390818</v>
      </c>
      <c r="BT89" s="1247">
        <f t="shared" si="169"/>
        <v>-70.397419246504555</v>
      </c>
      <c r="BU89" s="1247">
        <f t="shared" si="169"/>
        <v>-105.70730686765285</v>
      </c>
      <c r="BV89" s="1247">
        <f t="shared" si="169"/>
        <v>-111.33252402686311</v>
      </c>
      <c r="BW89" s="1247">
        <f t="shared" si="169"/>
        <v>-113.90199556442049</v>
      </c>
      <c r="BX89" s="1247">
        <f t="shared" si="169"/>
        <v>-116.66128973105594</v>
      </c>
      <c r="BY89" s="2105">
        <f t="shared" si="169"/>
        <v>-121.44282091764214</v>
      </c>
      <c r="BZ89" s="29"/>
      <c r="CA89" s="29"/>
      <c r="CB89" s="29"/>
      <c r="CC89" s="29"/>
      <c r="CD89" s="29"/>
      <c r="CE89" s="29"/>
      <c r="CF89" s="29"/>
    </row>
    <row r="90" spans="1:84" s="41" customFormat="1" ht="11.25" hidden="1" customHeight="1" outlineLevel="1">
      <c r="A90" s="29"/>
      <c r="B90" s="29"/>
      <c r="C90" s="29"/>
      <c r="D90" s="29"/>
      <c r="E90" s="29"/>
      <c r="F90" s="29"/>
      <c r="G90" s="29"/>
      <c r="H90" s="29"/>
      <c r="I90" s="1274" t="s">
        <v>368</v>
      </c>
      <c r="J90" s="2"/>
      <c r="K90" s="2"/>
      <c r="L90" s="2"/>
      <c r="M90" s="1235"/>
      <c r="N90" s="1235"/>
      <c r="O90" s="1235"/>
      <c r="P90" s="1235"/>
      <c r="Q90" s="1236"/>
      <c r="R90" s="1235"/>
      <c r="S90" s="1235"/>
      <c r="T90" s="1237"/>
      <c r="U90" s="1235"/>
      <c r="V90" s="1235"/>
      <c r="W90" s="1235"/>
      <c r="X90" s="1235"/>
      <c r="Y90" s="1236"/>
      <c r="Z90" s="1235"/>
      <c r="AA90" s="1235"/>
      <c r="AB90" s="1237"/>
      <c r="AC90" s="1259"/>
      <c r="AD90" s="1050"/>
      <c r="AE90" s="1050"/>
      <c r="AF90" s="1050"/>
      <c r="AG90" s="900">
        <f t="shared" ref="AG90:BD90" si="170">AG82-AF82</f>
        <v>8.7439999999999998</v>
      </c>
      <c r="AH90" s="901">
        <f t="shared" si="170"/>
        <v>-1.9690000000000012</v>
      </c>
      <c r="AI90" s="901">
        <f t="shared" si="170"/>
        <v>13.021000000000001</v>
      </c>
      <c r="AJ90" s="902">
        <f t="shared" si="170"/>
        <v>1.3509999999999991</v>
      </c>
      <c r="AK90" s="900">
        <f t="shared" si="170"/>
        <v>7.554000000000002</v>
      </c>
      <c r="AL90" s="901">
        <f t="shared" si="170"/>
        <v>-0.72700000000000387</v>
      </c>
      <c r="AM90" s="901">
        <f t="shared" si="170"/>
        <v>4.1239999999999952</v>
      </c>
      <c r="AN90" s="902">
        <f t="shared" si="170"/>
        <v>-4.8549999999999898</v>
      </c>
      <c r="AO90" s="901">
        <f t="shared" si="170"/>
        <v>14.590000000000003</v>
      </c>
      <c r="AP90" s="901">
        <f t="shared" si="170"/>
        <v>-4.4470000000000027</v>
      </c>
      <c r="AQ90" s="901">
        <f t="shared" si="170"/>
        <v>7.7649999999999864</v>
      </c>
      <c r="AR90" s="902">
        <f t="shared" si="170"/>
        <v>-1.3179999999999836</v>
      </c>
      <c r="AS90" s="900">
        <f t="shared" si="170"/>
        <v>11.605053957217351</v>
      </c>
      <c r="AT90" s="901">
        <f t="shared" si="170"/>
        <v>-6.3985826917048598</v>
      </c>
      <c r="AU90" s="901">
        <f t="shared" si="170"/>
        <v>8.5331831998171026</v>
      </c>
      <c r="AV90" s="902">
        <f t="shared" si="170"/>
        <v>3.653137659153785</v>
      </c>
      <c r="AW90" s="900">
        <f t="shared" si="170"/>
        <v>10.59179172534661</v>
      </c>
      <c r="AX90" s="901">
        <f t="shared" si="170"/>
        <v>-9.2016991784649065</v>
      </c>
      <c r="AY90" s="901">
        <f t="shared" si="170"/>
        <v>8.1651770248305979</v>
      </c>
      <c r="AZ90" s="902">
        <f t="shared" si="170"/>
        <v>2.4800754884491596</v>
      </c>
      <c r="BA90" s="900">
        <f t="shared" si="170"/>
        <v>13.034597448418708</v>
      </c>
      <c r="BB90" s="901">
        <f t="shared" si="170"/>
        <v>-10.99724774015715</v>
      </c>
      <c r="BC90" s="901">
        <f t="shared" si="170"/>
        <v>7.9856536772887523</v>
      </c>
      <c r="BD90" s="902">
        <f t="shared" si="170"/>
        <v>1.9935232128753171</v>
      </c>
      <c r="BE90" s="2354"/>
      <c r="BF90" s="1235"/>
      <c r="BG90" s="1235"/>
      <c r="BH90" s="1235"/>
      <c r="BI90" s="1235"/>
      <c r="BJ90" s="1235"/>
      <c r="BK90" s="1235"/>
      <c r="BL90" s="78"/>
      <c r="BM90" s="1251"/>
      <c r="BN90" s="1251"/>
      <c r="BO90" s="1251"/>
      <c r="BP90" s="1251"/>
      <c r="BQ90" s="1262"/>
      <c r="BR90" s="1262"/>
      <c r="BS90" s="1262"/>
      <c r="BT90" s="1262"/>
      <c r="BU90" s="1262"/>
      <c r="BV90" s="1262"/>
      <c r="BW90" s="1262"/>
      <c r="BX90" s="1262"/>
      <c r="BY90" s="1273"/>
      <c r="BZ90" s="29"/>
      <c r="CA90" s="29"/>
      <c r="CB90" s="29"/>
      <c r="CC90" s="29"/>
      <c r="CD90" s="29"/>
      <c r="CE90" s="29"/>
      <c r="CF90" s="29"/>
    </row>
    <row r="91" spans="1:84" s="41" customFormat="1" ht="11.25" customHeight="1" collapsed="1">
      <c r="A91" s="29"/>
      <c r="B91" s="29"/>
      <c r="C91" s="29"/>
      <c r="D91" s="29"/>
      <c r="E91" s="29"/>
      <c r="F91" s="29"/>
      <c r="G91" s="29"/>
      <c r="H91" s="29"/>
      <c r="I91" s="796"/>
      <c r="J91" s="2"/>
      <c r="K91" s="2"/>
      <c r="L91" s="2"/>
      <c r="M91" s="1235"/>
      <c r="N91" s="1235"/>
      <c r="O91" s="1235"/>
      <c r="P91" s="1235"/>
      <c r="Q91" s="1236"/>
      <c r="R91" s="1235"/>
      <c r="S91" s="1235"/>
      <c r="T91" s="1237"/>
      <c r="U91" s="1235"/>
      <c r="V91" s="1235"/>
      <c r="W91" s="1235"/>
      <c r="X91" s="1235"/>
      <c r="Y91" s="1236"/>
      <c r="Z91" s="1235"/>
      <c r="AA91" s="1235"/>
      <c r="AB91" s="1237"/>
      <c r="AC91" s="1259"/>
      <c r="AD91" s="1050"/>
      <c r="AE91" s="1050"/>
      <c r="AF91" s="1050"/>
      <c r="AG91" s="1049"/>
      <c r="AH91" s="1050"/>
      <c r="AI91" s="1050"/>
      <c r="AJ91" s="1050"/>
      <c r="AK91" s="1049"/>
      <c r="AL91" s="1050"/>
      <c r="AM91" s="1050"/>
      <c r="AN91" s="1051"/>
      <c r="AO91" s="1050"/>
      <c r="AP91" s="1050"/>
      <c r="AQ91" s="1050"/>
      <c r="AR91" s="1051"/>
      <c r="AS91" s="1049"/>
      <c r="AT91" s="1050"/>
      <c r="AU91" s="1050"/>
      <c r="AV91" s="1051"/>
      <c r="AW91" s="1049"/>
      <c r="AX91" s="1050"/>
      <c r="AY91" s="1050"/>
      <c r="AZ91" s="1051"/>
      <c r="BA91" s="1049"/>
      <c r="BB91" s="1050"/>
      <c r="BC91" s="1050"/>
      <c r="BD91" s="1051"/>
      <c r="BE91" s="2354"/>
      <c r="BF91" s="1235"/>
      <c r="BG91" s="1235"/>
      <c r="BH91" s="1235"/>
      <c r="BI91" s="1235"/>
      <c r="BJ91" s="1235"/>
      <c r="BK91" s="1235"/>
      <c r="BL91" s="78"/>
      <c r="BM91" s="1251"/>
      <c r="BN91" s="1251"/>
      <c r="BO91" s="2158"/>
      <c r="BP91" s="2158"/>
      <c r="BQ91" s="2158"/>
      <c r="BR91" s="1262"/>
      <c r="BS91" s="1262"/>
      <c r="BT91" s="1262"/>
      <c r="BU91" s="1262"/>
      <c r="BV91" s="1262"/>
      <c r="BW91" s="1262"/>
      <c r="BX91" s="1262"/>
      <c r="BY91" s="1273"/>
      <c r="BZ91" s="29"/>
      <c r="CA91" s="29"/>
      <c r="CB91" s="29"/>
      <c r="CC91" s="29"/>
      <c r="CD91" s="29"/>
      <c r="CE91" s="29"/>
      <c r="CF91" s="29"/>
    </row>
    <row r="92" spans="1:84" s="41" customFormat="1" ht="11.25" customHeight="1">
      <c r="A92" s="29"/>
      <c r="B92" s="29"/>
      <c r="C92" s="29"/>
      <c r="D92" s="29"/>
      <c r="E92" s="29"/>
      <c r="F92" s="29"/>
      <c r="G92" s="29"/>
      <c r="H92" s="29"/>
      <c r="I92" s="772" t="s">
        <v>536</v>
      </c>
      <c r="J92" s="2"/>
      <c r="K92" s="2"/>
      <c r="L92" s="2"/>
      <c r="M92" s="1235"/>
      <c r="N92" s="1235"/>
      <c r="O92" s="1235"/>
      <c r="P92" s="1235"/>
      <c r="Q92" s="1931">
        <f t="shared" ref="Q92:AP92" si="171">Q205</f>
        <v>11.271000000000001</v>
      </c>
      <c r="R92" s="1931">
        <f t="shared" si="171"/>
        <v>12.347</v>
      </c>
      <c r="S92" s="1931">
        <f t="shared" si="171"/>
        <v>14.897</v>
      </c>
      <c r="T92" s="1931">
        <f t="shared" si="171"/>
        <v>16.024000000000001</v>
      </c>
      <c r="U92" s="1931">
        <f t="shared" si="171"/>
        <v>18.77</v>
      </c>
      <c r="V92" s="1931">
        <f t="shared" si="171"/>
        <v>20.332999999999998</v>
      </c>
      <c r="W92" s="1931">
        <f t="shared" si="171"/>
        <v>21.302</v>
      </c>
      <c r="X92" s="1931">
        <f t="shared" si="171"/>
        <v>25.510999999999999</v>
      </c>
      <c r="Y92" s="1931">
        <f t="shared" si="171"/>
        <v>28.193999999999999</v>
      </c>
      <c r="Z92" s="1931">
        <f t="shared" si="171"/>
        <v>30.803000000000001</v>
      </c>
      <c r="AA92" s="1931">
        <f t="shared" si="171"/>
        <v>34.125999999999998</v>
      </c>
      <c r="AB92" s="1931">
        <f t="shared" si="171"/>
        <v>38.847000000000001</v>
      </c>
      <c r="AC92" s="1931">
        <f t="shared" si="171"/>
        <v>45.121000000000002</v>
      </c>
      <c r="AD92" s="1931">
        <f t="shared" si="171"/>
        <v>47.798000000000002</v>
      </c>
      <c r="AE92" s="1931">
        <f t="shared" si="171"/>
        <v>54.551000000000002</v>
      </c>
      <c r="AF92" s="1931">
        <f t="shared" si="171"/>
        <v>53.58</v>
      </c>
      <c r="AG92" s="2209">
        <f t="shared" si="171"/>
        <v>63.265999999999998</v>
      </c>
      <c r="AH92" s="1931">
        <f t="shared" si="171"/>
        <v>68.013999999999996</v>
      </c>
      <c r="AI92" s="1931">
        <f t="shared" si="171"/>
        <v>82.948999999999998</v>
      </c>
      <c r="AJ92" s="1931">
        <f t="shared" si="171"/>
        <v>87.534999999999997</v>
      </c>
      <c r="AK92" s="2209">
        <f t="shared" si="171"/>
        <v>95.628</v>
      </c>
      <c r="AL92" s="1931">
        <f t="shared" si="171"/>
        <v>94.402000000000001</v>
      </c>
      <c r="AM92" s="1931">
        <f t="shared" si="171"/>
        <v>99.274000000000001</v>
      </c>
      <c r="AN92" s="2211">
        <f t="shared" si="171"/>
        <v>93.55</v>
      </c>
      <c r="AO92" s="1931">
        <f>AO205</f>
        <v>109.286</v>
      </c>
      <c r="AP92" s="1931">
        <f t="shared" si="171"/>
        <v>105.232</v>
      </c>
      <c r="AQ92" s="1931">
        <f t="shared" ref="AQ92:AR92" si="172">AQ205</f>
        <v>113.041</v>
      </c>
      <c r="AR92" s="2211">
        <f t="shared" si="172"/>
        <v>111.084</v>
      </c>
      <c r="AS92" s="1931">
        <f t="shared" ref="AS92:BD92" si="173">AS205</f>
        <v>124.04598025312006</v>
      </c>
      <c r="AT92" s="1931">
        <f t="shared" si="173"/>
        <v>117.94494983441083</v>
      </c>
      <c r="AU92" s="1931">
        <f t="shared" si="173"/>
        <v>126.79398551976342</v>
      </c>
      <c r="AV92" s="2211">
        <f t="shared" si="173"/>
        <v>130.80999212448339</v>
      </c>
      <c r="AW92" s="2209">
        <f t="shared" si="173"/>
        <v>145.26826130124104</v>
      </c>
      <c r="AX92" s="1931">
        <f t="shared" si="173"/>
        <v>136.39982066853122</v>
      </c>
      <c r="AY92" s="1931">
        <f t="shared" si="173"/>
        <v>144.91875247716155</v>
      </c>
      <c r="AZ92" s="1931">
        <f t="shared" si="173"/>
        <v>147.80524118464484</v>
      </c>
      <c r="BA92" s="2209">
        <f t="shared" si="173"/>
        <v>163.5329798296157</v>
      </c>
      <c r="BB92" s="1931">
        <f t="shared" si="173"/>
        <v>152.90231648978914</v>
      </c>
      <c r="BC92" s="1931">
        <f t="shared" si="173"/>
        <v>161.27710042925762</v>
      </c>
      <c r="BD92" s="2211">
        <f t="shared" si="173"/>
        <v>163.71767818307046</v>
      </c>
      <c r="BE92" s="2354"/>
      <c r="BF92" s="1251"/>
      <c r="BG92" s="1251"/>
      <c r="BH92" s="1251"/>
      <c r="BI92" s="1251"/>
      <c r="BJ92" s="1251"/>
      <c r="BK92" s="1251">
        <f>BK205</f>
        <v>54.539000000000001</v>
      </c>
      <c r="BL92" s="1251">
        <f>BL205</f>
        <v>85.915999999999997</v>
      </c>
      <c r="BM92" s="1251">
        <f t="shared" ref="BM92:BY92" si="174">BM205</f>
        <v>131.97</v>
      </c>
      <c r="BN92" s="1931">
        <f t="shared" si="174"/>
        <v>201.05</v>
      </c>
      <c r="BO92" s="1931">
        <f t="shared" si="174"/>
        <v>301.76400000000001</v>
      </c>
      <c r="BP92" s="1931">
        <f t="shared" si="174"/>
        <v>382.85399999999998</v>
      </c>
      <c r="BQ92" s="1931">
        <f t="shared" si="174"/>
        <v>438.64299999999997</v>
      </c>
      <c r="BR92" s="1931">
        <f t="shared" si="174"/>
        <v>499.59490773177777</v>
      </c>
      <c r="BS92" s="1931">
        <f t="shared" si="174"/>
        <v>574.39207563157868</v>
      </c>
      <c r="BT92" s="1931">
        <f t="shared" si="174"/>
        <v>641.43007493173297</v>
      </c>
      <c r="BU92" s="1931">
        <f t="shared" si="174"/>
        <v>699.01545836540777</v>
      </c>
      <c r="BV92" s="1931">
        <f t="shared" si="174"/>
        <v>750.99142998971638</v>
      </c>
      <c r="BW92" s="1931">
        <f t="shared" si="174"/>
        <v>798.06620019524041</v>
      </c>
      <c r="BX92" s="1931">
        <f t="shared" si="174"/>
        <v>840.24470891104068</v>
      </c>
      <c r="BY92" s="2211">
        <f t="shared" si="174"/>
        <v>877.53214306263089</v>
      </c>
      <c r="BZ92" s="29"/>
      <c r="CA92" s="29"/>
      <c r="CB92" s="29"/>
      <c r="CC92" s="29"/>
      <c r="CD92" s="29"/>
      <c r="CE92" s="29"/>
      <c r="CF92" s="29"/>
    </row>
    <row r="93" spans="1:84" s="41" customFormat="1" ht="11.25" customHeight="1">
      <c r="A93" s="29"/>
      <c r="B93" s="29"/>
      <c r="C93" s="29"/>
      <c r="D93" s="29"/>
      <c r="E93" s="29"/>
      <c r="F93" s="29"/>
      <c r="G93" s="29"/>
      <c r="H93" s="29"/>
      <c r="I93" s="1911" t="s">
        <v>522</v>
      </c>
      <c r="J93" s="2"/>
      <c r="K93" s="2"/>
      <c r="L93" s="2"/>
      <c r="M93" s="1235"/>
      <c r="N93" s="1235"/>
      <c r="O93" s="1235"/>
      <c r="P93" s="1235"/>
      <c r="Q93" s="1236"/>
      <c r="R93" s="1235"/>
      <c r="S93" s="1235"/>
      <c r="T93" s="1237"/>
      <c r="U93" s="1913">
        <f t="shared" ref="U93:AR93" si="175">+U92-Q92</f>
        <v>7.4989999999999988</v>
      </c>
      <c r="V93" s="1913">
        <f t="shared" si="175"/>
        <v>7.9859999999999989</v>
      </c>
      <c r="W93" s="1913">
        <f t="shared" si="175"/>
        <v>6.4049999999999994</v>
      </c>
      <c r="X93" s="1913">
        <f t="shared" si="175"/>
        <v>9.4869999999999983</v>
      </c>
      <c r="Y93" s="1913">
        <f t="shared" si="175"/>
        <v>9.4239999999999995</v>
      </c>
      <c r="Z93" s="1913">
        <f t="shared" si="175"/>
        <v>10.470000000000002</v>
      </c>
      <c r="AA93" s="1913">
        <f t="shared" si="175"/>
        <v>12.823999999999998</v>
      </c>
      <c r="AB93" s="1913">
        <f t="shared" si="175"/>
        <v>13.336000000000002</v>
      </c>
      <c r="AC93" s="1913">
        <f t="shared" si="175"/>
        <v>16.927000000000003</v>
      </c>
      <c r="AD93" s="1913">
        <f t="shared" si="175"/>
        <v>16.995000000000001</v>
      </c>
      <c r="AE93" s="1913">
        <f t="shared" si="175"/>
        <v>20.425000000000004</v>
      </c>
      <c r="AF93" s="1913">
        <f t="shared" si="175"/>
        <v>14.732999999999997</v>
      </c>
      <c r="AG93" s="2210">
        <f t="shared" si="175"/>
        <v>18.144999999999996</v>
      </c>
      <c r="AH93" s="1913">
        <f t="shared" si="175"/>
        <v>20.215999999999994</v>
      </c>
      <c r="AI93" s="1913">
        <f t="shared" si="175"/>
        <v>28.397999999999996</v>
      </c>
      <c r="AJ93" s="1913">
        <f t="shared" si="175"/>
        <v>33.954999999999998</v>
      </c>
      <c r="AK93" s="2210">
        <f t="shared" si="175"/>
        <v>32.362000000000002</v>
      </c>
      <c r="AL93" s="1913">
        <f t="shared" si="175"/>
        <v>26.388000000000005</v>
      </c>
      <c r="AM93" s="1913">
        <f t="shared" si="175"/>
        <v>16.325000000000003</v>
      </c>
      <c r="AN93" s="2212">
        <f t="shared" si="175"/>
        <v>6.0150000000000006</v>
      </c>
      <c r="AO93" s="1913">
        <f t="shared" si="175"/>
        <v>13.658000000000001</v>
      </c>
      <c r="AP93" s="1913">
        <f t="shared" si="175"/>
        <v>10.829999999999998</v>
      </c>
      <c r="AQ93" s="1913">
        <f t="shared" si="175"/>
        <v>13.766999999999996</v>
      </c>
      <c r="AR93" s="2212">
        <f t="shared" si="175"/>
        <v>17.534000000000006</v>
      </c>
      <c r="AS93" s="1913">
        <f t="shared" ref="AS93:BD93" si="176">+AS92-AO92</f>
        <v>14.759980253120062</v>
      </c>
      <c r="AT93" s="1913">
        <f t="shared" si="176"/>
        <v>12.712949834410836</v>
      </c>
      <c r="AU93" s="1913">
        <f t="shared" si="176"/>
        <v>13.752985519763428</v>
      </c>
      <c r="AV93" s="2212">
        <f t="shared" si="176"/>
        <v>19.725992124483383</v>
      </c>
      <c r="AW93" s="2210">
        <f t="shared" si="176"/>
        <v>21.222281048120976</v>
      </c>
      <c r="AX93" s="1913">
        <f t="shared" si="176"/>
        <v>18.454870834120385</v>
      </c>
      <c r="AY93" s="1913">
        <f t="shared" si="176"/>
        <v>18.124766957398123</v>
      </c>
      <c r="AZ93" s="1913">
        <f t="shared" si="176"/>
        <v>16.995249060161456</v>
      </c>
      <c r="BA93" s="2210">
        <f t="shared" si="176"/>
        <v>18.264718528374658</v>
      </c>
      <c r="BB93" s="1913">
        <f t="shared" si="176"/>
        <v>16.502495821257924</v>
      </c>
      <c r="BC93" s="1913">
        <f t="shared" si="176"/>
        <v>16.358347952096068</v>
      </c>
      <c r="BD93" s="2212">
        <f t="shared" si="176"/>
        <v>15.912436998425619</v>
      </c>
      <c r="BE93" s="2354"/>
      <c r="BF93" s="1251"/>
      <c r="BG93" s="1251"/>
      <c r="BH93" s="1251"/>
      <c r="BI93" s="1251"/>
      <c r="BJ93" s="1251"/>
      <c r="BK93" s="1251"/>
      <c r="BL93" s="1913">
        <f t="shared" ref="BL93:BY93" si="177">+BL92-BK92</f>
        <v>31.376999999999995</v>
      </c>
      <c r="BM93" s="1913">
        <f t="shared" si="177"/>
        <v>46.054000000000002</v>
      </c>
      <c r="BN93" s="1913">
        <f t="shared" si="177"/>
        <v>69.080000000000013</v>
      </c>
      <c r="BO93" s="1913">
        <f t="shared" si="177"/>
        <v>100.714</v>
      </c>
      <c r="BP93" s="1913">
        <f t="shared" si="177"/>
        <v>81.089999999999975</v>
      </c>
      <c r="BQ93" s="1913">
        <f t="shared" si="177"/>
        <v>55.788999999999987</v>
      </c>
      <c r="BR93" s="1913">
        <f t="shared" si="177"/>
        <v>60.951907731777794</v>
      </c>
      <c r="BS93" s="1913">
        <f t="shared" si="177"/>
        <v>74.797167899800911</v>
      </c>
      <c r="BT93" s="1913">
        <f t="shared" si="177"/>
        <v>67.037999300154297</v>
      </c>
      <c r="BU93" s="1913">
        <f t="shared" si="177"/>
        <v>57.585383433674792</v>
      </c>
      <c r="BV93" s="1913">
        <f t="shared" si="177"/>
        <v>51.975971624308613</v>
      </c>
      <c r="BW93" s="1913">
        <f t="shared" si="177"/>
        <v>47.074770205524032</v>
      </c>
      <c r="BX93" s="1913">
        <f t="shared" si="177"/>
        <v>42.178508715800263</v>
      </c>
      <c r="BY93" s="2212">
        <f t="shared" si="177"/>
        <v>37.287434151590219</v>
      </c>
      <c r="BZ93" s="29"/>
      <c r="CA93" s="29"/>
      <c r="CB93" s="29"/>
      <c r="CC93" s="29"/>
      <c r="CD93" s="29"/>
      <c r="CE93" s="29"/>
      <c r="CF93" s="29"/>
    </row>
    <row r="94" spans="1:84" s="41" customFormat="1" ht="11.25" customHeight="1">
      <c r="A94" s="29"/>
      <c r="B94" s="29"/>
      <c r="C94" s="29"/>
      <c r="D94" s="29"/>
      <c r="E94" s="29"/>
      <c r="F94" s="29"/>
      <c r="G94" s="29"/>
      <c r="H94" s="29"/>
      <c r="I94" s="1911"/>
      <c r="J94" s="2"/>
      <c r="K94" s="2"/>
      <c r="L94" s="2"/>
      <c r="M94" s="1235"/>
      <c r="N94" s="1235"/>
      <c r="O94" s="1235"/>
      <c r="P94" s="1235"/>
      <c r="Q94" s="1236"/>
      <c r="R94" s="1235"/>
      <c r="S94" s="1235"/>
      <c r="T94" s="1237"/>
      <c r="U94" s="1913"/>
      <c r="V94" s="1913"/>
      <c r="W94" s="1913"/>
      <c r="X94" s="1913"/>
      <c r="Y94" s="1913"/>
      <c r="Z94" s="1913"/>
      <c r="AA94" s="1913"/>
      <c r="AB94" s="1913"/>
      <c r="AC94" s="1913"/>
      <c r="AD94" s="1913"/>
      <c r="AE94" s="1913"/>
      <c r="AF94" s="1913"/>
      <c r="AG94" s="2210"/>
      <c r="AH94" s="1913"/>
      <c r="AI94" s="1913"/>
      <c r="AJ94" s="2212"/>
      <c r="AK94" s="2210"/>
      <c r="AL94" s="1913"/>
      <c r="AM94" s="1913"/>
      <c r="AN94" s="2212"/>
      <c r="AO94" s="1913"/>
      <c r="AP94" s="1913"/>
      <c r="AQ94" s="1913"/>
      <c r="AR94" s="2212"/>
      <c r="AS94" s="1913"/>
      <c r="AT94" s="1913"/>
      <c r="AU94" s="1913"/>
      <c r="AV94" s="2212"/>
      <c r="AW94" s="2210"/>
      <c r="AX94" s="1913"/>
      <c r="AY94" s="1913"/>
      <c r="AZ94" s="1913"/>
      <c r="BA94" s="2210"/>
      <c r="BB94" s="1913"/>
      <c r="BC94" s="1913"/>
      <c r="BD94" s="2212"/>
      <c r="BE94" s="2354"/>
      <c r="BF94" s="1251"/>
      <c r="BG94" s="1251"/>
      <c r="BH94" s="1251"/>
      <c r="BI94" s="1251"/>
      <c r="BJ94" s="1251"/>
      <c r="BK94" s="1251"/>
      <c r="BL94" s="1913"/>
      <c r="BM94" s="1913"/>
      <c r="BN94" s="1913"/>
      <c r="BO94" s="1913"/>
      <c r="BP94" s="1913"/>
      <c r="BQ94" s="1913"/>
      <c r="BR94" s="1913"/>
      <c r="BS94" s="1913"/>
      <c r="BT94" s="1913"/>
      <c r="BU94" s="1913"/>
      <c r="BV94" s="1913"/>
      <c r="BW94" s="1913"/>
      <c r="BX94" s="1913"/>
      <c r="BY94" s="2212"/>
      <c r="BZ94" s="29"/>
      <c r="CA94" s="29"/>
      <c r="CB94" s="29"/>
      <c r="CC94" s="29"/>
      <c r="CD94" s="29"/>
      <c r="CE94" s="29"/>
      <c r="CF94" s="29"/>
    </row>
    <row r="95" spans="1:84" s="41" customFormat="1" ht="11.25" customHeight="1">
      <c r="A95" s="29"/>
      <c r="B95" s="29"/>
      <c r="C95" s="29"/>
      <c r="D95" s="29"/>
      <c r="E95" s="29"/>
      <c r="F95" s="29"/>
      <c r="G95" s="29"/>
      <c r="H95" s="29"/>
      <c r="I95" s="1914" t="s">
        <v>529</v>
      </c>
      <c r="J95" s="2"/>
      <c r="K95" s="2"/>
      <c r="L95" s="2"/>
      <c r="M95" s="1235"/>
      <c r="N95" s="1235"/>
      <c r="O95" s="1235"/>
      <c r="P95" s="1235"/>
      <c r="Q95" s="1236"/>
      <c r="R95" s="1235"/>
      <c r="S95" s="1235"/>
      <c r="T95" s="1237"/>
      <c r="U95" s="1235"/>
      <c r="V95" s="1235"/>
      <c r="W95" s="1235"/>
      <c r="X95" s="1235"/>
      <c r="Y95" s="1236"/>
      <c r="Z95" s="1235"/>
      <c r="AA95" s="1235"/>
      <c r="AB95" s="1237"/>
      <c r="AC95" s="1259"/>
      <c r="AD95" s="1050"/>
      <c r="AE95" s="1050"/>
      <c r="AF95" s="1050"/>
      <c r="AG95" s="1049"/>
      <c r="AH95" s="1050"/>
      <c r="AI95" s="1050"/>
      <c r="AJ95" s="1051"/>
      <c r="AK95" s="1049"/>
      <c r="AL95" s="1050"/>
      <c r="AM95" s="1050"/>
      <c r="AN95" s="1051"/>
      <c r="AO95" s="1050"/>
      <c r="AP95" s="1050"/>
      <c r="AQ95" s="1050"/>
      <c r="AR95" s="1051"/>
      <c r="AS95" s="1049"/>
      <c r="AT95" s="1050"/>
      <c r="AU95" s="1050"/>
      <c r="AV95" s="1051"/>
      <c r="AW95" s="1049"/>
      <c r="AX95" s="1050"/>
      <c r="AY95" s="1050"/>
      <c r="AZ95" s="1051"/>
      <c r="BA95" s="1049"/>
      <c r="BB95" s="1050"/>
      <c r="BC95" s="1050"/>
      <c r="BD95" s="1051"/>
      <c r="BE95" s="2354"/>
      <c r="BF95" s="1251"/>
      <c r="BG95" s="1251"/>
      <c r="BH95" s="1251"/>
      <c r="BI95" s="1251"/>
      <c r="BJ95" s="1251"/>
      <c r="BK95" s="1251"/>
      <c r="BL95" s="1251"/>
      <c r="BM95" s="1251"/>
      <c r="BN95" s="1251"/>
      <c r="BO95" s="1251"/>
      <c r="BP95" s="1251"/>
      <c r="BQ95" s="1251"/>
      <c r="BR95" s="1251"/>
      <c r="BS95" s="1251"/>
      <c r="BT95" s="1251"/>
      <c r="BU95" s="1251"/>
      <c r="BV95" s="1251"/>
      <c r="BW95" s="1251"/>
      <c r="BX95" s="1251"/>
      <c r="BY95" s="1258"/>
      <c r="BZ95" s="29"/>
      <c r="CA95" s="29"/>
      <c r="CB95" s="29"/>
      <c r="CC95" s="29"/>
      <c r="CD95" s="29"/>
      <c r="CE95" s="29"/>
      <c r="CF95" s="29"/>
    </row>
    <row r="96" spans="1:84" s="41" customFormat="1" ht="11.25" hidden="1" customHeight="1" outlineLevel="1">
      <c r="A96" s="29"/>
      <c r="B96" s="29"/>
      <c r="C96" s="29"/>
      <c r="D96" s="29"/>
      <c r="E96" s="29"/>
      <c r="F96" s="29"/>
      <c r="G96" s="29"/>
      <c r="H96" s="29"/>
      <c r="I96" s="1274" t="s">
        <v>534</v>
      </c>
      <c r="J96" s="2"/>
      <c r="K96" s="2"/>
      <c r="L96" s="2"/>
      <c r="M96" s="1235"/>
      <c r="N96" s="1235"/>
      <c r="O96" s="1235"/>
      <c r="P96" s="1235"/>
      <c r="Q96" s="1236"/>
      <c r="R96" s="1235"/>
      <c r="S96" s="1235"/>
      <c r="T96" s="1237"/>
      <c r="U96" s="1235"/>
      <c r="V96" s="1235"/>
      <c r="W96" s="1235"/>
      <c r="X96" s="1235"/>
      <c r="Y96" s="1236"/>
      <c r="Z96" s="1235"/>
      <c r="AA96" s="1235"/>
      <c r="AB96" s="1237"/>
      <c r="AC96" s="1259"/>
      <c r="AD96" s="1050"/>
      <c r="AE96" s="1050"/>
      <c r="AF96" s="1050"/>
      <c r="AG96" s="900">
        <f>10-AG100</f>
        <v>8.5</v>
      </c>
      <c r="AH96" s="901">
        <f>9.6-AH100</f>
        <v>7.6999999999999993</v>
      </c>
      <c r="AI96" s="901">
        <f>10.6-AI100</f>
        <v>8.9</v>
      </c>
      <c r="AJ96" s="902">
        <f>$BO96-SUM(AG96:AI96)</f>
        <v>25.1</v>
      </c>
      <c r="AK96" s="900">
        <f>15.6-AK100</f>
        <v>14.2</v>
      </c>
      <c r="AL96" s="901">
        <f>14.2-AL100</f>
        <v>13</v>
      </c>
      <c r="AM96" s="1948">
        <f>11.5-AM100</f>
        <v>9.9</v>
      </c>
      <c r="AN96" s="902">
        <f>$BP96-SUM(AK96:AM96)</f>
        <v>6.2999999999999972</v>
      </c>
      <c r="AO96" s="900">
        <f>9.9-AO100</f>
        <v>9.4</v>
      </c>
      <c r="AP96" s="901">
        <v>9.3000000000000007</v>
      </c>
      <c r="AQ96" s="901">
        <v>11.2</v>
      </c>
      <c r="AR96" s="2903"/>
      <c r="AS96" s="1049"/>
      <c r="AT96" s="1050"/>
      <c r="AU96" s="1050"/>
      <c r="AV96" s="1051"/>
      <c r="AW96" s="1049"/>
      <c r="AX96" s="1050"/>
      <c r="AY96" s="1050"/>
      <c r="AZ96" s="1051"/>
      <c r="BA96" s="1049"/>
      <c r="BB96" s="1050"/>
      <c r="BC96" s="1050"/>
      <c r="BD96" s="1051"/>
      <c r="BE96" s="2354"/>
      <c r="BF96" s="1235"/>
      <c r="BG96" s="1235"/>
      <c r="BH96" s="1235"/>
      <c r="BI96" s="1235"/>
      <c r="BJ96" s="1235"/>
      <c r="BK96" s="1235"/>
      <c r="BL96" s="1743">
        <f>23.3-BL100</f>
        <v>20</v>
      </c>
      <c r="BM96" s="1743">
        <f>30.2-BM100</f>
        <v>25</v>
      </c>
      <c r="BN96" s="1743">
        <f>42.9-BN100</f>
        <v>37.9</v>
      </c>
      <c r="BO96" s="1743">
        <f>57.1-BO100</f>
        <v>50.2</v>
      </c>
      <c r="BP96" s="1743">
        <f>48.5-BP100</f>
        <v>43.4</v>
      </c>
      <c r="BQ96" s="1951">
        <v>50</v>
      </c>
      <c r="BR96" s="1951">
        <v>40</v>
      </c>
      <c r="BS96" s="1951">
        <v>35</v>
      </c>
      <c r="BT96" s="1951">
        <v>25</v>
      </c>
      <c r="BU96" s="1951">
        <v>20</v>
      </c>
      <c r="BV96" s="1951">
        <v>18</v>
      </c>
      <c r="BW96" s="1951">
        <v>15</v>
      </c>
      <c r="BX96" s="1951">
        <v>13</v>
      </c>
      <c r="BY96" s="2218">
        <v>9</v>
      </c>
      <c r="BZ96" s="29"/>
      <c r="CA96" s="29"/>
      <c r="CB96" s="29"/>
      <c r="CC96" s="29"/>
      <c r="CD96" s="29"/>
      <c r="CE96" s="29"/>
      <c r="CF96" s="29"/>
    </row>
    <row r="97" spans="1:84" s="41" customFormat="1" ht="11.25" hidden="1" customHeight="1" outlineLevel="1">
      <c r="A97" s="29"/>
      <c r="B97" s="29"/>
      <c r="C97" s="29"/>
      <c r="D97" s="29"/>
      <c r="E97" s="29"/>
      <c r="F97" s="29"/>
      <c r="G97" s="29"/>
      <c r="H97" s="29"/>
      <c r="I97" s="1274" t="s">
        <v>526</v>
      </c>
      <c r="J97" s="2"/>
      <c r="K97" s="2"/>
      <c r="L97" s="2"/>
      <c r="M97" s="1235"/>
      <c r="N97" s="1235"/>
      <c r="O97" s="1235"/>
      <c r="P97" s="1235"/>
      <c r="Q97" s="1236"/>
      <c r="R97" s="1235"/>
      <c r="S97" s="1235"/>
      <c r="T97" s="1237"/>
      <c r="U97" s="1235"/>
      <c r="V97" s="1235"/>
      <c r="W97" s="1235"/>
      <c r="X97" s="1235"/>
      <c r="Y97" s="1236"/>
      <c r="Z97" s="1235"/>
      <c r="AA97" s="1235"/>
      <c r="AB97" s="1237"/>
      <c r="AC97" s="1259"/>
      <c r="AD97" s="1050"/>
      <c r="AE97" s="1050"/>
      <c r="AF97" s="1050"/>
      <c r="AG97" s="2336">
        <v>-0.2</v>
      </c>
      <c r="AH97" s="2337">
        <v>0.1</v>
      </c>
      <c r="AI97" s="2337">
        <v>0.1</v>
      </c>
      <c r="AJ97" s="2353">
        <f t="shared" ref="AJ97:AJ102" si="178">$BO97-SUM(AG97:AI97)</f>
        <v>2.7</v>
      </c>
      <c r="AK97" s="2336">
        <v>5.7</v>
      </c>
      <c r="AL97" s="2337">
        <v>2.4</v>
      </c>
      <c r="AM97" s="2337">
        <v>1.4</v>
      </c>
      <c r="AN97" s="2353">
        <f>$BP97-SUM(AK97:AM97)</f>
        <v>-1.7000000000000002</v>
      </c>
      <c r="AO97" s="2337">
        <v>-1.1000000000000001</v>
      </c>
      <c r="AP97" s="2337">
        <v>0.04</v>
      </c>
      <c r="AQ97" s="2337">
        <v>0</v>
      </c>
      <c r="AR97" s="2903"/>
      <c r="AS97" s="1049"/>
      <c r="AT97" s="1050"/>
      <c r="AU97" s="1050"/>
      <c r="AV97" s="1051"/>
      <c r="AW97" s="1049"/>
      <c r="AX97" s="1050"/>
      <c r="AY97" s="1050"/>
      <c r="AZ97" s="1051"/>
      <c r="BA97" s="1049"/>
      <c r="BB97" s="1050"/>
      <c r="BC97" s="1050"/>
      <c r="BD97" s="1051"/>
      <c r="BE97" s="2354"/>
      <c r="BF97" s="1235"/>
      <c r="BG97" s="1235"/>
      <c r="BH97" s="1235"/>
      <c r="BI97" s="1235"/>
      <c r="BJ97" s="1235"/>
      <c r="BK97" s="1235"/>
      <c r="BL97" s="1743">
        <v>3.5</v>
      </c>
      <c r="BM97" s="1743">
        <v>9.4</v>
      </c>
      <c r="BN97" s="2334">
        <v>5.2</v>
      </c>
      <c r="BO97" s="2334">
        <v>2.7</v>
      </c>
      <c r="BP97" s="2334">
        <v>7.8</v>
      </c>
      <c r="BQ97" s="2897">
        <f t="shared" ref="BQ97:BY97" si="179">+BQ98-BQ96</f>
        <v>-17.616</v>
      </c>
      <c r="BR97" s="1746">
        <f t="shared" si="179"/>
        <v>7.2384000000000057</v>
      </c>
      <c r="BS97" s="1746">
        <f t="shared" si="179"/>
        <v>10.999360000000017</v>
      </c>
      <c r="BT97" s="1746">
        <f t="shared" si="179"/>
        <v>14.743447040000014</v>
      </c>
      <c r="BU97" s="1746">
        <f t="shared" si="179"/>
        <v>39.50677934080003</v>
      </c>
      <c r="BV97" s="1746">
        <f t="shared" si="179"/>
        <v>39.945945784320038</v>
      </c>
      <c r="BW97" s="1746">
        <f t="shared" si="179"/>
        <v>35.065297157652509</v>
      </c>
      <c r="BX97" s="1746">
        <f t="shared" si="179"/>
        <v>163.94577974429129</v>
      </c>
      <c r="BY97" s="2417">
        <f t="shared" si="179"/>
        <v>0.55971725548986839</v>
      </c>
      <c r="BZ97" s="29"/>
      <c r="CA97" s="29"/>
      <c r="CB97" s="29"/>
      <c r="CC97" s="29"/>
      <c r="CD97" s="29"/>
      <c r="CE97" s="29"/>
      <c r="CF97" s="29"/>
    </row>
    <row r="98" spans="1:84" s="41" customFormat="1" ht="11.25" hidden="1" customHeight="1" outlineLevel="1">
      <c r="A98" s="29"/>
      <c r="B98" s="29"/>
      <c r="C98" s="29"/>
      <c r="D98" s="29"/>
      <c r="E98" s="29"/>
      <c r="F98" s="29"/>
      <c r="G98" s="29"/>
      <c r="H98" s="29"/>
      <c r="I98" s="2137" t="s">
        <v>574</v>
      </c>
      <c r="J98" s="2"/>
      <c r="K98" s="2"/>
      <c r="L98" s="2"/>
      <c r="M98" s="1235"/>
      <c r="N98" s="1235"/>
      <c r="O98" s="1235"/>
      <c r="P98" s="1235"/>
      <c r="Q98" s="1236"/>
      <c r="R98" s="1235"/>
      <c r="S98" s="1235"/>
      <c r="T98" s="1237"/>
      <c r="U98" s="1235"/>
      <c r="V98" s="1235"/>
      <c r="W98" s="1235"/>
      <c r="X98" s="1235"/>
      <c r="Y98" s="1236"/>
      <c r="Z98" s="1235"/>
      <c r="AA98" s="1235"/>
      <c r="AB98" s="1237"/>
      <c r="AC98" s="2142"/>
      <c r="AD98" s="1247"/>
      <c r="AE98" s="1247"/>
      <c r="AF98" s="1247"/>
      <c r="AG98" s="2308">
        <f>+AG96+AG97</f>
        <v>8.3000000000000007</v>
      </c>
      <c r="AH98" s="2335">
        <f>+AH96+AH97</f>
        <v>7.7999999999999989</v>
      </c>
      <c r="AI98" s="2335">
        <f>+AI96+AI97</f>
        <v>9</v>
      </c>
      <c r="AJ98" s="1258">
        <f t="shared" si="178"/>
        <v>27.800000000000004</v>
      </c>
      <c r="AK98" s="2308">
        <f>+AK96+AK97</f>
        <v>19.899999999999999</v>
      </c>
      <c r="AL98" s="2335">
        <f>+AL96+AL97</f>
        <v>15.4</v>
      </c>
      <c r="AM98" s="2335">
        <f>+AM96+AM97</f>
        <v>11.3</v>
      </c>
      <c r="AN98" s="1258">
        <f>$BP98-SUM(AK98:AM98)</f>
        <v>4.6000000000000014</v>
      </c>
      <c r="AO98" s="2742">
        <f>+AO96+AO97</f>
        <v>8.3000000000000007</v>
      </c>
      <c r="AP98" s="2335">
        <f>+AP96+AP97</f>
        <v>9.34</v>
      </c>
      <c r="AQ98" s="2335">
        <f>+AQ96+AQ97</f>
        <v>11.2</v>
      </c>
      <c r="AR98" s="2904"/>
      <c r="AS98" s="2104"/>
      <c r="AT98" s="1247"/>
      <c r="AU98" s="1247"/>
      <c r="AV98" s="2105"/>
      <c r="AW98" s="2104"/>
      <c r="AX98" s="1247"/>
      <c r="AY98" s="1247"/>
      <c r="AZ98" s="2105"/>
      <c r="BA98" s="2104"/>
      <c r="BB98" s="1247"/>
      <c r="BC98" s="1247"/>
      <c r="BD98" s="2105"/>
      <c r="BE98" s="2354"/>
      <c r="BF98" s="1235"/>
      <c r="BG98" s="1235"/>
      <c r="BH98" s="1235"/>
      <c r="BI98" s="1235"/>
      <c r="BJ98" s="1235"/>
      <c r="BK98" s="1235"/>
      <c r="BL98" s="1742">
        <f>+BL96+BL97</f>
        <v>23.5</v>
      </c>
      <c r="BM98" s="1742">
        <f>+BM96+BM97</f>
        <v>34.4</v>
      </c>
      <c r="BN98" s="1742">
        <f>+BN96+BN97</f>
        <v>43.1</v>
      </c>
      <c r="BO98" s="1742">
        <f>+BO96+BO97</f>
        <v>52.900000000000006</v>
      </c>
      <c r="BP98" s="1742">
        <f>+BP96+BP97</f>
        <v>51.199999999999996</v>
      </c>
      <c r="BQ98" s="2898">
        <f t="shared" ref="BQ98:BY98" si="180">+BQ107*BQ108/1000000</f>
        <v>32.384</v>
      </c>
      <c r="BR98" s="1742">
        <f t="shared" si="180"/>
        <v>47.238400000000006</v>
      </c>
      <c r="BS98" s="1742">
        <f t="shared" si="180"/>
        <v>45.999360000000017</v>
      </c>
      <c r="BT98" s="1742">
        <f t="shared" si="180"/>
        <v>39.743447040000014</v>
      </c>
      <c r="BU98" s="1742">
        <f t="shared" si="180"/>
        <v>59.50677934080003</v>
      </c>
      <c r="BV98" s="1742">
        <f t="shared" si="180"/>
        <v>57.945945784320038</v>
      </c>
      <c r="BW98" s="1742">
        <f t="shared" si="180"/>
        <v>50.065297157652509</v>
      </c>
      <c r="BX98" s="1742">
        <f t="shared" si="180"/>
        <v>176.94577974429129</v>
      </c>
      <c r="BY98" s="2220">
        <f t="shared" si="180"/>
        <v>9.5597172554898684</v>
      </c>
      <c r="BZ98" s="29"/>
      <c r="CA98" s="29"/>
      <c r="CB98" s="29"/>
      <c r="CC98" s="29"/>
      <c r="CD98" s="29"/>
      <c r="CE98" s="29"/>
      <c r="CF98" s="29"/>
    </row>
    <row r="99" spans="1:84" s="41" customFormat="1" ht="11.25" hidden="1" customHeight="1" outlineLevel="1">
      <c r="A99" s="29"/>
      <c r="B99" s="29"/>
      <c r="C99" s="29"/>
      <c r="D99" s="29"/>
      <c r="E99" s="29"/>
      <c r="F99" s="29"/>
      <c r="G99" s="29"/>
      <c r="H99" s="29"/>
      <c r="I99" s="1274"/>
      <c r="J99" s="2"/>
      <c r="K99" s="2"/>
      <c r="L99" s="2"/>
      <c r="M99" s="1235"/>
      <c r="N99" s="1235"/>
      <c r="O99" s="1235"/>
      <c r="P99" s="1235"/>
      <c r="Q99" s="1236"/>
      <c r="R99" s="1235"/>
      <c r="S99" s="1235"/>
      <c r="T99" s="1237"/>
      <c r="U99" s="1235"/>
      <c r="V99" s="1235"/>
      <c r="W99" s="1235"/>
      <c r="X99" s="1235"/>
      <c r="Y99" s="1236"/>
      <c r="Z99" s="1235"/>
      <c r="AA99" s="1235"/>
      <c r="AB99" s="1237"/>
      <c r="AC99" s="1259"/>
      <c r="AD99" s="1050"/>
      <c r="AE99" s="1050"/>
      <c r="AF99" s="1050"/>
      <c r="AG99" s="1049"/>
      <c r="AH99" s="1050"/>
      <c r="AI99" s="1050"/>
      <c r="AJ99" s="1258"/>
      <c r="AK99" s="900"/>
      <c r="AL99" s="1050"/>
      <c r="AM99" s="2322"/>
      <c r="AN99" s="1258"/>
      <c r="AO99" s="901"/>
      <c r="AP99" s="1050"/>
      <c r="AQ99" s="1050"/>
      <c r="AR99" s="2903"/>
      <c r="AS99" s="1049"/>
      <c r="AT99" s="1050"/>
      <c r="AU99" s="1050"/>
      <c r="AV99" s="1051"/>
      <c r="AW99" s="1049"/>
      <c r="AX99" s="1050"/>
      <c r="AY99" s="1050"/>
      <c r="AZ99" s="1051"/>
      <c r="BA99" s="1049"/>
      <c r="BB99" s="1050"/>
      <c r="BC99" s="1050"/>
      <c r="BD99" s="1051"/>
      <c r="BE99" s="2354"/>
      <c r="BF99" s="1235"/>
      <c r="BG99" s="1235"/>
      <c r="BH99" s="1235"/>
      <c r="BI99" s="1235"/>
      <c r="BJ99" s="1235"/>
      <c r="BK99" s="1235"/>
      <c r="BL99" s="1915"/>
      <c r="BM99" s="1915"/>
      <c r="BN99" s="1915"/>
      <c r="BO99" s="1915"/>
      <c r="BP99" s="1915"/>
      <c r="BQ99" s="2899"/>
      <c r="BR99" s="1915"/>
      <c r="BS99" s="1915"/>
      <c r="BT99" s="1915"/>
      <c r="BU99" s="1915"/>
      <c r="BV99" s="1915"/>
      <c r="BW99" s="1915"/>
      <c r="BX99" s="1915"/>
      <c r="BY99" s="2221"/>
      <c r="BZ99" s="29"/>
      <c r="CA99" s="29"/>
      <c r="CB99" s="29"/>
      <c r="CC99" s="29"/>
      <c r="CD99" s="29"/>
      <c r="CE99" s="29"/>
      <c r="CF99" s="29"/>
    </row>
    <row r="100" spans="1:84" s="41" customFormat="1" ht="11.25" hidden="1" customHeight="1" outlineLevel="1">
      <c r="A100" s="29"/>
      <c r="B100" s="29"/>
      <c r="C100" s="29"/>
      <c r="D100" s="29"/>
      <c r="E100" s="29"/>
      <c r="F100" s="29"/>
      <c r="G100" s="29"/>
      <c r="H100" s="29"/>
      <c r="I100" s="1274" t="s">
        <v>525</v>
      </c>
      <c r="J100" s="2"/>
      <c r="K100" s="2"/>
      <c r="L100" s="2"/>
      <c r="M100" s="1235"/>
      <c r="N100" s="1235"/>
      <c r="O100" s="1235"/>
      <c r="P100" s="1235"/>
      <c r="Q100" s="1236"/>
      <c r="R100" s="1235"/>
      <c r="S100" s="1235"/>
      <c r="T100" s="1237"/>
      <c r="U100" s="1235"/>
      <c r="V100" s="1235"/>
      <c r="W100" s="1235"/>
      <c r="X100" s="1235"/>
      <c r="Y100" s="1236"/>
      <c r="Z100" s="1235"/>
      <c r="AA100" s="1235"/>
      <c r="AB100" s="1237"/>
      <c r="AC100" s="1259"/>
      <c r="AD100" s="1050"/>
      <c r="AE100" s="1050"/>
      <c r="AF100" s="1050"/>
      <c r="AG100" s="2306">
        <v>1.5</v>
      </c>
      <c r="AH100" s="1202">
        <v>1.9</v>
      </c>
      <c r="AI100" s="1202">
        <v>1.7</v>
      </c>
      <c r="AJ100" s="1258">
        <f t="shared" si="178"/>
        <v>1.8000000000000007</v>
      </c>
      <c r="AK100" s="2306">
        <v>1.4</v>
      </c>
      <c r="AL100" s="1202">
        <v>1.2</v>
      </c>
      <c r="AM100" s="1948">
        <v>1.6</v>
      </c>
      <c r="AN100" s="1258">
        <f>$BP100-SUM(AK100:AM100)</f>
        <v>0.90000000000000036</v>
      </c>
      <c r="AO100" s="2306">
        <v>0.5</v>
      </c>
      <c r="AP100" s="1202">
        <v>0.4</v>
      </c>
      <c r="AQ100" s="1202">
        <v>0.1</v>
      </c>
      <c r="AR100" s="2903"/>
      <c r="AS100" s="1983"/>
      <c r="AT100" s="1984"/>
      <c r="AU100" s="1050"/>
      <c r="AV100" s="1051"/>
      <c r="AW100" s="1983"/>
      <c r="AX100" s="1984"/>
      <c r="AY100" s="1050"/>
      <c r="AZ100" s="1051"/>
      <c r="BA100" s="1983"/>
      <c r="BB100" s="1984"/>
      <c r="BC100" s="1050"/>
      <c r="BD100" s="1051"/>
      <c r="BE100" s="2354"/>
      <c r="BF100" s="1235"/>
      <c r="BG100" s="1235"/>
      <c r="BH100" s="1235"/>
      <c r="BI100" s="1235"/>
      <c r="BJ100" s="1235"/>
      <c r="BK100" s="1235"/>
      <c r="BL100" s="1915">
        <v>3.3</v>
      </c>
      <c r="BM100" s="1915">
        <v>5.2</v>
      </c>
      <c r="BN100" s="1915">
        <v>5</v>
      </c>
      <c r="BO100" s="1915">
        <v>6.9</v>
      </c>
      <c r="BP100" s="1915">
        <v>5.0999999999999996</v>
      </c>
      <c r="BQ100" s="2900">
        <f t="shared" ref="BQ100:BY100" si="181">BQ213-BP213</f>
        <v>1.0020000000000024</v>
      </c>
      <c r="BR100" s="1950">
        <f t="shared" si="181"/>
        <v>1.8789359192348627</v>
      </c>
      <c r="BS100" s="1950">
        <f t="shared" si="181"/>
        <v>3.5974723103081843</v>
      </c>
      <c r="BT100" s="1950">
        <f t="shared" si="181"/>
        <v>3.3576408229543091</v>
      </c>
      <c r="BU100" s="1950">
        <f t="shared" si="181"/>
        <v>2.5853834336748136</v>
      </c>
      <c r="BV100" s="1950">
        <f t="shared" si="181"/>
        <v>1.9759716243086132</v>
      </c>
      <c r="BW100" s="1950">
        <f t="shared" si="181"/>
        <v>2.0747702055240325</v>
      </c>
      <c r="BX100" s="1950">
        <f t="shared" si="181"/>
        <v>2.1785087158002483</v>
      </c>
      <c r="BY100" s="2217">
        <f t="shared" si="181"/>
        <v>2.2874341515902543</v>
      </c>
      <c r="BZ100" s="29"/>
      <c r="CA100" s="29"/>
      <c r="CB100" s="29"/>
      <c r="CC100" s="29"/>
      <c r="CD100" s="29"/>
      <c r="CE100" s="29"/>
      <c r="CF100" s="29"/>
    </row>
    <row r="101" spans="1:84" s="41" customFormat="1" ht="11.25" hidden="1" customHeight="1" outlineLevel="1">
      <c r="A101" s="29"/>
      <c r="B101" s="29"/>
      <c r="C101" s="29"/>
      <c r="D101" s="29"/>
      <c r="E101" s="29"/>
      <c r="F101" s="29"/>
      <c r="G101" s="29"/>
      <c r="H101" s="29"/>
      <c r="I101" s="1274" t="s">
        <v>527</v>
      </c>
      <c r="J101" s="2"/>
      <c r="K101" s="2"/>
      <c r="L101" s="2"/>
      <c r="M101" s="1235"/>
      <c r="N101" s="1235"/>
      <c r="O101" s="1235"/>
      <c r="P101" s="1235"/>
      <c r="Q101" s="1236"/>
      <c r="R101" s="1235"/>
      <c r="S101" s="1235"/>
      <c r="T101" s="1237"/>
      <c r="U101" s="1235"/>
      <c r="V101" s="1235"/>
      <c r="W101" s="1235"/>
      <c r="X101" s="1235"/>
      <c r="Y101" s="1236"/>
      <c r="Z101" s="1235"/>
      <c r="AA101" s="1235"/>
      <c r="AB101" s="1237"/>
      <c r="AC101" s="1259"/>
      <c r="AD101" s="1050"/>
      <c r="AE101" s="1050"/>
      <c r="AF101" s="1050"/>
      <c r="AG101" s="2306">
        <v>4.8</v>
      </c>
      <c r="AH101" s="1202">
        <v>7.1</v>
      </c>
      <c r="AI101" s="1202">
        <v>10.5</v>
      </c>
      <c r="AJ101" s="1258">
        <f t="shared" si="178"/>
        <v>-5.2999999999999972</v>
      </c>
      <c r="AK101" s="2306">
        <v>2.6</v>
      </c>
      <c r="AL101" s="1202">
        <v>2.8</v>
      </c>
      <c r="AM101" s="1948">
        <v>2</v>
      </c>
      <c r="AN101" s="1258">
        <f>$BP101-SUM(AK101:AM101)</f>
        <v>2.5999999999999996</v>
      </c>
      <c r="AO101" s="2306">
        <v>1.8</v>
      </c>
      <c r="AP101" s="1202">
        <v>0.5</v>
      </c>
      <c r="AQ101" s="1202">
        <v>2.6</v>
      </c>
      <c r="AR101" s="2903"/>
      <c r="AS101" s="1049"/>
      <c r="AT101" s="1050"/>
      <c r="AU101" s="1050"/>
      <c r="AV101" s="1051"/>
      <c r="AW101" s="1049"/>
      <c r="AX101" s="1050"/>
      <c r="AY101" s="1050"/>
      <c r="AZ101" s="1051"/>
      <c r="BA101" s="1049"/>
      <c r="BB101" s="1050"/>
      <c r="BC101" s="1050"/>
      <c r="BD101" s="1051"/>
      <c r="BE101" s="2354"/>
      <c r="BF101" s="1235"/>
      <c r="BG101" s="1235"/>
      <c r="BH101" s="1235"/>
      <c r="BI101" s="1235"/>
      <c r="BJ101" s="1235"/>
      <c r="BK101" s="1235"/>
      <c r="BL101" s="1915">
        <v>5</v>
      </c>
      <c r="BM101" s="1915">
        <v>6.4</v>
      </c>
      <c r="BN101" s="1915">
        <v>11.8</v>
      </c>
      <c r="BO101" s="1915">
        <v>17.100000000000001</v>
      </c>
      <c r="BP101" s="1915">
        <v>10</v>
      </c>
      <c r="BQ101" s="2901">
        <f t="shared" ref="BQ101:BY101" si="182">+BQ114*BQ115</f>
        <v>8.0246400000000015</v>
      </c>
      <c r="BR101" s="1433">
        <f t="shared" si="182"/>
        <v>6.79122</v>
      </c>
      <c r="BS101" s="1433">
        <f t="shared" si="182"/>
        <v>9.3840000000000057</v>
      </c>
      <c r="BT101" s="1433">
        <f t="shared" si="182"/>
        <v>8.6519999999999886</v>
      </c>
      <c r="BU101" s="1433">
        <f t="shared" si="182"/>
        <v>8.4</v>
      </c>
      <c r="BV101" s="1433">
        <f t="shared" si="182"/>
        <v>8.2199999999999989</v>
      </c>
      <c r="BW101" s="1433">
        <f t="shared" si="182"/>
        <v>7.9799999999999995</v>
      </c>
      <c r="BX101" s="1433">
        <f t="shared" si="182"/>
        <v>7.7399999999999993</v>
      </c>
      <c r="BY101" s="1460">
        <f t="shared" si="182"/>
        <v>7.56</v>
      </c>
      <c r="BZ101" s="29"/>
      <c r="CA101" s="29"/>
      <c r="CB101" s="29"/>
      <c r="CC101" s="29"/>
      <c r="CD101" s="29"/>
      <c r="CE101" s="29"/>
      <c r="CF101" s="29"/>
    </row>
    <row r="102" spans="1:84" s="41" customFormat="1" ht="11.25" hidden="1" customHeight="1" outlineLevel="1">
      <c r="A102" s="29"/>
      <c r="B102" s="29"/>
      <c r="C102" s="29"/>
      <c r="D102" s="29"/>
      <c r="E102" s="29"/>
      <c r="F102" s="29"/>
      <c r="G102" s="29"/>
      <c r="H102" s="29"/>
      <c r="I102" s="1274" t="s">
        <v>528</v>
      </c>
      <c r="J102" s="2"/>
      <c r="K102" s="2"/>
      <c r="L102" s="2"/>
      <c r="M102" s="1235"/>
      <c r="N102" s="1235"/>
      <c r="O102" s="1235"/>
      <c r="P102" s="1235"/>
      <c r="Q102" s="1236"/>
      <c r="R102" s="1235"/>
      <c r="S102" s="1235"/>
      <c r="T102" s="1237"/>
      <c r="U102" s="1235"/>
      <c r="V102" s="1235"/>
      <c r="W102" s="1235"/>
      <c r="X102" s="1235"/>
      <c r="Y102" s="1236"/>
      <c r="Z102" s="1235"/>
      <c r="AA102" s="1235"/>
      <c r="AB102" s="1237"/>
      <c r="AC102" s="1259"/>
      <c r="AD102" s="1050"/>
      <c r="AE102" s="1050"/>
      <c r="AF102" s="1050"/>
      <c r="AG102" s="2306">
        <v>3.5</v>
      </c>
      <c r="AH102" s="1202">
        <v>3.4</v>
      </c>
      <c r="AI102" s="1202">
        <v>7.2</v>
      </c>
      <c r="AJ102" s="1258">
        <f t="shared" si="178"/>
        <v>9.6999999999999993</v>
      </c>
      <c r="AK102" s="2306">
        <v>8.5</v>
      </c>
      <c r="AL102" s="1202">
        <v>7</v>
      </c>
      <c r="AM102" s="1948">
        <v>1.4</v>
      </c>
      <c r="AN102" s="1258">
        <f>$BP102-SUM(AK102:AM102)</f>
        <v>-2.0999999999999979</v>
      </c>
      <c r="AO102" s="2306">
        <v>3.1</v>
      </c>
      <c r="AP102" s="1202">
        <v>0.5</v>
      </c>
      <c r="AQ102" s="1202">
        <v>0</v>
      </c>
      <c r="AR102" s="2903"/>
      <c r="AS102" s="1049"/>
      <c r="AT102" s="1050"/>
      <c r="AU102" s="1050"/>
      <c r="AV102" s="1051"/>
      <c r="AW102" s="1049"/>
      <c r="AX102" s="1050"/>
      <c r="AY102" s="1050"/>
      <c r="AZ102" s="1051"/>
      <c r="BA102" s="1049"/>
      <c r="BB102" s="1050"/>
      <c r="BC102" s="1050"/>
      <c r="BD102" s="1051"/>
      <c r="BE102" s="2354"/>
      <c r="BF102" s="1235"/>
      <c r="BG102" s="1235"/>
      <c r="BH102" s="1235"/>
      <c r="BI102" s="1235"/>
      <c r="BJ102" s="1235"/>
      <c r="BK102" s="1235"/>
      <c r="BL102" s="1915">
        <v>0.4</v>
      </c>
      <c r="BM102" s="1915">
        <v>0.1</v>
      </c>
      <c r="BN102" s="1915">
        <v>9.1999999999999993</v>
      </c>
      <c r="BO102" s="1915">
        <v>23.8</v>
      </c>
      <c r="BP102" s="1915">
        <v>14.8</v>
      </c>
      <c r="BQ102" s="2901">
        <f>+BQ73-BP73</f>
        <v>2.6000000000000014</v>
      </c>
      <c r="BR102" s="1433">
        <f t="shared" ref="BR102:BY102" si="183">+BR73-BQ73</f>
        <v>4</v>
      </c>
      <c r="BS102" s="1433">
        <f t="shared" si="183"/>
        <v>16</v>
      </c>
      <c r="BT102" s="1433">
        <f t="shared" si="183"/>
        <v>12</v>
      </c>
      <c r="BU102" s="1433">
        <f t="shared" si="183"/>
        <v>12</v>
      </c>
      <c r="BV102" s="1433">
        <f t="shared" si="183"/>
        <v>12</v>
      </c>
      <c r="BW102" s="1433">
        <f t="shared" si="183"/>
        <v>12</v>
      </c>
      <c r="BX102" s="1433">
        <f t="shared" si="183"/>
        <v>12</v>
      </c>
      <c r="BY102" s="1460">
        <f t="shared" si="183"/>
        <v>12</v>
      </c>
      <c r="BZ102" s="29"/>
      <c r="CA102" s="29"/>
      <c r="CB102" s="29"/>
      <c r="CC102" s="29"/>
      <c r="CD102" s="29"/>
      <c r="CE102" s="29"/>
      <c r="CF102" s="29"/>
    </row>
    <row r="103" spans="1:84" s="90" customFormat="1" ht="11.25" hidden="1" customHeight="1" outlineLevel="1">
      <c r="A103" s="2143"/>
      <c r="B103" s="2143"/>
      <c r="C103" s="2143"/>
      <c r="D103" s="2143"/>
      <c r="E103" s="2143"/>
      <c r="F103" s="2143"/>
      <c r="G103" s="2143"/>
      <c r="I103" s="1012" t="s">
        <v>458</v>
      </c>
      <c r="J103" s="413"/>
      <c r="K103" s="413"/>
      <c r="L103" s="413"/>
      <c r="M103" s="1238"/>
      <c r="N103" s="1238"/>
      <c r="O103" s="1238"/>
      <c r="P103" s="1238"/>
      <c r="Q103" s="1269"/>
      <c r="R103" s="1238"/>
      <c r="S103" s="1238"/>
      <c r="T103" s="1270"/>
      <c r="U103" s="1238"/>
      <c r="V103" s="1238"/>
      <c r="W103" s="1238"/>
      <c r="X103" s="1238"/>
      <c r="Y103" s="1269"/>
      <c r="Z103" s="1238"/>
      <c r="AA103" s="1238"/>
      <c r="AB103" s="1270"/>
      <c r="AC103" s="1259"/>
      <c r="AD103" s="1050"/>
      <c r="AE103" s="1050"/>
      <c r="AF103" s="1050"/>
      <c r="AG103" s="1936">
        <f t="shared" ref="AG103:AO103" si="184">+AG93-AG98-AG100-AG101-AG102</f>
        <v>4.4999999999995488E-2</v>
      </c>
      <c r="AH103" s="1251">
        <f t="shared" si="184"/>
        <v>1.5999999999995129E-2</v>
      </c>
      <c r="AI103" s="1251">
        <f t="shared" si="184"/>
        <v>-2.0000000000033324E-3</v>
      </c>
      <c r="AJ103" s="1258">
        <f t="shared" si="184"/>
        <v>-4.5000000000008811E-2</v>
      </c>
      <c r="AK103" s="1279">
        <f t="shared" si="184"/>
        <v>-3.7999999999996703E-2</v>
      </c>
      <c r="AL103" s="1251">
        <f t="shared" si="184"/>
        <v>-1.1999999999994237E-2</v>
      </c>
      <c r="AM103" s="1251">
        <f t="shared" si="184"/>
        <v>2.5000000000002132E-2</v>
      </c>
      <c r="AN103" s="1258">
        <f>$BP103-SUM(AK103:AM103)</f>
        <v>1.4999999999965929E-2</v>
      </c>
      <c r="AO103" s="1279">
        <f t="shared" si="184"/>
        <v>-4.1999999999999371E-2</v>
      </c>
      <c r="AP103" s="1251">
        <f t="shared" ref="AP103:AQ103" si="185">+AP93-AP98-AP100-AP101-AP102</f>
        <v>8.9999999999998526E-2</v>
      </c>
      <c r="AQ103" s="1251">
        <f t="shared" si="185"/>
        <v>-0.13300000000000356</v>
      </c>
      <c r="AR103" s="2903"/>
      <c r="AS103" s="1049"/>
      <c r="AT103" s="1050"/>
      <c r="AU103" s="1050"/>
      <c r="AV103" s="1051"/>
      <c r="AW103" s="1049"/>
      <c r="AX103" s="1247"/>
      <c r="AY103" s="2307"/>
      <c r="AZ103" s="1051"/>
      <c r="BA103" s="1049"/>
      <c r="BB103" s="1050"/>
      <c r="BC103" s="1050"/>
      <c r="BD103" s="1051"/>
      <c r="BE103" s="2354"/>
      <c r="BF103" s="1238"/>
      <c r="BG103" s="1238"/>
      <c r="BH103" s="1238"/>
      <c r="BI103" s="1238"/>
      <c r="BJ103" s="1238"/>
      <c r="BK103" s="1238"/>
      <c r="BL103" s="1278">
        <f t="shared" ref="BL103:BQ103" si="186">+BL93-BL98-BL100-BL101-BL102</f>
        <v>-0.82300000000000451</v>
      </c>
      <c r="BM103" s="1278">
        <f t="shared" si="186"/>
        <v>-4.5999999999997071E-2</v>
      </c>
      <c r="BN103" s="1278">
        <f t="shared" si="186"/>
        <v>-1.9999999999988916E-2</v>
      </c>
      <c r="BO103" s="1278">
        <f t="shared" si="186"/>
        <v>1.3999999999992241E-2</v>
      </c>
      <c r="BP103" s="1278">
        <f t="shared" si="186"/>
        <v>-1.0000000000022879E-2</v>
      </c>
      <c r="BQ103" s="2902">
        <f t="shared" si="186"/>
        <v>11.778359999999982</v>
      </c>
      <c r="BR103" s="1278">
        <f t="shared" ref="BR103:BY103" si="187">+BR93-BR98-BR100-BR101-BR102</f>
        <v>1.0433518125429257</v>
      </c>
      <c r="BS103" s="1278">
        <f t="shared" si="187"/>
        <v>-0.18366441050729598</v>
      </c>
      <c r="BT103" s="1278">
        <f t="shared" si="187"/>
        <v>3.2849114371999857</v>
      </c>
      <c r="BU103" s="1278">
        <f t="shared" si="187"/>
        <v>-24.90677934080005</v>
      </c>
      <c r="BV103" s="1278">
        <f t="shared" si="187"/>
        <v>-28.165945784320037</v>
      </c>
      <c r="BW103" s="1278">
        <f t="shared" si="187"/>
        <v>-25.045297157652509</v>
      </c>
      <c r="BX103" s="1278">
        <f t="shared" si="187"/>
        <v>-156.68577974429127</v>
      </c>
      <c r="BY103" s="1280">
        <f t="shared" si="187"/>
        <v>5.8802827445100974</v>
      </c>
    </row>
    <row r="104" spans="1:84" s="41" customFormat="1" ht="11.25" hidden="1" customHeight="1" outlineLevel="1">
      <c r="A104" s="29"/>
      <c r="B104" s="29"/>
      <c r="C104" s="29"/>
      <c r="D104" s="29"/>
      <c r="E104" s="29"/>
      <c r="F104" s="29"/>
      <c r="G104" s="29"/>
      <c r="H104" s="29"/>
      <c r="I104" s="1274"/>
      <c r="J104" s="2"/>
      <c r="K104" s="2"/>
      <c r="L104" s="2"/>
      <c r="M104" s="1235"/>
      <c r="N104" s="1235"/>
      <c r="O104" s="1235"/>
      <c r="P104" s="1235"/>
      <c r="Q104" s="1236"/>
      <c r="R104" s="1235"/>
      <c r="S104" s="1235"/>
      <c r="T104" s="1237"/>
      <c r="U104" s="1235"/>
      <c r="V104" s="1235"/>
      <c r="W104" s="1235"/>
      <c r="X104" s="1235"/>
      <c r="Y104" s="1236"/>
      <c r="Z104" s="1235"/>
      <c r="AA104" s="1235"/>
      <c r="AB104" s="1237"/>
      <c r="AC104" s="1259"/>
      <c r="AD104" s="1050"/>
      <c r="AE104" s="1050"/>
      <c r="AF104" s="1050"/>
      <c r="AG104" s="1049"/>
      <c r="AH104" s="1050"/>
      <c r="AI104" s="1050"/>
      <c r="AJ104" s="1051"/>
      <c r="AK104" s="1049"/>
      <c r="AL104" s="1050"/>
      <c r="AM104" s="1050"/>
      <c r="AN104" s="1051"/>
      <c r="AO104" s="1050"/>
      <c r="AP104" s="1050"/>
      <c r="AQ104" s="1050"/>
      <c r="AR104" s="1051"/>
      <c r="AS104" s="1049"/>
      <c r="AT104" s="1050"/>
      <c r="AU104" s="1050"/>
      <c r="AV104" s="1051"/>
      <c r="AW104" s="1049"/>
      <c r="AX104" s="1050"/>
      <c r="AY104" s="1050"/>
      <c r="AZ104" s="1051"/>
      <c r="BA104" s="1049"/>
      <c r="BB104" s="1050"/>
      <c r="BC104" s="1050"/>
      <c r="BD104" s="1051"/>
      <c r="BE104" s="2354"/>
      <c r="BF104" s="1235"/>
      <c r="BG104" s="1235"/>
      <c r="BH104" s="1235"/>
      <c r="BI104" s="1235"/>
      <c r="BJ104" s="1235"/>
      <c r="BK104" s="1235"/>
      <c r="BL104" s="1913"/>
      <c r="BM104" s="1913"/>
      <c r="BN104" s="1913"/>
      <c r="BO104" s="1913"/>
      <c r="BP104" s="1913"/>
      <c r="BQ104" s="1913"/>
      <c r="BR104" s="1913"/>
      <c r="BS104" s="1913"/>
      <c r="BT104" s="1913"/>
      <c r="BU104" s="1913"/>
      <c r="BV104" s="1913"/>
      <c r="BW104" s="1913"/>
      <c r="BX104" s="1913"/>
      <c r="BY104" s="2212"/>
      <c r="BZ104" s="29"/>
      <c r="CA104" s="29"/>
      <c r="CB104" s="29"/>
      <c r="CC104" s="29"/>
      <c r="CD104" s="29"/>
      <c r="CE104" s="29"/>
      <c r="CF104" s="29"/>
    </row>
    <row r="105" spans="1:84" s="41" customFormat="1" ht="11.25" hidden="1" customHeight="1" outlineLevel="1">
      <c r="A105" s="29"/>
      <c r="B105" s="29"/>
      <c r="C105" s="29"/>
      <c r="D105" s="29"/>
      <c r="E105" s="29"/>
      <c r="F105" s="29"/>
      <c r="G105" s="29"/>
      <c r="H105" s="29"/>
      <c r="I105" s="882" t="s">
        <v>571</v>
      </c>
      <c r="J105" s="2"/>
      <c r="K105" s="2"/>
      <c r="L105" s="2"/>
      <c r="M105" s="1235"/>
      <c r="N105" s="1235"/>
      <c r="O105" s="1235"/>
      <c r="P105" s="1235"/>
      <c r="Q105" s="1236"/>
      <c r="R105" s="1235"/>
      <c r="S105" s="1235"/>
      <c r="T105" s="1237"/>
      <c r="U105" s="1235"/>
      <c r="V105" s="1235"/>
      <c r="W105" s="1235"/>
      <c r="X105" s="1235"/>
      <c r="Y105" s="1236"/>
      <c r="Z105" s="1235"/>
      <c r="AA105" s="1235"/>
      <c r="AB105" s="1237"/>
      <c r="AC105" s="1259"/>
      <c r="AD105" s="1050"/>
      <c r="AE105" s="1050"/>
      <c r="AF105" s="1050"/>
      <c r="AG105" s="1049"/>
      <c r="AH105" s="1050"/>
      <c r="AI105" s="1050"/>
      <c r="AJ105" s="1051"/>
      <c r="AK105" s="1049"/>
      <c r="AL105" s="1050"/>
      <c r="AM105" s="1050"/>
      <c r="AN105" s="1051"/>
      <c r="AO105" s="1050"/>
      <c r="AP105" s="1050"/>
      <c r="AQ105" s="1050"/>
      <c r="AR105" s="1051"/>
      <c r="AS105" s="1049"/>
      <c r="AT105" s="1050"/>
      <c r="AU105" s="1050"/>
      <c r="AV105" s="1051"/>
      <c r="AW105" s="1049"/>
      <c r="AX105" s="1050"/>
      <c r="AY105" s="1050"/>
      <c r="AZ105" s="1051"/>
      <c r="BA105" s="1049"/>
      <c r="BB105" s="1050"/>
      <c r="BC105" s="1050"/>
      <c r="BD105" s="1051"/>
      <c r="BE105" s="2354"/>
      <c r="BF105" s="1235"/>
      <c r="BG105" s="1235"/>
      <c r="BH105" s="1235"/>
      <c r="BI105" s="1235"/>
      <c r="BJ105" s="1235"/>
      <c r="BK105" s="1235"/>
      <c r="BL105" s="1913"/>
      <c r="BM105" s="1913"/>
      <c r="BN105" s="1913"/>
      <c r="BO105" s="1913"/>
      <c r="BP105" s="1913"/>
      <c r="BR105" s="1913"/>
      <c r="BS105" s="1913"/>
      <c r="BT105" s="1913"/>
      <c r="BU105" s="1913"/>
      <c r="BV105" s="1913"/>
      <c r="BW105" s="1913"/>
      <c r="BX105" s="1913"/>
      <c r="BY105" s="2212"/>
      <c r="BZ105" s="29"/>
      <c r="CA105" s="29"/>
      <c r="CB105" s="29"/>
      <c r="CC105" s="29"/>
      <c r="CD105" s="29"/>
      <c r="CE105" s="29"/>
      <c r="CF105" s="29"/>
    </row>
    <row r="106" spans="1:84" s="41" customFormat="1" ht="11.25" hidden="1" customHeight="1" outlineLevel="1">
      <c r="A106" s="29"/>
      <c r="B106" s="29"/>
      <c r="C106" s="29"/>
      <c r="D106" s="29"/>
      <c r="E106" s="29"/>
      <c r="F106" s="29"/>
      <c r="G106" s="29"/>
      <c r="H106" s="29"/>
      <c r="I106" s="1316" t="s">
        <v>465</v>
      </c>
      <c r="J106" s="2"/>
      <c r="K106" s="2"/>
      <c r="L106" s="2"/>
      <c r="M106" s="1235"/>
      <c r="N106" s="1235"/>
      <c r="O106" s="1235"/>
      <c r="P106" s="1235"/>
      <c r="Q106" s="1236"/>
      <c r="R106" s="1235"/>
      <c r="S106" s="1235"/>
      <c r="T106" s="1237"/>
      <c r="U106" s="1957">
        <f>'Revenue drivers'!U532</f>
        <v>533.33333333333337</v>
      </c>
      <c r="V106" s="1957">
        <f>'Revenue drivers'!V532</f>
        <v>566.66666666666663</v>
      </c>
      <c r="W106" s="1957">
        <f>'Revenue drivers'!W532</f>
        <v>686.27450980392155</v>
      </c>
      <c r="X106" s="1957">
        <f>'Revenue drivers'!X532</f>
        <v>769.23076923076928</v>
      </c>
      <c r="Y106" s="1959">
        <f>'Revenue drivers'!Y532</f>
        <v>800</v>
      </c>
      <c r="Z106" s="1957">
        <f>'Revenue drivers'!Z532</f>
        <v>850</v>
      </c>
      <c r="AA106" s="1957">
        <f>'Revenue drivers'!AA532</f>
        <v>1050</v>
      </c>
      <c r="AB106" s="1958">
        <f>'Revenue drivers'!AB532</f>
        <v>1100</v>
      </c>
      <c r="AC106" s="1277">
        <f>'Revenue drivers'!AC532</f>
        <v>1250</v>
      </c>
      <c r="AD106" s="1277">
        <f>'Revenue drivers'!AD532</f>
        <v>1350</v>
      </c>
      <c r="AE106" s="1277">
        <f>'Revenue drivers'!AE532</f>
        <v>1550</v>
      </c>
      <c r="AF106" s="1277">
        <f>'Revenue drivers'!AF532</f>
        <v>1550</v>
      </c>
      <c r="AG106" s="2845">
        <f>'Revenue drivers'!AG532</f>
        <v>1600</v>
      </c>
      <c r="AH106" s="2846">
        <f>'Revenue drivers'!AH532</f>
        <v>1750</v>
      </c>
      <c r="AI106" s="2846">
        <f>'Revenue drivers'!AI532</f>
        <v>2100</v>
      </c>
      <c r="AJ106" s="2847">
        <f>'Revenue drivers'!AJ532</f>
        <v>2200</v>
      </c>
      <c r="AK106" s="2845">
        <f>'Revenue drivers'!AK532</f>
        <v>2300</v>
      </c>
      <c r="AL106" s="2846">
        <f>'Revenue drivers'!AL532</f>
        <v>2400</v>
      </c>
      <c r="AM106" s="2846">
        <f>'Revenue drivers'!AM532</f>
        <v>2500</v>
      </c>
      <c r="AN106" s="2847">
        <f>'Revenue drivers'!AN532</f>
        <v>2450</v>
      </c>
      <c r="AO106" s="2846">
        <f>'Revenue drivers'!AO532</f>
        <v>2550</v>
      </c>
      <c r="AP106" s="2846">
        <f>'Revenue drivers'!AP532</f>
        <v>2650</v>
      </c>
      <c r="AQ106" s="2846">
        <f>'Revenue drivers'!AQ532</f>
        <v>2750</v>
      </c>
      <c r="AR106" s="2847">
        <f>'Revenue drivers'!AR532</f>
        <v>2850</v>
      </c>
      <c r="AS106" s="2845">
        <f>'Revenue drivers'!AS532</f>
        <v>2950</v>
      </c>
      <c r="AT106" s="2846">
        <f>'Revenue drivers'!AT532</f>
        <v>3050</v>
      </c>
      <c r="AU106" s="2846">
        <f>'Revenue drivers'!AU532</f>
        <v>3125</v>
      </c>
      <c r="AV106" s="2847">
        <f>'Revenue drivers'!AV532</f>
        <v>3200</v>
      </c>
      <c r="AW106" s="2845">
        <f>'Revenue drivers'!AW532</f>
        <v>3300</v>
      </c>
      <c r="AX106" s="2846">
        <f>'Revenue drivers'!AX532</f>
        <v>3400</v>
      </c>
      <c r="AY106" s="2846">
        <f>'Revenue drivers'!AY532</f>
        <v>3475</v>
      </c>
      <c r="AZ106" s="2847">
        <f>'Revenue drivers'!AZ532</f>
        <v>3525</v>
      </c>
      <c r="BA106" s="2845">
        <f>'Revenue drivers'!BA532</f>
        <v>3605</v>
      </c>
      <c r="BB106" s="2846">
        <f>'Revenue drivers'!BB532</f>
        <v>3685</v>
      </c>
      <c r="BC106" s="2846">
        <f>'Revenue drivers'!BC532</f>
        <v>3735</v>
      </c>
      <c r="BD106" s="2847">
        <f>'Revenue drivers'!BD532</f>
        <v>3775</v>
      </c>
      <c r="BE106" s="2354"/>
      <c r="BF106" s="1235"/>
      <c r="BG106" s="1235"/>
      <c r="BH106" s="1235"/>
      <c r="BI106" s="1235"/>
      <c r="BJ106" s="1235"/>
      <c r="BK106" s="1277">
        <f>'Revenue drivers'!BK532</f>
        <v>0</v>
      </c>
      <c r="BL106" s="1277">
        <f>'Revenue drivers'!BL532</f>
        <v>769.23076923076928</v>
      </c>
      <c r="BM106" s="1277">
        <f>'Revenue drivers'!BM532</f>
        <v>1100</v>
      </c>
      <c r="BN106" s="1277">
        <f>AVERAGE(AC106:AF106)</f>
        <v>1425</v>
      </c>
      <c r="BO106" s="1277">
        <f>AVERAGE(AG106:AJ106)</f>
        <v>1912.5</v>
      </c>
      <c r="BP106" s="1277">
        <f>AVERAGE(AK106:AN106)</f>
        <v>2412.5</v>
      </c>
      <c r="BQ106" s="1277">
        <f>AVERAGE(AO106:AR106)</f>
        <v>2700</v>
      </c>
      <c r="BR106" s="1277">
        <f>AVERAGE(AS106:AV106)</f>
        <v>3081.25</v>
      </c>
      <c r="BS106" s="1277">
        <f>AVERAGE(AW106:AZ106)</f>
        <v>3425</v>
      </c>
      <c r="BT106" s="1277">
        <f>AVERAGE(BA106:BD106)</f>
        <v>3700</v>
      </c>
      <c r="BU106" s="1277">
        <f>'Revenue drivers'!BU91</f>
        <v>4312.5</v>
      </c>
      <c r="BV106" s="1277">
        <f>'Revenue drivers'!BV91</f>
        <v>4443.75</v>
      </c>
      <c r="BW106" s="1277">
        <f>'Revenue drivers'!BW91</f>
        <v>4535.625</v>
      </c>
      <c r="BX106" s="1277">
        <f>'Revenue drivers'!BX91</f>
        <v>4599.9375</v>
      </c>
      <c r="BY106" s="1282">
        <f>'Revenue drivers'!BY91</f>
        <v>4644.9562500000002</v>
      </c>
      <c r="BZ106" s="29"/>
      <c r="CA106" s="29"/>
      <c r="CB106" s="29"/>
      <c r="CC106" s="29"/>
      <c r="CD106" s="29"/>
      <c r="CE106" s="29"/>
      <c r="CF106" s="29"/>
    </row>
    <row r="107" spans="1:84" ht="11.25" hidden="1" customHeight="1" outlineLevel="1">
      <c r="A107" s="36"/>
      <c r="B107" s="36"/>
      <c r="C107" s="36"/>
      <c r="D107" s="36"/>
      <c r="E107" s="36"/>
      <c r="F107" s="36"/>
      <c r="G107" s="36"/>
      <c r="H107" s="36"/>
      <c r="I107" s="1274" t="s">
        <v>512</v>
      </c>
      <c r="J107" s="5"/>
      <c r="K107" s="5"/>
      <c r="L107" s="5"/>
      <c r="M107" s="1263"/>
      <c r="N107" s="1263"/>
      <c r="O107" s="1263"/>
      <c r="P107" s="1263"/>
      <c r="Q107" s="1264"/>
      <c r="R107" s="1263"/>
      <c r="S107" s="1263"/>
      <c r="T107" s="1265"/>
      <c r="U107" s="1263"/>
      <c r="V107" s="2108">
        <f>V106-U106</f>
        <v>33.333333333333258</v>
      </c>
      <c r="W107" s="2108">
        <f t="shared" ref="W107:AR107" si="188">W106-V106</f>
        <v>119.60784313725492</v>
      </c>
      <c r="X107" s="2108">
        <f t="shared" si="188"/>
        <v>82.956259426847737</v>
      </c>
      <c r="Y107" s="2108">
        <f t="shared" si="188"/>
        <v>30.769230769230717</v>
      </c>
      <c r="Z107" s="2108">
        <f t="shared" si="188"/>
        <v>50</v>
      </c>
      <c r="AA107" s="2108">
        <f t="shared" si="188"/>
        <v>200</v>
      </c>
      <c r="AB107" s="2108">
        <f t="shared" si="188"/>
        <v>50</v>
      </c>
      <c r="AC107" s="2108">
        <f t="shared" si="188"/>
        <v>150</v>
      </c>
      <c r="AD107" s="2108">
        <f t="shared" si="188"/>
        <v>100</v>
      </c>
      <c r="AE107" s="2108">
        <f t="shared" si="188"/>
        <v>200</v>
      </c>
      <c r="AF107" s="2108">
        <f t="shared" si="188"/>
        <v>0</v>
      </c>
      <c r="AG107" s="2207">
        <f t="shared" si="188"/>
        <v>50</v>
      </c>
      <c r="AH107" s="2108">
        <f t="shared" si="188"/>
        <v>150</v>
      </c>
      <c r="AI107" s="2108">
        <f t="shared" si="188"/>
        <v>350</v>
      </c>
      <c r="AJ107" s="2208">
        <f t="shared" si="188"/>
        <v>100</v>
      </c>
      <c r="AK107" s="2207">
        <f t="shared" si="188"/>
        <v>100</v>
      </c>
      <c r="AL107" s="2108">
        <f t="shared" si="188"/>
        <v>100</v>
      </c>
      <c r="AM107" s="1984">
        <f t="shared" ref="AM107" si="189">AM106-AL106</f>
        <v>100</v>
      </c>
      <c r="AN107" s="2208">
        <f t="shared" si="188"/>
        <v>-50</v>
      </c>
      <c r="AO107" s="1984">
        <f t="shared" si="188"/>
        <v>100</v>
      </c>
      <c r="AP107" s="2108">
        <f t="shared" si="188"/>
        <v>100</v>
      </c>
      <c r="AQ107" s="2108">
        <f t="shared" si="188"/>
        <v>100</v>
      </c>
      <c r="AR107" s="2208">
        <f t="shared" si="188"/>
        <v>100</v>
      </c>
      <c r="AS107" s="2108">
        <f t="shared" ref="AS107:BD107" si="190">AS106-AR106</f>
        <v>100</v>
      </c>
      <c r="AT107" s="2108">
        <f t="shared" si="190"/>
        <v>100</v>
      </c>
      <c r="AU107" s="2108">
        <f t="shared" si="190"/>
        <v>75</v>
      </c>
      <c r="AV107" s="2208">
        <f t="shared" si="190"/>
        <v>75</v>
      </c>
      <c r="AW107" s="2207">
        <f t="shared" si="190"/>
        <v>100</v>
      </c>
      <c r="AX107" s="2108">
        <f t="shared" si="190"/>
        <v>100</v>
      </c>
      <c r="AY107" s="2108">
        <f t="shared" si="190"/>
        <v>75</v>
      </c>
      <c r="AZ107" s="2108">
        <f t="shared" si="190"/>
        <v>50</v>
      </c>
      <c r="BA107" s="2207">
        <f t="shared" si="190"/>
        <v>80</v>
      </c>
      <c r="BB107" s="2108">
        <f t="shared" si="190"/>
        <v>80</v>
      </c>
      <c r="BC107" s="2108">
        <f t="shared" si="190"/>
        <v>50</v>
      </c>
      <c r="BD107" s="2208">
        <f t="shared" si="190"/>
        <v>40</v>
      </c>
      <c r="BE107" s="883"/>
      <c r="BF107" s="1263"/>
      <c r="BG107" s="1263"/>
      <c r="BH107" s="1263"/>
      <c r="BI107" s="1263"/>
      <c r="BJ107" s="1263"/>
      <c r="BK107" s="1263"/>
      <c r="BL107" s="1984"/>
      <c r="BM107" s="1984">
        <f>BM106-BL106</f>
        <v>330.76923076923072</v>
      </c>
      <c r="BN107" s="1984">
        <f t="shared" ref="BN107:BY107" si="191">BN106-BM106</f>
        <v>325</v>
      </c>
      <c r="BO107" s="1984">
        <f t="shared" si="191"/>
        <v>487.5</v>
      </c>
      <c r="BP107" s="1984">
        <f t="shared" si="191"/>
        <v>500</v>
      </c>
      <c r="BQ107" s="1984">
        <f t="shared" ref="BQ107" si="192">BQ106-BP106</f>
        <v>287.5</v>
      </c>
      <c r="BR107" s="1984">
        <f t="shared" ref="BR107" si="193">BR106-BQ106</f>
        <v>381.25</v>
      </c>
      <c r="BS107" s="1984">
        <f t="shared" ref="BS107" si="194">BS106-BR106</f>
        <v>343.75</v>
      </c>
      <c r="BT107" s="1984">
        <f t="shared" ref="BT107" si="195">BT106-BS106</f>
        <v>275</v>
      </c>
      <c r="BU107" s="1984">
        <f>BR106-BQ106</f>
        <v>381.25</v>
      </c>
      <c r="BV107" s="1984">
        <f>BS106-BR106</f>
        <v>343.75</v>
      </c>
      <c r="BW107" s="1984">
        <f>BT106-BS106</f>
        <v>275</v>
      </c>
      <c r="BX107" s="1984">
        <f>BX106-BT106</f>
        <v>899.9375</v>
      </c>
      <c r="BY107" s="1985">
        <f t="shared" si="191"/>
        <v>45.018750000000182</v>
      </c>
      <c r="BZ107" s="36"/>
      <c r="CA107" s="36"/>
      <c r="CB107" s="36"/>
      <c r="CC107" s="36"/>
      <c r="CD107" s="36"/>
      <c r="CE107" s="36"/>
      <c r="CF107" s="36"/>
    </row>
    <row r="108" spans="1:84" s="90" customFormat="1" ht="11.25" hidden="1" customHeight="1" outlineLevel="1">
      <c r="I108" s="1059" t="s">
        <v>560</v>
      </c>
      <c r="J108" s="413"/>
      <c r="K108" s="413"/>
      <c r="L108" s="413"/>
      <c r="M108" s="1238"/>
      <c r="N108" s="1238"/>
      <c r="O108" s="1238"/>
      <c r="P108" s="1238"/>
      <c r="Q108" s="1269"/>
      <c r="R108" s="1238"/>
      <c r="S108" s="1238"/>
      <c r="T108" s="1270"/>
      <c r="U108" s="1238"/>
      <c r="V108" s="1238"/>
      <c r="W108" s="1238"/>
      <c r="X108" s="1238"/>
      <c r="Y108" s="1269"/>
      <c r="Z108" s="1238"/>
      <c r="AA108" s="1238"/>
      <c r="AB108" s="1270"/>
      <c r="AC108" s="1259"/>
      <c r="AD108" s="1247"/>
      <c r="AE108" s="1247"/>
      <c r="AF108" s="1247"/>
      <c r="AG108" s="1281">
        <f t="shared" ref="AG108:AR108" si="196">(AG98)/(AG106-AC106)*1000000</f>
        <v>23714.285714285714</v>
      </c>
      <c r="AH108" s="1277">
        <f t="shared" si="196"/>
        <v>19499.999999999996</v>
      </c>
      <c r="AI108" s="1277">
        <f t="shared" si="196"/>
        <v>16363.636363636366</v>
      </c>
      <c r="AJ108" s="1282">
        <f t="shared" si="196"/>
        <v>42769.230769230773</v>
      </c>
      <c r="AK108" s="1281">
        <f t="shared" si="196"/>
        <v>28428.571428571428</v>
      </c>
      <c r="AL108" s="1277">
        <f t="shared" si="196"/>
        <v>23692.307692307691</v>
      </c>
      <c r="AM108" s="1277">
        <f t="shared" si="196"/>
        <v>28250</v>
      </c>
      <c r="AN108" s="1282">
        <f t="shared" si="196"/>
        <v>18400.000000000007</v>
      </c>
      <c r="AO108" s="1277">
        <f t="shared" si="196"/>
        <v>33200</v>
      </c>
      <c r="AP108" s="1277">
        <f t="shared" si="196"/>
        <v>37360</v>
      </c>
      <c r="AQ108" s="1277">
        <f t="shared" si="196"/>
        <v>44800</v>
      </c>
      <c r="AR108" s="1282">
        <f t="shared" si="196"/>
        <v>0</v>
      </c>
      <c r="AS108" s="2104"/>
      <c r="AT108" s="430"/>
      <c r="AU108" s="1247"/>
      <c r="AV108" s="2105"/>
      <c r="AW108" s="2104"/>
      <c r="AX108" s="430"/>
      <c r="AY108" s="1247"/>
      <c r="AZ108" s="2105"/>
      <c r="BA108" s="2104"/>
      <c r="BB108" s="430"/>
      <c r="BC108" s="1247"/>
      <c r="BD108" s="2105"/>
      <c r="BE108" s="2354"/>
      <c r="BF108" s="1238"/>
      <c r="BG108" s="1238"/>
      <c r="BH108" s="1238"/>
      <c r="BI108" s="1238"/>
      <c r="BJ108" s="1238"/>
      <c r="BK108" s="1238"/>
      <c r="BL108" s="1277"/>
      <c r="BM108" s="1432">
        <f>(BM98)/BM107*1000000</f>
        <v>104000.00000000001</v>
      </c>
      <c r="BN108" s="1432">
        <f>(BN98)/BN107*1000000</f>
        <v>132615.3846153846</v>
      </c>
      <c r="BO108" s="1432">
        <f>(BO98)/BO107*1000000</f>
        <v>108512.82051282052</v>
      </c>
      <c r="BP108" s="1432">
        <f>(BP98)/BP107*1000000</f>
        <v>102399.99999999999</v>
      </c>
      <c r="BQ108" s="1432">
        <f t="shared" ref="BQ108:BY108" si="197">+BP108*(1+BQ109)</f>
        <v>112640</v>
      </c>
      <c r="BR108" s="1432">
        <f t="shared" si="197"/>
        <v>123904.00000000001</v>
      </c>
      <c r="BS108" s="1432">
        <f t="shared" si="197"/>
        <v>133816.32000000004</v>
      </c>
      <c r="BT108" s="1432">
        <f t="shared" si="197"/>
        <v>144521.62560000006</v>
      </c>
      <c r="BU108" s="1432">
        <f t="shared" si="197"/>
        <v>156083.35564800008</v>
      </c>
      <c r="BV108" s="1432">
        <f t="shared" si="197"/>
        <v>168570.02409984011</v>
      </c>
      <c r="BW108" s="1432">
        <f t="shared" si="197"/>
        <v>182055.62602782733</v>
      </c>
      <c r="BX108" s="1432">
        <f t="shared" si="197"/>
        <v>196620.07611005352</v>
      </c>
      <c r="BY108" s="1462">
        <f t="shared" si="197"/>
        <v>212349.6821988578</v>
      </c>
    </row>
    <row r="109" spans="1:84" s="42" customFormat="1" ht="11.25" hidden="1" customHeight="1" outlineLevel="1">
      <c r="I109" s="1012" t="s">
        <v>554</v>
      </c>
      <c r="J109" s="228"/>
      <c r="K109" s="228"/>
      <c r="L109" s="228"/>
      <c r="M109" s="1268"/>
      <c r="N109" s="1268"/>
      <c r="O109" s="1268"/>
      <c r="P109" s="1268"/>
      <c r="Q109" s="2106"/>
      <c r="R109" s="1268"/>
      <c r="S109" s="1268"/>
      <c r="T109" s="2107"/>
      <c r="U109" s="1268"/>
      <c r="V109" s="1268"/>
      <c r="W109" s="1268"/>
      <c r="X109" s="1268"/>
      <c r="Y109" s="2106"/>
      <c r="Z109" s="1268"/>
      <c r="AA109" s="1268"/>
      <c r="AB109" s="2107"/>
      <c r="AC109" s="588"/>
      <c r="AD109" s="1050"/>
      <c r="AE109" s="1050"/>
      <c r="AF109" s="1050"/>
      <c r="AG109" s="1049"/>
      <c r="AH109" s="403"/>
      <c r="AI109" s="1050"/>
      <c r="AJ109" s="1051"/>
      <c r="AK109" s="1260">
        <f t="shared" ref="AK109:AR109" si="198">+AK108/AG108-1</f>
        <v>0.1987951807228916</v>
      </c>
      <c r="AL109" s="403">
        <f t="shared" si="198"/>
        <v>0.21499013806706135</v>
      </c>
      <c r="AM109" s="403">
        <f t="shared" si="198"/>
        <v>0.72638888888888875</v>
      </c>
      <c r="AN109" s="1261">
        <f t="shared" si="198"/>
        <v>-0.56978417266187043</v>
      </c>
      <c r="AO109" s="403">
        <f t="shared" si="198"/>
        <v>0.16783919597989949</v>
      </c>
      <c r="AP109" s="403">
        <f t="shared" si="198"/>
        <v>0.576883116883117</v>
      </c>
      <c r="AQ109" s="403">
        <f t="shared" si="198"/>
        <v>0.58584070796460175</v>
      </c>
      <c r="AR109" s="1261">
        <f t="shared" si="198"/>
        <v>-1</v>
      </c>
      <c r="AS109" s="1049"/>
      <c r="AT109" s="403"/>
      <c r="AU109" s="1050"/>
      <c r="AV109" s="1051"/>
      <c r="AW109" s="1049"/>
      <c r="AX109" s="403"/>
      <c r="AY109" s="1050"/>
      <c r="AZ109" s="1051"/>
      <c r="BA109" s="1049"/>
      <c r="BB109" s="403"/>
      <c r="BC109" s="1050"/>
      <c r="BD109" s="1051"/>
      <c r="BE109" s="883"/>
      <c r="BF109" s="1268"/>
      <c r="BG109" s="1268"/>
      <c r="BH109" s="1268"/>
      <c r="BI109" s="1268"/>
      <c r="BJ109" s="1268"/>
      <c r="BK109" s="1268"/>
      <c r="BL109" s="403"/>
      <c r="BM109" s="403"/>
      <c r="BN109" s="403">
        <f>+BN108/BM108-1</f>
        <v>0.27514792899408236</v>
      </c>
      <c r="BO109" s="403">
        <f>+BO108/BN108-1</f>
        <v>-0.18174787316318619</v>
      </c>
      <c r="BP109" s="403">
        <f>+BP108/BO108-1</f>
        <v>-5.6332703213610724E-2</v>
      </c>
      <c r="BQ109" s="340">
        <v>0.1</v>
      </c>
      <c r="BR109" s="340">
        <v>0.1</v>
      </c>
      <c r="BS109" s="340">
        <v>0.08</v>
      </c>
      <c r="BT109" s="340">
        <v>0.08</v>
      </c>
      <c r="BU109" s="340">
        <v>0.08</v>
      </c>
      <c r="BV109" s="340">
        <v>0.08</v>
      </c>
      <c r="BW109" s="340">
        <v>0.08</v>
      </c>
      <c r="BX109" s="340">
        <v>0.08</v>
      </c>
      <c r="BY109" s="761">
        <v>0.08</v>
      </c>
    </row>
    <row r="110" spans="1:84" s="90" customFormat="1" ht="11.25" hidden="1" customHeight="1" outlineLevel="1">
      <c r="I110" s="994"/>
      <c r="J110" s="413"/>
      <c r="K110" s="413"/>
      <c r="L110" s="413"/>
      <c r="M110" s="1238"/>
      <c r="N110" s="1238"/>
      <c r="O110" s="1238"/>
      <c r="P110" s="1238"/>
      <c r="Q110" s="1269"/>
      <c r="R110" s="1238"/>
      <c r="S110" s="1238"/>
      <c r="T110" s="1270"/>
      <c r="U110" s="1238"/>
      <c r="V110" s="1238"/>
      <c r="W110" s="1238"/>
      <c r="X110" s="1238"/>
      <c r="Y110" s="1269"/>
      <c r="Z110" s="1238"/>
      <c r="AA110" s="1238"/>
      <c r="AB110" s="1270"/>
      <c r="AC110" s="1259"/>
      <c r="AD110" s="1050"/>
      <c r="AE110" s="1050"/>
      <c r="AF110" s="1050"/>
      <c r="AG110" s="1049"/>
      <c r="AH110" s="403"/>
      <c r="AI110" s="1050"/>
      <c r="AJ110" s="1051"/>
      <c r="AK110" s="1049"/>
      <c r="AL110" s="403"/>
      <c r="AM110" s="403"/>
      <c r="AN110" s="1051"/>
      <c r="AO110" s="1050"/>
      <c r="AP110" s="403"/>
      <c r="AQ110" s="403"/>
      <c r="AR110" s="1051"/>
      <c r="AS110" s="1049"/>
      <c r="AT110" s="403"/>
      <c r="AU110" s="1050"/>
      <c r="AV110" s="1051"/>
      <c r="AW110" s="1049"/>
      <c r="AX110" s="403"/>
      <c r="AY110" s="1050"/>
      <c r="AZ110" s="1051"/>
      <c r="BA110" s="1049"/>
      <c r="BB110" s="403"/>
      <c r="BC110" s="1050"/>
      <c r="BD110" s="1051"/>
      <c r="BE110" s="2354"/>
      <c r="BF110" s="1238"/>
      <c r="BG110" s="1238"/>
      <c r="BH110" s="1238"/>
      <c r="BI110" s="1238"/>
      <c r="BJ110" s="1238"/>
      <c r="BK110" s="1238"/>
      <c r="BL110" s="430"/>
      <c r="BM110" s="430"/>
      <c r="BN110" s="430"/>
      <c r="BO110" s="430"/>
      <c r="BP110" s="430"/>
      <c r="BQ110" s="430"/>
      <c r="BR110" s="430"/>
      <c r="BS110" s="430"/>
      <c r="BT110" s="430"/>
      <c r="BU110" s="430"/>
      <c r="BV110" s="430"/>
      <c r="BW110" s="430"/>
      <c r="BX110" s="430"/>
      <c r="BY110" s="2222"/>
    </row>
    <row r="111" spans="1:84" s="90" customFormat="1" ht="11.25" hidden="1" customHeight="1" outlineLevel="1">
      <c r="I111" s="1059" t="s">
        <v>561</v>
      </c>
      <c r="J111" s="413"/>
      <c r="K111" s="413"/>
      <c r="L111" s="413"/>
      <c r="M111" s="1238"/>
      <c r="N111" s="1238"/>
      <c r="O111" s="1238"/>
      <c r="P111" s="1238"/>
      <c r="Q111" s="1269"/>
      <c r="R111" s="1238"/>
      <c r="S111" s="1238"/>
      <c r="T111" s="1270"/>
      <c r="U111" s="1238"/>
      <c r="V111" s="1238"/>
      <c r="W111" s="1238"/>
      <c r="X111" s="1238"/>
      <c r="Y111" s="1269"/>
      <c r="Z111" s="1238"/>
      <c r="AA111" s="1238"/>
      <c r="AB111" s="1270"/>
      <c r="AC111" s="1259"/>
      <c r="AD111" s="1247"/>
      <c r="AE111" s="1247"/>
      <c r="AF111" s="1247"/>
      <c r="AG111" s="1461">
        <f t="shared" ref="AG111:AR111" si="199">AG100/(AG106-AC106)*1000000</f>
        <v>4285.7142857142862</v>
      </c>
      <c r="AH111" s="1432">
        <f t="shared" si="199"/>
        <v>4750</v>
      </c>
      <c r="AI111" s="1432">
        <f t="shared" si="199"/>
        <v>3090.909090909091</v>
      </c>
      <c r="AJ111" s="1462">
        <f t="shared" si="199"/>
        <v>2769.2307692307704</v>
      </c>
      <c r="AK111" s="1461">
        <f t="shared" si="199"/>
        <v>2000</v>
      </c>
      <c r="AL111" s="1432">
        <f t="shared" si="199"/>
        <v>1846.1538461538462</v>
      </c>
      <c r="AM111" s="1432">
        <f t="shared" si="199"/>
        <v>4000</v>
      </c>
      <c r="AN111" s="1462">
        <f t="shared" si="199"/>
        <v>3600.0000000000018</v>
      </c>
      <c r="AO111" s="1432">
        <f t="shared" si="199"/>
        <v>2000</v>
      </c>
      <c r="AP111" s="1432">
        <f t="shared" si="199"/>
        <v>1600</v>
      </c>
      <c r="AQ111" s="1432">
        <f t="shared" si="199"/>
        <v>400</v>
      </c>
      <c r="AR111" s="1462">
        <f t="shared" si="199"/>
        <v>0</v>
      </c>
      <c r="AS111" s="2104"/>
      <c r="AT111" s="430"/>
      <c r="AU111" s="1247"/>
      <c r="AV111" s="2105"/>
      <c r="AW111" s="2104"/>
      <c r="AX111" s="430"/>
      <c r="AY111" s="1247"/>
      <c r="AZ111" s="2105"/>
      <c r="BA111" s="2104"/>
      <c r="BB111" s="430"/>
      <c r="BC111" s="1247"/>
      <c r="BD111" s="2105"/>
      <c r="BE111" s="2354"/>
      <c r="BF111" s="1238"/>
      <c r="BG111" s="1238"/>
      <c r="BH111" s="1238"/>
      <c r="BI111" s="1238"/>
      <c r="BJ111" s="1238"/>
      <c r="BK111" s="1238"/>
      <c r="BL111" s="430"/>
      <c r="BM111" s="1277">
        <f t="shared" ref="BM111:BY111" si="200">BM100/BM107*1000000</f>
        <v>15720.930232558145</v>
      </c>
      <c r="BN111" s="1277">
        <f t="shared" si="200"/>
        <v>15384.615384615385</v>
      </c>
      <c r="BO111" s="1277">
        <f t="shared" si="200"/>
        <v>14153.846153846154</v>
      </c>
      <c r="BP111" s="1277">
        <f>BP100/BP107*1000000</f>
        <v>10199.999999999998</v>
      </c>
      <c r="BQ111" s="1277">
        <f t="shared" si="200"/>
        <v>3485.2173913043562</v>
      </c>
      <c r="BR111" s="1277">
        <f t="shared" si="200"/>
        <v>4928.3565094684927</v>
      </c>
      <c r="BS111" s="1277">
        <f t="shared" si="200"/>
        <v>10465.373993623809</v>
      </c>
      <c r="BT111" s="1277">
        <f t="shared" si="200"/>
        <v>12209.602992561124</v>
      </c>
      <c r="BU111" s="1277">
        <f t="shared" si="200"/>
        <v>6781.3335965241013</v>
      </c>
      <c r="BV111" s="1277">
        <f t="shared" si="200"/>
        <v>5748.2810888977838</v>
      </c>
      <c r="BW111" s="1277">
        <f t="shared" si="200"/>
        <v>7544.6189291782994</v>
      </c>
      <c r="BX111" s="1277">
        <f t="shared" si="200"/>
        <v>2420.7333462604324</v>
      </c>
      <c r="BY111" s="1282">
        <f t="shared" si="200"/>
        <v>50810.698910792613</v>
      </c>
    </row>
    <row r="112" spans="1:84" s="90" customFormat="1" ht="11.25" hidden="1" customHeight="1" outlineLevel="1">
      <c r="I112" s="1012" t="s">
        <v>554</v>
      </c>
      <c r="J112" s="413"/>
      <c r="K112" s="413"/>
      <c r="L112" s="413"/>
      <c r="M112" s="1238"/>
      <c r="N112" s="1238"/>
      <c r="O112" s="1238"/>
      <c r="P112" s="1238"/>
      <c r="Q112" s="1269"/>
      <c r="R112" s="1238"/>
      <c r="S112" s="1238"/>
      <c r="T112" s="1270"/>
      <c r="U112" s="1238"/>
      <c r="V112" s="1238"/>
      <c r="W112" s="1238"/>
      <c r="X112" s="1238"/>
      <c r="Y112" s="1269"/>
      <c r="Z112" s="1238"/>
      <c r="AA112" s="1238"/>
      <c r="AB112" s="1270"/>
      <c r="AC112" s="1259"/>
      <c r="AD112" s="1050"/>
      <c r="AE112" s="1050"/>
      <c r="AF112" s="1050"/>
      <c r="AG112" s="1260"/>
      <c r="AH112" s="403"/>
      <c r="AI112" s="403"/>
      <c r="AJ112" s="403"/>
      <c r="AK112" s="1260">
        <f t="shared" ref="AK112:AR112" si="201">+AK111/AG111-1</f>
        <v>-0.53333333333333344</v>
      </c>
      <c r="AL112" s="403">
        <f t="shared" si="201"/>
        <v>-0.61133603238866396</v>
      </c>
      <c r="AM112" s="403">
        <f t="shared" si="201"/>
        <v>0.29411764705882359</v>
      </c>
      <c r="AN112" s="1261">
        <f t="shared" si="201"/>
        <v>0.30000000000000004</v>
      </c>
      <c r="AO112" s="403">
        <f t="shared" si="201"/>
        <v>0</v>
      </c>
      <c r="AP112" s="403">
        <f t="shared" si="201"/>
        <v>-0.1333333333333333</v>
      </c>
      <c r="AQ112" s="403">
        <f t="shared" si="201"/>
        <v>-0.9</v>
      </c>
      <c r="AR112" s="1261">
        <f t="shared" si="201"/>
        <v>-1</v>
      </c>
      <c r="AS112" s="1049"/>
      <c r="AT112" s="403"/>
      <c r="AU112" s="1050"/>
      <c r="AV112" s="1051"/>
      <c r="AW112" s="1049"/>
      <c r="AX112" s="403"/>
      <c r="AY112" s="1050"/>
      <c r="AZ112" s="1051"/>
      <c r="BA112" s="1049"/>
      <c r="BB112" s="403"/>
      <c r="BC112" s="1050"/>
      <c r="BD112" s="1051"/>
      <c r="BE112" s="2354"/>
      <c r="BF112" s="1238"/>
      <c r="BG112" s="1238"/>
      <c r="BH112" s="1238"/>
      <c r="BI112" s="1238"/>
      <c r="BJ112" s="1238"/>
      <c r="BK112" s="1238"/>
      <c r="BL112" s="430"/>
      <c r="BM112" s="430"/>
      <c r="BN112" s="403">
        <f t="shared" ref="BN112:BY112" si="202">+BN111/BM111-1</f>
        <v>-2.1392808375057193E-2</v>
      </c>
      <c r="BO112" s="403">
        <f t="shared" si="202"/>
        <v>-7.999999999999996E-2</v>
      </c>
      <c r="BP112" s="403">
        <f t="shared" si="202"/>
        <v>-0.27934782608695663</v>
      </c>
      <c r="BQ112" s="403">
        <f t="shared" si="202"/>
        <v>-0.65831202046035719</v>
      </c>
      <c r="BR112" s="403">
        <f t="shared" si="202"/>
        <v>0.4140743477766351</v>
      </c>
      <c r="BS112" s="403">
        <f t="shared" si="202"/>
        <v>1.123501815162407</v>
      </c>
      <c r="BT112" s="403">
        <f t="shared" si="202"/>
        <v>0.16666666666666785</v>
      </c>
      <c r="BU112" s="403">
        <f t="shared" si="202"/>
        <v>-0.44459016393442718</v>
      </c>
      <c r="BV112" s="403">
        <f t="shared" si="202"/>
        <v>-0.15233766233765988</v>
      </c>
      <c r="BW112" s="403">
        <f t="shared" si="202"/>
        <v>0.31249999999999267</v>
      </c>
      <c r="BX112" s="403">
        <f t="shared" si="202"/>
        <v>-0.67914438502673591</v>
      </c>
      <c r="BY112" s="1261">
        <f t="shared" si="202"/>
        <v>19.989795918367207</v>
      </c>
    </row>
    <row r="113" spans="1:84" s="90" customFormat="1" ht="11.25" hidden="1" customHeight="1" outlineLevel="1">
      <c r="I113" s="1012"/>
      <c r="J113" s="413"/>
      <c r="K113" s="413"/>
      <c r="L113" s="413"/>
      <c r="M113" s="1238"/>
      <c r="N113" s="1238"/>
      <c r="O113" s="1238"/>
      <c r="P113" s="1238"/>
      <c r="Q113" s="1269"/>
      <c r="R113" s="1238"/>
      <c r="S113" s="1238"/>
      <c r="T113" s="1270"/>
      <c r="U113" s="1238"/>
      <c r="V113" s="1238"/>
      <c r="W113" s="1238"/>
      <c r="X113" s="1238"/>
      <c r="Y113" s="1269"/>
      <c r="Z113" s="1238"/>
      <c r="AA113" s="1238"/>
      <c r="AB113" s="1270"/>
      <c r="AC113" s="1259"/>
      <c r="AD113" s="1050"/>
      <c r="AE113" s="1050"/>
      <c r="AF113" s="1050"/>
      <c r="AG113" s="1049"/>
      <c r="AH113" s="403"/>
      <c r="AI113" s="1050"/>
      <c r="AJ113" s="1051"/>
      <c r="AK113" s="1049"/>
      <c r="AL113" s="403"/>
      <c r="AM113" s="403"/>
      <c r="AN113" s="1051"/>
      <c r="AO113" s="1050"/>
      <c r="AP113" s="403"/>
      <c r="AQ113" s="403"/>
      <c r="AR113" s="1051"/>
      <c r="AS113" s="1049"/>
      <c r="AT113" s="403"/>
      <c r="AU113" s="1050"/>
      <c r="AV113" s="1051"/>
      <c r="AW113" s="1049"/>
      <c r="AX113" s="403"/>
      <c r="AY113" s="1050"/>
      <c r="AZ113" s="1051"/>
      <c r="BA113" s="1049"/>
      <c r="BB113" s="403"/>
      <c r="BC113" s="1050"/>
      <c r="BD113" s="1051"/>
      <c r="BE113" s="2354"/>
      <c r="BF113" s="1238"/>
      <c r="BG113" s="1238"/>
      <c r="BH113" s="1238"/>
      <c r="BI113" s="1238"/>
      <c r="BJ113" s="1238"/>
      <c r="BK113" s="1238"/>
      <c r="BL113" s="430"/>
      <c r="BM113" s="430"/>
      <c r="BN113" s="403"/>
      <c r="BO113" s="403"/>
      <c r="BP113" s="403"/>
      <c r="BQ113" s="403"/>
      <c r="BR113" s="403"/>
      <c r="BS113" s="403"/>
      <c r="BT113" s="403"/>
      <c r="BU113" s="403"/>
      <c r="BV113" s="403"/>
      <c r="BW113" s="403"/>
      <c r="BX113" s="403"/>
      <c r="BY113" s="1261"/>
    </row>
    <row r="114" spans="1:84" s="41" customFormat="1" ht="11.25" hidden="1" customHeight="1" outlineLevel="1">
      <c r="A114" s="29"/>
      <c r="B114" s="29"/>
      <c r="C114" s="29"/>
      <c r="D114" s="29"/>
      <c r="E114" s="29"/>
      <c r="F114" s="29"/>
      <c r="G114" s="29"/>
      <c r="H114" s="29"/>
      <c r="I114" s="1316" t="s">
        <v>568</v>
      </c>
      <c r="J114" s="2"/>
      <c r="K114" s="2"/>
      <c r="L114" s="2"/>
      <c r="M114" s="1235"/>
      <c r="N114" s="1235"/>
      <c r="O114" s="1235"/>
      <c r="P114" s="1235"/>
      <c r="Q114" s="1236"/>
      <c r="R114" s="1235"/>
      <c r="S114" s="1235"/>
      <c r="T114" s="1237"/>
      <c r="U114" s="1235"/>
      <c r="V114" s="1235"/>
      <c r="W114" s="1235"/>
      <c r="X114" s="1235"/>
      <c r="Y114" s="1236"/>
      <c r="Z114" s="1235"/>
      <c r="AA114" s="1235"/>
      <c r="AB114" s="1237"/>
      <c r="AC114" s="1259"/>
      <c r="AD114" s="1050"/>
      <c r="AE114" s="1050"/>
      <c r="AF114" s="1050"/>
      <c r="AG114" s="2210">
        <f t="shared" ref="AG114:AO114" si="203">AG10-AC10</f>
        <v>35.393000000000001</v>
      </c>
      <c r="AH114" s="1913">
        <f t="shared" si="203"/>
        <v>36.812999999999988</v>
      </c>
      <c r="AI114" s="1913">
        <f t="shared" si="203"/>
        <v>32.144999999999996</v>
      </c>
      <c r="AJ114" s="2212">
        <f t="shared" si="203"/>
        <v>36.812999999999988</v>
      </c>
      <c r="AK114" s="1913">
        <f t="shared" si="203"/>
        <v>46.813000000000002</v>
      </c>
      <c r="AL114" s="1913">
        <f t="shared" si="203"/>
        <v>47.828000000000003</v>
      </c>
      <c r="AM114" s="1913">
        <f t="shared" si="203"/>
        <v>51.632000000000005</v>
      </c>
      <c r="AN114" s="2212">
        <f t="shared" si="203"/>
        <v>48.096000000000004</v>
      </c>
      <c r="AO114" s="1278">
        <f t="shared" si="203"/>
        <v>38.710000000000008</v>
      </c>
      <c r="AP114" s="1913">
        <f>AP10-AL10</f>
        <v>35.436000000000007</v>
      </c>
      <c r="AQ114" s="1913">
        <f>AQ10-AM10</f>
        <v>36.147999999999996</v>
      </c>
      <c r="AR114" s="2212">
        <f t="shared" ref="AR114" si="204">AR10-AN10</f>
        <v>23.450000000000017</v>
      </c>
      <c r="AS114" s="1049"/>
      <c r="AT114" s="1050"/>
      <c r="AU114" s="1050"/>
      <c r="AV114" s="1051"/>
      <c r="AW114" s="1049"/>
      <c r="AX114" s="1050"/>
      <c r="AY114" s="1050"/>
      <c r="AZ114" s="1051"/>
      <c r="BA114" s="1049"/>
      <c r="BB114" s="1050"/>
      <c r="BC114" s="1050"/>
      <c r="BD114" s="1051"/>
      <c r="BE114" s="2354"/>
      <c r="BF114" s="1235"/>
      <c r="BG114" s="1235"/>
      <c r="BH114" s="1235"/>
      <c r="BI114" s="1235"/>
      <c r="BJ114" s="1235"/>
      <c r="BK114" s="1235"/>
      <c r="BL114" s="1913">
        <f>BL10-BK10</f>
        <v>54.280999999999977</v>
      </c>
      <c r="BM114" s="1913">
        <f t="shared" ref="BM114:BS114" si="205">BM10-BL10</f>
        <v>95.422000000000025</v>
      </c>
      <c r="BN114" s="1913">
        <f t="shared" si="205"/>
        <v>144.548</v>
      </c>
      <c r="BO114" s="1913">
        <f t="shared" si="205"/>
        <v>141.16400000000004</v>
      </c>
      <c r="BP114" s="1913">
        <f t="shared" si="205"/>
        <v>194.36899999999991</v>
      </c>
      <c r="BQ114" s="1913">
        <f t="shared" si="205"/>
        <v>133.74400000000003</v>
      </c>
      <c r="BR114" s="1913">
        <f t="shared" si="205"/>
        <v>113.18700000000001</v>
      </c>
      <c r="BS114" s="1913">
        <f t="shared" si="205"/>
        <v>156.40000000000009</v>
      </c>
      <c r="BT114" s="1913">
        <f t="shared" ref="BT114:BY114" si="206">BT10-BS10</f>
        <v>144.19999999999982</v>
      </c>
      <c r="BU114" s="1913">
        <f t="shared" si="206"/>
        <v>140</v>
      </c>
      <c r="BV114" s="1913">
        <f t="shared" si="206"/>
        <v>137</v>
      </c>
      <c r="BW114" s="1913">
        <f t="shared" si="206"/>
        <v>133</v>
      </c>
      <c r="BX114" s="1913">
        <f t="shared" si="206"/>
        <v>129</v>
      </c>
      <c r="BY114" s="2212">
        <f t="shared" si="206"/>
        <v>126</v>
      </c>
      <c r="BZ114" s="29"/>
      <c r="CA114" s="29"/>
      <c r="CB114" s="29"/>
      <c r="CC114" s="29"/>
      <c r="CD114" s="29"/>
      <c r="CE114" s="29"/>
      <c r="CF114" s="29"/>
    </row>
    <row r="115" spans="1:84" ht="11.25" hidden="1" customHeight="1" outlineLevel="1">
      <c r="A115" s="36"/>
      <c r="B115" s="36"/>
      <c r="C115" s="36"/>
      <c r="D115" s="36"/>
      <c r="E115" s="36"/>
      <c r="F115" s="36"/>
      <c r="G115" s="36"/>
      <c r="H115" s="36"/>
      <c r="I115" s="1274" t="s">
        <v>570</v>
      </c>
      <c r="J115" s="5"/>
      <c r="K115" s="5"/>
      <c r="L115" s="5"/>
      <c r="M115" s="1263"/>
      <c r="N115" s="1263"/>
      <c r="O115" s="1263"/>
      <c r="P115" s="1263"/>
      <c r="Q115" s="1264"/>
      <c r="R115" s="1263"/>
      <c r="S115" s="1263"/>
      <c r="T115" s="1265"/>
      <c r="U115" s="1263"/>
      <c r="V115" s="1263"/>
      <c r="W115" s="1263"/>
      <c r="X115" s="1263"/>
      <c r="Y115" s="1264"/>
      <c r="Z115" s="1263"/>
      <c r="AA115" s="1263"/>
      <c r="AB115" s="1265"/>
      <c r="AC115" s="588"/>
      <c r="AD115" s="1050"/>
      <c r="AE115" s="1050"/>
      <c r="AF115" s="1050"/>
      <c r="AG115" s="2447">
        <f t="shared" ref="AG115:AL115" si="207">+AG101/AG114</f>
        <v>0.1356200378605939</v>
      </c>
      <c r="AH115" s="2448">
        <f t="shared" si="207"/>
        <v>0.19286665036807654</v>
      </c>
      <c r="AI115" s="2448">
        <f t="shared" si="207"/>
        <v>0.32664489034064398</v>
      </c>
      <c r="AJ115" s="2449">
        <f t="shared" si="207"/>
        <v>-0.14397087985222609</v>
      </c>
      <c r="AK115" s="2448">
        <f t="shared" si="207"/>
        <v>5.5540127742293804E-2</v>
      </c>
      <c r="AL115" s="2448">
        <f t="shared" si="207"/>
        <v>5.8543112820941698E-2</v>
      </c>
      <c r="AM115" s="2448">
        <f t="shared" ref="AM115:AR115" si="208">+AM101/AM114</f>
        <v>3.8735667802912918E-2</v>
      </c>
      <c r="AN115" s="2449">
        <f t="shared" si="208"/>
        <v>5.4058549567531589E-2</v>
      </c>
      <c r="AO115" s="2743">
        <f t="shared" si="208"/>
        <v>4.6499612503229135E-2</v>
      </c>
      <c r="AP115" s="2448">
        <f t="shared" si="208"/>
        <v>1.4109944689016817E-2</v>
      </c>
      <c r="AQ115" s="2448">
        <f t="shared" si="208"/>
        <v>7.1926524289033983E-2</v>
      </c>
      <c r="AR115" s="2449">
        <f t="shared" si="208"/>
        <v>0</v>
      </c>
      <c r="AS115" s="1049"/>
      <c r="AT115" s="1050"/>
      <c r="AU115" s="1050"/>
      <c r="AV115" s="1051"/>
      <c r="AW115" s="1049"/>
      <c r="AX115" s="1050"/>
      <c r="AY115" s="1050"/>
      <c r="AZ115" s="1051"/>
      <c r="BA115" s="1049"/>
      <c r="BB115" s="1050"/>
      <c r="BC115" s="1050"/>
      <c r="BD115" s="1051"/>
      <c r="BE115" s="883"/>
      <c r="BF115" s="1263"/>
      <c r="BG115" s="1263"/>
      <c r="BH115" s="1263"/>
      <c r="BI115" s="1263"/>
      <c r="BJ115" s="1263"/>
      <c r="BK115" s="1263"/>
      <c r="BL115" s="2448">
        <f>+BL101/BL114</f>
        <v>9.2113262467530113E-2</v>
      </c>
      <c r="BM115" s="2448">
        <f>+BM101/BM114</f>
        <v>6.7070486889815747E-2</v>
      </c>
      <c r="BN115" s="2448">
        <f>+BN101/BN114</f>
        <v>8.1633782549741268E-2</v>
      </c>
      <c r="BO115" s="2448">
        <f>+BO101/BO114</f>
        <v>0.12113570032019493</v>
      </c>
      <c r="BP115" s="2591">
        <f>+BP101/BP114</f>
        <v>5.1448533459553761E-2</v>
      </c>
      <c r="BQ115" s="1230">
        <v>0.06</v>
      </c>
      <c r="BR115" s="1230">
        <f t="shared" ref="BR115:BY115" si="209">BQ115</f>
        <v>0.06</v>
      </c>
      <c r="BS115" s="1230">
        <f t="shared" si="209"/>
        <v>0.06</v>
      </c>
      <c r="BT115" s="1230">
        <f t="shared" si="209"/>
        <v>0.06</v>
      </c>
      <c r="BU115" s="1230">
        <f t="shared" si="209"/>
        <v>0.06</v>
      </c>
      <c r="BV115" s="1230">
        <f t="shared" si="209"/>
        <v>0.06</v>
      </c>
      <c r="BW115" s="1230">
        <f t="shared" si="209"/>
        <v>0.06</v>
      </c>
      <c r="BX115" s="1230">
        <f t="shared" si="209"/>
        <v>0.06</v>
      </c>
      <c r="BY115" s="1231">
        <f t="shared" si="209"/>
        <v>0.06</v>
      </c>
      <c r="BZ115" s="36"/>
      <c r="CA115" s="36"/>
      <c r="CB115" s="36"/>
      <c r="CC115" s="36"/>
      <c r="CD115" s="36"/>
      <c r="CE115" s="36"/>
      <c r="CF115" s="36"/>
    </row>
    <row r="116" spans="1:84" s="41" customFormat="1" ht="11.25" hidden="1" customHeight="1" outlineLevel="1">
      <c r="A116" s="29"/>
      <c r="B116" s="29"/>
      <c r="C116" s="29"/>
      <c r="D116" s="29"/>
      <c r="E116" s="29"/>
      <c r="F116" s="29"/>
      <c r="G116" s="29"/>
      <c r="H116" s="29"/>
      <c r="I116" s="857"/>
      <c r="J116" s="2"/>
      <c r="K116" s="2"/>
      <c r="L116" s="2"/>
      <c r="M116" s="1235"/>
      <c r="N116" s="1235"/>
      <c r="O116" s="1235"/>
      <c r="P116" s="1235"/>
      <c r="Q116" s="1236"/>
      <c r="R116" s="1235"/>
      <c r="S116" s="1235"/>
      <c r="T116" s="1237"/>
      <c r="U116" s="1235"/>
      <c r="V116" s="1235"/>
      <c r="W116" s="1235"/>
      <c r="X116" s="1235"/>
      <c r="Y116" s="1236"/>
      <c r="Z116" s="1235"/>
      <c r="AA116" s="1235"/>
      <c r="AB116" s="1237"/>
      <c r="AC116" s="1259"/>
      <c r="AD116" s="1050"/>
      <c r="AE116" s="1050"/>
      <c r="AF116" s="1050"/>
      <c r="AG116" s="1049"/>
      <c r="AH116" s="1050"/>
      <c r="AI116" s="1050"/>
      <c r="AJ116" s="1051"/>
      <c r="AK116" s="1049"/>
      <c r="AL116" s="1050"/>
      <c r="AM116" s="1050"/>
      <c r="AN116" s="1051"/>
      <c r="AO116" s="1050"/>
      <c r="AP116" s="1050"/>
      <c r="AQ116" s="1050"/>
      <c r="AR116" s="1051"/>
      <c r="AS116" s="1049"/>
      <c r="AT116" s="1050"/>
      <c r="AU116" s="1050"/>
      <c r="AV116" s="1051"/>
      <c r="AW116" s="1049"/>
      <c r="AX116" s="1050"/>
      <c r="AY116" s="1050"/>
      <c r="AZ116" s="1051"/>
      <c r="BA116" s="1049"/>
      <c r="BB116" s="1050"/>
      <c r="BC116" s="1050"/>
      <c r="BD116" s="1051"/>
      <c r="BE116" s="2354"/>
      <c r="BF116" s="1235"/>
      <c r="BG116" s="1235"/>
      <c r="BH116" s="1235"/>
      <c r="BI116" s="1235"/>
      <c r="BJ116" s="1235"/>
      <c r="BK116" s="1235"/>
      <c r="BL116" s="1913"/>
      <c r="BM116" s="1913"/>
      <c r="BN116" s="1913"/>
      <c r="BO116" s="1913"/>
      <c r="BP116" s="1913"/>
      <c r="BQ116" s="1913"/>
      <c r="BR116" s="1913"/>
      <c r="BS116" s="1913"/>
      <c r="BT116" s="1913"/>
      <c r="BU116" s="1913"/>
      <c r="BV116" s="1913"/>
      <c r="BW116" s="1913"/>
      <c r="BX116" s="1913"/>
      <c r="BY116" s="2212"/>
      <c r="BZ116" s="29"/>
      <c r="CA116" s="29"/>
      <c r="CB116" s="29"/>
      <c r="CC116" s="29"/>
      <c r="CD116" s="29"/>
      <c r="CE116" s="29"/>
      <c r="CF116" s="29"/>
    </row>
    <row r="117" spans="1:84" s="90" customFormat="1" ht="11.25" hidden="1" customHeight="1" outlineLevel="1">
      <c r="I117" s="994"/>
      <c r="J117" s="413"/>
      <c r="K117" s="413"/>
      <c r="L117" s="413"/>
      <c r="M117" s="1238"/>
      <c r="N117" s="1238"/>
      <c r="O117" s="1238"/>
      <c r="P117" s="1238"/>
      <c r="Q117" s="1269"/>
      <c r="R117" s="1238"/>
      <c r="S117" s="1238"/>
      <c r="T117" s="1270"/>
      <c r="U117" s="1238"/>
      <c r="V117" s="1238"/>
      <c r="W117" s="1238"/>
      <c r="X117" s="1238"/>
      <c r="Y117" s="1269"/>
      <c r="Z117" s="1238"/>
      <c r="AA117" s="1238"/>
      <c r="AB117" s="1270"/>
      <c r="AC117" s="1259"/>
      <c r="AD117" s="1050"/>
      <c r="AE117" s="1050"/>
      <c r="AF117" s="1050"/>
      <c r="AG117" s="1049"/>
      <c r="AH117" s="403"/>
      <c r="AI117" s="1050"/>
      <c r="AJ117" s="1051"/>
      <c r="AK117" s="1049"/>
      <c r="AL117" s="403"/>
      <c r="AM117" s="1050"/>
      <c r="AN117" s="1051"/>
      <c r="AO117" s="1049"/>
      <c r="AP117" s="403"/>
      <c r="AQ117" s="1050"/>
      <c r="AR117" s="1051"/>
      <c r="AS117" s="1049"/>
      <c r="AT117" s="403"/>
      <c r="AU117" s="1050"/>
      <c r="AV117" s="1051"/>
      <c r="AW117" s="1049"/>
      <c r="AX117" s="403"/>
      <c r="AY117" s="1050"/>
      <c r="AZ117" s="1051"/>
      <c r="BA117" s="1049"/>
      <c r="BB117" s="403"/>
      <c r="BC117" s="1050"/>
      <c r="BD117" s="1051"/>
      <c r="BE117" s="2354"/>
      <c r="BF117" s="1238"/>
      <c r="BG117" s="1238"/>
      <c r="BH117" s="1238"/>
      <c r="BI117" s="1238"/>
      <c r="BJ117" s="1238"/>
      <c r="BK117" s="1238"/>
      <c r="BL117" s="430"/>
      <c r="BM117" s="430"/>
      <c r="BN117" s="430"/>
      <c r="BO117" s="430"/>
      <c r="BQ117" s="430"/>
      <c r="BR117" s="430"/>
      <c r="BS117" s="430"/>
      <c r="BT117" s="430"/>
      <c r="BU117" s="430"/>
      <c r="BV117" s="430"/>
      <c r="BW117" s="430"/>
      <c r="BX117" s="430"/>
      <c r="BY117" s="2222"/>
    </row>
    <row r="118" spans="1:84" s="106" customFormat="1" ht="11.25" customHeight="1" collapsed="1">
      <c r="A118" s="54"/>
      <c r="B118" s="54"/>
      <c r="C118" s="54"/>
      <c r="D118" s="54"/>
      <c r="E118" s="54"/>
      <c r="F118" s="54"/>
      <c r="G118" s="54"/>
      <c r="H118" s="54"/>
      <c r="I118" s="769"/>
      <c r="J118" s="324"/>
      <c r="K118" s="324"/>
      <c r="L118" s="324"/>
      <c r="M118" s="325"/>
      <c r="N118" s="325"/>
      <c r="O118" s="325"/>
      <c r="P118" s="325"/>
      <c r="Q118" s="746"/>
      <c r="R118" s="325"/>
      <c r="S118" s="325"/>
      <c r="T118" s="747"/>
      <c r="U118" s="326"/>
      <c r="V118" s="325"/>
      <c r="W118" s="325"/>
      <c r="X118" s="325"/>
      <c r="Y118" s="746"/>
      <c r="Z118" s="325"/>
      <c r="AA118" s="325"/>
      <c r="AB118" s="747"/>
      <c r="AC118" s="325"/>
      <c r="AD118" s="325"/>
      <c r="AE118" s="325"/>
      <c r="AF118" s="325"/>
      <c r="AG118" s="746"/>
      <c r="AH118" s="325"/>
      <c r="AI118" s="325"/>
      <c r="AJ118" s="325"/>
      <c r="AK118" s="746"/>
      <c r="AL118" s="325"/>
      <c r="AM118" s="325"/>
      <c r="AN118" s="747"/>
      <c r="AO118" s="746"/>
      <c r="AP118" s="325"/>
      <c r="AQ118" s="325"/>
      <c r="AR118" s="747"/>
      <c r="AS118" s="746"/>
      <c r="AT118" s="325"/>
      <c r="AU118" s="325"/>
      <c r="AV118" s="747"/>
      <c r="AW118" s="746"/>
      <c r="AX118" s="325"/>
      <c r="AY118" s="325"/>
      <c r="AZ118" s="747"/>
      <c r="BA118" s="746"/>
      <c r="BB118" s="325"/>
      <c r="BC118" s="325"/>
      <c r="BD118" s="747"/>
      <c r="BE118" s="2577"/>
      <c r="BF118" s="323"/>
      <c r="BG118" s="323"/>
      <c r="BH118" s="323"/>
      <c r="BI118" s="323"/>
      <c r="BJ118" s="323"/>
      <c r="BK118" s="323"/>
      <c r="BL118" s="323"/>
      <c r="BM118" s="323"/>
      <c r="BN118" s="323"/>
      <c r="BO118" s="323"/>
      <c r="BP118" s="323"/>
      <c r="BQ118" s="323"/>
      <c r="BR118" s="323"/>
      <c r="BS118" s="323"/>
      <c r="BT118" s="323"/>
      <c r="BU118" s="1643"/>
      <c r="BV118" s="1643"/>
      <c r="BW118" s="1643"/>
      <c r="BX118" s="1643"/>
      <c r="BY118" s="1645"/>
      <c r="BZ118" s="54"/>
      <c r="CA118" s="54"/>
      <c r="CB118" s="54"/>
      <c r="CC118" s="54"/>
      <c r="CD118" s="54"/>
      <c r="CE118" s="54"/>
      <c r="CF118" s="54"/>
    </row>
    <row r="119" spans="1:84" s="83" customFormat="1" ht="11.25" customHeight="1">
      <c r="A119" s="328"/>
      <c r="B119" s="328"/>
      <c r="C119" s="328"/>
      <c r="D119" s="328"/>
      <c r="E119" s="328"/>
      <c r="F119" s="328"/>
      <c r="G119" s="328"/>
      <c r="H119" s="328"/>
      <c r="I119" s="772" t="s">
        <v>245</v>
      </c>
      <c r="J119" s="277"/>
      <c r="K119" s="277"/>
      <c r="L119" s="277"/>
      <c r="M119" s="386">
        <f>M222</f>
        <v>1.1520000000000001</v>
      </c>
      <c r="N119" s="386">
        <f t="shared" ref="N119:AD119" si="210">N222</f>
        <v>1.484</v>
      </c>
      <c r="O119" s="386">
        <f t="shared" si="210"/>
        <v>1.847</v>
      </c>
      <c r="P119" s="386">
        <f t="shared" si="210"/>
        <v>1.8169999999999999</v>
      </c>
      <c r="Q119" s="870">
        <f t="shared" si="210"/>
        <v>2.1720000000000002</v>
      </c>
      <c r="R119" s="386">
        <f t="shared" si="210"/>
        <v>2.488</v>
      </c>
      <c r="S119" s="386">
        <f t="shared" si="210"/>
        <v>3.2069999999999999</v>
      </c>
      <c r="T119" s="881">
        <f t="shared" si="210"/>
        <v>2.9979999999999998</v>
      </c>
      <c r="U119" s="386">
        <f t="shared" si="210"/>
        <v>3.8969999999999998</v>
      </c>
      <c r="V119" s="386">
        <f t="shared" si="210"/>
        <v>4.0360000000000005</v>
      </c>
      <c r="W119" s="386">
        <f t="shared" si="210"/>
        <v>5.2869999999999999</v>
      </c>
      <c r="X119" s="386">
        <f t="shared" si="210"/>
        <v>5.548</v>
      </c>
      <c r="Y119" s="870">
        <f t="shared" si="210"/>
        <v>6.42</v>
      </c>
      <c r="Z119" s="386">
        <f t="shared" si="210"/>
        <v>6.9569999999999999</v>
      </c>
      <c r="AA119" s="386">
        <f t="shared" si="210"/>
        <v>9.4990000000000006</v>
      </c>
      <c r="AB119" s="881">
        <f t="shared" si="210"/>
        <v>9.0969999999999995</v>
      </c>
      <c r="AC119" s="386">
        <f t="shared" si="210"/>
        <v>10.94</v>
      </c>
      <c r="AD119" s="386">
        <f t="shared" si="210"/>
        <v>11.270000000000001</v>
      </c>
      <c r="AE119" s="386">
        <f t="shared" ref="AE119:AJ119" si="211">AE222</f>
        <v>13.561999999999998</v>
      </c>
      <c r="AF119" s="386">
        <f t="shared" si="211"/>
        <v>14.525</v>
      </c>
      <c r="AG119" s="870">
        <f t="shared" si="211"/>
        <v>18.855</v>
      </c>
      <c r="AH119" s="386">
        <f t="shared" si="211"/>
        <v>20.279999999999998</v>
      </c>
      <c r="AI119" s="386">
        <f t="shared" si="211"/>
        <v>22.564</v>
      </c>
      <c r="AJ119" s="386">
        <f t="shared" si="211"/>
        <v>22.655999999999999</v>
      </c>
      <c r="AK119" s="870">
        <f t="shared" ref="AK119:AP119" si="212">AK222</f>
        <v>24.192</v>
      </c>
      <c r="AL119" s="386">
        <f t="shared" si="212"/>
        <v>24.684999999999999</v>
      </c>
      <c r="AM119" s="386">
        <f t="shared" si="212"/>
        <v>27.085000000000001</v>
      </c>
      <c r="AN119" s="386">
        <f t="shared" si="212"/>
        <v>26.265000000000001</v>
      </c>
      <c r="AO119" s="870">
        <f t="shared" si="212"/>
        <v>28.663000000000004</v>
      </c>
      <c r="AP119" s="386">
        <f t="shared" si="212"/>
        <v>30.843000000000004</v>
      </c>
      <c r="AQ119" s="386">
        <f t="shared" ref="AQ119:AR119" si="213">AQ222</f>
        <v>33.858000000000004</v>
      </c>
      <c r="AR119" s="881">
        <f t="shared" si="213"/>
        <v>35.143000000000001</v>
      </c>
      <c r="AS119" s="386">
        <f t="shared" ref="AS119:BD119" si="214">+AO119+AS123</f>
        <v>31.663000000000004</v>
      </c>
      <c r="AT119" s="386">
        <f t="shared" si="214"/>
        <v>33.843000000000004</v>
      </c>
      <c r="AU119" s="386">
        <f t="shared" si="214"/>
        <v>36.858000000000004</v>
      </c>
      <c r="AV119" s="881">
        <f t="shared" si="214"/>
        <v>38.143000000000001</v>
      </c>
      <c r="AW119" s="870">
        <f t="shared" si="214"/>
        <v>35.163000000000004</v>
      </c>
      <c r="AX119" s="386">
        <f t="shared" si="214"/>
        <v>37.843000000000004</v>
      </c>
      <c r="AY119" s="386">
        <f t="shared" si="214"/>
        <v>40.858000000000004</v>
      </c>
      <c r="AZ119" s="881">
        <f t="shared" si="214"/>
        <v>42.143000000000001</v>
      </c>
      <c r="BA119" s="870">
        <f t="shared" si="214"/>
        <v>38.163000000000004</v>
      </c>
      <c r="BB119" s="386">
        <f t="shared" si="214"/>
        <v>40.843000000000004</v>
      </c>
      <c r="BC119" s="386">
        <f t="shared" si="214"/>
        <v>43.858000000000004</v>
      </c>
      <c r="BD119" s="881">
        <f t="shared" si="214"/>
        <v>45.143000000000001</v>
      </c>
      <c r="BE119" s="883"/>
      <c r="BF119" s="386"/>
      <c r="BG119" s="386">
        <f>BG222</f>
        <v>1.456</v>
      </c>
      <c r="BH119" s="386">
        <f>BH222</f>
        <v>1.9830000000000001</v>
      </c>
      <c r="BI119" s="386">
        <f>BI222</f>
        <v>3.0640000000000001</v>
      </c>
      <c r="BJ119" s="386">
        <f>SUM(M119:P119)</f>
        <v>6.3000000000000007</v>
      </c>
      <c r="BK119" s="386">
        <f>SUM(Q119:T119)</f>
        <v>10.865</v>
      </c>
      <c r="BL119" s="386">
        <f>SUM(U119:X119)</f>
        <v>18.768000000000001</v>
      </c>
      <c r="BM119" s="386">
        <f>SUM(Y119:AB119)</f>
        <v>31.972999999999999</v>
      </c>
      <c r="BN119" s="386">
        <f>SUM(AC119:AF119)</f>
        <v>50.296999999999997</v>
      </c>
      <c r="BO119" s="386">
        <f>SUM(AG119:AJ119)</f>
        <v>84.35499999999999</v>
      </c>
      <c r="BP119" s="386">
        <f>SUM(AK119:AN119)</f>
        <v>102.22699999999999</v>
      </c>
      <c r="BQ119" s="386">
        <f>SUM(AO119:AR119)</f>
        <v>128.50700000000001</v>
      </c>
      <c r="BR119" s="386">
        <f>SUM(AS119:AV119)</f>
        <v>140.50700000000001</v>
      </c>
      <c r="BS119" s="386">
        <f>SUM(AW119:AZ119)</f>
        <v>156.00700000000001</v>
      </c>
      <c r="BT119" s="386">
        <f>SUM(BA119:BD119)</f>
        <v>168.00700000000001</v>
      </c>
      <c r="BU119" s="388">
        <f>+BT119+BU123</f>
        <v>178.80700000000002</v>
      </c>
      <c r="BV119" s="388">
        <f>+BU119+BV123</f>
        <v>187.80700000000002</v>
      </c>
      <c r="BW119" s="388">
        <f>+BV119+BW123</f>
        <v>196.80700000000002</v>
      </c>
      <c r="BX119" s="388">
        <f>+BW119+BX123</f>
        <v>204.80700000000002</v>
      </c>
      <c r="BY119" s="871">
        <f>+BX119+BY123</f>
        <v>212.80700000000002</v>
      </c>
      <c r="BZ119" s="320"/>
      <c r="CA119" s="329">
        <f t="shared" ref="CA119:CF119" si="215">IF(ISERROR(RATE(3,,-BK119,BN119)),"NM",(RATE(3,,-BK119,BN119)))</f>
        <v>0.66662330510540457</v>
      </c>
      <c r="CB119" s="329">
        <f t="shared" si="215"/>
        <v>0.65030523885543268</v>
      </c>
      <c r="CC119" s="329">
        <f t="shared" si="215"/>
        <v>0.47319671837031652</v>
      </c>
      <c r="CD119" s="329">
        <f t="shared" si="215"/>
        <v>0.36708305741246294</v>
      </c>
      <c r="CE119" s="329">
        <f t="shared" si="215"/>
        <v>0.18539305137311465</v>
      </c>
      <c r="CF119" s="329">
        <f t="shared" si="215"/>
        <v>0.15131144827717985</v>
      </c>
    </row>
    <row r="120" spans="1:84" s="41" customFormat="1" ht="11.25" customHeight="1">
      <c r="A120" s="29"/>
      <c r="B120" s="29"/>
      <c r="C120" s="29"/>
      <c r="D120" s="29"/>
      <c r="E120" s="29"/>
      <c r="F120" s="29"/>
      <c r="G120" s="29"/>
      <c r="H120" s="29"/>
      <c r="I120" s="813" t="s">
        <v>63</v>
      </c>
      <c r="J120" s="2"/>
      <c r="K120" s="2"/>
      <c r="L120" s="2"/>
      <c r="M120" s="359">
        <f t="shared" ref="M120:AF120" si="216">M119/M$10</f>
        <v>0.12609457092819618</v>
      </c>
      <c r="N120" s="359">
        <f t="shared" si="216"/>
        <v>0.1383425002330568</v>
      </c>
      <c r="O120" s="359">
        <f t="shared" si="216"/>
        <v>0.14665713831983482</v>
      </c>
      <c r="P120" s="359">
        <f t="shared" si="216"/>
        <v>0.11896032473484351</v>
      </c>
      <c r="Q120" s="852">
        <f t="shared" si="216"/>
        <v>0.13163636363636363</v>
      </c>
      <c r="R120" s="359">
        <f t="shared" si="216"/>
        <v>0.12708141791807132</v>
      </c>
      <c r="S120" s="359">
        <f t="shared" si="216"/>
        <v>0.14379876244283024</v>
      </c>
      <c r="T120" s="843">
        <f t="shared" si="216"/>
        <v>0.12037743425015056</v>
      </c>
      <c r="U120" s="359">
        <f t="shared" si="216"/>
        <v>0.14230418112105167</v>
      </c>
      <c r="V120" s="359">
        <f t="shared" si="216"/>
        <v>0.12360273175512206</v>
      </c>
      <c r="W120" s="359">
        <f t="shared" si="216"/>
        <v>0.14536306397954413</v>
      </c>
      <c r="X120" s="359">
        <f t="shared" si="216"/>
        <v>0.13480088441820348</v>
      </c>
      <c r="Y120" s="852">
        <f t="shared" si="216"/>
        <v>0.13916285522294236</v>
      </c>
      <c r="Z120" s="359">
        <f t="shared" si="216"/>
        <v>0.12643803500354397</v>
      </c>
      <c r="AA120" s="359">
        <f t="shared" si="216"/>
        <v>0.15526062012716368</v>
      </c>
      <c r="AB120" s="843">
        <f t="shared" si="216"/>
        <v>0.12875967785310893</v>
      </c>
      <c r="AC120" s="359">
        <f t="shared" si="216"/>
        <v>0.1431805986362506</v>
      </c>
      <c r="AD120" s="359">
        <f t="shared" si="216"/>
        <v>0.12693299694775137</v>
      </c>
      <c r="AE120" s="359">
        <f t="shared" si="216"/>
        <v>0.13237030891610949</v>
      </c>
      <c r="AF120" s="359">
        <f t="shared" si="216"/>
        <v>0.13218124072911264</v>
      </c>
      <c r="AG120" s="852">
        <f t="shared" ref="AG120:AN120" si="217">AG119/AG$10</f>
        <v>0.16864937388193202</v>
      </c>
      <c r="AH120" s="359">
        <f t="shared" si="217"/>
        <v>0.16146496815286623</v>
      </c>
      <c r="AI120" s="359">
        <f t="shared" si="217"/>
        <v>0.16763744427934621</v>
      </c>
      <c r="AJ120" s="359">
        <f t="shared" si="217"/>
        <v>0.15443762781186093</v>
      </c>
      <c r="AK120" s="852">
        <f>AK119/AK$10</f>
        <v>0.15252217661856216</v>
      </c>
      <c r="AL120" s="359">
        <f>AL119/AL$10</f>
        <v>0.14233572433517078</v>
      </c>
      <c r="AM120" s="359">
        <f>AM119/AM$10</f>
        <v>0.14543687443618714</v>
      </c>
      <c r="AN120" s="843">
        <f t="shared" si="217"/>
        <v>0.13483336413478716</v>
      </c>
      <c r="AO120" s="852">
        <f>AO119/AO$10</f>
        <v>0.14525929567257748</v>
      </c>
      <c r="AP120" s="359">
        <f>AP119/AP$10</f>
        <v>0.14767025432817529</v>
      </c>
      <c r="AQ120" s="359">
        <f>AQ119/AQ$10</f>
        <v>0.15225290044068712</v>
      </c>
      <c r="AR120" s="843">
        <f t="shared" ref="AR120" si="218">AR119/AR$10</f>
        <v>0.16102471522960329</v>
      </c>
      <c r="AS120" s="359">
        <f t="shared" ref="AS120:AV120" si="219">AS119/AS$10</f>
        <v>0.14314195298372517</v>
      </c>
      <c r="AT120" s="359">
        <f t="shared" si="219"/>
        <v>0.14625324114088159</v>
      </c>
      <c r="AU120" s="359">
        <f t="shared" si="219"/>
        <v>0.14862096774193551</v>
      </c>
      <c r="AV120" s="843">
        <f t="shared" si="219"/>
        <v>0.14704317656129531</v>
      </c>
      <c r="AW120" s="852">
        <f t="shared" ref="AW120:BD120" si="220">AW119/AW$10</f>
        <v>0.13410755148741421</v>
      </c>
      <c r="AX120" s="359">
        <f t="shared" si="220"/>
        <v>0.13964206642066421</v>
      </c>
      <c r="AY120" s="359">
        <f t="shared" si="220"/>
        <v>0.14246164574616457</v>
      </c>
      <c r="AZ120" s="843">
        <f t="shared" si="220"/>
        <v>0.14218286099865049</v>
      </c>
      <c r="BA120" s="852">
        <f t="shared" si="220"/>
        <v>0.12789209115281502</v>
      </c>
      <c r="BB120" s="359">
        <f t="shared" si="220"/>
        <v>0.13286597267404032</v>
      </c>
      <c r="BC120" s="359">
        <f t="shared" si="220"/>
        <v>0.13586741016109047</v>
      </c>
      <c r="BD120" s="843">
        <f t="shared" si="220"/>
        <v>0.13597289156626508</v>
      </c>
      <c r="BE120" s="2583"/>
      <c r="BF120" s="2574"/>
      <c r="BG120" s="359">
        <f t="shared" ref="BG120:BQ120" si="221">BG119/BG$10</f>
        <v>0.38878504672897196</v>
      </c>
      <c r="BH120" s="359">
        <f t="shared" si="221"/>
        <v>0.16335777246890187</v>
      </c>
      <c r="BI120" s="359">
        <f t="shared" si="221"/>
        <v>0.11872287662740234</v>
      </c>
      <c r="BJ120" s="359">
        <f t="shared" si="221"/>
        <v>0.13198969223355891</v>
      </c>
      <c r="BK120" s="359">
        <f t="shared" si="221"/>
        <v>0.13045566428528546</v>
      </c>
      <c r="BL120" s="359">
        <f t="shared" si="221"/>
        <v>0.13642905950598261</v>
      </c>
      <c r="BM120" s="359">
        <f t="shared" si="221"/>
        <v>0.13723024361769703</v>
      </c>
      <c r="BN120" s="359">
        <f t="shared" si="221"/>
        <v>0.13322438125105948</v>
      </c>
      <c r="BO120" s="359">
        <f t="shared" si="221"/>
        <v>0.16262772315403892</v>
      </c>
      <c r="BP120" s="359">
        <f t="shared" si="221"/>
        <v>0.14336200283563019</v>
      </c>
      <c r="BQ120" s="289">
        <f t="shared" si="221"/>
        <v>0.15175369296409008</v>
      </c>
      <c r="BR120" s="289">
        <f t="shared" ref="BR120:BY120" si="222">BR119/BR$10</f>
        <v>0.14636145833333333</v>
      </c>
      <c r="BS120" s="289">
        <f t="shared" si="222"/>
        <v>0.13974113221067716</v>
      </c>
      <c r="BT120" s="289">
        <f t="shared" si="222"/>
        <v>0.13327542440107887</v>
      </c>
      <c r="BU120" s="359">
        <f t="shared" si="222"/>
        <v>0.12766457232614595</v>
      </c>
      <c r="BV120" s="359">
        <f t="shared" si="222"/>
        <v>0.12214295005202916</v>
      </c>
      <c r="BW120" s="359">
        <f t="shared" si="222"/>
        <v>0.11780617742128578</v>
      </c>
      <c r="BX120" s="359">
        <f t="shared" si="222"/>
        <v>0.11380695710157815</v>
      </c>
      <c r="BY120" s="843">
        <f t="shared" si="222"/>
        <v>0.11051464478604073</v>
      </c>
      <c r="BZ120" s="29"/>
      <c r="CA120" s="29"/>
      <c r="CB120" s="29"/>
      <c r="CC120" s="29"/>
      <c r="CD120" s="29"/>
      <c r="CE120" s="29"/>
      <c r="CF120" s="29"/>
    </row>
    <row r="121" spans="1:84" ht="11.25" customHeight="1">
      <c r="A121" s="36"/>
      <c r="B121" s="36"/>
      <c r="C121" s="36"/>
      <c r="D121" s="36"/>
      <c r="E121" s="36"/>
      <c r="F121" s="36"/>
      <c r="G121" s="36"/>
      <c r="H121" s="36"/>
      <c r="I121" s="796" t="s">
        <v>132</v>
      </c>
      <c r="J121" s="54"/>
      <c r="K121" s="54"/>
      <c r="L121" s="54"/>
      <c r="M121" s="198" t="str">
        <f t="shared" ref="M121:R121" si="223">IF(ISERROR(M119/I119-1),"NA",(IF(M119&lt;=0,"NM",M119/I119-1)))</f>
        <v>NA</v>
      </c>
      <c r="N121" s="198" t="str">
        <f t="shared" si="223"/>
        <v>NA</v>
      </c>
      <c r="O121" s="198" t="str">
        <f t="shared" si="223"/>
        <v>NA</v>
      </c>
      <c r="P121" s="198" t="str">
        <f t="shared" si="223"/>
        <v>NA</v>
      </c>
      <c r="Q121" s="751">
        <f t="shared" si="223"/>
        <v>0.88541666666666652</v>
      </c>
      <c r="R121" s="198">
        <f t="shared" si="223"/>
        <v>0.67654986522911043</v>
      </c>
      <c r="S121" s="198">
        <f t="shared" ref="S121:AQ121" si="224">IF(ISERROR(S119/O119-1),"NA",(IF(S119&lt;=0,"NM",S119/O119-1)))</f>
        <v>0.73632918245804002</v>
      </c>
      <c r="T121" s="752">
        <f t="shared" si="224"/>
        <v>0.64997248211337366</v>
      </c>
      <c r="U121" s="198">
        <f t="shared" si="224"/>
        <v>0.7941988950276242</v>
      </c>
      <c r="V121" s="198">
        <f t="shared" si="224"/>
        <v>0.62218649517684899</v>
      </c>
      <c r="W121" s="198">
        <f t="shared" si="224"/>
        <v>0.64858122856251965</v>
      </c>
      <c r="X121" s="198">
        <f t="shared" si="224"/>
        <v>0.85056704469646438</v>
      </c>
      <c r="Y121" s="751">
        <f t="shared" si="224"/>
        <v>0.64742109314857599</v>
      </c>
      <c r="Z121" s="198">
        <f t="shared" si="224"/>
        <v>0.72373637264618407</v>
      </c>
      <c r="AA121" s="198">
        <f t="shared" si="224"/>
        <v>0.79667108000756581</v>
      </c>
      <c r="AB121" s="752">
        <f t="shared" si="224"/>
        <v>0.63968997837058383</v>
      </c>
      <c r="AC121" s="198">
        <f t="shared" si="224"/>
        <v>0.70404984423675998</v>
      </c>
      <c r="AD121" s="198">
        <f t="shared" si="224"/>
        <v>0.6199511283599255</v>
      </c>
      <c r="AE121" s="198">
        <f t="shared" si="224"/>
        <v>0.42772923465627932</v>
      </c>
      <c r="AF121" s="198">
        <f t="shared" si="224"/>
        <v>0.59668022424975287</v>
      </c>
      <c r="AG121" s="751">
        <f t="shared" si="224"/>
        <v>0.72349177330895809</v>
      </c>
      <c r="AH121" s="198">
        <f t="shared" si="224"/>
        <v>0.79946761313220893</v>
      </c>
      <c r="AI121" s="198">
        <f t="shared" si="224"/>
        <v>0.66376640613478877</v>
      </c>
      <c r="AJ121" s="198">
        <f t="shared" si="224"/>
        <v>0.5597934595524956</v>
      </c>
      <c r="AK121" s="751">
        <f t="shared" si="224"/>
        <v>0.28305489260143202</v>
      </c>
      <c r="AL121" s="198">
        <f t="shared" si="224"/>
        <v>0.21720907297830383</v>
      </c>
      <c r="AM121" s="198">
        <f t="shared" si="224"/>
        <v>0.20036341074277608</v>
      </c>
      <c r="AN121" s="752">
        <f>IF(ISERROR(AN119/AJ119-1),"NA",(IF(AN119&lt;=0,"NM",AN119/AJ119-1)))</f>
        <v>0.15929555084745761</v>
      </c>
      <c r="AO121" s="751">
        <f t="shared" si="224"/>
        <v>0.18481316137566162</v>
      </c>
      <c r="AP121" s="198">
        <f t="shared" si="224"/>
        <v>0.24946323678347193</v>
      </c>
      <c r="AQ121" s="198">
        <f t="shared" si="224"/>
        <v>0.25006461140852876</v>
      </c>
      <c r="AR121" s="752">
        <f>IF(ISERROR(AR119/AN119-1),"NA",(IF(AR119&lt;=0,"NM",AR119/AN119-1)))</f>
        <v>0.33801637159718245</v>
      </c>
      <c r="AS121" s="198">
        <f t="shared" ref="AS121:BD121" si="225">IF(ISERROR(AS119/AO119-1),"NA",(IF(AS119&lt;=0,"NM",AS119/AO119-1)))</f>
        <v>0.10466455011687548</v>
      </c>
      <c r="AT121" s="198">
        <f t="shared" si="225"/>
        <v>9.7266802840190625E-2</v>
      </c>
      <c r="AU121" s="198">
        <f t="shared" si="225"/>
        <v>8.8605351763246576E-2</v>
      </c>
      <c r="AV121" s="752">
        <f t="shared" si="225"/>
        <v>8.5365506644281997E-2</v>
      </c>
      <c r="AW121" s="751">
        <f t="shared" si="225"/>
        <v>0.11053911505542735</v>
      </c>
      <c r="AX121" s="198">
        <f t="shared" si="225"/>
        <v>0.11819283160476313</v>
      </c>
      <c r="AY121" s="198">
        <f t="shared" si="225"/>
        <v>0.10852460795485386</v>
      </c>
      <c r="AZ121" s="752">
        <f t="shared" si="225"/>
        <v>0.10486852109168132</v>
      </c>
      <c r="BA121" s="751">
        <f t="shared" si="225"/>
        <v>8.5316952478457386E-2</v>
      </c>
      <c r="BB121" s="198">
        <f t="shared" si="225"/>
        <v>7.9274898924503789E-2</v>
      </c>
      <c r="BC121" s="198">
        <f t="shared" si="225"/>
        <v>7.3425033041264909E-2</v>
      </c>
      <c r="BD121" s="752">
        <f t="shared" si="225"/>
        <v>7.118619936881565E-2</v>
      </c>
      <c r="BE121" s="1119"/>
      <c r="BF121" s="201"/>
      <c r="BG121" s="198" t="str">
        <f t="shared" ref="BG121:BS121" si="226">IF(ISERROR(+BG119/BF119-1),"NA",(IF(BG119&lt;=0,"NM",BG119/BF119-1)))</f>
        <v>NA</v>
      </c>
      <c r="BH121" s="198">
        <f t="shared" si="226"/>
        <v>0.3619505494505495</v>
      </c>
      <c r="BI121" s="198">
        <f t="shared" si="226"/>
        <v>0.54513363590519415</v>
      </c>
      <c r="BJ121" s="198">
        <f t="shared" si="226"/>
        <v>1.0561357702349872</v>
      </c>
      <c r="BK121" s="198">
        <f t="shared" si="226"/>
        <v>0.72460317460317447</v>
      </c>
      <c r="BL121" s="198">
        <f t="shared" si="226"/>
        <v>0.72738150023009673</v>
      </c>
      <c r="BM121" s="198">
        <f t="shared" si="226"/>
        <v>0.70359121909633404</v>
      </c>
      <c r="BN121" s="198">
        <f t="shared" si="226"/>
        <v>0.57310856034779345</v>
      </c>
      <c r="BO121" s="198">
        <f>IF(ISERROR(+BO119/BN119-1),"NA",(IF(BO119&lt;=0,"NM",BO119/BN119-1)))</f>
        <v>0.67713780145933145</v>
      </c>
      <c r="BP121" s="198">
        <f>IF(ISERROR(+BP119/BO119-1),"NA",(IF(BP119&lt;=0,"NM",BP119/BO119-1)))</f>
        <v>0.21186651650761656</v>
      </c>
      <c r="BQ121" s="198">
        <f>IF(ISERROR(+BQ119/BP119-1),"NA",(IF(BQ119&lt;=0,"NM",BQ119/BP119-1)))</f>
        <v>0.25707494106253748</v>
      </c>
      <c r="BR121" s="198">
        <f>IF(ISERROR(+BR119/BQ119-1),"NA",(IF(BR119&lt;=0,"NM",BR119/BQ119-1)))</f>
        <v>9.3380127152606462E-2</v>
      </c>
      <c r="BS121" s="198">
        <f t="shared" si="226"/>
        <v>0.11031478858704546</v>
      </c>
      <c r="BT121" s="198">
        <f t="shared" ref="BT121:BY121" si="227">IF(ISERROR(+BT119/BS119-1),"NA",(IF(BT119&lt;=0,"NM",BT119/BS119-1)))</f>
        <v>7.6919625401424385E-2</v>
      </c>
      <c r="BU121" s="198">
        <f t="shared" si="227"/>
        <v>6.4283035825888346E-2</v>
      </c>
      <c r="BV121" s="198">
        <f t="shared" si="227"/>
        <v>5.0333599914992089E-2</v>
      </c>
      <c r="BW121" s="198">
        <f t="shared" si="227"/>
        <v>4.7921536470951542E-2</v>
      </c>
      <c r="BX121" s="198">
        <f t="shared" si="227"/>
        <v>4.0648960656887168E-2</v>
      </c>
      <c r="BY121" s="752">
        <f t="shared" si="227"/>
        <v>3.9061164901590173E-2</v>
      </c>
      <c r="BZ121" s="36"/>
      <c r="CA121" s="36"/>
      <c r="CB121" s="36"/>
      <c r="CC121" s="36"/>
      <c r="CD121" s="36"/>
      <c r="CE121" s="36"/>
      <c r="CF121" s="36"/>
    </row>
    <row r="122" spans="1:84" ht="11.25" customHeight="1">
      <c r="A122" s="36"/>
      <c r="B122" s="36"/>
      <c r="C122" s="36"/>
      <c r="D122" s="36"/>
      <c r="E122" s="36"/>
      <c r="F122" s="36"/>
      <c r="G122" s="36"/>
      <c r="H122" s="36"/>
      <c r="I122" s="796" t="s">
        <v>146</v>
      </c>
      <c r="J122" s="54"/>
      <c r="K122" s="54"/>
      <c r="L122" s="54"/>
      <c r="M122" s="198" t="str">
        <f t="shared" ref="M122:R122" si="228">IF(ISERROR(M119/L119-1),"NA",(IF(M119&lt;=0,"NM",M119/L119-1)))</f>
        <v>NA</v>
      </c>
      <c r="N122" s="198">
        <f t="shared" si="228"/>
        <v>0.2881944444444442</v>
      </c>
      <c r="O122" s="198">
        <f t="shared" si="228"/>
        <v>0.24460916442048508</v>
      </c>
      <c r="P122" s="198">
        <f t="shared" si="228"/>
        <v>-1.6242555495397992E-2</v>
      </c>
      <c r="Q122" s="751">
        <f t="shared" si="228"/>
        <v>0.19537699504678052</v>
      </c>
      <c r="R122" s="198">
        <f t="shared" si="228"/>
        <v>0.14548802946592998</v>
      </c>
      <c r="S122" s="198">
        <f t="shared" ref="S122:AQ122" si="229">IF(ISERROR(S119/R119-1),"NA",(IF(S119&lt;=0,"NM",S119/R119-1)))</f>
        <v>0.28898713826366551</v>
      </c>
      <c r="T122" s="752">
        <f t="shared" si="229"/>
        <v>-6.5169940754599365E-2</v>
      </c>
      <c r="U122" s="198">
        <f t="shared" si="229"/>
        <v>0.29986657771847902</v>
      </c>
      <c r="V122" s="198">
        <f t="shared" si="229"/>
        <v>3.5668462920195099E-2</v>
      </c>
      <c r="W122" s="198">
        <f t="shared" si="229"/>
        <v>0.30996035678889977</v>
      </c>
      <c r="X122" s="198">
        <f t="shared" si="229"/>
        <v>4.9366370342349253E-2</v>
      </c>
      <c r="Y122" s="751">
        <f t="shared" si="229"/>
        <v>0.15717375630857955</v>
      </c>
      <c r="Z122" s="198">
        <f t="shared" si="229"/>
        <v>8.3644859813084116E-2</v>
      </c>
      <c r="AA122" s="198">
        <f t="shared" si="229"/>
        <v>0.36538737961765144</v>
      </c>
      <c r="AB122" s="752">
        <f t="shared" si="229"/>
        <v>-4.2320244236235482E-2</v>
      </c>
      <c r="AC122" s="198">
        <f t="shared" si="229"/>
        <v>0.20259426184456419</v>
      </c>
      <c r="AD122" s="198">
        <f t="shared" si="229"/>
        <v>3.0164533820841166E-2</v>
      </c>
      <c r="AE122" s="198">
        <f t="shared" si="229"/>
        <v>0.20337178349600671</v>
      </c>
      <c r="AF122" s="198">
        <f t="shared" si="229"/>
        <v>7.1007226072850926E-2</v>
      </c>
      <c r="AG122" s="751">
        <f t="shared" si="229"/>
        <v>0.2981067125645438</v>
      </c>
      <c r="AH122" s="198">
        <f t="shared" si="229"/>
        <v>7.5576770087509848E-2</v>
      </c>
      <c r="AI122" s="198">
        <f t="shared" si="229"/>
        <v>0.1126232741617359</v>
      </c>
      <c r="AJ122" s="198">
        <f t="shared" si="229"/>
        <v>4.0772912604147837E-3</v>
      </c>
      <c r="AK122" s="751">
        <f t="shared" si="229"/>
        <v>6.7796610169491567E-2</v>
      </c>
      <c r="AL122" s="198">
        <f t="shared" si="229"/>
        <v>2.0378637566137447E-2</v>
      </c>
      <c r="AM122" s="198">
        <f t="shared" si="229"/>
        <v>9.7225035446627528E-2</v>
      </c>
      <c r="AN122" s="752">
        <f>IF(ISERROR(AN119/AM119-1),"NA",(IF(AN119&lt;=0,"NM",AN119/AM119-1)))</f>
        <v>-3.0275059996307974E-2</v>
      </c>
      <c r="AO122" s="751">
        <f t="shared" si="229"/>
        <v>9.1300209404150179E-2</v>
      </c>
      <c r="AP122" s="198">
        <f t="shared" si="229"/>
        <v>7.6056239751596033E-2</v>
      </c>
      <c r="AQ122" s="198">
        <f t="shared" si="229"/>
        <v>9.7753136854391576E-2</v>
      </c>
      <c r="AR122" s="752">
        <f>IF(ISERROR(AR119/AQ119-1),"NA",(IF(AR119&lt;=0,"NM",AR119/AQ119-1)))</f>
        <v>3.7952625671923812E-2</v>
      </c>
      <c r="AS122" s="198">
        <f t="shared" ref="AS122:BD122" si="230">IF(ISERROR(AS119/AR119-1),"NA",(IF(AS119&lt;=0,"NM",AS119/AR119-1)))</f>
        <v>-9.9023987707366978E-2</v>
      </c>
      <c r="AT122" s="198">
        <f t="shared" si="230"/>
        <v>6.8850077377380581E-2</v>
      </c>
      <c r="AU122" s="198">
        <f t="shared" si="230"/>
        <v>8.9087846822090144E-2</v>
      </c>
      <c r="AV122" s="752">
        <f t="shared" si="230"/>
        <v>3.4863530305496715E-2</v>
      </c>
      <c r="AW122" s="751">
        <f t="shared" si="230"/>
        <v>-7.8127048213302519E-2</v>
      </c>
      <c r="AX122" s="198">
        <f t="shared" si="230"/>
        <v>7.621647754742189E-2</v>
      </c>
      <c r="AY122" s="198">
        <f t="shared" si="230"/>
        <v>7.9671273419126498E-2</v>
      </c>
      <c r="AZ122" s="752">
        <f t="shared" si="230"/>
        <v>3.1450389152674951E-2</v>
      </c>
      <c r="BA122" s="751">
        <f t="shared" si="230"/>
        <v>-9.4440357829295385E-2</v>
      </c>
      <c r="BB122" s="198">
        <f t="shared" si="230"/>
        <v>7.0225087126274177E-2</v>
      </c>
      <c r="BC122" s="198">
        <f t="shared" si="230"/>
        <v>7.3819259114168867E-2</v>
      </c>
      <c r="BD122" s="752">
        <f t="shared" si="230"/>
        <v>2.9299101646221848E-2</v>
      </c>
      <c r="BE122" s="1119"/>
      <c r="BF122" s="201"/>
      <c r="BG122" s="201"/>
      <c r="BH122" s="201"/>
      <c r="BI122" s="201"/>
      <c r="BJ122" s="201"/>
      <c r="BK122" s="201"/>
      <c r="BL122" s="201"/>
      <c r="BM122" s="201"/>
      <c r="BN122" s="198"/>
      <c r="BO122" s="198"/>
      <c r="BP122" s="201"/>
      <c r="BQ122" s="201"/>
      <c r="BR122" s="201"/>
      <c r="BS122" s="201"/>
      <c r="BT122" s="201"/>
      <c r="BU122" s="201"/>
      <c r="BV122" s="201"/>
      <c r="BW122" s="201"/>
      <c r="BX122" s="201"/>
      <c r="BY122" s="877"/>
      <c r="BZ122" s="36"/>
      <c r="CA122" s="36"/>
      <c r="CB122" s="36"/>
      <c r="CC122" s="36"/>
      <c r="CD122" s="36"/>
      <c r="CE122" s="36"/>
      <c r="CF122" s="36"/>
    </row>
    <row r="123" spans="1:84" ht="11.25" customHeight="1">
      <c r="A123" s="36"/>
      <c r="B123" s="36"/>
      <c r="C123" s="36"/>
      <c r="D123" s="36"/>
      <c r="E123" s="36"/>
      <c r="F123" s="36"/>
      <c r="G123" s="36"/>
      <c r="H123" s="36"/>
      <c r="I123" s="994" t="s">
        <v>380</v>
      </c>
      <c r="J123" s="54"/>
      <c r="K123" s="54"/>
      <c r="L123" s="54"/>
      <c r="M123" s="198"/>
      <c r="N123" s="198"/>
      <c r="O123" s="198"/>
      <c r="P123" s="198"/>
      <c r="Q123" s="900">
        <f t="shared" ref="Q123:AR123" si="231">Q119-M119</f>
        <v>1.02</v>
      </c>
      <c r="R123" s="901">
        <f t="shared" si="231"/>
        <v>1.004</v>
      </c>
      <c r="S123" s="901">
        <f t="shared" si="231"/>
        <v>1.3599999999999999</v>
      </c>
      <c r="T123" s="902">
        <f t="shared" si="231"/>
        <v>1.1809999999999998</v>
      </c>
      <c r="U123" s="901">
        <f t="shared" si="231"/>
        <v>1.7249999999999996</v>
      </c>
      <c r="V123" s="901">
        <f t="shared" si="231"/>
        <v>1.5480000000000005</v>
      </c>
      <c r="W123" s="901">
        <f t="shared" si="231"/>
        <v>2.08</v>
      </c>
      <c r="X123" s="901">
        <f t="shared" si="231"/>
        <v>2.5500000000000003</v>
      </c>
      <c r="Y123" s="900">
        <f t="shared" si="231"/>
        <v>2.5230000000000001</v>
      </c>
      <c r="Z123" s="901">
        <f t="shared" si="231"/>
        <v>2.9209999999999994</v>
      </c>
      <c r="AA123" s="901">
        <f t="shared" si="231"/>
        <v>4.2120000000000006</v>
      </c>
      <c r="AB123" s="902">
        <f t="shared" si="231"/>
        <v>3.5489999999999995</v>
      </c>
      <c r="AC123" s="901">
        <f t="shared" si="231"/>
        <v>4.5199999999999996</v>
      </c>
      <c r="AD123" s="901">
        <f t="shared" si="231"/>
        <v>4.3130000000000015</v>
      </c>
      <c r="AE123" s="901">
        <f t="shared" si="231"/>
        <v>4.0629999999999971</v>
      </c>
      <c r="AF123" s="901">
        <f t="shared" si="231"/>
        <v>5.4280000000000008</v>
      </c>
      <c r="AG123" s="900">
        <f t="shared" si="231"/>
        <v>7.9150000000000009</v>
      </c>
      <c r="AH123" s="901">
        <f t="shared" si="231"/>
        <v>9.0099999999999962</v>
      </c>
      <c r="AI123" s="901">
        <f t="shared" si="231"/>
        <v>9.0020000000000024</v>
      </c>
      <c r="AJ123" s="901">
        <f t="shared" si="231"/>
        <v>8.1309999999999985</v>
      </c>
      <c r="AK123" s="900">
        <f t="shared" si="231"/>
        <v>5.3369999999999997</v>
      </c>
      <c r="AL123" s="901">
        <f t="shared" si="231"/>
        <v>4.4050000000000011</v>
      </c>
      <c r="AM123" s="901">
        <f t="shared" si="231"/>
        <v>4.5210000000000008</v>
      </c>
      <c r="AN123" s="901">
        <f t="shared" si="231"/>
        <v>3.6090000000000018</v>
      </c>
      <c r="AO123" s="900">
        <f t="shared" si="231"/>
        <v>4.4710000000000036</v>
      </c>
      <c r="AP123" s="901">
        <f t="shared" si="231"/>
        <v>6.1580000000000048</v>
      </c>
      <c r="AQ123" s="901">
        <f t="shared" si="231"/>
        <v>6.7730000000000032</v>
      </c>
      <c r="AR123" s="902">
        <f t="shared" si="231"/>
        <v>8.8780000000000001</v>
      </c>
      <c r="AS123" s="2131">
        <v>3</v>
      </c>
      <c r="AT123" s="2131">
        <v>3</v>
      </c>
      <c r="AU123" s="2131">
        <v>3</v>
      </c>
      <c r="AV123" s="2132">
        <v>3</v>
      </c>
      <c r="AW123" s="2130">
        <v>3.5</v>
      </c>
      <c r="AX123" s="2131">
        <v>4</v>
      </c>
      <c r="AY123" s="2131">
        <v>4</v>
      </c>
      <c r="AZ123" s="2132">
        <v>4</v>
      </c>
      <c r="BA123" s="2130">
        <v>3</v>
      </c>
      <c r="BB123" s="2131">
        <v>3</v>
      </c>
      <c r="BC123" s="2131">
        <v>3</v>
      </c>
      <c r="BD123" s="2131">
        <v>3</v>
      </c>
      <c r="BE123" s="2576"/>
      <c r="BF123" s="384"/>
      <c r="BG123" s="384"/>
      <c r="BH123" s="901">
        <f>BH119-BG119</f>
        <v>0.52700000000000014</v>
      </c>
      <c r="BI123" s="901">
        <f t="shared" ref="BI123:BT123" si="232">BI119-BH119</f>
        <v>1.081</v>
      </c>
      <c r="BJ123" s="901">
        <f t="shared" si="232"/>
        <v>3.2360000000000007</v>
      </c>
      <c r="BK123" s="901">
        <f t="shared" si="232"/>
        <v>4.5649999999999995</v>
      </c>
      <c r="BL123" s="901">
        <f t="shared" si="232"/>
        <v>7.9030000000000005</v>
      </c>
      <c r="BM123" s="901">
        <f t="shared" si="232"/>
        <v>13.204999999999998</v>
      </c>
      <c r="BN123" s="901">
        <f t="shared" si="232"/>
        <v>18.323999999999998</v>
      </c>
      <c r="BO123" s="901">
        <f t="shared" si="232"/>
        <v>34.057999999999993</v>
      </c>
      <c r="BP123" s="901">
        <f t="shared" si="232"/>
        <v>17.872</v>
      </c>
      <c r="BQ123" s="901">
        <f t="shared" si="232"/>
        <v>26.280000000000015</v>
      </c>
      <c r="BR123" s="901">
        <f>BR119-BQ119</f>
        <v>12</v>
      </c>
      <c r="BS123" s="901">
        <f t="shared" si="232"/>
        <v>15.5</v>
      </c>
      <c r="BT123" s="901">
        <f t="shared" si="232"/>
        <v>12</v>
      </c>
      <c r="BU123" s="1239">
        <f>BT123*0.9</f>
        <v>10.8</v>
      </c>
      <c r="BV123" s="1239">
        <v>9</v>
      </c>
      <c r="BW123" s="1239">
        <f>BV123</f>
        <v>9</v>
      </c>
      <c r="BX123" s="1239">
        <v>8</v>
      </c>
      <c r="BY123" s="2215">
        <v>8</v>
      </c>
      <c r="BZ123" s="36"/>
      <c r="CA123" s="36"/>
      <c r="CB123" s="36"/>
      <c r="CC123" s="36"/>
      <c r="CD123" s="36"/>
      <c r="CE123" s="36"/>
      <c r="CF123" s="36"/>
    </row>
    <row r="124" spans="1:84" ht="11.25" customHeight="1">
      <c r="A124" s="36"/>
      <c r="B124" s="36"/>
      <c r="C124" s="36"/>
      <c r="D124" s="36"/>
      <c r="E124" s="36"/>
      <c r="F124" s="36"/>
      <c r="G124" s="36"/>
      <c r="H124" s="36"/>
      <c r="I124" s="994" t="s">
        <v>377</v>
      </c>
      <c r="J124" s="54"/>
      <c r="K124" s="54"/>
      <c r="L124" s="54"/>
      <c r="M124" s="901"/>
      <c r="N124" s="901">
        <f>N119-M119</f>
        <v>0.33199999999999985</v>
      </c>
      <c r="O124" s="901">
        <f t="shared" ref="O124:AQ124" si="233">O119-N119</f>
        <v>0.36299999999999999</v>
      </c>
      <c r="P124" s="901">
        <f t="shared" si="233"/>
        <v>-3.0000000000000027E-2</v>
      </c>
      <c r="Q124" s="900">
        <f t="shared" si="233"/>
        <v>0.3550000000000002</v>
      </c>
      <c r="R124" s="901">
        <f t="shared" si="233"/>
        <v>0.31599999999999984</v>
      </c>
      <c r="S124" s="901">
        <f t="shared" si="233"/>
        <v>0.71899999999999986</v>
      </c>
      <c r="T124" s="902">
        <f t="shared" si="233"/>
        <v>-0.20900000000000007</v>
      </c>
      <c r="U124" s="901">
        <f t="shared" si="233"/>
        <v>0.89900000000000002</v>
      </c>
      <c r="V124" s="901">
        <f t="shared" si="233"/>
        <v>0.13900000000000068</v>
      </c>
      <c r="W124" s="901">
        <f t="shared" si="233"/>
        <v>1.2509999999999994</v>
      </c>
      <c r="X124" s="901">
        <f t="shared" si="233"/>
        <v>0.26100000000000012</v>
      </c>
      <c r="Y124" s="900">
        <f t="shared" si="233"/>
        <v>0.87199999999999989</v>
      </c>
      <c r="Z124" s="901">
        <f t="shared" si="233"/>
        <v>0.53699999999999992</v>
      </c>
      <c r="AA124" s="901">
        <f t="shared" si="233"/>
        <v>2.5420000000000007</v>
      </c>
      <c r="AB124" s="902">
        <f t="shared" si="233"/>
        <v>-0.40200000000000102</v>
      </c>
      <c r="AC124" s="901">
        <f t="shared" si="233"/>
        <v>1.843</v>
      </c>
      <c r="AD124" s="901">
        <f t="shared" si="233"/>
        <v>0.33000000000000185</v>
      </c>
      <c r="AE124" s="901">
        <f t="shared" si="233"/>
        <v>2.2919999999999963</v>
      </c>
      <c r="AF124" s="901">
        <f t="shared" si="233"/>
        <v>0.96300000000000274</v>
      </c>
      <c r="AG124" s="900">
        <f t="shared" si="233"/>
        <v>4.33</v>
      </c>
      <c r="AH124" s="901">
        <f t="shared" si="233"/>
        <v>1.4249999999999972</v>
      </c>
      <c r="AI124" s="901">
        <f t="shared" si="233"/>
        <v>2.2840000000000025</v>
      </c>
      <c r="AJ124" s="901">
        <f t="shared" si="233"/>
        <v>9.1999999999998749E-2</v>
      </c>
      <c r="AK124" s="900">
        <f t="shared" si="233"/>
        <v>1.5360000000000014</v>
      </c>
      <c r="AL124" s="901">
        <f t="shared" si="233"/>
        <v>0.49299999999999855</v>
      </c>
      <c r="AM124" s="901">
        <f t="shared" si="233"/>
        <v>2.4000000000000021</v>
      </c>
      <c r="AN124" s="902">
        <f>AN119-AM119</f>
        <v>-0.82000000000000028</v>
      </c>
      <c r="AO124" s="900">
        <f t="shared" si="233"/>
        <v>2.3980000000000032</v>
      </c>
      <c r="AP124" s="901">
        <f t="shared" si="233"/>
        <v>2.1799999999999997</v>
      </c>
      <c r="AQ124" s="901">
        <f t="shared" si="233"/>
        <v>3.0150000000000006</v>
      </c>
      <c r="AR124" s="902">
        <f>AR119-AQ119</f>
        <v>1.2849999999999966</v>
      </c>
      <c r="AS124" s="901">
        <f t="shared" ref="AS124:BD124" si="234">AS119-AR119</f>
        <v>-3.4799999999999969</v>
      </c>
      <c r="AT124" s="901">
        <f t="shared" si="234"/>
        <v>2.1799999999999997</v>
      </c>
      <c r="AU124" s="901">
        <f t="shared" si="234"/>
        <v>3.0150000000000006</v>
      </c>
      <c r="AV124" s="902">
        <f t="shared" si="234"/>
        <v>1.2849999999999966</v>
      </c>
      <c r="AW124" s="900">
        <f t="shared" si="234"/>
        <v>-2.9799999999999969</v>
      </c>
      <c r="AX124" s="901">
        <f t="shared" si="234"/>
        <v>2.6799999999999997</v>
      </c>
      <c r="AY124" s="901">
        <f t="shared" si="234"/>
        <v>3.0150000000000006</v>
      </c>
      <c r="AZ124" s="902">
        <f t="shared" si="234"/>
        <v>1.2849999999999966</v>
      </c>
      <c r="BA124" s="900">
        <f t="shared" si="234"/>
        <v>-3.9799999999999969</v>
      </c>
      <c r="BB124" s="901">
        <f t="shared" si="234"/>
        <v>2.6799999999999997</v>
      </c>
      <c r="BC124" s="901">
        <f t="shared" si="234"/>
        <v>3.0150000000000006</v>
      </c>
      <c r="BD124" s="902">
        <f t="shared" si="234"/>
        <v>1.2849999999999966</v>
      </c>
      <c r="BE124" s="2576"/>
      <c r="BF124" s="384"/>
      <c r="BG124" s="384"/>
      <c r="BH124" s="384"/>
      <c r="BI124" s="384"/>
      <c r="BJ124" s="384"/>
      <c r="BK124" s="384"/>
      <c r="BL124" s="384"/>
      <c r="BM124" s="384"/>
      <c r="BN124" s="198"/>
      <c r="BO124" s="198"/>
      <c r="BP124" s="384"/>
      <c r="BQ124" s="384"/>
      <c r="BR124" s="384"/>
      <c r="BS124" s="384"/>
      <c r="BT124" s="384"/>
      <c r="BU124" s="384"/>
      <c r="BV124" s="384"/>
      <c r="BW124" s="384"/>
      <c r="BX124" s="384"/>
      <c r="BY124" s="872"/>
      <c r="BZ124" s="36"/>
      <c r="CA124" s="36"/>
      <c r="CB124" s="36"/>
      <c r="CC124" s="36"/>
      <c r="CD124" s="36"/>
      <c r="CE124" s="36"/>
      <c r="CF124" s="36"/>
    </row>
    <row r="125" spans="1:84" ht="11.25" customHeight="1">
      <c r="A125" s="36"/>
      <c r="B125" s="36"/>
      <c r="C125" s="36"/>
      <c r="D125" s="36"/>
      <c r="E125" s="36"/>
      <c r="F125" s="36"/>
      <c r="G125" s="36"/>
      <c r="H125" s="36"/>
      <c r="I125" s="796" t="s">
        <v>389</v>
      </c>
      <c r="J125" s="54"/>
      <c r="K125" s="54"/>
      <c r="L125" s="54"/>
      <c r="M125" s="901"/>
      <c r="N125" s="901"/>
      <c r="O125" s="901"/>
      <c r="P125" s="901"/>
      <c r="Q125" s="1049">
        <f t="shared" ref="Q125:AQ125" si="235">(Q120-M120)*10000</f>
        <v>55.417927081674591</v>
      </c>
      <c r="R125" s="1050">
        <f t="shared" si="235"/>
        <v>-112.61082314985488</v>
      </c>
      <c r="S125" s="1050">
        <f t="shared" si="235"/>
        <v>-28.583758770045765</v>
      </c>
      <c r="T125" s="1051">
        <f t="shared" si="235"/>
        <v>14.171095153070468</v>
      </c>
      <c r="U125" s="1050">
        <f t="shared" si="235"/>
        <v>106.67817484688035</v>
      </c>
      <c r="V125" s="1050">
        <f t="shared" si="235"/>
        <v>-34.786861629492599</v>
      </c>
      <c r="W125" s="1050">
        <f t="shared" si="235"/>
        <v>15.643015367138858</v>
      </c>
      <c r="X125" s="1050">
        <f t="shared" si="235"/>
        <v>144.23450168052923</v>
      </c>
      <c r="Y125" s="1049">
        <f t="shared" si="235"/>
        <v>-31.413258981093094</v>
      </c>
      <c r="Z125" s="1050">
        <f t="shared" si="235"/>
        <v>28.353032484219192</v>
      </c>
      <c r="AA125" s="1050">
        <f t="shared" si="235"/>
        <v>98.975561476195566</v>
      </c>
      <c r="AB125" s="1051">
        <f t="shared" si="235"/>
        <v>-60.412065650945479</v>
      </c>
      <c r="AC125" s="1050">
        <f t="shared" si="235"/>
        <v>40.177434133082393</v>
      </c>
      <c r="AD125" s="1050">
        <f t="shared" si="235"/>
        <v>4.9496194420739492</v>
      </c>
      <c r="AE125" s="1050">
        <f t="shared" si="235"/>
        <v>-228.903112110542</v>
      </c>
      <c r="AF125" s="1050">
        <f t="shared" si="235"/>
        <v>34.215628760037035</v>
      </c>
      <c r="AG125" s="1049">
        <f t="shared" si="235"/>
        <v>254.6877524568142</v>
      </c>
      <c r="AH125" s="1050">
        <f t="shared" si="235"/>
        <v>345.31971205114866</v>
      </c>
      <c r="AI125" s="1050">
        <f t="shared" si="235"/>
        <v>352.67135363236724</v>
      </c>
      <c r="AJ125" s="1050">
        <f t="shared" si="235"/>
        <v>222.56387082748296</v>
      </c>
      <c r="AK125" s="1049">
        <f t="shared" si="235"/>
        <v>-161.27197263369862</v>
      </c>
      <c r="AL125" s="1050">
        <f t="shared" si="235"/>
        <v>-191.29243817695456</v>
      </c>
      <c r="AM125" s="1050">
        <f t="shared" si="235"/>
        <v>-222.00569843159073</v>
      </c>
      <c r="AN125" s="1051">
        <f>(AN120-AJ120)*10000</f>
        <v>-196.04263677073769</v>
      </c>
      <c r="AO125" s="1049">
        <f t="shared" si="235"/>
        <v>-72.628809459846792</v>
      </c>
      <c r="AP125" s="1050">
        <f t="shared" si="235"/>
        <v>53.345299930045165</v>
      </c>
      <c r="AQ125" s="1050">
        <f t="shared" si="235"/>
        <v>68.160260044999859</v>
      </c>
      <c r="AR125" s="1051">
        <f>(AR120-AN120)*10000</f>
        <v>261.91351094816127</v>
      </c>
      <c r="AS125" s="1050">
        <f t="shared" ref="AS125:BD125" si="236">(AS120-AO120)*10000</f>
        <v>-21.173426888523029</v>
      </c>
      <c r="AT125" s="1050">
        <f t="shared" si="236"/>
        <v>-14.170131872937031</v>
      </c>
      <c r="AU125" s="1050">
        <f t="shared" si="236"/>
        <v>-36.319326987516163</v>
      </c>
      <c r="AV125" s="1051">
        <f t="shared" si="236"/>
        <v>-139.81538668307979</v>
      </c>
      <c r="AW125" s="1050">
        <f t="shared" si="236"/>
        <v>-90.344014963109615</v>
      </c>
      <c r="AX125" s="1050">
        <f t="shared" si="236"/>
        <v>-66.111747202173831</v>
      </c>
      <c r="AY125" s="1050">
        <f t="shared" si="236"/>
        <v>-61.59321995770933</v>
      </c>
      <c r="AZ125" s="1051">
        <f t="shared" si="236"/>
        <v>-48.603155626448235</v>
      </c>
      <c r="BA125" s="1049">
        <f t="shared" si="236"/>
        <v>-62.154603345991873</v>
      </c>
      <c r="BB125" s="1050">
        <f t="shared" si="236"/>
        <v>-67.760937466238843</v>
      </c>
      <c r="BC125" s="1050">
        <f t="shared" si="236"/>
        <v>-65.942355850741038</v>
      </c>
      <c r="BD125" s="1051">
        <f t="shared" si="236"/>
        <v>-62.099694323854152</v>
      </c>
      <c r="BE125" s="2576"/>
      <c r="BF125" s="384"/>
      <c r="BG125" s="384"/>
      <c r="BH125" s="1050">
        <f>(BH120-BG120)*10000</f>
        <v>-2254.2727426007009</v>
      </c>
      <c r="BI125" s="1050">
        <f t="shared" ref="BI125:BT125" si="237">(BI120-BH120)*10000</f>
        <v>-446.34895841499531</v>
      </c>
      <c r="BJ125" s="1050">
        <f t="shared" si="237"/>
        <v>132.6681560615657</v>
      </c>
      <c r="BK125" s="1050">
        <f t="shared" si="237"/>
        <v>-15.34027948273453</v>
      </c>
      <c r="BL125" s="1050">
        <f t="shared" si="237"/>
        <v>59.733952206971473</v>
      </c>
      <c r="BM125" s="1050">
        <f t="shared" si="237"/>
        <v>8.0118411171442574</v>
      </c>
      <c r="BN125" s="1050">
        <f t="shared" si="237"/>
        <v>-40.058623666375524</v>
      </c>
      <c r="BO125" s="1050">
        <f t="shared" si="237"/>
        <v>294.0334190297944</v>
      </c>
      <c r="BP125" s="1050">
        <f t="shared" si="237"/>
        <v>-192.65720318408731</v>
      </c>
      <c r="BQ125" s="1050">
        <f t="shared" si="237"/>
        <v>83.916901284598893</v>
      </c>
      <c r="BR125" s="1050">
        <f t="shared" si="237"/>
        <v>-53.92234630756748</v>
      </c>
      <c r="BS125" s="1050">
        <f t="shared" si="237"/>
        <v>-66.203261226561722</v>
      </c>
      <c r="BT125" s="1050">
        <f t="shared" si="237"/>
        <v>-64.657078095982925</v>
      </c>
      <c r="BU125" s="1050">
        <f>(BU120-BT120)*10000</f>
        <v>-56.108520749329202</v>
      </c>
      <c r="BV125" s="1050">
        <f>(BV120-BU120)*10000</f>
        <v>-55.216222741167883</v>
      </c>
      <c r="BW125" s="1050">
        <f>(BW120-BV120)*10000</f>
        <v>-43.36772630743377</v>
      </c>
      <c r="BX125" s="1050">
        <f>(BX120-BW120)*10000</f>
        <v>-39.992203197076329</v>
      </c>
      <c r="BY125" s="1051">
        <f>(BY120-BX120)*10000</f>
        <v>-32.923123155374213</v>
      </c>
      <c r="BZ125" s="36"/>
      <c r="CA125" s="36"/>
      <c r="CB125" s="36"/>
      <c r="CC125" s="36"/>
      <c r="CD125" s="36"/>
      <c r="CE125" s="36"/>
      <c r="CF125" s="36"/>
    </row>
    <row r="126" spans="1:84" ht="11.25" customHeight="1">
      <c r="A126" s="36"/>
      <c r="B126" s="36"/>
      <c r="C126" s="36"/>
      <c r="D126" s="36"/>
      <c r="E126" s="36"/>
      <c r="F126" s="36"/>
      <c r="G126" s="36"/>
      <c r="H126" s="36"/>
      <c r="I126" s="796" t="s">
        <v>368</v>
      </c>
      <c r="J126" s="50"/>
      <c r="K126" s="50"/>
      <c r="L126" s="50"/>
      <c r="M126" s="106"/>
      <c r="N126" s="899">
        <f>(N120-M120)*10000</f>
        <v>122.47929304860628</v>
      </c>
      <c r="O126" s="899">
        <f t="shared" ref="O126:AQ126" si="238">(O120-N120)*10000</f>
        <v>83.146380867780152</v>
      </c>
      <c r="P126" s="899">
        <f t="shared" si="238"/>
        <v>-276.96813584991304</v>
      </c>
      <c r="Q126" s="907">
        <f t="shared" si="238"/>
        <v>126.76038901520123</v>
      </c>
      <c r="R126" s="908">
        <f t="shared" si="238"/>
        <v>-45.549457182923192</v>
      </c>
      <c r="S126" s="908">
        <f t="shared" si="238"/>
        <v>167.17344524758926</v>
      </c>
      <c r="T126" s="909">
        <f t="shared" si="238"/>
        <v>-234.21328192679684</v>
      </c>
      <c r="U126" s="899">
        <f t="shared" si="238"/>
        <v>219.26746870901113</v>
      </c>
      <c r="V126" s="899">
        <f t="shared" si="238"/>
        <v>-187.01449365929614</v>
      </c>
      <c r="W126" s="899">
        <f t="shared" si="238"/>
        <v>217.60332224422072</v>
      </c>
      <c r="X126" s="899">
        <f t="shared" si="238"/>
        <v>-105.62179561340645</v>
      </c>
      <c r="Y126" s="907">
        <f t="shared" si="238"/>
        <v>43.619708047388798</v>
      </c>
      <c r="Z126" s="908">
        <f t="shared" si="238"/>
        <v>-127.24820219398386</v>
      </c>
      <c r="AA126" s="908">
        <f t="shared" si="238"/>
        <v>288.22585123619712</v>
      </c>
      <c r="AB126" s="909">
        <f t="shared" si="238"/>
        <v>-265.00942274054751</v>
      </c>
      <c r="AC126" s="899">
        <f t="shared" si="238"/>
        <v>144.20920783141668</v>
      </c>
      <c r="AD126" s="899">
        <f t="shared" si="238"/>
        <v>-162.4760168849923</v>
      </c>
      <c r="AE126" s="899">
        <f t="shared" si="238"/>
        <v>54.373119683581159</v>
      </c>
      <c r="AF126" s="899">
        <f t="shared" si="238"/>
        <v>-1.8906818699684913</v>
      </c>
      <c r="AG126" s="907">
        <f t="shared" si="238"/>
        <v>364.68133152819382</v>
      </c>
      <c r="AH126" s="899">
        <f t="shared" si="238"/>
        <v>-71.844057290657844</v>
      </c>
      <c r="AI126" s="908">
        <f t="shared" si="238"/>
        <v>61.724761264799753</v>
      </c>
      <c r="AJ126" s="908">
        <f t="shared" si="238"/>
        <v>-131.99816467485275</v>
      </c>
      <c r="AK126" s="907">
        <f t="shared" si="238"/>
        <v>-19.154511932987784</v>
      </c>
      <c r="AL126" s="908">
        <f t="shared" si="238"/>
        <v>-101.86452283391378</v>
      </c>
      <c r="AM126" s="908">
        <f t="shared" si="238"/>
        <v>31.011501010163588</v>
      </c>
      <c r="AN126" s="908">
        <f>(AN120-AM120)*10000</f>
        <v>-106.03510301399972</v>
      </c>
      <c r="AO126" s="907">
        <f t="shared" si="238"/>
        <v>104.25931537790312</v>
      </c>
      <c r="AP126" s="908">
        <f t="shared" si="238"/>
        <v>24.109586555978169</v>
      </c>
      <c r="AQ126" s="908">
        <f t="shared" si="238"/>
        <v>45.826461125118293</v>
      </c>
      <c r="AR126" s="909">
        <f>(AR120-AQ120)*10000</f>
        <v>87.718147889161713</v>
      </c>
      <c r="AS126" s="908">
        <f t="shared" ref="AS126:BD126" si="239">(AS120-AR120)*10000</f>
        <v>-178.82762245878121</v>
      </c>
      <c r="AT126" s="908">
        <f t="shared" si="239"/>
        <v>31.112881571564166</v>
      </c>
      <c r="AU126" s="908">
        <f t="shared" si="239"/>
        <v>23.677266010539157</v>
      </c>
      <c r="AV126" s="909">
        <f t="shared" si="239"/>
        <v>-15.777911806401923</v>
      </c>
      <c r="AW126" s="908">
        <f t="shared" si="239"/>
        <v>-129.35625073881101</v>
      </c>
      <c r="AX126" s="908">
        <f t="shared" si="239"/>
        <v>55.345149332499957</v>
      </c>
      <c r="AY126" s="908">
        <f t="shared" si="239"/>
        <v>28.195793255003654</v>
      </c>
      <c r="AZ126" s="908">
        <f t="shared" si="239"/>
        <v>-2.7878474751408255</v>
      </c>
      <c r="BA126" s="907">
        <f t="shared" si="239"/>
        <v>-142.90769845835467</v>
      </c>
      <c r="BB126" s="908">
        <f t="shared" si="239"/>
        <v>49.738815212252987</v>
      </c>
      <c r="BC126" s="908">
        <f t="shared" si="239"/>
        <v>30.014374870501459</v>
      </c>
      <c r="BD126" s="909">
        <f t="shared" si="239"/>
        <v>1.0548140517460669</v>
      </c>
      <c r="BE126" s="883"/>
      <c r="BF126" s="106"/>
      <c r="BG126" s="106"/>
      <c r="BH126" s="106"/>
      <c r="BI126" s="106"/>
      <c r="BJ126" s="106"/>
      <c r="BK126" s="106"/>
      <c r="BL126" s="106"/>
      <c r="BM126" s="106"/>
      <c r="BO126" s="106"/>
      <c r="BP126" s="106"/>
      <c r="BQ126" s="106"/>
      <c r="BR126" s="106"/>
      <c r="BS126" s="106"/>
      <c r="BT126" s="106"/>
      <c r="BU126" s="106"/>
      <c r="BV126" s="106"/>
      <c r="BW126" s="106"/>
      <c r="BX126" s="106"/>
      <c r="BY126" s="830"/>
    </row>
    <row r="127" spans="1:84" ht="11.25" customHeight="1">
      <c r="A127" s="36"/>
      <c r="B127" s="36"/>
      <c r="C127" s="36"/>
      <c r="D127" s="36"/>
      <c r="E127" s="36"/>
      <c r="F127" s="36"/>
      <c r="G127" s="36"/>
      <c r="H127" s="36"/>
      <c r="I127" s="796"/>
      <c r="J127" s="50"/>
      <c r="K127" s="50"/>
      <c r="L127" s="50"/>
      <c r="M127" s="901"/>
      <c r="N127" s="901"/>
      <c r="O127" s="901"/>
      <c r="P127" s="901"/>
      <c r="Q127" s="900"/>
      <c r="R127" s="901"/>
      <c r="S127" s="901"/>
      <c r="T127" s="902"/>
      <c r="U127" s="901"/>
      <c r="V127" s="901"/>
      <c r="W127" s="901"/>
      <c r="X127" s="901"/>
      <c r="Y127" s="900"/>
      <c r="Z127" s="901"/>
      <c r="AA127" s="901"/>
      <c r="AB127" s="902"/>
      <c r="AC127" s="901"/>
      <c r="AD127" s="901"/>
      <c r="AE127" s="901"/>
      <c r="AF127" s="901"/>
      <c r="AG127" s="900"/>
      <c r="AH127" s="901"/>
      <c r="AI127" s="901"/>
      <c r="AJ127" s="902"/>
      <c r="AK127" s="901"/>
      <c r="AL127" s="901"/>
      <c r="AM127" s="901"/>
      <c r="AN127" s="902"/>
      <c r="AO127" s="901"/>
      <c r="AP127" s="901"/>
      <c r="AQ127" s="901"/>
      <c r="AR127" s="902"/>
      <c r="AS127" s="901"/>
      <c r="AT127" s="901">
        <f>BW123</f>
        <v>9</v>
      </c>
      <c r="AU127" s="901">
        <f>BX123</f>
        <v>8</v>
      </c>
      <c r="AV127" s="902"/>
      <c r="AW127" s="901"/>
      <c r="AX127" s="901">
        <f>CA123</f>
        <v>0</v>
      </c>
      <c r="AY127" s="901">
        <f>CB123</f>
        <v>0</v>
      </c>
      <c r="AZ127" s="901"/>
      <c r="BA127" s="900"/>
      <c r="BB127" s="901"/>
      <c r="BC127" s="901"/>
      <c r="BD127" s="902"/>
      <c r="BE127" s="883"/>
      <c r="BF127" s="384"/>
      <c r="BG127" s="384"/>
      <c r="BH127" s="384"/>
      <c r="BI127" s="384"/>
      <c r="BJ127" s="384"/>
      <c r="BK127" s="384"/>
      <c r="BL127" s="384"/>
      <c r="BM127" s="384"/>
      <c r="BN127" s="198"/>
      <c r="BO127" s="198"/>
      <c r="BP127" s="384"/>
      <c r="BQ127" s="384"/>
      <c r="BR127" s="384"/>
      <c r="BS127" s="384"/>
      <c r="BT127" s="384"/>
      <c r="BU127" s="384"/>
      <c r="BV127" s="384"/>
      <c r="BW127" s="384"/>
      <c r="BX127" s="384"/>
      <c r="BY127" s="872"/>
      <c r="BZ127" s="36"/>
      <c r="CA127" s="36"/>
      <c r="CB127" s="36"/>
      <c r="CC127" s="36"/>
      <c r="CD127" s="36"/>
      <c r="CE127" s="36"/>
      <c r="CF127" s="36"/>
    </row>
    <row r="128" spans="1:84" ht="11.25" customHeight="1">
      <c r="A128" s="36"/>
      <c r="B128" s="36"/>
      <c r="C128" s="36"/>
      <c r="D128" s="36"/>
      <c r="E128" s="36"/>
      <c r="F128" s="36"/>
      <c r="G128" s="36"/>
      <c r="H128" s="36"/>
      <c r="I128" s="772" t="s">
        <v>535</v>
      </c>
      <c r="J128" s="50"/>
      <c r="K128" s="50"/>
      <c r="L128" s="50"/>
      <c r="M128" s="1932">
        <f t="shared" ref="M128:AN128" si="240">M206</f>
        <v>1.2070000000000001</v>
      </c>
      <c r="N128" s="1932">
        <f t="shared" si="240"/>
        <v>1.522</v>
      </c>
      <c r="O128" s="1932">
        <f t="shared" si="240"/>
        <v>1.9219999999999999</v>
      </c>
      <c r="P128" s="1932">
        <f t="shared" si="240"/>
        <v>1.909</v>
      </c>
      <c r="Q128" s="1932">
        <f t="shared" si="240"/>
        <v>2.319</v>
      </c>
      <c r="R128" s="1932">
        <f t="shared" si="240"/>
        <v>2.661</v>
      </c>
      <c r="S128" s="1932">
        <f t="shared" si="240"/>
        <v>3.444</v>
      </c>
      <c r="T128" s="1932">
        <f t="shared" si="240"/>
        <v>3.1619999999999999</v>
      </c>
      <c r="U128" s="1932">
        <f t="shared" si="240"/>
        <v>4.1399999999999997</v>
      </c>
      <c r="V128" s="1932">
        <f t="shared" si="240"/>
        <v>4.3360000000000003</v>
      </c>
      <c r="W128" s="1932">
        <f t="shared" si="240"/>
        <v>5.7530000000000001</v>
      </c>
      <c r="X128" s="1932">
        <f t="shared" si="240"/>
        <v>6.2439999999999998</v>
      </c>
      <c r="Y128" s="1932">
        <f t="shared" si="240"/>
        <v>7.2359999999999998</v>
      </c>
      <c r="Z128" s="1932">
        <f t="shared" si="240"/>
        <v>7.9969999999999999</v>
      </c>
      <c r="AA128" s="1932">
        <f t="shared" si="240"/>
        <v>11.208</v>
      </c>
      <c r="AB128" s="1932">
        <f t="shared" si="240"/>
        <v>11.802</v>
      </c>
      <c r="AC128" s="1932">
        <f t="shared" si="240"/>
        <v>13.981999999999999</v>
      </c>
      <c r="AD128" s="1932">
        <f t="shared" si="240"/>
        <v>14.726000000000001</v>
      </c>
      <c r="AE128" s="1932">
        <f t="shared" si="240"/>
        <v>17.396999999999998</v>
      </c>
      <c r="AF128" s="1932">
        <f t="shared" si="240"/>
        <v>19.076000000000001</v>
      </c>
      <c r="AG128" s="2225">
        <f t="shared" si="240"/>
        <v>23.96</v>
      </c>
      <c r="AH128" s="1932">
        <f t="shared" si="240"/>
        <v>26.344999999999999</v>
      </c>
      <c r="AI128" s="1932">
        <f t="shared" si="240"/>
        <v>28.510999999999999</v>
      </c>
      <c r="AJ128" s="1932">
        <f t="shared" si="240"/>
        <v>28.97</v>
      </c>
      <c r="AK128" s="2225">
        <f t="shared" si="240"/>
        <v>32.222000000000001</v>
      </c>
      <c r="AL128" s="1932">
        <f t="shared" si="240"/>
        <v>33.097999999999999</v>
      </c>
      <c r="AM128" s="1932">
        <f>AM206</f>
        <v>36.369</v>
      </c>
      <c r="AN128" s="1932">
        <f t="shared" si="240"/>
        <v>36.86</v>
      </c>
      <c r="AO128" s="2225">
        <f>AO206</f>
        <v>39.871000000000002</v>
      </c>
      <c r="AP128" s="1932">
        <f>AP206</f>
        <v>42.088000000000001</v>
      </c>
      <c r="AQ128" s="1932">
        <f>AQ206</f>
        <v>45.834000000000003</v>
      </c>
      <c r="AR128" s="1933">
        <f t="shared" ref="AR128" si="241">AR206</f>
        <v>47.994</v>
      </c>
      <c r="AS128" s="1932">
        <f t="shared" ref="AS128:BD128" si="242">AS206</f>
        <v>45.202097784075264</v>
      </c>
      <c r="AT128" s="1932">
        <f t="shared" si="242"/>
        <v>47.955731786515535</v>
      </c>
      <c r="AU128" s="1932">
        <f t="shared" si="242"/>
        <v>51.579645721651517</v>
      </c>
      <c r="AV128" s="1933">
        <f t="shared" si="242"/>
        <v>53.5642</v>
      </c>
      <c r="AW128" s="1932">
        <f t="shared" si="242"/>
        <v>50.326789518164297</v>
      </c>
      <c r="AX128" s="1932">
        <f t="shared" si="242"/>
        <v>53.649259600897395</v>
      </c>
      <c r="AY128" s="1932">
        <f t="shared" si="242"/>
        <v>57.346243208249703</v>
      </c>
      <c r="AZ128" s="1932">
        <f t="shared" si="242"/>
        <v>59.414743999999999</v>
      </c>
      <c r="BA128" s="2225">
        <f t="shared" si="242"/>
        <v>54.843168469980725</v>
      </c>
      <c r="BB128" s="1932">
        <f t="shared" si="242"/>
        <v>58.229885560987142</v>
      </c>
      <c r="BC128" s="1932">
        <f t="shared" si="242"/>
        <v>61.995067529074667</v>
      </c>
      <c r="BD128" s="1933">
        <f t="shared" si="242"/>
        <v>64.141918400000009</v>
      </c>
      <c r="BE128" s="883"/>
      <c r="BF128" s="78"/>
      <c r="BG128" s="78"/>
      <c r="BH128" s="78"/>
      <c r="BI128" s="78"/>
      <c r="BJ128" s="78"/>
      <c r="BK128" s="1916">
        <f>BK206</f>
        <v>11.585999999999999</v>
      </c>
      <c r="BL128" s="1916">
        <f>BL206</f>
        <v>20.472999999999999</v>
      </c>
      <c r="BM128" s="1916">
        <f t="shared" ref="BM128:BY128" si="243">BM206</f>
        <v>38.243000000000002</v>
      </c>
      <c r="BN128" s="1932">
        <f t="shared" si="243"/>
        <v>65.180999999999997</v>
      </c>
      <c r="BO128" s="1932">
        <f t="shared" si="243"/>
        <v>107.786</v>
      </c>
      <c r="BP128" s="1932">
        <f t="shared" si="243"/>
        <v>138.54899999999998</v>
      </c>
      <c r="BQ128" s="1932">
        <f t="shared" si="243"/>
        <v>175.78700000000001</v>
      </c>
      <c r="BR128" s="1932">
        <f t="shared" si="243"/>
        <v>198.30167529224232</v>
      </c>
      <c r="BS128" s="1932">
        <f t="shared" si="243"/>
        <v>220.73703632731139</v>
      </c>
      <c r="BT128" s="1932">
        <f t="shared" si="243"/>
        <v>239.21003996004254</v>
      </c>
      <c r="BU128" s="1932">
        <f t="shared" si="243"/>
        <v>254.99425275724553</v>
      </c>
      <c r="BV128" s="1932">
        <f t="shared" si="243"/>
        <v>267.80361539510778</v>
      </c>
      <c r="BW128" s="1932">
        <f t="shared" si="243"/>
        <v>280.8034461648632</v>
      </c>
      <c r="BX128" s="1932">
        <f t="shared" si="243"/>
        <v>293.00326847310635</v>
      </c>
      <c r="BY128" s="1933">
        <f t="shared" si="243"/>
        <v>305.4130818967617</v>
      </c>
      <c r="BZ128" s="36"/>
      <c r="CA128" s="36"/>
      <c r="CB128" s="36"/>
      <c r="CC128" s="36"/>
      <c r="CD128" s="36"/>
      <c r="CE128" s="36"/>
      <c r="CF128" s="36"/>
    </row>
    <row r="129" spans="1:84" ht="11.25" customHeight="1">
      <c r="A129" s="36"/>
      <c r="B129" s="36"/>
      <c r="C129" s="36"/>
      <c r="D129" s="36"/>
      <c r="E129" s="36"/>
      <c r="F129" s="36"/>
      <c r="G129" s="36"/>
      <c r="H129" s="36"/>
      <c r="I129" s="1911" t="s">
        <v>522</v>
      </c>
      <c r="J129" s="50"/>
      <c r="K129" s="50"/>
      <c r="L129" s="50"/>
      <c r="M129" s="2089" t="s">
        <v>548</v>
      </c>
      <c r="N129" s="2088"/>
      <c r="O129" s="2088"/>
      <c r="P129" s="2088"/>
      <c r="Q129" s="2088">
        <f t="shared" ref="Q129:AR129" si="244">Q128-M128</f>
        <v>1.1119999999999999</v>
      </c>
      <c r="R129" s="2088">
        <f t="shared" si="244"/>
        <v>1.139</v>
      </c>
      <c r="S129" s="2088">
        <f t="shared" si="244"/>
        <v>1.522</v>
      </c>
      <c r="T129" s="2088">
        <f t="shared" si="244"/>
        <v>1.2529999999999999</v>
      </c>
      <c r="U129" s="2088">
        <f t="shared" si="244"/>
        <v>1.8209999999999997</v>
      </c>
      <c r="V129" s="2088">
        <f t="shared" si="244"/>
        <v>1.6750000000000003</v>
      </c>
      <c r="W129" s="2088">
        <f t="shared" si="244"/>
        <v>2.3090000000000002</v>
      </c>
      <c r="X129" s="2088">
        <f t="shared" si="244"/>
        <v>3.0819999999999999</v>
      </c>
      <c r="Y129" s="2088">
        <f t="shared" si="244"/>
        <v>3.0960000000000001</v>
      </c>
      <c r="Z129" s="2088">
        <f t="shared" si="244"/>
        <v>3.6609999999999996</v>
      </c>
      <c r="AA129" s="2088">
        <f t="shared" si="244"/>
        <v>5.4550000000000001</v>
      </c>
      <c r="AB129" s="2088">
        <f t="shared" si="244"/>
        <v>5.5579999999999998</v>
      </c>
      <c r="AC129" s="2088">
        <f t="shared" si="244"/>
        <v>6.7459999999999996</v>
      </c>
      <c r="AD129" s="2088">
        <f t="shared" si="244"/>
        <v>6.729000000000001</v>
      </c>
      <c r="AE129" s="2088">
        <f t="shared" si="244"/>
        <v>6.1889999999999983</v>
      </c>
      <c r="AF129" s="2088">
        <f t="shared" si="244"/>
        <v>7.2740000000000009</v>
      </c>
      <c r="AG129" s="2226">
        <f t="shared" si="244"/>
        <v>9.9780000000000015</v>
      </c>
      <c r="AH129" s="2088">
        <f t="shared" si="244"/>
        <v>11.618999999999998</v>
      </c>
      <c r="AI129" s="2088">
        <f t="shared" si="244"/>
        <v>11.114000000000001</v>
      </c>
      <c r="AJ129" s="2227">
        <f t="shared" si="244"/>
        <v>9.8939999999999984</v>
      </c>
      <c r="AK129" s="2226">
        <f t="shared" si="244"/>
        <v>8.2620000000000005</v>
      </c>
      <c r="AL129" s="2088">
        <f t="shared" si="244"/>
        <v>6.7530000000000001</v>
      </c>
      <c r="AM129" s="2088">
        <f t="shared" si="244"/>
        <v>7.8580000000000005</v>
      </c>
      <c r="AN129" s="2088">
        <f t="shared" si="244"/>
        <v>7.8900000000000006</v>
      </c>
      <c r="AO129" s="2226">
        <f t="shared" si="244"/>
        <v>7.6490000000000009</v>
      </c>
      <c r="AP129" s="2088">
        <f t="shared" si="244"/>
        <v>8.990000000000002</v>
      </c>
      <c r="AQ129" s="2088">
        <f t="shared" si="244"/>
        <v>9.4650000000000034</v>
      </c>
      <c r="AR129" s="2227">
        <f t="shared" si="244"/>
        <v>11.134</v>
      </c>
      <c r="AS129" s="2088">
        <f t="shared" ref="AS129:BD129" si="245">AS128-AO128</f>
        <v>5.3310977840752614</v>
      </c>
      <c r="AT129" s="2088">
        <f t="shared" si="245"/>
        <v>5.8677317865155345</v>
      </c>
      <c r="AU129" s="2088">
        <f t="shared" si="245"/>
        <v>5.7456457216515133</v>
      </c>
      <c r="AV129" s="2227">
        <f t="shared" si="245"/>
        <v>5.5701999999999998</v>
      </c>
      <c r="AW129" s="2088">
        <f t="shared" si="245"/>
        <v>5.1246917340890334</v>
      </c>
      <c r="AX129" s="2088">
        <f t="shared" si="245"/>
        <v>5.6935278143818593</v>
      </c>
      <c r="AY129" s="2088">
        <f t="shared" si="245"/>
        <v>5.7665974865981866</v>
      </c>
      <c r="AZ129" s="2088">
        <f t="shared" si="245"/>
        <v>5.8505439999999993</v>
      </c>
      <c r="BA129" s="2226">
        <f t="shared" si="245"/>
        <v>4.5163789518164279</v>
      </c>
      <c r="BB129" s="2088">
        <f t="shared" si="245"/>
        <v>4.5806259600897477</v>
      </c>
      <c r="BC129" s="2088">
        <f t="shared" si="245"/>
        <v>4.6488243208249642</v>
      </c>
      <c r="BD129" s="2227">
        <f t="shared" si="245"/>
        <v>4.7271744000000098</v>
      </c>
      <c r="BE129" s="883"/>
      <c r="BF129" s="78"/>
      <c r="BG129" s="78"/>
      <c r="BH129" s="78"/>
      <c r="BI129" s="78"/>
      <c r="BJ129" s="78"/>
      <c r="BK129" s="78"/>
      <c r="BL129" s="1916">
        <f>BL128-BK128</f>
        <v>8.8870000000000005</v>
      </c>
      <c r="BM129" s="1916">
        <f>BM128-BL128</f>
        <v>17.770000000000003</v>
      </c>
      <c r="BN129" s="1916">
        <f t="shared" ref="BN129:BY129" si="246">BN128-BM128</f>
        <v>26.937999999999995</v>
      </c>
      <c r="BO129" s="1916">
        <f t="shared" si="246"/>
        <v>42.605000000000004</v>
      </c>
      <c r="BP129" s="1916">
        <f t="shared" si="246"/>
        <v>30.762999999999977</v>
      </c>
      <c r="BQ129" s="1916">
        <f t="shared" si="246"/>
        <v>37.238000000000028</v>
      </c>
      <c r="BR129" s="1916">
        <f t="shared" si="246"/>
        <v>22.514675292242316</v>
      </c>
      <c r="BS129" s="1916">
        <f t="shared" si="246"/>
        <v>22.435361035069064</v>
      </c>
      <c r="BT129" s="1916">
        <f t="shared" si="246"/>
        <v>18.47300363273115</v>
      </c>
      <c r="BU129" s="1916">
        <f t="shared" si="246"/>
        <v>15.784212797202997</v>
      </c>
      <c r="BV129" s="1916">
        <f t="shared" si="246"/>
        <v>12.80936263786225</v>
      </c>
      <c r="BW129" s="1916">
        <f t="shared" si="246"/>
        <v>12.99983076975542</v>
      </c>
      <c r="BX129" s="1916">
        <f t="shared" si="246"/>
        <v>12.199822308243142</v>
      </c>
      <c r="BY129" s="2216">
        <f t="shared" si="246"/>
        <v>12.409813423655351</v>
      </c>
      <c r="BZ129" s="36"/>
      <c r="CA129" s="36"/>
      <c r="CB129" s="36"/>
      <c r="CC129" s="36"/>
      <c r="CD129" s="36"/>
      <c r="CE129" s="36"/>
      <c r="CF129" s="36"/>
    </row>
    <row r="130" spans="1:84" ht="11.25" customHeight="1">
      <c r="A130" s="36"/>
      <c r="B130" s="36"/>
      <c r="C130" s="36"/>
      <c r="D130" s="36"/>
      <c r="E130" s="36"/>
      <c r="F130" s="36"/>
      <c r="G130" s="36"/>
      <c r="H130" s="36"/>
      <c r="I130" s="1911"/>
      <c r="J130" s="50"/>
      <c r="K130" s="50"/>
      <c r="L130" s="50"/>
      <c r="M130" s="2089"/>
      <c r="N130" s="2088"/>
      <c r="O130" s="2088"/>
      <c r="P130" s="2088"/>
      <c r="Q130" s="2088"/>
      <c r="R130" s="2088"/>
      <c r="S130" s="2088"/>
      <c r="T130" s="2088"/>
      <c r="U130" s="2088"/>
      <c r="V130" s="2088"/>
      <c r="W130" s="2088"/>
      <c r="X130" s="2088"/>
      <c r="Y130" s="2088"/>
      <c r="Z130" s="2088"/>
      <c r="AA130" s="2088"/>
      <c r="AB130" s="2088"/>
      <c r="AC130" s="2088"/>
      <c r="AD130" s="2088"/>
      <c r="AE130" s="2088"/>
      <c r="AF130" s="2088"/>
      <c r="AG130" s="2226"/>
      <c r="AH130" s="2088"/>
      <c r="AI130" s="2088"/>
      <c r="AJ130" s="2227"/>
      <c r="AK130" s="2226"/>
      <c r="AL130" s="2088"/>
      <c r="AM130" s="2088"/>
      <c r="AN130" s="2088"/>
      <c r="AO130" s="2226"/>
      <c r="AP130" s="2088"/>
      <c r="AQ130" s="2088"/>
      <c r="AR130" s="2227"/>
      <c r="AS130" s="2088"/>
      <c r="AT130" s="2088"/>
      <c r="AU130" s="2088"/>
      <c r="AV130" s="2227"/>
      <c r="AW130" s="2088"/>
      <c r="AX130" s="2088"/>
      <c r="AY130" s="2088"/>
      <c r="AZ130" s="2088"/>
      <c r="BA130" s="2226"/>
      <c r="BB130" s="2088"/>
      <c r="BC130" s="2088"/>
      <c r="BD130" s="2227"/>
      <c r="BE130" s="883"/>
      <c r="BF130" s="78"/>
      <c r="BG130" s="78"/>
      <c r="BH130" s="78"/>
      <c r="BI130" s="78"/>
      <c r="BJ130" s="78"/>
      <c r="BK130" s="78"/>
      <c r="BL130" s="1916"/>
      <c r="BM130" s="1916"/>
      <c r="BN130" s="1916"/>
      <c r="BO130" s="1916"/>
      <c r="BP130" s="1916"/>
      <c r="BQ130" s="1916"/>
      <c r="BR130" s="1916"/>
      <c r="BS130" s="1916"/>
      <c r="BT130" s="1916"/>
      <c r="BU130" s="1916"/>
      <c r="BV130" s="1916"/>
      <c r="BW130" s="1916"/>
      <c r="BX130" s="1916"/>
      <c r="BY130" s="2216"/>
      <c r="BZ130" s="36"/>
      <c r="CA130" s="36"/>
      <c r="CB130" s="36"/>
      <c r="CC130" s="36"/>
      <c r="CD130" s="36"/>
      <c r="CE130" s="36"/>
      <c r="CF130" s="36"/>
    </row>
    <row r="131" spans="1:84" ht="11.25" customHeight="1">
      <c r="A131" s="36"/>
      <c r="B131" s="36"/>
      <c r="C131" s="36"/>
      <c r="D131" s="36"/>
      <c r="E131" s="36"/>
      <c r="F131" s="36"/>
      <c r="G131" s="36"/>
      <c r="H131" s="36"/>
      <c r="I131" s="1914" t="s">
        <v>529</v>
      </c>
      <c r="J131" s="50"/>
      <c r="K131" s="50"/>
      <c r="L131" s="50"/>
      <c r="M131" s="78"/>
      <c r="N131" s="78"/>
      <c r="O131" s="78"/>
      <c r="P131" s="78"/>
      <c r="Q131" s="873"/>
      <c r="R131" s="78"/>
      <c r="S131" s="78"/>
      <c r="T131" s="874"/>
      <c r="U131" s="78"/>
      <c r="V131" s="78"/>
      <c r="W131" s="78"/>
      <c r="X131" s="78"/>
      <c r="Y131" s="873"/>
      <c r="Z131" s="78"/>
      <c r="AA131" s="78"/>
      <c r="AB131" s="874"/>
      <c r="AC131" s="78"/>
      <c r="AD131" s="78"/>
      <c r="AE131" s="78"/>
      <c r="AF131" s="78"/>
      <c r="AG131" s="873"/>
      <c r="AH131" s="1314"/>
      <c r="AI131" s="1314"/>
      <c r="AJ131" s="874"/>
      <c r="AK131" s="2309"/>
      <c r="AL131" s="2310"/>
      <c r="AM131" s="2310"/>
      <c r="AN131" s="2311"/>
      <c r="AO131" s="2310"/>
      <c r="AP131" s="2310"/>
      <c r="AQ131" s="2310"/>
      <c r="AR131" s="2311"/>
      <c r="AS131" s="78"/>
      <c r="AT131" s="78"/>
      <c r="AU131" s="78"/>
      <c r="AV131" s="874"/>
      <c r="AW131" s="78"/>
      <c r="AX131" s="78"/>
      <c r="AY131" s="78"/>
      <c r="AZ131" s="78"/>
      <c r="BA131" s="873"/>
      <c r="BB131" s="78"/>
      <c r="BC131" s="78"/>
      <c r="BD131" s="874"/>
      <c r="BE131" s="883"/>
      <c r="BF131" s="78"/>
      <c r="BG131" s="78"/>
      <c r="BH131" s="78"/>
      <c r="BI131" s="78"/>
      <c r="BJ131" s="78"/>
      <c r="BK131" s="78"/>
      <c r="BL131" s="78"/>
      <c r="BM131" s="78"/>
      <c r="BN131" s="78"/>
      <c r="BO131" s="78"/>
      <c r="BP131" s="78"/>
      <c r="BQ131" s="78"/>
      <c r="BR131" s="78"/>
      <c r="BS131" s="78"/>
      <c r="BT131" s="78"/>
      <c r="BU131" s="78"/>
      <c r="BV131" s="78"/>
      <c r="BW131" s="78"/>
      <c r="BX131" s="78"/>
      <c r="BY131" s="874"/>
      <c r="BZ131" s="36"/>
      <c r="CA131" s="36"/>
      <c r="CB131" s="36"/>
      <c r="CC131" s="36"/>
      <c r="CD131" s="36"/>
      <c r="CE131" s="36"/>
      <c r="CF131" s="36"/>
    </row>
    <row r="132" spans="1:84" ht="11.25" customHeight="1">
      <c r="A132" s="36"/>
      <c r="B132" s="36"/>
      <c r="C132" s="36"/>
      <c r="D132" s="36"/>
      <c r="E132" s="36"/>
      <c r="F132" s="36"/>
      <c r="G132" s="36"/>
      <c r="H132" s="36"/>
      <c r="I132" s="1914"/>
      <c r="J132" s="50"/>
      <c r="K132" s="50"/>
      <c r="L132" s="50"/>
      <c r="M132" s="78"/>
      <c r="N132" s="78"/>
      <c r="O132" s="78"/>
      <c r="P132" s="78"/>
      <c r="Q132" s="873"/>
      <c r="R132" s="78"/>
      <c r="S132" s="78"/>
      <c r="T132" s="874"/>
      <c r="U132" s="78"/>
      <c r="V132" s="78"/>
      <c r="W132" s="78"/>
      <c r="X132" s="78"/>
      <c r="Y132" s="873"/>
      <c r="Z132" s="78"/>
      <c r="AA132" s="78"/>
      <c r="AB132" s="874"/>
      <c r="AC132" s="78"/>
      <c r="AD132" s="78"/>
      <c r="AE132" s="78"/>
      <c r="AF132" s="78"/>
      <c r="AG132" s="873"/>
      <c r="AH132" s="1314"/>
      <c r="AI132" s="1314"/>
      <c r="AJ132" s="874"/>
      <c r="AK132" s="2309"/>
      <c r="AL132" s="2310"/>
      <c r="AM132" s="2310"/>
      <c r="AN132" s="2311"/>
      <c r="AO132" s="2310"/>
      <c r="AP132" s="2310"/>
      <c r="AQ132" s="2310"/>
      <c r="AR132" s="2311"/>
      <c r="AS132" s="78"/>
      <c r="AT132" s="78"/>
      <c r="AU132" s="78"/>
      <c r="AV132" s="874"/>
      <c r="AW132" s="873"/>
      <c r="AX132" s="78"/>
      <c r="AY132" s="78"/>
      <c r="AZ132" s="78"/>
      <c r="BA132" s="873"/>
      <c r="BB132" s="78"/>
      <c r="BC132" s="78"/>
      <c r="BD132" s="874"/>
      <c r="BE132" s="883"/>
      <c r="BF132" s="78"/>
      <c r="BG132" s="78"/>
      <c r="BH132" s="78"/>
      <c r="BI132" s="78"/>
      <c r="BJ132" s="78"/>
      <c r="BK132" s="78"/>
      <c r="BL132" s="78"/>
      <c r="BM132" s="78"/>
      <c r="BN132" s="78"/>
      <c r="BO132" s="78"/>
      <c r="BP132" s="78"/>
      <c r="BQ132" s="78"/>
      <c r="BR132" s="78"/>
      <c r="BS132" s="78"/>
      <c r="BT132" s="78"/>
      <c r="BU132" s="78"/>
      <c r="BV132" s="78"/>
      <c r="BW132" s="78"/>
      <c r="BX132" s="78"/>
      <c r="BY132" s="874"/>
      <c r="BZ132" s="36"/>
      <c r="CA132" s="36"/>
      <c r="CB132" s="36"/>
      <c r="CC132" s="36"/>
      <c r="CD132" s="36"/>
      <c r="CE132" s="36"/>
      <c r="CF132" s="36"/>
    </row>
    <row r="133" spans="1:84" ht="11.25" hidden="1" customHeight="1" outlineLevel="1">
      <c r="A133" s="36"/>
      <c r="B133" s="36"/>
      <c r="C133" s="36"/>
      <c r="D133" s="36"/>
      <c r="E133" s="36"/>
      <c r="F133" s="36"/>
      <c r="G133" s="36"/>
      <c r="H133" s="36"/>
      <c r="I133" s="1274" t="s">
        <v>534</v>
      </c>
      <c r="J133" s="50"/>
      <c r="K133" s="50"/>
      <c r="L133" s="50"/>
      <c r="M133" s="78"/>
      <c r="N133" s="78"/>
      <c r="O133" s="78"/>
      <c r="P133" s="78"/>
      <c r="Q133" s="873"/>
      <c r="R133" s="78"/>
      <c r="S133" s="78"/>
      <c r="T133" s="874"/>
      <c r="U133" s="78"/>
      <c r="V133" s="78"/>
      <c r="W133" s="78"/>
      <c r="X133" s="78"/>
      <c r="Y133" s="873"/>
      <c r="Z133" s="78"/>
      <c r="AA133" s="78"/>
      <c r="AB133" s="874"/>
      <c r="AC133" s="78"/>
      <c r="AD133" s="78"/>
      <c r="AE133" s="78"/>
      <c r="AF133" s="78"/>
      <c r="AG133" s="2317">
        <f>7.6-AG134</f>
        <v>4.8999999999999995</v>
      </c>
      <c r="AH133" s="1743">
        <f>8.9-AH134</f>
        <v>6</v>
      </c>
      <c r="AI133" s="1743">
        <f>8.5-AI134</f>
        <v>6.5</v>
      </c>
      <c r="AJ133" s="2003">
        <f>$BO133-SUM(AG133:AI133)</f>
        <v>8.3000000000000043</v>
      </c>
      <c r="AK133" s="2317">
        <f>8.6-AK134</f>
        <v>5.6999999999999993</v>
      </c>
      <c r="AL133" s="1743">
        <f>6.9-AL134</f>
        <v>4.6000000000000005</v>
      </c>
      <c r="AM133" s="1743">
        <f>6.9-AM134</f>
        <v>4.6000000000000005</v>
      </c>
      <c r="AN133" s="2003">
        <f>$BP133-SUM(AK133:AM133)</f>
        <v>9.9999999999996092E-2</v>
      </c>
      <c r="AO133" s="2317">
        <f>5.6-AO134</f>
        <v>2.3999999999999995</v>
      </c>
      <c r="AP133" s="1743">
        <f>7.1-AP134</f>
        <v>4.3</v>
      </c>
      <c r="AQ133" s="1743">
        <f>8-AQ134</f>
        <v>5.3</v>
      </c>
      <c r="AR133" s="2312"/>
      <c r="AS133" s="1235"/>
      <c r="AT133" s="1235"/>
      <c r="AU133" s="1235"/>
      <c r="AV133" s="1237"/>
      <c r="AW133" s="1236"/>
      <c r="AX133" s="1235"/>
      <c r="AY133" s="1235"/>
      <c r="AZ133" s="1235"/>
      <c r="BA133" s="1236"/>
      <c r="BB133" s="1235"/>
      <c r="BC133" s="1235"/>
      <c r="BD133" s="1237"/>
      <c r="BE133" s="883"/>
      <c r="BF133" s="1235"/>
      <c r="BG133" s="1235"/>
      <c r="BH133" s="1235"/>
      <c r="BI133" s="1235"/>
      <c r="BJ133" s="1235"/>
      <c r="BK133" s="1235"/>
      <c r="BL133" s="1743">
        <f>7.7-BL134</f>
        <v>6.7</v>
      </c>
      <c r="BM133" s="1743">
        <f>15.3-BM134</f>
        <v>10.700000000000001</v>
      </c>
      <c r="BN133" s="1743">
        <f>24.9-BN134</f>
        <v>16.399999999999999</v>
      </c>
      <c r="BO133" s="1743">
        <f>35.2-BO134</f>
        <v>25.700000000000003</v>
      </c>
      <c r="BP133" s="1433">
        <f>27.9-BP134</f>
        <v>14.999999999999998</v>
      </c>
      <c r="BQ133" s="1433">
        <f t="shared" ref="BQ133:BY133" si="247">+BQ141*BQ140/1000000</f>
        <v>9.913793103448274</v>
      </c>
      <c r="BR133" s="1433">
        <f t="shared" si="247"/>
        <v>10.310344827586206</v>
      </c>
      <c r="BS133" s="1433">
        <f t="shared" si="247"/>
        <v>-28.951448275862067</v>
      </c>
      <c r="BT133" s="1433">
        <f t="shared" si="247"/>
        <v>6.6910013793103449</v>
      </c>
      <c r="BU133" s="1433">
        <f t="shared" si="247"/>
        <v>5.798867862068966</v>
      </c>
      <c r="BV133" s="1433">
        <f t="shared" si="247"/>
        <v>4.8246580612413794</v>
      </c>
      <c r="BW133" s="1433">
        <f t="shared" si="247"/>
        <v>3.7632332877682759</v>
      </c>
      <c r="BX133" s="1433">
        <f t="shared" si="247"/>
        <v>3.9137626192790069</v>
      </c>
      <c r="BY133" s="1460">
        <f t="shared" si="247"/>
        <v>4.070313124050168</v>
      </c>
      <c r="BZ133" s="36"/>
      <c r="CA133" s="36"/>
      <c r="CB133" s="36"/>
      <c r="CC133" s="36"/>
      <c r="CD133" s="36"/>
      <c r="CE133" s="36"/>
      <c r="CF133" s="36"/>
    </row>
    <row r="134" spans="1:84" ht="11.25" hidden="1" customHeight="1" outlineLevel="1">
      <c r="A134" s="36"/>
      <c r="B134" s="36"/>
      <c r="C134" s="36"/>
      <c r="D134" s="36"/>
      <c r="E134" s="36"/>
      <c r="F134" s="36"/>
      <c r="G134" s="36"/>
      <c r="H134" s="36"/>
      <c r="I134" s="1274" t="s">
        <v>525</v>
      </c>
      <c r="J134" s="50"/>
      <c r="K134" s="50"/>
      <c r="L134" s="50"/>
      <c r="M134" s="78"/>
      <c r="N134" s="78"/>
      <c r="O134" s="78"/>
      <c r="P134" s="78"/>
      <c r="Q134" s="873"/>
      <c r="R134" s="78"/>
      <c r="S134" s="78"/>
      <c r="T134" s="874"/>
      <c r="U134" s="78"/>
      <c r="V134" s="78"/>
      <c r="W134" s="78"/>
      <c r="X134" s="78"/>
      <c r="Y134" s="873"/>
      <c r="Z134" s="78"/>
      <c r="AA134" s="78"/>
      <c r="AB134" s="874"/>
      <c r="AC134" s="78"/>
      <c r="AD134" s="78"/>
      <c r="AE134" s="78"/>
      <c r="AF134" s="78"/>
      <c r="AG134" s="2313">
        <v>2.7</v>
      </c>
      <c r="AH134" s="1202">
        <v>2.9</v>
      </c>
      <c r="AI134" s="1202">
        <v>2</v>
      </c>
      <c r="AJ134" s="2003">
        <f>$BO134-SUM(AG134:AI134)</f>
        <v>1.9000000000000004</v>
      </c>
      <c r="AK134" s="2313">
        <v>2.9</v>
      </c>
      <c r="AL134" s="1202">
        <v>2.2999999999999998</v>
      </c>
      <c r="AM134" s="1202">
        <v>2.2999999999999998</v>
      </c>
      <c r="AN134" s="2003">
        <f>$BP134-SUM(AK134:AM134)</f>
        <v>5.4000000000000012</v>
      </c>
      <c r="AO134" s="2313">
        <v>3.2</v>
      </c>
      <c r="AP134" s="1202">
        <v>2.8</v>
      </c>
      <c r="AQ134" s="1202">
        <v>2.7</v>
      </c>
      <c r="AR134" s="2314"/>
      <c r="AS134" s="78"/>
      <c r="AT134" s="2798"/>
      <c r="AU134" s="2798"/>
      <c r="AV134" s="2799"/>
      <c r="AW134" s="2800"/>
      <c r="AX134" s="2798"/>
      <c r="AY134" s="78"/>
      <c r="AZ134" s="874"/>
      <c r="BA134" s="873"/>
      <c r="BB134" s="78"/>
      <c r="BC134" s="78"/>
      <c r="BD134" s="874"/>
      <c r="BE134" s="883"/>
      <c r="BF134" s="78"/>
      <c r="BG134" s="78"/>
      <c r="BH134" s="78"/>
      <c r="BI134" s="78"/>
      <c r="BJ134" s="78"/>
      <c r="BK134" s="78"/>
      <c r="BL134" s="1915">
        <v>1</v>
      </c>
      <c r="BM134" s="1915">
        <v>4.5999999999999996</v>
      </c>
      <c r="BN134" s="1915">
        <v>8.5</v>
      </c>
      <c r="BO134" s="1915">
        <v>9.5</v>
      </c>
      <c r="BP134" s="1948">
        <v>12.9</v>
      </c>
      <c r="BQ134" s="1950">
        <f t="shared" ref="BQ134:BY134" si="248">BQ214-BP214</f>
        <v>10.958000000000006</v>
      </c>
      <c r="BR134" s="1950">
        <f t="shared" si="248"/>
        <v>10.514675292242302</v>
      </c>
      <c r="BS134" s="1950">
        <f t="shared" si="248"/>
        <v>6.9353610350690786</v>
      </c>
      <c r="BT134" s="1950">
        <f t="shared" si="248"/>
        <v>6.4730036327311353</v>
      </c>
      <c r="BU134" s="1950">
        <f t="shared" si="248"/>
        <v>4.9842127972029857</v>
      </c>
      <c r="BV134" s="1950">
        <f t="shared" si="248"/>
        <v>3.8093626378622787</v>
      </c>
      <c r="BW134" s="1950">
        <f t="shared" si="248"/>
        <v>3.9998307697553912</v>
      </c>
      <c r="BX134" s="1950">
        <f t="shared" si="248"/>
        <v>4.1998223082431707</v>
      </c>
      <c r="BY134" s="2217">
        <f t="shared" si="248"/>
        <v>4.4098134236553079</v>
      </c>
      <c r="BZ134" s="36"/>
      <c r="CA134" s="36"/>
      <c r="CB134" s="36"/>
      <c r="CC134" s="36"/>
      <c r="CD134" s="36"/>
      <c r="CE134" s="36"/>
      <c r="CF134" s="36"/>
    </row>
    <row r="135" spans="1:84" ht="11.25" hidden="1" customHeight="1" outlineLevel="1">
      <c r="A135" s="36"/>
      <c r="B135" s="36"/>
      <c r="C135" s="36"/>
      <c r="D135" s="36"/>
      <c r="E135" s="36"/>
      <c r="F135" s="36"/>
      <c r="G135" s="36"/>
      <c r="H135" s="36"/>
      <c r="I135" s="1274" t="s">
        <v>527</v>
      </c>
      <c r="J135" s="50"/>
      <c r="K135" s="50"/>
      <c r="L135" s="50"/>
      <c r="M135" s="78"/>
      <c r="N135" s="78"/>
      <c r="O135" s="78"/>
      <c r="P135" s="78"/>
      <c r="Q135" s="873"/>
      <c r="R135" s="78"/>
      <c r="S135" s="78"/>
      <c r="T135" s="874"/>
      <c r="U135" s="78"/>
      <c r="V135" s="78"/>
      <c r="W135" s="78"/>
      <c r="X135" s="78"/>
      <c r="Y135" s="873"/>
      <c r="Z135" s="78"/>
      <c r="AA135" s="78"/>
      <c r="AB135" s="874"/>
      <c r="AC135" s="78"/>
      <c r="AD135" s="78"/>
      <c r="AE135" s="78"/>
      <c r="AF135" s="78"/>
      <c r="AG135" s="2313">
        <v>1.6</v>
      </c>
      <c r="AH135" s="1202">
        <v>2</v>
      </c>
      <c r="AI135" s="1202">
        <v>2.5</v>
      </c>
      <c r="AJ135" s="2003">
        <f>$BO135-SUM(AG135:AI135)</f>
        <v>-0.29999999999999982</v>
      </c>
      <c r="AK135" s="2313">
        <v>0.4</v>
      </c>
      <c r="AL135" s="1202">
        <v>0.8</v>
      </c>
      <c r="AM135" s="1202">
        <v>0.8</v>
      </c>
      <c r="AN135" s="2003">
        <f>$BP135-SUM(AK135:AM135)</f>
        <v>3</v>
      </c>
      <c r="AO135" s="2313">
        <v>1.9</v>
      </c>
      <c r="AP135" s="1202">
        <v>1.9</v>
      </c>
      <c r="AQ135" s="1202">
        <v>1.1000000000000001</v>
      </c>
      <c r="AR135" s="2314"/>
      <c r="AS135" s="873"/>
      <c r="AT135" s="78"/>
      <c r="AU135" s="78"/>
      <c r="AV135" s="874"/>
      <c r="AW135" s="873"/>
      <c r="AX135" s="78"/>
      <c r="AY135" s="78"/>
      <c r="AZ135" s="874"/>
      <c r="BA135" s="873"/>
      <c r="BB135" s="78"/>
      <c r="BC135" s="78"/>
      <c r="BD135" s="874"/>
      <c r="BE135" s="883"/>
      <c r="BF135" s="78"/>
      <c r="BG135" s="78"/>
      <c r="BH135" s="78"/>
      <c r="BI135" s="78"/>
      <c r="BJ135" s="78"/>
      <c r="BK135" s="78"/>
      <c r="BL135" s="1915">
        <v>0.6</v>
      </c>
      <c r="BM135" s="1915">
        <v>1.3</v>
      </c>
      <c r="BN135" s="1915">
        <v>2.5</v>
      </c>
      <c r="BO135" s="1915">
        <v>5.8</v>
      </c>
      <c r="BP135" s="1948">
        <v>5</v>
      </c>
      <c r="BQ135" s="1433">
        <f t="shared" ref="BQ135:BY135" si="249">+BQ147*BQ148</f>
        <v>4.0123200000000008</v>
      </c>
      <c r="BR135" s="1433">
        <f t="shared" si="249"/>
        <v>3.39561</v>
      </c>
      <c r="BS135" s="1433">
        <f t="shared" si="249"/>
        <v>4.6920000000000028</v>
      </c>
      <c r="BT135" s="1433">
        <f t="shared" si="249"/>
        <v>4.3259999999999943</v>
      </c>
      <c r="BU135" s="1433">
        <f t="shared" si="249"/>
        <v>4.2</v>
      </c>
      <c r="BV135" s="1433">
        <f t="shared" si="249"/>
        <v>4.1099999999999994</v>
      </c>
      <c r="BW135" s="1433">
        <f t="shared" si="249"/>
        <v>3.9899999999999998</v>
      </c>
      <c r="BX135" s="1433">
        <f t="shared" si="249"/>
        <v>3.8699999999999997</v>
      </c>
      <c r="BY135" s="1460">
        <f t="shared" si="249"/>
        <v>3.78</v>
      </c>
      <c r="BZ135" s="36"/>
      <c r="CA135" s="36"/>
      <c r="CB135" s="36"/>
      <c r="CC135" s="36"/>
      <c r="CD135" s="36"/>
      <c r="CE135" s="36"/>
      <c r="CF135" s="36"/>
    </row>
    <row r="136" spans="1:84" ht="11.25" hidden="1" customHeight="1" outlineLevel="1">
      <c r="A136" s="36"/>
      <c r="B136" s="36"/>
      <c r="C136" s="36"/>
      <c r="D136" s="36"/>
      <c r="E136" s="36"/>
      <c r="F136" s="36"/>
      <c r="G136" s="36"/>
      <c r="H136" s="36"/>
      <c r="I136" s="1274" t="s">
        <v>537</v>
      </c>
      <c r="J136" s="50"/>
      <c r="K136" s="50"/>
      <c r="L136" s="50"/>
      <c r="M136" s="78"/>
      <c r="N136" s="78"/>
      <c r="O136" s="78"/>
      <c r="P136" s="78"/>
      <c r="Q136" s="873"/>
      <c r="R136" s="78"/>
      <c r="S136" s="78"/>
      <c r="T136" s="874"/>
      <c r="U136" s="78"/>
      <c r="V136" s="78"/>
      <c r="W136" s="78"/>
      <c r="X136" s="78"/>
      <c r="Y136" s="873"/>
      <c r="Z136" s="78"/>
      <c r="AA136" s="78"/>
      <c r="AB136" s="874"/>
      <c r="AC136" s="78"/>
      <c r="AD136" s="78"/>
      <c r="AE136" s="78"/>
      <c r="AF136" s="78"/>
      <c r="AG136" s="2313">
        <v>0.8</v>
      </c>
      <c r="AH136" s="1202">
        <v>0.7</v>
      </c>
      <c r="AI136" s="1202">
        <v>0.2</v>
      </c>
      <c r="AJ136" s="2003">
        <f>$BO136-SUM(AG136:AI136)</f>
        <v>-9.9999999999999867E-2</v>
      </c>
      <c r="AK136" s="2313">
        <v>-0.7</v>
      </c>
      <c r="AL136" s="1202">
        <v>-0.9</v>
      </c>
      <c r="AM136" s="1202">
        <v>-0.9</v>
      </c>
      <c r="AN136" s="2003">
        <f>$BP136-SUM(AK136:AM136)</f>
        <v>0.39999999999999991</v>
      </c>
      <c r="AO136" s="2313">
        <v>0</v>
      </c>
      <c r="AP136" s="1202">
        <v>0</v>
      </c>
      <c r="AQ136" s="1202">
        <v>0</v>
      </c>
      <c r="AR136" s="2314"/>
      <c r="AS136" s="873"/>
      <c r="AT136" s="78"/>
      <c r="AU136" s="78"/>
      <c r="AV136" s="874"/>
      <c r="AW136" s="873"/>
      <c r="AX136" s="78"/>
      <c r="AY136" s="78"/>
      <c r="AZ136" s="874"/>
      <c r="BA136" s="873"/>
      <c r="BB136" s="78"/>
      <c r="BC136" s="78"/>
      <c r="BD136" s="874"/>
      <c r="BE136" s="883"/>
      <c r="BF136" s="78"/>
      <c r="BG136" s="78"/>
      <c r="BH136" s="78"/>
      <c r="BI136" s="78"/>
      <c r="BJ136" s="78"/>
      <c r="BK136" s="78"/>
      <c r="BL136" s="1915">
        <v>0.5</v>
      </c>
      <c r="BM136" s="1915">
        <v>1.2</v>
      </c>
      <c r="BN136" s="1915">
        <v>-0.5</v>
      </c>
      <c r="BO136" s="1915">
        <v>1.6</v>
      </c>
      <c r="BP136" s="1948">
        <v>-2.1</v>
      </c>
      <c r="BQ136" s="1951">
        <v>1</v>
      </c>
      <c r="BR136" s="1951">
        <v>1</v>
      </c>
      <c r="BS136" s="1951">
        <v>1</v>
      </c>
      <c r="BT136" s="1951">
        <v>1</v>
      </c>
      <c r="BU136" s="1951">
        <v>1</v>
      </c>
      <c r="BV136" s="1951">
        <v>1</v>
      </c>
      <c r="BW136" s="1951">
        <v>1</v>
      </c>
      <c r="BX136" s="1951">
        <v>1</v>
      </c>
      <c r="BY136" s="2218">
        <v>1</v>
      </c>
      <c r="BZ136" s="36"/>
      <c r="CA136" s="36"/>
      <c r="CB136" s="36"/>
      <c r="CC136" s="36"/>
      <c r="CD136" s="36"/>
      <c r="CE136" s="36"/>
      <c r="CF136" s="36"/>
    </row>
    <row r="137" spans="1:84" ht="11.25" hidden="1" customHeight="1" outlineLevel="1">
      <c r="A137" s="36"/>
      <c r="B137" s="36"/>
      <c r="C137" s="36"/>
      <c r="D137" s="36"/>
      <c r="E137" s="36"/>
      <c r="F137" s="36"/>
      <c r="G137" s="36"/>
      <c r="H137" s="36"/>
      <c r="I137" s="1274" t="s">
        <v>458</v>
      </c>
      <c r="J137" s="50"/>
      <c r="K137" s="50"/>
      <c r="L137" s="50"/>
      <c r="M137" s="78"/>
      <c r="N137" s="78"/>
      <c r="O137" s="78"/>
      <c r="P137" s="78"/>
      <c r="Q137" s="873"/>
      <c r="R137" s="78"/>
      <c r="S137" s="78"/>
      <c r="T137" s="874"/>
      <c r="U137" s="78"/>
      <c r="V137" s="78"/>
      <c r="W137" s="78"/>
      <c r="X137" s="78"/>
      <c r="Y137" s="873"/>
      <c r="Z137" s="78"/>
      <c r="AA137" s="78"/>
      <c r="AB137" s="874"/>
      <c r="AC137" s="78"/>
      <c r="AD137" s="78"/>
      <c r="AE137" s="78"/>
      <c r="AF137" s="78"/>
      <c r="AG137" s="2318">
        <f t="shared" ref="AG137:AL137" si="250">+AG129-SUM(AG133:AG136)</f>
        <v>-2.1999999999998465E-2</v>
      </c>
      <c r="AH137" s="2338">
        <f t="shared" si="250"/>
        <v>1.8999999999998352E-2</v>
      </c>
      <c r="AI137" s="2338">
        <f t="shared" si="250"/>
        <v>-8.5999999999998522E-2</v>
      </c>
      <c r="AJ137" s="2573">
        <f t="shared" si="250"/>
        <v>9.3999999999992312E-2</v>
      </c>
      <c r="AK137" s="2318">
        <f t="shared" si="250"/>
        <v>-3.8000000000000256E-2</v>
      </c>
      <c r="AL137" s="2338">
        <f t="shared" si="250"/>
        <v>-4.6999999999999709E-2</v>
      </c>
      <c r="AM137" s="2338">
        <f>+AM129-SUM(AM133:AM136)</f>
        <v>1.0580000000000007</v>
      </c>
      <c r="AN137" s="2573">
        <f>$BP137-SUM(AK137:AM137)</f>
        <v>-1.0100000000000211</v>
      </c>
      <c r="AO137" s="2318">
        <f>+AO129-SUM(AO133:AO136)</f>
        <v>0.14900000000000091</v>
      </c>
      <c r="AP137" s="2338">
        <f t="shared" ref="AP137:AQ137" si="251">+AP129-SUM(AP133:AP136)</f>
        <v>-9.9999999999980105E-3</v>
      </c>
      <c r="AQ137" s="2338">
        <f t="shared" si="251"/>
        <v>0.36500000000000377</v>
      </c>
      <c r="AR137" s="2316"/>
      <c r="AS137" s="873"/>
      <c r="AT137" s="78"/>
      <c r="AU137" s="78"/>
      <c r="AV137" s="874"/>
      <c r="AW137" s="873"/>
      <c r="AX137" s="78"/>
      <c r="AY137" s="78"/>
      <c r="AZ137" s="874"/>
      <c r="BA137" s="873"/>
      <c r="BB137" s="78"/>
      <c r="BC137" s="78"/>
      <c r="BD137" s="874"/>
      <c r="BE137" s="883"/>
      <c r="BF137" s="78"/>
      <c r="BG137" s="78"/>
      <c r="BH137" s="78"/>
      <c r="BI137" s="78"/>
      <c r="BJ137" s="78"/>
      <c r="BK137" s="78"/>
      <c r="BL137" s="1913">
        <f t="shared" ref="BL137:BY137" si="252">+BL129-SUM(BL133:BL136)</f>
        <v>8.6999999999999744E-2</v>
      </c>
      <c r="BM137" s="1913">
        <f t="shared" si="252"/>
        <v>-2.9999999999997584E-2</v>
      </c>
      <c r="BN137" s="1913">
        <f t="shared" si="252"/>
        <v>3.7999999999996703E-2</v>
      </c>
      <c r="BO137" s="1913">
        <f t="shared" si="252"/>
        <v>5.000000000002558E-3</v>
      </c>
      <c r="BP137" s="1278">
        <f t="shared" si="252"/>
        <v>-3.700000000002035E-2</v>
      </c>
      <c r="BQ137" s="1278">
        <f t="shared" si="252"/>
        <v>11.353886896551749</v>
      </c>
      <c r="BR137" s="1278">
        <f t="shared" si="252"/>
        <v>-2.7059548275861935</v>
      </c>
      <c r="BS137" s="1278">
        <f t="shared" si="252"/>
        <v>38.759448275862049</v>
      </c>
      <c r="BT137" s="1278">
        <f t="shared" si="252"/>
        <v>-1.7001379310325859E-2</v>
      </c>
      <c r="BU137" s="1278">
        <f t="shared" si="252"/>
        <v>-0.19886786206895479</v>
      </c>
      <c r="BV137" s="1278">
        <f t="shared" si="252"/>
        <v>-0.93465806124140727</v>
      </c>
      <c r="BW137" s="1278">
        <f t="shared" si="252"/>
        <v>0.24676671223175184</v>
      </c>
      <c r="BX137" s="1278">
        <f t="shared" si="252"/>
        <v>-0.78376261927903457</v>
      </c>
      <c r="BY137" s="1280">
        <f t="shared" si="252"/>
        <v>-0.85031312405012471</v>
      </c>
      <c r="BZ137" s="36"/>
      <c r="CA137" s="36"/>
      <c r="CB137" s="36"/>
      <c r="CC137" s="36"/>
      <c r="CD137" s="36"/>
      <c r="CE137" s="36"/>
      <c r="CF137" s="36"/>
    </row>
    <row r="138" spans="1:84" ht="11.25" hidden="1" customHeight="1" outlineLevel="1">
      <c r="A138" s="36"/>
      <c r="B138" s="36"/>
      <c r="C138" s="36"/>
      <c r="D138" s="36"/>
      <c r="E138" s="36"/>
      <c r="F138" s="36"/>
      <c r="G138" s="36"/>
      <c r="H138" s="36"/>
      <c r="I138" s="1274"/>
      <c r="J138" s="50"/>
      <c r="K138" s="50"/>
      <c r="L138" s="50"/>
      <c r="M138" s="78"/>
      <c r="N138" s="78"/>
      <c r="O138" s="78"/>
      <c r="P138" s="78"/>
      <c r="Q138" s="873"/>
      <c r="R138" s="78"/>
      <c r="S138" s="78"/>
      <c r="T138" s="874"/>
      <c r="U138" s="78"/>
      <c r="V138" s="78"/>
      <c r="W138" s="78"/>
      <c r="X138" s="78"/>
      <c r="Y138" s="873"/>
      <c r="Z138" s="78"/>
      <c r="AA138" s="78"/>
      <c r="AB138" s="874"/>
      <c r="AC138" s="78"/>
      <c r="AD138" s="78"/>
      <c r="AE138" s="78"/>
      <c r="AF138" s="78"/>
      <c r="AG138" s="873"/>
      <c r="AH138" s="1314"/>
      <c r="AI138" s="1314"/>
      <c r="AJ138" s="874"/>
      <c r="AK138" s="873"/>
      <c r="AL138" s="295"/>
      <c r="AM138" s="295"/>
      <c r="AN138" s="874"/>
      <c r="AO138" s="78"/>
      <c r="AP138" s="295"/>
      <c r="AQ138" s="295"/>
      <c r="AR138" s="874"/>
      <c r="AS138" s="873"/>
      <c r="AT138" s="78"/>
      <c r="AU138" s="78"/>
      <c r="AV138" s="874"/>
      <c r="AW138" s="873"/>
      <c r="AX138" s="78"/>
      <c r="AY138" s="78"/>
      <c r="AZ138" s="874"/>
      <c r="BA138" s="873"/>
      <c r="BB138" s="78"/>
      <c r="BC138" s="78"/>
      <c r="BD138" s="874"/>
      <c r="BE138" s="883"/>
      <c r="BF138" s="78"/>
      <c r="BG138" s="78"/>
      <c r="BH138" s="78"/>
      <c r="BI138" s="78"/>
      <c r="BJ138" s="78"/>
      <c r="BK138" s="78"/>
      <c r="BL138" s="78"/>
      <c r="BM138" s="78"/>
      <c r="BN138" s="78"/>
      <c r="BO138" s="78"/>
      <c r="BP138" s="78"/>
      <c r="BQ138" s="78"/>
      <c r="BR138" s="78"/>
      <c r="BS138" s="78"/>
      <c r="BT138" s="78"/>
      <c r="BU138" s="78"/>
      <c r="BV138" s="78"/>
      <c r="BW138" s="78"/>
      <c r="BX138" s="78"/>
      <c r="BY138" s="874"/>
      <c r="BZ138" s="36"/>
      <c r="CA138" s="36"/>
      <c r="CB138" s="36"/>
      <c r="CC138" s="36"/>
      <c r="CD138" s="36"/>
      <c r="CE138" s="36"/>
      <c r="CF138" s="36"/>
    </row>
    <row r="139" spans="1:84" s="90" customFormat="1" ht="11.25" hidden="1" customHeight="1" outlineLevel="1">
      <c r="I139" s="1316" t="s">
        <v>555</v>
      </c>
      <c r="J139" s="413"/>
      <c r="K139" s="413"/>
      <c r="L139" s="413"/>
      <c r="M139" s="1238"/>
      <c r="N139" s="1238"/>
      <c r="O139" s="1238"/>
      <c r="P139" s="1238"/>
      <c r="Q139" s="1269"/>
      <c r="R139" s="1238"/>
      <c r="S139" s="1238"/>
      <c r="T139" s="1270"/>
      <c r="U139" s="1238"/>
      <c r="V139" s="1238"/>
      <c r="W139" s="1238"/>
      <c r="X139" s="1238"/>
      <c r="Y139" s="1281">
        <f t="shared" ref="Y139:AK139" si="253">Y229</f>
        <v>679</v>
      </c>
      <c r="Z139" s="1277">
        <f t="shared" si="253"/>
        <v>686</v>
      </c>
      <c r="AA139" s="1277">
        <f t="shared" si="253"/>
        <v>756</v>
      </c>
      <c r="AB139" s="1282">
        <f t="shared" si="253"/>
        <v>884</v>
      </c>
      <c r="AC139" s="1277">
        <f t="shared" si="253"/>
        <v>904</v>
      </c>
      <c r="AD139" s="1277">
        <f t="shared" si="253"/>
        <v>995</v>
      </c>
      <c r="AE139" s="1277">
        <f t="shared" si="253"/>
        <v>1089</v>
      </c>
      <c r="AF139" s="1277">
        <f t="shared" si="253"/>
        <v>1161</v>
      </c>
      <c r="AG139" s="1281">
        <f t="shared" si="253"/>
        <v>1521</v>
      </c>
      <c r="AH139" s="1277">
        <f t="shared" si="253"/>
        <v>1500</v>
      </c>
      <c r="AI139" s="1277">
        <f t="shared" si="253"/>
        <v>1550</v>
      </c>
      <c r="AJ139" s="1282">
        <f t="shared" si="253"/>
        <v>1626</v>
      </c>
      <c r="AK139" s="1281">
        <f t="shared" si="253"/>
        <v>1728</v>
      </c>
      <c r="AL139" s="1277">
        <f t="shared" ref="AL139:AQ139" si="254">AL229</f>
        <v>1754</v>
      </c>
      <c r="AM139" s="1277">
        <f t="shared" si="254"/>
        <v>1850</v>
      </c>
      <c r="AN139" s="1282">
        <f t="shared" si="254"/>
        <v>1800</v>
      </c>
      <c r="AO139" s="1281">
        <f t="shared" si="254"/>
        <v>1800</v>
      </c>
      <c r="AP139" s="1277">
        <f t="shared" si="254"/>
        <v>1850</v>
      </c>
      <c r="AQ139" s="1277">
        <f t="shared" si="254"/>
        <v>2000</v>
      </c>
      <c r="AR139" s="1282">
        <f t="shared" ref="AR139" si="255">AR229</f>
        <v>1900</v>
      </c>
      <c r="AS139" s="1281">
        <f t="shared" ref="AS139:BD139" si="256">AS229</f>
        <v>1925</v>
      </c>
      <c r="AT139" s="1277">
        <f t="shared" si="256"/>
        <v>1950</v>
      </c>
      <c r="AU139" s="1277">
        <f t="shared" si="256"/>
        <v>1975</v>
      </c>
      <c r="AV139" s="1282">
        <f t="shared" si="256"/>
        <v>2000</v>
      </c>
      <c r="AW139" s="1281">
        <f t="shared" si="256"/>
        <v>2020</v>
      </c>
      <c r="AX139" s="1277">
        <f t="shared" si="256"/>
        <v>2040</v>
      </c>
      <c r="AY139" s="1277">
        <f t="shared" si="256"/>
        <v>2060</v>
      </c>
      <c r="AZ139" s="1282">
        <f t="shared" si="256"/>
        <v>2080</v>
      </c>
      <c r="BA139" s="1281">
        <f t="shared" si="256"/>
        <v>2095</v>
      </c>
      <c r="BB139" s="1277">
        <f t="shared" si="256"/>
        <v>2110</v>
      </c>
      <c r="BC139" s="1277">
        <f t="shared" si="256"/>
        <v>2125</v>
      </c>
      <c r="BD139" s="1282">
        <f t="shared" si="256"/>
        <v>2140</v>
      </c>
      <c r="BE139" s="2119"/>
      <c r="BF139" s="1277">
        <f t="shared" ref="BF139:BY139" si="257">BF229</f>
        <v>0</v>
      </c>
      <c r="BG139" s="1277">
        <f t="shared" si="257"/>
        <v>0</v>
      </c>
      <c r="BH139" s="1277">
        <f t="shared" si="257"/>
        <v>0</v>
      </c>
      <c r="BI139" s="1277">
        <f t="shared" si="257"/>
        <v>0</v>
      </c>
      <c r="BJ139" s="1277">
        <f t="shared" si="257"/>
        <v>0</v>
      </c>
      <c r="BK139" s="1277">
        <f t="shared" si="257"/>
        <v>0</v>
      </c>
      <c r="BL139" s="1277">
        <f t="shared" si="257"/>
        <v>617.76923076923072</v>
      </c>
      <c r="BM139" s="1277">
        <f t="shared" si="257"/>
        <v>884</v>
      </c>
      <c r="BN139" s="1277">
        <f t="shared" si="257"/>
        <v>1161</v>
      </c>
      <c r="BO139" s="1277">
        <f t="shared" si="257"/>
        <v>1626</v>
      </c>
      <c r="BP139" s="1277">
        <f>BP229</f>
        <v>1800</v>
      </c>
      <c r="BQ139" s="1277">
        <f t="shared" si="257"/>
        <v>1900</v>
      </c>
      <c r="BR139" s="1277">
        <f t="shared" si="257"/>
        <v>2000</v>
      </c>
      <c r="BS139" s="1277">
        <f t="shared" si="257"/>
        <v>1730</v>
      </c>
      <c r="BT139" s="1277">
        <f t="shared" si="257"/>
        <v>1790</v>
      </c>
      <c r="BU139" s="1277">
        <f t="shared" si="257"/>
        <v>1840</v>
      </c>
      <c r="BV139" s="1277">
        <f t="shared" si="257"/>
        <v>1880</v>
      </c>
      <c r="BW139" s="1277">
        <f t="shared" si="257"/>
        <v>1910</v>
      </c>
      <c r="BX139" s="1277">
        <f t="shared" si="257"/>
        <v>1940</v>
      </c>
      <c r="BY139" s="1282">
        <f t="shared" si="257"/>
        <v>1970</v>
      </c>
    </row>
    <row r="140" spans="1:84" s="1783" customFormat="1" ht="11.25" hidden="1" customHeight="1" outlineLevel="1">
      <c r="I140" s="2122" t="s">
        <v>559</v>
      </c>
      <c r="J140" s="2114"/>
      <c r="K140" s="2114"/>
      <c r="L140" s="2114"/>
      <c r="M140" s="1275"/>
      <c r="N140" s="1275"/>
      <c r="O140" s="1275"/>
      <c r="P140" s="1275"/>
      <c r="Q140" s="1398"/>
      <c r="R140" s="1275"/>
      <c r="S140" s="1275"/>
      <c r="T140" s="2123"/>
      <c r="U140" s="1275"/>
      <c r="V140" s="1275"/>
      <c r="W140" s="1275"/>
      <c r="X140" s="1275"/>
      <c r="Y140" s="1398"/>
      <c r="Z140" s="1275">
        <f t="shared" ref="Z140:AR140" si="258">Z139-Y139</f>
        <v>7</v>
      </c>
      <c r="AA140" s="1275">
        <f t="shared" si="258"/>
        <v>70</v>
      </c>
      <c r="AB140" s="2123">
        <f t="shared" si="258"/>
        <v>128</v>
      </c>
      <c r="AC140" s="1275">
        <f t="shared" si="258"/>
        <v>20</v>
      </c>
      <c r="AD140" s="1275">
        <f t="shared" si="258"/>
        <v>91</v>
      </c>
      <c r="AE140" s="1275">
        <f t="shared" si="258"/>
        <v>94</v>
      </c>
      <c r="AF140" s="1275">
        <f t="shared" si="258"/>
        <v>72</v>
      </c>
      <c r="AG140" s="1398">
        <f t="shared" si="258"/>
        <v>360</v>
      </c>
      <c r="AH140" s="1275">
        <f t="shared" si="258"/>
        <v>-21</v>
      </c>
      <c r="AI140" s="1275">
        <f t="shared" si="258"/>
        <v>50</v>
      </c>
      <c r="AJ140" s="2123">
        <f t="shared" si="258"/>
        <v>76</v>
      </c>
      <c r="AK140" s="1398">
        <f t="shared" si="258"/>
        <v>102</v>
      </c>
      <c r="AL140" s="1275">
        <f t="shared" si="258"/>
        <v>26</v>
      </c>
      <c r="AM140" s="1275">
        <f t="shared" si="258"/>
        <v>96</v>
      </c>
      <c r="AN140" s="2123">
        <f t="shared" si="258"/>
        <v>-50</v>
      </c>
      <c r="AO140" s="1398">
        <f t="shared" si="258"/>
        <v>0</v>
      </c>
      <c r="AP140" s="1275">
        <f t="shared" si="258"/>
        <v>50</v>
      </c>
      <c r="AQ140" s="1275">
        <f t="shared" si="258"/>
        <v>150</v>
      </c>
      <c r="AR140" s="2123">
        <f t="shared" si="258"/>
        <v>-100</v>
      </c>
      <c r="AS140" s="1398">
        <f t="shared" ref="AS140:BD140" si="259">AS139-AR139</f>
        <v>25</v>
      </c>
      <c r="AT140" s="1275">
        <f t="shared" si="259"/>
        <v>25</v>
      </c>
      <c r="AU140" s="1275">
        <f t="shared" si="259"/>
        <v>25</v>
      </c>
      <c r="AV140" s="2123">
        <f t="shared" si="259"/>
        <v>25</v>
      </c>
      <c r="AW140" s="1398">
        <f t="shared" si="259"/>
        <v>20</v>
      </c>
      <c r="AX140" s="1275">
        <f t="shared" si="259"/>
        <v>20</v>
      </c>
      <c r="AY140" s="1275">
        <f t="shared" si="259"/>
        <v>20</v>
      </c>
      <c r="AZ140" s="2123">
        <f t="shared" si="259"/>
        <v>20</v>
      </c>
      <c r="BA140" s="1398">
        <f t="shared" si="259"/>
        <v>15</v>
      </c>
      <c r="BB140" s="1275">
        <f t="shared" si="259"/>
        <v>15</v>
      </c>
      <c r="BC140" s="1275">
        <f t="shared" si="259"/>
        <v>15</v>
      </c>
      <c r="BD140" s="2123">
        <f t="shared" si="259"/>
        <v>15</v>
      </c>
      <c r="BE140" s="2584"/>
      <c r="BF140" s="1275"/>
      <c r="BG140" s="1275"/>
      <c r="BH140" s="1275"/>
      <c r="BI140" s="1275"/>
      <c r="BJ140" s="1275"/>
      <c r="BK140" s="1275"/>
      <c r="BL140" s="1275"/>
      <c r="BM140" s="1275">
        <f>BM139-BL139</f>
        <v>266.23076923076928</v>
      </c>
      <c r="BN140" s="1275">
        <f t="shared" ref="BN140:BY140" si="260">BN139-BM139</f>
        <v>277</v>
      </c>
      <c r="BO140" s="1275">
        <f t="shared" si="260"/>
        <v>465</v>
      </c>
      <c r="BP140" s="1275">
        <f t="shared" si="260"/>
        <v>174</v>
      </c>
      <c r="BQ140" s="1275">
        <f t="shared" si="260"/>
        <v>100</v>
      </c>
      <c r="BR140" s="1275">
        <f t="shared" si="260"/>
        <v>100</v>
      </c>
      <c r="BS140" s="1275">
        <f t="shared" si="260"/>
        <v>-270</v>
      </c>
      <c r="BT140" s="1275">
        <f t="shared" si="260"/>
        <v>60</v>
      </c>
      <c r="BU140" s="1275">
        <f t="shared" si="260"/>
        <v>50</v>
      </c>
      <c r="BV140" s="1275">
        <f t="shared" si="260"/>
        <v>40</v>
      </c>
      <c r="BW140" s="1275">
        <f t="shared" si="260"/>
        <v>30</v>
      </c>
      <c r="BX140" s="1275">
        <f t="shared" si="260"/>
        <v>30</v>
      </c>
      <c r="BY140" s="2123">
        <f t="shared" si="260"/>
        <v>30</v>
      </c>
    </row>
    <row r="141" spans="1:84" s="42" customFormat="1" ht="11.25" hidden="1" customHeight="1" outlineLevel="1">
      <c r="I141" s="1059" t="s">
        <v>563</v>
      </c>
      <c r="J141" s="277"/>
      <c r="K141" s="277"/>
      <c r="L141" s="277"/>
      <c r="M141" s="295"/>
      <c r="N141" s="295"/>
      <c r="O141" s="295"/>
      <c r="P141" s="295"/>
      <c r="Q141" s="2120"/>
      <c r="R141" s="295"/>
      <c r="S141" s="295"/>
      <c r="T141" s="2121"/>
      <c r="U141" s="295"/>
      <c r="V141" s="295"/>
      <c r="W141" s="295"/>
      <c r="X141" s="295"/>
      <c r="Y141" s="2120"/>
      <c r="Z141" s="295"/>
      <c r="AA141" s="295"/>
      <c r="AB141" s="2121"/>
      <c r="AC141" s="295"/>
      <c r="AD141" s="295"/>
      <c r="AE141" s="295"/>
      <c r="AF141" s="295"/>
      <c r="AG141" s="2349">
        <f t="shared" ref="AG141:AR141" si="261">AG133/(AG139-AC139)*1000000</f>
        <v>7941.6531604538077</v>
      </c>
      <c r="AH141" s="2124">
        <f t="shared" si="261"/>
        <v>11881.18811881188</v>
      </c>
      <c r="AI141" s="2124">
        <f t="shared" si="261"/>
        <v>14099.783080260304</v>
      </c>
      <c r="AJ141" s="2341">
        <f t="shared" si="261"/>
        <v>17849.462365591407</v>
      </c>
      <c r="AK141" s="2124">
        <f t="shared" si="261"/>
        <v>27536.231884057968</v>
      </c>
      <c r="AL141" s="2124">
        <f t="shared" si="261"/>
        <v>18110.236220472445</v>
      </c>
      <c r="AM141" s="2124">
        <f t="shared" si="261"/>
        <v>15333.333333333336</v>
      </c>
      <c r="AN141" s="2341">
        <f t="shared" si="261"/>
        <v>574.71264367813842</v>
      </c>
      <c r="AO141" s="2124">
        <f t="shared" si="261"/>
        <v>33333.333333333328</v>
      </c>
      <c r="AP141" s="2124">
        <f t="shared" si="261"/>
        <v>44791.666666666664</v>
      </c>
      <c r="AQ141" s="2124">
        <f t="shared" si="261"/>
        <v>35333.333333333336</v>
      </c>
      <c r="AR141" s="2341">
        <f t="shared" si="261"/>
        <v>0</v>
      </c>
      <c r="AS141" s="2120"/>
      <c r="AT141" s="295"/>
      <c r="AU141" s="295"/>
      <c r="AV141" s="2121"/>
      <c r="AW141" s="2120"/>
      <c r="AX141" s="295"/>
      <c r="AY141" s="295"/>
      <c r="AZ141" s="2121"/>
      <c r="BA141" s="2120"/>
      <c r="BB141" s="295"/>
      <c r="BC141" s="295"/>
      <c r="BD141" s="2121"/>
      <c r="BE141" s="883"/>
      <c r="BF141" s="295"/>
      <c r="BG141" s="295"/>
      <c r="BH141" s="295"/>
      <c r="BI141" s="295"/>
      <c r="BJ141" s="295"/>
      <c r="BK141" s="295"/>
      <c r="BL141" s="2124"/>
      <c r="BM141" s="2124">
        <f>BM133/BM140*1000000</f>
        <v>40190.696330540304</v>
      </c>
      <c r="BN141" s="2124">
        <f>BN133/BN140*1000000</f>
        <v>59205.776173285194</v>
      </c>
      <c r="BO141" s="2124">
        <f>BO133/BO140*1000000</f>
        <v>55268.817204301078</v>
      </c>
      <c r="BP141" s="2124">
        <f>BP133/BP140*1000000</f>
        <v>86206.89655172413</v>
      </c>
      <c r="BQ141" s="1323">
        <f t="shared" ref="BQ141:BY141" si="262">BP141*(1+BQ142)</f>
        <v>99137.931034482739</v>
      </c>
      <c r="BR141" s="1323">
        <f t="shared" si="262"/>
        <v>103103.44827586206</v>
      </c>
      <c r="BS141" s="1323">
        <f t="shared" si="262"/>
        <v>107227.58620689655</v>
      </c>
      <c r="BT141" s="1323">
        <f t="shared" si="262"/>
        <v>111516.68965517242</v>
      </c>
      <c r="BU141" s="1323">
        <f t="shared" si="262"/>
        <v>115977.35724137932</v>
      </c>
      <c r="BV141" s="1323">
        <f t="shared" si="262"/>
        <v>120616.45153103449</v>
      </c>
      <c r="BW141" s="1323">
        <f t="shared" si="262"/>
        <v>125441.10959227587</v>
      </c>
      <c r="BX141" s="1323">
        <f t="shared" si="262"/>
        <v>130458.7539759669</v>
      </c>
      <c r="BY141" s="2230">
        <f t="shared" si="262"/>
        <v>135677.10413500559</v>
      </c>
    </row>
    <row r="142" spans="1:84" s="42" customFormat="1" ht="11.25" hidden="1" customHeight="1" outlineLevel="1">
      <c r="I142" s="1012" t="s">
        <v>554</v>
      </c>
      <c r="J142" s="228"/>
      <c r="K142" s="228"/>
      <c r="L142" s="228"/>
      <c r="M142" s="1268"/>
      <c r="N142" s="1268"/>
      <c r="O142" s="1268"/>
      <c r="P142" s="1268"/>
      <c r="Q142" s="2106"/>
      <c r="R142" s="1268"/>
      <c r="S142" s="1268"/>
      <c r="T142" s="2107"/>
      <c r="U142" s="1268"/>
      <c r="V142" s="1268"/>
      <c r="W142" s="1268"/>
      <c r="X142" s="1268"/>
      <c r="Y142" s="2106"/>
      <c r="Z142" s="1268"/>
      <c r="AA142" s="1268"/>
      <c r="AB142" s="2107"/>
      <c r="AC142" s="588"/>
      <c r="AD142" s="1050"/>
      <c r="AE142" s="1050"/>
      <c r="AF142" s="1050"/>
      <c r="AG142" s="1049"/>
      <c r="AH142" s="403"/>
      <c r="AI142" s="1050"/>
      <c r="AJ142" s="1051"/>
      <c r="AK142" s="264">
        <f t="shared" ref="AK142:AR142" si="263">+AK141/AG141-1</f>
        <v>2.4673173617272997</v>
      </c>
      <c r="AL142" s="264">
        <f t="shared" si="263"/>
        <v>0.52427821522309759</v>
      </c>
      <c r="AM142" s="264">
        <f t="shared" si="263"/>
        <v>8.7487179487179656E-2</v>
      </c>
      <c r="AN142" s="1242">
        <f t="shared" si="263"/>
        <v>-0.96780224345658628</v>
      </c>
      <c r="AO142" s="264">
        <f t="shared" si="263"/>
        <v>0.21052631578947367</v>
      </c>
      <c r="AP142" s="264">
        <f t="shared" si="263"/>
        <v>1.4732789855072457</v>
      </c>
      <c r="AQ142" s="264">
        <f t="shared" si="263"/>
        <v>1.3043478260869561</v>
      </c>
      <c r="AR142" s="1242">
        <f t="shared" si="263"/>
        <v>-1</v>
      </c>
      <c r="AS142" s="1049"/>
      <c r="AT142" s="403"/>
      <c r="AU142" s="1050"/>
      <c r="AV142" s="1051"/>
      <c r="AW142" s="1049"/>
      <c r="AX142" s="403"/>
      <c r="AY142" s="1050"/>
      <c r="AZ142" s="1051"/>
      <c r="BA142" s="1049"/>
      <c r="BB142" s="403"/>
      <c r="BC142" s="1050"/>
      <c r="BD142" s="1051"/>
      <c r="BE142" s="883"/>
      <c r="BF142" s="1268"/>
      <c r="BG142" s="1268"/>
      <c r="BH142" s="1268"/>
      <c r="BI142" s="1268"/>
      <c r="BJ142" s="1268"/>
      <c r="BK142" s="1268"/>
      <c r="BL142" s="403"/>
      <c r="BM142" s="403"/>
      <c r="BN142" s="403">
        <f>+BN141/BM141-1</f>
        <v>0.47312143303910914</v>
      </c>
      <c r="BO142" s="264">
        <f>+BO141/BN141-1</f>
        <v>-6.6496197220036635E-2</v>
      </c>
      <c r="BP142" s="264">
        <f>+BP141/BO141-1</f>
        <v>0.55977458741446373</v>
      </c>
      <c r="BQ142" s="340">
        <v>0.15</v>
      </c>
      <c r="BR142" s="340">
        <v>0.04</v>
      </c>
      <c r="BS142" s="340">
        <v>0.04</v>
      </c>
      <c r="BT142" s="340">
        <v>0.04</v>
      </c>
      <c r="BU142" s="340">
        <v>0.04</v>
      </c>
      <c r="BV142" s="340">
        <v>0.04</v>
      </c>
      <c r="BW142" s="340">
        <v>0.04</v>
      </c>
      <c r="BX142" s="340">
        <v>0.04</v>
      </c>
      <c r="BY142" s="761">
        <v>0.04</v>
      </c>
    </row>
    <row r="143" spans="1:84" ht="11.25" hidden="1" customHeight="1" outlineLevel="1">
      <c r="A143" s="36"/>
      <c r="B143" s="36"/>
      <c r="C143" s="36"/>
      <c r="D143" s="36"/>
      <c r="E143" s="36"/>
      <c r="F143" s="36"/>
      <c r="G143" s="36"/>
      <c r="H143" s="36"/>
      <c r="I143" s="994"/>
      <c r="J143" s="50"/>
      <c r="K143" s="50"/>
      <c r="L143" s="50"/>
      <c r="M143" s="78"/>
      <c r="N143" s="78"/>
      <c r="O143" s="78"/>
      <c r="P143" s="78"/>
      <c r="Q143" s="873"/>
      <c r="R143" s="78"/>
      <c r="S143" s="78"/>
      <c r="T143" s="874"/>
      <c r="U143" s="78"/>
      <c r="V143" s="78"/>
      <c r="W143" s="78"/>
      <c r="X143" s="78"/>
      <c r="Y143" s="873"/>
      <c r="Z143" s="78"/>
      <c r="AA143" s="78"/>
      <c r="AB143" s="874"/>
      <c r="AC143" s="78"/>
      <c r="AD143" s="78"/>
      <c r="AE143" s="78"/>
      <c r="AF143" s="78"/>
      <c r="AG143" s="873"/>
      <c r="AH143" s="1314"/>
      <c r="AI143" s="1314"/>
      <c r="AJ143" s="78"/>
      <c r="AK143" s="873"/>
      <c r="AL143" s="1314"/>
      <c r="AM143" s="1314"/>
      <c r="AN143" s="874"/>
      <c r="AO143" s="2120"/>
      <c r="AP143" s="1314"/>
      <c r="AQ143" s="1314"/>
      <c r="AR143" s="874"/>
      <c r="AS143" s="873"/>
      <c r="AT143" s="78"/>
      <c r="AU143" s="78"/>
      <c r="AV143" s="874"/>
      <c r="AW143" s="873"/>
      <c r="AX143" s="78"/>
      <c r="AY143" s="78"/>
      <c r="AZ143" s="874"/>
      <c r="BA143" s="873"/>
      <c r="BB143" s="78"/>
      <c r="BC143" s="78"/>
      <c r="BD143" s="874"/>
      <c r="BE143" s="883"/>
      <c r="BF143" s="78"/>
      <c r="BG143" s="78"/>
      <c r="BH143" s="78"/>
      <c r="BI143" s="78"/>
      <c r="BJ143" s="78"/>
      <c r="BK143" s="78"/>
      <c r="BL143" s="78"/>
      <c r="BM143" s="78"/>
      <c r="BN143" s="78"/>
      <c r="BO143" s="78"/>
      <c r="BP143" s="78"/>
      <c r="BQ143" s="78"/>
      <c r="BR143" s="78"/>
      <c r="BS143" s="78"/>
      <c r="BT143" s="78"/>
      <c r="BU143" s="78"/>
      <c r="BV143" s="78"/>
      <c r="BW143" s="78"/>
      <c r="BX143" s="78"/>
      <c r="BY143" s="874"/>
      <c r="BZ143" s="36"/>
      <c r="CA143" s="36"/>
      <c r="CB143" s="36"/>
      <c r="CC143" s="36"/>
      <c r="CD143" s="36"/>
      <c r="CE143" s="36"/>
      <c r="CF143" s="36"/>
    </row>
    <row r="144" spans="1:84" ht="11.25" hidden="1" customHeight="1" outlineLevel="1">
      <c r="A144" s="36"/>
      <c r="B144" s="36"/>
      <c r="C144" s="36"/>
      <c r="D144" s="36"/>
      <c r="E144" s="36"/>
      <c r="F144" s="36"/>
      <c r="G144" s="36"/>
      <c r="H144" s="36"/>
      <c r="I144" s="1059" t="s">
        <v>615</v>
      </c>
      <c r="J144" s="50"/>
      <c r="K144" s="50"/>
      <c r="L144" s="50"/>
      <c r="M144" s="78"/>
      <c r="N144" s="78"/>
      <c r="O144" s="78"/>
      <c r="P144" s="78"/>
      <c r="Q144" s="873"/>
      <c r="R144" s="78"/>
      <c r="S144" s="78"/>
      <c r="T144" s="874"/>
      <c r="U144" s="78"/>
      <c r="V144" s="78"/>
      <c r="W144" s="78"/>
      <c r="X144" s="78"/>
      <c r="Y144" s="873"/>
      <c r="Z144" s="78"/>
      <c r="AA144" s="78"/>
      <c r="AB144" s="874"/>
      <c r="AC144" s="78"/>
      <c r="AD144" s="78"/>
      <c r="AE144" s="78"/>
      <c r="AF144" s="78"/>
      <c r="AG144" s="2350">
        <f t="shared" ref="AG144:AQ144" si="264">AG134/(AG139-AC139)*1000000</f>
        <v>4376.0129659643435</v>
      </c>
      <c r="AH144" s="2125">
        <f t="shared" si="264"/>
        <v>5742.5742574257429</v>
      </c>
      <c r="AI144" s="2125">
        <f t="shared" si="264"/>
        <v>4338.3947939262471</v>
      </c>
      <c r="AJ144" s="2126">
        <f t="shared" si="264"/>
        <v>4086.0215053763445</v>
      </c>
      <c r="AK144" s="2125">
        <f t="shared" si="264"/>
        <v>14009.661835748791</v>
      </c>
      <c r="AL144" s="2125">
        <f t="shared" si="264"/>
        <v>9055.1181102362207</v>
      </c>
      <c r="AM144" s="2125">
        <f t="shared" si="264"/>
        <v>7666.6666666666661</v>
      </c>
      <c r="AN144" s="2126">
        <f>AN134/(AN139-AJ139)*1000000</f>
        <v>31034.482758620696</v>
      </c>
      <c r="AO144" s="2124">
        <f t="shared" si="264"/>
        <v>44444.444444444445</v>
      </c>
      <c r="AP144" s="2125">
        <f t="shared" si="264"/>
        <v>29166.666666666664</v>
      </c>
      <c r="AQ144" s="2125">
        <f t="shared" si="264"/>
        <v>18000.000000000004</v>
      </c>
      <c r="AR144" s="2126">
        <f>AR134/(AR139-AN139)*1000000</f>
        <v>0</v>
      </c>
      <c r="AS144" s="873"/>
      <c r="AT144" s="78"/>
      <c r="AU144" s="78"/>
      <c r="AV144" s="874"/>
      <c r="AW144" s="873"/>
      <c r="AX144" s="78"/>
      <c r="AY144" s="78"/>
      <c r="AZ144" s="874"/>
      <c r="BA144" s="873"/>
      <c r="BB144" s="78"/>
      <c r="BC144" s="78"/>
      <c r="BD144" s="874"/>
      <c r="BE144" s="883"/>
      <c r="BF144" s="78"/>
      <c r="BG144" s="78"/>
      <c r="BH144" s="78"/>
      <c r="BI144" s="78"/>
      <c r="BJ144" s="78"/>
      <c r="BK144" s="78"/>
      <c r="BL144" s="78"/>
      <c r="BM144" s="2125">
        <f t="shared" ref="BM144:BY144" si="265">BM134/BM140*1000000</f>
        <v>17278.243282288349</v>
      </c>
      <c r="BN144" s="2125">
        <f t="shared" si="265"/>
        <v>30685.920577617326</v>
      </c>
      <c r="BO144" s="2125">
        <f t="shared" si="265"/>
        <v>20430.107526881722</v>
      </c>
      <c r="BP144" s="2125">
        <f>BP134/BP140*1000000</f>
        <v>74137.931034482754</v>
      </c>
      <c r="BQ144" s="2125">
        <f t="shared" si="265"/>
        <v>109580.00000000006</v>
      </c>
      <c r="BR144" s="2125">
        <f t="shared" si="265"/>
        <v>105146.75292242302</v>
      </c>
      <c r="BS144" s="2125">
        <f t="shared" si="265"/>
        <v>-25686.522352107699</v>
      </c>
      <c r="BT144" s="2125">
        <f t="shared" si="265"/>
        <v>107883.39387885225</v>
      </c>
      <c r="BU144" s="2125">
        <f t="shared" si="265"/>
        <v>99684.255944059725</v>
      </c>
      <c r="BV144" s="2125">
        <f t="shared" si="265"/>
        <v>95234.065946556962</v>
      </c>
      <c r="BW144" s="2125">
        <f t="shared" si="265"/>
        <v>133327.69232517973</v>
      </c>
      <c r="BX144" s="2125">
        <f t="shared" si="265"/>
        <v>139994.07694143904</v>
      </c>
      <c r="BY144" s="2126">
        <f t="shared" si="265"/>
        <v>146993.78078851028</v>
      </c>
      <c r="BZ144" s="36"/>
      <c r="CA144" s="36"/>
      <c r="CB144" s="36"/>
      <c r="CC144" s="36"/>
      <c r="CD144" s="36"/>
      <c r="CE144" s="36"/>
      <c r="CF144" s="36"/>
    </row>
    <row r="145" spans="1:84" s="42" customFormat="1" ht="11.25" hidden="1" customHeight="1" outlineLevel="1">
      <c r="I145" s="1012" t="s">
        <v>554</v>
      </c>
      <c r="J145" s="228"/>
      <c r="K145" s="228"/>
      <c r="L145" s="228"/>
      <c r="M145" s="1268"/>
      <c r="N145" s="1268"/>
      <c r="O145" s="1268"/>
      <c r="P145" s="1268"/>
      <c r="Q145" s="2106"/>
      <c r="R145" s="1268"/>
      <c r="S145" s="1268"/>
      <c r="T145" s="2107"/>
      <c r="U145" s="1268"/>
      <c r="V145" s="1268"/>
      <c r="W145" s="1268"/>
      <c r="X145" s="1268"/>
      <c r="Y145" s="2106"/>
      <c r="Z145" s="1268"/>
      <c r="AA145" s="1268"/>
      <c r="AB145" s="2107"/>
      <c r="AC145" s="588"/>
      <c r="AD145" s="1050"/>
      <c r="AE145" s="1050"/>
      <c r="AF145" s="1050"/>
      <c r="AG145" s="1049"/>
      <c r="AH145" s="403"/>
      <c r="AI145" s="1050"/>
      <c r="AJ145" s="1051"/>
      <c r="AK145" s="1949">
        <f t="shared" ref="AK145:AR145" si="266">AK144/AG144-1</f>
        <v>2.2014671676507422</v>
      </c>
      <c r="AL145" s="1949">
        <f t="shared" si="266"/>
        <v>0.57683953298941071</v>
      </c>
      <c r="AM145" s="1949">
        <f t="shared" si="266"/>
        <v>0.76716666666666655</v>
      </c>
      <c r="AN145" s="2024">
        <f t="shared" si="266"/>
        <v>6.595281306715064</v>
      </c>
      <c r="AO145" s="1949">
        <f t="shared" si="266"/>
        <v>2.1724137931034484</v>
      </c>
      <c r="AP145" s="1949">
        <f t="shared" si="266"/>
        <v>2.2210144927536231</v>
      </c>
      <c r="AQ145" s="1949">
        <f t="shared" si="266"/>
        <v>1.3478260869565224</v>
      </c>
      <c r="AR145" s="2024">
        <f t="shared" si="266"/>
        <v>-1</v>
      </c>
      <c r="AS145" s="1049"/>
      <c r="AT145" s="403"/>
      <c r="AU145" s="1050"/>
      <c r="AV145" s="1051"/>
      <c r="AW145" s="1049"/>
      <c r="AX145" s="403"/>
      <c r="AY145" s="1050"/>
      <c r="AZ145" s="1051"/>
      <c r="BA145" s="1049"/>
      <c r="BB145" s="403"/>
      <c r="BC145" s="1050"/>
      <c r="BD145" s="1051"/>
      <c r="BE145" s="883"/>
      <c r="BF145" s="1268"/>
      <c r="BG145" s="1268"/>
      <c r="BH145" s="1268"/>
      <c r="BI145" s="1268"/>
      <c r="BJ145" s="1268"/>
      <c r="BK145" s="1268"/>
      <c r="BL145" s="403"/>
      <c r="BM145" s="403"/>
      <c r="BN145" s="403">
        <f t="shared" ref="BN145:BY145" si="267">+BN144/BM144-1</f>
        <v>0.7759861391159466</v>
      </c>
      <c r="BO145" s="403">
        <f t="shared" si="267"/>
        <v>-0.33421884882985442</v>
      </c>
      <c r="BP145" s="403">
        <f t="shared" si="267"/>
        <v>2.6288566243194187</v>
      </c>
      <c r="BQ145" s="403">
        <f t="shared" si="267"/>
        <v>0.47805581395348917</v>
      </c>
      <c r="BR145" s="403">
        <f t="shared" si="267"/>
        <v>-4.0456717262064568E-2</v>
      </c>
      <c r="BS145" s="403">
        <f t="shared" si="267"/>
        <v>-1.2442921121022077</v>
      </c>
      <c r="BT145" s="403">
        <f t="shared" si="267"/>
        <v>-5.1999999999999966</v>
      </c>
      <c r="BU145" s="403">
        <f t="shared" si="267"/>
        <v>-7.5999999999997736E-2</v>
      </c>
      <c r="BV145" s="403">
        <f t="shared" si="267"/>
        <v>-4.4642857142858094E-2</v>
      </c>
      <c r="BW145" s="403">
        <f t="shared" si="267"/>
        <v>0.39999999999999969</v>
      </c>
      <c r="BX145" s="403">
        <f t="shared" si="267"/>
        <v>5.0000000000002487E-2</v>
      </c>
      <c r="BY145" s="1261">
        <f t="shared" si="267"/>
        <v>4.9999999999994937E-2</v>
      </c>
    </row>
    <row r="146" spans="1:84" s="42" customFormat="1" ht="11.25" hidden="1" customHeight="1" outlineLevel="1">
      <c r="I146" s="1012"/>
      <c r="J146" s="228"/>
      <c r="K146" s="228"/>
      <c r="L146" s="228"/>
      <c r="M146" s="1268"/>
      <c r="N146" s="1268"/>
      <c r="O146" s="1268"/>
      <c r="P146" s="1268"/>
      <c r="Q146" s="2106"/>
      <c r="R146" s="1268"/>
      <c r="S146" s="1268"/>
      <c r="T146" s="2107"/>
      <c r="U146" s="1268"/>
      <c r="V146" s="1268"/>
      <c r="W146" s="1268"/>
      <c r="X146" s="1268"/>
      <c r="Y146" s="2106"/>
      <c r="Z146" s="1268"/>
      <c r="AA146" s="1268"/>
      <c r="AB146" s="2107"/>
      <c r="AC146" s="588"/>
      <c r="AD146" s="1050"/>
      <c r="AE146" s="1050"/>
      <c r="AF146" s="1050"/>
      <c r="AG146" s="1049"/>
      <c r="AH146" s="403"/>
      <c r="AI146" s="1050"/>
      <c r="AJ146" s="1050"/>
      <c r="AK146" s="1049"/>
      <c r="AL146" s="403"/>
      <c r="AM146" s="403"/>
      <c r="AN146" s="1051"/>
      <c r="AO146" s="1049"/>
      <c r="AP146" s="403"/>
      <c r="AQ146" s="403"/>
      <c r="AR146" s="1051"/>
      <c r="AS146" s="1049"/>
      <c r="AT146" s="403"/>
      <c r="AU146" s="1050"/>
      <c r="AV146" s="1051"/>
      <c r="AW146" s="1049"/>
      <c r="AX146" s="403"/>
      <c r="AY146" s="1050"/>
      <c r="AZ146" s="1051"/>
      <c r="BA146" s="1049"/>
      <c r="BB146" s="403"/>
      <c r="BC146" s="1050"/>
      <c r="BD146" s="1051"/>
      <c r="BE146" s="883"/>
      <c r="BF146" s="1268"/>
      <c r="BG146" s="1268"/>
      <c r="BH146" s="1268"/>
      <c r="BI146" s="1268"/>
      <c r="BJ146" s="1268"/>
      <c r="BK146" s="1268"/>
      <c r="BL146" s="403"/>
      <c r="BM146" s="403"/>
      <c r="BN146" s="403"/>
      <c r="BO146" s="403"/>
      <c r="BP146" s="403"/>
      <c r="BQ146" s="403"/>
      <c r="BR146" s="403"/>
      <c r="BS146" s="403"/>
      <c r="BT146" s="403"/>
      <c r="BU146" s="403"/>
      <c r="BV146" s="403"/>
      <c r="BW146" s="403"/>
      <c r="BX146" s="403"/>
      <c r="BY146" s="1261"/>
    </row>
    <row r="147" spans="1:84" s="2139" customFormat="1" ht="11.25" hidden="1" customHeight="1" outlineLevel="1">
      <c r="I147" s="2339" t="s">
        <v>568</v>
      </c>
      <c r="J147" s="2244"/>
      <c r="K147" s="2244"/>
      <c r="L147" s="2244"/>
      <c r="M147" s="1251"/>
      <c r="N147" s="1251"/>
      <c r="O147" s="1251"/>
      <c r="P147" s="1251"/>
      <c r="Q147" s="1936"/>
      <c r="R147" s="1251"/>
      <c r="S147" s="1251"/>
      <c r="T147" s="1258"/>
      <c r="U147" s="1251"/>
      <c r="V147" s="1251"/>
      <c r="W147" s="1251"/>
      <c r="X147" s="1251"/>
      <c r="Y147" s="1936"/>
      <c r="Z147" s="1251"/>
      <c r="AA147" s="1251"/>
      <c r="AB147" s="1258"/>
      <c r="AC147" s="1202"/>
      <c r="AD147" s="1251"/>
      <c r="AE147" s="1251"/>
      <c r="AF147" s="1251"/>
      <c r="AG147" s="1936">
        <f t="shared" ref="AG147:AQ147" si="268">AG10-AC10</f>
        <v>35.393000000000001</v>
      </c>
      <c r="AH147" s="1251">
        <f t="shared" si="268"/>
        <v>36.812999999999988</v>
      </c>
      <c r="AI147" s="1251">
        <f t="shared" si="268"/>
        <v>32.144999999999996</v>
      </c>
      <c r="AJ147" s="1251">
        <f t="shared" si="268"/>
        <v>36.812999999999988</v>
      </c>
      <c r="AK147" s="1936">
        <f t="shared" si="268"/>
        <v>46.813000000000002</v>
      </c>
      <c r="AL147" s="1251">
        <f t="shared" si="268"/>
        <v>47.828000000000003</v>
      </c>
      <c r="AM147" s="1251">
        <f t="shared" si="268"/>
        <v>51.632000000000005</v>
      </c>
      <c r="AN147" s="1258">
        <f>AN10-AJ10</f>
        <v>48.096000000000004</v>
      </c>
      <c r="AO147" s="1936">
        <f t="shared" si="268"/>
        <v>38.710000000000008</v>
      </c>
      <c r="AP147" s="1251">
        <f t="shared" si="268"/>
        <v>35.436000000000007</v>
      </c>
      <c r="AQ147" s="1251">
        <f t="shared" si="268"/>
        <v>36.147999999999996</v>
      </c>
      <c r="AR147" s="1258">
        <f>AR10-AN10</f>
        <v>23.450000000000017</v>
      </c>
      <c r="AS147" s="1936"/>
      <c r="AT147" s="1251"/>
      <c r="AU147" s="1251"/>
      <c r="AV147" s="1258"/>
      <c r="AW147" s="1936"/>
      <c r="AX147" s="1251"/>
      <c r="AY147" s="1251"/>
      <c r="AZ147" s="1258"/>
      <c r="BA147" s="1936"/>
      <c r="BB147" s="1251"/>
      <c r="BC147" s="1251"/>
      <c r="BD147" s="1258"/>
      <c r="BE147" s="1126"/>
      <c r="BF147" s="1251"/>
      <c r="BG147" s="1251"/>
      <c r="BH147" s="1251"/>
      <c r="BI147" s="1251"/>
      <c r="BJ147" s="1251"/>
      <c r="BK147" s="1251"/>
      <c r="BL147" s="2340">
        <f t="shared" ref="BL147:BY147" si="269">BL10-BK10</f>
        <v>54.280999999999977</v>
      </c>
      <c r="BM147" s="2340">
        <f t="shared" si="269"/>
        <v>95.422000000000025</v>
      </c>
      <c r="BN147" s="2340">
        <f t="shared" si="269"/>
        <v>144.548</v>
      </c>
      <c r="BO147" s="2340">
        <f t="shared" si="269"/>
        <v>141.16400000000004</v>
      </c>
      <c r="BP147" s="2340">
        <f t="shared" si="269"/>
        <v>194.36899999999991</v>
      </c>
      <c r="BQ147" s="2340">
        <f t="shared" si="269"/>
        <v>133.74400000000003</v>
      </c>
      <c r="BR147" s="2340">
        <f t="shared" si="269"/>
        <v>113.18700000000001</v>
      </c>
      <c r="BS147" s="2340">
        <f t="shared" si="269"/>
        <v>156.40000000000009</v>
      </c>
      <c r="BT147" s="2340">
        <f t="shared" si="269"/>
        <v>144.19999999999982</v>
      </c>
      <c r="BU147" s="2340">
        <f t="shared" si="269"/>
        <v>140</v>
      </c>
      <c r="BV147" s="2340">
        <f t="shared" si="269"/>
        <v>137</v>
      </c>
      <c r="BW147" s="2340">
        <f t="shared" si="269"/>
        <v>133</v>
      </c>
      <c r="BX147" s="2340">
        <f t="shared" si="269"/>
        <v>129</v>
      </c>
      <c r="BY147" s="2595">
        <f t="shared" si="269"/>
        <v>126</v>
      </c>
    </row>
    <row r="148" spans="1:84" s="90" customFormat="1" ht="11.25" hidden="1" customHeight="1" outlineLevel="1">
      <c r="I148" s="2137" t="s">
        <v>573</v>
      </c>
      <c r="J148" s="413"/>
      <c r="K148" s="413"/>
      <c r="L148" s="413"/>
      <c r="M148" s="1238"/>
      <c r="N148" s="1238"/>
      <c r="O148" s="1238"/>
      <c r="P148" s="1238"/>
      <c r="Q148" s="1269"/>
      <c r="R148" s="1238"/>
      <c r="S148" s="1238"/>
      <c r="T148" s="1270"/>
      <c r="U148" s="1238"/>
      <c r="V148" s="1238"/>
      <c r="W148" s="1238"/>
      <c r="X148" s="1238"/>
      <c r="Y148" s="1269"/>
      <c r="Z148" s="1238"/>
      <c r="AA148" s="1238"/>
      <c r="AB148" s="1270"/>
      <c r="AC148" s="1259"/>
      <c r="AD148" s="1247"/>
      <c r="AE148" s="1247"/>
      <c r="AF148" s="1247"/>
      <c r="AG148" s="1257">
        <f t="shared" ref="AG148:AL148" si="270">+AG135/AG147</f>
        <v>4.5206679286864636E-2</v>
      </c>
      <c r="AH148" s="289">
        <f t="shared" si="270"/>
        <v>5.4328633906500438E-2</v>
      </c>
      <c r="AI148" s="289">
        <f t="shared" si="270"/>
        <v>7.7772592938248578E-2</v>
      </c>
      <c r="AJ148" s="1234">
        <f t="shared" si="270"/>
        <v>-8.1492950859750612E-3</v>
      </c>
      <c r="AK148" s="289">
        <f t="shared" si="270"/>
        <v>8.5446350372759706E-3</v>
      </c>
      <c r="AL148" s="289">
        <f t="shared" si="270"/>
        <v>1.6726603663126203E-2</v>
      </c>
      <c r="AM148" s="289">
        <f>+AM135/AM147</f>
        <v>1.5494267121165169E-2</v>
      </c>
      <c r="AN148" s="1234">
        <f>+AN135/AN147</f>
        <v>6.2375249500998001E-2</v>
      </c>
      <c r="AO148" s="289">
        <f>+AO135/AO147</f>
        <v>4.9082924308964077E-2</v>
      </c>
      <c r="AP148" s="289">
        <f t="shared" ref="AP148:AQ148" si="271">+AP135/AP147</f>
        <v>5.36177898182639E-2</v>
      </c>
      <c r="AQ148" s="289">
        <f t="shared" si="271"/>
        <v>3.0430452583822071E-2</v>
      </c>
      <c r="AR148" s="1234">
        <f>+AR135/AR147</f>
        <v>0</v>
      </c>
      <c r="AS148" s="2104"/>
      <c r="AT148" s="430"/>
      <c r="AU148" s="1247"/>
      <c r="AV148" s="2105"/>
      <c r="AW148" s="2104"/>
      <c r="AX148" s="430"/>
      <c r="AY148" s="1247"/>
      <c r="AZ148" s="2105"/>
      <c r="BA148" s="2104"/>
      <c r="BB148" s="430"/>
      <c r="BC148" s="1247"/>
      <c r="BD148" s="2105"/>
      <c r="BE148" s="2354"/>
      <c r="BF148" s="1238"/>
      <c r="BG148" s="1238"/>
      <c r="BH148" s="1238"/>
      <c r="BI148" s="1238"/>
      <c r="BJ148" s="1238"/>
      <c r="BK148" s="1238"/>
      <c r="BL148" s="430"/>
      <c r="BM148" s="289">
        <f>+BM135/BM147</f>
        <v>1.3623692649493825E-2</v>
      </c>
      <c r="BN148" s="289">
        <f>+BN135/BN147</f>
        <v>1.7295292913080774E-2</v>
      </c>
      <c r="BO148" s="289">
        <f>+BO135/BO147</f>
        <v>4.1086962681703539E-2</v>
      </c>
      <c r="BP148" s="289">
        <f>+BP135/BP147</f>
        <v>2.572426672977688E-2</v>
      </c>
      <c r="BQ148" s="340">
        <v>0.03</v>
      </c>
      <c r="BR148" s="340">
        <f t="shared" ref="BR148:BY148" si="272">+BQ148</f>
        <v>0.03</v>
      </c>
      <c r="BS148" s="340">
        <f t="shared" si="272"/>
        <v>0.03</v>
      </c>
      <c r="BT148" s="340">
        <f t="shared" si="272"/>
        <v>0.03</v>
      </c>
      <c r="BU148" s="340">
        <f t="shared" si="272"/>
        <v>0.03</v>
      </c>
      <c r="BV148" s="340">
        <f t="shared" si="272"/>
        <v>0.03</v>
      </c>
      <c r="BW148" s="340">
        <f t="shared" si="272"/>
        <v>0.03</v>
      </c>
      <c r="BX148" s="340">
        <f t="shared" si="272"/>
        <v>0.03</v>
      </c>
      <c r="BY148" s="761">
        <f t="shared" si="272"/>
        <v>0.03</v>
      </c>
    </row>
    <row r="149" spans="1:84" s="90" customFormat="1" ht="11.25" hidden="1" customHeight="1" outlineLevel="1">
      <c r="I149" s="2453"/>
      <c r="J149" s="413"/>
      <c r="K149" s="413"/>
      <c r="L149" s="413"/>
      <c r="M149" s="1238"/>
      <c r="N149" s="1238"/>
      <c r="O149" s="1238"/>
      <c r="P149" s="1238"/>
      <c r="Q149" s="1269"/>
      <c r="R149" s="1238"/>
      <c r="S149" s="1238"/>
      <c r="T149" s="1270"/>
      <c r="U149" s="1238"/>
      <c r="V149" s="1238"/>
      <c r="W149" s="1238"/>
      <c r="X149" s="1238"/>
      <c r="Y149" s="1269"/>
      <c r="Z149" s="1238"/>
      <c r="AA149" s="1238"/>
      <c r="AB149" s="1270"/>
      <c r="AC149" s="1259"/>
      <c r="AD149" s="1247"/>
      <c r="AE149" s="1247"/>
      <c r="AF149" s="1247"/>
      <c r="AG149" s="1257"/>
      <c r="AH149" s="289"/>
      <c r="AI149" s="289"/>
      <c r="AJ149" s="289"/>
      <c r="AK149" s="289"/>
      <c r="AL149" s="289"/>
      <c r="AM149" s="289"/>
      <c r="AN149" s="1234"/>
      <c r="AO149" s="289"/>
      <c r="AP149" s="289"/>
      <c r="AQ149" s="289"/>
      <c r="AR149" s="1234"/>
      <c r="AS149" s="2104"/>
      <c r="AT149" s="430"/>
      <c r="AU149" s="1247"/>
      <c r="AV149" s="2105"/>
      <c r="AW149" s="2104"/>
      <c r="AX149" s="430"/>
      <c r="AY149" s="1247"/>
      <c r="AZ149" s="2105"/>
      <c r="BA149" s="2104"/>
      <c r="BB149" s="430"/>
      <c r="BC149" s="1247"/>
      <c r="BD149" s="2105"/>
      <c r="BE149" s="2354"/>
      <c r="BF149" s="1238"/>
      <c r="BG149" s="1238"/>
      <c r="BH149" s="1238"/>
      <c r="BI149" s="1238"/>
      <c r="BJ149" s="1238"/>
      <c r="BK149" s="1238"/>
      <c r="BL149" s="430"/>
      <c r="BM149" s="289"/>
      <c r="BN149" s="289"/>
      <c r="BO149" s="289"/>
      <c r="BP149" s="1000"/>
      <c r="BQ149" s="1000"/>
      <c r="BR149" s="1000"/>
      <c r="BS149" s="1000"/>
      <c r="BT149" s="1000"/>
      <c r="BU149" s="1000"/>
      <c r="BV149" s="1000"/>
      <c r="BW149" s="1000"/>
      <c r="BX149" s="1000"/>
      <c r="BY149" s="999"/>
    </row>
    <row r="150" spans="1:84" s="106" customFormat="1" ht="11.25" customHeight="1" collapsed="1">
      <c r="A150" s="54"/>
      <c r="B150" s="54"/>
      <c r="C150" s="54"/>
      <c r="D150" s="54"/>
      <c r="E150" s="54"/>
      <c r="F150" s="54"/>
      <c r="G150" s="54"/>
      <c r="H150" s="54"/>
      <c r="I150" s="769"/>
      <c r="J150" s="324"/>
      <c r="K150" s="324"/>
      <c r="L150" s="324"/>
      <c r="M150" s="325"/>
      <c r="N150" s="325"/>
      <c r="O150" s="325"/>
      <c r="P150" s="325"/>
      <c r="Q150" s="746"/>
      <c r="R150" s="325"/>
      <c r="S150" s="325"/>
      <c r="T150" s="747"/>
      <c r="U150" s="326"/>
      <c r="V150" s="325"/>
      <c r="W150" s="325"/>
      <c r="X150" s="325"/>
      <c r="Y150" s="746"/>
      <c r="Z150" s="325"/>
      <c r="AA150" s="325"/>
      <c r="AB150" s="747"/>
      <c r="AC150" s="325"/>
      <c r="AD150" s="325"/>
      <c r="AE150" s="325"/>
      <c r="AF150" s="325"/>
      <c r="AG150" s="746"/>
      <c r="AH150" s="325"/>
      <c r="AI150" s="325"/>
      <c r="AJ150" s="325"/>
      <c r="AK150" s="746"/>
      <c r="AL150" s="325"/>
      <c r="AM150" s="325"/>
      <c r="AN150" s="747"/>
      <c r="AO150" s="746"/>
      <c r="AP150" s="325"/>
      <c r="AQ150" s="325"/>
      <c r="AR150" s="747"/>
      <c r="AS150" s="746"/>
      <c r="AT150" s="325"/>
      <c r="AU150" s="325"/>
      <c r="AV150" s="747"/>
      <c r="AW150" s="746"/>
      <c r="AX150" s="325"/>
      <c r="AY150" s="325"/>
      <c r="AZ150" s="747"/>
      <c r="BA150" s="746"/>
      <c r="BB150" s="325"/>
      <c r="BC150" s="325"/>
      <c r="BD150" s="747"/>
      <c r="BE150" s="2577"/>
      <c r="BF150" s="323"/>
      <c r="BG150" s="323"/>
      <c r="BH150" s="323"/>
      <c r="BI150" s="323"/>
      <c r="BJ150" s="323"/>
      <c r="BK150" s="323"/>
      <c r="BL150" s="323"/>
      <c r="BM150" s="323"/>
      <c r="BN150" s="323"/>
      <c r="BO150" s="323"/>
      <c r="BP150" s="323"/>
      <c r="BQ150" s="323"/>
      <c r="BR150" s="323"/>
      <c r="BS150" s="323"/>
      <c r="BT150" s="323"/>
      <c r="BU150" s="1643"/>
      <c r="BV150" s="1643"/>
      <c r="BW150" s="1643"/>
      <c r="BX150" s="1643"/>
      <c r="BY150" s="1645"/>
      <c r="BZ150" s="54"/>
      <c r="CA150" s="54"/>
      <c r="CB150" s="54"/>
      <c r="CC150" s="54"/>
      <c r="CD150" s="54"/>
      <c r="CE150" s="54"/>
      <c r="CF150" s="54"/>
    </row>
    <row r="151" spans="1:84" s="83" customFormat="1" ht="11.25" customHeight="1">
      <c r="A151" s="328"/>
      <c r="B151" s="328"/>
      <c r="C151" s="328"/>
      <c r="D151" s="328"/>
      <c r="E151" s="328"/>
      <c r="F151" s="328"/>
      <c r="G151" s="328"/>
      <c r="H151" s="328"/>
      <c r="I151" s="772" t="s">
        <v>105</v>
      </c>
      <c r="J151" s="277"/>
      <c r="K151" s="277"/>
      <c r="L151" s="277"/>
      <c r="M151" s="386">
        <f>M223</f>
        <v>1.72</v>
      </c>
      <c r="N151" s="386">
        <f t="shared" ref="N151:AD151" si="273">N223</f>
        <v>2.718</v>
      </c>
      <c r="O151" s="386">
        <f t="shared" si="273"/>
        <v>2.5350000000000001</v>
      </c>
      <c r="P151" s="386">
        <f t="shared" si="273"/>
        <v>2.5310000000000001</v>
      </c>
      <c r="Q151" s="870">
        <f t="shared" si="273"/>
        <v>2.9409999999999998</v>
      </c>
      <c r="R151" s="386">
        <f t="shared" si="273"/>
        <v>3.101</v>
      </c>
      <c r="S151" s="386">
        <f t="shared" si="273"/>
        <v>4.1150000000000002</v>
      </c>
      <c r="T151" s="881">
        <f t="shared" si="273"/>
        <v>4.5780000000000003</v>
      </c>
      <c r="U151" s="386">
        <f>U223</f>
        <v>4.6899999999999995</v>
      </c>
      <c r="V151" s="386">
        <f t="shared" si="273"/>
        <v>5.335</v>
      </c>
      <c r="W151" s="386">
        <f t="shared" si="273"/>
        <v>6.298</v>
      </c>
      <c r="X151" s="386">
        <f t="shared" si="273"/>
        <v>7.0739999999999998</v>
      </c>
      <c r="Y151" s="870">
        <f t="shared" si="273"/>
        <v>7.0349999999999993</v>
      </c>
      <c r="Z151" s="386">
        <f t="shared" si="273"/>
        <v>7.8620000000000001</v>
      </c>
      <c r="AA151" s="386">
        <f t="shared" si="273"/>
        <v>7.9930000000000003</v>
      </c>
      <c r="AB151" s="881">
        <f t="shared" si="273"/>
        <v>10.717000000000001</v>
      </c>
      <c r="AC151" s="386">
        <f t="shared" si="273"/>
        <v>10.303000000000001</v>
      </c>
      <c r="AD151" s="386">
        <f t="shared" si="273"/>
        <v>10.477</v>
      </c>
      <c r="AE151" s="386">
        <f t="shared" ref="AE151:AJ151" si="274">AE223</f>
        <v>12.238</v>
      </c>
      <c r="AF151" s="386">
        <f t="shared" si="274"/>
        <v>13.598999999999998</v>
      </c>
      <c r="AG151" s="870">
        <f t="shared" si="274"/>
        <v>16.432000000000002</v>
      </c>
      <c r="AH151" s="1737">
        <f t="shared" si="274"/>
        <v>15.705000000000002</v>
      </c>
      <c r="AI151" s="1737">
        <f t="shared" si="274"/>
        <v>17.256999999999998</v>
      </c>
      <c r="AJ151" s="881">
        <f t="shared" si="274"/>
        <v>17.14</v>
      </c>
      <c r="AK151" s="870">
        <f t="shared" ref="AK151:AP151" si="275">AK223</f>
        <v>17.431999999999999</v>
      </c>
      <c r="AL151" s="386">
        <f t="shared" si="275"/>
        <v>18.401</v>
      </c>
      <c r="AM151" s="386">
        <f t="shared" si="275"/>
        <v>19.555</v>
      </c>
      <c r="AN151" s="386">
        <f t="shared" si="275"/>
        <v>21.698999999999998</v>
      </c>
      <c r="AO151" s="870">
        <f t="shared" si="275"/>
        <v>21.038</v>
      </c>
      <c r="AP151" s="386">
        <f t="shared" si="275"/>
        <v>20.058999999999997</v>
      </c>
      <c r="AQ151" s="386">
        <f t="shared" ref="AQ151:AR151" si="276">AQ223</f>
        <v>21.658999999999999</v>
      </c>
      <c r="AR151" s="386">
        <f t="shared" si="276"/>
        <v>21.891999999999999</v>
      </c>
      <c r="AS151" s="870">
        <f t="shared" ref="AS151:BD151" si="277">+AO151+AS155</f>
        <v>22.538</v>
      </c>
      <c r="AT151" s="386">
        <f t="shared" si="277"/>
        <v>21.558999999999997</v>
      </c>
      <c r="AU151" s="386">
        <f t="shared" si="277"/>
        <v>23.158999999999999</v>
      </c>
      <c r="AV151" s="881">
        <f t="shared" si="277"/>
        <v>24.391999999999999</v>
      </c>
      <c r="AW151" s="870">
        <f t="shared" si="277"/>
        <v>25.538</v>
      </c>
      <c r="AX151" s="386">
        <f t="shared" si="277"/>
        <v>24.558999999999997</v>
      </c>
      <c r="AY151" s="386">
        <f t="shared" si="277"/>
        <v>26.158999999999999</v>
      </c>
      <c r="AZ151" s="881">
        <f t="shared" si="277"/>
        <v>27.391999999999999</v>
      </c>
      <c r="BA151" s="870">
        <f t="shared" si="277"/>
        <v>28.538</v>
      </c>
      <c r="BB151" s="386">
        <f t="shared" si="277"/>
        <v>27.558999999999997</v>
      </c>
      <c r="BC151" s="386">
        <f t="shared" si="277"/>
        <v>29.158999999999999</v>
      </c>
      <c r="BD151" s="881">
        <f t="shared" si="277"/>
        <v>30.391999999999999</v>
      </c>
      <c r="BE151" s="2580"/>
      <c r="BF151" s="386"/>
      <c r="BG151" s="386">
        <f>BG223</f>
        <v>1.772</v>
      </c>
      <c r="BH151" s="386">
        <f>BH223</f>
        <v>4.9530000000000003</v>
      </c>
      <c r="BI151" s="386">
        <f>BI223</f>
        <v>4.4400000000000004</v>
      </c>
      <c r="BJ151" s="386">
        <f>SUM(M151:P151)</f>
        <v>9.5039999999999996</v>
      </c>
      <c r="BK151" s="386">
        <f>SUM(Q151:T151)</f>
        <v>14.734999999999999</v>
      </c>
      <c r="BL151" s="386">
        <f>SUM(U151:X151)</f>
        <v>23.396999999999998</v>
      </c>
      <c r="BM151" s="386">
        <f>SUM(Y151:AB151)</f>
        <v>33.606999999999999</v>
      </c>
      <c r="BN151" s="386">
        <f>SUM(AC151:AF151)</f>
        <v>46.616999999999997</v>
      </c>
      <c r="BO151" s="386">
        <f>SUM(AG151:AJ151)</f>
        <v>66.533999999999992</v>
      </c>
      <c r="BP151" s="386">
        <f>SUM(AK151:AN151)</f>
        <v>77.086999999999989</v>
      </c>
      <c r="BQ151" s="386">
        <f>SUM(AO151:AR151)</f>
        <v>84.647999999999996</v>
      </c>
      <c r="BR151" s="386">
        <f>SUM(AS151:AV151)</f>
        <v>91.647999999999996</v>
      </c>
      <c r="BS151" s="386">
        <f>SUM(AW151:AZ151)</f>
        <v>103.648</v>
      </c>
      <c r="BT151" s="386">
        <f>SUM(BA151:BD151)</f>
        <v>115.648</v>
      </c>
      <c r="BU151" s="388">
        <f>+BT151+BU155</f>
        <v>125.648</v>
      </c>
      <c r="BV151" s="388">
        <f>+BU151+BV155</f>
        <v>135.648</v>
      </c>
      <c r="BW151" s="388">
        <f>+BV151+BW155</f>
        <v>145.648</v>
      </c>
      <c r="BX151" s="388">
        <f>+BW151+BX155</f>
        <v>154.648</v>
      </c>
      <c r="BY151" s="871">
        <f>+BX151+BY155</f>
        <v>162.648</v>
      </c>
      <c r="BZ151" s="320"/>
      <c r="CA151" s="329">
        <f t="shared" ref="CA151:CF151" si="278">IF(ISERROR(RATE(3,,-BK151,BN151)),"NM",(RATE(3,,-BK151,BN151)))</f>
        <v>0.46801804413373554</v>
      </c>
      <c r="CB151" s="329">
        <f t="shared" si="278"/>
        <v>0.41675412651624277</v>
      </c>
      <c r="CC151" s="329">
        <f t="shared" si="278"/>
        <v>0.31881476137156051</v>
      </c>
      <c r="CD151" s="329">
        <f t="shared" si="278"/>
        <v>0.21999334040134796</v>
      </c>
      <c r="CE151" s="329">
        <f t="shared" si="278"/>
        <v>0.11265310964191419</v>
      </c>
      <c r="CF151" s="329">
        <f t="shared" si="278"/>
        <v>0.10372257951785215</v>
      </c>
    </row>
    <row r="152" spans="1:84" s="41" customFormat="1" ht="11.25" customHeight="1">
      <c r="A152" s="29"/>
      <c r="B152" s="29"/>
      <c r="C152" s="29"/>
      <c r="D152" s="29"/>
      <c r="E152" s="29"/>
      <c r="F152" s="29"/>
      <c r="G152" s="29"/>
      <c r="H152" s="29"/>
      <c r="I152" s="813" t="s">
        <v>63</v>
      </c>
      <c r="J152" s="2"/>
      <c r="K152" s="2"/>
      <c r="L152" s="2"/>
      <c r="M152" s="359">
        <f t="shared" ref="M152:AF152" si="279">M151/M$10</f>
        <v>0.18826619964973731</v>
      </c>
      <c r="N152" s="359">
        <f t="shared" si="279"/>
        <v>0.25337932320313233</v>
      </c>
      <c r="O152" s="359">
        <f t="shared" si="279"/>
        <v>0.20128632682229633</v>
      </c>
      <c r="P152" s="359">
        <f t="shared" si="279"/>
        <v>0.1657064292261359</v>
      </c>
      <c r="Q152" s="852">
        <f t="shared" si="279"/>
        <v>0.17824242424242423</v>
      </c>
      <c r="R152" s="359">
        <f t="shared" si="279"/>
        <v>0.15839207273470221</v>
      </c>
      <c r="S152" s="359">
        <f t="shared" si="279"/>
        <v>0.18451259976683707</v>
      </c>
      <c r="T152" s="843">
        <f t="shared" si="279"/>
        <v>0.18381851033928931</v>
      </c>
      <c r="U152" s="359">
        <f t="shared" si="279"/>
        <v>0.17126163958371371</v>
      </c>
      <c r="V152" s="359">
        <f t="shared" si="279"/>
        <v>0.16338468134627754</v>
      </c>
      <c r="W152" s="359">
        <f t="shared" si="279"/>
        <v>0.17315993511313957</v>
      </c>
      <c r="X152" s="359">
        <f t="shared" si="279"/>
        <v>0.171878416794227</v>
      </c>
      <c r="Y152" s="852">
        <f t="shared" si="279"/>
        <v>0.15249387640084103</v>
      </c>
      <c r="Z152" s="359">
        <f t="shared" si="279"/>
        <v>0.14288570234265671</v>
      </c>
      <c r="AA152" s="359">
        <f t="shared" si="279"/>
        <v>0.13064513492751018</v>
      </c>
      <c r="AB152" s="843">
        <f t="shared" si="279"/>
        <v>0.15168928960665809</v>
      </c>
      <c r="AC152" s="359">
        <f t="shared" si="279"/>
        <v>0.13484366615624224</v>
      </c>
      <c r="AD152" s="359">
        <f t="shared" si="279"/>
        <v>0.11800150922995484</v>
      </c>
      <c r="AE152" s="359">
        <f t="shared" si="279"/>
        <v>0.1194475623444439</v>
      </c>
      <c r="AF152" s="359">
        <f t="shared" si="279"/>
        <v>0.12375440224958364</v>
      </c>
      <c r="AG152" s="852">
        <f t="shared" ref="AG152:AN152" si="280">AG151/AG$10</f>
        <v>0.14697674418604653</v>
      </c>
      <c r="AH152" s="1738">
        <f t="shared" si="280"/>
        <v>0.12503980891719746</v>
      </c>
      <c r="AI152" s="1738">
        <f t="shared" si="280"/>
        <v>0.12820950965824665</v>
      </c>
      <c r="AJ152" s="359">
        <f t="shared" si="280"/>
        <v>0.11683708248125427</v>
      </c>
      <c r="AK152" s="852">
        <f t="shared" si="280"/>
        <v>0.10990271919703933</v>
      </c>
      <c r="AL152" s="359">
        <f t="shared" si="280"/>
        <v>0.10610166755079918</v>
      </c>
      <c r="AM152" s="359">
        <f t="shared" si="280"/>
        <v>0.10500343657373598</v>
      </c>
      <c r="AN152" s="359">
        <f t="shared" si="280"/>
        <v>0.11139345777120679</v>
      </c>
      <c r="AO152" s="852">
        <f>AO151/AO$10</f>
        <v>0.10661706947492183</v>
      </c>
      <c r="AP152" s="359">
        <f>AP151/AP$10</f>
        <v>9.6038570553087163E-2</v>
      </c>
      <c r="AQ152" s="359">
        <f>AQ151/AQ$10</f>
        <v>9.7396348592499321E-2</v>
      </c>
      <c r="AR152" s="359">
        <f t="shared" ref="AR152" si="281">AR151/AR$10</f>
        <v>0.10030882582040448</v>
      </c>
      <c r="AS152" s="852">
        <f t="shared" ref="AS152:AV152" si="282">AS151/AS$10</f>
        <v>0.10188969258589513</v>
      </c>
      <c r="AT152" s="359">
        <f t="shared" si="282"/>
        <v>9.3167675021607596E-2</v>
      </c>
      <c r="AU152" s="359">
        <f t="shared" si="282"/>
        <v>9.338306451612903E-2</v>
      </c>
      <c r="AV152" s="843">
        <f t="shared" si="282"/>
        <v>9.4032382420971478E-2</v>
      </c>
      <c r="AW152" s="852">
        <f t="shared" ref="AW152:BD152" si="283">AW151/AW$10</f>
        <v>9.7398932112890926E-2</v>
      </c>
      <c r="AX152" s="359">
        <f t="shared" si="283"/>
        <v>9.0623616236162358E-2</v>
      </c>
      <c r="AY152" s="359">
        <f t="shared" si="283"/>
        <v>9.1209902370990234E-2</v>
      </c>
      <c r="AZ152" s="843">
        <f t="shared" si="283"/>
        <v>9.2415654520917684E-2</v>
      </c>
      <c r="BA152" s="852">
        <f t="shared" si="283"/>
        <v>9.5636729222520117E-2</v>
      </c>
      <c r="BB152" s="359">
        <f t="shared" si="283"/>
        <v>8.9651919323357171E-2</v>
      </c>
      <c r="BC152" s="359">
        <f t="shared" si="283"/>
        <v>9.033147459727385E-2</v>
      </c>
      <c r="BD152" s="843">
        <f t="shared" si="283"/>
        <v>9.154216867469879E-2</v>
      </c>
      <c r="BE152" s="2583"/>
      <c r="BF152" s="2574"/>
      <c r="BG152" s="359">
        <f t="shared" ref="BG152:BY152" si="284">BG151/BG$10</f>
        <v>0.47316421895861149</v>
      </c>
      <c r="BH152" s="359">
        <f t="shared" si="284"/>
        <v>0.4080237251832935</v>
      </c>
      <c r="BI152" s="359">
        <f t="shared" si="284"/>
        <v>0.17203967761934283</v>
      </c>
      <c r="BJ152" s="359">
        <f t="shared" si="284"/>
        <v>0.19911587856948312</v>
      </c>
      <c r="BK152" s="359">
        <f t="shared" si="284"/>
        <v>0.17692261511676771</v>
      </c>
      <c r="BL152" s="359">
        <f t="shared" si="284"/>
        <v>0.17007836238605473</v>
      </c>
      <c r="BM152" s="359">
        <f t="shared" si="284"/>
        <v>0.14424348035091936</v>
      </c>
      <c r="BN152" s="359">
        <f t="shared" si="284"/>
        <v>0.12347696643498897</v>
      </c>
      <c r="BO152" s="359">
        <f t="shared" si="284"/>
        <v>0.12827067669172929</v>
      </c>
      <c r="BP152" s="359">
        <f t="shared" si="284"/>
        <v>0.10810594767126322</v>
      </c>
      <c r="BQ152" s="359">
        <f t="shared" si="284"/>
        <v>9.9960676087872999E-2</v>
      </c>
      <c r="BR152" s="359">
        <f>BR151/BR$10</f>
        <v>9.5466666666666658E-2</v>
      </c>
      <c r="BS152" s="359">
        <f t="shared" si="284"/>
        <v>9.284127552848441E-2</v>
      </c>
      <c r="BT152" s="359">
        <f t="shared" si="284"/>
        <v>9.1740441059812786E-2</v>
      </c>
      <c r="BU152" s="359">
        <f t="shared" si="284"/>
        <v>8.9710124232471794E-2</v>
      </c>
      <c r="BV152" s="359">
        <f t="shared" si="284"/>
        <v>8.8220603537981265E-2</v>
      </c>
      <c r="BW152" s="359">
        <f t="shared" si="284"/>
        <v>8.7183048006704178E-2</v>
      </c>
      <c r="BX152" s="359">
        <f t="shared" si="284"/>
        <v>8.5934652144921089E-2</v>
      </c>
      <c r="BY152" s="843">
        <f t="shared" si="284"/>
        <v>8.4466140423764019E-2</v>
      </c>
      <c r="BZ152" s="29"/>
      <c r="CA152" s="29"/>
      <c r="CB152" s="29"/>
      <c r="CC152" s="29"/>
      <c r="CD152" s="29"/>
      <c r="CE152" s="29"/>
      <c r="CF152" s="29"/>
    </row>
    <row r="153" spans="1:84" ht="11.25" customHeight="1">
      <c r="A153" s="36"/>
      <c r="B153" s="36"/>
      <c r="C153" s="36"/>
      <c r="D153" s="36"/>
      <c r="E153" s="36"/>
      <c r="F153" s="36"/>
      <c r="G153" s="36"/>
      <c r="H153" s="36"/>
      <c r="I153" s="796" t="s">
        <v>132</v>
      </c>
      <c r="J153" s="54"/>
      <c r="K153" s="54"/>
      <c r="L153" s="54"/>
      <c r="M153" s="198" t="str">
        <f t="shared" ref="M153:R153" si="285">IF(ISERROR(M151/I151-1),"NA",(IF(M151&lt;=0,"NM",M151/I151-1)))</f>
        <v>NA</v>
      </c>
      <c r="N153" s="198" t="str">
        <f t="shared" si="285"/>
        <v>NA</v>
      </c>
      <c r="O153" s="198" t="str">
        <f t="shared" si="285"/>
        <v>NA</v>
      </c>
      <c r="P153" s="198" t="str">
        <f t="shared" si="285"/>
        <v>NA</v>
      </c>
      <c r="Q153" s="751">
        <f t="shared" si="285"/>
        <v>0.70988372093023244</v>
      </c>
      <c r="R153" s="198">
        <f t="shared" si="285"/>
        <v>0.14091243561442246</v>
      </c>
      <c r="S153" s="198">
        <f t="shared" ref="S153:AR153" si="286">IF(ISERROR(S151/O151-1),"NA",(IF(S151&lt;=0,"NM",S151/O151-1)))</f>
        <v>0.62327416173570027</v>
      </c>
      <c r="T153" s="752">
        <f t="shared" si="286"/>
        <v>0.80877123666534967</v>
      </c>
      <c r="U153" s="198">
        <f t="shared" si="286"/>
        <v>0.59469568174090437</v>
      </c>
      <c r="V153" s="198">
        <f t="shared" si="286"/>
        <v>0.72041277007416959</v>
      </c>
      <c r="W153" s="198">
        <f t="shared" si="286"/>
        <v>0.53049817739975702</v>
      </c>
      <c r="X153" s="198">
        <f t="shared" si="286"/>
        <v>0.54521625163826992</v>
      </c>
      <c r="Y153" s="751">
        <f t="shared" si="286"/>
        <v>0.5</v>
      </c>
      <c r="Z153" s="198">
        <f t="shared" si="286"/>
        <v>0.47366447985004689</v>
      </c>
      <c r="AA153" s="198">
        <f t="shared" si="286"/>
        <v>0.26913305811368682</v>
      </c>
      <c r="AB153" s="752">
        <f t="shared" si="286"/>
        <v>0.51498445009895399</v>
      </c>
      <c r="AC153" s="198">
        <f t="shared" si="286"/>
        <v>0.46453447050461993</v>
      </c>
      <c r="AD153" s="198">
        <f t="shared" si="286"/>
        <v>0.33261256677690154</v>
      </c>
      <c r="AE153" s="198">
        <f t="shared" si="286"/>
        <v>0.53108970349055418</v>
      </c>
      <c r="AF153" s="198">
        <f t="shared" si="286"/>
        <v>0.26891854063637188</v>
      </c>
      <c r="AG153" s="751">
        <f t="shared" si="286"/>
        <v>0.59487527904493853</v>
      </c>
      <c r="AH153" s="198">
        <f t="shared" si="286"/>
        <v>0.49899780471509025</v>
      </c>
      <c r="AI153" s="198">
        <f t="shared" si="286"/>
        <v>0.41011603203137748</v>
      </c>
      <c r="AJ153" s="198">
        <f t="shared" si="286"/>
        <v>0.26038679314655511</v>
      </c>
      <c r="AK153" s="751">
        <f t="shared" si="286"/>
        <v>6.0856864654332821E-2</v>
      </c>
      <c r="AL153" s="198">
        <f t="shared" si="286"/>
        <v>0.17166507481693705</v>
      </c>
      <c r="AM153" s="198">
        <f t="shared" si="286"/>
        <v>0.13316335400127488</v>
      </c>
      <c r="AN153" s="198">
        <f t="shared" si="286"/>
        <v>0.26598599766627751</v>
      </c>
      <c r="AO153" s="751">
        <f t="shared" si="286"/>
        <v>0.20686094538779276</v>
      </c>
      <c r="AP153" s="198">
        <f t="shared" si="286"/>
        <v>9.010379870659202E-2</v>
      </c>
      <c r="AQ153" s="198">
        <f t="shared" si="286"/>
        <v>0.107593965737663</v>
      </c>
      <c r="AR153" s="198">
        <f t="shared" si="286"/>
        <v>8.8944190976543158E-3</v>
      </c>
      <c r="AS153" s="751">
        <f t="shared" ref="AS153:BD153" si="287">IF(ISERROR(AS151/AO151-1),"NA",(IF(AS151&lt;=0,"NM",AS151/AO151-1)))</f>
        <v>7.129955318946668E-2</v>
      </c>
      <c r="AT153" s="198">
        <f t="shared" si="287"/>
        <v>7.4779400767735149E-2</v>
      </c>
      <c r="AU153" s="198">
        <f t="shared" si="287"/>
        <v>6.9255274943441636E-2</v>
      </c>
      <c r="AV153" s="752">
        <f t="shared" si="287"/>
        <v>0.1141969669285583</v>
      </c>
      <c r="AW153" s="751">
        <f t="shared" si="287"/>
        <v>0.13310852781968241</v>
      </c>
      <c r="AX153" s="198">
        <f t="shared" si="287"/>
        <v>0.13915302193979318</v>
      </c>
      <c r="AY153" s="198">
        <f t="shared" si="287"/>
        <v>0.12953927198929138</v>
      </c>
      <c r="AZ153" s="752">
        <f t="shared" si="287"/>
        <v>0.1229911446375862</v>
      </c>
      <c r="BA153" s="751">
        <f t="shared" si="287"/>
        <v>0.11747200250606937</v>
      </c>
      <c r="BB153" s="198">
        <f t="shared" si="287"/>
        <v>0.12215481086363456</v>
      </c>
      <c r="BC153" s="198">
        <f t="shared" si="287"/>
        <v>0.11468328300011477</v>
      </c>
      <c r="BD153" s="752">
        <f t="shared" si="287"/>
        <v>0.10952102803738328</v>
      </c>
      <c r="BE153" s="1119"/>
      <c r="BF153" s="201"/>
      <c r="BG153" s="198" t="str">
        <f t="shared" ref="BG153:BT153" si="288">IF(ISERROR(+BG151/BF151-1),"NA",(IF(BG151&lt;=0,"NM",BG151/BF151-1)))</f>
        <v>NA</v>
      </c>
      <c r="BH153" s="198">
        <f t="shared" si="288"/>
        <v>1.7951467268623027</v>
      </c>
      <c r="BI153" s="198">
        <f t="shared" si="288"/>
        <v>-0.10357359176256808</v>
      </c>
      <c r="BJ153" s="198">
        <f t="shared" si="288"/>
        <v>1.1405405405405404</v>
      </c>
      <c r="BK153" s="198">
        <f t="shared" si="288"/>
        <v>0.55039983164983175</v>
      </c>
      <c r="BL153" s="198">
        <f t="shared" si="288"/>
        <v>0.58785205293518827</v>
      </c>
      <c r="BM153" s="198">
        <f t="shared" si="288"/>
        <v>0.43638073257255217</v>
      </c>
      <c r="BN153" s="198">
        <f t="shared" si="288"/>
        <v>0.38712173059184085</v>
      </c>
      <c r="BO153" s="198">
        <f t="shared" si="288"/>
        <v>0.42724757062874041</v>
      </c>
      <c r="BP153" s="198">
        <f t="shared" si="288"/>
        <v>0.15861063516397622</v>
      </c>
      <c r="BQ153" s="198">
        <f t="shared" si="288"/>
        <v>9.8083983032158484E-2</v>
      </c>
      <c r="BR153" s="198">
        <f t="shared" si="288"/>
        <v>8.2695397410452731E-2</v>
      </c>
      <c r="BS153" s="198">
        <f t="shared" si="288"/>
        <v>0.13093575418994408</v>
      </c>
      <c r="BT153" s="198">
        <f t="shared" si="288"/>
        <v>0.11577647422043835</v>
      </c>
      <c r="BU153" s="198">
        <f>IF(ISERROR(+BU151/BT151-1),"NA",(IF(BU151&lt;=0,"NM",BU151/BT151-1)))</f>
        <v>8.646928610957394E-2</v>
      </c>
      <c r="BV153" s="198">
        <f>IF(ISERROR(+BV151/BU151-1),"NA",(IF(BV151&lt;=0,"NM",BV151/BU151-1)))</f>
        <v>7.9587418820832756E-2</v>
      </c>
      <c r="BW153" s="198">
        <f>IF(ISERROR(+BW151/BV151-1),"NA",(IF(BW151&lt;=0,"NM",BW151/BV151-1)))</f>
        <v>7.3720217032319013E-2</v>
      </c>
      <c r="BX153" s="198">
        <f>IF(ISERROR(+BX151/BW151-1),"NA",(IF(BX151&lt;=0,"NM",BX151/BW151-1)))</f>
        <v>6.1792815555311353E-2</v>
      </c>
      <c r="BY153" s="752">
        <f>IF(ISERROR(+BY151/BX151-1),"NA",(IF(BY151&lt;=0,"NM",BY151/BX151-1)))</f>
        <v>5.1730381252909741E-2</v>
      </c>
      <c r="BZ153" s="36"/>
      <c r="CA153" s="36"/>
      <c r="CB153" s="36"/>
      <c r="CC153" s="36"/>
      <c r="CD153" s="36"/>
      <c r="CE153" s="36"/>
      <c r="CF153" s="36"/>
    </row>
    <row r="154" spans="1:84" ht="11.25" customHeight="1">
      <c r="A154" s="36"/>
      <c r="B154" s="36"/>
      <c r="C154" s="36"/>
      <c r="D154" s="36"/>
      <c r="E154" s="36"/>
      <c r="F154" s="36"/>
      <c r="G154" s="36"/>
      <c r="H154" s="36"/>
      <c r="I154" s="796" t="s">
        <v>146</v>
      </c>
      <c r="J154" s="54"/>
      <c r="K154" s="54"/>
      <c r="L154" s="54"/>
      <c r="M154" s="198" t="str">
        <f t="shared" ref="M154:R154" si="289">IF(ISERROR(M151/L151-1),"NA",(IF(M151&lt;=0,"NM",M151/L151-1)))</f>
        <v>NA</v>
      </c>
      <c r="N154" s="198">
        <f t="shared" si="289"/>
        <v>0.58023255813953489</v>
      </c>
      <c r="O154" s="198">
        <f t="shared" si="289"/>
        <v>-6.7328918322295706E-2</v>
      </c>
      <c r="P154" s="198">
        <f t="shared" si="289"/>
        <v>-1.5779092702169484E-3</v>
      </c>
      <c r="Q154" s="751">
        <f t="shared" si="289"/>
        <v>0.16199130778348469</v>
      </c>
      <c r="R154" s="198">
        <f t="shared" si="289"/>
        <v>5.4403264195851841E-2</v>
      </c>
      <c r="S154" s="198">
        <f t="shared" ref="S154:AR154" si="290">IF(ISERROR(S151/R151-1),"NA",(IF(S151&lt;=0,"NM",S151/R151-1)))</f>
        <v>0.32699129313124797</v>
      </c>
      <c r="T154" s="752">
        <f t="shared" si="290"/>
        <v>0.11251518833535856</v>
      </c>
      <c r="U154" s="198">
        <f t="shared" si="290"/>
        <v>2.4464831804281273E-2</v>
      </c>
      <c r="V154" s="198">
        <f t="shared" si="290"/>
        <v>0.13752665245202578</v>
      </c>
      <c r="W154" s="198">
        <f t="shared" si="290"/>
        <v>0.18050609184629796</v>
      </c>
      <c r="X154" s="198">
        <f t="shared" si="290"/>
        <v>0.12321371864083841</v>
      </c>
      <c r="Y154" s="751">
        <f t="shared" si="290"/>
        <v>-5.5131467345208574E-3</v>
      </c>
      <c r="Z154" s="198">
        <f t="shared" si="290"/>
        <v>0.11755508173418638</v>
      </c>
      <c r="AA154" s="198">
        <f t="shared" si="290"/>
        <v>1.6662426863393476E-2</v>
      </c>
      <c r="AB154" s="752">
        <f t="shared" si="290"/>
        <v>0.34079819842362058</v>
      </c>
      <c r="AC154" s="198">
        <f t="shared" si="290"/>
        <v>-3.8630213679201275E-2</v>
      </c>
      <c r="AD154" s="198">
        <f t="shared" si="290"/>
        <v>1.6888284965544065E-2</v>
      </c>
      <c r="AE154" s="198">
        <f t="shared" si="290"/>
        <v>0.16808246635487256</v>
      </c>
      <c r="AF154" s="198">
        <f t="shared" si="290"/>
        <v>0.11121098218663161</v>
      </c>
      <c r="AG154" s="751">
        <f t="shared" si="290"/>
        <v>0.20832414148099154</v>
      </c>
      <c r="AH154" s="198">
        <f t="shared" si="290"/>
        <v>-4.4242940603700154E-2</v>
      </c>
      <c r="AI154" s="198">
        <f t="shared" si="290"/>
        <v>9.8822031200254346E-2</v>
      </c>
      <c r="AJ154" s="198">
        <f t="shared" si="290"/>
        <v>-6.7798574491508834E-3</v>
      </c>
      <c r="AK154" s="751">
        <f t="shared" si="290"/>
        <v>1.7036172695449103E-2</v>
      </c>
      <c r="AL154" s="198">
        <f t="shared" si="290"/>
        <v>5.5587425424506787E-2</v>
      </c>
      <c r="AM154" s="198">
        <f t="shared" si="290"/>
        <v>6.2713982935709955E-2</v>
      </c>
      <c r="AN154" s="198">
        <f t="shared" si="290"/>
        <v>0.10963947839427246</v>
      </c>
      <c r="AO154" s="751">
        <f t="shared" si="290"/>
        <v>-3.0462233282639639E-2</v>
      </c>
      <c r="AP154" s="198">
        <f t="shared" si="290"/>
        <v>-4.6534841714992004E-2</v>
      </c>
      <c r="AQ154" s="198">
        <f t="shared" si="290"/>
        <v>7.9764694152250959E-2</v>
      </c>
      <c r="AR154" s="198">
        <f t="shared" si="290"/>
        <v>1.0757652707881205E-2</v>
      </c>
      <c r="AS154" s="751">
        <f t="shared" ref="AS154:BD154" si="291">IF(ISERROR(AS151/AR151-1),"NA",(IF(AS151&lt;=0,"NM",AS151/AR151-1)))</f>
        <v>2.9508496254339489E-2</v>
      </c>
      <c r="AT154" s="198">
        <f t="shared" si="291"/>
        <v>-4.3437749578489782E-2</v>
      </c>
      <c r="AU154" s="198">
        <f t="shared" si="291"/>
        <v>7.421494503455639E-2</v>
      </c>
      <c r="AV154" s="752">
        <f t="shared" si="291"/>
        <v>5.3240640787598714E-2</v>
      </c>
      <c r="AW154" s="751">
        <f t="shared" si="291"/>
        <v>4.6982617251557945E-2</v>
      </c>
      <c r="AX154" s="198">
        <f t="shared" si="291"/>
        <v>-3.8335030151147365E-2</v>
      </c>
      <c r="AY154" s="198">
        <f t="shared" si="291"/>
        <v>6.5149232460605111E-2</v>
      </c>
      <c r="AZ154" s="752">
        <f t="shared" si="291"/>
        <v>4.7134829313047133E-2</v>
      </c>
      <c r="BA154" s="751">
        <f t="shared" si="291"/>
        <v>4.1837032710280386E-2</v>
      </c>
      <c r="BB154" s="198">
        <f t="shared" si="291"/>
        <v>-3.4305137010302134E-2</v>
      </c>
      <c r="BC154" s="198">
        <f t="shared" si="291"/>
        <v>5.8057258971660808E-2</v>
      </c>
      <c r="BD154" s="752">
        <f t="shared" si="291"/>
        <v>4.2285400733907297E-2</v>
      </c>
      <c r="BE154" s="1119"/>
      <c r="BF154" s="201"/>
      <c r="BG154" s="201"/>
      <c r="BH154" s="201"/>
      <c r="BI154" s="201"/>
      <c r="BJ154" s="201"/>
      <c r="BK154" s="201"/>
      <c r="BL154" s="201"/>
      <c r="BM154" s="201"/>
      <c r="BN154" s="198"/>
      <c r="BO154" s="198"/>
      <c r="BP154" s="201"/>
      <c r="BQ154" s="201"/>
      <c r="BR154" s="201"/>
      <c r="BS154" s="201"/>
      <c r="BT154" s="201"/>
      <c r="BU154" s="201"/>
      <c r="BV154" s="201"/>
      <c r="BW154" s="201"/>
      <c r="BX154" s="201"/>
      <c r="BY154" s="877"/>
      <c r="BZ154" s="36"/>
      <c r="CA154" s="36"/>
      <c r="CB154" s="36"/>
      <c r="CC154" s="36"/>
      <c r="CD154" s="36"/>
      <c r="CE154" s="36"/>
      <c r="CF154" s="36"/>
    </row>
    <row r="155" spans="1:84" ht="11.25" customHeight="1">
      <c r="A155" s="36"/>
      <c r="B155" s="36"/>
      <c r="C155" s="36"/>
      <c r="D155" s="36"/>
      <c r="E155" s="36"/>
      <c r="F155" s="36"/>
      <c r="G155" s="36"/>
      <c r="H155" s="36"/>
      <c r="I155" s="994" t="s">
        <v>380</v>
      </c>
      <c r="J155" s="54"/>
      <c r="K155" s="54"/>
      <c r="L155" s="54"/>
      <c r="M155" s="198"/>
      <c r="N155" s="198"/>
      <c r="O155" s="198"/>
      <c r="P155" s="198"/>
      <c r="Q155" s="900">
        <f t="shared" ref="Q155:AR155" si="292">Q151-M151</f>
        <v>1.2209999999999999</v>
      </c>
      <c r="R155" s="901">
        <f t="shared" si="292"/>
        <v>0.38300000000000001</v>
      </c>
      <c r="S155" s="901">
        <f t="shared" si="292"/>
        <v>1.58</v>
      </c>
      <c r="T155" s="902">
        <f t="shared" si="292"/>
        <v>2.0470000000000002</v>
      </c>
      <c r="U155" s="901">
        <f t="shared" si="292"/>
        <v>1.7489999999999997</v>
      </c>
      <c r="V155" s="901">
        <f t="shared" si="292"/>
        <v>2.234</v>
      </c>
      <c r="W155" s="901">
        <f t="shared" si="292"/>
        <v>2.1829999999999998</v>
      </c>
      <c r="X155" s="901">
        <f t="shared" si="292"/>
        <v>2.4959999999999996</v>
      </c>
      <c r="Y155" s="900">
        <f t="shared" si="292"/>
        <v>2.3449999999999998</v>
      </c>
      <c r="Z155" s="901">
        <f t="shared" si="292"/>
        <v>2.5270000000000001</v>
      </c>
      <c r="AA155" s="901">
        <f t="shared" si="292"/>
        <v>1.6950000000000003</v>
      </c>
      <c r="AB155" s="902">
        <f t="shared" si="292"/>
        <v>3.6430000000000007</v>
      </c>
      <c r="AC155" s="901">
        <f t="shared" si="292"/>
        <v>3.2680000000000016</v>
      </c>
      <c r="AD155" s="901">
        <f t="shared" si="292"/>
        <v>2.6150000000000002</v>
      </c>
      <c r="AE155" s="901">
        <f t="shared" si="292"/>
        <v>4.2449999999999992</v>
      </c>
      <c r="AF155" s="901">
        <f t="shared" si="292"/>
        <v>2.8819999999999979</v>
      </c>
      <c r="AG155" s="900">
        <f t="shared" si="292"/>
        <v>6.1290000000000013</v>
      </c>
      <c r="AH155" s="901">
        <f t="shared" si="292"/>
        <v>5.2280000000000015</v>
      </c>
      <c r="AI155" s="901">
        <f t="shared" si="292"/>
        <v>5.0189999999999984</v>
      </c>
      <c r="AJ155" s="901">
        <f t="shared" si="292"/>
        <v>3.5410000000000021</v>
      </c>
      <c r="AK155" s="900">
        <f t="shared" si="292"/>
        <v>0.99999999999999645</v>
      </c>
      <c r="AL155" s="901">
        <f t="shared" si="292"/>
        <v>2.695999999999998</v>
      </c>
      <c r="AM155" s="901">
        <f t="shared" si="292"/>
        <v>2.2980000000000018</v>
      </c>
      <c r="AN155" s="901">
        <f t="shared" si="292"/>
        <v>4.5589999999999975</v>
      </c>
      <c r="AO155" s="900">
        <f t="shared" si="292"/>
        <v>3.6060000000000016</v>
      </c>
      <c r="AP155" s="901">
        <f t="shared" si="292"/>
        <v>1.6579999999999977</v>
      </c>
      <c r="AQ155" s="901">
        <f t="shared" si="292"/>
        <v>2.1039999999999992</v>
      </c>
      <c r="AR155" s="901">
        <f t="shared" si="292"/>
        <v>0.19300000000000139</v>
      </c>
      <c r="AS155" s="2130">
        <v>1.5</v>
      </c>
      <c r="AT155" s="2131">
        <v>1.5</v>
      </c>
      <c r="AU155" s="2131">
        <v>1.5</v>
      </c>
      <c r="AV155" s="2132">
        <v>2.5</v>
      </c>
      <c r="AW155" s="2130">
        <v>3</v>
      </c>
      <c r="AX155" s="2131">
        <f t="shared" ref="AX155:BD155" si="293">AW155</f>
        <v>3</v>
      </c>
      <c r="AY155" s="2131">
        <f t="shared" si="293"/>
        <v>3</v>
      </c>
      <c r="AZ155" s="2131">
        <f t="shared" si="293"/>
        <v>3</v>
      </c>
      <c r="BA155" s="2130">
        <f t="shared" si="293"/>
        <v>3</v>
      </c>
      <c r="BB155" s="2131">
        <f t="shared" si="293"/>
        <v>3</v>
      </c>
      <c r="BC155" s="2131">
        <f t="shared" si="293"/>
        <v>3</v>
      </c>
      <c r="BD155" s="2132">
        <f t="shared" si="293"/>
        <v>3</v>
      </c>
      <c r="BE155" s="1119"/>
      <c r="BF155" s="201"/>
      <c r="BG155" s="201"/>
      <c r="BH155" s="901">
        <f>BH151-BG151</f>
        <v>3.181</v>
      </c>
      <c r="BI155" s="901">
        <f t="shared" ref="BI155:BP155" si="294">BI151-BH151</f>
        <v>-0.5129999999999999</v>
      </c>
      <c r="BJ155" s="901">
        <f t="shared" si="294"/>
        <v>5.0639999999999992</v>
      </c>
      <c r="BK155" s="901">
        <f t="shared" si="294"/>
        <v>5.2309999999999999</v>
      </c>
      <c r="BL155" s="901">
        <f t="shared" si="294"/>
        <v>8.661999999999999</v>
      </c>
      <c r="BM155" s="901">
        <f t="shared" si="294"/>
        <v>10.210000000000001</v>
      </c>
      <c r="BN155" s="901">
        <f t="shared" si="294"/>
        <v>13.009999999999998</v>
      </c>
      <c r="BO155" s="901">
        <f t="shared" si="294"/>
        <v>19.916999999999994</v>
      </c>
      <c r="BP155" s="901">
        <f t="shared" si="294"/>
        <v>10.552999999999997</v>
      </c>
      <c r="BQ155" s="901">
        <f>BQ151-BP151</f>
        <v>7.561000000000007</v>
      </c>
      <c r="BR155" s="901">
        <f>BR151-BQ151</f>
        <v>7</v>
      </c>
      <c r="BS155" s="901">
        <f>BS151-BR151</f>
        <v>12</v>
      </c>
      <c r="BT155" s="901">
        <f>BT151-BS151</f>
        <v>12</v>
      </c>
      <c r="BU155" s="2131">
        <v>10</v>
      </c>
      <c r="BV155" s="2131">
        <f>BU155</f>
        <v>10</v>
      </c>
      <c r="BW155" s="2131">
        <v>10</v>
      </c>
      <c r="BX155" s="2131">
        <v>9</v>
      </c>
      <c r="BY155" s="2132">
        <v>8</v>
      </c>
      <c r="BZ155" s="36"/>
      <c r="CA155" s="36"/>
      <c r="CB155" s="36"/>
      <c r="CC155" s="36"/>
      <c r="CD155" s="36"/>
      <c r="CE155" s="36"/>
      <c r="CF155" s="36"/>
    </row>
    <row r="156" spans="1:84" ht="11.25" customHeight="1">
      <c r="A156" s="36"/>
      <c r="B156" s="36"/>
      <c r="C156" s="36"/>
      <c r="D156" s="36"/>
      <c r="E156" s="36"/>
      <c r="F156" s="36"/>
      <c r="G156" s="36"/>
      <c r="H156" s="36"/>
      <c r="I156" s="994" t="s">
        <v>377</v>
      </c>
      <c r="J156" s="54"/>
      <c r="K156" s="54"/>
      <c r="L156" s="54"/>
      <c r="M156" s="901"/>
      <c r="N156" s="901">
        <f>N151-M151</f>
        <v>0.998</v>
      </c>
      <c r="O156" s="901">
        <f t="shared" ref="O156:AR156" si="295">O151-N151</f>
        <v>-0.18299999999999983</v>
      </c>
      <c r="P156" s="901">
        <f t="shared" si="295"/>
        <v>-4.0000000000000036E-3</v>
      </c>
      <c r="Q156" s="900">
        <f t="shared" si="295"/>
        <v>0.4099999999999997</v>
      </c>
      <c r="R156" s="901">
        <f t="shared" si="295"/>
        <v>0.16000000000000014</v>
      </c>
      <c r="S156" s="901">
        <f t="shared" si="295"/>
        <v>1.0140000000000002</v>
      </c>
      <c r="T156" s="902">
        <f t="shared" si="295"/>
        <v>0.46300000000000008</v>
      </c>
      <c r="U156" s="901">
        <f t="shared" si="295"/>
        <v>0.11199999999999921</v>
      </c>
      <c r="V156" s="901">
        <f t="shared" si="295"/>
        <v>0.64500000000000046</v>
      </c>
      <c r="W156" s="901">
        <f t="shared" si="295"/>
        <v>0.96300000000000008</v>
      </c>
      <c r="X156" s="901">
        <f t="shared" si="295"/>
        <v>0.7759999999999998</v>
      </c>
      <c r="Y156" s="900">
        <f t="shared" si="295"/>
        <v>-3.900000000000059E-2</v>
      </c>
      <c r="Z156" s="901">
        <f t="shared" si="295"/>
        <v>0.82700000000000085</v>
      </c>
      <c r="AA156" s="901">
        <f t="shared" si="295"/>
        <v>0.13100000000000023</v>
      </c>
      <c r="AB156" s="902">
        <f t="shared" si="295"/>
        <v>2.7240000000000002</v>
      </c>
      <c r="AC156" s="901">
        <f t="shared" si="295"/>
        <v>-0.4139999999999997</v>
      </c>
      <c r="AD156" s="901">
        <f t="shared" si="295"/>
        <v>0.17399999999999949</v>
      </c>
      <c r="AE156" s="901">
        <f t="shared" si="295"/>
        <v>1.7609999999999992</v>
      </c>
      <c r="AF156" s="901">
        <f t="shared" si="295"/>
        <v>1.3609999999999989</v>
      </c>
      <c r="AG156" s="900">
        <f t="shared" si="295"/>
        <v>2.8330000000000037</v>
      </c>
      <c r="AH156" s="901">
        <f t="shared" si="295"/>
        <v>-0.72700000000000031</v>
      </c>
      <c r="AI156" s="901">
        <f t="shared" si="295"/>
        <v>1.551999999999996</v>
      </c>
      <c r="AJ156" s="901">
        <f t="shared" si="295"/>
        <v>-0.11699999999999733</v>
      </c>
      <c r="AK156" s="900">
        <f t="shared" si="295"/>
        <v>0.29199999999999804</v>
      </c>
      <c r="AL156" s="901">
        <f t="shared" si="295"/>
        <v>0.96900000000000119</v>
      </c>
      <c r="AM156" s="901">
        <f t="shared" si="295"/>
        <v>1.1539999999999999</v>
      </c>
      <c r="AN156" s="901">
        <f t="shared" si="295"/>
        <v>2.1439999999999984</v>
      </c>
      <c r="AO156" s="900">
        <f t="shared" si="295"/>
        <v>-0.66099999999999781</v>
      </c>
      <c r="AP156" s="901">
        <f t="shared" si="295"/>
        <v>-0.97900000000000276</v>
      </c>
      <c r="AQ156" s="901">
        <f t="shared" si="295"/>
        <v>1.6000000000000014</v>
      </c>
      <c r="AR156" s="901">
        <f t="shared" si="295"/>
        <v>0.23300000000000054</v>
      </c>
      <c r="AS156" s="900">
        <f t="shared" ref="AS156:BD156" si="296">AS151-AR151</f>
        <v>0.6460000000000008</v>
      </c>
      <c r="AT156" s="901">
        <f t="shared" si="296"/>
        <v>-0.97900000000000276</v>
      </c>
      <c r="AU156" s="901">
        <f t="shared" si="296"/>
        <v>1.6000000000000014</v>
      </c>
      <c r="AV156" s="902">
        <f t="shared" si="296"/>
        <v>1.2330000000000005</v>
      </c>
      <c r="AW156" s="900">
        <f t="shared" si="296"/>
        <v>1.1460000000000008</v>
      </c>
      <c r="AX156" s="901">
        <f t="shared" si="296"/>
        <v>-0.97900000000000276</v>
      </c>
      <c r="AY156" s="901">
        <f t="shared" si="296"/>
        <v>1.6000000000000014</v>
      </c>
      <c r="AZ156" s="902">
        <f t="shared" si="296"/>
        <v>1.2330000000000005</v>
      </c>
      <c r="BA156" s="900">
        <f t="shared" si="296"/>
        <v>1.1460000000000008</v>
      </c>
      <c r="BB156" s="901">
        <f t="shared" si="296"/>
        <v>-0.97900000000000276</v>
      </c>
      <c r="BC156" s="901">
        <f t="shared" si="296"/>
        <v>1.6000000000000014</v>
      </c>
      <c r="BD156" s="902">
        <f t="shared" si="296"/>
        <v>1.2330000000000005</v>
      </c>
      <c r="BE156" s="1119"/>
      <c r="BF156" s="201"/>
      <c r="BG156" s="201"/>
      <c r="BH156" s="201"/>
      <c r="BI156" s="201"/>
      <c r="BJ156" s="201"/>
      <c r="BK156" s="201"/>
      <c r="BL156" s="201"/>
      <c r="BM156" s="201"/>
      <c r="BN156" s="198"/>
      <c r="BO156" s="198"/>
      <c r="BP156" s="201"/>
      <c r="BQ156" s="201"/>
      <c r="BR156" s="201"/>
      <c r="BS156" s="201"/>
      <c r="BT156" s="201"/>
      <c r="BU156" s="201"/>
      <c r="BV156" s="201"/>
      <c r="BW156" s="201"/>
      <c r="BX156" s="201"/>
      <c r="BY156" s="877"/>
      <c r="BZ156" s="36"/>
      <c r="CA156" s="36"/>
      <c r="CB156" s="36"/>
      <c r="CC156" s="36"/>
      <c r="CD156" s="36"/>
      <c r="CE156" s="36"/>
      <c r="CF156" s="36"/>
    </row>
    <row r="157" spans="1:84" ht="11.25" customHeight="1">
      <c r="A157" s="36"/>
      <c r="B157" s="36"/>
      <c r="C157" s="36"/>
      <c r="D157" s="36"/>
      <c r="E157" s="36"/>
      <c r="F157" s="36"/>
      <c r="G157" s="36"/>
      <c r="H157" s="36"/>
      <c r="I157" s="796" t="s">
        <v>389</v>
      </c>
      <c r="J157" s="54"/>
      <c r="K157" s="54"/>
      <c r="L157" s="54"/>
      <c r="M157" s="901"/>
      <c r="N157" s="901"/>
      <c r="O157" s="901"/>
      <c r="P157" s="901"/>
      <c r="Q157" s="1049">
        <f t="shared" ref="Q157:AR157" si="297">(Q152-M152)*10000</f>
        <v>-100.23775407313084</v>
      </c>
      <c r="R157" s="1050">
        <f t="shared" si="297"/>
        <v>-949.87250468430125</v>
      </c>
      <c r="S157" s="1050">
        <f t="shared" si="297"/>
        <v>-167.73727055459264</v>
      </c>
      <c r="T157" s="1051">
        <f t="shared" si="297"/>
        <v>181.12081113153405</v>
      </c>
      <c r="U157" s="1050">
        <f t="shared" si="297"/>
        <v>-69.807846587105203</v>
      </c>
      <c r="V157" s="1050">
        <f t="shared" si="297"/>
        <v>49.926086115753279</v>
      </c>
      <c r="W157" s="1050">
        <f t="shared" si="297"/>
        <v>-113.52664653697498</v>
      </c>
      <c r="X157" s="1050">
        <f t="shared" si="297"/>
        <v>-119.40093545062314</v>
      </c>
      <c r="Y157" s="1049">
        <f t="shared" si="297"/>
        <v>-187.67763182872682</v>
      </c>
      <c r="Z157" s="1050">
        <f t="shared" si="297"/>
        <v>-204.98979003620826</v>
      </c>
      <c r="AA157" s="1050">
        <f t="shared" si="297"/>
        <v>-425.14800185629394</v>
      </c>
      <c r="AB157" s="1051">
        <f t="shared" si="297"/>
        <v>-201.89127187568906</v>
      </c>
      <c r="AC157" s="1050">
        <f t="shared" si="297"/>
        <v>-176.50210244598784</v>
      </c>
      <c r="AD157" s="1050">
        <f t="shared" si="297"/>
        <v>-248.84193112701874</v>
      </c>
      <c r="AE157" s="1050">
        <f t="shared" si="297"/>
        <v>-111.97572583066278</v>
      </c>
      <c r="AF157" s="1050">
        <f t="shared" si="297"/>
        <v>-279.34887357074444</v>
      </c>
      <c r="AG157" s="1049">
        <f t="shared" si="297"/>
        <v>121.3307802980429</v>
      </c>
      <c r="AH157" s="1050">
        <f t="shared" si="297"/>
        <v>70.382996872426219</v>
      </c>
      <c r="AI157" s="1050">
        <f t="shared" si="297"/>
        <v>87.61947313802753</v>
      </c>
      <c r="AJ157" s="1050">
        <f t="shared" si="297"/>
        <v>-69.173197683293779</v>
      </c>
      <c r="AK157" s="1049">
        <f t="shared" si="297"/>
        <v>-370.74024989007205</v>
      </c>
      <c r="AL157" s="1050">
        <f t="shared" si="297"/>
        <v>-189.38141366398278</v>
      </c>
      <c r="AM157" s="1050">
        <f t="shared" si="297"/>
        <v>-232.06073084510669</v>
      </c>
      <c r="AN157" s="1050">
        <f t="shared" si="297"/>
        <v>-54.436247100474731</v>
      </c>
      <c r="AO157" s="1049">
        <f t="shared" si="297"/>
        <v>-32.856497221174926</v>
      </c>
      <c r="AP157" s="1050">
        <f t="shared" si="297"/>
        <v>-100.63096997712017</v>
      </c>
      <c r="AQ157" s="1050">
        <f t="shared" si="297"/>
        <v>-76.070879812366599</v>
      </c>
      <c r="AR157" s="1050">
        <f t="shared" si="297"/>
        <v>-110.8463195080231</v>
      </c>
      <c r="AS157" s="1049">
        <f t="shared" ref="AS157:BD157" si="298">(AS152-AO152)*10000</f>
        <v>-47.27376889026705</v>
      </c>
      <c r="AT157" s="1050">
        <f t="shared" si="298"/>
        <v>-28.70895531479567</v>
      </c>
      <c r="AU157" s="1050">
        <f t="shared" si="298"/>
        <v>-40.132840763702909</v>
      </c>
      <c r="AV157" s="1051">
        <f t="shared" si="298"/>
        <v>-62.764433994330069</v>
      </c>
      <c r="AW157" s="1049">
        <f t="shared" si="298"/>
        <v>-44.907604730042017</v>
      </c>
      <c r="AX157" s="1050">
        <f t="shared" si="298"/>
        <v>-25.440587854452385</v>
      </c>
      <c r="AY157" s="1050">
        <f t="shared" si="298"/>
        <v>-21.731621451387962</v>
      </c>
      <c r="AZ157" s="1051">
        <f t="shared" si="298"/>
        <v>-16.167279000537938</v>
      </c>
      <c r="BA157" s="1049">
        <f t="shared" si="298"/>
        <v>-17.622028903708092</v>
      </c>
      <c r="BB157" s="1050">
        <f t="shared" si="298"/>
        <v>-9.7169691280518666</v>
      </c>
      <c r="BC157" s="1050">
        <f t="shared" si="298"/>
        <v>-8.784277737163837</v>
      </c>
      <c r="BD157" s="1051">
        <f t="shared" si="298"/>
        <v>-8.7348584621889387</v>
      </c>
      <c r="BE157" s="1119"/>
      <c r="BF157" s="201"/>
      <c r="BG157" s="201"/>
      <c r="BH157" s="1050">
        <f t="shared" ref="BH157:BT157" si="299">(BH152-BG152)*10000</f>
        <v>-651.40493775317998</v>
      </c>
      <c r="BI157" s="1050">
        <f t="shared" si="299"/>
        <v>-2359.8404756395066</v>
      </c>
      <c r="BJ157" s="1050">
        <f t="shared" si="299"/>
        <v>270.76200950140293</v>
      </c>
      <c r="BK157" s="1050">
        <f t="shared" si="299"/>
        <v>-221.93263452715411</v>
      </c>
      <c r="BL157" s="1050">
        <f t="shared" si="299"/>
        <v>-68.442527307129851</v>
      </c>
      <c r="BM157" s="1050">
        <f t="shared" si="299"/>
        <v>-258.34882035135371</v>
      </c>
      <c r="BN157" s="1050">
        <f t="shared" si="299"/>
        <v>-207.66513915930386</v>
      </c>
      <c r="BO157" s="1050">
        <f t="shared" si="299"/>
        <v>47.937102567403159</v>
      </c>
      <c r="BP157" s="1050">
        <f t="shared" si="299"/>
        <v>-201.64729020466066</v>
      </c>
      <c r="BQ157" s="1050">
        <f t="shared" si="299"/>
        <v>-81.452715833902204</v>
      </c>
      <c r="BR157" s="1050">
        <f t="shared" si="299"/>
        <v>-44.940094212063407</v>
      </c>
      <c r="BS157" s="1050">
        <f t="shared" si="299"/>
        <v>-26.25391138182248</v>
      </c>
      <c r="BT157" s="1050">
        <f t="shared" si="299"/>
        <v>-11.008344686716242</v>
      </c>
      <c r="BU157" s="1050">
        <f>(BU152-BT152)*10000</f>
        <v>-20.303168273409916</v>
      </c>
      <c r="BV157" s="1050">
        <f>(BV152-BU152)*10000</f>
        <v>-14.895206944905286</v>
      </c>
      <c r="BW157" s="1050">
        <f>(BW152-BV152)*10000</f>
        <v>-10.375555312770873</v>
      </c>
      <c r="BX157" s="1050">
        <f>(BX152-BW152)*10000</f>
        <v>-12.483958617830886</v>
      </c>
      <c r="BY157" s="1051">
        <f>(BY152-BX152)*10000</f>
        <v>-14.685117211570702</v>
      </c>
      <c r="BZ157" s="36"/>
      <c r="CA157" s="36"/>
      <c r="CB157" s="36"/>
      <c r="CC157" s="36"/>
      <c r="CD157" s="36"/>
      <c r="CE157" s="36"/>
      <c r="CF157" s="36"/>
    </row>
    <row r="158" spans="1:84" ht="11.25" customHeight="1">
      <c r="A158" s="36"/>
      <c r="B158" s="36"/>
      <c r="C158" s="36"/>
      <c r="D158" s="36"/>
      <c r="E158" s="36"/>
      <c r="F158" s="36"/>
      <c r="G158" s="36"/>
      <c r="H158" s="36"/>
      <c r="I158" s="796" t="s">
        <v>368</v>
      </c>
      <c r="J158" s="54"/>
      <c r="K158" s="54"/>
      <c r="L158" s="54"/>
      <c r="M158" s="106"/>
      <c r="N158" s="899">
        <f>(N152-M152)*10000</f>
        <v>651.13123553395019</v>
      </c>
      <c r="O158" s="899">
        <f t="shared" ref="O158:AJ158" si="300">(O152-N152)*10000</f>
        <v>-520.92996380836007</v>
      </c>
      <c r="P158" s="899">
        <f t="shared" si="300"/>
        <v>-355.79897596160424</v>
      </c>
      <c r="Q158" s="907">
        <f t="shared" si="300"/>
        <v>125.35995016288327</v>
      </c>
      <c r="R158" s="908">
        <f t="shared" si="300"/>
        <v>-198.50351507722019</v>
      </c>
      <c r="S158" s="908">
        <f t="shared" si="300"/>
        <v>261.20527032134856</v>
      </c>
      <c r="T158" s="909">
        <f t="shared" si="300"/>
        <v>-6.9408942754775609</v>
      </c>
      <c r="U158" s="899">
        <f t="shared" si="300"/>
        <v>-125.56870755575599</v>
      </c>
      <c r="V158" s="899">
        <f t="shared" si="300"/>
        <v>-78.769582374361718</v>
      </c>
      <c r="W158" s="899">
        <f t="shared" si="300"/>
        <v>97.752537668620292</v>
      </c>
      <c r="X158" s="899">
        <f t="shared" si="300"/>
        <v>-12.815183189125722</v>
      </c>
      <c r="Y158" s="907">
        <f t="shared" si="300"/>
        <v>-193.84540393385967</v>
      </c>
      <c r="Z158" s="908">
        <f t="shared" si="300"/>
        <v>-96.08174058184315</v>
      </c>
      <c r="AA158" s="908">
        <f t="shared" si="300"/>
        <v>-122.40567415146536</v>
      </c>
      <c r="AB158" s="909">
        <f t="shared" si="300"/>
        <v>210.44154679147914</v>
      </c>
      <c r="AC158" s="899">
        <f t="shared" si="300"/>
        <v>-168.45623450415849</v>
      </c>
      <c r="AD158" s="899">
        <f t="shared" si="300"/>
        <v>-168.42156926287404</v>
      </c>
      <c r="AE158" s="899">
        <f t="shared" si="300"/>
        <v>14.460531144890599</v>
      </c>
      <c r="AF158" s="899">
        <f t="shared" si="300"/>
        <v>43.068399051397478</v>
      </c>
      <c r="AG158" s="907">
        <f t="shared" si="300"/>
        <v>232.22341936462888</v>
      </c>
      <c r="AH158" s="908">
        <f t="shared" si="300"/>
        <v>-219.36935268849072</v>
      </c>
      <c r="AI158" s="908">
        <f t="shared" si="300"/>
        <v>31.697007410491917</v>
      </c>
      <c r="AJ158" s="899">
        <f t="shared" si="300"/>
        <v>-113.72427176992383</v>
      </c>
      <c r="AK158" s="907">
        <f t="shared" ref="AK158:AR158" si="301">(AK152-AJ152)*10000</f>
        <v>-69.343632842149418</v>
      </c>
      <c r="AL158" s="908">
        <f t="shared" si="301"/>
        <v>-38.010516462401448</v>
      </c>
      <c r="AM158" s="908">
        <f t="shared" si="301"/>
        <v>-10.982309770631998</v>
      </c>
      <c r="AN158" s="899">
        <f t="shared" si="301"/>
        <v>63.900211974708135</v>
      </c>
      <c r="AO158" s="907">
        <f t="shared" si="301"/>
        <v>-47.763882962849614</v>
      </c>
      <c r="AP158" s="908">
        <f t="shared" si="301"/>
        <v>-105.78498921834669</v>
      </c>
      <c r="AQ158" s="908">
        <f t="shared" si="301"/>
        <v>13.57778039412158</v>
      </c>
      <c r="AR158" s="899">
        <f t="shared" si="301"/>
        <v>29.124772279051637</v>
      </c>
      <c r="AS158" s="907">
        <f t="shared" ref="AS158:BD158" si="302">(AS152-AR152)*10000</f>
        <v>15.808667654906433</v>
      </c>
      <c r="AT158" s="908">
        <f t="shared" si="302"/>
        <v>-87.220175642875319</v>
      </c>
      <c r="AU158" s="908">
        <f t="shared" si="302"/>
        <v>2.1538949452143408</v>
      </c>
      <c r="AV158" s="909">
        <f t="shared" si="302"/>
        <v>6.4931790484244747</v>
      </c>
      <c r="AW158" s="907">
        <f t="shared" si="302"/>
        <v>33.665496919194489</v>
      </c>
      <c r="AX158" s="908">
        <f t="shared" si="302"/>
        <v>-67.753158767285683</v>
      </c>
      <c r="AY158" s="908">
        <f t="shared" si="302"/>
        <v>5.8628613482787637</v>
      </c>
      <c r="AZ158" s="909">
        <f t="shared" si="302"/>
        <v>12.057521499274499</v>
      </c>
      <c r="BA158" s="907">
        <f t="shared" si="302"/>
        <v>32.210747016024335</v>
      </c>
      <c r="BB158" s="908">
        <f t="shared" si="302"/>
        <v>-59.848098991629463</v>
      </c>
      <c r="BC158" s="908">
        <f t="shared" si="302"/>
        <v>6.7955527391667934</v>
      </c>
      <c r="BD158" s="909">
        <f t="shared" si="302"/>
        <v>12.106940774249397</v>
      </c>
      <c r="BE158" s="883"/>
      <c r="BF158" s="106"/>
      <c r="BG158" s="106"/>
      <c r="BH158" s="106"/>
      <c r="BI158" s="106"/>
      <c r="BJ158" s="106"/>
      <c r="BK158" s="106"/>
      <c r="BL158" s="106"/>
      <c r="BM158" s="106"/>
      <c r="BO158" s="106"/>
      <c r="BP158" s="106"/>
      <c r="BQ158" s="106"/>
      <c r="BR158" s="106"/>
      <c r="BS158" s="106"/>
      <c r="BT158" s="106"/>
      <c r="BU158" s="106"/>
      <c r="BV158" s="106"/>
      <c r="BW158" s="106"/>
      <c r="BX158" s="106"/>
      <c r="BY158" s="830"/>
    </row>
    <row r="159" spans="1:84" ht="11.25" customHeight="1">
      <c r="A159" s="36"/>
      <c r="B159" s="36"/>
      <c r="C159" s="36"/>
      <c r="D159" s="36"/>
      <c r="E159" s="36"/>
      <c r="F159" s="36"/>
      <c r="G159" s="36"/>
      <c r="H159" s="36"/>
      <c r="I159" s="796"/>
      <c r="J159" s="54"/>
      <c r="K159" s="54"/>
      <c r="L159" s="54"/>
      <c r="M159" s="198"/>
      <c r="N159" s="198"/>
      <c r="O159" s="198"/>
      <c r="P159" s="198"/>
      <c r="Q159" s="751"/>
      <c r="R159" s="198"/>
      <c r="S159" s="198"/>
      <c r="T159" s="752"/>
      <c r="U159" s="198"/>
      <c r="V159" s="198"/>
      <c r="W159" s="198"/>
      <c r="X159" s="198"/>
      <c r="Y159" s="751"/>
      <c r="Z159" s="198"/>
      <c r="AA159" s="198"/>
      <c r="AB159" s="752"/>
      <c r="AC159" s="198"/>
      <c r="AD159" s="198"/>
      <c r="AE159" s="198"/>
      <c r="AF159" s="198"/>
      <c r="AG159" s="751"/>
      <c r="AH159" s="198"/>
      <c r="AI159" s="198"/>
      <c r="AJ159" s="198"/>
      <c r="AK159" s="751"/>
      <c r="AL159" s="198"/>
      <c r="AM159" s="198"/>
      <c r="AN159" s="198"/>
      <c r="AO159" s="751"/>
      <c r="AP159" s="198"/>
      <c r="AQ159" s="198"/>
      <c r="AR159" s="198"/>
      <c r="AS159" s="751"/>
      <c r="AT159" s="198"/>
      <c r="AU159" s="198"/>
      <c r="AV159" s="752"/>
      <c r="AW159" s="751"/>
      <c r="AX159" s="198"/>
      <c r="AY159" s="198"/>
      <c r="AZ159" s="752"/>
      <c r="BA159" s="751"/>
      <c r="BB159" s="198"/>
      <c r="BC159" s="198"/>
      <c r="BD159" s="752"/>
      <c r="BE159" s="1119"/>
      <c r="BF159" s="201"/>
      <c r="BG159" s="201"/>
      <c r="BH159" s="201"/>
      <c r="BI159" s="201"/>
      <c r="BJ159" s="201"/>
      <c r="BK159" s="201"/>
      <c r="BL159" s="201"/>
      <c r="BM159" s="201"/>
      <c r="BN159" s="198"/>
      <c r="BO159" s="198"/>
      <c r="BP159" s="201"/>
      <c r="BQ159" s="201"/>
      <c r="BR159" s="201"/>
      <c r="BS159" s="201"/>
      <c r="BT159" s="201"/>
      <c r="BU159" s="201"/>
      <c r="BV159" s="201"/>
      <c r="BW159" s="201"/>
      <c r="BX159" s="201"/>
      <c r="BY159" s="877"/>
      <c r="BZ159" s="36"/>
      <c r="CA159" s="36"/>
      <c r="CB159" s="36"/>
      <c r="CC159" s="36"/>
      <c r="CD159" s="36"/>
      <c r="CE159" s="36"/>
      <c r="CF159" s="36"/>
    </row>
    <row r="160" spans="1:84" ht="11.25" customHeight="1">
      <c r="A160" s="36"/>
      <c r="B160" s="36"/>
      <c r="C160" s="36"/>
      <c r="D160" s="36"/>
      <c r="E160" s="36"/>
      <c r="F160" s="36"/>
      <c r="G160" s="36"/>
      <c r="H160" s="36"/>
      <c r="I160" s="772" t="s">
        <v>541</v>
      </c>
      <c r="J160" s="50"/>
      <c r="K160" s="50"/>
      <c r="L160" s="50"/>
      <c r="M160" s="1932">
        <f t="shared" ref="M160:AF160" si="303">M207</f>
        <v>1.792</v>
      </c>
      <c r="N160" s="1932">
        <f t="shared" si="303"/>
        <v>2.7930000000000001</v>
      </c>
      <c r="O160" s="1932">
        <f t="shared" si="303"/>
        <v>2.69</v>
      </c>
      <c r="P160" s="1932">
        <f t="shared" si="303"/>
        <v>2.7120000000000002</v>
      </c>
      <c r="Q160" s="1932">
        <f t="shared" si="303"/>
        <v>3.617</v>
      </c>
      <c r="R160" s="1932">
        <f t="shared" si="303"/>
        <v>3.5840000000000001</v>
      </c>
      <c r="S160" s="1932">
        <f t="shared" si="303"/>
        <v>4.766</v>
      </c>
      <c r="T160" s="1932">
        <f t="shared" si="303"/>
        <v>5.2670000000000003</v>
      </c>
      <c r="U160" s="1932">
        <f t="shared" si="303"/>
        <v>10.728999999999999</v>
      </c>
      <c r="V160" s="1932">
        <f t="shared" si="303"/>
        <v>5.9630000000000001</v>
      </c>
      <c r="W160" s="1932">
        <f t="shared" si="303"/>
        <v>6.9870000000000001</v>
      </c>
      <c r="X160" s="1932">
        <f t="shared" si="303"/>
        <v>7.8520000000000003</v>
      </c>
      <c r="Y160" s="1932">
        <f t="shared" si="303"/>
        <v>8.7639999999999993</v>
      </c>
      <c r="Z160" s="1932">
        <f t="shared" si="303"/>
        <v>10.148</v>
      </c>
      <c r="AA160" s="1932">
        <f t="shared" si="303"/>
        <v>10.535</v>
      </c>
      <c r="AB160" s="1932">
        <f t="shared" si="303"/>
        <v>13.46</v>
      </c>
      <c r="AC160" s="1932">
        <f t="shared" si="303"/>
        <v>13.17</v>
      </c>
      <c r="AD160" s="1932">
        <f t="shared" si="303"/>
        <v>13.257</v>
      </c>
      <c r="AE160" s="1932">
        <f t="shared" si="303"/>
        <v>15.185</v>
      </c>
      <c r="AF160" s="1932">
        <f t="shared" si="303"/>
        <v>16.661999999999999</v>
      </c>
      <c r="AG160" s="2225">
        <f t="shared" ref="AG160:AN160" si="304">AG207</f>
        <v>19.937000000000001</v>
      </c>
      <c r="AH160" s="1932">
        <f t="shared" si="304"/>
        <v>19.28</v>
      </c>
      <c r="AI160" s="1932">
        <f t="shared" si="304"/>
        <v>20.99</v>
      </c>
      <c r="AJ160" s="1933">
        <f t="shared" si="304"/>
        <v>20.658999999999999</v>
      </c>
      <c r="AK160" s="1932">
        <f t="shared" si="304"/>
        <v>21.768999999999998</v>
      </c>
      <c r="AL160" s="1932">
        <f>AL207</f>
        <v>23.463999999999999</v>
      </c>
      <c r="AM160" s="1932">
        <f>AM207</f>
        <v>24.876000000000001</v>
      </c>
      <c r="AN160" s="1933">
        <f t="shared" si="304"/>
        <v>27.372</v>
      </c>
      <c r="AO160" s="1932">
        <f>AO207</f>
        <v>26.315000000000001</v>
      </c>
      <c r="AP160" s="1932">
        <f>AP207</f>
        <v>25.960999999999999</v>
      </c>
      <c r="AQ160" s="1932">
        <f>AQ207</f>
        <v>26.693999999999999</v>
      </c>
      <c r="AR160" s="1933">
        <f t="shared" ref="AR160" si="305">AR207</f>
        <v>26.702999999999999</v>
      </c>
      <c r="AS160" s="873"/>
      <c r="AT160" s="78"/>
      <c r="AU160" s="78"/>
      <c r="AV160" s="874"/>
      <c r="AW160" s="873"/>
      <c r="AX160" s="78"/>
      <c r="AY160" s="78"/>
      <c r="AZ160" s="874"/>
      <c r="BA160" s="873"/>
      <c r="BB160" s="78"/>
      <c r="BC160" s="78"/>
      <c r="BD160" s="874"/>
      <c r="BE160" s="883"/>
      <c r="BF160" s="78"/>
      <c r="BG160" s="78"/>
      <c r="BH160" s="78"/>
      <c r="BI160" s="78"/>
      <c r="BJ160" s="78"/>
      <c r="BK160" s="1916">
        <f>BK207</f>
        <v>17.234000000000002</v>
      </c>
      <c r="BL160" s="1916">
        <f>BL207</f>
        <v>31.531000000000002</v>
      </c>
      <c r="BM160" s="1916">
        <f t="shared" ref="BM160:BY160" si="306">BM207</f>
        <v>42.906999999999996</v>
      </c>
      <c r="BN160" s="1932">
        <f t="shared" si="306"/>
        <v>58.274000000000001</v>
      </c>
      <c r="BO160" s="1932">
        <f t="shared" si="306"/>
        <v>80.865999999999985</v>
      </c>
      <c r="BP160" s="1932">
        <f t="shared" si="306"/>
        <v>97.480999999999995</v>
      </c>
      <c r="BQ160" s="1932">
        <f t="shared" si="306"/>
        <v>105.673</v>
      </c>
      <c r="BR160" s="1932">
        <f t="shared" si="306"/>
        <v>113.28446275239108</v>
      </c>
      <c r="BS160" s="1932">
        <f t="shared" si="306"/>
        <v>127.880838282678</v>
      </c>
      <c r="BT160" s="1932">
        <f t="shared" si="306"/>
        <v>142.3041221109458</v>
      </c>
      <c r="BU160" s="1932">
        <f t="shared" si="306"/>
        <v>154.170050658712</v>
      </c>
      <c r="BV160" s="1932">
        <f t="shared" si="306"/>
        <v>165.5961531916476</v>
      </c>
      <c r="BW160" s="1932">
        <f t="shared" si="306"/>
        <v>177.09356085123</v>
      </c>
      <c r="BX160" s="1932">
        <f t="shared" si="306"/>
        <v>187.66583889379149</v>
      </c>
      <c r="BY160" s="1933">
        <f t="shared" si="306"/>
        <v>197.31673083848108</v>
      </c>
      <c r="BZ160" s="36"/>
      <c r="CA160" s="36"/>
      <c r="CB160" s="36"/>
      <c r="CC160" s="36"/>
      <c r="CD160" s="36"/>
      <c r="CE160" s="36"/>
      <c r="CF160" s="36"/>
    </row>
    <row r="161" spans="1:102" ht="11.25" customHeight="1">
      <c r="A161" s="36"/>
      <c r="B161" s="36"/>
      <c r="C161" s="36"/>
      <c r="D161" s="36"/>
      <c r="E161" s="36"/>
      <c r="F161" s="36"/>
      <c r="G161" s="36"/>
      <c r="H161" s="36"/>
      <c r="I161" s="1911" t="s">
        <v>522</v>
      </c>
      <c r="J161" s="50"/>
      <c r="K161" s="50"/>
      <c r="L161" s="50"/>
      <c r="M161" s="2088"/>
      <c r="N161" s="2088"/>
      <c r="O161" s="2088"/>
      <c r="P161" s="2088"/>
      <c r="Q161" s="2088">
        <f t="shared" ref="Q161:AR161" si="307">Q160-M160</f>
        <v>1.825</v>
      </c>
      <c r="R161" s="2088">
        <f t="shared" si="307"/>
        <v>0.79099999999999993</v>
      </c>
      <c r="S161" s="2088">
        <f t="shared" si="307"/>
        <v>2.0760000000000001</v>
      </c>
      <c r="T161" s="2088">
        <f t="shared" si="307"/>
        <v>2.5550000000000002</v>
      </c>
      <c r="U161" s="2088">
        <f t="shared" si="307"/>
        <v>7.1119999999999992</v>
      </c>
      <c r="V161" s="2088">
        <f t="shared" si="307"/>
        <v>2.379</v>
      </c>
      <c r="W161" s="2088">
        <f t="shared" si="307"/>
        <v>2.2210000000000001</v>
      </c>
      <c r="X161" s="2088">
        <f t="shared" si="307"/>
        <v>2.585</v>
      </c>
      <c r="Y161" s="2088">
        <f t="shared" si="307"/>
        <v>-1.9649999999999999</v>
      </c>
      <c r="Z161" s="2088">
        <f t="shared" si="307"/>
        <v>4.1849999999999996</v>
      </c>
      <c r="AA161" s="2088">
        <f t="shared" si="307"/>
        <v>3.548</v>
      </c>
      <c r="AB161" s="2088">
        <f t="shared" si="307"/>
        <v>5.6080000000000005</v>
      </c>
      <c r="AC161" s="2088">
        <f t="shared" si="307"/>
        <v>4.4060000000000006</v>
      </c>
      <c r="AD161" s="2088">
        <f t="shared" si="307"/>
        <v>3.109</v>
      </c>
      <c r="AE161" s="2088">
        <f t="shared" si="307"/>
        <v>4.6500000000000004</v>
      </c>
      <c r="AF161" s="2088">
        <f t="shared" si="307"/>
        <v>3.2019999999999982</v>
      </c>
      <c r="AG161" s="2226">
        <f t="shared" si="307"/>
        <v>6.7670000000000012</v>
      </c>
      <c r="AH161" s="2088">
        <f t="shared" si="307"/>
        <v>6.0230000000000015</v>
      </c>
      <c r="AI161" s="2088">
        <f t="shared" si="307"/>
        <v>5.8049999999999979</v>
      </c>
      <c r="AJ161" s="2088">
        <f t="shared" si="307"/>
        <v>3.9969999999999999</v>
      </c>
      <c r="AK161" s="2226">
        <f t="shared" si="307"/>
        <v>1.8319999999999972</v>
      </c>
      <c r="AL161" s="2088">
        <f t="shared" si="307"/>
        <v>4.1839999999999975</v>
      </c>
      <c r="AM161" s="2088">
        <f t="shared" si="307"/>
        <v>3.8860000000000028</v>
      </c>
      <c r="AN161" s="2088">
        <f t="shared" si="307"/>
        <v>6.713000000000001</v>
      </c>
      <c r="AO161" s="2226">
        <f t="shared" si="307"/>
        <v>4.5460000000000029</v>
      </c>
      <c r="AP161" s="2088">
        <f t="shared" si="307"/>
        <v>2.4969999999999999</v>
      </c>
      <c r="AQ161" s="2088">
        <f t="shared" si="307"/>
        <v>1.8179999999999978</v>
      </c>
      <c r="AR161" s="2088">
        <f t="shared" si="307"/>
        <v>-0.66900000000000048</v>
      </c>
      <c r="AS161" s="873"/>
      <c r="AT161" s="78"/>
      <c r="AU161" s="78"/>
      <c r="AV161" s="874"/>
      <c r="AW161" s="873"/>
      <c r="AX161" s="78"/>
      <c r="AY161" s="78"/>
      <c r="AZ161" s="874"/>
      <c r="BA161" s="873"/>
      <c r="BB161" s="78"/>
      <c r="BC161" s="78"/>
      <c r="BD161" s="874"/>
      <c r="BE161" s="883"/>
      <c r="BF161" s="78"/>
      <c r="BG161" s="78"/>
      <c r="BH161" s="78"/>
      <c r="BI161" s="78"/>
      <c r="BJ161" s="78"/>
      <c r="BK161" s="78"/>
      <c r="BL161" s="1916">
        <f t="shared" ref="BL161:BY161" si="308">BL160-BK160</f>
        <v>14.297000000000001</v>
      </c>
      <c r="BM161" s="1916">
        <f t="shared" si="308"/>
        <v>11.375999999999994</v>
      </c>
      <c r="BN161" s="1916">
        <f t="shared" si="308"/>
        <v>15.367000000000004</v>
      </c>
      <c r="BO161" s="1916">
        <f t="shared" si="308"/>
        <v>22.591999999999985</v>
      </c>
      <c r="BP161" s="1916">
        <f t="shared" si="308"/>
        <v>16.615000000000009</v>
      </c>
      <c r="BQ161" s="1916">
        <f t="shared" si="308"/>
        <v>8.1920000000000073</v>
      </c>
      <c r="BR161" s="1916">
        <f t="shared" si="308"/>
        <v>7.6114627523910769</v>
      </c>
      <c r="BS161" s="1916">
        <f t="shared" si="308"/>
        <v>14.59637553028692</v>
      </c>
      <c r="BT161" s="1916">
        <f t="shared" si="308"/>
        <v>14.423283828267799</v>
      </c>
      <c r="BU161" s="1916">
        <f t="shared" si="308"/>
        <v>11.865928547766202</v>
      </c>
      <c r="BV161" s="1916">
        <f t="shared" si="308"/>
        <v>11.426102532935602</v>
      </c>
      <c r="BW161" s="1916">
        <f t="shared" si="308"/>
        <v>11.497407659582393</v>
      </c>
      <c r="BX161" s="1916">
        <f t="shared" si="308"/>
        <v>10.572278042561493</v>
      </c>
      <c r="BY161" s="2216">
        <f t="shared" si="308"/>
        <v>9.6508919446895902</v>
      </c>
      <c r="BZ161" s="36"/>
      <c r="CA161" s="36"/>
      <c r="CB161" s="36"/>
      <c r="CC161" s="36"/>
      <c r="CD161" s="36"/>
      <c r="CE161" s="36"/>
      <c r="CF161" s="36"/>
    </row>
    <row r="162" spans="1:102" ht="11.25" customHeight="1">
      <c r="A162" s="36"/>
      <c r="B162" s="36"/>
      <c r="C162" s="36"/>
      <c r="D162" s="36"/>
      <c r="E162" s="36"/>
      <c r="F162" s="36"/>
      <c r="G162" s="36"/>
      <c r="H162" s="36"/>
      <c r="I162" s="1911"/>
      <c r="J162" s="50"/>
      <c r="K162" s="50"/>
      <c r="L162" s="50"/>
      <c r="M162" s="2088"/>
      <c r="N162" s="2088"/>
      <c r="O162" s="2088"/>
      <c r="P162" s="2088"/>
      <c r="Q162" s="2088"/>
      <c r="R162" s="2088"/>
      <c r="S162" s="2088"/>
      <c r="T162" s="2088"/>
      <c r="U162" s="2088"/>
      <c r="V162" s="2088"/>
      <c r="W162" s="2088"/>
      <c r="X162" s="2088"/>
      <c r="Y162" s="2088"/>
      <c r="Z162" s="2088"/>
      <c r="AA162" s="2088"/>
      <c r="AB162" s="2088"/>
      <c r="AC162" s="2088"/>
      <c r="AD162" s="2088"/>
      <c r="AE162" s="2088"/>
      <c r="AF162" s="2088"/>
      <c r="AG162" s="2226"/>
      <c r="AH162" s="2088"/>
      <c r="AI162" s="2088"/>
      <c r="AJ162" s="2088"/>
      <c r="AK162" s="2226"/>
      <c r="AL162" s="2088"/>
      <c r="AM162" s="2088"/>
      <c r="AN162" s="2227"/>
      <c r="AO162" s="2088"/>
      <c r="AP162" s="2088"/>
      <c r="AQ162" s="2088"/>
      <c r="AR162" s="2227"/>
      <c r="AS162" s="873"/>
      <c r="AT162" s="78"/>
      <c r="AU162" s="78"/>
      <c r="AV162" s="874"/>
      <c r="AW162" s="873"/>
      <c r="AX162" s="78"/>
      <c r="AY162" s="78"/>
      <c r="AZ162" s="874"/>
      <c r="BA162" s="873"/>
      <c r="BB162" s="78"/>
      <c r="BC162" s="78"/>
      <c r="BD162" s="874"/>
      <c r="BE162" s="883"/>
      <c r="BF162" s="78"/>
      <c r="BG162" s="78"/>
      <c r="BH162" s="78"/>
      <c r="BI162" s="78"/>
      <c r="BJ162" s="78"/>
      <c r="BK162" s="78"/>
      <c r="BL162" s="1916"/>
      <c r="BM162" s="1916"/>
      <c r="BN162" s="1916">
        <f>+BN151-BM151</f>
        <v>13.009999999999998</v>
      </c>
      <c r="BO162" s="1916">
        <f>+BO151-BN151</f>
        <v>19.916999999999994</v>
      </c>
      <c r="BP162" s="1916">
        <f>+BP151-BO151</f>
        <v>10.552999999999997</v>
      </c>
      <c r="BQ162" s="1916"/>
      <c r="BR162" s="1916"/>
      <c r="BS162" s="1916"/>
      <c r="BT162" s="1916"/>
      <c r="BU162" s="1916"/>
      <c r="BV162" s="1916"/>
      <c r="BW162" s="1916"/>
      <c r="BX162" s="1916"/>
      <c r="BY162" s="2216"/>
      <c r="BZ162" s="36"/>
      <c r="CA162" s="36"/>
      <c r="CB162" s="36"/>
      <c r="CC162" s="36"/>
      <c r="CD162" s="36"/>
      <c r="CE162" s="36"/>
      <c r="CF162" s="36"/>
    </row>
    <row r="163" spans="1:102" ht="11.25" customHeight="1">
      <c r="A163" s="36"/>
      <c r="B163" s="36"/>
      <c r="C163" s="36"/>
      <c r="D163" s="36"/>
      <c r="E163" s="36"/>
      <c r="F163" s="36"/>
      <c r="G163" s="36"/>
      <c r="H163" s="36"/>
      <c r="I163" s="1914" t="s">
        <v>529</v>
      </c>
      <c r="J163" s="50"/>
      <c r="K163" s="50"/>
      <c r="L163" s="50"/>
      <c r="M163" s="78"/>
      <c r="N163" s="78"/>
      <c r="O163" s="78"/>
      <c r="P163" s="78"/>
      <c r="Q163" s="873"/>
      <c r="R163" s="78"/>
      <c r="S163" s="78"/>
      <c r="T163" s="874"/>
      <c r="U163" s="78"/>
      <c r="V163" s="78"/>
      <c r="W163" s="78"/>
      <c r="X163" s="78"/>
      <c r="Y163" s="873"/>
      <c r="Z163" s="78"/>
      <c r="AA163" s="78"/>
      <c r="AB163" s="874"/>
      <c r="AC163" s="78"/>
      <c r="AD163" s="78"/>
      <c r="AE163" s="78"/>
      <c r="AF163" s="78"/>
      <c r="AG163" s="873"/>
      <c r="AH163" s="1314"/>
      <c r="AI163" s="1314"/>
      <c r="AJ163" s="78"/>
      <c r="AK163" s="873"/>
      <c r="AL163" s="1314"/>
      <c r="AM163" s="1314"/>
      <c r="AN163" s="874"/>
      <c r="AO163" s="78"/>
      <c r="AP163" s="78"/>
      <c r="AQ163" s="78"/>
      <c r="AR163" s="874"/>
      <c r="AS163" s="873"/>
      <c r="AT163" s="78"/>
      <c r="AU163" s="78"/>
      <c r="AV163" s="874"/>
      <c r="AW163" s="873"/>
      <c r="AX163" s="78"/>
      <c r="AY163" s="78"/>
      <c r="AZ163" s="874"/>
      <c r="BA163" s="873"/>
      <c r="BB163" s="78"/>
      <c r="BC163" s="78"/>
      <c r="BD163" s="874"/>
      <c r="BE163" s="883"/>
      <c r="BF163" s="78"/>
      <c r="BG163" s="78"/>
      <c r="BH163" s="78"/>
      <c r="BI163" s="78"/>
      <c r="BJ163" s="78"/>
      <c r="BK163" s="78"/>
      <c r="BL163" s="78"/>
      <c r="BM163" s="78"/>
      <c r="BN163" s="2140">
        <f>+BN168/BN162</f>
        <v>0.23827824750192164</v>
      </c>
      <c r="BO163" s="2140">
        <f>+BO168/BO162</f>
        <v>0.19581262238288905</v>
      </c>
      <c r="BP163" s="2140">
        <f>+BP168/BP162</f>
        <v>0.53065479010707861</v>
      </c>
      <c r="BQ163" s="2140"/>
      <c r="BR163" s="78"/>
      <c r="BS163" s="78"/>
      <c r="BT163" s="78"/>
      <c r="BU163" s="78"/>
      <c r="BV163" s="78"/>
      <c r="BW163" s="78"/>
      <c r="BX163" s="78"/>
      <c r="BY163" s="874"/>
      <c r="BZ163" s="36"/>
      <c r="CA163" s="36"/>
      <c r="CB163" s="36"/>
      <c r="CC163" s="36"/>
      <c r="CD163" s="36"/>
      <c r="CE163" s="36"/>
      <c r="CF163" s="36"/>
    </row>
    <row r="164" spans="1:102" ht="11.25" hidden="1" customHeight="1" outlineLevel="1">
      <c r="A164" s="36"/>
      <c r="B164" s="36"/>
      <c r="C164" s="36"/>
      <c r="D164" s="36"/>
      <c r="E164" s="36"/>
      <c r="F164" s="36"/>
      <c r="G164" s="36"/>
      <c r="H164" s="36"/>
      <c r="I164" s="1274" t="s">
        <v>534</v>
      </c>
      <c r="J164" s="50"/>
      <c r="K164" s="50"/>
      <c r="L164" s="50"/>
      <c r="M164" s="78"/>
      <c r="N164" s="78"/>
      <c r="O164" s="78"/>
      <c r="P164" s="78"/>
      <c r="Q164" s="873"/>
      <c r="R164" s="78"/>
      <c r="S164" s="78"/>
      <c r="T164" s="874"/>
      <c r="U164" s="78"/>
      <c r="V164" s="78"/>
      <c r="W164" s="78"/>
      <c r="X164" s="78"/>
      <c r="Y164" s="873"/>
      <c r="Z164" s="78"/>
      <c r="AA164" s="78"/>
      <c r="AB164" s="874"/>
      <c r="AC164" s="78"/>
      <c r="AD164" s="78"/>
      <c r="AE164" s="78"/>
      <c r="AF164" s="78"/>
      <c r="AG164" s="912">
        <f>2.6-AG165</f>
        <v>2</v>
      </c>
      <c r="AH164" s="901">
        <f>2.7-AH165</f>
        <v>1.9000000000000001</v>
      </c>
      <c r="AI164" s="901">
        <f>2.6-AI165</f>
        <v>1.8</v>
      </c>
      <c r="AJ164" s="1743">
        <f>$BO164-SUM(AG164:AI164)</f>
        <v>3.3999999999999995</v>
      </c>
      <c r="AK164" s="2317">
        <f>2.4-AK165</f>
        <v>1.5999999999999999</v>
      </c>
      <c r="AL164" s="901">
        <f>3.2-AL165</f>
        <v>1.7000000000000002</v>
      </c>
      <c r="AM164" s="901">
        <f>3.2-AM165</f>
        <v>1.7000000000000002</v>
      </c>
      <c r="AN164" s="2003">
        <f t="shared" ref="AN164:AN169" si="309">$BP164-SUM(AK164:AM164)</f>
        <v>1</v>
      </c>
      <c r="AO164" s="2317">
        <f>2.1-AO165</f>
        <v>1.2000000000000002</v>
      </c>
      <c r="AP164" s="901">
        <f>2.3-AP165</f>
        <v>1.4999999999999998</v>
      </c>
      <c r="AQ164" s="901">
        <f>1.1-AQ165</f>
        <v>1.1000000000000001</v>
      </c>
      <c r="AR164" s="874"/>
      <c r="AS164" s="873"/>
      <c r="AT164" s="78">
        <f>BR169</f>
        <v>-3.6402071700547012</v>
      </c>
      <c r="AU164" s="78">
        <f>BS169</f>
        <v>12.148982491245743</v>
      </c>
      <c r="AV164" s="874"/>
      <c r="AW164" s="873"/>
      <c r="AX164" s="78"/>
      <c r="AY164" s="78"/>
      <c r="AZ164" s="874"/>
      <c r="BA164" s="873"/>
      <c r="BB164" s="78"/>
      <c r="BC164" s="78"/>
      <c r="BD164" s="874"/>
      <c r="BE164" s="883"/>
      <c r="BF164" s="78"/>
      <c r="BG164" s="78"/>
      <c r="BH164" s="78"/>
      <c r="BI164" s="78"/>
      <c r="BJ164" s="78"/>
      <c r="BK164" s="78"/>
      <c r="BL164" s="1743">
        <f>9.2-BL165</f>
        <v>3.5999999999999996</v>
      </c>
      <c r="BM164" s="1743">
        <f>6.5-BM165</f>
        <v>5.3</v>
      </c>
      <c r="BN164" s="1743">
        <f>8.3-BN165</f>
        <v>6.0000000000000009</v>
      </c>
      <c r="BO164" s="1743">
        <f>11.7-BO165</f>
        <v>9.1</v>
      </c>
      <c r="BP164" s="1743">
        <f>12.1-BP165</f>
        <v>6</v>
      </c>
      <c r="BQ164" s="1433">
        <f>+BQ177*BQ178/1000000</f>
        <v>3.6206896551724137</v>
      </c>
      <c r="BR164" s="1433">
        <f>+BR177*BR178/1000000</f>
        <v>3.7112068965517242</v>
      </c>
      <c r="BS164" s="1433">
        <f t="shared" ref="BS164:BY164" si="310">+BS177*BS178/1000000</f>
        <v>-10.270765086206895</v>
      </c>
      <c r="BT164" s="1433">
        <f t="shared" si="310"/>
        <v>2.3394520474137925</v>
      </c>
      <c r="BU164" s="1433">
        <f t="shared" si="310"/>
        <v>1.9982819571659478</v>
      </c>
      <c r="BV164" s="1433">
        <f t="shared" si="310"/>
        <v>1.6385912048760769</v>
      </c>
      <c r="BW164" s="1433">
        <f t="shared" si="310"/>
        <v>1.2596669887484842</v>
      </c>
      <c r="BX164" s="1433">
        <f t="shared" si="310"/>
        <v>1.2911586634671961</v>
      </c>
      <c r="BY164" s="1460">
        <f t="shared" si="310"/>
        <v>1.3234376300538757</v>
      </c>
      <c r="BZ164" s="36"/>
      <c r="CA164" s="36"/>
      <c r="CB164" s="36"/>
      <c r="CC164" s="36"/>
      <c r="CD164" s="36"/>
      <c r="CE164" s="36"/>
      <c r="CF164" s="36"/>
      <c r="CT164" s="2659" t="s">
        <v>670</v>
      </c>
      <c r="CU164" s="2659" t="s">
        <v>666</v>
      </c>
      <c r="CV164" s="2659" t="s">
        <v>667</v>
      </c>
      <c r="CW164" s="2659" t="s">
        <v>668</v>
      </c>
      <c r="CX164" s="2659" t="s">
        <v>669</v>
      </c>
    </row>
    <row r="165" spans="1:102" ht="11.25" hidden="1" customHeight="1" outlineLevel="1">
      <c r="A165" s="36"/>
      <c r="B165" s="36"/>
      <c r="C165" s="36"/>
      <c r="D165" s="36"/>
      <c r="E165" s="36"/>
      <c r="F165" s="36"/>
      <c r="G165" s="36"/>
      <c r="H165" s="36"/>
      <c r="I165" s="1274" t="s">
        <v>525</v>
      </c>
      <c r="J165" s="50"/>
      <c r="K165" s="50"/>
      <c r="L165" s="50"/>
      <c r="M165" s="78"/>
      <c r="N165" s="78"/>
      <c r="O165" s="78"/>
      <c r="P165" s="78"/>
      <c r="Q165" s="873"/>
      <c r="R165" s="78"/>
      <c r="S165" s="78"/>
      <c r="T165" s="874"/>
      <c r="U165" s="78"/>
      <c r="V165" s="78"/>
      <c r="W165" s="78"/>
      <c r="X165" s="78"/>
      <c r="Y165" s="873"/>
      <c r="Z165" s="78"/>
      <c r="AA165" s="78"/>
      <c r="AB165" s="874"/>
      <c r="AC165" s="78"/>
      <c r="AD165" s="78"/>
      <c r="AE165" s="78"/>
      <c r="AF165" s="78"/>
      <c r="AG165" s="2313">
        <v>0.6</v>
      </c>
      <c r="AH165" s="1202">
        <v>0.8</v>
      </c>
      <c r="AI165" s="1202">
        <v>0.8</v>
      </c>
      <c r="AJ165" s="1743">
        <f>$BO165-SUM(AG165:AI165)</f>
        <v>0.39999999999999991</v>
      </c>
      <c r="AK165" s="2313">
        <v>0.8</v>
      </c>
      <c r="AL165" s="1202">
        <v>1.5</v>
      </c>
      <c r="AM165" s="1202">
        <v>1.5</v>
      </c>
      <c r="AN165" s="2003">
        <f t="shared" si="309"/>
        <v>2.2999999999999998</v>
      </c>
      <c r="AO165" s="2313">
        <v>0.9</v>
      </c>
      <c r="AP165" s="1202">
        <v>0.8</v>
      </c>
      <c r="AQ165" s="1202">
        <v>0</v>
      </c>
      <c r="AR165" s="2314"/>
      <c r="AS165" s="2315"/>
      <c r="AT165" s="1737"/>
      <c r="AU165" s="1737"/>
      <c r="AV165" s="2316"/>
      <c r="AW165" s="2315"/>
      <c r="AX165" s="1737"/>
      <c r="AY165" s="1737"/>
      <c r="AZ165" s="2316"/>
      <c r="BA165" s="2315"/>
      <c r="BB165" s="1737"/>
      <c r="BC165" s="1737"/>
      <c r="BD165" s="2316"/>
      <c r="BE165" s="2582"/>
      <c r="BF165" s="1737"/>
      <c r="BG165" s="1737"/>
      <c r="BH165" s="1737"/>
      <c r="BI165" s="1737"/>
      <c r="BJ165" s="1737"/>
      <c r="BK165" s="1737"/>
      <c r="BL165" s="2319">
        <v>5.6</v>
      </c>
      <c r="BM165" s="2319">
        <v>1.2</v>
      </c>
      <c r="BN165" s="2319">
        <v>2.2999999999999998</v>
      </c>
      <c r="BO165" s="1915">
        <v>2.6</v>
      </c>
      <c r="BP165" s="1915">
        <v>6.1</v>
      </c>
      <c r="BQ165" s="1950">
        <f>BQ215-BP215</f>
        <v>0.63100000000000023</v>
      </c>
      <c r="BR165" s="1950">
        <f t="shared" ref="BR165:BY165" si="311">BR215-BQ215</f>
        <v>0.61146275239107695</v>
      </c>
      <c r="BS165" s="1950">
        <f t="shared" si="311"/>
        <v>2.5963755302869345</v>
      </c>
      <c r="BT165" s="1950">
        <f t="shared" si="311"/>
        <v>2.4232838282677989</v>
      </c>
      <c r="BU165" s="1950">
        <f t="shared" si="311"/>
        <v>1.865928547766206</v>
      </c>
      <c r="BV165" s="1950">
        <f t="shared" si="311"/>
        <v>1.4261025329356052</v>
      </c>
      <c r="BW165" s="1950">
        <f t="shared" si="311"/>
        <v>1.4974076595823789</v>
      </c>
      <c r="BX165" s="1950">
        <f t="shared" si="311"/>
        <v>1.5722780425614999</v>
      </c>
      <c r="BY165" s="2217">
        <f t="shared" si="311"/>
        <v>1.650891944689576</v>
      </c>
      <c r="BZ165" s="36"/>
      <c r="CA165" s="36"/>
      <c r="CB165" s="36"/>
      <c r="CC165" s="36"/>
      <c r="CD165" s="36"/>
      <c r="CE165" s="36"/>
      <c r="CF165" s="36"/>
      <c r="CT165" s="2156">
        <f>AK168</f>
        <v>-0.4</v>
      </c>
      <c r="CU165" s="2156">
        <f>AL168</f>
        <v>1.5</v>
      </c>
      <c r="CV165" s="2156">
        <f>AM168</f>
        <v>1.5</v>
      </c>
      <c r="CW165" s="2156">
        <f>AN168</f>
        <v>2.9999999999999996</v>
      </c>
      <c r="CX165" s="2156">
        <f>AO168</f>
        <v>2</v>
      </c>
    </row>
    <row r="166" spans="1:102" ht="11.25" hidden="1" customHeight="1" outlineLevel="1">
      <c r="A166" s="36"/>
      <c r="B166" s="36"/>
      <c r="C166" s="36"/>
      <c r="D166" s="36"/>
      <c r="E166" s="36"/>
      <c r="F166" s="36"/>
      <c r="G166" s="36"/>
      <c r="H166" s="36"/>
      <c r="I166" s="1274" t="s">
        <v>538</v>
      </c>
      <c r="J166" s="50"/>
      <c r="K166" s="50"/>
      <c r="L166" s="50"/>
      <c r="M166" s="78"/>
      <c r="N166" s="78"/>
      <c r="O166" s="78"/>
      <c r="P166" s="78"/>
      <c r="Q166" s="873"/>
      <c r="R166" s="78"/>
      <c r="S166" s="78"/>
      <c r="T166" s="874"/>
      <c r="U166" s="78"/>
      <c r="V166" s="78"/>
      <c r="W166" s="78"/>
      <c r="X166" s="78"/>
      <c r="Y166" s="873"/>
      <c r="Z166" s="78"/>
      <c r="AA166" s="78"/>
      <c r="AB166" s="874"/>
      <c r="AC166" s="78"/>
      <c r="AD166" s="78"/>
      <c r="AE166" s="78"/>
      <c r="AF166" s="78"/>
      <c r="AG166" s="2313">
        <v>1.7</v>
      </c>
      <c r="AH166" s="1202">
        <v>1.1000000000000001</v>
      </c>
      <c r="AI166" s="1202">
        <v>1.4</v>
      </c>
      <c r="AJ166" s="1743">
        <f>$BO166-SUM(AG166:AI166)</f>
        <v>0.50000000000000089</v>
      </c>
      <c r="AK166" s="2313">
        <v>-0.5</v>
      </c>
      <c r="AL166" s="1202">
        <v>-0.7</v>
      </c>
      <c r="AM166" s="1202">
        <v>-0.7</v>
      </c>
      <c r="AN166" s="2003">
        <f t="shared" si="309"/>
        <v>-0.70000000000000018</v>
      </c>
      <c r="AO166" s="2313">
        <v>0</v>
      </c>
      <c r="AP166" s="1202">
        <v>-0.7</v>
      </c>
      <c r="AQ166" s="1202">
        <v>-0.7</v>
      </c>
      <c r="AR166" s="2314"/>
      <c r="AS166" s="2315"/>
      <c r="AT166" s="1737"/>
      <c r="AU166" s="1737"/>
      <c r="AV166" s="2316"/>
      <c r="AW166" s="2315"/>
      <c r="AX166" s="1737"/>
      <c r="AY166" s="1737"/>
      <c r="AZ166" s="2316"/>
      <c r="BA166" s="2315"/>
      <c r="BB166" s="1737"/>
      <c r="BC166" s="1737"/>
      <c r="BD166" s="2316"/>
      <c r="BE166" s="2582"/>
      <c r="BF166" s="1737"/>
      <c r="BG166" s="1737"/>
      <c r="BH166" s="1737"/>
      <c r="BI166" s="1737"/>
      <c r="BJ166" s="1737"/>
      <c r="BK166" s="1737"/>
      <c r="BL166" s="2319">
        <v>1.7</v>
      </c>
      <c r="BM166" s="2319">
        <v>2.4</v>
      </c>
      <c r="BN166" s="2319">
        <v>2.4</v>
      </c>
      <c r="BO166" s="1915">
        <v>4.7</v>
      </c>
      <c r="BP166" s="1915">
        <v>-2.6</v>
      </c>
      <c r="BQ166" s="901">
        <f>+BQ171*BQ173</f>
        <v>0</v>
      </c>
      <c r="BR166" s="901">
        <f t="shared" ref="BR166:BY166" si="312">+BR171*BR173</f>
        <v>0.28296750000000004</v>
      </c>
      <c r="BS166" s="901">
        <f t="shared" si="312"/>
        <v>0.78200000000000047</v>
      </c>
      <c r="BT166" s="901">
        <f t="shared" si="312"/>
        <v>1.0814999999999986</v>
      </c>
      <c r="BU166" s="1275">
        <f t="shared" si="312"/>
        <v>1.4000000000000001</v>
      </c>
      <c r="BV166" s="1275">
        <f t="shared" si="312"/>
        <v>1.7125000000000001</v>
      </c>
      <c r="BW166" s="1275">
        <f t="shared" si="312"/>
        <v>1.9950000000000001</v>
      </c>
      <c r="BX166" s="1275">
        <f t="shared" si="312"/>
        <v>2.2575000000000003</v>
      </c>
      <c r="BY166" s="2123">
        <f t="shared" si="312"/>
        <v>2.52</v>
      </c>
      <c r="BZ166" s="36"/>
      <c r="CA166" s="36"/>
      <c r="CB166" s="36"/>
      <c r="CC166" s="36"/>
      <c r="CD166" s="36"/>
      <c r="CE166" s="36"/>
      <c r="CF166" s="36"/>
    </row>
    <row r="167" spans="1:102" ht="11.25" hidden="1" customHeight="1" outlineLevel="1">
      <c r="A167" s="36"/>
      <c r="B167" s="36"/>
      <c r="C167" s="36"/>
      <c r="D167" s="36"/>
      <c r="E167" s="36"/>
      <c r="F167" s="36"/>
      <c r="G167" s="36"/>
      <c r="H167" s="36"/>
      <c r="I167" s="1274" t="s">
        <v>539</v>
      </c>
      <c r="J167" s="50"/>
      <c r="K167" s="50"/>
      <c r="L167" s="50"/>
      <c r="M167" s="78"/>
      <c r="N167" s="78"/>
      <c r="O167" s="78"/>
      <c r="P167" s="78"/>
      <c r="Q167" s="873"/>
      <c r="R167" s="78"/>
      <c r="S167" s="78"/>
      <c r="T167" s="874"/>
      <c r="U167" s="78"/>
      <c r="V167" s="78"/>
      <c r="W167" s="78"/>
      <c r="X167" s="78"/>
      <c r="Y167" s="873"/>
      <c r="Z167" s="78"/>
      <c r="AA167" s="78"/>
      <c r="AB167" s="874"/>
      <c r="AC167" s="78"/>
      <c r="AD167" s="78"/>
      <c r="AE167" s="78"/>
      <c r="AF167" s="78"/>
      <c r="AG167" s="2313">
        <v>0.6</v>
      </c>
      <c r="AH167" s="1202">
        <v>1</v>
      </c>
      <c r="AI167" s="1202">
        <v>1.1000000000000001</v>
      </c>
      <c r="AJ167" s="1743">
        <f>$BO167-SUM(AG167:AI167)</f>
        <v>-0.40000000000000036</v>
      </c>
      <c r="AK167" s="2313">
        <v>0.3</v>
      </c>
      <c r="AL167" s="1202">
        <v>0.2</v>
      </c>
      <c r="AM167" s="1202">
        <v>0.2</v>
      </c>
      <c r="AN167" s="2003">
        <f t="shared" si="309"/>
        <v>0.8</v>
      </c>
      <c r="AO167" s="2313">
        <v>0.02</v>
      </c>
      <c r="AP167" s="1202">
        <v>0.2</v>
      </c>
      <c r="AQ167" s="1202">
        <v>0.2</v>
      </c>
      <c r="AR167" s="2314"/>
      <c r="AS167" s="2315"/>
      <c r="AT167" s="1737"/>
      <c r="AU167" s="1737"/>
      <c r="AV167" s="2316"/>
      <c r="AW167" s="2315"/>
      <c r="AX167" s="1737"/>
      <c r="AY167" s="1737"/>
      <c r="AZ167" s="2316"/>
      <c r="BA167" s="2315"/>
      <c r="BB167" s="1737"/>
      <c r="BC167" s="1737"/>
      <c r="BD167" s="2316"/>
      <c r="BE167" s="2582"/>
      <c r="BF167" s="1737"/>
      <c r="BG167" s="1737"/>
      <c r="BH167" s="1737"/>
      <c r="BI167" s="1737"/>
      <c r="BJ167" s="1737"/>
      <c r="BK167" s="1737"/>
      <c r="BL167" s="2319">
        <v>0.6</v>
      </c>
      <c r="BM167" s="2319">
        <v>1.7</v>
      </c>
      <c r="BN167" s="2319">
        <v>1.6</v>
      </c>
      <c r="BO167" s="1915">
        <v>2.2999999999999998</v>
      </c>
      <c r="BP167" s="1915">
        <v>1.5</v>
      </c>
      <c r="BQ167" s="901">
        <f t="shared" ref="BQ167:BY167" si="313">+BQ171*BQ174</f>
        <v>1.0321398988521839</v>
      </c>
      <c r="BR167" s="901">
        <f t="shared" si="313"/>
        <v>0.87349577350297669</v>
      </c>
      <c r="BS167" s="901">
        <f t="shared" si="313"/>
        <v>1.2069825949611319</v>
      </c>
      <c r="BT167" s="901">
        <f t="shared" si="313"/>
        <v>1.1128317787301463</v>
      </c>
      <c r="BU167" s="1275">
        <f t="shared" si="313"/>
        <v>1.080419202650629</v>
      </c>
      <c r="BV167" s="1275">
        <f t="shared" si="313"/>
        <v>1.0572673625938296</v>
      </c>
      <c r="BW167" s="1275">
        <f t="shared" si="313"/>
        <v>1.0263982425180975</v>
      </c>
      <c r="BX167" s="1275">
        <f t="shared" si="313"/>
        <v>0.99552912244236513</v>
      </c>
      <c r="BY167" s="2123">
        <f t="shared" si="313"/>
        <v>0.97237728238556598</v>
      </c>
      <c r="BZ167" s="36"/>
      <c r="CA167" s="36"/>
      <c r="CB167" s="36"/>
      <c r="CC167" s="36"/>
      <c r="CD167" s="36"/>
      <c r="CE167" s="36"/>
      <c r="CF167" s="36"/>
    </row>
    <row r="168" spans="1:102" ht="11.25" hidden="1" customHeight="1" outlineLevel="1">
      <c r="A168" s="36"/>
      <c r="B168" s="36"/>
      <c r="C168" s="36"/>
      <c r="D168" s="36"/>
      <c r="E168" s="36"/>
      <c r="F168" s="36"/>
      <c r="G168" s="36"/>
      <c r="H168" s="36"/>
      <c r="I168" s="1274" t="s">
        <v>540</v>
      </c>
      <c r="J168" s="50"/>
      <c r="K168" s="50"/>
      <c r="L168" s="50"/>
      <c r="M168" s="78"/>
      <c r="N168" s="78"/>
      <c r="O168" s="78"/>
      <c r="P168" s="78"/>
      <c r="Q168" s="873"/>
      <c r="R168" s="78"/>
      <c r="S168" s="78"/>
      <c r="T168" s="874"/>
      <c r="U168" s="78"/>
      <c r="V168" s="78"/>
      <c r="W168" s="78"/>
      <c r="X168" s="78"/>
      <c r="Y168" s="873"/>
      <c r="Z168" s="78"/>
      <c r="AA168" s="78"/>
      <c r="AB168" s="874"/>
      <c r="AC168" s="78"/>
      <c r="AD168" s="78"/>
      <c r="AE168" s="78"/>
      <c r="AF168" s="78"/>
      <c r="AG168" s="2313">
        <v>1.9</v>
      </c>
      <c r="AH168" s="1202">
        <v>1.2</v>
      </c>
      <c r="AI168" s="1202">
        <v>0.6</v>
      </c>
      <c r="AJ168" s="1743">
        <f>$BO168-SUM(AG168:AI168)</f>
        <v>0.20000000000000018</v>
      </c>
      <c r="AK168" s="2313">
        <v>-0.4</v>
      </c>
      <c r="AL168" s="1202">
        <v>1.5</v>
      </c>
      <c r="AM168" s="1202">
        <v>1.5</v>
      </c>
      <c r="AN168" s="2003">
        <f t="shared" si="309"/>
        <v>2.9999999999999996</v>
      </c>
      <c r="AO168" s="2313">
        <v>2</v>
      </c>
      <c r="AP168" s="1202">
        <v>-0.2</v>
      </c>
      <c r="AQ168" s="1202">
        <v>-0.1</v>
      </c>
      <c r="AR168" s="2314"/>
      <c r="AS168" s="2315"/>
      <c r="AT168" s="1737"/>
      <c r="AU168" s="1737"/>
      <c r="AV168" s="2316"/>
      <c r="AW168" s="2315"/>
      <c r="AX168" s="1737"/>
      <c r="AY168" s="1737"/>
      <c r="AZ168" s="2316"/>
      <c r="BA168" s="2315"/>
      <c r="BB168" s="1737"/>
      <c r="BC168" s="1737"/>
      <c r="BD168" s="2316"/>
      <c r="BE168" s="2582"/>
      <c r="BF168" s="1737"/>
      <c r="BG168" s="1737"/>
      <c r="BH168" s="1737"/>
      <c r="BI168" s="1737"/>
      <c r="BJ168" s="1737"/>
      <c r="BK168" s="1737"/>
      <c r="BL168" s="2319">
        <v>1.3</v>
      </c>
      <c r="BM168" s="2319">
        <v>1.3</v>
      </c>
      <c r="BN168" s="2319">
        <v>3.1</v>
      </c>
      <c r="BO168" s="1915">
        <v>3.9</v>
      </c>
      <c r="BP168" s="1915">
        <v>5.6</v>
      </c>
      <c r="BQ168" s="901">
        <f>+BQ171*BQ172</f>
        <v>6.6872000000000016</v>
      </c>
      <c r="BR168" s="901">
        <f t="shared" ref="BR168:BY168" si="314">+BR171*BR172</f>
        <v>5.7725370000000007</v>
      </c>
      <c r="BS168" s="901">
        <f t="shared" si="314"/>
        <v>8.1328000000000049</v>
      </c>
      <c r="BT168" s="901">
        <f t="shared" si="314"/>
        <v>7.642599999999991</v>
      </c>
      <c r="BU168" s="1275">
        <f t="shared" si="314"/>
        <v>7.5600000000000005</v>
      </c>
      <c r="BV168" s="1275">
        <f t="shared" si="314"/>
        <v>7.535000000000001</v>
      </c>
      <c r="BW168" s="1275">
        <f t="shared" si="314"/>
        <v>7.3150000000000013</v>
      </c>
      <c r="BX168" s="1275">
        <f t="shared" si="314"/>
        <v>7.0950000000000006</v>
      </c>
      <c r="BY168" s="2123">
        <f t="shared" si="314"/>
        <v>6.9300000000000006</v>
      </c>
      <c r="BZ168" s="36"/>
      <c r="CA168" s="36"/>
      <c r="CB168" s="36"/>
      <c r="CC168" s="36"/>
      <c r="CD168" s="36"/>
      <c r="CE168" s="36"/>
      <c r="CF168" s="36"/>
    </row>
    <row r="169" spans="1:102" s="90" customFormat="1" ht="11.25" hidden="1" customHeight="1" outlineLevel="1">
      <c r="I169" s="2453" t="s">
        <v>458</v>
      </c>
      <c r="J169" s="413"/>
      <c r="K169" s="413"/>
      <c r="L169" s="413"/>
      <c r="M169" s="1238"/>
      <c r="N169" s="1238"/>
      <c r="O169" s="1238"/>
      <c r="P169" s="1238"/>
      <c r="Q169" s="1269"/>
      <c r="R169" s="1238"/>
      <c r="S169" s="1238"/>
      <c r="T169" s="1270"/>
      <c r="U169" s="1238"/>
      <c r="V169" s="1238"/>
      <c r="W169" s="1238"/>
      <c r="X169" s="1238"/>
      <c r="Y169" s="1269"/>
      <c r="Z169" s="1238"/>
      <c r="AA169" s="1238"/>
      <c r="AB169" s="1270"/>
      <c r="AC169" s="1238"/>
      <c r="AD169" s="1238"/>
      <c r="AE169" s="1238"/>
      <c r="AF169" s="1238"/>
      <c r="AG169" s="1936">
        <f t="shared" ref="AG169:AL169" si="315">+AG161-SUM(AG164:AG168)</f>
        <v>-3.2999999999997698E-2</v>
      </c>
      <c r="AH169" s="1251">
        <f t="shared" si="315"/>
        <v>2.3000000000000576E-2</v>
      </c>
      <c r="AI169" s="1251">
        <f t="shared" si="315"/>
        <v>0.10499999999999865</v>
      </c>
      <c r="AJ169" s="1251">
        <f t="shared" si="315"/>
        <v>-0.10300000000000065</v>
      </c>
      <c r="AK169" s="1936">
        <f t="shared" si="315"/>
        <v>3.1999999999997364E-2</v>
      </c>
      <c r="AL169" s="1251">
        <f t="shared" si="315"/>
        <v>-1.6000000000002679E-2</v>
      </c>
      <c r="AM169" s="1251">
        <f>+AM161-SUM(AM164:AM168)</f>
        <v>-0.31399999999999739</v>
      </c>
      <c r="AN169" s="1258">
        <f t="shared" si="309"/>
        <v>0.31300000000001038</v>
      </c>
      <c r="AO169" s="1936">
        <f>+AO161-SUM(AO164:AO168)</f>
        <v>0.42600000000000282</v>
      </c>
      <c r="AP169" s="1251">
        <f t="shared" ref="AP169:AQ169" si="316">+AP161-SUM(AP164:AP168)</f>
        <v>0.89700000000000002</v>
      </c>
      <c r="AQ169" s="1251">
        <f t="shared" si="316"/>
        <v>1.3179999999999978</v>
      </c>
      <c r="AR169" s="1258"/>
      <c r="AS169" s="1936"/>
      <c r="AT169" s="1251"/>
      <c r="AU169" s="1251"/>
      <c r="AV169" s="1258"/>
      <c r="AW169" s="1936"/>
      <c r="AX169" s="1251"/>
      <c r="AY169" s="1251"/>
      <c r="AZ169" s="1258"/>
      <c r="BA169" s="1936"/>
      <c r="BB169" s="1251"/>
      <c r="BC169" s="1251"/>
      <c r="BD169" s="1258"/>
      <c r="BE169" s="1126"/>
      <c r="BF169" s="1251"/>
      <c r="BG169" s="1251"/>
      <c r="BH169" s="1251"/>
      <c r="BI169" s="1251"/>
      <c r="BJ169" s="1251"/>
      <c r="BK169" s="1251"/>
      <c r="BL169" s="2340">
        <f>+BL161-SUM(BL164:BL168)</f>
        <v>1.4970000000000017</v>
      </c>
      <c r="BM169" s="2340">
        <f>+BM161-SUM(BM164:BM168)</f>
        <v>-0.52400000000000624</v>
      </c>
      <c r="BN169" s="2340">
        <f>+BN161-SUM(BN164:BN168)</f>
        <v>-3.2999999999995921E-2</v>
      </c>
      <c r="BO169" s="1432">
        <f t="shared" ref="BO169:BY169" si="317">+BO161-SUM(BO164:BO168)</f>
        <v>-8.0000000000133298E-3</v>
      </c>
      <c r="BP169" s="1432">
        <f t="shared" si="317"/>
        <v>1.5000000000007674E-2</v>
      </c>
      <c r="BQ169" s="1432">
        <f>+BQ161-SUM(BQ164:BQ168)</f>
        <v>-3.7790295540245928</v>
      </c>
      <c r="BR169" s="1432">
        <f t="shared" si="317"/>
        <v>-3.6402071700547012</v>
      </c>
      <c r="BS169" s="1432">
        <f t="shared" si="317"/>
        <v>12.148982491245743</v>
      </c>
      <c r="BT169" s="1432">
        <f t="shared" si="317"/>
        <v>-0.17638382614392789</v>
      </c>
      <c r="BU169" s="1432">
        <f t="shared" si="317"/>
        <v>-2.038701159816581</v>
      </c>
      <c r="BV169" s="1432">
        <f t="shared" si="317"/>
        <v>-1.943358567469911</v>
      </c>
      <c r="BW169" s="1432">
        <f t="shared" si="317"/>
        <v>-1.596065231266568</v>
      </c>
      <c r="BX169" s="1432">
        <f t="shared" si="317"/>
        <v>-2.63918778590957</v>
      </c>
      <c r="BY169" s="1462">
        <f t="shared" si="317"/>
        <v>-3.7458149124394282</v>
      </c>
    </row>
    <row r="170" spans="1:102" ht="11.25" hidden="1" customHeight="1" outlineLevel="1">
      <c r="A170" s="36"/>
      <c r="B170" s="36"/>
      <c r="C170" s="36"/>
      <c r="D170" s="36"/>
      <c r="E170" s="36"/>
      <c r="F170" s="36"/>
      <c r="G170" s="36"/>
      <c r="H170" s="36"/>
      <c r="I170" s="633"/>
      <c r="J170" s="54"/>
      <c r="K170" s="54"/>
      <c r="L170" s="54"/>
      <c r="M170" s="54"/>
      <c r="N170" s="54"/>
      <c r="O170" s="54"/>
      <c r="P170" s="54"/>
      <c r="Q170" s="633"/>
      <c r="R170" s="54"/>
      <c r="S170" s="54"/>
      <c r="T170" s="619"/>
      <c r="U170" s="54"/>
      <c r="V170" s="54"/>
      <c r="W170" s="54"/>
      <c r="X170" s="54"/>
      <c r="Y170" s="633"/>
      <c r="Z170" s="54"/>
      <c r="AA170" s="54"/>
      <c r="AB170" s="619"/>
      <c r="AC170" s="54"/>
      <c r="AD170" s="54"/>
      <c r="AE170" s="54"/>
      <c r="AF170" s="54"/>
      <c r="AG170" s="633"/>
      <c r="AH170" s="54"/>
      <c r="AI170" s="54"/>
      <c r="AJ170" s="54"/>
      <c r="AK170" s="633"/>
      <c r="AL170" s="54"/>
      <c r="AM170" s="54"/>
      <c r="AN170" s="619"/>
      <c r="AO170" s="54"/>
      <c r="AP170" s="54"/>
      <c r="AQ170" s="54"/>
      <c r="AR170" s="619"/>
      <c r="AS170" s="633"/>
      <c r="AT170" s="54"/>
      <c r="AU170" s="54"/>
      <c r="AV170" s="619"/>
      <c r="AW170" s="633"/>
      <c r="AX170" s="54"/>
      <c r="AY170" s="54"/>
      <c r="AZ170" s="619"/>
      <c r="BA170" s="633"/>
      <c r="BB170" s="54"/>
      <c r="BC170" s="54"/>
      <c r="BD170" s="619"/>
      <c r="BE170" s="883"/>
      <c r="BF170" s="54"/>
      <c r="BG170" s="54"/>
      <c r="BH170" s="54"/>
      <c r="BI170" s="54"/>
      <c r="BJ170" s="54"/>
      <c r="BK170" s="54"/>
      <c r="BL170" s="54"/>
      <c r="BM170" s="54"/>
      <c r="BN170" s="54"/>
      <c r="BO170" s="54"/>
      <c r="BP170" s="54"/>
      <c r="BQ170" s="54"/>
      <c r="BR170" s="54"/>
      <c r="BS170" s="54"/>
      <c r="BT170" s="54"/>
      <c r="BU170" s="54"/>
      <c r="BV170" s="54"/>
      <c r="BW170" s="54"/>
      <c r="BX170" s="54"/>
      <c r="BY170" s="619"/>
      <c r="BZ170" s="36"/>
      <c r="CA170" s="36"/>
      <c r="CB170" s="36"/>
      <c r="CC170" s="36"/>
      <c r="CD170" s="36"/>
      <c r="CE170" s="36"/>
      <c r="CF170" s="36"/>
    </row>
    <row r="171" spans="1:102" s="41" customFormat="1" ht="11.25" hidden="1" customHeight="1" outlineLevel="1">
      <c r="A171" s="29"/>
      <c r="B171" s="29"/>
      <c r="C171" s="29"/>
      <c r="D171" s="29"/>
      <c r="E171" s="29"/>
      <c r="F171" s="29"/>
      <c r="G171" s="29"/>
      <c r="H171" s="29"/>
      <c r="I171" s="1316" t="s">
        <v>568</v>
      </c>
      <c r="J171" s="233"/>
      <c r="K171" s="233"/>
      <c r="L171" s="233"/>
      <c r="M171" s="233"/>
      <c r="N171" s="233"/>
      <c r="O171" s="233"/>
      <c r="P171" s="233"/>
      <c r="Q171" s="26"/>
      <c r="R171" s="233"/>
      <c r="S171" s="233"/>
      <c r="T171" s="2344"/>
      <c r="U171" s="233"/>
      <c r="V171" s="233"/>
      <c r="W171" s="233"/>
      <c r="X171" s="233"/>
      <c r="Y171" s="26"/>
      <c r="Z171" s="233"/>
      <c r="AA171" s="233"/>
      <c r="AB171" s="2344"/>
      <c r="AC171" s="233"/>
      <c r="AD171" s="233"/>
      <c r="AE171" s="233"/>
      <c r="AF171" s="233"/>
      <c r="AG171" s="2345">
        <f t="shared" ref="AG171:AQ171" si="318">AG10-AC10</f>
        <v>35.393000000000001</v>
      </c>
      <c r="AH171" s="1742">
        <f t="shared" si="318"/>
        <v>36.812999999999988</v>
      </c>
      <c r="AI171" s="1742">
        <f t="shared" si="318"/>
        <v>32.144999999999996</v>
      </c>
      <c r="AJ171" s="2220">
        <f t="shared" si="318"/>
        <v>36.812999999999988</v>
      </c>
      <c r="AK171" s="1742">
        <f t="shared" si="318"/>
        <v>46.813000000000002</v>
      </c>
      <c r="AL171" s="1742">
        <f t="shared" si="318"/>
        <v>47.828000000000003</v>
      </c>
      <c r="AM171" s="1742">
        <f t="shared" si="318"/>
        <v>51.632000000000005</v>
      </c>
      <c r="AN171" s="2220">
        <f>AN10-AJ10</f>
        <v>48.096000000000004</v>
      </c>
      <c r="AO171" s="1432">
        <f t="shared" si="318"/>
        <v>38.710000000000008</v>
      </c>
      <c r="AP171" s="1742">
        <f t="shared" si="318"/>
        <v>35.436000000000007</v>
      </c>
      <c r="AQ171" s="1742">
        <f t="shared" si="318"/>
        <v>36.147999999999996</v>
      </c>
      <c r="AR171" s="2220">
        <f>AR10-AN10</f>
        <v>23.450000000000017</v>
      </c>
      <c r="AS171" s="26"/>
      <c r="AT171" s="233"/>
      <c r="AU171" s="233"/>
      <c r="AV171" s="2344"/>
      <c r="AW171" s="26"/>
      <c r="AX171" s="233"/>
      <c r="AY171" s="233"/>
      <c r="AZ171" s="2344"/>
      <c r="BA171" s="26"/>
      <c r="BB171" s="233"/>
      <c r="BC171" s="233"/>
      <c r="BD171" s="2344"/>
      <c r="BE171" s="2354"/>
      <c r="BF171" s="233"/>
      <c r="BG171" s="233"/>
      <c r="BH171" s="233"/>
      <c r="BI171" s="233"/>
      <c r="BJ171" s="233"/>
      <c r="BK171" s="233"/>
      <c r="BL171" s="1742">
        <f>'Revenue drivers'!BL12-'Revenue drivers'!BK12</f>
        <v>54.280999999999977</v>
      </c>
      <c r="BM171" s="1742">
        <f>'Revenue drivers'!BM12-'Revenue drivers'!BL12</f>
        <v>95.422000000000025</v>
      </c>
      <c r="BN171" s="1742">
        <f t="shared" ref="BN171:BY171" si="319">BN10-BM10</f>
        <v>144.548</v>
      </c>
      <c r="BO171" s="1742">
        <f t="shared" si="319"/>
        <v>141.16400000000004</v>
      </c>
      <c r="BP171" s="1742">
        <f t="shared" si="319"/>
        <v>194.36899999999991</v>
      </c>
      <c r="BQ171" s="1742">
        <f t="shared" si="319"/>
        <v>133.74400000000003</v>
      </c>
      <c r="BR171" s="1742">
        <f t="shared" si="319"/>
        <v>113.18700000000001</v>
      </c>
      <c r="BS171" s="1742">
        <f t="shared" si="319"/>
        <v>156.40000000000009</v>
      </c>
      <c r="BT171" s="1742">
        <f t="shared" si="319"/>
        <v>144.19999999999982</v>
      </c>
      <c r="BU171" s="1742">
        <f t="shared" si="319"/>
        <v>140</v>
      </c>
      <c r="BV171" s="1742">
        <f t="shared" si="319"/>
        <v>137</v>
      </c>
      <c r="BW171" s="1742">
        <f t="shared" si="319"/>
        <v>133</v>
      </c>
      <c r="BX171" s="1742">
        <f t="shared" si="319"/>
        <v>129</v>
      </c>
      <c r="BY171" s="2220">
        <f t="shared" si="319"/>
        <v>126</v>
      </c>
      <c r="BZ171" s="29"/>
      <c r="CA171" s="29"/>
      <c r="CB171" s="29"/>
      <c r="CC171" s="29"/>
      <c r="CD171" s="29"/>
      <c r="CE171" s="29"/>
      <c r="CF171" s="29"/>
    </row>
    <row r="172" spans="1:102" ht="11.25" hidden="1" customHeight="1" outlineLevel="1">
      <c r="A172" s="36"/>
      <c r="B172" s="36"/>
      <c r="C172" s="36"/>
      <c r="D172" s="36"/>
      <c r="E172" s="36"/>
      <c r="F172" s="36"/>
      <c r="G172" s="36"/>
      <c r="H172" s="36"/>
      <c r="I172" s="1274" t="s">
        <v>569</v>
      </c>
      <c r="J172" s="54"/>
      <c r="K172" s="54"/>
      <c r="L172" s="54"/>
      <c r="M172" s="54"/>
      <c r="N172" s="54"/>
      <c r="O172" s="54"/>
      <c r="P172" s="54"/>
      <c r="Q172" s="633"/>
      <c r="R172" s="54"/>
      <c r="S172" s="54"/>
      <c r="T172" s="619"/>
      <c r="U172" s="54"/>
      <c r="V172" s="54"/>
      <c r="W172" s="54"/>
      <c r="X172" s="54"/>
      <c r="Y172" s="633"/>
      <c r="Z172" s="54"/>
      <c r="AA172" s="54"/>
      <c r="AB172" s="619"/>
      <c r="AC172" s="54"/>
      <c r="AD172" s="54"/>
      <c r="AE172" s="54"/>
      <c r="AF172" s="54"/>
      <c r="AG172" s="876">
        <f t="shared" ref="AG172:AL172" si="320">+AG168/AG171</f>
        <v>5.3682931653151751E-2</v>
      </c>
      <c r="AH172" s="201">
        <f t="shared" si="320"/>
        <v>3.2597180343900259E-2</v>
      </c>
      <c r="AI172" s="201">
        <f t="shared" si="320"/>
        <v>1.8665422305179657E-2</v>
      </c>
      <c r="AJ172" s="877">
        <f t="shared" si="320"/>
        <v>5.4328633906500483E-3</v>
      </c>
      <c r="AK172" s="201">
        <f t="shared" si="320"/>
        <v>-8.5446350372759706E-3</v>
      </c>
      <c r="AL172" s="201">
        <f t="shared" si="320"/>
        <v>3.1362381868361627E-2</v>
      </c>
      <c r="AM172" s="201">
        <f>+AM168/AM171</f>
        <v>2.9051750852184689E-2</v>
      </c>
      <c r="AN172" s="877">
        <f>+AN168/AN171</f>
        <v>6.2375249500997987E-2</v>
      </c>
      <c r="AO172" s="404">
        <f>+AO168/AO171</f>
        <v>5.1666236114699032E-2</v>
      </c>
      <c r="AP172" s="201">
        <f t="shared" ref="AP172:AQ172" si="321">+AP168/AP171</f>
        <v>-5.6439778756067266E-3</v>
      </c>
      <c r="AQ172" s="201">
        <f t="shared" si="321"/>
        <v>-2.7664047803474608E-3</v>
      </c>
      <c r="AR172" s="877">
        <f>+AR168/AR171</f>
        <v>0</v>
      </c>
      <c r="AS172" s="633"/>
      <c r="AT172" s="54"/>
      <c r="AU172" s="54"/>
      <c r="AV172" s="619"/>
      <c r="AW172" s="633"/>
      <c r="AX172" s="54"/>
      <c r="AY172" s="54"/>
      <c r="AZ172" s="619"/>
      <c r="BA172" s="633"/>
      <c r="BB172" s="54"/>
      <c r="BC172" s="54"/>
      <c r="BD172" s="619"/>
      <c r="BE172" s="883"/>
      <c r="BF172" s="54"/>
      <c r="BG172" s="54"/>
      <c r="BH172" s="54"/>
      <c r="BI172" s="54"/>
      <c r="BJ172" s="54"/>
      <c r="BK172" s="54"/>
      <c r="BL172" s="201">
        <f>+BL168/BL171</f>
        <v>2.3949448241557831E-2</v>
      </c>
      <c r="BM172" s="201">
        <f>+BM168/BM171</f>
        <v>1.3623692649493825E-2</v>
      </c>
      <c r="BN172" s="201">
        <f>+BN168/BN171</f>
        <v>2.1446163212220162E-2</v>
      </c>
      <c r="BO172" s="201">
        <f>+BO168/BO171</f>
        <v>2.7627440423904102E-2</v>
      </c>
      <c r="BP172" s="201">
        <f>+BP168/BP171</f>
        <v>2.8811178737350104E-2</v>
      </c>
      <c r="BQ172" s="340">
        <v>0.05</v>
      </c>
      <c r="BR172" s="340">
        <f>+BQ172+0.001</f>
        <v>5.1000000000000004E-2</v>
      </c>
      <c r="BS172" s="340">
        <f>+BR172+0.001</f>
        <v>5.2000000000000005E-2</v>
      </c>
      <c r="BT172" s="340">
        <f>+BS172+0.001</f>
        <v>5.3000000000000005E-2</v>
      </c>
      <c r="BU172" s="340">
        <f>+BT172+0.001</f>
        <v>5.4000000000000006E-2</v>
      </c>
      <c r="BV172" s="340">
        <f>+BU172+0.001</f>
        <v>5.5000000000000007E-2</v>
      </c>
      <c r="BW172" s="340">
        <f>+BV172</f>
        <v>5.5000000000000007E-2</v>
      </c>
      <c r="BX172" s="340">
        <f>+BW172</f>
        <v>5.5000000000000007E-2</v>
      </c>
      <c r="BY172" s="761">
        <f>+BX172</f>
        <v>5.5000000000000007E-2</v>
      </c>
      <c r="BZ172" s="36"/>
      <c r="CA172" s="36"/>
      <c r="CB172" s="36"/>
      <c r="CC172" s="36"/>
      <c r="CD172" s="36"/>
      <c r="CE172" s="36"/>
      <c r="CF172" s="36"/>
    </row>
    <row r="173" spans="1:102" ht="11.25" hidden="1" customHeight="1" outlineLevel="1">
      <c r="A173" s="36"/>
      <c r="B173" s="36"/>
      <c r="C173" s="36"/>
      <c r="D173" s="36"/>
      <c r="E173" s="36"/>
      <c r="F173" s="36"/>
      <c r="G173" s="36"/>
      <c r="H173" s="36"/>
      <c r="I173" s="1274" t="s">
        <v>575</v>
      </c>
      <c r="J173" s="54"/>
      <c r="K173" s="54"/>
      <c r="L173" s="54"/>
      <c r="M173" s="54"/>
      <c r="N173" s="54"/>
      <c r="O173" s="54"/>
      <c r="P173" s="54"/>
      <c r="Q173" s="633"/>
      <c r="R173" s="54"/>
      <c r="S173" s="54"/>
      <c r="T173" s="619"/>
      <c r="U173" s="54"/>
      <c r="V173" s="54"/>
      <c r="W173" s="54"/>
      <c r="X173" s="54"/>
      <c r="Y173" s="633"/>
      <c r="Z173" s="54"/>
      <c r="AA173" s="54"/>
      <c r="AB173" s="619"/>
      <c r="AC173" s="54"/>
      <c r="AD173" s="54"/>
      <c r="AE173" s="54"/>
      <c r="AF173" s="54"/>
      <c r="AG173" s="2342">
        <f t="shared" ref="AG173:AL173" si="322">+AG166/AG171</f>
        <v>4.8032096742293674E-2</v>
      </c>
      <c r="AH173" s="2147">
        <f t="shared" si="322"/>
        <v>2.9880748648575244E-2</v>
      </c>
      <c r="AI173" s="2147">
        <f t="shared" si="322"/>
        <v>4.3552652045419193E-2</v>
      </c>
      <c r="AJ173" s="2343">
        <f t="shared" si="322"/>
        <v>1.3582158476625134E-2</v>
      </c>
      <c r="AK173" s="2147">
        <f t="shared" si="322"/>
        <v>-1.0680793796594963E-2</v>
      </c>
      <c r="AL173" s="2147">
        <f t="shared" si="322"/>
        <v>-1.4635778205235424E-2</v>
      </c>
      <c r="AM173" s="2147">
        <f>+AM166/AM171</f>
        <v>-1.3557483731019521E-2</v>
      </c>
      <c r="AN173" s="2343">
        <f>+AN166/AN171</f>
        <v>-1.4554224883566204E-2</v>
      </c>
      <c r="AO173" s="1128">
        <f>+AO166/AO171</f>
        <v>0</v>
      </c>
      <c r="AP173" s="2147">
        <f t="shared" ref="AP173:AQ173" si="323">+AP166/AP171</f>
        <v>-1.9753922564623543E-2</v>
      </c>
      <c r="AQ173" s="2147">
        <f t="shared" si="323"/>
        <v>-1.9364833462432222E-2</v>
      </c>
      <c r="AR173" s="2343">
        <f>+AR166/AR171</f>
        <v>0</v>
      </c>
      <c r="AS173" s="633"/>
      <c r="AT173" s="54"/>
      <c r="AU173" s="54"/>
      <c r="AV173" s="619"/>
      <c r="AW173" s="633"/>
      <c r="AX173" s="54"/>
      <c r="AY173" s="54"/>
      <c r="AZ173" s="619"/>
      <c r="BA173" s="633"/>
      <c r="BB173" s="54"/>
      <c r="BC173" s="54"/>
      <c r="BD173" s="619"/>
      <c r="BE173" s="883"/>
      <c r="BF173" s="54"/>
      <c r="BG173" s="54"/>
      <c r="BH173" s="54"/>
      <c r="BI173" s="54"/>
      <c r="BJ173" s="54"/>
      <c r="BK173" s="54"/>
      <c r="BL173" s="2147">
        <f>+BL166/BL171</f>
        <v>3.1318509238960235E-2</v>
      </c>
      <c r="BM173" s="2147">
        <f>+BM166/BM171</f>
        <v>2.5151432583680904E-2</v>
      </c>
      <c r="BN173" s="201">
        <f>+BN166/BN171</f>
        <v>1.6603481196557544E-2</v>
      </c>
      <c r="BO173" s="201">
        <f>+BO166/BO171</f>
        <v>3.3294607690345972E-2</v>
      </c>
      <c r="BP173" s="201">
        <f>+BP166/BP171</f>
        <v>-1.3376618699483978E-2</v>
      </c>
      <c r="BQ173" s="340">
        <v>0</v>
      </c>
      <c r="BR173" s="340">
        <f t="shared" ref="BR173:BY173" si="324">+BQ173+0.25%</f>
        <v>2.5000000000000001E-3</v>
      </c>
      <c r="BS173" s="340">
        <f t="shared" si="324"/>
        <v>5.0000000000000001E-3</v>
      </c>
      <c r="BT173" s="340">
        <f t="shared" si="324"/>
        <v>7.4999999999999997E-3</v>
      </c>
      <c r="BU173" s="340">
        <f t="shared" si="324"/>
        <v>0.01</v>
      </c>
      <c r="BV173" s="340">
        <f t="shared" si="324"/>
        <v>1.2500000000000001E-2</v>
      </c>
      <c r="BW173" s="340">
        <f t="shared" si="324"/>
        <v>1.5000000000000001E-2</v>
      </c>
      <c r="BX173" s="340">
        <f t="shared" si="324"/>
        <v>1.7500000000000002E-2</v>
      </c>
      <c r="BY173" s="761">
        <f t="shared" si="324"/>
        <v>0.02</v>
      </c>
      <c r="BZ173" s="36"/>
      <c r="CA173" s="36"/>
      <c r="CB173" s="36"/>
      <c r="CC173" s="36"/>
      <c r="CD173" s="36"/>
      <c r="CE173" s="36"/>
      <c r="CF173" s="36"/>
    </row>
    <row r="174" spans="1:102" ht="11.25" hidden="1" customHeight="1" outlineLevel="1">
      <c r="A174" s="36"/>
      <c r="B174" s="36"/>
      <c r="C174" s="36"/>
      <c r="D174" s="36"/>
      <c r="E174" s="36"/>
      <c r="F174" s="36"/>
      <c r="G174" s="36"/>
      <c r="H174" s="36"/>
      <c r="I174" s="1274" t="s">
        <v>576</v>
      </c>
      <c r="J174" s="54"/>
      <c r="K174" s="54"/>
      <c r="L174" s="54"/>
      <c r="M174" s="54"/>
      <c r="N174" s="54"/>
      <c r="O174" s="54"/>
      <c r="P174" s="54"/>
      <c r="Q174" s="633"/>
      <c r="R174" s="54"/>
      <c r="S174" s="54"/>
      <c r="T174" s="619"/>
      <c r="U174" s="54"/>
      <c r="V174" s="54"/>
      <c r="W174" s="54"/>
      <c r="X174" s="54"/>
      <c r="Y174" s="633"/>
      <c r="Z174" s="54"/>
      <c r="AA174" s="54"/>
      <c r="AB174" s="619"/>
      <c r="AC174" s="54"/>
      <c r="AD174" s="54"/>
      <c r="AE174" s="54"/>
      <c r="AF174" s="54"/>
      <c r="AG174" s="2342">
        <f t="shared" ref="AG174:AL174" si="325">+AG167/AG171</f>
        <v>1.6952504732574238E-2</v>
      </c>
      <c r="AH174" s="2147">
        <f t="shared" si="325"/>
        <v>2.7164316953250219E-2</v>
      </c>
      <c r="AI174" s="2147">
        <f t="shared" si="325"/>
        <v>3.4219940892829377E-2</v>
      </c>
      <c r="AJ174" s="2343">
        <f t="shared" si="325"/>
        <v>-1.0865726781300097E-2</v>
      </c>
      <c r="AK174" s="2147">
        <f t="shared" si="325"/>
        <v>6.4084762779569775E-3</v>
      </c>
      <c r="AL174" s="2147">
        <f t="shared" si="325"/>
        <v>4.1816509157815507E-3</v>
      </c>
      <c r="AM174" s="2147">
        <f>+AM167/AM171</f>
        <v>3.8735667802912922E-3</v>
      </c>
      <c r="AN174" s="2343">
        <f>+AN167/AN171</f>
        <v>1.66333998669328E-2</v>
      </c>
      <c r="AO174" s="1128">
        <f>+AO167/AO171</f>
        <v>5.1666236114699033E-4</v>
      </c>
      <c r="AP174" s="2147">
        <f t="shared" ref="AP174:AQ174" si="326">+AP167/AP171</f>
        <v>5.6439778756067266E-3</v>
      </c>
      <c r="AQ174" s="2147">
        <f t="shared" si="326"/>
        <v>5.5328095606949216E-3</v>
      </c>
      <c r="AR174" s="2343">
        <f>+AR167/AR171</f>
        <v>0</v>
      </c>
      <c r="AS174" s="633"/>
      <c r="AT174" s="54"/>
      <c r="AU174" s="54"/>
      <c r="AV174" s="619"/>
      <c r="AW174" s="633"/>
      <c r="AX174" s="54"/>
      <c r="AY174" s="54"/>
      <c r="AZ174" s="619"/>
      <c r="BA174" s="633"/>
      <c r="BB174" s="54"/>
      <c r="BC174" s="54"/>
      <c r="BD174" s="619"/>
      <c r="BE174" s="883"/>
      <c r="BF174" s="54"/>
      <c r="BG174" s="54"/>
      <c r="BH174" s="54"/>
      <c r="BI174" s="54"/>
      <c r="BJ174" s="54"/>
      <c r="BK174" s="54"/>
      <c r="BL174" s="2147">
        <f>+BL167/BL171</f>
        <v>1.1053591496103613E-2</v>
      </c>
      <c r="BM174" s="2147">
        <f>+BM167/BM171</f>
        <v>1.7815598080107308E-2</v>
      </c>
      <c r="BN174" s="201">
        <f>+BN167/BN171</f>
        <v>1.1068987464371696E-2</v>
      </c>
      <c r="BO174" s="201">
        <f>+BO167/BO171</f>
        <v>1.6293105891020367E-2</v>
      </c>
      <c r="BP174" s="201">
        <f>+BP167/BP171</f>
        <v>7.7172800189330634E-3</v>
      </c>
      <c r="BQ174" s="340">
        <f>+BP174</f>
        <v>7.7172800189330634E-3</v>
      </c>
      <c r="BR174" s="340">
        <f t="shared" ref="BR174:BY174" si="327">+BQ174</f>
        <v>7.7172800189330634E-3</v>
      </c>
      <c r="BS174" s="340">
        <f t="shared" si="327"/>
        <v>7.7172800189330634E-3</v>
      </c>
      <c r="BT174" s="340">
        <f t="shared" si="327"/>
        <v>7.7172800189330634E-3</v>
      </c>
      <c r="BU174" s="340">
        <f t="shared" si="327"/>
        <v>7.7172800189330634E-3</v>
      </c>
      <c r="BV174" s="340">
        <f t="shared" si="327"/>
        <v>7.7172800189330634E-3</v>
      </c>
      <c r="BW174" s="340">
        <f t="shared" si="327"/>
        <v>7.7172800189330634E-3</v>
      </c>
      <c r="BX174" s="340">
        <f t="shared" si="327"/>
        <v>7.7172800189330634E-3</v>
      </c>
      <c r="BY174" s="340">
        <f t="shared" si="327"/>
        <v>7.7172800189330634E-3</v>
      </c>
      <c r="BZ174" s="36"/>
      <c r="CA174" s="36"/>
      <c r="CB174" s="36"/>
      <c r="CC174" s="36"/>
      <c r="CD174" s="36"/>
      <c r="CE174" s="36"/>
      <c r="CF174" s="36"/>
    </row>
    <row r="175" spans="1:102" ht="11.25" hidden="1" customHeight="1" outlineLevel="1">
      <c r="A175" s="36"/>
      <c r="B175" s="36"/>
      <c r="C175" s="36"/>
      <c r="D175" s="36"/>
      <c r="E175" s="36"/>
      <c r="F175" s="36"/>
      <c r="G175" s="36"/>
      <c r="H175" s="36"/>
      <c r="I175" s="633"/>
      <c r="J175" s="54"/>
      <c r="K175" s="54"/>
      <c r="L175" s="54"/>
      <c r="M175" s="54"/>
      <c r="N175" s="54"/>
      <c r="O175" s="54"/>
      <c r="P175" s="54"/>
      <c r="Q175" s="633"/>
      <c r="R175" s="54"/>
      <c r="S175" s="54"/>
      <c r="T175" s="619"/>
      <c r="U175" s="54"/>
      <c r="V175" s="54"/>
      <c r="W175" s="54"/>
      <c r="X175" s="54"/>
      <c r="Y175" s="633"/>
      <c r="Z175" s="54"/>
      <c r="AA175" s="54"/>
      <c r="AB175" s="619"/>
      <c r="AC175" s="54"/>
      <c r="AD175" s="54"/>
      <c r="AE175" s="54"/>
      <c r="AF175" s="54"/>
      <c r="AG175" s="633"/>
      <c r="AH175" s="54"/>
      <c r="AI175" s="54"/>
      <c r="AJ175" s="54"/>
      <c r="AK175" s="633"/>
      <c r="AL175" s="54"/>
      <c r="AM175" s="54"/>
      <c r="AN175" s="54"/>
      <c r="AO175" s="656"/>
      <c r="AP175" s="54"/>
      <c r="AQ175" s="54"/>
      <c r="AR175" s="54"/>
      <c r="AS175" s="633"/>
      <c r="AT175" s="54"/>
      <c r="AU175" s="54"/>
      <c r="AV175" s="619"/>
      <c r="AW175" s="633"/>
      <c r="AX175" s="54"/>
      <c r="AY175" s="54"/>
      <c r="AZ175" s="619"/>
      <c r="BA175" s="633"/>
      <c r="BB175" s="54"/>
      <c r="BC175" s="54"/>
      <c r="BD175" s="619"/>
      <c r="BE175" s="883"/>
      <c r="BF175" s="54"/>
      <c r="BG175" s="54"/>
      <c r="BH175" s="54"/>
      <c r="BI175" s="54"/>
      <c r="BJ175" s="54"/>
      <c r="BK175" s="54"/>
      <c r="BL175" s="54"/>
      <c r="BM175" s="54"/>
      <c r="BN175" s="54"/>
      <c r="BO175" s="54"/>
      <c r="BP175" s="54"/>
      <c r="BQ175" s="54"/>
      <c r="BR175" s="54"/>
      <c r="BS175" s="54"/>
      <c r="BT175" s="54"/>
      <c r="BU175" s="54"/>
      <c r="BV175" s="54"/>
      <c r="BW175" s="54"/>
      <c r="BX175" s="54"/>
      <c r="BY175" s="619"/>
      <c r="BZ175" s="36"/>
      <c r="CA175" s="36"/>
      <c r="CB175" s="36"/>
      <c r="CC175" s="36"/>
      <c r="CD175" s="36"/>
      <c r="CE175" s="36"/>
      <c r="CF175" s="36"/>
    </row>
    <row r="176" spans="1:102" s="90" customFormat="1" ht="11.25" hidden="1" customHeight="1" outlineLevel="1">
      <c r="I176" s="1316" t="s">
        <v>555</v>
      </c>
      <c r="J176" s="413"/>
      <c r="K176" s="413"/>
      <c r="L176" s="413"/>
      <c r="M176" s="1238"/>
      <c r="N176" s="1238"/>
      <c r="O176" s="1238"/>
      <c r="P176" s="1238"/>
      <c r="Q176" s="1269"/>
      <c r="R176" s="1238"/>
      <c r="S176" s="1238"/>
      <c r="T176" s="1270"/>
      <c r="U176" s="1238"/>
      <c r="V176" s="1238"/>
      <c r="W176" s="1238"/>
      <c r="X176" s="1238"/>
      <c r="Y176" s="1281">
        <f t="shared" ref="Y176:BL176" si="328">Y229</f>
        <v>679</v>
      </c>
      <c r="Z176" s="1277">
        <f t="shared" si="328"/>
        <v>686</v>
      </c>
      <c r="AA176" s="1277">
        <f t="shared" si="328"/>
        <v>756</v>
      </c>
      <c r="AB176" s="1282">
        <f t="shared" si="328"/>
        <v>884</v>
      </c>
      <c r="AC176" s="1277">
        <f t="shared" si="328"/>
        <v>904</v>
      </c>
      <c r="AD176" s="1277">
        <f t="shared" si="328"/>
        <v>995</v>
      </c>
      <c r="AE176" s="1277">
        <f t="shared" si="328"/>
        <v>1089</v>
      </c>
      <c r="AF176" s="1277">
        <f t="shared" si="328"/>
        <v>1161</v>
      </c>
      <c r="AG176" s="1281">
        <f t="shared" si="328"/>
        <v>1521</v>
      </c>
      <c r="AH176" s="1277">
        <f t="shared" si="328"/>
        <v>1500</v>
      </c>
      <c r="AI176" s="1277">
        <f t="shared" si="328"/>
        <v>1550</v>
      </c>
      <c r="AJ176" s="1277">
        <f t="shared" si="328"/>
        <v>1626</v>
      </c>
      <c r="AK176" s="1281">
        <f t="shared" si="328"/>
        <v>1728</v>
      </c>
      <c r="AL176" s="1277">
        <f t="shared" ref="AL176:AQ176" si="329">AL229</f>
        <v>1754</v>
      </c>
      <c r="AM176" s="1277">
        <f t="shared" si="329"/>
        <v>1850</v>
      </c>
      <c r="AN176" s="1277">
        <f t="shared" si="329"/>
        <v>1800</v>
      </c>
      <c r="AO176" s="1281">
        <f t="shared" si="329"/>
        <v>1800</v>
      </c>
      <c r="AP176" s="1277">
        <f t="shared" si="329"/>
        <v>1850</v>
      </c>
      <c r="AQ176" s="1277">
        <f t="shared" si="329"/>
        <v>2000</v>
      </c>
      <c r="AR176" s="1277">
        <f t="shared" ref="AR176" si="330">AR229</f>
        <v>1900</v>
      </c>
      <c r="AS176" s="1281">
        <f t="shared" ref="AS176:BD176" si="331">AS229</f>
        <v>1925</v>
      </c>
      <c r="AT176" s="1277">
        <f t="shared" si="331"/>
        <v>1950</v>
      </c>
      <c r="AU176" s="1277">
        <f t="shared" si="331"/>
        <v>1975</v>
      </c>
      <c r="AV176" s="1282">
        <f t="shared" si="331"/>
        <v>2000</v>
      </c>
      <c r="AW176" s="1281">
        <f t="shared" si="331"/>
        <v>2020</v>
      </c>
      <c r="AX176" s="1277">
        <f t="shared" si="331"/>
        <v>2040</v>
      </c>
      <c r="AY176" s="1277">
        <f t="shared" si="331"/>
        <v>2060</v>
      </c>
      <c r="AZ176" s="1282">
        <f t="shared" si="331"/>
        <v>2080</v>
      </c>
      <c r="BA176" s="1281">
        <f t="shared" si="331"/>
        <v>2095</v>
      </c>
      <c r="BB176" s="1277">
        <f t="shared" si="331"/>
        <v>2110</v>
      </c>
      <c r="BC176" s="1277">
        <f t="shared" si="331"/>
        <v>2125</v>
      </c>
      <c r="BD176" s="1282">
        <f t="shared" si="331"/>
        <v>2140</v>
      </c>
      <c r="BE176" s="2119"/>
      <c r="BF176" s="1277">
        <f t="shared" si="328"/>
        <v>0</v>
      </c>
      <c r="BG176" s="1277">
        <f t="shared" si="328"/>
        <v>0</v>
      </c>
      <c r="BH176" s="1277">
        <f t="shared" si="328"/>
        <v>0</v>
      </c>
      <c r="BI176" s="1277">
        <f t="shared" si="328"/>
        <v>0</v>
      </c>
      <c r="BJ176" s="1277">
        <f t="shared" si="328"/>
        <v>0</v>
      </c>
      <c r="BK176" s="1277">
        <f t="shared" si="328"/>
        <v>0</v>
      </c>
      <c r="BL176" s="1277">
        <f t="shared" si="328"/>
        <v>617.76923076923072</v>
      </c>
      <c r="BM176" s="1277">
        <f>BM229</f>
        <v>884</v>
      </c>
      <c r="BN176" s="1277">
        <f t="shared" ref="BN176:BY176" si="332">BN229</f>
        <v>1161</v>
      </c>
      <c r="BO176" s="1277">
        <f t="shared" si="332"/>
        <v>1626</v>
      </c>
      <c r="BP176" s="1277">
        <f>BP229</f>
        <v>1800</v>
      </c>
      <c r="BQ176" s="1277">
        <f t="shared" si="332"/>
        <v>1900</v>
      </c>
      <c r="BR176" s="1277">
        <f t="shared" si="332"/>
        <v>2000</v>
      </c>
      <c r="BS176" s="1277">
        <f t="shared" si="332"/>
        <v>1730</v>
      </c>
      <c r="BT176" s="1277">
        <f t="shared" si="332"/>
        <v>1790</v>
      </c>
      <c r="BU176" s="1277">
        <f t="shared" si="332"/>
        <v>1840</v>
      </c>
      <c r="BV176" s="1277">
        <f t="shared" si="332"/>
        <v>1880</v>
      </c>
      <c r="BW176" s="1277">
        <f t="shared" si="332"/>
        <v>1910</v>
      </c>
      <c r="BX176" s="1277">
        <f t="shared" si="332"/>
        <v>1940</v>
      </c>
      <c r="BY176" s="1282">
        <f t="shared" si="332"/>
        <v>1970</v>
      </c>
    </row>
    <row r="177" spans="1:84" s="1783" customFormat="1" ht="11.25" hidden="1" customHeight="1" outlineLevel="1">
      <c r="I177" s="2122" t="s">
        <v>559</v>
      </c>
      <c r="J177" s="2114"/>
      <c r="K177" s="2114"/>
      <c r="L177" s="2114"/>
      <c r="M177" s="1275"/>
      <c r="N177" s="1275"/>
      <c r="O177" s="1275"/>
      <c r="P177" s="1275"/>
      <c r="Q177" s="1398"/>
      <c r="R177" s="1275"/>
      <c r="S177" s="1275"/>
      <c r="T177" s="2123"/>
      <c r="U177" s="1275"/>
      <c r="V177" s="1275"/>
      <c r="W177" s="1275"/>
      <c r="X177" s="1275"/>
      <c r="Y177" s="1398"/>
      <c r="Z177" s="1275">
        <f t="shared" ref="Z177:AQ177" si="333">Z176-Y176</f>
        <v>7</v>
      </c>
      <c r="AA177" s="1275">
        <f t="shared" si="333"/>
        <v>70</v>
      </c>
      <c r="AB177" s="2123">
        <f t="shared" si="333"/>
        <v>128</v>
      </c>
      <c r="AC177" s="1275">
        <f t="shared" si="333"/>
        <v>20</v>
      </c>
      <c r="AD177" s="1275">
        <f t="shared" si="333"/>
        <v>91</v>
      </c>
      <c r="AE177" s="1275">
        <f t="shared" si="333"/>
        <v>94</v>
      </c>
      <c r="AF177" s="1275">
        <f t="shared" si="333"/>
        <v>72</v>
      </c>
      <c r="AG177" s="1398">
        <f t="shared" si="333"/>
        <v>360</v>
      </c>
      <c r="AH177" s="1275">
        <f t="shared" si="333"/>
        <v>-21</v>
      </c>
      <c r="AI177" s="1275">
        <f t="shared" si="333"/>
        <v>50</v>
      </c>
      <c r="AJ177" s="1275">
        <f t="shared" si="333"/>
        <v>76</v>
      </c>
      <c r="AK177" s="1398">
        <f t="shared" si="333"/>
        <v>102</v>
      </c>
      <c r="AL177" s="1275">
        <f t="shared" si="333"/>
        <v>26</v>
      </c>
      <c r="AM177" s="1275">
        <f t="shared" si="333"/>
        <v>96</v>
      </c>
      <c r="AN177" s="1275">
        <f>AN176-AM176</f>
        <v>-50</v>
      </c>
      <c r="AO177" s="1398">
        <f t="shared" si="333"/>
        <v>0</v>
      </c>
      <c r="AP177" s="1275">
        <f t="shared" si="333"/>
        <v>50</v>
      </c>
      <c r="AQ177" s="1275">
        <f t="shared" si="333"/>
        <v>150</v>
      </c>
      <c r="AR177" s="1275">
        <f>AR176-AQ176</f>
        <v>-100</v>
      </c>
      <c r="AS177" s="1398">
        <f t="shared" ref="AS177:BD177" si="334">AS176-AR176</f>
        <v>25</v>
      </c>
      <c r="AT177" s="1275">
        <f t="shared" si="334"/>
        <v>25</v>
      </c>
      <c r="AU177" s="1275">
        <f t="shared" si="334"/>
        <v>25</v>
      </c>
      <c r="AV177" s="2123">
        <f t="shared" si="334"/>
        <v>25</v>
      </c>
      <c r="AW177" s="1398">
        <f t="shared" si="334"/>
        <v>20</v>
      </c>
      <c r="AX177" s="1275">
        <f t="shared" si="334"/>
        <v>20</v>
      </c>
      <c r="AY177" s="1275">
        <f t="shared" si="334"/>
        <v>20</v>
      </c>
      <c r="AZ177" s="2123">
        <f t="shared" si="334"/>
        <v>20</v>
      </c>
      <c r="BA177" s="1398">
        <f t="shared" si="334"/>
        <v>15</v>
      </c>
      <c r="BB177" s="1275">
        <f t="shared" si="334"/>
        <v>15</v>
      </c>
      <c r="BC177" s="1275">
        <f t="shared" si="334"/>
        <v>15</v>
      </c>
      <c r="BD177" s="2123">
        <f t="shared" si="334"/>
        <v>15</v>
      </c>
      <c r="BE177" s="2584"/>
      <c r="BF177" s="1275"/>
      <c r="BG177" s="1275"/>
      <c r="BH177" s="1275"/>
      <c r="BI177" s="1275"/>
      <c r="BJ177" s="1275"/>
      <c r="BK177" s="1275"/>
      <c r="BL177" s="1275"/>
      <c r="BM177" s="1275">
        <f t="shared" ref="BM177:BY177" si="335">BM176-BL176</f>
        <v>266.23076923076928</v>
      </c>
      <c r="BN177" s="1275">
        <f t="shared" si="335"/>
        <v>277</v>
      </c>
      <c r="BO177" s="1275">
        <f t="shared" si="335"/>
        <v>465</v>
      </c>
      <c r="BP177" s="1275">
        <f t="shared" si="335"/>
        <v>174</v>
      </c>
      <c r="BQ177" s="1275">
        <f t="shared" si="335"/>
        <v>100</v>
      </c>
      <c r="BR177" s="1275">
        <f t="shared" si="335"/>
        <v>100</v>
      </c>
      <c r="BS177" s="1275">
        <f t="shared" si="335"/>
        <v>-270</v>
      </c>
      <c r="BT177" s="1275">
        <f t="shared" si="335"/>
        <v>60</v>
      </c>
      <c r="BU177" s="1275">
        <f t="shared" si="335"/>
        <v>50</v>
      </c>
      <c r="BV177" s="1275">
        <f t="shared" si="335"/>
        <v>40</v>
      </c>
      <c r="BW177" s="1275">
        <f t="shared" si="335"/>
        <v>30</v>
      </c>
      <c r="BX177" s="1275">
        <f t="shared" si="335"/>
        <v>30</v>
      </c>
      <c r="BY177" s="2123">
        <f t="shared" si="335"/>
        <v>30</v>
      </c>
    </row>
    <row r="178" spans="1:84" s="42" customFormat="1" ht="11.25" hidden="1" customHeight="1" outlineLevel="1">
      <c r="I178" s="1059" t="s">
        <v>562</v>
      </c>
      <c r="J178" s="277"/>
      <c r="K178" s="277"/>
      <c r="L178" s="277"/>
      <c r="M178" s="295"/>
      <c r="N178" s="295"/>
      <c r="O178" s="295"/>
      <c r="P178" s="295"/>
      <c r="Q178" s="2120"/>
      <c r="R178" s="295"/>
      <c r="S178" s="295"/>
      <c r="T178" s="2121"/>
      <c r="U178" s="295"/>
      <c r="V178" s="295"/>
      <c r="W178" s="295"/>
      <c r="X178" s="295"/>
      <c r="Y178" s="2120"/>
      <c r="Z178" s="295"/>
      <c r="AA178" s="295"/>
      <c r="AB178" s="2121"/>
      <c r="AC178" s="295"/>
      <c r="AD178" s="295"/>
      <c r="AE178" s="295"/>
      <c r="AF178" s="295"/>
      <c r="AG178" s="2124">
        <f t="shared" ref="AG178:AQ178" si="336">AG164/(AG176-AC176)*1000000</f>
        <v>3241.4910858995136</v>
      </c>
      <c r="AH178" s="2124">
        <f t="shared" si="336"/>
        <v>3762.3762376237628</v>
      </c>
      <c r="AI178" s="2124">
        <f t="shared" si="336"/>
        <v>3904.5553145336225</v>
      </c>
      <c r="AJ178" s="2341">
        <f t="shared" si="336"/>
        <v>7311.8279569892466</v>
      </c>
      <c r="AK178" s="2124">
        <f t="shared" si="336"/>
        <v>7729.4685990338157</v>
      </c>
      <c r="AL178" s="2124">
        <f t="shared" si="336"/>
        <v>6692.9133858267724</v>
      </c>
      <c r="AM178" s="2124">
        <f t="shared" si="336"/>
        <v>5666.666666666667</v>
      </c>
      <c r="AN178" s="2341">
        <f>AN164/(AN176-AJ176)*1000000</f>
        <v>5747.1264367816093</v>
      </c>
      <c r="AO178" s="2124">
        <f t="shared" si="336"/>
        <v>16666.666666666672</v>
      </c>
      <c r="AP178" s="2124">
        <f t="shared" si="336"/>
        <v>15624.999999999998</v>
      </c>
      <c r="AQ178" s="2124">
        <f t="shared" si="336"/>
        <v>7333.3333333333339</v>
      </c>
      <c r="AR178" s="2341">
        <f>AR164/(AR176-AN176)*1000000</f>
        <v>0</v>
      </c>
      <c r="AS178" s="2120"/>
      <c r="AT178" s="295"/>
      <c r="AU178" s="295"/>
      <c r="AV178" s="2121"/>
      <c r="AW178" s="2120"/>
      <c r="AX178" s="295"/>
      <c r="AY178" s="295"/>
      <c r="AZ178" s="2121"/>
      <c r="BA178" s="2120"/>
      <c r="BB178" s="295"/>
      <c r="BC178" s="295"/>
      <c r="BD178" s="2121"/>
      <c r="BE178" s="883"/>
      <c r="BF178" s="295"/>
      <c r="BG178" s="295"/>
      <c r="BH178" s="295"/>
      <c r="BI178" s="295"/>
      <c r="BJ178" s="295"/>
      <c r="BK178" s="295"/>
      <c r="BL178" s="2124"/>
      <c r="BM178" s="2124">
        <f>BM164/BM177*1000000</f>
        <v>19907.541173071364</v>
      </c>
      <c r="BN178" s="2124">
        <f>BN164/BN177*1000000</f>
        <v>21660.649819494589</v>
      </c>
      <c r="BO178" s="2124">
        <f>BO164/BO177*1000000</f>
        <v>19569.892473118278</v>
      </c>
      <c r="BP178" s="2124">
        <f>BP164/BP177*1000000</f>
        <v>34482.758620689652</v>
      </c>
      <c r="BQ178" s="2197">
        <f t="shared" ref="BQ178:BY178" si="337">BP178*(1+BQ179)</f>
        <v>36206.896551724138</v>
      </c>
      <c r="BR178" s="2197">
        <f t="shared" si="337"/>
        <v>37112.068965517239</v>
      </c>
      <c r="BS178" s="2197">
        <f t="shared" si="337"/>
        <v>38039.870689655167</v>
      </c>
      <c r="BT178" s="2197">
        <f t="shared" si="337"/>
        <v>38990.867456896543</v>
      </c>
      <c r="BU178" s="2197">
        <f t="shared" si="337"/>
        <v>39965.639143318956</v>
      </c>
      <c r="BV178" s="2197">
        <f t="shared" si="337"/>
        <v>40964.780121901924</v>
      </c>
      <c r="BW178" s="2197">
        <f t="shared" si="337"/>
        <v>41988.899624949467</v>
      </c>
      <c r="BX178" s="2197">
        <f t="shared" si="337"/>
        <v>43038.622115573198</v>
      </c>
      <c r="BY178" s="2219">
        <f t="shared" si="337"/>
        <v>44114.587668462525</v>
      </c>
    </row>
    <row r="179" spans="1:84" s="2269" customFormat="1" ht="11.25" hidden="1" customHeight="1" outlineLevel="1">
      <c r="I179" s="2346" t="s">
        <v>554</v>
      </c>
      <c r="J179" s="1747"/>
      <c r="K179" s="1747"/>
      <c r="L179" s="1747"/>
      <c r="M179" s="1949"/>
      <c r="N179" s="1949"/>
      <c r="O179" s="1949"/>
      <c r="P179" s="1949"/>
      <c r="Q179" s="2023"/>
      <c r="R179" s="1949"/>
      <c r="S179" s="1949"/>
      <c r="T179" s="2024"/>
      <c r="U179" s="1949"/>
      <c r="V179" s="1949"/>
      <c r="W179" s="1949"/>
      <c r="X179" s="1949"/>
      <c r="Y179" s="2023"/>
      <c r="Z179" s="1949"/>
      <c r="AA179" s="1949"/>
      <c r="AB179" s="2024"/>
      <c r="AC179" s="2347"/>
      <c r="AD179" s="1949"/>
      <c r="AE179" s="1949"/>
      <c r="AF179" s="1949"/>
      <c r="AG179" s="2023"/>
      <c r="AH179" s="1949"/>
      <c r="AI179" s="1949"/>
      <c r="AJ179" s="2024"/>
      <c r="AK179" s="2023">
        <f t="shared" ref="AK179:AR179" si="338">AK178/AG178-1</f>
        <v>1.3845410628019321</v>
      </c>
      <c r="AL179" s="1949">
        <f t="shared" si="338"/>
        <v>0.778905926232905</v>
      </c>
      <c r="AM179" s="1949">
        <f t="shared" si="338"/>
        <v>0.45129629629629631</v>
      </c>
      <c r="AN179" s="2024">
        <f t="shared" si="338"/>
        <v>-0.21399594320486803</v>
      </c>
      <c r="AO179" s="2023">
        <f t="shared" si="338"/>
        <v>1.1562500000000009</v>
      </c>
      <c r="AP179" s="1949">
        <f t="shared" si="338"/>
        <v>1.3345588235294112</v>
      </c>
      <c r="AQ179" s="1949">
        <f t="shared" si="338"/>
        <v>0.29411764705882359</v>
      </c>
      <c r="AR179" s="2024">
        <f t="shared" si="338"/>
        <v>-1</v>
      </c>
      <c r="AS179" s="2023"/>
      <c r="AT179" s="1949"/>
      <c r="AU179" s="1949"/>
      <c r="AV179" s="2024"/>
      <c r="AW179" s="2023"/>
      <c r="AX179" s="1949"/>
      <c r="AY179" s="1949"/>
      <c r="AZ179" s="2024"/>
      <c r="BA179" s="2023"/>
      <c r="BB179" s="1949"/>
      <c r="BC179" s="1949"/>
      <c r="BD179" s="2024"/>
      <c r="BE179" s="1521"/>
      <c r="BF179" s="1949"/>
      <c r="BG179" s="1949"/>
      <c r="BH179" s="1949"/>
      <c r="BI179" s="1949"/>
      <c r="BJ179" s="1949"/>
      <c r="BK179" s="1949"/>
      <c r="BL179" s="1949"/>
      <c r="BM179" s="1949"/>
      <c r="BN179" s="1949">
        <f>+BN178/BM178-1</f>
        <v>8.8062540279691959E-2</v>
      </c>
      <c r="BO179" s="1949">
        <f>+BO178/BN178-1</f>
        <v>-9.6523297491039717E-2</v>
      </c>
      <c r="BP179" s="1949">
        <f>+BP178/BO178-1</f>
        <v>0.76203107237590006</v>
      </c>
      <c r="BQ179" s="2348">
        <v>0.05</v>
      </c>
      <c r="BR179" s="2348">
        <v>2.5000000000000001E-2</v>
      </c>
      <c r="BS179" s="2348">
        <v>2.5000000000000001E-2</v>
      </c>
      <c r="BT179" s="2348">
        <v>2.5000000000000001E-2</v>
      </c>
      <c r="BU179" s="2348">
        <v>2.5000000000000001E-2</v>
      </c>
      <c r="BV179" s="2348">
        <v>2.5000000000000001E-2</v>
      </c>
      <c r="BW179" s="2348">
        <v>2.5000000000000001E-2</v>
      </c>
      <c r="BX179" s="2348">
        <v>2.5000000000000001E-2</v>
      </c>
      <c r="BY179" s="2348">
        <v>2.5000000000000001E-2</v>
      </c>
    </row>
    <row r="180" spans="1:84" ht="11.25" hidden="1" customHeight="1" outlineLevel="1">
      <c r="A180" s="36"/>
      <c r="B180" s="36"/>
      <c r="C180" s="36"/>
      <c r="D180" s="36"/>
      <c r="E180" s="36"/>
      <c r="F180" s="36"/>
      <c r="G180" s="36"/>
      <c r="H180" s="36"/>
      <c r="I180" s="994"/>
      <c r="J180" s="50"/>
      <c r="K180" s="50"/>
      <c r="L180" s="50"/>
      <c r="M180" s="78"/>
      <c r="N180" s="78"/>
      <c r="O180" s="78"/>
      <c r="P180" s="78"/>
      <c r="Q180" s="873"/>
      <c r="R180" s="78"/>
      <c r="S180" s="78"/>
      <c r="T180" s="874"/>
      <c r="U180" s="78"/>
      <c r="V180" s="78"/>
      <c r="W180" s="78"/>
      <c r="X180" s="78"/>
      <c r="Y180" s="873"/>
      <c r="Z180" s="78"/>
      <c r="AA180" s="78"/>
      <c r="AB180" s="874"/>
      <c r="AC180" s="78"/>
      <c r="AD180" s="78"/>
      <c r="AE180" s="78"/>
      <c r="AF180" s="78"/>
      <c r="AG180" s="873"/>
      <c r="AH180" s="1314"/>
      <c r="AI180" s="1314"/>
      <c r="AJ180" s="78"/>
      <c r="AK180" s="873"/>
      <c r="AL180" s="78"/>
      <c r="AM180" s="78"/>
      <c r="AN180" s="874"/>
      <c r="AO180" s="873"/>
      <c r="AP180" s="78"/>
      <c r="AQ180" s="78"/>
      <c r="AR180" s="874"/>
      <c r="AS180" s="873"/>
      <c r="AT180" s="78"/>
      <c r="AU180" s="78"/>
      <c r="AV180" s="874"/>
      <c r="AW180" s="873"/>
      <c r="AX180" s="78"/>
      <c r="AY180" s="78"/>
      <c r="AZ180" s="874"/>
      <c r="BA180" s="873"/>
      <c r="BB180" s="78"/>
      <c r="BC180" s="78"/>
      <c r="BD180" s="874"/>
      <c r="BE180" s="883"/>
      <c r="BF180" s="78"/>
      <c r="BG180" s="78"/>
      <c r="BH180" s="78"/>
      <c r="BI180" s="78"/>
      <c r="BJ180" s="78"/>
      <c r="BK180" s="78"/>
      <c r="BL180" s="78"/>
      <c r="BM180" s="78"/>
      <c r="BN180" s="78"/>
      <c r="BO180" s="78"/>
      <c r="BP180" s="78"/>
      <c r="BQ180" s="78"/>
      <c r="BR180" s="78"/>
      <c r="BS180" s="78"/>
      <c r="BT180" s="78"/>
      <c r="BU180" s="78"/>
      <c r="BV180" s="78"/>
      <c r="BW180" s="78"/>
      <c r="BX180" s="78"/>
      <c r="BY180" s="874"/>
      <c r="BZ180" s="36"/>
      <c r="CA180" s="36"/>
      <c r="CB180" s="36"/>
      <c r="CC180" s="36"/>
      <c r="CD180" s="36"/>
      <c r="CE180" s="36"/>
      <c r="CF180" s="36"/>
    </row>
    <row r="181" spans="1:84" ht="11.25" hidden="1" customHeight="1" outlineLevel="1">
      <c r="A181" s="36"/>
      <c r="B181" s="36"/>
      <c r="C181" s="36"/>
      <c r="D181" s="36"/>
      <c r="E181" s="36"/>
      <c r="F181" s="36"/>
      <c r="G181" s="36"/>
      <c r="H181" s="36"/>
      <c r="I181" s="1059" t="s">
        <v>614</v>
      </c>
      <c r="J181" s="50"/>
      <c r="K181" s="50"/>
      <c r="L181" s="50"/>
      <c r="M181" s="78"/>
      <c r="N181" s="78"/>
      <c r="O181" s="78"/>
      <c r="P181" s="78"/>
      <c r="Q181" s="873"/>
      <c r="R181" s="78"/>
      <c r="S181" s="78"/>
      <c r="T181" s="874"/>
      <c r="U181" s="78"/>
      <c r="V181" s="78"/>
      <c r="W181" s="78"/>
      <c r="X181" s="78"/>
      <c r="Y181" s="873"/>
      <c r="Z181" s="78"/>
      <c r="AA181" s="78"/>
      <c r="AB181" s="874"/>
      <c r="AC181" s="78"/>
      <c r="AD181" s="78"/>
      <c r="AE181" s="78"/>
      <c r="AF181" s="78"/>
      <c r="AG181" s="873"/>
      <c r="AH181" s="1314"/>
      <c r="AI181" s="1314"/>
      <c r="AJ181" s="78"/>
      <c r="AK181" s="873"/>
      <c r="AL181" s="78"/>
      <c r="AM181" s="78"/>
      <c r="AN181" s="874"/>
      <c r="AO181" s="873"/>
      <c r="AP181" s="78"/>
      <c r="AQ181" s="78"/>
      <c r="AR181" s="874"/>
      <c r="AS181" s="873"/>
      <c r="AT181" s="78"/>
      <c r="AU181" s="78"/>
      <c r="AV181" s="874"/>
      <c r="AW181" s="873"/>
      <c r="AX181" s="78"/>
      <c r="AY181" s="78"/>
      <c r="AZ181" s="874"/>
      <c r="BA181" s="873"/>
      <c r="BB181" s="78"/>
      <c r="BC181" s="78"/>
      <c r="BD181" s="874"/>
      <c r="BE181" s="883"/>
      <c r="BF181" s="78"/>
      <c r="BG181" s="78"/>
      <c r="BH181" s="78"/>
      <c r="BI181" s="78"/>
      <c r="BJ181" s="78"/>
      <c r="BK181" s="78"/>
      <c r="BL181" s="78"/>
      <c r="BM181" s="2125">
        <f>BM165/BM177*1000000</f>
        <v>4507.3678127708736</v>
      </c>
      <c r="BN181" s="2125">
        <f t="shared" ref="BN181:BY181" si="339">BN165/BN177*1000000</f>
        <v>8303.2490974729244</v>
      </c>
      <c r="BO181" s="2125">
        <f t="shared" si="339"/>
        <v>5591.3978494623652</v>
      </c>
      <c r="BP181" s="2125">
        <f>BP165/BP177*1000000</f>
        <v>35057.471264367814</v>
      </c>
      <c r="BQ181" s="2125">
        <f t="shared" si="339"/>
        <v>6310.0000000000018</v>
      </c>
      <c r="BR181" s="2125">
        <f t="shared" si="339"/>
        <v>6114.6275239107699</v>
      </c>
      <c r="BS181" s="2125">
        <f t="shared" si="339"/>
        <v>-9616.2056677293858</v>
      </c>
      <c r="BT181" s="2125">
        <f t="shared" si="339"/>
        <v>40388.063804463316</v>
      </c>
      <c r="BU181" s="2125">
        <f t="shared" si="339"/>
        <v>37318.570955324118</v>
      </c>
      <c r="BV181" s="2125">
        <f t="shared" si="339"/>
        <v>35652.563323390132</v>
      </c>
      <c r="BW181" s="2125">
        <f t="shared" si="339"/>
        <v>49913.588652745966</v>
      </c>
      <c r="BX181" s="2125">
        <f t="shared" si="339"/>
        <v>52409.268085383337</v>
      </c>
      <c r="BY181" s="2126">
        <f t="shared" si="339"/>
        <v>55029.731489652535</v>
      </c>
      <c r="BZ181" s="36"/>
      <c r="CA181" s="36"/>
      <c r="CB181" s="36"/>
      <c r="CC181" s="36"/>
      <c r="CD181" s="36"/>
      <c r="CE181" s="36"/>
      <c r="CF181" s="36"/>
    </row>
    <row r="182" spans="1:84" s="42" customFormat="1" ht="11.25" hidden="1" customHeight="1" outlineLevel="1">
      <c r="I182" s="1012" t="s">
        <v>554</v>
      </c>
      <c r="J182" s="228"/>
      <c r="K182" s="228"/>
      <c r="L182" s="228"/>
      <c r="M182" s="1268"/>
      <c r="N182" s="1268"/>
      <c r="O182" s="1268"/>
      <c r="P182" s="1268"/>
      <c r="Q182" s="2106"/>
      <c r="R182" s="1268"/>
      <c r="S182" s="1268"/>
      <c r="T182" s="2107"/>
      <c r="U182" s="1268"/>
      <c r="V182" s="1268"/>
      <c r="W182" s="1268"/>
      <c r="X182" s="1268"/>
      <c r="Y182" s="2106"/>
      <c r="Z182" s="1268"/>
      <c r="AA182" s="1268"/>
      <c r="AB182" s="2107"/>
      <c r="AC182" s="588"/>
      <c r="AD182" s="1050"/>
      <c r="AE182" s="1050"/>
      <c r="AF182" s="1050"/>
      <c r="AG182" s="1049"/>
      <c r="AH182" s="403"/>
      <c r="AI182" s="1050"/>
      <c r="AJ182" s="1051"/>
      <c r="AK182" s="1049"/>
      <c r="AL182" s="403"/>
      <c r="AM182" s="403"/>
      <c r="AN182" s="1051"/>
      <c r="AO182" s="1049"/>
      <c r="AP182" s="403"/>
      <c r="AQ182" s="1050"/>
      <c r="AR182" s="1051"/>
      <c r="AS182" s="1049"/>
      <c r="AT182" s="403"/>
      <c r="AU182" s="1050"/>
      <c r="AV182" s="1051"/>
      <c r="AW182" s="1049"/>
      <c r="AX182" s="403"/>
      <c r="AY182" s="1050"/>
      <c r="AZ182" s="1051"/>
      <c r="BA182" s="1049"/>
      <c r="BB182" s="403"/>
      <c r="BC182" s="1050"/>
      <c r="BD182" s="1051"/>
      <c r="BE182" s="883"/>
      <c r="BF182" s="1268"/>
      <c r="BG182" s="1268"/>
      <c r="BH182" s="1268"/>
      <c r="BI182" s="1268"/>
      <c r="BJ182" s="1268"/>
      <c r="BK182" s="1268"/>
      <c r="BL182" s="403"/>
      <c r="BM182" s="403"/>
      <c r="BN182" s="403">
        <f t="shared" ref="BN182:BY182" si="340">+BN181/BM181-1</f>
        <v>0.84215032861242323</v>
      </c>
      <c r="BO182" s="403">
        <f t="shared" si="340"/>
        <v>-0.32660121552127164</v>
      </c>
      <c r="BP182" s="403">
        <f t="shared" si="340"/>
        <v>5.2698938992042441</v>
      </c>
      <c r="BQ182" s="403">
        <f t="shared" si="340"/>
        <v>-0.82000983606557365</v>
      </c>
      <c r="BR182" s="403">
        <f t="shared" si="340"/>
        <v>-3.0962357541875041E-2</v>
      </c>
      <c r="BS182" s="403">
        <f t="shared" si="340"/>
        <v>-2.5726560007336454</v>
      </c>
      <c r="BT182" s="403">
        <f t="shared" si="340"/>
        <v>-5.1999999999999895</v>
      </c>
      <c r="BU182" s="403">
        <f t="shared" si="340"/>
        <v>-7.5999999999999623E-2</v>
      </c>
      <c r="BV182" s="403">
        <f t="shared" si="340"/>
        <v>-4.4642857142853765E-2</v>
      </c>
      <c r="BW182" s="403">
        <f t="shared" si="340"/>
        <v>0.39999999999999392</v>
      </c>
      <c r="BX182" s="403">
        <f t="shared" si="340"/>
        <v>5.0000000000001377E-2</v>
      </c>
      <c r="BY182" s="1261">
        <f t="shared" si="340"/>
        <v>5.0000000000000488E-2</v>
      </c>
    </row>
    <row r="183" spans="1:84" ht="11.25" hidden="1" customHeight="1" outlineLevel="1">
      <c r="A183" s="36"/>
      <c r="B183" s="36"/>
      <c r="C183" s="36"/>
      <c r="D183" s="36"/>
      <c r="E183" s="36"/>
      <c r="F183" s="36"/>
      <c r="G183" s="36"/>
      <c r="H183" s="36"/>
      <c r="I183" s="633"/>
      <c r="J183" s="54"/>
      <c r="K183" s="54"/>
      <c r="L183" s="54"/>
      <c r="M183" s="54"/>
      <c r="N183" s="54"/>
      <c r="O183" s="54"/>
      <c r="P183" s="54"/>
      <c r="Q183" s="633"/>
      <c r="R183" s="54"/>
      <c r="S183" s="54"/>
      <c r="T183" s="619"/>
      <c r="U183" s="54"/>
      <c r="V183" s="54"/>
      <c r="W183" s="54"/>
      <c r="X183" s="54"/>
      <c r="Y183" s="633"/>
      <c r="Z183" s="83"/>
      <c r="AA183" s="83"/>
      <c r="AB183" s="883"/>
      <c r="AC183" s="83"/>
      <c r="AD183" s="83"/>
      <c r="AE183" s="83"/>
      <c r="AF183" s="83"/>
      <c r="AG183" s="656"/>
      <c r="AH183" s="83"/>
      <c r="AI183" s="83"/>
      <c r="AJ183" s="83"/>
      <c r="AK183" s="656"/>
      <c r="AL183" s="83"/>
      <c r="AM183" s="83"/>
      <c r="AN183" s="883"/>
      <c r="AO183" s="656"/>
      <c r="AP183" s="83"/>
      <c r="AQ183" s="83"/>
      <c r="AR183" s="883"/>
      <c r="AS183" s="656"/>
      <c r="AT183" s="83"/>
      <c r="AU183" s="83"/>
      <c r="AV183" s="883"/>
      <c r="AW183" s="656"/>
      <c r="AX183" s="83"/>
      <c r="AY183" s="83"/>
      <c r="AZ183" s="883"/>
      <c r="BA183" s="656"/>
      <c r="BB183" s="83"/>
      <c r="BC183" s="83"/>
      <c r="BD183" s="883"/>
      <c r="BE183" s="883"/>
      <c r="BF183" s="54"/>
      <c r="BG183" s="54"/>
      <c r="BH183" s="54"/>
      <c r="BI183" s="54"/>
      <c r="BJ183" s="54"/>
      <c r="BK183" s="54"/>
      <c r="BL183" s="54"/>
      <c r="BM183" s="54"/>
      <c r="BN183" s="54"/>
      <c r="BO183" s="54"/>
      <c r="BP183" s="54"/>
      <c r="BQ183" s="54"/>
      <c r="BR183" s="54"/>
      <c r="BS183" s="54"/>
      <c r="BT183" s="54"/>
      <c r="BU183" s="54"/>
      <c r="BV183" s="54"/>
      <c r="BW183" s="54"/>
      <c r="BX183" s="54"/>
      <c r="BY183" s="619"/>
      <c r="BZ183" s="36"/>
      <c r="CA183" s="36"/>
      <c r="CB183" s="36"/>
      <c r="CC183" s="36"/>
      <c r="CD183" s="36"/>
      <c r="CE183" s="36"/>
      <c r="CF183" s="36"/>
    </row>
    <row r="184" spans="1:84" s="106" customFormat="1" ht="11.25" customHeight="1" collapsed="1">
      <c r="A184" s="54"/>
      <c r="B184" s="54"/>
      <c r="C184" s="54"/>
      <c r="D184" s="54"/>
      <c r="E184" s="54"/>
      <c r="F184" s="54"/>
      <c r="G184" s="54"/>
      <c r="H184" s="54"/>
      <c r="I184" s="769"/>
      <c r="J184" s="324"/>
      <c r="K184" s="324"/>
      <c r="L184" s="324"/>
      <c r="M184" s="325"/>
      <c r="N184" s="325"/>
      <c r="O184" s="325"/>
      <c r="P184" s="325"/>
      <c r="Q184" s="746"/>
      <c r="R184" s="325"/>
      <c r="S184" s="325"/>
      <c r="T184" s="747"/>
      <c r="U184" s="326"/>
      <c r="V184" s="325"/>
      <c r="W184" s="325"/>
      <c r="X184" s="325"/>
      <c r="Y184" s="746"/>
      <c r="Z184" s="325"/>
      <c r="AA184" s="325"/>
      <c r="AB184" s="747"/>
      <c r="AC184" s="325"/>
      <c r="AD184" s="325"/>
      <c r="AE184" s="325"/>
      <c r="AF184" s="325"/>
      <c r="AG184" s="746"/>
      <c r="AH184" s="325"/>
      <c r="AI184" s="325"/>
      <c r="AJ184" s="325"/>
      <c r="AK184" s="746"/>
      <c r="AL184" s="325"/>
      <c r="AM184" s="325"/>
      <c r="AN184" s="747"/>
      <c r="AO184" s="746"/>
      <c r="AP184" s="325"/>
      <c r="AQ184" s="325"/>
      <c r="AR184" s="747"/>
      <c r="AS184" s="746"/>
      <c r="AT184" s="325"/>
      <c r="AU184" s="325"/>
      <c r="AV184" s="747"/>
      <c r="AW184" s="746"/>
      <c r="AX184" s="325"/>
      <c r="AY184" s="325"/>
      <c r="AZ184" s="747"/>
      <c r="BA184" s="746"/>
      <c r="BB184" s="325"/>
      <c r="BC184" s="325"/>
      <c r="BD184" s="747"/>
      <c r="BE184" s="2577"/>
      <c r="BF184" s="323"/>
      <c r="BG184" s="323"/>
      <c r="BH184" s="323"/>
      <c r="BI184" s="323"/>
      <c r="BJ184" s="323"/>
      <c r="BK184" s="323"/>
      <c r="BL184" s="323"/>
      <c r="BM184" s="323"/>
      <c r="BN184" s="323"/>
      <c r="BO184" s="323"/>
      <c r="BP184" s="323"/>
      <c r="BQ184" s="323"/>
      <c r="BR184" s="323"/>
      <c r="BS184" s="323"/>
      <c r="BT184" s="323"/>
      <c r="BU184" s="1643"/>
      <c r="BV184" s="1643"/>
      <c r="BW184" s="1643"/>
      <c r="BX184" s="1643"/>
      <c r="BY184" s="1645"/>
      <c r="BZ184" s="54"/>
      <c r="CA184" s="54"/>
      <c r="CB184" s="54"/>
      <c r="CC184" s="54"/>
      <c r="CD184" s="54"/>
      <c r="CE184" s="54"/>
      <c r="CF184" s="54"/>
    </row>
    <row r="185" spans="1:84" s="83" customFormat="1" ht="11.25" customHeight="1">
      <c r="A185" s="328"/>
      <c r="B185" s="328"/>
      <c r="C185" s="328"/>
      <c r="D185" s="328"/>
      <c r="E185" s="328"/>
      <c r="F185" s="328"/>
      <c r="G185" s="328"/>
      <c r="H185" s="328"/>
      <c r="I185" s="772" t="s">
        <v>51</v>
      </c>
      <c r="J185" s="277"/>
      <c r="K185" s="277"/>
      <c r="L185" s="277"/>
      <c r="M185" s="386">
        <f>M217</f>
        <v>0.253</v>
      </c>
      <c r="N185" s="386">
        <f t="shared" ref="N185:AD185" si="341">N217</f>
        <v>0.25700000000000001</v>
      </c>
      <c r="O185" s="386">
        <f t="shared" si="341"/>
        <v>0.36699999999999999</v>
      </c>
      <c r="P185" s="386">
        <f t="shared" si="341"/>
        <v>0.55400000000000005</v>
      </c>
      <c r="Q185" s="870">
        <f t="shared" si="341"/>
        <v>1.1030000000000002</v>
      </c>
      <c r="R185" s="386">
        <f t="shared" si="341"/>
        <v>0.94799999999999995</v>
      </c>
      <c r="S185" s="386">
        <f t="shared" si="341"/>
        <v>1.46</v>
      </c>
      <c r="T185" s="881">
        <f t="shared" si="341"/>
        <v>1.3660000000000001</v>
      </c>
      <c r="U185" s="386">
        <f t="shared" si="341"/>
        <v>7.4290000000000003</v>
      </c>
      <c r="V185" s="386">
        <f t="shared" si="341"/>
        <v>1.8580000000000001</v>
      </c>
      <c r="W185" s="386">
        <f t="shared" si="341"/>
        <v>2.3339999999999996</v>
      </c>
      <c r="X185" s="386">
        <f t="shared" si="341"/>
        <v>3.258</v>
      </c>
      <c r="Y185" s="870">
        <f t="shared" si="341"/>
        <v>5.16</v>
      </c>
      <c r="Z185" s="386">
        <f t="shared" si="341"/>
        <v>5.7130000000000001</v>
      </c>
      <c r="AA185" s="386">
        <f t="shared" si="341"/>
        <v>7.0150000000000006</v>
      </c>
      <c r="AB185" s="881">
        <f t="shared" si="341"/>
        <v>8.7889999999999997</v>
      </c>
      <c r="AC185" s="386">
        <f t="shared" si="341"/>
        <v>9.4559999999999995</v>
      </c>
      <c r="AD185" s="386">
        <f t="shared" si="341"/>
        <v>10.083</v>
      </c>
      <c r="AE185" s="386">
        <f t="shared" ref="AE185:AK185" si="342">AE217</f>
        <v>10.917999999999999</v>
      </c>
      <c r="AF185" s="386">
        <f t="shared" si="342"/>
        <v>11.816000000000001</v>
      </c>
      <c r="AG185" s="870">
        <f t="shared" si="342"/>
        <v>13.670999999999999</v>
      </c>
      <c r="AH185" s="1736">
        <f t="shared" si="342"/>
        <v>15.516000000000002</v>
      </c>
      <c r="AI185" s="1736">
        <f t="shared" si="342"/>
        <v>15.683</v>
      </c>
      <c r="AJ185" s="1251">
        <f t="shared" si="342"/>
        <v>15.972</v>
      </c>
      <c r="AK185" s="1936">
        <f t="shared" si="342"/>
        <v>19.11</v>
      </c>
      <c r="AL185" s="1251">
        <f t="shared" ref="AL185:AQ185" si="343">AL217</f>
        <v>20.725999999999999</v>
      </c>
      <c r="AM185" s="1251">
        <f t="shared" si="343"/>
        <v>22.560000000000002</v>
      </c>
      <c r="AN185" s="1251">
        <f t="shared" si="343"/>
        <v>23.864000000000004</v>
      </c>
      <c r="AO185" s="1936">
        <f t="shared" si="343"/>
        <v>24.334000000000003</v>
      </c>
      <c r="AP185" s="1251">
        <f t="shared" si="343"/>
        <v>25.365000000000002</v>
      </c>
      <c r="AQ185" s="1251">
        <f t="shared" si="343"/>
        <v>25.309000000000001</v>
      </c>
      <c r="AR185" s="1258">
        <f t="shared" ref="AR185" si="344">AR217</f>
        <v>25.407</v>
      </c>
      <c r="AS185" s="2863">
        <f>+AO185*(1+AS187)</f>
        <v>26.767400000000006</v>
      </c>
      <c r="AT185" s="2863">
        <f>+AP185*(1+AT187)</f>
        <v>27.901500000000006</v>
      </c>
      <c r="AU185" s="2863">
        <f>+AQ185*(1+AU187)</f>
        <v>29.105349999999998</v>
      </c>
      <c r="AV185" s="2862">
        <f>+AR185*(1+AV187)</f>
        <v>30.488399999999999</v>
      </c>
      <c r="AW185" s="2863">
        <f t="shared" ref="AW185:BD185" si="345">+AS185*(1+AW187)</f>
        <v>29.979488000000011</v>
      </c>
      <c r="AX185" s="2863">
        <f t="shared" si="345"/>
        <v>31.249680000000009</v>
      </c>
      <c r="AY185" s="2863">
        <f t="shared" si="345"/>
        <v>32.597991999999998</v>
      </c>
      <c r="AZ185" s="2862">
        <f t="shared" si="345"/>
        <v>34.147008</v>
      </c>
      <c r="BA185" s="2862">
        <f t="shared" si="345"/>
        <v>32.977436800000014</v>
      </c>
      <c r="BB185" s="2863">
        <f t="shared" si="345"/>
        <v>34.374648000000015</v>
      </c>
      <c r="BC185" s="2863">
        <f t="shared" si="345"/>
        <v>35.857791200000001</v>
      </c>
      <c r="BD185" s="2862">
        <f t="shared" si="345"/>
        <v>37.561708800000005</v>
      </c>
      <c r="BE185" s="2580"/>
      <c r="BF185" s="386"/>
      <c r="BG185" s="386">
        <f>BG217</f>
        <v>9.4E-2</v>
      </c>
      <c r="BH185" s="386">
        <f>BH217</f>
        <v>0.36499999999999999</v>
      </c>
      <c r="BI185" s="386">
        <f>BI217</f>
        <v>0.55700000000000005</v>
      </c>
      <c r="BJ185" s="386">
        <f>SUM(M185:P185)</f>
        <v>1.431</v>
      </c>
      <c r="BK185" s="386">
        <f>SUM(Q185:T185)</f>
        <v>4.8770000000000007</v>
      </c>
      <c r="BL185" s="386">
        <f>SUM(U185:X185)</f>
        <v>14.879000000000001</v>
      </c>
      <c r="BM185" s="386">
        <f>SUM(Y185:AB185)</f>
        <v>26.677</v>
      </c>
      <c r="BN185" s="386">
        <f>SUM(AC185:AF185)</f>
        <v>42.273000000000003</v>
      </c>
      <c r="BO185" s="386">
        <f>SUM(AG185:AJ185)</f>
        <v>60.842000000000006</v>
      </c>
      <c r="BP185" s="386">
        <f>SUM(AK185:AN185)</f>
        <v>86.26</v>
      </c>
      <c r="BQ185" s="386">
        <f>SUM(AO185:AR185)</f>
        <v>100.41500000000001</v>
      </c>
      <c r="BR185" s="386">
        <f>SUM(AS185:AV185)</f>
        <v>114.26265000000001</v>
      </c>
      <c r="BS185" s="386">
        <f>SUM(AW185:AZ185)</f>
        <v>127.97416800000002</v>
      </c>
      <c r="BT185" s="386">
        <f>SUM(BA185:BD185)</f>
        <v>140.77158480000003</v>
      </c>
      <c r="BU185" s="386">
        <f>+BT185*(1+BU187)</f>
        <v>150.62559573600004</v>
      </c>
      <c r="BV185" s="386">
        <f>+BU185*(1+BV187)</f>
        <v>158.15687552280005</v>
      </c>
      <c r="BW185" s="386">
        <f>+BV185*(1+BW187)</f>
        <v>166.06471929894005</v>
      </c>
      <c r="BX185" s="386">
        <f>+BW185*(1+BX187)</f>
        <v>174.36795526388707</v>
      </c>
      <c r="BY185" s="386">
        <f>+BX185*(1+BY187)</f>
        <v>183.08635302708143</v>
      </c>
      <c r="BZ185" s="320"/>
      <c r="CA185" s="329">
        <f t="shared" ref="CA185:CF185" si="346">IF(ISERROR(RATE(3,,-BK185,BN185)),"NM",(RATE(3,,-BK185,BN185)))</f>
        <v>1.0541718401268967</v>
      </c>
      <c r="CB185" s="329">
        <f t="shared" si="346"/>
        <v>0.59910352024410052</v>
      </c>
      <c r="CC185" s="329">
        <f t="shared" si="346"/>
        <v>0.47873659831770271</v>
      </c>
      <c r="CD185" s="329">
        <f t="shared" si="346"/>
        <v>0.33427446388117504</v>
      </c>
      <c r="CE185" s="329">
        <f t="shared" si="346"/>
        <v>0.23376828862297008</v>
      </c>
      <c r="CF185" s="329">
        <f t="shared" si="346"/>
        <v>0.14052362821765071</v>
      </c>
    </row>
    <row r="186" spans="1:84" s="41" customFormat="1" ht="11.25" customHeight="1">
      <c r="A186" s="29"/>
      <c r="B186" s="29"/>
      <c r="C186" s="29"/>
      <c r="D186" s="29"/>
      <c r="E186" s="29"/>
      <c r="F186" s="29"/>
      <c r="G186" s="29"/>
      <c r="H186" s="29"/>
      <c r="I186" s="882" t="s">
        <v>144</v>
      </c>
      <c r="J186" s="2"/>
      <c r="K186" s="2"/>
      <c r="L186" s="2"/>
      <c r="M186" s="359">
        <f t="shared" ref="M186:AK186" si="347">M185/M$10</f>
        <v>2.7692644483362526E-2</v>
      </c>
      <c r="N186" s="359">
        <f t="shared" si="347"/>
        <v>2.3958236226344742E-2</v>
      </c>
      <c r="O186" s="359">
        <f t="shared" si="347"/>
        <v>2.9140860727330471E-2</v>
      </c>
      <c r="P186" s="359">
        <f t="shared" si="347"/>
        <v>3.6270786958229675E-2</v>
      </c>
      <c r="Q186" s="852">
        <f t="shared" si="347"/>
        <v>6.6848484848484865E-2</v>
      </c>
      <c r="R186" s="359">
        <f t="shared" si="347"/>
        <v>4.8421697824088263E-2</v>
      </c>
      <c r="S186" s="359">
        <f t="shared" si="347"/>
        <v>6.5464980719218011E-2</v>
      </c>
      <c r="T186" s="843">
        <f t="shared" si="347"/>
        <v>5.4848424011242722E-2</v>
      </c>
      <c r="U186" s="359">
        <f t="shared" si="347"/>
        <v>0.27127989775424505</v>
      </c>
      <c r="V186" s="359">
        <f t="shared" si="347"/>
        <v>5.69013566900438E-2</v>
      </c>
      <c r="W186" s="359">
        <f t="shared" si="347"/>
        <v>6.4172005168953272E-2</v>
      </c>
      <c r="X186" s="359">
        <f t="shared" si="347"/>
        <v>7.9160288650776303E-2</v>
      </c>
      <c r="Y186" s="852">
        <f t="shared" si="347"/>
        <v>0.11185051915114994</v>
      </c>
      <c r="Z186" s="359">
        <f t="shared" si="347"/>
        <v>0.1038293077440343</v>
      </c>
      <c r="AA186" s="359">
        <f t="shared" si="347"/>
        <v>0.11465977999705793</v>
      </c>
      <c r="AB186" s="843">
        <f t="shared" si="347"/>
        <v>0.12440022080366873</v>
      </c>
      <c r="AC186" s="359">
        <f t="shared" si="347"/>
        <v>0.12375829439711021</v>
      </c>
      <c r="AD186" s="359">
        <f t="shared" si="347"/>
        <v>0.11356392264633336</v>
      </c>
      <c r="AE186" s="359">
        <f t="shared" si="347"/>
        <v>0.10656385730320628</v>
      </c>
      <c r="AF186" s="359">
        <f t="shared" si="347"/>
        <v>0.10752864306059862</v>
      </c>
      <c r="AG186" s="852">
        <f>AG185/AG$10</f>
        <v>0.12228085867620751</v>
      </c>
      <c r="AH186" s="359">
        <f t="shared" si="347"/>
        <v>0.12353503184713378</v>
      </c>
      <c r="AI186" s="359">
        <f t="shared" si="347"/>
        <v>0.11651560178306092</v>
      </c>
      <c r="AJ186" s="359">
        <f>AJ185/AJ$10</f>
        <v>0.10887525562372188</v>
      </c>
      <c r="AK186" s="852">
        <f t="shared" si="347"/>
        <v>0.12048192771084337</v>
      </c>
      <c r="AL186" s="359">
        <f t="shared" ref="AL186:AQ186" si="348">AL185/AL$10</f>
        <v>0.11950780727448855</v>
      </c>
      <c r="AM186" s="359">
        <f t="shared" si="348"/>
        <v>0.12113922419347911</v>
      </c>
      <c r="AN186" s="359">
        <f t="shared" si="348"/>
        <v>0.1225076490277008</v>
      </c>
      <c r="AO186" s="852">
        <f t="shared" si="348"/>
        <v>0.12332064685819698</v>
      </c>
      <c r="AP186" s="359">
        <f t="shared" si="348"/>
        <v>0.12144266125325572</v>
      </c>
      <c r="AQ186" s="359">
        <f t="shared" si="348"/>
        <v>0.11380969511646731</v>
      </c>
      <c r="AR186" s="359">
        <f t="shared" ref="AR186" si="349">AR185/AR$10</f>
        <v>0.11641450473319098</v>
      </c>
      <c r="AS186" s="852">
        <f>AS185/AS$10</f>
        <v>0.12100994575045211</v>
      </c>
      <c r="AT186" s="359">
        <f t="shared" ref="AT186:AV186" si="350">AT185/AT$10</f>
        <v>0.1205769230769231</v>
      </c>
      <c r="AU186" s="359">
        <f t="shared" si="350"/>
        <v>0.11736028225806451</v>
      </c>
      <c r="AV186" s="843">
        <f t="shared" si="350"/>
        <v>0.1175343099460293</v>
      </c>
      <c r="AW186" s="852">
        <f t="shared" ref="AW186:BD186" si="351">AW185/AW$10</f>
        <v>0.11433824561403513</v>
      </c>
      <c r="AX186" s="359">
        <f t="shared" si="351"/>
        <v>0.11531247232472328</v>
      </c>
      <c r="AY186" s="359">
        <f t="shared" si="351"/>
        <v>0.11366105997210599</v>
      </c>
      <c r="AZ186" s="843">
        <f t="shared" si="351"/>
        <v>0.11520582995951417</v>
      </c>
      <c r="BA186" s="852">
        <f t="shared" si="351"/>
        <v>0.11051419839142096</v>
      </c>
      <c r="BB186" s="359">
        <f t="shared" si="351"/>
        <v>0.11182383864671441</v>
      </c>
      <c r="BC186" s="359">
        <f t="shared" si="351"/>
        <v>0.11108361586121437</v>
      </c>
      <c r="BD186" s="843">
        <f t="shared" si="351"/>
        <v>0.11313767710843375</v>
      </c>
      <c r="BE186" s="2583"/>
      <c r="BF186" s="2574"/>
      <c r="BG186" s="359">
        <f t="shared" ref="BG186:BQ186" si="352">BG185/BG$10</f>
        <v>2.5100133511348464E-2</v>
      </c>
      <c r="BH186" s="359">
        <f t="shared" si="352"/>
        <v>3.0068374660186175E-2</v>
      </c>
      <c r="BI186" s="359">
        <f t="shared" si="352"/>
        <v>2.1582455052696837E-2</v>
      </c>
      <c r="BJ186" s="359">
        <f t="shared" si="352"/>
        <v>2.998051580733695E-2</v>
      </c>
      <c r="BK186" s="359">
        <f t="shared" si="352"/>
        <v>5.8557963618898971E-2</v>
      </c>
      <c r="BL186" s="359">
        <f t="shared" si="352"/>
        <v>0.10815899277437742</v>
      </c>
      <c r="BM186" s="359">
        <f t="shared" si="352"/>
        <v>0.11449945919961543</v>
      </c>
      <c r="BN186" s="359">
        <f t="shared" si="352"/>
        <v>0.11197077894558401</v>
      </c>
      <c r="BO186" s="359">
        <f t="shared" si="352"/>
        <v>0.11729708887603625</v>
      </c>
      <c r="BP186" s="359">
        <f t="shared" si="352"/>
        <v>0.12097006040088688</v>
      </c>
      <c r="BQ186" s="359">
        <f t="shared" si="352"/>
        <v>0.11857989898596268</v>
      </c>
      <c r="BR186" s="359">
        <f>BR185/BR$10</f>
        <v>0.11902359375</v>
      </c>
      <c r="BS186" s="359">
        <f>BS185/BS$10</f>
        <v>0.11463110713006092</v>
      </c>
      <c r="BT186" s="359">
        <f>BT185/BT$10</f>
        <v>0.11167030366492149</v>
      </c>
      <c r="BU186" s="359">
        <f>BU185/BU$10</f>
        <v>0.10754362111666432</v>
      </c>
      <c r="BV186" s="359">
        <f t="shared" ref="BV186:BY186" si="353">BV185/BV$10</f>
        <v>0.10285957044927163</v>
      </c>
      <c r="BW186" s="359">
        <f t="shared" si="353"/>
        <v>9.9404237578678348E-2</v>
      </c>
      <c r="BX186" s="359">
        <f t="shared" si="353"/>
        <v>9.6892617950592952E-2</v>
      </c>
      <c r="BY186" s="359">
        <f t="shared" si="353"/>
        <v>9.5080158406253348E-2</v>
      </c>
      <c r="BZ186" s="29"/>
      <c r="CA186" s="29"/>
      <c r="CB186" s="29"/>
      <c r="CC186" s="29"/>
      <c r="CD186" s="29"/>
      <c r="CE186" s="29"/>
      <c r="CF186" s="29"/>
    </row>
    <row r="187" spans="1:84" ht="11.25" customHeight="1">
      <c r="A187" s="36"/>
      <c r="B187" s="36"/>
      <c r="C187" s="36"/>
      <c r="D187" s="36"/>
      <c r="E187" s="36"/>
      <c r="F187" s="36"/>
      <c r="G187" s="36"/>
      <c r="H187" s="36"/>
      <c r="I187" s="796" t="s">
        <v>132</v>
      </c>
      <c r="J187" s="54"/>
      <c r="K187" s="54"/>
      <c r="L187" s="54"/>
      <c r="M187" s="198" t="str">
        <f t="shared" ref="M187:R187" si="354">IF(ISERROR(M185/I185-1),"NA",(IF(M185&lt;=0,"NM",M185/I185-1)))</f>
        <v>NA</v>
      </c>
      <c r="N187" s="198" t="str">
        <f t="shared" si="354"/>
        <v>NA</v>
      </c>
      <c r="O187" s="198" t="str">
        <f t="shared" si="354"/>
        <v>NA</v>
      </c>
      <c r="P187" s="198" t="str">
        <f t="shared" si="354"/>
        <v>NA</v>
      </c>
      <c r="Q187" s="751">
        <f t="shared" si="354"/>
        <v>3.3596837944664042</v>
      </c>
      <c r="R187" s="198">
        <f t="shared" si="354"/>
        <v>2.6887159533073928</v>
      </c>
      <c r="S187" s="198">
        <f t="shared" ref="S187:AJ187" si="355">IF(ISERROR(S185/O185-1),"NA",(IF(S185&lt;=0,"NM",S185/O185-1)))</f>
        <v>2.9782016348773843</v>
      </c>
      <c r="T187" s="752">
        <f t="shared" si="355"/>
        <v>1.4657039711191335</v>
      </c>
      <c r="U187" s="198">
        <f t="shared" si="355"/>
        <v>5.7352674524025371</v>
      </c>
      <c r="V187" s="198">
        <f t="shared" si="355"/>
        <v>0.95991561181434615</v>
      </c>
      <c r="W187" s="198">
        <f t="shared" si="355"/>
        <v>0.59863013698630119</v>
      </c>
      <c r="X187" s="198">
        <f t="shared" si="355"/>
        <v>1.3850658857979501</v>
      </c>
      <c r="Y187" s="751">
        <f t="shared" si="355"/>
        <v>-0.30542468703728631</v>
      </c>
      <c r="Z187" s="198">
        <f t="shared" si="355"/>
        <v>2.0748116254036599</v>
      </c>
      <c r="AA187" s="198">
        <f t="shared" si="355"/>
        <v>2.0055698371893751</v>
      </c>
      <c r="AB187" s="752">
        <f t="shared" si="355"/>
        <v>1.6976672805402084</v>
      </c>
      <c r="AC187" s="198">
        <f t="shared" si="355"/>
        <v>0.83255813953488356</v>
      </c>
      <c r="AD187" s="198">
        <f t="shared" si="355"/>
        <v>0.76492210747418166</v>
      </c>
      <c r="AE187" s="198">
        <f t="shared" si="355"/>
        <v>0.55637918745545245</v>
      </c>
      <c r="AF187" s="198">
        <f t="shared" si="355"/>
        <v>0.34440778245534198</v>
      </c>
      <c r="AG187" s="751">
        <f t="shared" si="355"/>
        <v>0.44574873096446699</v>
      </c>
      <c r="AH187" s="198">
        <f t="shared" si="355"/>
        <v>0.53882772984230898</v>
      </c>
      <c r="AI187" s="198">
        <f t="shared" si="355"/>
        <v>0.43643524455028393</v>
      </c>
      <c r="AJ187" s="198">
        <f t="shared" si="355"/>
        <v>0.35172647257955303</v>
      </c>
      <c r="AK187" s="751">
        <f t="shared" ref="AK187:AR187" si="356">IF(ISERROR(AK185/AG185-1),"NA",(IF(AK185&lt;=0,"NM",AK185/AG185-1)))</f>
        <v>0.39784946236559149</v>
      </c>
      <c r="AL187" s="198">
        <f t="shared" si="356"/>
        <v>0.33578241814900722</v>
      </c>
      <c r="AM187" s="198">
        <f t="shared" si="356"/>
        <v>0.43850028693489773</v>
      </c>
      <c r="AN187" s="198">
        <f t="shared" si="356"/>
        <v>0.49411470072627139</v>
      </c>
      <c r="AO187" s="751">
        <f t="shared" si="356"/>
        <v>0.27336473050758792</v>
      </c>
      <c r="AP187" s="198">
        <f t="shared" si="356"/>
        <v>0.22382514715815893</v>
      </c>
      <c r="AQ187" s="198">
        <f t="shared" si="356"/>
        <v>0.12185283687943249</v>
      </c>
      <c r="AR187" s="198">
        <f t="shared" si="356"/>
        <v>6.4658062353335266E-2</v>
      </c>
      <c r="AS187" s="2861">
        <v>0.1</v>
      </c>
      <c r="AT187" s="982">
        <v>0.1</v>
      </c>
      <c r="AU187" s="982">
        <v>0.15</v>
      </c>
      <c r="AV187" s="2592">
        <v>0.2</v>
      </c>
      <c r="AW187" s="2861">
        <v>0.12</v>
      </c>
      <c r="AX187" s="982">
        <v>0.12</v>
      </c>
      <c r="AY187" s="982">
        <v>0.12</v>
      </c>
      <c r="AZ187" s="982">
        <v>0.12</v>
      </c>
      <c r="BA187" s="2861">
        <v>0.1</v>
      </c>
      <c r="BB187" s="982">
        <v>0.1</v>
      </c>
      <c r="BC187" s="982">
        <v>0.1</v>
      </c>
      <c r="BD187" s="982">
        <v>0.1</v>
      </c>
      <c r="BE187" s="1119"/>
      <c r="BF187" s="201"/>
      <c r="BG187" s="198" t="str">
        <f t="shared" ref="BG187:BT187" si="357">IF(ISERROR(+BG185/BF185-1),"NA",(IF(BG185&lt;=0,"NM",BG185/BF185-1)))</f>
        <v>NA</v>
      </c>
      <c r="BH187" s="198">
        <f t="shared" si="357"/>
        <v>2.8829787234042552</v>
      </c>
      <c r="BI187" s="198">
        <f t="shared" si="357"/>
        <v>0.52602739726027425</v>
      </c>
      <c r="BJ187" s="198">
        <f t="shared" si="357"/>
        <v>1.5691202872531416</v>
      </c>
      <c r="BK187" s="198">
        <f t="shared" si="357"/>
        <v>2.4081062194269744</v>
      </c>
      <c r="BL187" s="198">
        <f t="shared" si="357"/>
        <v>2.0508509329505844</v>
      </c>
      <c r="BM187" s="198">
        <f t="shared" si="357"/>
        <v>0.79292963236776637</v>
      </c>
      <c r="BN187" s="198">
        <f t="shared" si="357"/>
        <v>0.5846234584098664</v>
      </c>
      <c r="BO187" s="198">
        <f t="shared" si="357"/>
        <v>0.43926383270645575</v>
      </c>
      <c r="BP187" s="198">
        <f t="shared" si="357"/>
        <v>0.41777061898030965</v>
      </c>
      <c r="BQ187" s="198">
        <f t="shared" si="357"/>
        <v>0.16409691629955958</v>
      </c>
      <c r="BR187" s="198">
        <f t="shared" si="357"/>
        <v>0.1379041975800428</v>
      </c>
      <c r="BS187" s="264">
        <f t="shared" si="357"/>
        <v>0.12000000000000011</v>
      </c>
      <c r="BT187" s="264">
        <f t="shared" si="357"/>
        <v>0.10000000000000009</v>
      </c>
      <c r="BU187" s="982">
        <v>7.0000000000000007E-2</v>
      </c>
      <c r="BV187" s="982">
        <v>0.05</v>
      </c>
      <c r="BW187" s="982">
        <v>0.05</v>
      </c>
      <c r="BX187" s="982">
        <v>0.05</v>
      </c>
      <c r="BY187" s="982">
        <v>0.05</v>
      </c>
      <c r="BZ187" s="36"/>
      <c r="CA187" s="36"/>
      <c r="CB187" s="36"/>
      <c r="CC187" s="36"/>
      <c r="CD187" s="36"/>
      <c r="CE187" s="36"/>
      <c r="CF187" s="36"/>
    </row>
    <row r="188" spans="1:84" ht="11.25" customHeight="1">
      <c r="A188" s="36"/>
      <c r="B188" s="36"/>
      <c r="C188" s="36"/>
      <c r="D188" s="36"/>
      <c r="E188" s="36"/>
      <c r="F188" s="36"/>
      <c r="G188" s="36"/>
      <c r="H188" s="36"/>
      <c r="I188" s="796" t="s">
        <v>146</v>
      </c>
      <c r="J188" s="54"/>
      <c r="K188" s="54"/>
      <c r="L188" s="54"/>
      <c r="M188" s="198" t="str">
        <f t="shared" ref="M188:R188" si="358">IF(ISERROR(M185/L185-1),"NA",(IF(M185&lt;=0,"NM",M185/L185-1)))</f>
        <v>NA</v>
      </c>
      <c r="N188" s="198">
        <f t="shared" si="358"/>
        <v>1.5810276679841806E-2</v>
      </c>
      <c r="O188" s="198">
        <f t="shared" si="358"/>
        <v>0.42801556420233466</v>
      </c>
      <c r="P188" s="198">
        <f t="shared" si="358"/>
        <v>0.5095367847411445</v>
      </c>
      <c r="Q188" s="751">
        <f t="shared" si="358"/>
        <v>0.99097472924187735</v>
      </c>
      <c r="R188" s="198">
        <f t="shared" si="358"/>
        <v>-0.14052583862194035</v>
      </c>
      <c r="S188" s="198">
        <f t="shared" ref="S188:AJ188" si="359">IF(ISERROR(S185/R185-1),"NA",(IF(S185&lt;=0,"NM",S185/R185-1)))</f>
        <v>0.54008438818565407</v>
      </c>
      <c r="T188" s="752">
        <f t="shared" si="359"/>
        <v>-6.4383561643835518E-2</v>
      </c>
      <c r="U188" s="198">
        <f t="shared" si="359"/>
        <v>4.438506588579795</v>
      </c>
      <c r="V188" s="198">
        <f t="shared" si="359"/>
        <v>-0.74989904428590659</v>
      </c>
      <c r="W188" s="198">
        <f t="shared" si="359"/>
        <v>0.2561894510226046</v>
      </c>
      <c r="X188" s="198">
        <f t="shared" si="359"/>
        <v>0.39588688946015438</v>
      </c>
      <c r="Y188" s="751">
        <f t="shared" si="359"/>
        <v>0.58379373848987104</v>
      </c>
      <c r="Z188" s="198">
        <f t="shared" si="359"/>
        <v>0.10717054263565884</v>
      </c>
      <c r="AA188" s="198">
        <f t="shared" si="359"/>
        <v>0.22790127778750224</v>
      </c>
      <c r="AB188" s="752">
        <f t="shared" si="359"/>
        <v>0.25288667141838905</v>
      </c>
      <c r="AC188" s="198">
        <f t="shared" si="359"/>
        <v>7.5890317442257382E-2</v>
      </c>
      <c r="AD188" s="198">
        <f t="shared" si="359"/>
        <v>6.6307106598984866E-2</v>
      </c>
      <c r="AE188" s="198">
        <f t="shared" si="359"/>
        <v>8.2812654963800414E-2</v>
      </c>
      <c r="AF188" s="198">
        <f t="shared" si="359"/>
        <v>8.2249496244733544E-2</v>
      </c>
      <c r="AG188" s="751">
        <f t="shared" si="359"/>
        <v>0.15699052132701419</v>
      </c>
      <c r="AH188" s="198">
        <f t="shared" si="359"/>
        <v>0.13495720868992778</v>
      </c>
      <c r="AI188" s="198">
        <f t="shared" si="359"/>
        <v>1.0763083268883644E-2</v>
      </c>
      <c r="AJ188" s="198">
        <f t="shared" si="359"/>
        <v>1.8427596760823839E-2</v>
      </c>
      <c r="AK188" s="751">
        <f t="shared" ref="AK188:AR188" si="360">IF(ISERROR(AK185/AJ185-1),"NA",(IF(AK185&lt;=0,"NM",AK185/AJ185-1)))</f>
        <v>0.19646882043576253</v>
      </c>
      <c r="AL188" s="198">
        <f t="shared" si="360"/>
        <v>8.45630559916275E-2</v>
      </c>
      <c r="AM188" s="198">
        <f t="shared" si="360"/>
        <v>8.8487889607256731E-2</v>
      </c>
      <c r="AN188" s="198">
        <f t="shared" si="360"/>
        <v>5.7801418439716423E-2</v>
      </c>
      <c r="AO188" s="751">
        <f t="shared" si="360"/>
        <v>1.9694937981897365E-2</v>
      </c>
      <c r="AP188" s="198">
        <f t="shared" si="360"/>
        <v>4.2368702227336241E-2</v>
      </c>
      <c r="AQ188" s="198">
        <f t="shared" si="360"/>
        <v>-2.2077666075300817E-3</v>
      </c>
      <c r="AR188" s="198">
        <f t="shared" si="360"/>
        <v>3.8721403453316761E-3</v>
      </c>
      <c r="AS188" s="751">
        <f t="shared" ref="AS188:BD188" si="361">IF(ISERROR(AS185/AR185-1),"NA",(IF(AS185&lt;=0,"NM",AS185/AR185-1)))</f>
        <v>5.3544298815287439E-2</v>
      </c>
      <c r="AT188" s="198">
        <f t="shared" si="361"/>
        <v>4.2368702227336241E-2</v>
      </c>
      <c r="AU188" s="198">
        <f t="shared" si="361"/>
        <v>4.3146425819400092E-2</v>
      </c>
      <c r="AV188" s="752">
        <f t="shared" si="361"/>
        <v>4.7518755142954783E-2</v>
      </c>
      <c r="AW188" s="751">
        <f t="shared" si="361"/>
        <v>-1.6691987772398331E-2</v>
      </c>
      <c r="AX188" s="198">
        <f t="shared" si="361"/>
        <v>4.2368702227336241E-2</v>
      </c>
      <c r="AY188" s="198">
        <f t="shared" si="361"/>
        <v>4.3146425819400092E-2</v>
      </c>
      <c r="AZ188" s="752">
        <f t="shared" si="361"/>
        <v>4.7518755142954783E-2</v>
      </c>
      <c r="BA188" s="751">
        <f t="shared" si="361"/>
        <v>-3.4251059419319718E-2</v>
      </c>
      <c r="BB188" s="198">
        <f t="shared" si="361"/>
        <v>4.2368702227336241E-2</v>
      </c>
      <c r="BC188" s="198">
        <f t="shared" si="361"/>
        <v>4.314642581939987E-2</v>
      </c>
      <c r="BD188" s="752">
        <f t="shared" si="361"/>
        <v>4.7518755142955005E-2</v>
      </c>
      <c r="BE188" s="1119"/>
      <c r="BF188" s="201"/>
      <c r="BG188" s="201"/>
      <c r="BH188" s="201"/>
      <c r="BI188" s="201"/>
      <c r="BJ188" s="201"/>
      <c r="BK188" s="201"/>
      <c r="BL188" s="201"/>
      <c r="BM188" s="201"/>
      <c r="BN188" s="198"/>
      <c r="BO188" s="198"/>
      <c r="BP188" s="198"/>
      <c r="BQ188" s="201"/>
      <c r="BR188" s="404"/>
      <c r="BS188" s="404"/>
      <c r="BT188" s="404"/>
      <c r="BU188" s="201"/>
      <c r="BV188" s="201"/>
      <c r="BW188" s="201"/>
      <c r="BX188" s="201"/>
      <c r="BY188" s="877"/>
      <c r="BZ188" s="36"/>
      <c r="CA188" s="36"/>
      <c r="CB188" s="36"/>
      <c r="CC188" s="36"/>
      <c r="CD188" s="36"/>
      <c r="CE188" s="36"/>
      <c r="CF188" s="36"/>
    </row>
    <row r="189" spans="1:84" ht="11.25" customHeight="1">
      <c r="A189" s="36"/>
      <c r="B189" s="36"/>
      <c r="C189" s="36"/>
      <c r="D189" s="36"/>
      <c r="E189" s="36"/>
      <c r="F189" s="36"/>
      <c r="G189" s="36"/>
      <c r="H189" s="36"/>
      <c r="I189" s="994" t="s">
        <v>380</v>
      </c>
      <c r="J189" s="54"/>
      <c r="K189" s="54"/>
      <c r="L189" s="54"/>
      <c r="M189" s="198"/>
      <c r="N189" s="198"/>
      <c r="O189" s="198"/>
      <c r="P189" s="198"/>
      <c r="Q189" s="900">
        <f t="shared" ref="Q189:AJ189" si="362">Q185-M185</f>
        <v>0.8500000000000002</v>
      </c>
      <c r="R189" s="901">
        <f t="shared" si="362"/>
        <v>0.69099999999999995</v>
      </c>
      <c r="S189" s="901">
        <f t="shared" si="362"/>
        <v>1.093</v>
      </c>
      <c r="T189" s="902">
        <f t="shared" si="362"/>
        <v>0.81200000000000006</v>
      </c>
      <c r="U189" s="901">
        <f t="shared" si="362"/>
        <v>6.3260000000000005</v>
      </c>
      <c r="V189" s="901">
        <f t="shared" si="362"/>
        <v>0.91000000000000014</v>
      </c>
      <c r="W189" s="901">
        <f t="shared" si="362"/>
        <v>0.87399999999999967</v>
      </c>
      <c r="X189" s="901">
        <f t="shared" si="362"/>
        <v>1.8919999999999999</v>
      </c>
      <c r="Y189" s="900">
        <f t="shared" si="362"/>
        <v>-2.2690000000000001</v>
      </c>
      <c r="Z189" s="901">
        <f t="shared" si="362"/>
        <v>3.855</v>
      </c>
      <c r="AA189" s="901">
        <f t="shared" si="362"/>
        <v>4.6810000000000009</v>
      </c>
      <c r="AB189" s="902">
        <f t="shared" si="362"/>
        <v>5.5309999999999997</v>
      </c>
      <c r="AC189" s="901">
        <f t="shared" si="362"/>
        <v>4.2959999999999994</v>
      </c>
      <c r="AD189" s="901">
        <f t="shared" si="362"/>
        <v>4.37</v>
      </c>
      <c r="AE189" s="901">
        <f t="shared" si="362"/>
        <v>3.9029999999999987</v>
      </c>
      <c r="AF189" s="901">
        <f t="shared" si="362"/>
        <v>3.027000000000001</v>
      </c>
      <c r="AG189" s="900">
        <f t="shared" si="362"/>
        <v>4.2149999999999999</v>
      </c>
      <c r="AH189" s="901">
        <f t="shared" si="362"/>
        <v>5.4330000000000016</v>
      </c>
      <c r="AI189" s="901">
        <f t="shared" si="362"/>
        <v>4.7650000000000006</v>
      </c>
      <c r="AJ189" s="901">
        <f t="shared" si="362"/>
        <v>4.1559999999999988</v>
      </c>
      <c r="AK189" s="900">
        <f t="shared" ref="AK189:AR189" si="363">AK185-AG185</f>
        <v>5.4390000000000001</v>
      </c>
      <c r="AL189" s="901">
        <f t="shared" si="363"/>
        <v>5.2099999999999973</v>
      </c>
      <c r="AM189" s="901">
        <f t="shared" si="363"/>
        <v>6.8770000000000024</v>
      </c>
      <c r="AN189" s="901">
        <f t="shared" si="363"/>
        <v>7.8920000000000048</v>
      </c>
      <c r="AO189" s="900">
        <f t="shared" si="363"/>
        <v>5.2240000000000038</v>
      </c>
      <c r="AP189" s="901">
        <f t="shared" si="363"/>
        <v>4.6390000000000029</v>
      </c>
      <c r="AQ189" s="901">
        <f t="shared" si="363"/>
        <v>2.7489999999999988</v>
      </c>
      <c r="AR189" s="901">
        <f t="shared" si="363"/>
        <v>1.5429999999999957</v>
      </c>
      <c r="AS189" s="900">
        <f t="shared" ref="AS189:BD189" si="364">AS185-AO185</f>
        <v>2.4334000000000024</v>
      </c>
      <c r="AT189" s="901">
        <f t="shared" si="364"/>
        <v>2.5365000000000038</v>
      </c>
      <c r="AU189" s="901">
        <f t="shared" si="364"/>
        <v>3.7963499999999968</v>
      </c>
      <c r="AV189" s="902">
        <f t="shared" si="364"/>
        <v>5.0813999999999986</v>
      </c>
      <c r="AW189" s="900">
        <f t="shared" si="364"/>
        <v>3.2120880000000049</v>
      </c>
      <c r="AX189" s="901">
        <f t="shared" si="364"/>
        <v>3.3481800000000028</v>
      </c>
      <c r="AY189" s="901">
        <f t="shared" si="364"/>
        <v>3.492642</v>
      </c>
      <c r="AZ189" s="902">
        <f t="shared" si="364"/>
        <v>3.658608000000001</v>
      </c>
      <c r="BA189" s="900">
        <f t="shared" si="364"/>
        <v>2.9979488000000032</v>
      </c>
      <c r="BB189" s="901">
        <f t="shared" si="364"/>
        <v>3.1249680000000062</v>
      </c>
      <c r="BC189" s="901">
        <f t="shared" si="364"/>
        <v>3.2597992000000033</v>
      </c>
      <c r="BD189" s="902">
        <f t="shared" si="364"/>
        <v>3.4147008000000056</v>
      </c>
      <c r="BE189" s="1119"/>
      <c r="BF189" s="201"/>
      <c r="BG189" s="201"/>
      <c r="BH189" s="901">
        <f>BH185-BG185</f>
        <v>0.27100000000000002</v>
      </c>
      <c r="BI189" s="901">
        <f t="shared" ref="BI189:BT189" si="365">BI185-BH185</f>
        <v>0.19200000000000006</v>
      </c>
      <c r="BJ189" s="901">
        <f t="shared" si="365"/>
        <v>0.874</v>
      </c>
      <c r="BK189" s="901">
        <f t="shared" si="365"/>
        <v>3.4460000000000006</v>
      </c>
      <c r="BL189" s="901">
        <f t="shared" si="365"/>
        <v>10.002000000000001</v>
      </c>
      <c r="BM189" s="901">
        <f t="shared" si="365"/>
        <v>11.797999999999998</v>
      </c>
      <c r="BN189" s="901">
        <f t="shared" si="365"/>
        <v>15.596000000000004</v>
      </c>
      <c r="BO189" s="901">
        <f t="shared" si="365"/>
        <v>18.569000000000003</v>
      </c>
      <c r="BP189" s="901">
        <f t="shared" si="365"/>
        <v>25.417999999999999</v>
      </c>
      <c r="BQ189" s="901">
        <f t="shared" si="365"/>
        <v>14.155000000000001</v>
      </c>
      <c r="BR189" s="901">
        <f t="shared" si="365"/>
        <v>13.847650000000002</v>
      </c>
      <c r="BS189" s="901">
        <f t="shared" si="365"/>
        <v>13.711518000000012</v>
      </c>
      <c r="BT189" s="901">
        <f t="shared" si="365"/>
        <v>12.797416800000008</v>
      </c>
      <c r="BU189" s="901">
        <f>BU185-BT185</f>
        <v>9.8540109360000088</v>
      </c>
      <c r="BV189" s="901">
        <f>BV185-BU185</f>
        <v>7.5312797868000132</v>
      </c>
      <c r="BW189" s="901">
        <f>BW185-BV185</f>
        <v>7.9078437761399982</v>
      </c>
      <c r="BX189" s="901">
        <f>BX185-BW185</f>
        <v>8.3032359649470209</v>
      </c>
      <c r="BY189" s="902">
        <f>BY185-BX185</f>
        <v>8.7183977631943606</v>
      </c>
      <c r="BZ189" s="36"/>
      <c r="CA189" s="36"/>
      <c r="CB189" s="36"/>
      <c r="CC189" s="36"/>
      <c r="CD189" s="36"/>
      <c r="CE189" s="36"/>
      <c r="CF189" s="36"/>
    </row>
    <row r="190" spans="1:84" ht="11.25" customHeight="1">
      <c r="A190" s="36"/>
      <c r="B190" s="36"/>
      <c r="C190" s="36"/>
      <c r="D190" s="36"/>
      <c r="E190" s="36"/>
      <c r="F190" s="36"/>
      <c r="G190" s="36"/>
      <c r="H190" s="36"/>
      <c r="I190" s="994" t="s">
        <v>377</v>
      </c>
      <c r="J190" s="54"/>
      <c r="K190" s="54"/>
      <c r="L190" s="54"/>
      <c r="M190" s="901"/>
      <c r="N190" s="901">
        <f>N185-M185</f>
        <v>4.0000000000000036E-3</v>
      </c>
      <c r="O190" s="901">
        <f t="shared" ref="O190:AJ190" si="366">O185-N185</f>
        <v>0.10999999999999999</v>
      </c>
      <c r="P190" s="901">
        <f t="shared" si="366"/>
        <v>0.18700000000000006</v>
      </c>
      <c r="Q190" s="900">
        <f t="shared" si="366"/>
        <v>0.54900000000000015</v>
      </c>
      <c r="R190" s="901">
        <f t="shared" si="366"/>
        <v>-0.15500000000000025</v>
      </c>
      <c r="S190" s="901">
        <f t="shared" si="366"/>
        <v>0.51200000000000001</v>
      </c>
      <c r="T190" s="902">
        <f t="shared" si="366"/>
        <v>-9.3999999999999861E-2</v>
      </c>
      <c r="U190" s="901">
        <f t="shared" si="366"/>
        <v>6.0630000000000006</v>
      </c>
      <c r="V190" s="901">
        <f t="shared" si="366"/>
        <v>-5.5709999999999997</v>
      </c>
      <c r="W190" s="901">
        <f t="shared" si="366"/>
        <v>0.47599999999999953</v>
      </c>
      <c r="X190" s="901">
        <f t="shared" si="366"/>
        <v>0.92400000000000038</v>
      </c>
      <c r="Y190" s="900">
        <f t="shared" si="366"/>
        <v>1.9020000000000001</v>
      </c>
      <c r="Z190" s="901">
        <f t="shared" si="366"/>
        <v>0.55299999999999994</v>
      </c>
      <c r="AA190" s="901">
        <f t="shared" si="366"/>
        <v>1.3020000000000005</v>
      </c>
      <c r="AB190" s="902">
        <f t="shared" si="366"/>
        <v>1.7739999999999991</v>
      </c>
      <c r="AC190" s="901">
        <f t="shared" si="366"/>
        <v>0.66699999999999982</v>
      </c>
      <c r="AD190" s="901">
        <f t="shared" si="366"/>
        <v>0.62700000000000067</v>
      </c>
      <c r="AE190" s="901">
        <f t="shared" si="366"/>
        <v>0.83499999999999908</v>
      </c>
      <c r="AF190" s="901">
        <f t="shared" si="366"/>
        <v>0.89800000000000146</v>
      </c>
      <c r="AG190" s="900">
        <f t="shared" si="366"/>
        <v>1.8549999999999986</v>
      </c>
      <c r="AH190" s="901">
        <f t="shared" si="366"/>
        <v>1.8450000000000024</v>
      </c>
      <c r="AI190" s="901">
        <f t="shared" si="366"/>
        <v>0.16699999999999804</v>
      </c>
      <c r="AJ190" s="901">
        <f t="shared" si="366"/>
        <v>0.2889999999999997</v>
      </c>
      <c r="AK190" s="900">
        <f t="shared" ref="AK190:AR190" si="367">AK185-AJ185</f>
        <v>3.1379999999999999</v>
      </c>
      <c r="AL190" s="901">
        <f t="shared" si="367"/>
        <v>1.6159999999999997</v>
      </c>
      <c r="AM190" s="901">
        <f t="shared" si="367"/>
        <v>1.8340000000000032</v>
      </c>
      <c r="AN190" s="901">
        <f t="shared" si="367"/>
        <v>1.304000000000002</v>
      </c>
      <c r="AO190" s="900">
        <f t="shared" si="367"/>
        <v>0.46999999999999886</v>
      </c>
      <c r="AP190" s="901">
        <f t="shared" si="367"/>
        <v>1.0309999999999988</v>
      </c>
      <c r="AQ190" s="901">
        <f t="shared" si="367"/>
        <v>-5.6000000000000938E-2</v>
      </c>
      <c r="AR190" s="901">
        <f t="shared" si="367"/>
        <v>9.7999999999998977E-2</v>
      </c>
      <c r="AS190" s="900">
        <f t="shared" ref="AS190:BD190" si="368">AS185-AR185</f>
        <v>1.3604000000000056</v>
      </c>
      <c r="AT190" s="901">
        <f t="shared" si="368"/>
        <v>1.1341000000000001</v>
      </c>
      <c r="AU190" s="901">
        <f t="shared" si="368"/>
        <v>1.2038499999999921</v>
      </c>
      <c r="AV190" s="902">
        <f t="shared" si="368"/>
        <v>1.3830500000000008</v>
      </c>
      <c r="AW190" s="900">
        <f t="shared" si="368"/>
        <v>-0.50891199999998804</v>
      </c>
      <c r="AX190" s="901">
        <f t="shared" si="368"/>
        <v>1.270191999999998</v>
      </c>
      <c r="AY190" s="901">
        <f t="shared" si="368"/>
        <v>1.3483119999999893</v>
      </c>
      <c r="AZ190" s="902">
        <f t="shared" si="368"/>
        <v>1.5490160000000017</v>
      </c>
      <c r="BA190" s="900">
        <f t="shared" si="368"/>
        <v>-1.1695711999999858</v>
      </c>
      <c r="BB190" s="901">
        <f t="shared" si="368"/>
        <v>1.397211200000001</v>
      </c>
      <c r="BC190" s="901">
        <f t="shared" si="368"/>
        <v>1.4831431999999865</v>
      </c>
      <c r="BD190" s="902">
        <f t="shared" si="368"/>
        <v>1.703917600000004</v>
      </c>
      <c r="BE190" s="1119"/>
      <c r="BF190" s="201"/>
      <c r="BG190" s="201"/>
      <c r="BH190" s="201"/>
      <c r="BI190" s="201"/>
      <c r="BJ190" s="201"/>
      <c r="BK190" s="201"/>
      <c r="BL190" s="201"/>
      <c r="BM190" s="201"/>
      <c r="BN190" s="198"/>
      <c r="BO190" s="198"/>
      <c r="BP190" s="201"/>
      <c r="BQ190" s="201"/>
      <c r="BR190" s="201"/>
      <c r="BS190" s="201"/>
      <c r="BT190" s="201"/>
      <c r="BU190" s="201"/>
      <c r="BV190" s="201"/>
      <c r="BW190" s="201"/>
      <c r="BX190" s="201"/>
      <c r="BY190" s="877"/>
      <c r="BZ190" s="36"/>
      <c r="CA190" s="36"/>
      <c r="CB190" s="36"/>
      <c r="CC190" s="36"/>
      <c r="CD190" s="36"/>
      <c r="CE190" s="36"/>
      <c r="CF190" s="36"/>
    </row>
    <row r="191" spans="1:84" ht="11.25" customHeight="1">
      <c r="A191" s="36"/>
      <c r="B191" s="36"/>
      <c r="C191" s="36"/>
      <c r="D191" s="36"/>
      <c r="E191" s="36"/>
      <c r="F191" s="36"/>
      <c r="G191" s="36"/>
      <c r="H191" s="36"/>
      <c r="I191" s="796" t="s">
        <v>389</v>
      </c>
      <c r="J191" s="54"/>
      <c r="K191" s="54"/>
      <c r="L191" s="54"/>
      <c r="M191" s="901"/>
      <c r="N191" s="901"/>
      <c r="O191" s="901"/>
      <c r="P191" s="901"/>
      <c r="Q191" s="1049">
        <f t="shared" ref="Q191:AJ191" si="369">(Q186-M186)*10000</f>
        <v>391.55840365122339</v>
      </c>
      <c r="R191" s="1050">
        <f t="shared" si="369"/>
        <v>244.6346159774352</v>
      </c>
      <c r="S191" s="1050">
        <f t="shared" si="369"/>
        <v>363.2411999188754</v>
      </c>
      <c r="T191" s="1051">
        <f t="shared" si="369"/>
        <v>185.77637053013046</v>
      </c>
      <c r="U191" s="1050">
        <f t="shared" si="369"/>
        <v>2044.3141290576016</v>
      </c>
      <c r="V191" s="1050">
        <f t="shared" si="369"/>
        <v>84.796588659555368</v>
      </c>
      <c r="W191" s="1050">
        <f t="shared" si="369"/>
        <v>-12.929755502647383</v>
      </c>
      <c r="X191" s="1050">
        <f t="shared" si="369"/>
        <v>243.11864639533582</v>
      </c>
      <c r="Y191" s="1049">
        <f t="shared" si="369"/>
        <v>-1594.2937860309512</v>
      </c>
      <c r="Z191" s="1050">
        <f t="shared" si="369"/>
        <v>469.279510539905</v>
      </c>
      <c r="AA191" s="1050">
        <f t="shared" si="369"/>
        <v>504.87774828104654</v>
      </c>
      <c r="AB191" s="1051">
        <f t="shared" si="369"/>
        <v>452.3993215289243</v>
      </c>
      <c r="AC191" s="1050">
        <f t="shared" si="369"/>
        <v>119.07775245960275</v>
      </c>
      <c r="AD191" s="1050">
        <f t="shared" si="369"/>
        <v>97.346149022990573</v>
      </c>
      <c r="AE191" s="1050">
        <f t="shared" si="369"/>
        <v>-80.95922693851648</v>
      </c>
      <c r="AF191" s="1050">
        <f t="shared" si="369"/>
        <v>-168.71577743070117</v>
      </c>
      <c r="AG191" s="1049">
        <f t="shared" si="369"/>
        <v>-14.774357209026977</v>
      </c>
      <c r="AH191" s="1050">
        <f t="shared" si="369"/>
        <v>99.711092008004243</v>
      </c>
      <c r="AI191" s="1050">
        <f t="shared" si="369"/>
        <v>99.517444798546407</v>
      </c>
      <c r="AJ191" s="1050">
        <f t="shared" si="369"/>
        <v>13.466125631232673</v>
      </c>
      <c r="AK191" s="1049">
        <f t="shared" ref="AK191:AR191" si="370">(AK186-AG186)*10000</f>
        <v>-17.989309653641399</v>
      </c>
      <c r="AL191" s="1050">
        <f t="shared" si="370"/>
        <v>-40.272245726452326</v>
      </c>
      <c r="AM191" s="1050">
        <f t="shared" si="370"/>
        <v>46.236224104181936</v>
      </c>
      <c r="AN191" s="1050">
        <f t="shared" si="370"/>
        <v>136.32393403978912</v>
      </c>
      <c r="AO191" s="1049">
        <f t="shared" si="370"/>
        <v>28.387191473536049</v>
      </c>
      <c r="AP191" s="1050">
        <f t="shared" si="370"/>
        <v>19.348539787671648</v>
      </c>
      <c r="AQ191" s="1050">
        <f t="shared" si="370"/>
        <v>-73.295290770118015</v>
      </c>
      <c r="AR191" s="1050">
        <f t="shared" si="370"/>
        <v>-60.931442945098141</v>
      </c>
      <c r="AS191" s="1049">
        <f t="shared" ref="AS191:BD191" si="371">(AS186-AO186)*10000</f>
        <v>-23.107011077448668</v>
      </c>
      <c r="AT191" s="1050">
        <f t="shared" si="371"/>
        <v>-8.6573817633261996</v>
      </c>
      <c r="AU191" s="1050">
        <f t="shared" si="371"/>
        <v>35.505871415972003</v>
      </c>
      <c r="AV191" s="1051">
        <f t="shared" si="371"/>
        <v>11.198052128383178</v>
      </c>
      <c r="AW191" s="1049">
        <f t="shared" si="371"/>
        <v>-66.717001364169775</v>
      </c>
      <c r="AX191" s="1050">
        <f t="shared" si="371"/>
        <v>-52.6445075219982</v>
      </c>
      <c r="AY191" s="1050">
        <f t="shared" si="371"/>
        <v>-36.992222859585226</v>
      </c>
      <c r="AZ191" s="1051">
        <f t="shared" si="371"/>
        <v>-23.284799865151278</v>
      </c>
      <c r="BA191" s="1049">
        <f t="shared" si="371"/>
        <v>-38.24047222614174</v>
      </c>
      <c r="BB191" s="1050">
        <f t="shared" si="371"/>
        <v>-34.886336780088619</v>
      </c>
      <c r="BC191" s="1050">
        <f t="shared" si="371"/>
        <v>-25.774441108916136</v>
      </c>
      <c r="BD191" s="1051">
        <f t="shared" si="371"/>
        <v>-20.681528510804181</v>
      </c>
      <c r="BE191" s="1119"/>
      <c r="BF191" s="201"/>
      <c r="BG191" s="201"/>
      <c r="BH191" s="1050">
        <f t="shared" ref="BH191:BT191" si="372">(BH186-BG186)*10000</f>
        <v>49.682411488377113</v>
      </c>
      <c r="BI191" s="1050">
        <f t="shared" si="372"/>
        <v>-84.859196074893376</v>
      </c>
      <c r="BJ191" s="1050">
        <f t="shared" si="372"/>
        <v>83.980607546401131</v>
      </c>
      <c r="BK191" s="1050">
        <f t="shared" si="372"/>
        <v>285.77447811562024</v>
      </c>
      <c r="BL191" s="1050">
        <f t="shared" si="372"/>
        <v>496.01029155478449</v>
      </c>
      <c r="BM191" s="1050">
        <f t="shared" si="372"/>
        <v>63.404664252380144</v>
      </c>
      <c r="BN191" s="1050">
        <f t="shared" si="372"/>
        <v>-25.286802540314262</v>
      </c>
      <c r="BO191" s="1050">
        <f t="shared" si="372"/>
        <v>53.263099304522441</v>
      </c>
      <c r="BP191" s="1050">
        <f t="shared" si="372"/>
        <v>36.729715248506324</v>
      </c>
      <c r="BQ191" s="1050">
        <f t="shared" si="372"/>
        <v>-23.901614149242079</v>
      </c>
      <c r="BR191" s="1050">
        <f t="shared" si="372"/>
        <v>4.4369476403732788</v>
      </c>
      <c r="BS191" s="1050">
        <f t="shared" si="372"/>
        <v>-43.92486619939087</v>
      </c>
      <c r="BT191" s="1050">
        <f t="shared" si="372"/>
        <v>-29.608034651394249</v>
      </c>
      <c r="BU191" s="1050">
        <f>(BU186-BT186)*10000</f>
        <v>-41.266825482571683</v>
      </c>
      <c r="BV191" s="1050">
        <f>(BV186-BU186)*10000</f>
        <v>-46.840506673926917</v>
      </c>
      <c r="BW191" s="1050">
        <f>(BW186-BV186)*10000</f>
        <v>-34.553328705932834</v>
      </c>
      <c r="BX191" s="1050">
        <f>(BX186-BW186)*10000</f>
        <v>-25.116196280853959</v>
      </c>
      <c r="BY191" s="1051">
        <f>(BY186-BX186)*10000</f>
        <v>-18.124595443396036</v>
      </c>
      <c r="BZ191" s="36"/>
      <c r="CA191" s="36"/>
      <c r="CB191" s="36"/>
      <c r="CC191" s="36"/>
      <c r="CD191" s="36"/>
      <c r="CE191" s="36"/>
      <c r="CF191" s="36"/>
    </row>
    <row r="192" spans="1:84" ht="11.25" customHeight="1">
      <c r="A192" s="36"/>
      <c r="B192" s="36"/>
      <c r="C192" s="36"/>
      <c r="D192" s="36"/>
      <c r="E192" s="36"/>
      <c r="F192" s="36"/>
      <c r="G192" s="36"/>
      <c r="H192" s="36"/>
      <c r="I192" s="796" t="s">
        <v>368</v>
      </c>
      <c r="J192" s="54"/>
      <c r="K192" s="54"/>
      <c r="L192" s="54"/>
      <c r="M192" s="106"/>
      <c r="N192" s="899">
        <f>(N186-M186)*10000</f>
        <v>-37.344082570177839</v>
      </c>
      <c r="O192" s="899">
        <f t="shared" ref="O192:AJ192" si="373">(O186-N186)*10000</f>
        <v>51.826245009857288</v>
      </c>
      <c r="P192" s="899">
        <f t="shared" si="373"/>
        <v>71.299262308992041</v>
      </c>
      <c r="Q192" s="907">
        <f t="shared" si="373"/>
        <v>305.77697890255189</v>
      </c>
      <c r="R192" s="908">
        <f t="shared" si="373"/>
        <v>-184.26787024396603</v>
      </c>
      <c r="S192" s="908">
        <f t="shared" si="373"/>
        <v>170.43282895129747</v>
      </c>
      <c r="T192" s="909">
        <f t="shared" si="373"/>
        <v>-106.16556707975289</v>
      </c>
      <c r="U192" s="899">
        <f t="shared" si="373"/>
        <v>2164.3147374300233</v>
      </c>
      <c r="V192" s="899">
        <f t="shared" si="373"/>
        <v>-2143.7854106420123</v>
      </c>
      <c r="W192" s="899">
        <f t="shared" si="373"/>
        <v>72.706484789094716</v>
      </c>
      <c r="X192" s="899">
        <f t="shared" si="373"/>
        <v>149.88283481823032</v>
      </c>
      <c r="Y192" s="907">
        <f t="shared" si="373"/>
        <v>326.90230500373633</v>
      </c>
      <c r="Z192" s="908">
        <f t="shared" si="373"/>
        <v>-80.212114071156336</v>
      </c>
      <c r="AA192" s="908">
        <f t="shared" si="373"/>
        <v>108.30472253023623</v>
      </c>
      <c r="AB192" s="909">
        <f t="shared" si="373"/>
        <v>97.40440806610809</v>
      </c>
      <c r="AC192" s="899">
        <f t="shared" si="373"/>
        <v>-6.4192640655852395</v>
      </c>
      <c r="AD192" s="899">
        <f t="shared" si="373"/>
        <v>-101.94371750776851</v>
      </c>
      <c r="AE192" s="899">
        <f t="shared" si="373"/>
        <v>-70.00065343127082</v>
      </c>
      <c r="AF192" s="899">
        <f t="shared" si="373"/>
        <v>9.6478575739233907</v>
      </c>
      <c r="AG192" s="907">
        <f t="shared" si="373"/>
        <v>147.52215615608895</v>
      </c>
      <c r="AH192" s="908">
        <f t="shared" si="373"/>
        <v>12.541731709262704</v>
      </c>
      <c r="AI192" s="908">
        <f t="shared" si="373"/>
        <v>-70.194300640728656</v>
      </c>
      <c r="AJ192" s="908">
        <f t="shared" si="373"/>
        <v>-76.403461593390347</v>
      </c>
      <c r="AK192" s="907">
        <f t="shared" ref="AK192:AR192" si="374">(AK186-AJ186)*10000</f>
        <v>116.06672087121488</v>
      </c>
      <c r="AL192" s="908">
        <f t="shared" si="374"/>
        <v>-9.7412043635482224</v>
      </c>
      <c r="AM192" s="908">
        <f t="shared" si="374"/>
        <v>16.314169189905609</v>
      </c>
      <c r="AN192" s="908">
        <f t="shared" si="374"/>
        <v>13.684248342216849</v>
      </c>
      <c r="AO192" s="907">
        <f t="shared" si="374"/>
        <v>8.1299783049618153</v>
      </c>
      <c r="AP192" s="908">
        <f t="shared" si="374"/>
        <v>-18.779856049412626</v>
      </c>
      <c r="AQ192" s="908">
        <f t="shared" si="374"/>
        <v>-76.329661367884043</v>
      </c>
      <c r="AR192" s="908">
        <f t="shared" si="374"/>
        <v>26.048096167236718</v>
      </c>
      <c r="AS192" s="907">
        <f t="shared" ref="AS192:BD192" si="375">(AS186-AR186)*10000</f>
        <v>45.95441017261129</v>
      </c>
      <c r="AT192" s="908">
        <f t="shared" si="375"/>
        <v>-4.3302267352901547</v>
      </c>
      <c r="AU192" s="908">
        <f t="shared" si="375"/>
        <v>-32.166408188585848</v>
      </c>
      <c r="AV192" s="909">
        <f t="shared" si="375"/>
        <v>1.7402768796478951</v>
      </c>
      <c r="AW192" s="907">
        <f t="shared" si="375"/>
        <v>-31.960643319941667</v>
      </c>
      <c r="AX192" s="908">
        <f t="shared" si="375"/>
        <v>9.7422671068814193</v>
      </c>
      <c r="AY192" s="908">
        <f t="shared" si="375"/>
        <v>-16.514123526172874</v>
      </c>
      <c r="AZ192" s="909">
        <f t="shared" si="375"/>
        <v>15.447699874081843</v>
      </c>
      <c r="BA192" s="907">
        <f t="shared" si="375"/>
        <v>-46.916315680932129</v>
      </c>
      <c r="BB192" s="908">
        <f t="shared" si="375"/>
        <v>13.096402552934538</v>
      </c>
      <c r="BC192" s="908">
        <f t="shared" si="375"/>
        <v>-7.4022278550003868</v>
      </c>
      <c r="BD192" s="909">
        <f t="shared" si="375"/>
        <v>20.540612472193796</v>
      </c>
      <c r="BE192" s="883"/>
      <c r="BF192" s="106"/>
      <c r="BG192" s="106"/>
      <c r="BH192" s="106"/>
      <c r="BI192" s="106"/>
      <c r="BJ192" s="106"/>
      <c r="BK192" s="106"/>
      <c r="BL192" s="106"/>
      <c r="BM192" s="106"/>
      <c r="BO192" s="106"/>
      <c r="BP192" s="106"/>
      <c r="BQ192" s="106"/>
      <c r="BR192" s="106"/>
      <c r="BS192" s="106"/>
      <c r="BT192" s="106"/>
      <c r="BV192" s="83"/>
      <c r="BW192" s="83"/>
      <c r="BX192" s="83"/>
      <c r="BY192" s="883"/>
    </row>
    <row r="193" spans="1:84" ht="11.25" customHeight="1">
      <c r="A193" s="36"/>
      <c r="B193" s="36"/>
      <c r="C193" s="36"/>
      <c r="D193" s="36"/>
      <c r="E193" s="36"/>
      <c r="F193" s="36"/>
      <c r="G193" s="36"/>
      <c r="H193" s="36"/>
      <c r="I193" s="796"/>
      <c r="J193" s="54"/>
      <c r="K193" s="54"/>
      <c r="L193" s="54"/>
      <c r="M193" s="106"/>
      <c r="N193" s="899"/>
      <c r="O193" s="899"/>
      <c r="P193" s="899"/>
      <c r="Q193" s="907"/>
      <c r="R193" s="908"/>
      <c r="S193" s="908"/>
      <c r="T193" s="909"/>
      <c r="U193" s="899"/>
      <c r="V193" s="899"/>
      <c r="W193" s="899"/>
      <c r="X193" s="899"/>
      <c r="Y193" s="907"/>
      <c r="Z193" s="908"/>
      <c r="AA193" s="908"/>
      <c r="AB193" s="909"/>
      <c r="AC193" s="899"/>
      <c r="AD193" s="899"/>
      <c r="AE193" s="899"/>
      <c r="AF193" s="899"/>
      <c r="AG193" s="907"/>
      <c r="AH193" s="908"/>
      <c r="AI193" s="908"/>
      <c r="AJ193" s="908"/>
      <c r="AK193" s="907"/>
      <c r="AL193" s="908"/>
      <c r="AM193" s="908"/>
      <c r="AN193" s="909"/>
      <c r="AO193" s="907"/>
      <c r="AP193" s="908"/>
      <c r="AQ193" s="908"/>
      <c r="AR193" s="909"/>
      <c r="AS193" s="907"/>
      <c r="AT193" s="908"/>
      <c r="AU193" s="908"/>
      <c r="AV193" s="909"/>
      <c r="AW193" s="907"/>
      <c r="AX193" s="908"/>
      <c r="AY193" s="908"/>
      <c r="AZ193" s="909"/>
      <c r="BA193" s="907"/>
      <c r="BB193" s="908"/>
      <c r="BC193" s="908"/>
      <c r="BD193" s="909"/>
      <c r="BE193" s="883"/>
      <c r="BF193" s="106"/>
      <c r="BG193" s="106"/>
      <c r="BH193" s="106"/>
      <c r="BI193" s="106"/>
      <c r="BJ193" s="106"/>
      <c r="BK193" s="106"/>
      <c r="BL193" s="106"/>
      <c r="BM193" s="106"/>
      <c r="BO193" s="106"/>
      <c r="BP193" s="106"/>
      <c r="BQ193" s="106"/>
      <c r="BR193" s="106"/>
      <c r="BS193" s="106"/>
      <c r="BT193" s="106"/>
      <c r="BV193" s="83"/>
      <c r="BW193" s="83"/>
      <c r="BX193" s="83"/>
      <c r="BY193" s="883"/>
    </row>
    <row r="194" spans="1:84" ht="11.25" customHeight="1">
      <c r="A194" s="36"/>
      <c r="B194" s="36"/>
      <c r="C194" s="36"/>
      <c r="D194" s="36"/>
      <c r="E194" s="36"/>
      <c r="F194" s="36"/>
      <c r="G194" s="36"/>
      <c r="H194" s="36"/>
      <c r="I194" s="796"/>
      <c r="J194" s="54"/>
      <c r="K194" s="54"/>
      <c r="L194" s="54"/>
      <c r="N194" s="899"/>
      <c r="O194" s="899"/>
      <c r="P194" s="899"/>
      <c r="Q194" s="907"/>
      <c r="R194" s="908"/>
      <c r="S194" s="908"/>
      <c r="T194" s="909"/>
      <c r="U194" s="899"/>
      <c r="V194" s="899"/>
      <c r="W194" s="899"/>
      <c r="X194" s="899"/>
      <c r="Y194" s="907"/>
      <c r="Z194" s="908"/>
      <c r="AA194" s="908"/>
      <c r="AB194" s="909"/>
      <c r="AC194" s="899"/>
      <c r="AD194" s="899"/>
      <c r="AE194" s="899"/>
      <c r="AF194" s="899"/>
      <c r="AG194" s="907"/>
      <c r="AH194" s="908"/>
      <c r="AI194" s="908"/>
      <c r="AJ194" s="908"/>
      <c r="AK194" s="907"/>
      <c r="AL194" s="908"/>
      <c r="AM194" s="908"/>
      <c r="AN194" s="909"/>
      <c r="AO194" s="907"/>
      <c r="AP194" s="908"/>
      <c r="AQ194" s="908"/>
      <c r="AR194" s="909"/>
      <c r="AS194" s="907"/>
      <c r="AT194" s="908"/>
      <c r="AU194" s="908"/>
      <c r="AV194" s="909"/>
      <c r="AW194" s="907"/>
      <c r="AX194" s="908"/>
      <c r="AY194" s="908"/>
      <c r="AZ194" s="909"/>
      <c r="BA194" s="907"/>
      <c r="BB194" s="908"/>
      <c r="BC194" s="908"/>
      <c r="BD194" s="909"/>
      <c r="BE194" s="883"/>
      <c r="BF194" s="106"/>
      <c r="BG194" s="106"/>
      <c r="BH194" s="106"/>
      <c r="BI194" s="106"/>
      <c r="BJ194" s="106"/>
      <c r="BK194" s="106"/>
      <c r="BL194" s="106"/>
      <c r="BM194" s="106"/>
      <c r="BO194" s="106"/>
      <c r="BP194" s="106"/>
      <c r="BQ194" s="106"/>
      <c r="BR194" s="106"/>
      <c r="BS194" s="106"/>
      <c r="BT194" s="106"/>
      <c r="BV194" s="83"/>
      <c r="BW194" s="83"/>
      <c r="BX194" s="83"/>
      <c r="BY194" s="883"/>
    </row>
    <row r="195" spans="1:84" s="41" customFormat="1" ht="11.25" customHeight="1">
      <c r="A195" s="29"/>
      <c r="B195" s="29"/>
      <c r="C195" s="29"/>
      <c r="D195" s="29"/>
      <c r="E195" s="29"/>
      <c r="F195" s="29"/>
      <c r="G195" s="29"/>
      <c r="H195" s="29"/>
      <c r="I195" s="138" t="s">
        <v>274</v>
      </c>
      <c r="J195" s="233"/>
      <c r="K195" s="233"/>
      <c r="L195" s="233"/>
      <c r="M195" s="297"/>
      <c r="N195" s="297"/>
      <c r="O195" s="297"/>
      <c r="P195" s="297"/>
      <c r="Q195" s="2136">
        <f t="shared" ref="Q195:AB195" si="376">+Q231</f>
        <v>669.1275167785235</v>
      </c>
      <c r="R195" s="297">
        <f t="shared" si="376"/>
        <v>740.54054054054052</v>
      </c>
      <c r="S195" s="297">
        <f t="shared" si="376"/>
        <v>854.92957746478874</v>
      </c>
      <c r="T195" s="2119">
        <f t="shared" si="376"/>
        <v>918</v>
      </c>
      <c r="U195" s="297">
        <f t="shared" si="376"/>
        <v>997</v>
      </c>
      <c r="V195" s="297">
        <f t="shared" si="376"/>
        <v>1096</v>
      </c>
      <c r="W195" s="297">
        <f t="shared" si="376"/>
        <v>1214</v>
      </c>
      <c r="X195" s="297">
        <f t="shared" si="376"/>
        <v>1387</v>
      </c>
      <c r="Y195" s="2136">
        <f t="shared" si="376"/>
        <v>1479</v>
      </c>
      <c r="Z195" s="297">
        <f t="shared" si="376"/>
        <v>1536</v>
      </c>
      <c r="AA195" s="297">
        <f t="shared" si="376"/>
        <v>1806</v>
      </c>
      <c r="AB195" s="2119">
        <f t="shared" si="376"/>
        <v>1984</v>
      </c>
      <c r="AC195" s="297">
        <f t="shared" ref="AC195:AJ195" si="377">+AC231</f>
        <v>2154</v>
      </c>
      <c r="AD195" s="297">
        <f t="shared" si="377"/>
        <v>2345</v>
      </c>
      <c r="AE195" s="297">
        <f t="shared" si="377"/>
        <v>2639</v>
      </c>
      <c r="AF195" s="297">
        <f t="shared" si="377"/>
        <v>2711</v>
      </c>
      <c r="AG195" s="2136">
        <f t="shared" si="377"/>
        <v>3121</v>
      </c>
      <c r="AH195" s="297">
        <f t="shared" si="377"/>
        <v>3250</v>
      </c>
      <c r="AI195" s="297">
        <f t="shared" si="377"/>
        <v>3650</v>
      </c>
      <c r="AJ195" s="297">
        <f t="shared" si="377"/>
        <v>3826</v>
      </c>
      <c r="AK195" s="2136">
        <f t="shared" ref="AK195:AN195" si="378">+AK231</f>
        <v>4028</v>
      </c>
      <c r="AL195" s="297">
        <f t="shared" si="378"/>
        <v>4154</v>
      </c>
      <c r="AM195" s="297">
        <f t="shared" si="378"/>
        <v>4350</v>
      </c>
      <c r="AN195" s="2119">
        <f t="shared" si="378"/>
        <v>4250</v>
      </c>
      <c r="AO195" s="2136">
        <f>+AO231</f>
        <v>4350</v>
      </c>
      <c r="AP195" s="297">
        <f>+AP231</f>
        <v>4600</v>
      </c>
      <c r="AQ195" s="297">
        <f>+AQ231</f>
        <v>5050</v>
      </c>
      <c r="AR195" s="2119">
        <f t="shared" ref="AR195" si="379">+AR231</f>
        <v>5200</v>
      </c>
      <c r="AS195" s="2136">
        <f t="shared" ref="AS195:BD195" si="380">+AS231</f>
        <v>5275</v>
      </c>
      <c r="AT195" s="297">
        <f t="shared" si="380"/>
        <v>5350</v>
      </c>
      <c r="AU195" s="297">
        <f t="shared" si="380"/>
        <v>5450</v>
      </c>
      <c r="AV195" s="2119">
        <f t="shared" si="380"/>
        <v>5550</v>
      </c>
      <c r="AW195" s="2136">
        <f t="shared" si="380"/>
        <v>5320</v>
      </c>
      <c r="AX195" s="297">
        <f t="shared" si="380"/>
        <v>5440</v>
      </c>
      <c r="AY195" s="297">
        <f t="shared" si="380"/>
        <v>5535</v>
      </c>
      <c r="AZ195" s="2119">
        <f t="shared" si="380"/>
        <v>5605</v>
      </c>
      <c r="BA195" s="2136">
        <f t="shared" si="380"/>
        <v>5700</v>
      </c>
      <c r="BB195" s="297">
        <f t="shared" si="380"/>
        <v>5795</v>
      </c>
      <c r="BC195" s="297">
        <f t="shared" si="380"/>
        <v>5860</v>
      </c>
      <c r="BD195" s="2119">
        <f t="shared" si="380"/>
        <v>5915</v>
      </c>
      <c r="BE195" s="2354"/>
      <c r="BF195" s="231"/>
      <c r="BG195" s="297"/>
      <c r="BH195" s="297"/>
      <c r="BI195" s="297"/>
      <c r="BJ195" s="297"/>
      <c r="BK195" s="297">
        <f t="shared" ref="BK195:BY195" si="381">+BK231</f>
        <v>918</v>
      </c>
      <c r="BL195" s="297">
        <f t="shared" si="381"/>
        <v>1387</v>
      </c>
      <c r="BM195" s="297">
        <f t="shared" si="381"/>
        <v>1984</v>
      </c>
      <c r="BN195" s="297">
        <f t="shared" si="381"/>
        <v>2711</v>
      </c>
      <c r="BO195" s="297">
        <f t="shared" si="381"/>
        <v>3826</v>
      </c>
      <c r="BP195" s="297">
        <f t="shared" si="381"/>
        <v>4250</v>
      </c>
      <c r="BQ195" s="297">
        <f t="shared" si="381"/>
        <v>5200</v>
      </c>
      <c r="BR195" s="297">
        <f t="shared" si="381"/>
        <v>5550</v>
      </c>
      <c r="BS195" s="297">
        <f t="shared" si="381"/>
        <v>5605</v>
      </c>
      <c r="BT195" s="297">
        <f t="shared" si="381"/>
        <v>5915</v>
      </c>
      <c r="BU195" s="297">
        <f t="shared" si="381"/>
        <v>6152.5</v>
      </c>
      <c r="BV195" s="297">
        <f t="shared" si="381"/>
        <v>6323.75</v>
      </c>
      <c r="BW195" s="297">
        <f t="shared" si="381"/>
        <v>6445.625</v>
      </c>
      <c r="BX195" s="297">
        <f t="shared" si="381"/>
        <v>6539.9375</v>
      </c>
      <c r="BY195" s="2119">
        <f t="shared" si="381"/>
        <v>6614.9562500000002</v>
      </c>
    </row>
    <row r="196" spans="1:84" ht="11.25" customHeight="1">
      <c r="A196" s="36"/>
      <c r="B196" s="36"/>
      <c r="C196" s="36"/>
      <c r="D196" s="36"/>
      <c r="E196" s="36"/>
      <c r="F196" s="36"/>
      <c r="G196" s="36"/>
      <c r="H196" s="36"/>
      <c r="I196" s="796" t="s">
        <v>578</v>
      </c>
      <c r="J196" s="54"/>
      <c r="K196" s="54"/>
      <c r="L196" s="54"/>
      <c r="N196" s="899"/>
      <c r="O196" s="899"/>
      <c r="P196" s="899"/>
      <c r="Q196" s="907"/>
      <c r="R196" s="908"/>
      <c r="S196" s="908"/>
      <c r="T196" s="909"/>
      <c r="U196" s="899"/>
      <c r="V196" s="899"/>
      <c r="W196" s="899"/>
      <c r="X196" s="899"/>
      <c r="Y196" s="907"/>
      <c r="Z196" s="908"/>
      <c r="AA196" s="908"/>
      <c r="AB196" s="909"/>
      <c r="AC196" s="899"/>
      <c r="AD196" s="899"/>
      <c r="AE196" s="899"/>
      <c r="AF196" s="899"/>
      <c r="AG196" s="907"/>
      <c r="AH196" s="908"/>
      <c r="AI196" s="908"/>
      <c r="AJ196" s="908"/>
      <c r="AK196" s="907"/>
      <c r="AL196" s="908"/>
      <c r="AM196" s="908"/>
      <c r="AN196" s="909"/>
      <c r="AO196" s="907"/>
      <c r="AP196" s="908"/>
      <c r="AQ196" s="908"/>
      <c r="AR196" s="909"/>
      <c r="AS196" s="907"/>
      <c r="AT196" s="908"/>
      <c r="AU196" s="908"/>
      <c r="AV196" s="909"/>
      <c r="AW196" s="907"/>
      <c r="AX196" s="908"/>
      <c r="AY196" s="908"/>
      <c r="AZ196" s="909"/>
      <c r="BA196" s="907"/>
      <c r="BB196" s="908"/>
      <c r="BC196" s="908"/>
      <c r="BD196" s="909"/>
      <c r="BE196" s="883"/>
      <c r="BF196" s="106"/>
      <c r="BG196" s="106"/>
      <c r="BH196" s="106"/>
      <c r="BI196" s="106"/>
      <c r="BJ196" s="106"/>
      <c r="BK196" s="1304">
        <f>+BK185*1000000/BK195</f>
        <v>5312.6361655773435</v>
      </c>
      <c r="BL196" s="2151">
        <f>+BL185*1000000/(AVERAGE(BK195:BL195))</f>
        <v>12910.195227765727</v>
      </c>
      <c r="BM196" s="2151">
        <f t="shared" ref="BM196:BY196" si="382">+BM185*1000000/(AVERAGE(BL195:BM195))</f>
        <v>15827.350934440819</v>
      </c>
      <c r="BN196" s="1304">
        <f t="shared" si="382"/>
        <v>18007.667731629394</v>
      </c>
      <c r="BO196" s="1304">
        <f t="shared" si="382"/>
        <v>18614.655040538477</v>
      </c>
      <c r="BP196" s="1304">
        <f t="shared" si="382"/>
        <v>21362.060425953441</v>
      </c>
      <c r="BQ196" s="1304">
        <f t="shared" si="382"/>
        <v>21251.85185185185</v>
      </c>
      <c r="BR196" s="1304">
        <f t="shared" si="382"/>
        <v>21258.167441860467</v>
      </c>
      <c r="BS196" s="1304">
        <f t="shared" si="382"/>
        <v>22944.718601523982</v>
      </c>
      <c r="BT196" s="1304">
        <f t="shared" si="382"/>
        <v>24439.511250000007</v>
      </c>
      <c r="BU196" s="1304">
        <f t="shared" si="382"/>
        <v>24963.844331634562</v>
      </c>
      <c r="BV196" s="1304">
        <f t="shared" si="382"/>
        <v>25353.271299116332</v>
      </c>
      <c r="BW196" s="1304">
        <f t="shared" si="382"/>
        <v>26009.84297178837</v>
      </c>
      <c r="BX196" s="1304">
        <f t="shared" si="382"/>
        <v>26855.664552673337</v>
      </c>
      <c r="BY196" s="1306">
        <f t="shared" si="382"/>
        <v>27835.474235902733</v>
      </c>
    </row>
    <row r="197" spans="1:84" ht="11.25" customHeight="1">
      <c r="A197" s="36"/>
      <c r="B197" s="36"/>
      <c r="C197" s="36"/>
      <c r="D197" s="36"/>
      <c r="E197" s="36"/>
      <c r="F197" s="36"/>
      <c r="G197" s="36"/>
      <c r="H197" s="36"/>
      <c r="I197" s="796" t="s">
        <v>543</v>
      </c>
      <c r="J197" s="54"/>
      <c r="K197" s="54"/>
      <c r="L197" s="54"/>
      <c r="N197" s="899"/>
      <c r="O197" s="899"/>
      <c r="P197" s="899"/>
      <c r="Q197" s="907"/>
      <c r="R197" s="908"/>
      <c r="S197" s="908"/>
      <c r="T197" s="909"/>
      <c r="U197" s="899"/>
      <c r="V197" s="899"/>
      <c r="W197" s="899"/>
      <c r="X197" s="899"/>
      <c r="Y197" s="907"/>
      <c r="Z197" s="908"/>
      <c r="AA197" s="908"/>
      <c r="AB197" s="909"/>
      <c r="AC197" s="899"/>
      <c r="AD197" s="899"/>
      <c r="AE197" s="899"/>
      <c r="AF197" s="899"/>
      <c r="AG197" s="907"/>
      <c r="AH197" s="908"/>
      <c r="AI197" s="908"/>
      <c r="AJ197" s="908"/>
      <c r="AK197" s="907"/>
      <c r="AL197" s="908"/>
      <c r="AM197" s="908"/>
      <c r="AN197" s="909"/>
      <c r="AO197" s="907"/>
      <c r="AP197" s="908"/>
      <c r="AQ197" s="908"/>
      <c r="AR197" s="909"/>
      <c r="AS197" s="2860"/>
      <c r="AT197" s="2860"/>
      <c r="AU197" s="2860"/>
      <c r="AV197" s="2860"/>
      <c r="AW197" s="907"/>
      <c r="AX197" s="908"/>
      <c r="AY197" s="908"/>
      <c r="AZ197" s="909"/>
      <c r="BA197" s="907"/>
      <c r="BB197" s="908"/>
      <c r="BC197" s="908"/>
      <c r="BD197" s="909"/>
      <c r="BE197" s="883"/>
      <c r="BF197" s="106"/>
      <c r="BG197" s="106"/>
      <c r="BH197" s="106"/>
      <c r="BI197" s="106"/>
      <c r="BJ197" s="106"/>
      <c r="BK197" s="106"/>
      <c r="BL197" s="976">
        <f>+BL196/BK196-1</f>
        <v>1.4300921097168207</v>
      </c>
      <c r="BM197" s="976">
        <f t="shared" ref="BM197:BY197" si="383">+BM196/BL196-1</f>
        <v>0.22595752079730103</v>
      </c>
      <c r="BN197" s="976">
        <f t="shared" si="383"/>
        <v>0.13775626800844698</v>
      </c>
      <c r="BO197" s="976">
        <f t="shared" si="383"/>
        <v>3.3707158414687299E-2</v>
      </c>
      <c r="BP197" s="976">
        <f t="shared" si="383"/>
        <v>0.14759367710181803</v>
      </c>
      <c r="BQ197" s="976">
        <f t="shared" si="383"/>
        <v>-5.1590797846304826E-3</v>
      </c>
      <c r="BR197" s="976">
        <f t="shared" si="383"/>
        <v>2.9717833780518177E-4</v>
      </c>
      <c r="BS197" s="976">
        <f t="shared" si="383"/>
        <v>7.933662034961908E-2</v>
      </c>
      <c r="BT197" s="976">
        <f t="shared" si="383"/>
        <v>6.5147569444444553E-2</v>
      </c>
      <c r="BU197" s="976">
        <f t="shared" si="383"/>
        <v>2.145431945307652E-2</v>
      </c>
      <c r="BV197" s="976">
        <f t="shared" si="383"/>
        <v>1.5599639314697988E-2</v>
      </c>
      <c r="BW197" s="976">
        <f t="shared" si="383"/>
        <v>2.5896921345014867E-2</v>
      </c>
      <c r="BX197" s="976">
        <f t="shared" si="383"/>
        <v>3.2519288248006317E-2</v>
      </c>
      <c r="BY197" s="1130">
        <f t="shared" si="383"/>
        <v>3.6484283652994165E-2</v>
      </c>
      <c r="BZ197" s="976"/>
    </row>
    <row r="198" spans="1:84" ht="11.25" customHeight="1">
      <c r="A198" s="36"/>
      <c r="B198" s="36"/>
      <c r="C198" s="36"/>
      <c r="D198" s="36"/>
      <c r="E198" s="36"/>
      <c r="F198" s="36"/>
      <c r="G198" s="36"/>
      <c r="H198" s="36"/>
      <c r="I198" s="796"/>
      <c r="J198" s="54"/>
      <c r="K198" s="54"/>
      <c r="L198" s="54"/>
      <c r="M198" s="198"/>
      <c r="N198" s="198"/>
      <c r="O198" s="198"/>
      <c r="P198" s="198"/>
      <c r="Q198" s="751"/>
      <c r="R198" s="198"/>
      <c r="S198" s="198"/>
      <c r="T198" s="752"/>
      <c r="U198" s="198"/>
      <c r="V198" s="198"/>
      <c r="W198" s="198"/>
      <c r="X198" s="198"/>
      <c r="Y198" s="751"/>
      <c r="Z198" s="198"/>
      <c r="AA198" s="198"/>
      <c r="AB198" s="752"/>
      <c r="AC198" s="198"/>
      <c r="AD198" s="198"/>
      <c r="AE198" s="198"/>
      <c r="AF198" s="198"/>
      <c r="AG198" s="751"/>
      <c r="AH198" s="198"/>
      <c r="AI198" s="198"/>
      <c r="AJ198" s="198"/>
      <c r="AK198" s="751"/>
      <c r="AL198" s="198"/>
      <c r="AM198" s="198"/>
      <c r="AN198" s="752"/>
      <c r="AO198" s="751"/>
      <c r="AP198" s="198"/>
      <c r="AQ198" s="198"/>
      <c r="AR198" s="752"/>
      <c r="AS198" s="751"/>
      <c r="AT198" s="198"/>
      <c r="AU198" s="198"/>
      <c r="AV198" s="752"/>
      <c r="AW198" s="751"/>
      <c r="AX198" s="198"/>
      <c r="AY198" s="198"/>
      <c r="AZ198" s="752"/>
      <c r="BA198" s="751"/>
      <c r="BB198" s="198"/>
      <c r="BC198" s="198"/>
      <c r="BD198" s="752"/>
      <c r="BE198" s="1119"/>
      <c r="BF198" s="201"/>
      <c r="BG198" s="201"/>
      <c r="BH198" s="201"/>
      <c r="BI198" s="201"/>
      <c r="BJ198" s="201"/>
      <c r="BK198" s="201"/>
      <c r="BL198" s="201"/>
      <c r="BM198" s="201"/>
      <c r="BN198" s="198"/>
      <c r="BO198" s="198"/>
      <c r="BP198" s="201"/>
      <c r="BQ198" s="201"/>
      <c r="BR198" s="201"/>
      <c r="BS198" s="201"/>
      <c r="BT198" s="201"/>
      <c r="BU198" s="404"/>
      <c r="BV198" s="404"/>
      <c r="BW198" s="404"/>
      <c r="BX198" s="404"/>
      <c r="BY198" s="1119"/>
      <c r="BZ198" s="36"/>
      <c r="CA198" s="36"/>
      <c r="CB198" s="36"/>
      <c r="CC198" s="36"/>
      <c r="CD198" s="36"/>
      <c r="CE198" s="36"/>
      <c r="CF198" s="36"/>
    </row>
    <row r="199" spans="1:84" ht="11.25" customHeight="1">
      <c r="A199" s="36"/>
      <c r="B199" s="36"/>
      <c r="C199" s="36"/>
      <c r="D199" s="36"/>
      <c r="E199" s="36"/>
      <c r="F199" s="36"/>
      <c r="G199" s="36"/>
      <c r="H199" s="36"/>
      <c r="I199" s="711"/>
      <c r="J199" s="53"/>
      <c r="K199" s="53"/>
      <c r="L199" s="53"/>
      <c r="M199" s="879"/>
      <c r="N199" s="879"/>
      <c r="O199" s="879"/>
      <c r="P199" s="879"/>
      <c r="Q199" s="878"/>
      <c r="R199" s="879"/>
      <c r="S199" s="879"/>
      <c r="T199" s="880"/>
      <c r="U199" s="879"/>
      <c r="V199" s="879"/>
      <c r="W199" s="879"/>
      <c r="X199" s="879"/>
      <c r="Y199" s="878"/>
      <c r="Z199" s="879"/>
      <c r="AA199" s="879"/>
      <c r="AB199" s="880"/>
      <c r="AC199" s="879"/>
      <c r="AD199" s="879"/>
      <c r="AE199" s="879"/>
      <c r="AF199" s="879"/>
      <c r="AG199" s="878"/>
      <c r="AH199" s="879"/>
      <c r="AI199" s="879"/>
      <c r="AJ199" s="879"/>
      <c r="AK199" s="878"/>
      <c r="AL199" s="879"/>
      <c r="AM199" s="879"/>
      <c r="AN199" s="880"/>
      <c r="AO199" s="878"/>
      <c r="AP199" s="879"/>
      <c r="AQ199" s="879"/>
      <c r="AR199" s="880"/>
      <c r="AS199" s="878"/>
      <c r="AT199" s="879"/>
      <c r="AU199" s="879"/>
      <c r="AV199" s="880"/>
      <c r="AW199" s="878"/>
      <c r="AX199" s="879"/>
      <c r="AY199" s="879"/>
      <c r="AZ199" s="880"/>
      <c r="BA199" s="878"/>
      <c r="BB199" s="879"/>
      <c r="BC199" s="879"/>
      <c r="BD199" s="880"/>
      <c r="BE199" s="883"/>
      <c r="BF199" s="879"/>
      <c r="BG199" s="879"/>
      <c r="BH199" s="879"/>
      <c r="BI199" s="879"/>
      <c r="BJ199" s="879"/>
      <c r="BK199" s="879"/>
      <c r="BL199" s="879"/>
      <c r="BM199" s="879"/>
      <c r="BN199" s="879"/>
      <c r="BO199" s="879"/>
      <c r="BP199" s="879"/>
      <c r="BQ199" s="879"/>
      <c r="BR199" s="879"/>
      <c r="BS199" s="879"/>
      <c r="BT199" s="879"/>
      <c r="BU199" s="1663"/>
      <c r="BV199" s="1663"/>
      <c r="BW199" s="1663"/>
      <c r="BX199" s="1663"/>
      <c r="BY199" s="1664"/>
      <c r="BZ199" s="36"/>
      <c r="CA199" s="36"/>
      <c r="CB199" s="36"/>
      <c r="CC199" s="36"/>
      <c r="CD199" s="36"/>
      <c r="CE199" s="36"/>
      <c r="CF199" s="36"/>
    </row>
    <row r="200" spans="1:84" ht="11.25" customHeight="1">
      <c r="A200" s="36"/>
      <c r="B200" s="36"/>
      <c r="C200" s="36"/>
      <c r="D200" s="36"/>
      <c r="E200" s="36"/>
      <c r="F200" s="36"/>
      <c r="G200" s="36"/>
      <c r="H200" s="36"/>
      <c r="I200" s="52"/>
      <c r="J200" s="52"/>
      <c r="K200" s="52"/>
      <c r="L200" s="52"/>
      <c r="M200" s="78"/>
      <c r="N200" s="78"/>
      <c r="O200" s="78"/>
      <c r="P200" s="78"/>
      <c r="Q200" s="78"/>
      <c r="R200" s="78"/>
      <c r="S200" s="78"/>
      <c r="T200" s="78"/>
      <c r="U200" s="78"/>
      <c r="V200" s="78"/>
      <c r="W200" s="78"/>
      <c r="X200" s="78"/>
      <c r="Y200" s="78"/>
      <c r="Z200" s="78"/>
      <c r="AA200" s="78"/>
      <c r="AB200" s="78"/>
      <c r="AC200" s="78"/>
      <c r="AD200" s="78"/>
      <c r="AE200" s="78"/>
      <c r="AF200" s="78"/>
      <c r="AG200" s="78"/>
      <c r="AH200" s="78"/>
      <c r="AI200" s="78"/>
      <c r="AJ200" s="78"/>
      <c r="AK200" s="78"/>
      <c r="AL200" s="78"/>
      <c r="AM200" s="78"/>
      <c r="AN200" s="78"/>
      <c r="AO200" s="78"/>
      <c r="AP200" s="78"/>
      <c r="AQ200" s="78"/>
      <c r="AR200" s="78"/>
      <c r="AS200" s="78"/>
      <c r="AT200" s="78"/>
      <c r="AU200" s="78"/>
      <c r="AV200" s="78"/>
      <c r="AW200" s="78"/>
      <c r="AX200" s="78"/>
      <c r="AY200" s="78"/>
      <c r="AZ200" s="78"/>
      <c r="BA200" s="78"/>
      <c r="BB200" s="78"/>
      <c r="BC200" s="78"/>
      <c r="BD200" s="78"/>
      <c r="BE200" s="883"/>
      <c r="BF200" s="78"/>
      <c r="BG200" s="78"/>
      <c r="BH200" s="78"/>
      <c r="BI200" s="78"/>
      <c r="BJ200" s="78"/>
      <c r="BK200" s="78"/>
      <c r="BL200" s="78"/>
      <c r="BM200" s="78"/>
      <c r="BN200" s="78"/>
      <c r="BO200" s="78"/>
      <c r="BP200" s="78"/>
      <c r="BQ200" s="78"/>
      <c r="BR200" s="78"/>
      <c r="BS200" s="78"/>
      <c r="BT200" s="78"/>
      <c r="BU200" s="295"/>
      <c r="BV200" s="295"/>
      <c r="BW200" s="295"/>
      <c r="BX200" s="295"/>
      <c r="BY200" s="295"/>
      <c r="BZ200" s="36"/>
      <c r="CA200" s="36"/>
      <c r="CB200" s="36"/>
      <c r="CC200" s="36"/>
      <c r="CD200" s="36"/>
      <c r="CE200" s="36"/>
      <c r="CF200" s="36"/>
    </row>
    <row r="201" spans="1:84" s="106" customFormat="1" ht="11.25" customHeight="1">
      <c r="A201" s="54"/>
      <c r="B201" s="54"/>
      <c r="C201" s="54"/>
      <c r="D201" s="54"/>
      <c r="E201" s="54"/>
      <c r="F201" s="54"/>
      <c r="G201" s="54"/>
      <c r="H201" s="54"/>
      <c r="I201" s="769" t="s">
        <v>59</v>
      </c>
      <c r="J201" s="324"/>
      <c r="K201" s="324"/>
      <c r="L201" s="324"/>
      <c r="M201" s="325"/>
      <c r="N201" s="325"/>
      <c r="O201" s="325"/>
      <c r="P201" s="325"/>
      <c r="Q201" s="746"/>
      <c r="R201" s="325"/>
      <c r="S201" s="325"/>
      <c r="T201" s="747"/>
      <c r="U201" s="788"/>
      <c r="V201" s="325"/>
      <c r="W201" s="325"/>
      <c r="X201" s="747"/>
      <c r="Y201" s="746"/>
      <c r="Z201" s="325"/>
      <c r="AA201" s="325"/>
      <c r="AB201" s="747"/>
      <c r="AC201" s="325"/>
      <c r="AD201" s="325"/>
      <c r="AE201" s="325"/>
      <c r="AF201" s="747"/>
      <c r="AG201" s="746"/>
      <c r="AH201" s="325"/>
      <c r="AI201" s="325"/>
      <c r="AJ201" s="747"/>
      <c r="AK201" s="746"/>
      <c r="AL201" s="325"/>
      <c r="AM201" s="325"/>
      <c r="AN201" s="747"/>
      <c r="AO201" s="746"/>
      <c r="AP201" s="325"/>
      <c r="AQ201" s="325"/>
      <c r="AR201" s="747"/>
      <c r="AS201" s="746"/>
      <c r="AT201" s="325"/>
      <c r="AU201" s="325"/>
      <c r="AV201" s="747"/>
      <c r="AW201" s="746"/>
      <c r="AX201" s="325"/>
      <c r="AY201" s="325"/>
      <c r="AZ201" s="747"/>
      <c r="BA201" s="746"/>
      <c r="BB201" s="325"/>
      <c r="BC201" s="325"/>
      <c r="BD201" s="747"/>
      <c r="BE201" s="2577"/>
      <c r="BF201" s="323"/>
      <c r="BG201" s="323"/>
      <c r="BH201" s="323"/>
      <c r="BI201" s="323"/>
      <c r="BJ201" s="323"/>
      <c r="BK201" s="323"/>
      <c r="BL201" s="323"/>
      <c r="BM201" s="323"/>
      <c r="BN201" s="323"/>
      <c r="BO201" s="323"/>
      <c r="BP201" s="323"/>
      <c r="BQ201" s="323"/>
      <c r="BR201" s="323"/>
      <c r="BS201" s="323"/>
      <c r="BT201" s="323"/>
      <c r="BU201" s="323"/>
      <c r="BV201" s="323"/>
      <c r="BW201" s="323"/>
      <c r="BX201" s="323"/>
      <c r="BY201" s="782"/>
      <c r="BZ201" s="54"/>
      <c r="CA201" s="54"/>
      <c r="CB201" s="54"/>
      <c r="CC201" s="54"/>
      <c r="CD201" s="54"/>
      <c r="CE201" s="54"/>
      <c r="CF201" s="54"/>
    </row>
    <row r="202" spans="1:84" s="36" customFormat="1" ht="11.25" customHeight="1">
      <c r="I202" s="741"/>
      <c r="J202" s="742"/>
      <c r="K202" s="742"/>
      <c r="L202" s="742"/>
      <c r="M202" s="898"/>
      <c r="N202" s="898"/>
      <c r="O202" s="898"/>
      <c r="P202" s="898"/>
      <c r="Q202" s="903"/>
      <c r="R202" s="898"/>
      <c r="S202" s="898"/>
      <c r="T202" s="904"/>
      <c r="U202" s="886"/>
      <c r="V202" s="70"/>
      <c r="W202" s="70"/>
      <c r="X202" s="887"/>
      <c r="Y202" s="886"/>
      <c r="Z202" s="70"/>
      <c r="AA202" s="70"/>
      <c r="AB202" s="887"/>
      <c r="AC202" s="70"/>
      <c r="AD202" s="70"/>
      <c r="AE202" s="70"/>
      <c r="AF202" s="70"/>
      <c r="AG202" s="886"/>
      <c r="AH202" s="70"/>
      <c r="AI202" s="70"/>
      <c r="AJ202" s="887"/>
      <c r="AK202" s="886"/>
      <c r="AL202" s="70"/>
      <c r="AM202" s="70"/>
      <c r="AN202" s="887"/>
      <c r="AO202" s="886"/>
      <c r="AP202" s="70"/>
      <c r="AQ202" s="70"/>
      <c r="AR202" s="887"/>
      <c r="AS202" s="886"/>
      <c r="AT202" s="70"/>
      <c r="AU202" s="70"/>
      <c r="AV202" s="887"/>
      <c r="AW202" s="886"/>
      <c r="AX202" s="70"/>
      <c r="AY202" s="70"/>
      <c r="AZ202" s="887"/>
      <c r="BA202" s="886"/>
      <c r="BB202" s="70"/>
      <c r="BC202" s="70"/>
      <c r="BD202" s="887"/>
      <c r="BE202" s="1122"/>
      <c r="BF202" s="70"/>
      <c r="BG202" s="70"/>
      <c r="BH202" s="70"/>
      <c r="BI202" s="70"/>
      <c r="BJ202" s="70"/>
      <c r="BK202" s="70"/>
      <c r="BL202" s="70"/>
      <c r="BM202" s="70"/>
      <c r="BN202" s="70"/>
      <c r="BO202" s="70"/>
      <c r="BP202" s="70"/>
      <c r="BQ202" s="70"/>
      <c r="BR202" s="70"/>
      <c r="BS202" s="70"/>
      <c r="BT202" s="70"/>
      <c r="BU202" s="74"/>
      <c r="BV202" s="74"/>
      <c r="BW202" s="74"/>
      <c r="BX202" s="74"/>
      <c r="BY202" s="481"/>
    </row>
    <row r="203" spans="1:84" s="36" customFormat="1" ht="11.25" customHeight="1">
      <c r="I203" s="622" t="s">
        <v>60</v>
      </c>
      <c r="J203" s="50"/>
      <c r="K203" s="50"/>
      <c r="L203" s="50"/>
      <c r="M203" s="402">
        <f t="shared" ref="M203:BD203" si="384">+SUM(M204:M209)</f>
        <v>12.002000000000002</v>
      </c>
      <c r="N203" s="402">
        <f t="shared" si="384"/>
        <v>13.402999999999999</v>
      </c>
      <c r="O203" s="402">
        <f t="shared" si="384"/>
        <v>15.541</v>
      </c>
      <c r="P203" s="402">
        <f t="shared" si="384"/>
        <v>16.291</v>
      </c>
      <c r="Q203" s="896">
        <f t="shared" si="384"/>
        <v>19.302</v>
      </c>
      <c r="R203" s="402">
        <f t="shared" si="384"/>
        <v>20.800999999999998</v>
      </c>
      <c r="S203" s="402">
        <f t="shared" si="384"/>
        <v>25.690999999999999</v>
      </c>
      <c r="T203" s="897">
        <f t="shared" si="384"/>
        <v>33.661999999999999</v>
      </c>
      <c r="U203" s="896">
        <f t="shared" si="384"/>
        <v>37.125999999999998</v>
      </c>
      <c r="V203" s="402">
        <f t="shared" si="384"/>
        <v>34.591000000000001</v>
      </c>
      <c r="W203" s="402">
        <f t="shared" si="384"/>
        <v>38.323</v>
      </c>
      <c r="X203" s="897">
        <f t="shared" si="384"/>
        <v>46.292999999999999</v>
      </c>
      <c r="Y203" s="627">
        <f t="shared" si="384"/>
        <v>50.686999999999991</v>
      </c>
      <c r="Z203" s="76">
        <f t="shared" si="384"/>
        <v>55.602999999999994</v>
      </c>
      <c r="AA203" s="76">
        <f t="shared" si="384"/>
        <v>62.962000000000003</v>
      </c>
      <c r="AB203" s="614">
        <f t="shared" si="384"/>
        <v>72.558999999999997</v>
      </c>
      <c r="AC203" s="76">
        <f t="shared" si="384"/>
        <v>81.01100000000001</v>
      </c>
      <c r="AD203" s="76">
        <f t="shared" si="384"/>
        <v>85.660000000000011</v>
      </c>
      <c r="AE203" s="76">
        <f t="shared" si="384"/>
        <v>97.911000000000001</v>
      </c>
      <c r="AF203" s="76">
        <f t="shared" si="384"/>
        <v>101.89500000000001</v>
      </c>
      <c r="AG203" s="627">
        <f t="shared" si="384"/>
        <v>122.75700000000001</v>
      </c>
      <c r="AH203" s="76">
        <f t="shared" si="384"/>
        <v>133.863</v>
      </c>
      <c r="AI203" s="1759">
        <f t="shared" si="384"/>
        <v>154.27100000000002</v>
      </c>
      <c r="AJ203" s="76">
        <f t="shared" si="384"/>
        <v>160.14399999999998</v>
      </c>
      <c r="AK203" s="627">
        <f t="shared" si="384"/>
        <v>172.886</v>
      </c>
      <c r="AL203" s="76">
        <f t="shared" si="384"/>
        <v>174.61499999999998</v>
      </c>
      <c r="AM203" s="76">
        <f t="shared" ref="AM203:AR203" si="385">+SUM(AM204:AM209)</f>
        <v>184.27199999999999</v>
      </c>
      <c r="AN203" s="76">
        <f t="shared" si="385"/>
        <v>186.27500000000003</v>
      </c>
      <c r="AO203" s="627">
        <f t="shared" si="385"/>
        <v>202.768</v>
      </c>
      <c r="AP203" s="76">
        <f t="shared" si="385"/>
        <v>202.01999999999998</v>
      </c>
      <c r="AQ203" s="76">
        <f t="shared" si="385"/>
        <v>215.572</v>
      </c>
      <c r="AR203" s="76">
        <f t="shared" si="385"/>
        <v>46.968000000000046</v>
      </c>
      <c r="AS203" s="627">
        <f t="shared" si="384"/>
        <v>225.69582100109972</v>
      </c>
      <c r="AT203" s="76">
        <f t="shared" si="384"/>
        <v>222.9378185230581</v>
      </c>
      <c r="AU203" s="76">
        <f t="shared" si="384"/>
        <v>239.24950352100009</v>
      </c>
      <c r="AV203" s="614">
        <f t="shared" si="384"/>
        <v>245.39260259615295</v>
      </c>
      <c r="AW203" s="627">
        <f t="shared" si="384"/>
        <v>255.63399772779218</v>
      </c>
      <c r="AX203" s="76">
        <f t="shared" si="384"/>
        <v>250.42250045624758</v>
      </c>
      <c r="AY203" s="76">
        <f t="shared" si="384"/>
        <v>265.94977485083155</v>
      </c>
      <c r="AZ203" s="614">
        <f t="shared" si="384"/>
        <v>270.25244439649339</v>
      </c>
      <c r="BA203" s="627">
        <f t="shared" si="384"/>
        <v>285.34723690784142</v>
      </c>
      <c r="BB203" s="76">
        <f t="shared" si="384"/>
        <v>278.48031040137806</v>
      </c>
      <c r="BC203" s="76">
        <f t="shared" si="384"/>
        <v>293.86847490136131</v>
      </c>
      <c r="BD203" s="614">
        <f t="shared" si="384"/>
        <v>297.36596758230428</v>
      </c>
      <c r="BE203" s="2585"/>
      <c r="BF203" s="76">
        <f t="shared" ref="BF203:BY203" si="386">+SUM(BF204:BF209)</f>
        <v>2.6709999999999998</v>
      </c>
      <c r="BG203" s="76">
        <f t="shared" si="386"/>
        <v>7.6649999999999991</v>
      </c>
      <c r="BH203" s="76">
        <f t="shared" si="386"/>
        <v>18.378000000000004</v>
      </c>
      <c r="BI203" s="76">
        <f t="shared" si="386"/>
        <v>28.140999999999998</v>
      </c>
      <c r="BJ203" s="76">
        <f t="shared" si="386"/>
        <v>57.237000000000002</v>
      </c>
      <c r="BK203" s="76">
        <f t="shared" si="386"/>
        <v>99.455999999999989</v>
      </c>
      <c r="BL203" s="76">
        <f t="shared" si="386"/>
        <v>156.333</v>
      </c>
      <c r="BM203" s="76">
        <f t="shared" si="386"/>
        <v>241.81100000000001</v>
      </c>
      <c r="BN203" s="76">
        <f t="shared" si="386"/>
        <v>366.47699999999998</v>
      </c>
      <c r="BO203" s="76">
        <f t="shared" si="386"/>
        <v>571.03500000000008</v>
      </c>
      <c r="BP203" s="76">
        <f t="shared" si="386"/>
        <v>718.048</v>
      </c>
      <c r="BQ203" s="76">
        <f t="shared" si="386"/>
        <v>667.32799999999997</v>
      </c>
      <c r="BR203" s="76">
        <f t="shared" si="386"/>
        <v>933.27574564131089</v>
      </c>
      <c r="BS203" s="76">
        <f t="shared" si="386"/>
        <v>1042.2587174313649</v>
      </c>
      <c r="BT203" s="76">
        <f t="shared" si="386"/>
        <v>1155.061989792885</v>
      </c>
      <c r="BU203" s="76">
        <f t="shared" si="386"/>
        <v>1252.3135952575974</v>
      </c>
      <c r="BV203" s="76">
        <f t="shared" si="386"/>
        <v>1339.6823525474942</v>
      </c>
      <c r="BW203" s="76">
        <f t="shared" si="386"/>
        <v>1421.6208511259108</v>
      </c>
      <c r="BX203" s="76">
        <f t="shared" si="386"/>
        <v>1497.9715191923142</v>
      </c>
      <c r="BY203" s="614">
        <f t="shared" si="386"/>
        <v>1568.2912320313494</v>
      </c>
    </row>
    <row r="204" spans="1:84" s="54" customFormat="1" ht="11.25" customHeight="1">
      <c r="I204" s="653" t="s">
        <v>50</v>
      </c>
      <c r="J204" s="13"/>
      <c r="K204" s="5"/>
      <c r="L204" s="5"/>
      <c r="M204" s="389">
        <v>0.57199999999999995</v>
      </c>
      <c r="N204" s="389">
        <v>0.71799999999999997</v>
      </c>
      <c r="O204" s="389">
        <v>0.878</v>
      </c>
      <c r="P204" s="389">
        <v>0.96899999999999997</v>
      </c>
      <c r="Q204" s="893">
        <v>1.276</v>
      </c>
      <c r="R204" s="389">
        <v>1.2849999999999999</v>
      </c>
      <c r="S204" s="389">
        <v>1.5369999999999999</v>
      </c>
      <c r="T204" s="894">
        <v>1.833</v>
      </c>
      <c r="U204" s="893">
        <v>2.1259999999999999</v>
      </c>
      <c r="V204" s="389">
        <v>2.298</v>
      </c>
      <c r="W204" s="389">
        <v>2.5009999999999999</v>
      </c>
      <c r="X204" s="894">
        <v>3.0030000000000001</v>
      </c>
      <c r="Y204" s="893">
        <v>3.34</v>
      </c>
      <c r="Z204" s="389">
        <v>4.0179999999999998</v>
      </c>
      <c r="AA204" s="389">
        <v>4.2770000000000001</v>
      </c>
      <c r="AB204" s="894">
        <v>4.9260000000000002</v>
      </c>
      <c r="AC204" s="389">
        <v>5.077</v>
      </c>
      <c r="AD204" s="389">
        <v>5.8449999999999998</v>
      </c>
      <c r="AE204" s="389">
        <v>6.1740000000000004</v>
      </c>
      <c r="AF204" s="389">
        <v>7.2859999999999996</v>
      </c>
      <c r="AG204" s="1423">
        <v>8.6989999999999998</v>
      </c>
      <c r="AH204" s="1731">
        <v>13.057</v>
      </c>
      <c r="AI204" s="1731">
        <v>14.259</v>
      </c>
      <c r="AJ204" s="2618">
        <v>15</v>
      </c>
      <c r="AK204" s="2619">
        <v>15.077999999999999</v>
      </c>
      <c r="AL204" s="2618">
        <v>15.087</v>
      </c>
      <c r="AM204" s="2618">
        <v>14.593999999999999</v>
      </c>
      <c r="AN204" s="2618">
        <v>15.603999999999999</v>
      </c>
      <c r="AO204" s="2619">
        <v>16.914000000000001</v>
      </c>
      <c r="AP204" s="2618">
        <v>18.056000000000001</v>
      </c>
      <c r="AQ204" s="2618">
        <v>19.312000000000001</v>
      </c>
      <c r="AR204" s="2618">
        <v>16.236000000000001</v>
      </c>
      <c r="AS204" s="501">
        <f t="shared" ref="AS204:AV207" si="387">AS220+AS212</f>
        <v>18.334141342304051</v>
      </c>
      <c r="AT204" s="439">
        <f t="shared" si="387"/>
        <v>19.203285207716789</v>
      </c>
      <c r="AU204" s="439">
        <f t="shared" si="387"/>
        <v>20.425562843209349</v>
      </c>
      <c r="AV204" s="461">
        <f t="shared" si="387"/>
        <v>18.53171047166958</v>
      </c>
      <c r="AW204" s="501">
        <f t="shared" ref="AW204:BD204" si="388">AW220+AW212</f>
        <v>21.13373133225198</v>
      </c>
      <c r="AX204" s="439">
        <f t="shared" si="388"/>
        <v>21.886997862855765</v>
      </c>
      <c r="AY204" s="439">
        <f t="shared" si="388"/>
        <v>23.002518575778584</v>
      </c>
      <c r="AZ204" s="461">
        <f t="shared" si="388"/>
        <v>20.552905158839103</v>
      </c>
      <c r="BA204" s="501">
        <f t="shared" si="388"/>
        <v>23.406247372791579</v>
      </c>
      <c r="BB204" s="439">
        <f t="shared" si="388"/>
        <v>24.166457672888853</v>
      </c>
      <c r="BC204" s="439">
        <f t="shared" si="388"/>
        <v>25.208930163548011</v>
      </c>
      <c r="BD204" s="461">
        <f t="shared" si="388"/>
        <v>22.328312630818431</v>
      </c>
      <c r="BE204" s="2577"/>
      <c r="BF204" s="391">
        <v>0</v>
      </c>
      <c r="BG204" s="391">
        <v>0.23200000000000001</v>
      </c>
      <c r="BH204" s="391">
        <v>0.60799999999999998</v>
      </c>
      <c r="BI204" s="391">
        <v>1.121</v>
      </c>
      <c r="BJ204" s="336">
        <f t="shared" ref="BJ204:BJ209" si="389">SUM(M204:P204)</f>
        <v>3.137</v>
      </c>
      <c r="BK204" s="336">
        <f t="shared" ref="BK204:BK209" si="390">SUM(Q204:T204)</f>
        <v>5.931</v>
      </c>
      <c r="BL204" s="336">
        <f t="shared" ref="BL204:BL209" si="391">SUM(U204:X204)</f>
        <v>9.927999999999999</v>
      </c>
      <c r="BM204" s="336">
        <f t="shared" ref="BM204:BM209" si="392">SUM(Y204:AB204)</f>
        <v>16.561</v>
      </c>
      <c r="BN204" s="336">
        <f t="shared" ref="BN204:BN209" si="393">SUM(AC204:AF204)</f>
        <v>24.381999999999998</v>
      </c>
      <c r="BO204" s="336">
        <f t="shared" ref="BO204:BO209" si="394">SUM(AG204:AJ204)</f>
        <v>51.015000000000001</v>
      </c>
      <c r="BP204" s="110">
        <f t="shared" ref="BP204:BP209" si="395">SUM(AK204:AN204)</f>
        <v>60.363</v>
      </c>
      <c r="BQ204" s="110">
        <f t="shared" ref="BQ204:BQ209" si="396">SUM(AO204:AR204)</f>
        <v>70.518000000000001</v>
      </c>
      <c r="BR204" s="110">
        <f t="shared" ref="BR204:BR209" si="397">SUM(AS204:AV204)</f>
        <v>76.494699864899772</v>
      </c>
      <c r="BS204" s="110">
        <f t="shared" ref="BS204:BS209" si="398">SUM(AW204:AZ204)</f>
        <v>86.576152929725424</v>
      </c>
      <c r="BT204" s="110">
        <f t="shared" ref="BT204:BT209" si="399">SUM(BA204:BD204)</f>
        <v>95.109947840046885</v>
      </c>
      <c r="BU204" s="439">
        <f t="shared" ref="BU204:BY207" si="400">BU220+BU212</f>
        <v>102.62602852611515</v>
      </c>
      <c r="BV204" s="439">
        <f t="shared" si="400"/>
        <v>109.28334902090559</v>
      </c>
      <c r="BW204" s="439">
        <f t="shared" si="400"/>
        <v>115.14983896446034</v>
      </c>
      <c r="BX204" s="439">
        <f t="shared" si="400"/>
        <v>122.04989796425866</v>
      </c>
      <c r="BY204" s="461">
        <f t="shared" si="400"/>
        <v>128.52147128335884</v>
      </c>
    </row>
    <row r="205" spans="1:84" s="36" customFormat="1" ht="11.25" customHeight="1">
      <c r="I205" s="653" t="s">
        <v>62</v>
      </c>
      <c r="J205" s="13"/>
      <c r="K205" s="5"/>
      <c r="L205" s="5"/>
      <c r="M205" s="389">
        <v>6.6870000000000003</v>
      </c>
      <c r="N205" s="389">
        <v>7.9169999999999998</v>
      </c>
      <c r="O205" s="389">
        <v>9.4649999999999999</v>
      </c>
      <c r="P205" s="389">
        <v>9.85</v>
      </c>
      <c r="Q205" s="893">
        <v>11.271000000000001</v>
      </c>
      <c r="R205" s="389">
        <v>12.347</v>
      </c>
      <c r="S205" s="389">
        <v>14.897</v>
      </c>
      <c r="T205" s="894">
        <v>16.024000000000001</v>
      </c>
      <c r="U205" s="893">
        <v>18.77</v>
      </c>
      <c r="V205" s="389">
        <v>20.332999999999998</v>
      </c>
      <c r="W205" s="389">
        <v>21.302</v>
      </c>
      <c r="X205" s="894">
        <v>25.510999999999999</v>
      </c>
      <c r="Y205" s="893">
        <v>28.193999999999999</v>
      </c>
      <c r="Z205" s="389">
        <v>30.803000000000001</v>
      </c>
      <c r="AA205" s="389">
        <v>34.125999999999998</v>
      </c>
      <c r="AB205" s="894">
        <v>38.847000000000001</v>
      </c>
      <c r="AC205" s="389">
        <v>45.121000000000002</v>
      </c>
      <c r="AD205" s="389">
        <v>47.798000000000002</v>
      </c>
      <c r="AE205" s="389">
        <v>54.551000000000002</v>
      </c>
      <c r="AF205" s="389">
        <v>53.58</v>
      </c>
      <c r="AG205" s="1423">
        <v>63.265999999999998</v>
      </c>
      <c r="AH205" s="1731">
        <v>68.013999999999996</v>
      </c>
      <c r="AI205" s="1731">
        <v>82.948999999999998</v>
      </c>
      <c r="AJ205" s="2618">
        <v>87.534999999999997</v>
      </c>
      <c r="AK205" s="2619">
        <v>95.628</v>
      </c>
      <c r="AL205" s="2618">
        <v>94.402000000000001</v>
      </c>
      <c r="AM205" s="2618">
        <v>99.274000000000001</v>
      </c>
      <c r="AN205" s="2618">
        <v>93.55</v>
      </c>
      <c r="AO205" s="2619">
        <v>109.286</v>
      </c>
      <c r="AP205" s="2618">
        <v>105.232</v>
      </c>
      <c r="AQ205" s="2618">
        <v>113.041</v>
      </c>
      <c r="AR205" s="2618">
        <v>111.084</v>
      </c>
      <c r="AS205" s="501">
        <f t="shared" si="387"/>
        <v>124.04598025312006</v>
      </c>
      <c r="AT205" s="439">
        <f t="shared" si="387"/>
        <v>117.94494983441083</v>
      </c>
      <c r="AU205" s="439">
        <f t="shared" si="387"/>
        <v>126.79398551976342</v>
      </c>
      <c r="AV205" s="461">
        <f t="shared" si="387"/>
        <v>130.80999212448339</v>
      </c>
      <c r="AW205" s="501">
        <f t="shared" ref="AW205:BD205" si="401">AW221+AW213</f>
        <v>145.26826130124104</v>
      </c>
      <c r="AX205" s="439">
        <f t="shared" si="401"/>
        <v>136.39982066853122</v>
      </c>
      <c r="AY205" s="439">
        <f t="shared" si="401"/>
        <v>144.91875247716155</v>
      </c>
      <c r="AZ205" s="461">
        <f t="shared" si="401"/>
        <v>147.80524118464484</v>
      </c>
      <c r="BA205" s="501">
        <f t="shared" si="401"/>
        <v>163.5329798296157</v>
      </c>
      <c r="BB205" s="439">
        <f t="shared" si="401"/>
        <v>152.90231648978914</v>
      </c>
      <c r="BC205" s="439">
        <f t="shared" si="401"/>
        <v>161.27710042925762</v>
      </c>
      <c r="BD205" s="461">
        <f t="shared" si="401"/>
        <v>163.71767818307046</v>
      </c>
      <c r="BE205" s="2577"/>
      <c r="BF205" s="391">
        <v>1.0780000000000001</v>
      </c>
      <c r="BG205" s="391">
        <v>3.9769999999999999</v>
      </c>
      <c r="BH205" s="391">
        <v>10.039</v>
      </c>
      <c r="BI205" s="391">
        <v>17.978999999999999</v>
      </c>
      <c r="BJ205" s="336">
        <f t="shared" si="389"/>
        <v>33.918999999999997</v>
      </c>
      <c r="BK205" s="336">
        <f t="shared" si="390"/>
        <v>54.539000000000001</v>
      </c>
      <c r="BL205" s="336">
        <f t="shared" si="391"/>
        <v>85.915999999999997</v>
      </c>
      <c r="BM205" s="336">
        <f t="shared" si="392"/>
        <v>131.97</v>
      </c>
      <c r="BN205" s="336">
        <f t="shared" si="393"/>
        <v>201.05</v>
      </c>
      <c r="BO205" s="336">
        <f t="shared" si="394"/>
        <v>301.76400000000001</v>
      </c>
      <c r="BP205" s="110">
        <f t="shared" si="395"/>
        <v>382.85399999999998</v>
      </c>
      <c r="BQ205" s="110">
        <f t="shared" si="396"/>
        <v>438.64299999999997</v>
      </c>
      <c r="BR205" s="110">
        <f t="shared" si="397"/>
        <v>499.59490773177777</v>
      </c>
      <c r="BS205" s="110">
        <f t="shared" si="398"/>
        <v>574.39207563157868</v>
      </c>
      <c r="BT205" s="110">
        <f t="shared" si="399"/>
        <v>641.43007493173297</v>
      </c>
      <c r="BU205" s="439">
        <f t="shared" si="400"/>
        <v>699.01545836540777</v>
      </c>
      <c r="BV205" s="439">
        <f t="shared" si="400"/>
        <v>750.99142998971638</v>
      </c>
      <c r="BW205" s="439">
        <f t="shared" si="400"/>
        <v>798.06620019524041</v>
      </c>
      <c r="BX205" s="439">
        <f t="shared" si="400"/>
        <v>840.24470891104068</v>
      </c>
      <c r="BY205" s="461">
        <f t="shared" si="400"/>
        <v>877.53214306263089</v>
      </c>
    </row>
    <row r="206" spans="1:84" s="36" customFormat="1" ht="11.25" customHeight="1">
      <c r="I206" s="653" t="s">
        <v>37</v>
      </c>
      <c r="J206" s="13"/>
      <c r="K206" s="5"/>
      <c r="L206" s="5"/>
      <c r="M206" s="389">
        <v>1.2070000000000001</v>
      </c>
      <c r="N206" s="389">
        <v>1.522</v>
      </c>
      <c r="O206" s="389">
        <v>1.9219999999999999</v>
      </c>
      <c r="P206" s="389">
        <v>1.909</v>
      </c>
      <c r="Q206" s="893">
        <v>2.319</v>
      </c>
      <c r="R206" s="389">
        <v>2.661</v>
      </c>
      <c r="S206" s="389">
        <v>3.444</v>
      </c>
      <c r="T206" s="894">
        <v>3.1619999999999999</v>
      </c>
      <c r="U206" s="893">
        <v>4.1399999999999997</v>
      </c>
      <c r="V206" s="389">
        <v>4.3360000000000003</v>
      </c>
      <c r="W206" s="389">
        <v>5.7530000000000001</v>
      </c>
      <c r="X206" s="894">
        <v>6.2439999999999998</v>
      </c>
      <c r="Y206" s="893">
        <v>7.2359999999999998</v>
      </c>
      <c r="Z206" s="389">
        <v>7.9969999999999999</v>
      </c>
      <c r="AA206" s="389">
        <v>11.208</v>
      </c>
      <c r="AB206" s="894">
        <v>11.802</v>
      </c>
      <c r="AC206" s="389">
        <v>13.981999999999999</v>
      </c>
      <c r="AD206" s="389">
        <v>14.726000000000001</v>
      </c>
      <c r="AE206" s="389">
        <v>17.396999999999998</v>
      </c>
      <c r="AF206" s="389">
        <v>19.076000000000001</v>
      </c>
      <c r="AG206" s="1423">
        <v>23.96</v>
      </c>
      <c r="AH206" s="1731">
        <v>26.344999999999999</v>
      </c>
      <c r="AI206" s="1731">
        <v>28.510999999999999</v>
      </c>
      <c r="AJ206" s="2618">
        <v>28.97</v>
      </c>
      <c r="AK206" s="2619">
        <v>32.222000000000001</v>
      </c>
      <c r="AL206" s="2618">
        <v>33.097999999999999</v>
      </c>
      <c r="AM206" s="2618">
        <v>36.369</v>
      </c>
      <c r="AN206" s="2618">
        <v>36.86</v>
      </c>
      <c r="AO206" s="2619">
        <v>39.871000000000002</v>
      </c>
      <c r="AP206" s="2618">
        <v>42.088000000000001</v>
      </c>
      <c r="AQ206" s="2618">
        <v>45.834000000000003</v>
      </c>
      <c r="AR206" s="2618">
        <v>47.994</v>
      </c>
      <c r="AS206" s="501">
        <f t="shared" si="387"/>
        <v>45.202097784075264</v>
      </c>
      <c r="AT206" s="439">
        <f t="shared" si="387"/>
        <v>47.955731786515535</v>
      </c>
      <c r="AU206" s="439">
        <f t="shared" si="387"/>
        <v>51.579645721651517</v>
      </c>
      <c r="AV206" s="461">
        <f t="shared" si="387"/>
        <v>53.5642</v>
      </c>
      <c r="AW206" s="501">
        <f t="shared" ref="AW206:BD206" si="402">AW222+AW214</f>
        <v>50.326789518164297</v>
      </c>
      <c r="AX206" s="439">
        <f t="shared" si="402"/>
        <v>53.649259600897395</v>
      </c>
      <c r="AY206" s="439">
        <f t="shared" si="402"/>
        <v>57.346243208249703</v>
      </c>
      <c r="AZ206" s="461">
        <f t="shared" si="402"/>
        <v>59.414743999999999</v>
      </c>
      <c r="BA206" s="501">
        <f t="shared" si="402"/>
        <v>54.843168469980725</v>
      </c>
      <c r="BB206" s="439">
        <f t="shared" si="402"/>
        <v>58.229885560987142</v>
      </c>
      <c r="BC206" s="439">
        <f t="shared" si="402"/>
        <v>61.995067529074667</v>
      </c>
      <c r="BD206" s="461">
        <f t="shared" si="402"/>
        <v>64.141918400000009</v>
      </c>
      <c r="BE206" s="2577"/>
      <c r="BF206" s="391">
        <v>0.86899999999999999</v>
      </c>
      <c r="BG206" s="391">
        <v>1.472</v>
      </c>
      <c r="BH206" s="391">
        <v>2.0470000000000002</v>
      </c>
      <c r="BI206" s="391">
        <v>3.2429999999999999</v>
      </c>
      <c r="BJ206" s="336">
        <f t="shared" si="389"/>
        <v>6.56</v>
      </c>
      <c r="BK206" s="336">
        <f t="shared" si="390"/>
        <v>11.585999999999999</v>
      </c>
      <c r="BL206" s="336">
        <f t="shared" si="391"/>
        <v>20.472999999999999</v>
      </c>
      <c r="BM206" s="336">
        <f t="shared" si="392"/>
        <v>38.243000000000002</v>
      </c>
      <c r="BN206" s="336">
        <f t="shared" si="393"/>
        <v>65.180999999999997</v>
      </c>
      <c r="BO206" s="336">
        <f t="shared" si="394"/>
        <v>107.786</v>
      </c>
      <c r="BP206" s="110">
        <f t="shared" si="395"/>
        <v>138.54899999999998</v>
      </c>
      <c r="BQ206" s="110">
        <f t="shared" si="396"/>
        <v>175.78700000000001</v>
      </c>
      <c r="BR206" s="110">
        <f t="shared" si="397"/>
        <v>198.30167529224232</v>
      </c>
      <c r="BS206" s="110">
        <f t="shared" si="398"/>
        <v>220.73703632731139</v>
      </c>
      <c r="BT206" s="110">
        <f t="shared" si="399"/>
        <v>239.21003996004254</v>
      </c>
      <c r="BU206" s="439">
        <f t="shared" si="400"/>
        <v>254.99425275724553</v>
      </c>
      <c r="BV206" s="439">
        <f t="shared" si="400"/>
        <v>267.80361539510778</v>
      </c>
      <c r="BW206" s="439">
        <f t="shared" si="400"/>
        <v>280.8034461648632</v>
      </c>
      <c r="BX206" s="439">
        <f t="shared" si="400"/>
        <v>293.00326847310635</v>
      </c>
      <c r="BY206" s="461">
        <f t="shared" si="400"/>
        <v>305.4130818967617</v>
      </c>
    </row>
    <row r="207" spans="1:84" s="36" customFormat="1" ht="11.25" customHeight="1">
      <c r="I207" s="653" t="s">
        <v>104</v>
      </c>
      <c r="J207" s="13"/>
      <c r="K207" s="5"/>
      <c r="L207" s="5"/>
      <c r="M207" s="389">
        <f>3.092-M209</f>
        <v>1.792</v>
      </c>
      <c r="N207" s="389">
        <v>2.7930000000000001</v>
      </c>
      <c r="O207" s="389">
        <v>2.69</v>
      </c>
      <c r="P207" s="389">
        <v>2.7120000000000002</v>
      </c>
      <c r="Q207" s="893">
        <v>3.617</v>
      </c>
      <c r="R207" s="389">
        <v>3.5840000000000001</v>
      </c>
      <c r="S207" s="389">
        <v>4.766</v>
      </c>
      <c r="T207" s="894">
        <f>5.267</f>
        <v>5.2670000000000003</v>
      </c>
      <c r="U207" s="893">
        <f>10.729</f>
        <v>10.728999999999999</v>
      </c>
      <c r="V207" s="389">
        <v>5.9630000000000001</v>
      </c>
      <c r="W207" s="389">
        <v>6.9870000000000001</v>
      </c>
      <c r="X207" s="894">
        <v>7.8520000000000003</v>
      </c>
      <c r="Y207" s="893">
        <v>8.7639999999999993</v>
      </c>
      <c r="Z207" s="389">
        <v>10.148</v>
      </c>
      <c r="AA207" s="389">
        <v>10.535</v>
      </c>
      <c r="AB207" s="894">
        <v>13.46</v>
      </c>
      <c r="AC207" s="389">
        <v>13.17</v>
      </c>
      <c r="AD207" s="389">
        <v>13.257</v>
      </c>
      <c r="AE207" s="389">
        <v>15.185</v>
      </c>
      <c r="AF207" s="389">
        <v>16.661999999999999</v>
      </c>
      <c r="AG207" s="1423">
        <v>19.937000000000001</v>
      </c>
      <c r="AH207" s="1731">
        <v>19.28</v>
      </c>
      <c r="AI207" s="1731">
        <v>20.99</v>
      </c>
      <c r="AJ207" s="2618">
        <v>20.658999999999999</v>
      </c>
      <c r="AK207" s="2619">
        <v>21.768999999999998</v>
      </c>
      <c r="AL207" s="2618">
        <v>23.463999999999999</v>
      </c>
      <c r="AM207" s="2618">
        <v>24.876000000000001</v>
      </c>
      <c r="AN207" s="2618">
        <v>27.372</v>
      </c>
      <c r="AO207" s="2619">
        <v>26.315000000000001</v>
      </c>
      <c r="AP207" s="2618">
        <v>25.960999999999999</v>
      </c>
      <c r="AQ207" s="2618">
        <v>26.693999999999999</v>
      </c>
      <c r="AR207" s="2618">
        <v>26.702999999999999</v>
      </c>
      <c r="AS207" s="501">
        <f t="shared" si="387"/>
        <v>27.606601621600348</v>
      </c>
      <c r="AT207" s="439">
        <f t="shared" si="387"/>
        <v>26.842351694414923</v>
      </c>
      <c r="AU207" s="439">
        <f t="shared" si="387"/>
        <v>28.670309436375803</v>
      </c>
      <c r="AV207" s="461">
        <f t="shared" si="387"/>
        <v>30.165199999999999</v>
      </c>
      <c r="AW207" s="501">
        <f t="shared" ref="AW207:BD207" si="403">AW223+AW215</f>
        <v>31.214833816192389</v>
      </c>
      <c r="AX207" s="439">
        <f t="shared" si="403"/>
        <v>30.476353897744715</v>
      </c>
      <c r="AY207" s="439">
        <f t="shared" si="403"/>
        <v>32.3316665687409</v>
      </c>
      <c r="AZ207" s="461">
        <f t="shared" si="403"/>
        <v>33.857984000000002</v>
      </c>
      <c r="BA207" s="501">
        <f t="shared" si="403"/>
        <v>34.782517197811629</v>
      </c>
      <c r="BB207" s="439">
        <f t="shared" si="403"/>
        <v>34.068089287519186</v>
      </c>
      <c r="BC207" s="439">
        <f t="shared" si="403"/>
        <v>35.948933225614986</v>
      </c>
      <c r="BD207" s="461">
        <f t="shared" si="403"/>
        <v>37.504582400000004</v>
      </c>
      <c r="BE207" s="2577"/>
      <c r="BF207" s="391">
        <v>0.71399999999999997</v>
      </c>
      <c r="BG207" s="391">
        <v>1.8089999999999999</v>
      </c>
      <c r="BH207" s="391">
        <v>5.1130000000000004</v>
      </c>
      <c r="BI207" s="391">
        <v>4.5970000000000004</v>
      </c>
      <c r="BJ207" s="336">
        <f t="shared" si="389"/>
        <v>9.9870000000000001</v>
      </c>
      <c r="BK207" s="336">
        <f t="shared" si="390"/>
        <v>17.234000000000002</v>
      </c>
      <c r="BL207" s="336">
        <f t="shared" si="391"/>
        <v>31.531000000000002</v>
      </c>
      <c r="BM207" s="336">
        <f t="shared" si="392"/>
        <v>42.906999999999996</v>
      </c>
      <c r="BN207" s="336">
        <f t="shared" si="393"/>
        <v>58.274000000000001</v>
      </c>
      <c r="BO207" s="336">
        <f t="shared" si="394"/>
        <v>80.865999999999985</v>
      </c>
      <c r="BP207" s="110">
        <f t="shared" si="395"/>
        <v>97.480999999999995</v>
      </c>
      <c r="BQ207" s="110">
        <f t="shared" si="396"/>
        <v>105.673</v>
      </c>
      <c r="BR207" s="110">
        <f t="shared" si="397"/>
        <v>113.28446275239108</v>
      </c>
      <c r="BS207" s="110">
        <f t="shared" si="398"/>
        <v>127.880838282678</v>
      </c>
      <c r="BT207" s="110">
        <f t="shared" si="399"/>
        <v>142.3041221109458</v>
      </c>
      <c r="BU207" s="439">
        <f t="shared" si="400"/>
        <v>154.170050658712</v>
      </c>
      <c r="BV207" s="439">
        <f t="shared" si="400"/>
        <v>165.5961531916476</v>
      </c>
      <c r="BW207" s="439">
        <f t="shared" si="400"/>
        <v>177.09356085123</v>
      </c>
      <c r="BX207" s="439">
        <f t="shared" si="400"/>
        <v>187.66583889379149</v>
      </c>
      <c r="BY207" s="461">
        <f t="shared" si="400"/>
        <v>197.31673083848108</v>
      </c>
    </row>
    <row r="208" spans="1:84" s="36" customFormat="1" ht="11.25" customHeight="1">
      <c r="I208" s="653" t="s">
        <v>36</v>
      </c>
      <c r="J208" s="13"/>
      <c r="K208" s="5"/>
      <c r="L208" s="5"/>
      <c r="M208" s="389">
        <v>0.44400000000000001</v>
      </c>
      <c r="N208" s="389">
        <v>0.45300000000000001</v>
      </c>
      <c r="O208" s="389">
        <v>0.58599999999999997</v>
      </c>
      <c r="P208" s="389">
        <v>0.85099999999999998</v>
      </c>
      <c r="Q208" s="893">
        <v>0.81899999999999995</v>
      </c>
      <c r="R208" s="389">
        <v>0.92400000000000004</v>
      </c>
      <c r="S208" s="389">
        <v>1.0469999999999999</v>
      </c>
      <c r="T208" s="894">
        <v>1.448</v>
      </c>
      <c r="U208" s="893">
        <v>1.361</v>
      </c>
      <c r="V208" s="389">
        <v>1.661</v>
      </c>
      <c r="W208" s="389">
        <v>1.78</v>
      </c>
      <c r="X208" s="894">
        <v>2.4209999999999998</v>
      </c>
      <c r="Y208" s="519">
        <v>2.4780000000000002</v>
      </c>
      <c r="Z208" s="435">
        <v>2.637</v>
      </c>
      <c r="AA208" s="435">
        <v>2.8159999999999998</v>
      </c>
      <c r="AB208" s="524">
        <v>3.524</v>
      </c>
      <c r="AC208" s="435">
        <v>3.661</v>
      </c>
      <c r="AD208" s="435">
        <v>4.0339999999999998</v>
      </c>
      <c r="AE208" s="435">
        <v>4.6040000000000001</v>
      </c>
      <c r="AF208" s="435">
        <v>5.2910000000000004</v>
      </c>
      <c r="AG208" s="519">
        <v>6.8949999999999996</v>
      </c>
      <c r="AH208" s="1731">
        <v>7.1669999999999998</v>
      </c>
      <c r="AI208" s="1731">
        <v>7.5620000000000003</v>
      </c>
      <c r="AJ208" s="2602">
        <v>7.98</v>
      </c>
      <c r="AK208" s="2600">
        <v>8.1890000000000001</v>
      </c>
      <c r="AL208" s="2602">
        <v>8.5640000000000001</v>
      </c>
      <c r="AM208" s="2602">
        <v>9.1590000000000007</v>
      </c>
      <c r="AN208" s="2602">
        <v>12.888999999999999</v>
      </c>
      <c r="AO208" s="2600">
        <v>10.382</v>
      </c>
      <c r="AP208" s="2602">
        <v>10.662000000000001</v>
      </c>
      <c r="AQ208" s="2602">
        <v>10.656000000000001</v>
      </c>
      <c r="AR208" s="2602">
        <v>9.7289999999999992</v>
      </c>
      <c r="AS208" s="501">
        <f>Model!AS265</f>
        <v>10.507</v>
      </c>
      <c r="AT208" s="439">
        <f>Model!AT265</f>
        <v>10.9915</v>
      </c>
      <c r="AU208" s="439">
        <f>Model!AU265</f>
        <v>11.78</v>
      </c>
      <c r="AV208" s="461">
        <f>Model!AV265</f>
        <v>12.321499999999999</v>
      </c>
      <c r="AW208" s="501">
        <f>Model!AW265</f>
        <v>7.6903817599424471</v>
      </c>
      <c r="AX208" s="439">
        <f>Model!AX265</f>
        <v>8.0100684262184867</v>
      </c>
      <c r="AY208" s="439">
        <f>Model!AY265</f>
        <v>8.3505940209007985</v>
      </c>
      <c r="AZ208" s="461">
        <f>Model!AZ265</f>
        <v>8.6215700530094619</v>
      </c>
      <c r="BA208" s="501">
        <f>Model!BA265</f>
        <v>8.7823240376417804</v>
      </c>
      <c r="BB208" s="439">
        <f>Model!BB265</f>
        <v>9.1135613901937784</v>
      </c>
      <c r="BC208" s="439">
        <f>Model!BC265</f>
        <v>9.4384435538660227</v>
      </c>
      <c r="BD208" s="461">
        <f>Model!BD265</f>
        <v>9.6734759684153673</v>
      </c>
      <c r="BE208" s="2577"/>
      <c r="BF208" s="391">
        <v>0.01</v>
      </c>
      <c r="BG208" s="391">
        <v>0.17499999999999999</v>
      </c>
      <c r="BH208" s="391">
        <v>0.57099999999999995</v>
      </c>
      <c r="BI208" s="391">
        <v>1.2010000000000001</v>
      </c>
      <c r="BJ208" s="336">
        <f>SUM(M208:P208)</f>
        <v>2.3340000000000001</v>
      </c>
      <c r="BK208" s="336">
        <f>SUM(Q208:T208)</f>
        <v>4.2379999999999995</v>
      </c>
      <c r="BL208" s="336">
        <f>SUM(U208:X208)</f>
        <v>7.2230000000000008</v>
      </c>
      <c r="BM208" s="336">
        <f>SUM(Y208:AB208)</f>
        <v>11.455</v>
      </c>
      <c r="BN208" s="336">
        <f>SUM(AC208:AF208)</f>
        <v>17.59</v>
      </c>
      <c r="BO208" s="336">
        <f>SUM(AG208:AJ208)</f>
        <v>29.603999999999999</v>
      </c>
      <c r="BP208" s="110">
        <f>SUM(AK208:AN208)</f>
        <v>38.801000000000002</v>
      </c>
      <c r="BQ208" s="110">
        <f>SUM(AO208:AR208)</f>
        <v>41.429000000000002</v>
      </c>
      <c r="BR208" s="110">
        <f>SUM(AS208:AV208)</f>
        <v>45.6</v>
      </c>
      <c r="BS208" s="110">
        <f>SUM(AW208:AZ208)</f>
        <v>32.672614260071192</v>
      </c>
      <c r="BT208" s="110">
        <f>SUM(BA208:BD208)</f>
        <v>37.007804950116949</v>
      </c>
      <c r="BU208" s="439">
        <f>Model!BV265</f>
        <v>41.507804950116942</v>
      </c>
      <c r="BV208" s="439">
        <f>Model!BW265</f>
        <v>46.007804950116942</v>
      </c>
      <c r="BW208" s="439">
        <f>Model!BX265</f>
        <v>50.507804950116942</v>
      </c>
      <c r="BX208" s="439">
        <f>Model!BY265</f>
        <v>55.007804950116942</v>
      </c>
      <c r="BY208" s="461">
        <f>Model!BZ265</f>
        <v>59.507804950116942</v>
      </c>
    </row>
    <row r="209" spans="1:84" s="36" customFormat="1" ht="11.25" customHeight="1">
      <c r="I209" s="653" t="s">
        <v>300</v>
      </c>
      <c r="J209" s="13"/>
      <c r="K209" s="5"/>
      <c r="L209" s="5"/>
      <c r="M209" s="389">
        <v>1.3</v>
      </c>
      <c r="N209" s="389">
        <v>0</v>
      </c>
      <c r="O209" s="389">
        <v>0</v>
      </c>
      <c r="P209" s="389">
        <v>0</v>
      </c>
      <c r="Q209" s="893">
        <v>0</v>
      </c>
      <c r="R209" s="389">
        <v>0</v>
      </c>
      <c r="S209" s="389">
        <v>0</v>
      </c>
      <c r="T209" s="894">
        <v>5.9279999999999999</v>
      </c>
      <c r="U209" s="893">
        <v>0</v>
      </c>
      <c r="V209" s="389">
        <v>0</v>
      </c>
      <c r="W209" s="389">
        <v>0</v>
      </c>
      <c r="X209" s="894">
        <v>1.262</v>
      </c>
      <c r="Y209" s="893">
        <v>0.67500000000000004</v>
      </c>
      <c r="Z209" s="389">
        <v>0</v>
      </c>
      <c r="AA209" s="389">
        <v>0</v>
      </c>
      <c r="AB209" s="894">
        <v>0</v>
      </c>
      <c r="AC209" s="389">
        <v>0</v>
      </c>
      <c r="AD209" s="389">
        <v>0</v>
      </c>
      <c r="AE209" s="389">
        <v>0</v>
      </c>
      <c r="AF209" s="389">
        <v>0</v>
      </c>
      <c r="AG209" s="1423">
        <v>0</v>
      </c>
      <c r="AH209" s="1731">
        <v>0</v>
      </c>
      <c r="AI209" s="1731">
        <v>0</v>
      </c>
      <c r="AJ209" s="435">
        <v>0</v>
      </c>
      <c r="AK209" s="2600">
        <v>0</v>
      </c>
      <c r="AL209" s="2602">
        <v>0</v>
      </c>
      <c r="AM209" s="2602">
        <v>0</v>
      </c>
      <c r="AN209" s="2602">
        <v>0</v>
      </c>
      <c r="AO209" s="2600">
        <v>0</v>
      </c>
      <c r="AP209" s="2602">
        <v>2.1000000000000001E-2</v>
      </c>
      <c r="AQ209" s="2602">
        <v>3.5000000000000003E-2</v>
      </c>
      <c r="AR209" s="2602">
        <v>-164.77799999999999</v>
      </c>
      <c r="AS209" s="1665">
        <v>0</v>
      </c>
      <c r="AT209" s="438">
        <v>0</v>
      </c>
      <c r="AU209" s="438">
        <v>0</v>
      </c>
      <c r="AV209" s="460">
        <v>0</v>
      </c>
      <c r="AW209" s="1665">
        <v>0</v>
      </c>
      <c r="AX209" s="438">
        <v>0</v>
      </c>
      <c r="AY209" s="438">
        <v>0</v>
      </c>
      <c r="AZ209" s="460">
        <v>0</v>
      </c>
      <c r="BA209" s="1665">
        <v>0</v>
      </c>
      <c r="BB209" s="438">
        <v>0</v>
      </c>
      <c r="BC209" s="438">
        <v>0</v>
      </c>
      <c r="BD209" s="460">
        <v>0</v>
      </c>
      <c r="BE209" s="2577"/>
      <c r="BF209" s="391">
        <v>0</v>
      </c>
      <c r="BG209" s="391">
        <v>0</v>
      </c>
      <c r="BH209" s="391">
        <v>0</v>
      </c>
      <c r="BI209" s="391">
        <v>0</v>
      </c>
      <c r="BJ209" s="336">
        <f t="shared" si="389"/>
        <v>1.3</v>
      </c>
      <c r="BK209" s="336">
        <f t="shared" si="390"/>
        <v>5.9279999999999999</v>
      </c>
      <c r="BL209" s="336">
        <f t="shared" si="391"/>
        <v>1.262</v>
      </c>
      <c r="BM209" s="336">
        <f t="shared" si="392"/>
        <v>0.67500000000000004</v>
      </c>
      <c r="BN209" s="336">
        <f t="shared" si="393"/>
        <v>0</v>
      </c>
      <c r="BO209" s="336">
        <f t="shared" si="394"/>
        <v>0</v>
      </c>
      <c r="BP209" s="110">
        <f t="shared" si="395"/>
        <v>0</v>
      </c>
      <c r="BQ209" s="110">
        <f t="shared" si="396"/>
        <v>-164.72199999999998</v>
      </c>
      <c r="BR209" s="110">
        <f t="shared" si="397"/>
        <v>0</v>
      </c>
      <c r="BS209" s="110">
        <f t="shared" si="398"/>
        <v>0</v>
      </c>
      <c r="BT209" s="110">
        <f t="shared" si="399"/>
        <v>0</v>
      </c>
      <c r="BU209" s="438">
        <f>+BT209</f>
        <v>0</v>
      </c>
      <c r="BV209" s="438">
        <f>+BU209</f>
        <v>0</v>
      </c>
      <c r="BW209" s="438">
        <f>+BV209</f>
        <v>0</v>
      </c>
      <c r="BX209" s="438">
        <f>+BW209</f>
        <v>0</v>
      </c>
      <c r="BY209" s="460">
        <f>+BX209</f>
        <v>0</v>
      </c>
    </row>
    <row r="210" spans="1:84" s="36" customFormat="1" ht="11.25" customHeight="1">
      <c r="I210" s="450"/>
      <c r="J210" s="5"/>
      <c r="K210" s="5"/>
      <c r="L210" s="5"/>
      <c r="M210" s="376"/>
      <c r="N210" s="376"/>
      <c r="O210" s="376"/>
      <c r="P210" s="376"/>
      <c r="Q210" s="850"/>
      <c r="R210" s="376"/>
      <c r="S210" s="376"/>
      <c r="T210" s="851"/>
      <c r="U210" s="850"/>
      <c r="V210" s="376"/>
      <c r="W210" s="376"/>
      <c r="X210" s="851"/>
      <c r="Y210" s="626"/>
      <c r="Z210" s="336"/>
      <c r="AA210" s="336"/>
      <c r="AB210" s="613"/>
      <c r="AC210" s="336"/>
      <c r="AD210" s="336"/>
      <c r="AE210" s="336"/>
      <c r="AF210" s="336"/>
      <c r="AG210" s="626"/>
      <c r="AH210" s="336"/>
      <c r="AI210" s="336"/>
      <c r="AJ210" s="613"/>
      <c r="AK210" s="626"/>
      <c r="AL210" s="336"/>
      <c r="AM210" s="336"/>
      <c r="AN210" s="613"/>
      <c r="AO210" s="626"/>
      <c r="AP210" s="336"/>
      <c r="AQ210" s="336"/>
      <c r="AR210" s="613"/>
      <c r="AS210" s="626"/>
      <c r="AT210" s="336"/>
      <c r="AU210" s="336"/>
      <c r="AV210" s="613"/>
      <c r="AW210" s="626"/>
      <c r="AX210" s="336"/>
      <c r="AY210" s="336"/>
      <c r="AZ210" s="613"/>
      <c r="BA210" s="626"/>
      <c r="BB210" s="336"/>
      <c r="BC210" s="336"/>
      <c r="BD210" s="613"/>
      <c r="BE210" s="883"/>
      <c r="BF210" s="336"/>
      <c r="BG210" s="336"/>
      <c r="BH210" s="336"/>
      <c r="BI210" s="336"/>
      <c r="BJ210" s="336"/>
      <c r="BK210" s="336"/>
      <c r="BL210" s="336"/>
      <c r="BM210" s="336"/>
      <c r="BN210" s="336"/>
      <c r="BO210" s="336"/>
      <c r="BP210" s="336"/>
      <c r="BQ210" s="336"/>
      <c r="BR210" s="336"/>
      <c r="BS210" s="336"/>
      <c r="BT210" s="336"/>
      <c r="BU210" s="336"/>
      <c r="BV210" s="336"/>
      <c r="BW210" s="336"/>
      <c r="BX210" s="336"/>
      <c r="BY210" s="613"/>
    </row>
    <row r="211" spans="1:84" s="106" customFormat="1" ht="11.25" customHeight="1">
      <c r="A211" s="191"/>
      <c r="B211" s="191"/>
      <c r="C211" s="191"/>
      <c r="D211" s="191"/>
      <c r="E211" s="191"/>
      <c r="F211" s="191"/>
      <c r="G211" s="191"/>
      <c r="H211" s="191"/>
      <c r="I211" s="771" t="s">
        <v>53</v>
      </c>
      <c r="J211" s="339"/>
      <c r="K211" s="339"/>
      <c r="L211" s="339"/>
      <c r="M211" s="383"/>
      <c r="N211" s="383"/>
      <c r="O211" s="383"/>
      <c r="P211" s="383"/>
      <c r="Q211" s="864"/>
      <c r="R211" s="383"/>
      <c r="S211" s="383"/>
      <c r="T211" s="858"/>
      <c r="U211" s="864"/>
      <c r="V211" s="383"/>
      <c r="W211" s="383"/>
      <c r="X211" s="858"/>
      <c r="Y211" s="864"/>
      <c r="Z211" s="383"/>
      <c r="AA211" s="383"/>
      <c r="AB211" s="858"/>
      <c r="AC211" s="383"/>
      <c r="AD211" s="383"/>
      <c r="AE211" s="383"/>
      <c r="AF211" s="383"/>
      <c r="AG211" s="864"/>
      <c r="AH211" s="383"/>
      <c r="AI211" s="383"/>
      <c r="AJ211" s="858"/>
      <c r="AK211" s="864"/>
      <c r="AL211" s="383"/>
      <c r="AM211" s="383"/>
      <c r="AN211" s="858"/>
      <c r="AO211" s="864"/>
      <c r="AP211" s="383"/>
      <c r="AQ211" s="383"/>
      <c r="AR211" s="858"/>
      <c r="AS211" s="864"/>
      <c r="AT211" s="383"/>
      <c r="AU211" s="383"/>
      <c r="AV211" s="858"/>
      <c r="AW211" s="864"/>
      <c r="AX211" s="383"/>
      <c r="AY211" s="383"/>
      <c r="AZ211" s="858"/>
      <c r="BA211" s="864"/>
      <c r="BB211" s="383"/>
      <c r="BC211" s="383"/>
      <c r="BD211" s="858"/>
      <c r="BE211" s="2586"/>
      <c r="BF211" s="383"/>
      <c r="BG211" s="383"/>
      <c r="BH211" s="383"/>
      <c r="BI211" s="383"/>
      <c r="BJ211" s="383"/>
      <c r="BK211" s="383"/>
      <c r="BL211" s="383"/>
      <c r="BM211" s="383"/>
      <c r="BN211" s="383"/>
      <c r="BO211" s="383"/>
      <c r="BP211" s="383"/>
      <c r="BQ211" s="383"/>
      <c r="BR211" s="383"/>
      <c r="BS211" s="383"/>
      <c r="BT211" s="383"/>
      <c r="BU211" s="383"/>
      <c r="BV211" s="383"/>
      <c r="BW211" s="383"/>
      <c r="BX211" s="383"/>
      <c r="BY211" s="858"/>
      <c r="BZ211" s="99"/>
      <c r="CA211" s="327"/>
      <c r="CB211" s="327"/>
      <c r="CC211" s="327"/>
      <c r="CD211" s="327"/>
      <c r="CE211" s="327"/>
      <c r="CF211" s="327"/>
    </row>
    <row r="212" spans="1:84" s="36" customFormat="1" ht="11.25" customHeight="1">
      <c r="I212" s="653" t="s">
        <v>50</v>
      </c>
      <c r="J212" s="13"/>
      <c r="K212" s="5"/>
      <c r="L212" s="5"/>
      <c r="M212" s="389">
        <v>5.0000000000000001E-3</v>
      </c>
      <c r="N212" s="389">
        <v>5.0000000000000001E-3</v>
      </c>
      <c r="O212" s="389">
        <v>8.0000000000000002E-3</v>
      </c>
      <c r="P212" s="389">
        <v>8.0000000000000002E-3</v>
      </c>
      <c r="Q212" s="893">
        <v>8.9999999999999993E-3</v>
      </c>
      <c r="R212" s="389">
        <v>1.0999999999999999E-2</v>
      </c>
      <c r="S212" s="389">
        <v>1.2999999999999999E-2</v>
      </c>
      <c r="T212" s="894">
        <v>1.7000000000000001E-2</v>
      </c>
      <c r="U212" s="893">
        <v>2.3E-2</v>
      </c>
      <c r="V212" s="389">
        <v>3.5000000000000003E-2</v>
      </c>
      <c r="W212" s="389">
        <v>2.7E-2</v>
      </c>
      <c r="X212" s="894">
        <v>3.7999999999999999E-2</v>
      </c>
      <c r="Y212" s="893">
        <v>7.1999999999999995E-2</v>
      </c>
      <c r="Z212" s="389">
        <v>0.105</v>
      </c>
      <c r="AA212" s="389">
        <v>0.104</v>
      </c>
      <c r="AB212" s="894">
        <v>0.14000000000000001</v>
      </c>
      <c r="AC212" s="389">
        <v>0.15</v>
      </c>
      <c r="AD212" s="389">
        <v>0.11899999999999999</v>
      </c>
      <c r="AE212" s="389">
        <v>0.253</v>
      </c>
      <c r="AF212" s="389">
        <v>0.20699999999999999</v>
      </c>
      <c r="AG212" s="1423">
        <v>0.124</v>
      </c>
      <c r="AH212" s="1731">
        <v>0.222</v>
      </c>
      <c r="AI212" s="1731">
        <v>0.435</v>
      </c>
      <c r="AJ212" s="2618">
        <v>0.33600000000000002</v>
      </c>
      <c r="AK212" s="2620">
        <v>0.40100000000000002</v>
      </c>
      <c r="AL212" s="2601">
        <v>0.40699999999999997</v>
      </c>
      <c r="AM212" s="2601">
        <v>0.76400000000000001</v>
      </c>
      <c r="AN212" s="2601">
        <v>0.874</v>
      </c>
      <c r="AO212" s="2620">
        <v>0.98099999999999998</v>
      </c>
      <c r="AP212" s="2601">
        <v>0.95699999999999996</v>
      </c>
      <c r="AQ212" s="2601">
        <v>0.99299999999999999</v>
      </c>
      <c r="AR212" s="2601">
        <v>1.079</v>
      </c>
      <c r="AS212" s="501">
        <f t="shared" ref="AS212:AV215" si="404">AS$217*(AR212/AR$217)</f>
        <v>1.1367742984216949</v>
      </c>
      <c r="AT212" s="439">
        <f t="shared" si="404"/>
        <v>1.1849379501712125</v>
      </c>
      <c r="AU212" s="439">
        <f t="shared" si="404"/>
        <v>1.2360637875388667</v>
      </c>
      <c r="AV212" s="461">
        <f t="shared" si="404"/>
        <v>1.2947999999999995</v>
      </c>
      <c r="AW212" s="501">
        <f t="shared" ref="AW212:BD215" si="405">AW$217*(AV212/AV$217)</f>
        <v>1.2731872142322982</v>
      </c>
      <c r="AX212" s="439">
        <f t="shared" si="405"/>
        <v>1.327130504191758</v>
      </c>
      <c r="AY212" s="439">
        <f t="shared" si="405"/>
        <v>1.3843914420435306</v>
      </c>
      <c r="AZ212" s="461">
        <f t="shared" si="405"/>
        <v>1.4501759999999995</v>
      </c>
      <c r="BA212" s="501">
        <f t="shared" si="405"/>
        <v>1.4005059356555281</v>
      </c>
      <c r="BB212" s="439">
        <f t="shared" si="405"/>
        <v>1.4598435546109341</v>
      </c>
      <c r="BC212" s="439">
        <f t="shared" si="405"/>
        <v>1.5228305862478839</v>
      </c>
      <c r="BD212" s="461">
        <f t="shared" si="405"/>
        <v>1.5951935999999995</v>
      </c>
      <c r="BE212" s="2577"/>
      <c r="BF212" s="391">
        <v>0</v>
      </c>
      <c r="BG212" s="391">
        <v>0</v>
      </c>
      <c r="BH212" s="391">
        <v>0</v>
      </c>
      <c r="BI212" s="391">
        <v>0</v>
      </c>
      <c r="BJ212" s="336">
        <f>SUM(M212:P212)</f>
        <v>2.6000000000000002E-2</v>
      </c>
      <c r="BK212" s="336">
        <f>SUM(Q212:T212)</f>
        <v>4.9999999999999996E-2</v>
      </c>
      <c r="BL212" s="336">
        <f>SUM(U212:X212)</f>
        <v>0.123</v>
      </c>
      <c r="BM212" s="336">
        <f>SUM(Y212:AB212)</f>
        <v>0.42099999999999999</v>
      </c>
      <c r="BN212" s="336">
        <f>SUM(AC212:AF212)</f>
        <v>0.72899999999999998</v>
      </c>
      <c r="BO212" s="336">
        <f>SUM(AG212:AJ212)</f>
        <v>1.117</v>
      </c>
      <c r="BP212" s="110">
        <f>SUM(AK212:AN212)</f>
        <v>2.4460000000000002</v>
      </c>
      <c r="BQ212" s="110">
        <f>SUM(AO212:AR212)</f>
        <v>4.01</v>
      </c>
      <c r="BR212" s="110">
        <f>SUM(AS212:AV212)</f>
        <v>4.852576036131774</v>
      </c>
      <c r="BS212" s="110">
        <f>SUM(AW212:AZ212)</f>
        <v>5.4348851604675863</v>
      </c>
      <c r="BT212" s="110">
        <f>SUM(BA212:BD212)</f>
        <v>5.9783736765143463</v>
      </c>
      <c r="BU212" s="439">
        <f t="shared" ref="BU212:BY215" si="406">BU$217*(BT212/BT$217)</f>
        <v>6.3968598338703506</v>
      </c>
      <c r="BV212" s="439">
        <f t="shared" si="406"/>
        <v>6.7167028255638686</v>
      </c>
      <c r="BW212" s="439">
        <f t="shared" si="406"/>
        <v>7.0525379668420616</v>
      </c>
      <c r="BX212" s="439">
        <f t="shared" si="406"/>
        <v>7.4051648651841662</v>
      </c>
      <c r="BY212" s="461">
        <f t="shared" si="406"/>
        <v>7.7754231084433743</v>
      </c>
    </row>
    <row r="213" spans="1:84" s="36" customFormat="1" ht="11.25" customHeight="1">
      <c r="I213" s="653" t="s">
        <v>62</v>
      </c>
      <c r="J213" s="13"/>
      <c r="K213" s="5"/>
      <c r="L213" s="5"/>
      <c r="M213" s="389">
        <v>0.121</v>
      </c>
      <c r="N213" s="389">
        <v>0.13900000000000001</v>
      </c>
      <c r="O213" s="389">
        <v>0.129</v>
      </c>
      <c r="P213" s="389">
        <v>0.27300000000000002</v>
      </c>
      <c r="Q213" s="893">
        <v>0.27100000000000002</v>
      </c>
      <c r="R213" s="389">
        <v>0.28100000000000003</v>
      </c>
      <c r="S213" s="389">
        <v>0.55900000000000005</v>
      </c>
      <c r="T213" s="894">
        <v>0.496</v>
      </c>
      <c r="U213" s="893">
        <v>1.1240000000000001</v>
      </c>
      <c r="V213" s="389">
        <v>0.89500000000000002</v>
      </c>
      <c r="W213" s="389">
        <v>1.1519999999999999</v>
      </c>
      <c r="X213" s="894">
        <v>1.746</v>
      </c>
      <c r="Y213" s="893">
        <v>1.988</v>
      </c>
      <c r="Z213" s="389">
        <v>2.282</v>
      </c>
      <c r="AA213" s="389">
        <v>2.66</v>
      </c>
      <c r="AB213" s="894">
        <v>3.2010000000000001</v>
      </c>
      <c r="AC213" s="389">
        <v>3.3969999999999998</v>
      </c>
      <c r="AD213" s="389">
        <v>3.7280000000000002</v>
      </c>
      <c r="AE213" s="389">
        <v>3.883</v>
      </c>
      <c r="AF213" s="389">
        <v>3.9950000000000001</v>
      </c>
      <c r="AG213" s="1423">
        <v>4.9370000000000003</v>
      </c>
      <c r="AH213" s="1731">
        <v>5.6539999999999999</v>
      </c>
      <c r="AI213" s="1731">
        <v>5.5679999999999996</v>
      </c>
      <c r="AJ213" s="2618">
        <v>5.8029999999999999</v>
      </c>
      <c r="AK213" s="2620">
        <v>6.3419999999999996</v>
      </c>
      <c r="AL213" s="2601">
        <v>6.843</v>
      </c>
      <c r="AM213" s="2601">
        <v>7.1909999999999998</v>
      </c>
      <c r="AN213" s="2601">
        <v>6.7220000000000004</v>
      </c>
      <c r="AO213" s="2620">
        <v>6.8680000000000003</v>
      </c>
      <c r="AP213" s="2601">
        <v>7.2610000000000001</v>
      </c>
      <c r="AQ213" s="2601">
        <v>7.3049999999999997</v>
      </c>
      <c r="AR213" s="2601">
        <v>6.6660000000000004</v>
      </c>
      <c r="AS213" s="501">
        <f t="shared" si="404"/>
        <v>7.0229262959027059</v>
      </c>
      <c r="AT213" s="439">
        <f t="shared" si="404"/>
        <v>7.3204785688983369</v>
      </c>
      <c r="AU213" s="439">
        <f t="shared" si="404"/>
        <v>7.6363310544338177</v>
      </c>
      <c r="AV213" s="461">
        <f t="shared" si="404"/>
        <v>7.9992000000000001</v>
      </c>
      <c r="AW213" s="501">
        <f t="shared" si="405"/>
        <v>7.8656774514110319</v>
      </c>
      <c r="AX213" s="439">
        <f t="shared" si="405"/>
        <v>8.1989359971661386</v>
      </c>
      <c r="AY213" s="439">
        <f t="shared" si="405"/>
        <v>8.5526907809658752</v>
      </c>
      <c r="AZ213" s="461">
        <f t="shared" si="405"/>
        <v>8.959104</v>
      </c>
      <c r="BA213" s="501">
        <f t="shared" si="405"/>
        <v>8.6522451965521352</v>
      </c>
      <c r="BB213" s="439">
        <f t="shared" si="405"/>
        <v>9.0188295968827532</v>
      </c>
      <c r="BC213" s="439">
        <f t="shared" si="405"/>
        <v>9.4079598590624638</v>
      </c>
      <c r="BD213" s="461">
        <f t="shared" si="405"/>
        <v>9.8550144000000017</v>
      </c>
      <c r="BE213" s="2577"/>
      <c r="BF213" s="391">
        <v>0</v>
      </c>
      <c r="BG213" s="391">
        <v>4.1000000000000002E-2</v>
      </c>
      <c r="BH213" s="391">
        <v>0.14099999999999999</v>
      </c>
      <c r="BI213" s="391">
        <v>0.221</v>
      </c>
      <c r="BJ213" s="336">
        <f>SUM(M213:P213)</f>
        <v>0.66200000000000003</v>
      </c>
      <c r="BK213" s="336">
        <f>SUM(Q213:T213)</f>
        <v>1.6070000000000002</v>
      </c>
      <c r="BL213" s="336">
        <f>SUM(U213:X213)</f>
        <v>4.9169999999999998</v>
      </c>
      <c r="BM213" s="336">
        <f>SUM(Y213:AB213)</f>
        <v>10.131</v>
      </c>
      <c r="BN213" s="336">
        <f>SUM(AC213:AF213)</f>
        <v>15.003</v>
      </c>
      <c r="BO213" s="336">
        <f>SUM(AG213:AJ213)</f>
        <v>21.962</v>
      </c>
      <c r="BP213" s="110">
        <f>SUM(AK213:AN213)</f>
        <v>27.097999999999999</v>
      </c>
      <c r="BQ213" s="110">
        <f>SUM(AO213:AR213)</f>
        <v>28.1</v>
      </c>
      <c r="BR213" s="110">
        <f>SUM(AS213:AV213)</f>
        <v>29.978935919234864</v>
      </c>
      <c r="BS213" s="110">
        <f>SUM(AW213:AZ213)</f>
        <v>33.576408229543048</v>
      </c>
      <c r="BT213" s="110">
        <f>SUM(BA213:BD213)</f>
        <v>36.934049052497357</v>
      </c>
      <c r="BU213" s="439">
        <f t="shared" si="406"/>
        <v>39.519432486172171</v>
      </c>
      <c r="BV213" s="439">
        <f t="shared" si="406"/>
        <v>41.495404110480784</v>
      </c>
      <c r="BW213" s="439">
        <f t="shared" si="406"/>
        <v>43.570174316004817</v>
      </c>
      <c r="BX213" s="439">
        <f t="shared" si="406"/>
        <v>45.748683031805065</v>
      </c>
      <c r="BY213" s="461">
        <f t="shared" si="406"/>
        <v>48.036117183395319</v>
      </c>
    </row>
    <row r="214" spans="1:84" s="36" customFormat="1" ht="11.25" customHeight="1">
      <c r="I214" s="653" t="s">
        <v>37</v>
      </c>
      <c r="J214" s="13"/>
      <c r="K214" s="5"/>
      <c r="L214" s="5"/>
      <c r="M214" s="389">
        <v>5.5E-2</v>
      </c>
      <c r="N214" s="389">
        <v>3.7999999999999999E-2</v>
      </c>
      <c r="O214" s="389">
        <v>7.4999999999999997E-2</v>
      </c>
      <c r="P214" s="389">
        <v>9.1999999999999998E-2</v>
      </c>
      <c r="Q214" s="893">
        <v>0.14699999999999999</v>
      </c>
      <c r="R214" s="389">
        <v>0.17299999999999999</v>
      </c>
      <c r="S214" s="389">
        <v>0.23699999999999999</v>
      </c>
      <c r="T214" s="894">
        <v>0.16400000000000001</v>
      </c>
      <c r="U214" s="893">
        <v>0.24299999999999999</v>
      </c>
      <c r="V214" s="389">
        <v>0.3</v>
      </c>
      <c r="W214" s="389">
        <v>0.46600000000000003</v>
      </c>
      <c r="X214" s="894">
        <v>0.69599999999999995</v>
      </c>
      <c r="Y214" s="893">
        <v>0.81599999999999995</v>
      </c>
      <c r="Z214" s="389">
        <v>1.04</v>
      </c>
      <c r="AA214" s="389">
        <v>1.7090000000000001</v>
      </c>
      <c r="AB214" s="894">
        <v>2.7050000000000001</v>
      </c>
      <c r="AC214" s="389">
        <v>3.0419999999999998</v>
      </c>
      <c r="AD214" s="389">
        <v>3.456</v>
      </c>
      <c r="AE214" s="389">
        <v>3.835</v>
      </c>
      <c r="AF214" s="389">
        <v>4.5510000000000002</v>
      </c>
      <c r="AG214" s="1423">
        <v>5.1050000000000004</v>
      </c>
      <c r="AH214" s="1731">
        <v>6.0650000000000004</v>
      </c>
      <c r="AI214" s="1731">
        <v>5.9470000000000001</v>
      </c>
      <c r="AJ214" s="2618">
        <v>6.3140000000000001</v>
      </c>
      <c r="AK214" s="2620">
        <v>8.0299999999999994</v>
      </c>
      <c r="AL214" s="2601">
        <v>8.4130000000000003</v>
      </c>
      <c r="AM214" s="2601">
        <v>9.2840000000000007</v>
      </c>
      <c r="AN214" s="2601">
        <v>10.595000000000001</v>
      </c>
      <c r="AO214" s="2620">
        <v>11.208</v>
      </c>
      <c r="AP214" s="2601">
        <v>11.244999999999999</v>
      </c>
      <c r="AQ214" s="2601">
        <v>11.976000000000001</v>
      </c>
      <c r="AR214" s="2601">
        <v>12.851000000000001</v>
      </c>
      <c r="AS214" s="501">
        <f t="shared" si="404"/>
        <v>13.539097784075258</v>
      </c>
      <c r="AT214" s="439">
        <f t="shared" si="404"/>
        <v>14.11273178651553</v>
      </c>
      <c r="AU214" s="439">
        <f t="shared" si="404"/>
        <v>14.721645721651512</v>
      </c>
      <c r="AV214" s="461">
        <f t="shared" si="404"/>
        <v>15.421199999999999</v>
      </c>
      <c r="AW214" s="501">
        <f t="shared" si="405"/>
        <v>15.163789518164291</v>
      </c>
      <c r="AX214" s="439">
        <f t="shared" si="405"/>
        <v>15.806259600897395</v>
      </c>
      <c r="AY214" s="439">
        <f t="shared" si="405"/>
        <v>16.488243208249695</v>
      </c>
      <c r="AZ214" s="461">
        <f t="shared" si="405"/>
        <v>17.271743999999998</v>
      </c>
      <c r="BA214" s="501">
        <f t="shared" si="405"/>
        <v>16.680168469980721</v>
      </c>
      <c r="BB214" s="439">
        <f t="shared" si="405"/>
        <v>17.386885560987135</v>
      </c>
      <c r="BC214" s="439">
        <f t="shared" si="405"/>
        <v>18.137067529074663</v>
      </c>
      <c r="BD214" s="461">
        <f t="shared" si="405"/>
        <v>18.998918400000001</v>
      </c>
      <c r="BE214" s="2577"/>
      <c r="BF214" s="391">
        <v>0</v>
      </c>
      <c r="BG214" s="391">
        <v>1.6E-2</v>
      </c>
      <c r="BH214" s="391">
        <v>6.4000000000000001E-2</v>
      </c>
      <c r="BI214" s="391">
        <v>0.17899999999999999</v>
      </c>
      <c r="BJ214" s="336">
        <f>SUM(M214:P214)</f>
        <v>0.26</v>
      </c>
      <c r="BK214" s="336">
        <f>SUM(Q214:T214)</f>
        <v>0.72099999999999997</v>
      </c>
      <c r="BL214" s="336">
        <f>SUM(U214:X214)</f>
        <v>1.7049999999999998</v>
      </c>
      <c r="BM214" s="336">
        <f>SUM(Y214:AB214)</f>
        <v>6.27</v>
      </c>
      <c r="BN214" s="336">
        <f>SUM(AC214:AF214)</f>
        <v>14.883999999999999</v>
      </c>
      <c r="BO214" s="336">
        <f>SUM(AG214:AJ214)</f>
        <v>23.431000000000001</v>
      </c>
      <c r="BP214" s="110">
        <f>SUM(AK214:AN214)</f>
        <v>36.321999999999996</v>
      </c>
      <c r="BQ214" s="110">
        <f>SUM(AO214:AR214)</f>
        <v>47.28</v>
      </c>
      <c r="BR214" s="110">
        <f>SUM(AS214:AV214)</f>
        <v>57.794675292242303</v>
      </c>
      <c r="BS214" s="110">
        <f>SUM(AW214:AZ214)</f>
        <v>64.730036327311382</v>
      </c>
      <c r="BT214" s="110">
        <f>SUM(BA214:BD214)</f>
        <v>71.203039960042517</v>
      </c>
      <c r="BU214" s="439">
        <f t="shared" si="406"/>
        <v>76.187252757245503</v>
      </c>
      <c r="BV214" s="439">
        <f t="shared" si="406"/>
        <v>79.996615395107781</v>
      </c>
      <c r="BW214" s="439">
        <f t="shared" si="406"/>
        <v>83.996446164863173</v>
      </c>
      <c r="BX214" s="439">
        <f t="shared" si="406"/>
        <v>88.196268473106343</v>
      </c>
      <c r="BY214" s="461">
        <f t="shared" si="406"/>
        <v>92.606081896761651</v>
      </c>
    </row>
    <row r="215" spans="1:84" s="36" customFormat="1" ht="11.25" customHeight="1">
      <c r="I215" s="653" t="s">
        <v>104</v>
      </c>
      <c r="J215" s="13"/>
      <c r="K215" s="5"/>
      <c r="L215" s="5"/>
      <c r="M215" s="389">
        <v>7.1999999999999995E-2</v>
      </c>
      <c r="N215" s="389">
        <v>7.4999999999999997E-2</v>
      </c>
      <c r="O215" s="389">
        <v>0.155</v>
      </c>
      <c r="P215" s="389">
        <v>0.18099999999999999</v>
      </c>
      <c r="Q215" s="893">
        <v>0.67600000000000005</v>
      </c>
      <c r="R215" s="389">
        <v>0.48299999999999998</v>
      </c>
      <c r="S215" s="389">
        <v>0.65100000000000002</v>
      </c>
      <c r="T215" s="894">
        <v>0.68899999999999995</v>
      </c>
      <c r="U215" s="893">
        <f>6.039-U216</f>
        <v>0.5389999999999997</v>
      </c>
      <c r="V215" s="389">
        <v>0.628</v>
      </c>
      <c r="W215" s="389">
        <v>0.68899999999999995</v>
      </c>
      <c r="X215" s="894">
        <v>0.77800000000000002</v>
      </c>
      <c r="Y215" s="893">
        <v>1.7290000000000001</v>
      </c>
      <c r="Z215" s="389">
        <v>2.286</v>
      </c>
      <c r="AA215" s="389">
        <v>2.5419999999999998</v>
      </c>
      <c r="AB215" s="894">
        <v>2.7429999999999999</v>
      </c>
      <c r="AC215" s="389">
        <v>2.867</v>
      </c>
      <c r="AD215" s="389">
        <v>2.78</v>
      </c>
      <c r="AE215" s="389">
        <v>2.9470000000000001</v>
      </c>
      <c r="AF215" s="389">
        <v>3.0630000000000002</v>
      </c>
      <c r="AG215" s="1423">
        <v>3.5049999999999999</v>
      </c>
      <c r="AH215" s="1731">
        <v>3.5750000000000002</v>
      </c>
      <c r="AI215" s="1731">
        <v>3.7330000000000001</v>
      </c>
      <c r="AJ215" s="2618">
        <v>3.5190000000000001</v>
      </c>
      <c r="AK215" s="2620">
        <v>4.3369999999999997</v>
      </c>
      <c r="AL215" s="2601">
        <v>5.0629999999999997</v>
      </c>
      <c r="AM215" s="2601">
        <v>5.3209999999999997</v>
      </c>
      <c r="AN215" s="2601">
        <v>5.673</v>
      </c>
      <c r="AO215" s="2620">
        <v>5.2770000000000001</v>
      </c>
      <c r="AP215" s="2601">
        <v>5.9020000000000001</v>
      </c>
      <c r="AQ215" s="2601">
        <v>5.0350000000000001</v>
      </c>
      <c r="AR215" s="2601">
        <v>4.8109999999999999</v>
      </c>
      <c r="AS215" s="501">
        <f t="shared" si="404"/>
        <v>5.0686016216003473</v>
      </c>
      <c r="AT215" s="439">
        <f t="shared" si="404"/>
        <v>5.2833516944149261</v>
      </c>
      <c r="AU215" s="439">
        <f t="shared" si="404"/>
        <v>5.511309436375802</v>
      </c>
      <c r="AV215" s="461">
        <f t="shared" si="404"/>
        <v>5.773200000000001</v>
      </c>
      <c r="AW215" s="501">
        <f t="shared" si="405"/>
        <v>5.6768338161923904</v>
      </c>
      <c r="AX215" s="439">
        <f t="shared" si="405"/>
        <v>5.9173538977447189</v>
      </c>
      <c r="AY215" s="439">
        <f t="shared" si="405"/>
        <v>6.1726665687408984</v>
      </c>
      <c r="AZ215" s="461">
        <f t="shared" si="405"/>
        <v>6.4659840000000006</v>
      </c>
      <c r="BA215" s="501">
        <f t="shared" si="405"/>
        <v>6.2445171978116303</v>
      </c>
      <c r="BB215" s="439">
        <f t="shared" si="405"/>
        <v>6.509089287519191</v>
      </c>
      <c r="BC215" s="439">
        <f t="shared" si="405"/>
        <v>6.7899332256149894</v>
      </c>
      <c r="BD215" s="461">
        <f t="shared" si="405"/>
        <v>7.1125824000000017</v>
      </c>
      <c r="BE215" s="2577"/>
      <c r="BF215" s="391">
        <v>0</v>
      </c>
      <c r="BG215" s="391">
        <v>3.6999999999999998E-2</v>
      </c>
      <c r="BH215" s="391">
        <v>0.16</v>
      </c>
      <c r="BI215" s="391">
        <v>0.157</v>
      </c>
      <c r="BJ215" s="336">
        <f>SUM(M215:P215)</f>
        <v>0.48299999999999998</v>
      </c>
      <c r="BK215" s="336">
        <f>SUM(Q215:T215)</f>
        <v>2.4990000000000001</v>
      </c>
      <c r="BL215" s="336">
        <f>SUM(U215:X215)</f>
        <v>2.6339999999999999</v>
      </c>
      <c r="BM215" s="336">
        <f>SUM(Y215:AB215)</f>
        <v>9.3000000000000007</v>
      </c>
      <c r="BN215" s="336">
        <f>SUM(AC215:AF215)</f>
        <v>11.657000000000002</v>
      </c>
      <c r="BO215" s="336">
        <f>SUM(AG215:AJ215)</f>
        <v>14.332000000000001</v>
      </c>
      <c r="BP215" s="110">
        <f>SUM(AK215:AN215)</f>
        <v>20.393999999999998</v>
      </c>
      <c r="BQ215" s="110">
        <f>SUM(AO215:AR215)</f>
        <v>21.024999999999999</v>
      </c>
      <c r="BR215" s="110">
        <f>SUM(AS215:AV215)</f>
        <v>21.636462752391076</v>
      </c>
      <c r="BS215" s="110">
        <f>SUM(AW215:AZ215)</f>
        <v>24.23283828267801</v>
      </c>
      <c r="BT215" s="110">
        <f>SUM(BA215:BD215)</f>
        <v>26.656122110945809</v>
      </c>
      <c r="BU215" s="439">
        <f t="shared" si="406"/>
        <v>28.522050658712015</v>
      </c>
      <c r="BV215" s="439">
        <f t="shared" si="406"/>
        <v>29.94815319164762</v>
      </c>
      <c r="BW215" s="439">
        <f t="shared" si="406"/>
        <v>31.445560851229999</v>
      </c>
      <c r="BX215" s="439">
        <f t="shared" si="406"/>
        <v>33.017838893791499</v>
      </c>
      <c r="BY215" s="461">
        <f t="shared" si="406"/>
        <v>34.668730838481075</v>
      </c>
    </row>
    <row r="216" spans="1:84" s="36" customFormat="1" ht="11.25" customHeight="1">
      <c r="I216" s="653" t="s">
        <v>300</v>
      </c>
      <c r="J216" s="13"/>
      <c r="K216" s="5"/>
      <c r="L216" s="5"/>
      <c r="M216" s="389">
        <v>0</v>
      </c>
      <c r="N216" s="389">
        <v>0</v>
      </c>
      <c r="O216" s="389">
        <v>0</v>
      </c>
      <c r="P216" s="389">
        <v>0</v>
      </c>
      <c r="Q216" s="893">
        <v>0</v>
      </c>
      <c r="R216" s="389">
        <v>0</v>
      </c>
      <c r="S216" s="389">
        <v>0</v>
      </c>
      <c r="T216" s="894">
        <v>0</v>
      </c>
      <c r="U216" s="893">
        <v>5.5</v>
      </c>
      <c r="V216" s="389">
        <v>0</v>
      </c>
      <c r="W216" s="389">
        <v>0</v>
      </c>
      <c r="X216" s="894">
        <v>0</v>
      </c>
      <c r="Y216" s="893">
        <v>0.55500000000000005</v>
      </c>
      <c r="Z216" s="389">
        <v>0</v>
      </c>
      <c r="AA216" s="389">
        <v>0</v>
      </c>
      <c r="AB216" s="894">
        <v>0</v>
      </c>
      <c r="AC216" s="389">
        <v>0</v>
      </c>
      <c r="AD216" s="389">
        <v>0</v>
      </c>
      <c r="AE216" s="389">
        <v>0</v>
      </c>
      <c r="AF216" s="389">
        <v>0</v>
      </c>
      <c r="AG216" s="1423">
        <v>0</v>
      </c>
      <c r="AH216" s="1731">
        <v>0</v>
      </c>
      <c r="AI216" s="1731">
        <v>0</v>
      </c>
      <c r="AJ216" s="435">
        <v>0</v>
      </c>
      <c r="AK216" s="519">
        <v>0</v>
      </c>
      <c r="AL216" s="435">
        <v>0</v>
      </c>
      <c r="AM216" s="435">
        <v>0</v>
      </c>
      <c r="AN216" s="435">
        <v>0</v>
      </c>
      <c r="AO216" s="519">
        <v>0</v>
      </c>
      <c r="AP216" s="435">
        <v>0</v>
      </c>
      <c r="AQ216" s="435">
        <v>0</v>
      </c>
      <c r="AR216" s="435">
        <v>0</v>
      </c>
      <c r="AS216" s="1665">
        <v>0</v>
      </c>
      <c r="AT216" s="438">
        <v>0</v>
      </c>
      <c r="AU216" s="438">
        <v>0</v>
      </c>
      <c r="AV216" s="460">
        <v>0</v>
      </c>
      <c r="AW216" s="1665">
        <v>0</v>
      </c>
      <c r="AX216" s="438">
        <v>0</v>
      </c>
      <c r="AY216" s="438">
        <v>0</v>
      </c>
      <c r="AZ216" s="460">
        <v>0</v>
      </c>
      <c r="BA216" s="1665">
        <v>0</v>
      </c>
      <c r="BB216" s="438">
        <v>0</v>
      </c>
      <c r="BC216" s="438">
        <v>0</v>
      </c>
      <c r="BD216" s="460">
        <v>0</v>
      </c>
      <c r="BE216" s="2577"/>
      <c r="BF216" s="391">
        <v>0</v>
      </c>
      <c r="BG216" s="391">
        <v>0</v>
      </c>
      <c r="BH216" s="391">
        <v>0</v>
      </c>
      <c r="BI216" s="391">
        <v>0</v>
      </c>
      <c r="BJ216" s="336">
        <f>SUM(M216:P216)</f>
        <v>0</v>
      </c>
      <c r="BK216" s="336">
        <f>SUM(Q216:T216)</f>
        <v>0</v>
      </c>
      <c r="BL216" s="336">
        <f>SUM(U216:X216)</f>
        <v>5.5</v>
      </c>
      <c r="BM216" s="336">
        <f>SUM(Y216:AB216)</f>
        <v>0.55500000000000005</v>
      </c>
      <c r="BN216" s="336">
        <f>SUM(AC216:AF216)</f>
        <v>0</v>
      </c>
      <c r="BO216" s="336">
        <f>SUM(AG216:AJ216)</f>
        <v>0</v>
      </c>
      <c r="BP216" s="110">
        <f>SUM(AK216:AN216)</f>
        <v>0</v>
      </c>
      <c r="BQ216" s="110">
        <f>SUM(AO216:AR216)</f>
        <v>0</v>
      </c>
      <c r="BR216" s="110">
        <f>SUM(AS216:AV216)</f>
        <v>0</v>
      </c>
      <c r="BS216" s="110">
        <f>SUM(AW216:AZ216)</f>
        <v>0</v>
      </c>
      <c r="BT216" s="110">
        <f>SUM(BA216:BD216)</f>
        <v>0</v>
      </c>
      <c r="BU216" s="438">
        <f>+BT216</f>
        <v>0</v>
      </c>
      <c r="BV216" s="438">
        <f>+BU216</f>
        <v>0</v>
      </c>
      <c r="BW216" s="438">
        <f>+BV216</f>
        <v>0</v>
      </c>
      <c r="BX216" s="438">
        <f>+BW216</f>
        <v>0</v>
      </c>
      <c r="BY216" s="460">
        <f>+BX216</f>
        <v>0</v>
      </c>
    </row>
    <row r="217" spans="1:84" s="36" customFormat="1" ht="11.25" customHeight="1">
      <c r="I217" s="622" t="s">
        <v>52</v>
      </c>
      <c r="J217" s="50"/>
      <c r="K217" s="50"/>
      <c r="L217" s="50"/>
      <c r="M217" s="402">
        <f>+SUM(M212:M216)</f>
        <v>0.253</v>
      </c>
      <c r="N217" s="402">
        <f t="shared" ref="N217:AG217" si="407">+SUM(N212:N216)</f>
        <v>0.25700000000000001</v>
      </c>
      <c r="O217" s="402">
        <f t="shared" si="407"/>
        <v>0.36699999999999999</v>
      </c>
      <c r="P217" s="402">
        <f t="shared" si="407"/>
        <v>0.55400000000000005</v>
      </c>
      <c r="Q217" s="896">
        <f t="shared" si="407"/>
        <v>1.1030000000000002</v>
      </c>
      <c r="R217" s="402">
        <f t="shared" si="407"/>
        <v>0.94799999999999995</v>
      </c>
      <c r="S217" s="402">
        <f t="shared" si="407"/>
        <v>1.46</v>
      </c>
      <c r="T217" s="897">
        <f t="shared" si="407"/>
        <v>1.3660000000000001</v>
      </c>
      <c r="U217" s="896">
        <f t="shared" si="407"/>
        <v>7.4290000000000003</v>
      </c>
      <c r="V217" s="402">
        <f t="shared" si="407"/>
        <v>1.8580000000000001</v>
      </c>
      <c r="W217" s="402">
        <f t="shared" si="407"/>
        <v>2.3339999999999996</v>
      </c>
      <c r="X217" s="897">
        <f t="shared" si="407"/>
        <v>3.258</v>
      </c>
      <c r="Y217" s="896">
        <f t="shared" si="407"/>
        <v>5.16</v>
      </c>
      <c r="Z217" s="402">
        <f t="shared" si="407"/>
        <v>5.7130000000000001</v>
      </c>
      <c r="AA217" s="402">
        <f t="shared" si="407"/>
        <v>7.0150000000000006</v>
      </c>
      <c r="AB217" s="897">
        <f t="shared" si="407"/>
        <v>8.7889999999999997</v>
      </c>
      <c r="AC217" s="402">
        <f t="shared" si="407"/>
        <v>9.4559999999999995</v>
      </c>
      <c r="AD217" s="402">
        <f t="shared" si="407"/>
        <v>10.083</v>
      </c>
      <c r="AE217" s="402">
        <f t="shared" si="407"/>
        <v>10.917999999999999</v>
      </c>
      <c r="AF217" s="402">
        <f t="shared" si="407"/>
        <v>11.816000000000001</v>
      </c>
      <c r="AG217" s="896">
        <f t="shared" si="407"/>
        <v>13.670999999999999</v>
      </c>
      <c r="AH217" s="1733">
        <f>SUM(AH212:AH216)</f>
        <v>15.516000000000002</v>
      </c>
      <c r="AI217" s="1733">
        <f>SUM(AI212:AI216)</f>
        <v>15.683</v>
      </c>
      <c r="AJ217" s="402">
        <f t="shared" ref="AJ217:AO217" si="408">+SUM(AJ212:AJ216)</f>
        <v>15.972</v>
      </c>
      <c r="AK217" s="2282">
        <f t="shared" si="408"/>
        <v>19.11</v>
      </c>
      <c r="AL217" s="428">
        <f t="shared" si="408"/>
        <v>20.725999999999999</v>
      </c>
      <c r="AM217" s="428">
        <f t="shared" si="408"/>
        <v>22.560000000000002</v>
      </c>
      <c r="AN217" s="428">
        <f t="shared" si="408"/>
        <v>23.864000000000004</v>
      </c>
      <c r="AO217" s="2282">
        <f t="shared" si="408"/>
        <v>24.334000000000003</v>
      </c>
      <c r="AP217" s="428">
        <f>+SUM(AP212:AP216)</f>
        <v>25.365000000000002</v>
      </c>
      <c r="AQ217" s="428">
        <f>+SUM(AQ212:AQ216)</f>
        <v>25.309000000000001</v>
      </c>
      <c r="AR217" s="428">
        <f t="shared" ref="AR217" si="409">+SUM(AR212:AR216)</f>
        <v>25.407</v>
      </c>
      <c r="AS217" s="750">
        <f t="shared" ref="AS217:BD217" si="410">AS185</f>
        <v>26.767400000000006</v>
      </c>
      <c r="AT217" s="322">
        <f t="shared" si="410"/>
        <v>27.901500000000006</v>
      </c>
      <c r="AU217" s="322">
        <f t="shared" si="410"/>
        <v>29.105349999999998</v>
      </c>
      <c r="AV217" s="734">
        <f t="shared" si="410"/>
        <v>30.488399999999999</v>
      </c>
      <c r="AW217" s="750">
        <f t="shared" si="410"/>
        <v>29.979488000000011</v>
      </c>
      <c r="AX217" s="322">
        <f t="shared" si="410"/>
        <v>31.249680000000009</v>
      </c>
      <c r="AY217" s="322">
        <f t="shared" si="410"/>
        <v>32.597991999999998</v>
      </c>
      <c r="AZ217" s="734">
        <f t="shared" si="410"/>
        <v>34.147008</v>
      </c>
      <c r="BA217" s="750">
        <f t="shared" si="410"/>
        <v>32.977436800000014</v>
      </c>
      <c r="BB217" s="322">
        <f t="shared" si="410"/>
        <v>34.374648000000015</v>
      </c>
      <c r="BC217" s="322">
        <f t="shared" si="410"/>
        <v>35.857791200000001</v>
      </c>
      <c r="BD217" s="734">
        <f t="shared" si="410"/>
        <v>37.561708800000005</v>
      </c>
      <c r="BE217" s="2585"/>
      <c r="BF217" s="76">
        <f t="shared" ref="BF217:BT217" si="411">+SUM(BF212:BF216)</f>
        <v>0</v>
      </c>
      <c r="BG217" s="76">
        <f t="shared" si="411"/>
        <v>9.4E-2</v>
      </c>
      <c r="BH217" s="76">
        <f t="shared" si="411"/>
        <v>0.36499999999999999</v>
      </c>
      <c r="BI217" s="76">
        <f t="shared" si="411"/>
        <v>0.55700000000000005</v>
      </c>
      <c r="BJ217" s="76">
        <f t="shared" si="411"/>
        <v>1.431</v>
      </c>
      <c r="BK217" s="76">
        <f t="shared" si="411"/>
        <v>4.8770000000000007</v>
      </c>
      <c r="BL217" s="76">
        <f t="shared" si="411"/>
        <v>14.879</v>
      </c>
      <c r="BM217" s="76">
        <f t="shared" si="411"/>
        <v>26.677</v>
      </c>
      <c r="BN217" s="76">
        <f t="shared" si="411"/>
        <v>42.273000000000003</v>
      </c>
      <c r="BO217" s="76">
        <f t="shared" si="411"/>
        <v>60.842000000000006</v>
      </c>
      <c r="BP217" s="76">
        <f t="shared" si="411"/>
        <v>86.259999999999991</v>
      </c>
      <c r="BQ217" s="428">
        <f t="shared" si="411"/>
        <v>100.41499999999999</v>
      </c>
      <c r="BR217" s="428">
        <f t="shared" si="411"/>
        <v>114.26265000000001</v>
      </c>
      <c r="BS217" s="428">
        <f t="shared" si="411"/>
        <v>127.97416800000002</v>
      </c>
      <c r="BT217" s="428">
        <f t="shared" si="411"/>
        <v>140.77158480000003</v>
      </c>
      <c r="BU217" s="322">
        <f>BU185</f>
        <v>150.62559573600004</v>
      </c>
      <c r="BV217" s="322">
        <f>BV185</f>
        <v>158.15687552280005</v>
      </c>
      <c r="BW217" s="322">
        <f>BW185</f>
        <v>166.06471929894005</v>
      </c>
      <c r="BX217" s="322">
        <f>BX185</f>
        <v>174.36795526388707</v>
      </c>
      <c r="BY217" s="734">
        <f>BY185</f>
        <v>183.08635302708143</v>
      </c>
    </row>
    <row r="218" spans="1:84" s="36" customFormat="1" ht="11.25" customHeight="1">
      <c r="I218" s="622"/>
      <c r="J218" s="50"/>
      <c r="K218" s="50"/>
      <c r="L218" s="50"/>
      <c r="M218" s="232"/>
      <c r="N218" s="232"/>
      <c r="O218" s="232"/>
      <c r="P218" s="222"/>
      <c r="Q218" s="905"/>
      <c r="R218" s="222"/>
      <c r="S218" s="222"/>
      <c r="T218" s="895"/>
      <c r="U218" s="708"/>
      <c r="V218" s="222"/>
      <c r="W218" s="222"/>
      <c r="X218" s="895"/>
      <c r="Y218" s="888"/>
      <c r="Z218" s="77"/>
      <c r="AA218" s="77"/>
      <c r="AB218" s="889"/>
      <c r="AC218" s="77"/>
      <c r="AD218" s="77"/>
      <c r="AE218" s="77"/>
      <c r="AF218" s="77"/>
      <c r="AG218" s="888"/>
      <c r="AH218" s="77"/>
      <c r="AI218" s="77"/>
      <c r="AJ218" s="77"/>
      <c r="AK218" s="888"/>
      <c r="AL218" s="77"/>
      <c r="AM218" s="77"/>
      <c r="AN218" s="889"/>
      <c r="AO218" s="888"/>
      <c r="AP218" s="77"/>
      <c r="AQ218" s="77"/>
      <c r="AR218" s="889"/>
      <c r="AS218" s="888"/>
      <c r="AT218" s="77"/>
      <c r="AU218" s="77"/>
      <c r="AV218" s="889"/>
      <c r="AW218" s="888"/>
      <c r="AX218" s="77"/>
      <c r="AY218" s="77"/>
      <c r="AZ218" s="889"/>
      <c r="BA218" s="888"/>
      <c r="BB218" s="77"/>
      <c r="BC218" s="77"/>
      <c r="BD218" s="889"/>
      <c r="BE218" s="883"/>
      <c r="BF218" s="77"/>
      <c r="BG218" s="77"/>
      <c r="BH218" s="77"/>
      <c r="BI218" s="77"/>
      <c r="BJ218" s="77"/>
      <c r="BK218" s="77"/>
      <c r="BL218" s="77"/>
      <c r="BM218" s="77"/>
      <c r="BN218" s="77"/>
      <c r="BO218" s="77"/>
      <c r="BP218" s="77"/>
      <c r="BQ218" s="77"/>
      <c r="BR218" s="77"/>
      <c r="BS218" s="77"/>
      <c r="BT218" s="77"/>
      <c r="BU218" s="77"/>
      <c r="BV218" s="77"/>
      <c r="BW218" s="77"/>
      <c r="BX218" s="77"/>
      <c r="BY218" s="889"/>
    </row>
    <row r="219" spans="1:84" s="106" customFormat="1" ht="11.25" customHeight="1">
      <c r="A219" s="191"/>
      <c r="B219" s="191"/>
      <c r="C219" s="191"/>
      <c r="D219" s="191"/>
      <c r="E219" s="191"/>
      <c r="F219" s="191"/>
      <c r="G219" s="191"/>
      <c r="H219" s="191"/>
      <c r="I219" s="771" t="s">
        <v>302</v>
      </c>
      <c r="J219" s="339"/>
      <c r="K219" s="339"/>
      <c r="L219" s="339"/>
      <c r="M219" s="383"/>
      <c r="N219" s="383"/>
      <c r="O219" s="383"/>
      <c r="P219" s="383"/>
      <c r="Q219" s="864"/>
      <c r="R219" s="383"/>
      <c r="S219" s="383"/>
      <c r="T219" s="858"/>
      <c r="U219" s="864"/>
      <c r="V219" s="383"/>
      <c r="W219" s="383"/>
      <c r="X219" s="858"/>
      <c r="Y219" s="864"/>
      <c r="Z219" s="383"/>
      <c r="AA219" s="383"/>
      <c r="AB219" s="858"/>
      <c r="AC219" s="383"/>
      <c r="AD219" s="383"/>
      <c r="AE219" s="383"/>
      <c r="AF219" s="383"/>
      <c r="AG219" s="864"/>
      <c r="AH219" s="383"/>
      <c r="AI219" s="383"/>
      <c r="AJ219" s="383"/>
      <c r="AK219" s="864"/>
      <c r="AL219" s="383"/>
      <c r="AM219" s="383"/>
      <c r="AN219" s="858"/>
      <c r="AO219" s="864"/>
      <c r="AP219" s="383"/>
      <c r="AQ219" s="383"/>
      <c r="AR219" s="858"/>
      <c r="AS219" s="864"/>
      <c r="AT219" s="383"/>
      <c r="AU219" s="383"/>
      <c r="AV219" s="858"/>
      <c r="AW219" s="864"/>
      <c r="AX219" s="383"/>
      <c r="AY219" s="383"/>
      <c r="AZ219" s="858"/>
      <c r="BA219" s="864"/>
      <c r="BB219" s="383"/>
      <c r="BC219" s="383"/>
      <c r="BD219" s="858"/>
      <c r="BE219" s="2586"/>
      <c r="BF219" s="383"/>
      <c r="BG219" s="383"/>
      <c r="BH219" s="383"/>
      <c r="BI219" s="383"/>
      <c r="BJ219" s="383"/>
      <c r="BK219" s="383"/>
      <c r="BL219" s="383"/>
      <c r="BM219" s="383"/>
      <c r="BN219" s="383"/>
      <c r="BO219" s="383"/>
      <c r="BP219" s="383"/>
      <c r="BQ219" s="383"/>
      <c r="BR219" s="383"/>
      <c r="BS219" s="383"/>
      <c r="BT219" s="383"/>
      <c r="BU219" s="383"/>
      <c r="BV219" s="383"/>
      <c r="BW219" s="383"/>
      <c r="BX219" s="383"/>
      <c r="BY219" s="858"/>
      <c r="BZ219" s="99"/>
      <c r="CA219" s="327"/>
      <c r="CB219" s="327"/>
      <c r="CC219" s="327"/>
      <c r="CD219" s="327"/>
      <c r="CE219" s="327"/>
      <c r="CF219" s="327"/>
    </row>
    <row r="220" spans="1:84" s="36" customFormat="1" ht="11.25" customHeight="1">
      <c r="I220" s="653" t="s">
        <v>54</v>
      </c>
      <c r="J220" s="13"/>
      <c r="K220" s="5"/>
      <c r="L220" s="5"/>
      <c r="M220" s="67">
        <f t="shared" ref="M220:AJ220" si="412">M204-M212</f>
        <v>0.56699999999999995</v>
      </c>
      <c r="N220" s="67">
        <f t="shared" si="412"/>
        <v>0.71299999999999997</v>
      </c>
      <c r="O220" s="67">
        <f t="shared" si="412"/>
        <v>0.87</v>
      </c>
      <c r="P220" s="67">
        <f t="shared" si="412"/>
        <v>0.96099999999999997</v>
      </c>
      <c r="Q220" s="631">
        <f t="shared" si="412"/>
        <v>1.2670000000000001</v>
      </c>
      <c r="R220" s="67">
        <f t="shared" si="412"/>
        <v>1.274</v>
      </c>
      <c r="S220" s="67">
        <f t="shared" si="412"/>
        <v>1.524</v>
      </c>
      <c r="T220" s="581">
        <f t="shared" si="412"/>
        <v>1.8160000000000001</v>
      </c>
      <c r="U220" s="631">
        <f t="shared" si="412"/>
        <v>2.1029999999999998</v>
      </c>
      <c r="V220" s="67">
        <f t="shared" si="412"/>
        <v>2.2629999999999999</v>
      </c>
      <c r="W220" s="67">
        <f t="shared" si="412"/>
        <v>2.4739999999999998</v>
      </c>
      <c r="X220" s="581">
        <f t="shared" si="412"/>
        <v>2.9650000000000003</v>
      </c>
      <c r="Y220" s="631">
        <f t="shared" si="412"/>
        <v>3.2679999999999998</v>
      </c>
      <c r="Z220" s="67">
        <f t="shared" si="412"/>
        <v>3.9129999999999998</v>
      </c>
      <c r="AA220" s="67">
        <f t="shared" si="412"/>
        <v>4.173</v>
      </c>
      <c r="AB220" s="581">
        <f t="shared" si="412"/>
        <v>4.7860000000000005</v>
      </c>
      <c r="AC220" s="67">
        <f t="shared" si="412"/>
        <v>4.9269999999999996</v>
      </c>
      <c r="AD220" s="67">
        <f t="shared" si="412"/>
        <v>5.726</v>
      </c>
      <c r="AE220" s="67">
        <f t="shared" si="412"/>
        <v>5.9210000000000003</v>
      </c>
      <c r="AF220" s="67">
        <f t="shared" si="412"/>
        <v>7.0789999999999997</v>
      </c>
      <c r="AG220" s="631">
        <f t="shared" si="412"/>
        <v>8.5749999999999993</v>
      </c>
      <c r="AH220" s="67">
        <f t="shared" si="412"/>
        <v>12.835000000000001</v>
      </c>
      <c r="AI220" s="67">
        <f t="shared" si="412"/>
        <v>13.824</v>
      </c>
      <c r="AJ220" s="67">
        <f t="shared" si="412"/>
        <v>14.664</v>
      </c>
      <c r="AK220" s="631">
        <f t="shared" ref="AK220:AL223" si="413">AK204-AK212</f>
        <v>14.677</v>
      </c>
      <c r="AL220" s="67">
        <f t="shared" si="413"/>
        <v>14.68</v>
      </c>
      <c r="AM220" s="67">
        <f t="shared" ref="AM220:AP223" si="414">AM204-AM212</f>
        <v>13.83</v>
      </c>
      <c r="AN220" s="67">
        <f t="shared" si="414"/>
        <v>14.729999999999999</v>
      </c>
      <c r="AO220" s="631">
        <f t="shared" si="414"/>
        <v>15.933000000000002</v>
      </c>
      <c r="AP220" s="67">
        <f t="shared" si="414"/>
        <v>17.099</v>
      </c>
      <c r="AQ220" s="67">
        <f t="shared" ref="AQ220:AR220" si="415">AQ204-AQ212</f>
        <v>18.319000000000003</v>
      </c>
      <c r="AR220" s="67">
        <f t="shared" si="415"/>
        <v>15.157</v>
      </c>
      <c r="AS220" s="501">
        <f t="shared" ref="AS220:BD220" si="416">AS28</f>
        <v>17.197367043882355</v>
      </c>
      <c r="AT220" s="439">
        <f t="shared" si="416"/>
        <v>18.018347257545578</v>
      </c>
      <c r="AU220" s="439">
        <f t="shared" si="416"/>
        <v>19.189499055670481</v>
      </c>
      <c r="AV220" s="461">
        <f t="shared" si="416"/>
        <v>17.236910471669582</v>
      </c>
      <c r="AW220" s="501">
        <f t="shared" si="416"/>
        <v>19.860544118019682</v>
      </c>
      <c r="AX220" s="439">
        <f t="shared" si="416"/>
        <v>20.559867358664007</v>
      </c>
      <c r="AY220" s="439">
        <f t="shared" si="416"/>
        <v>21.618127133735054</v>
      </c>
      <c r="AZ220" s="461">
        <f t="shared" si="416"/>
        <v>19.102729158839104</v>
      </c>
      <c r="BA220" s="501">
        <f t="shared" si="416"/>
        <v>22.005741437136052</v>
      </c>
      <c r="BB220" s="439">
        <f t="shared" si="416"/>
        <v>22.706614118277919</v>
      </c>
      <c r="BC220" s="439">
        <f t="shared" si="416"/>
        <v>23.686099577300126</v>
      </c>
      <c r="BD220" s="461">
        <f t="shared" si="416"/>
        <v>20.733119030818433</v>
      </c>
      <c r="BE220" s="2577"/>
      <c r="BF220" s="336">
        <f t="shared" ref="BF220:BI223" si="417">BF204-BF212</f>
        <v>0</v>
      </c>
      <c r="BG220" s="336">
        <f t="shared" si="417"/>
        <v>0.23200000000000001</v>
      </c>
      <c r="BH220" s="336">
        <f t="shared" si="417"/>
        <v>0.60799999999999998</v>
      </c>
      <c r="BI220" s="336">
        <f t="shared" si="417"/>
        <v>1.121</v>
      </c>
      <c r="BJ220" s="336">
        <f>SUM(M220:P220)</f>
        <v>3.1109999999999998</v>
      </c>
      <c r="BK220" s="336">
        <f>SUM(Q220:T220)</f>
        <v>5.8810000000000002</v>
      </c>
      <c r="BL220" s="336">
        <f>SUM(U220:X220)</f>
        <v>9.8049999999999997</v>
      </c>
      <c r="BM220" s="336">
        <f>SUM(Y220:AB220)</f>
        <v>16.14</v>
      </c>
      <c r="BN220" s="336">
        <f>SUM(AC220:AF220)</f>
        <v>23.652999999999999</v>
      </c>
      <c r="BO220" s="336">
        <f>SUM(AG220:AJ220)</f>
        <v>49.898000000000003</v>
      </c>
      <c r="BP220" s="110">
        <f>SUM(AK220:AN220)</f>
        <v>57.916999999999994</v>
      </c>
      <c r="BQ220" s="110">
        <f>SUM(AO220:AR220)</f>
        <v>66.50800000000001</v>
      </c>
      <c r="BR220" s="110">
        <f>SUM(AS220:AV220)</f>
        <v>71.642123828768007</v>
      </c>
      <c r="BS220" s="110">
        <f>SUM(AW220:AZ220)</f>
        <v>81.141267769257837</v>
      </c>
      <c r="BT220" s="110">
        <f>SUM(BA220:BD220)</f>
        <v>89.131574163532534</v>
      </c>
      <c r="BU220" s="439">
        <f>BU28</f>
        <v>96.229168692244798</v>
      </c>
      <c r="BV220" s="439">
        <f>BV28</f>
        <v>102.56664619534172</v>
      </c>
      <c r="BW220" s="439">
        <f>BW28</f>
        <v>108.09730099761828</v>
      </c>
      <c r="BX220" s="439">
        <f>BX28</f>
        <v>114.6447330990745</v>
      </c>
      <c r="BY220" s="461">
        <f>BY28</f>
        <v>120.74604817491546</v>
      </c>
    </row>
    <row r="221" spans="1:84" s="36" customFormat="1" ht="11.25" customHeight="1">
      <c r="I221" s="653" t="s">
        <v>58</v>
      </c>
      <c r="J221" s="13"/>
      <c r="K221" s="5"/>
      <c r="L221" s="5"/>
      <c r="M221" s="67">
        <f t="shared" ref="M221:AJ221" si="418">M205-M213</f>
        <v>6.5660000000000007</v>
      </c>
      <c r="N221" s="67">
        <f t="shared" si="418"/>
        <v>7.7779999999999996</v>
      </c>
      <c r="O221" s="67">
        <f t="shared" si="418"/>
        <v>9.3360000000000003</v>
      </c>
      <c r="P221" s="67">
        <f t="shared" si="418"/>
        <v>9.577</v>
      </c>
      <c r="Q221" s="631">
        <f t="shared" si="418"/>
        <v>11</v>
      </c>
      <c r="R221" s="67">
        <f t="shared" si="418"/>
        <v>12.065999999999999</v>
      </c>
      <c r="S221" s="67">
        <f t="shared" si="418"/>
        <v>14.338000000000001</v>
      </c>
      <c r="T221" s="581">
        <f t="shared" si="418"/>
        <v>15.528</v>
      </c>
      <c r="U221" s="631">
        <f t="shared" si="418"/>
        <v>17.646000000000001</v>
      </c>
      <c r="V221" s="67">
        <f t="shared" si="418"/>
        <v>19.437999999999999</v>
      </c>
      <c r="W221" s="67">
        <f t="shared" si="418"/>
        <v>20.149999999999999</v>
      </c>
      <c r="X221" s="581">
        <f t="shared" si="418"/>
        <v>23.765000000000001</v>
      </c>
      <c r="Y221" s="631">
        <f t="shared" si="418"/>
        <v>26.206</v>
      </c>
      <c r="Z221" s="67">
        <f t="shared" si="418"/>
        <v>28.521000000000001</v>
      </c>
      <c r="AA221" s="67">
        <f t="shared" si="418"/>
        <v>31.465999999999998</v>
      </c>
      <c r="AB221" s="581">
        <f t="shared" si="418"/>
        <v>35.646000000000001</v>
      </c>
      <c r="AC221" s="67">
        <f t="shared" si="418"/>
        <v>41.724000000000004</v>
      </c>
      <c r="AD221" s="67">
        <f t="shared" si="418"/>
        <v>44.07</v>
      </c>
      <c r="AE221" s="67">
        <f t="shared" si="418"/>
        <v>50.667999999999999</v>
      </c>
      <c r="AF221" s="67">
        <f t="shared" si="418"/>
        <v>49.585000000000001</v>
      </c>
      <c r="AG221" s="631">
        <f t="shared" si="418"/>
        <v>58.329000000000001</v>
      </c>
      <c r="AH221" s="67">
        <f t="shared" si="418"/>
        <v>62.36</v>
      </c>
      <c r="AI221" s="67">
        <f t="shared" si="418"/>
        <v>77.381</v>
      </c>
      <c r="AJ221" s="67">
        <f t="shared" si="418"/>
        <v>81.731999999999999</v>
      </c>
      <c r="AK221" s="631">
        <f t="shared" si="413"/>
        <v>89.286000000000001</v>
      </c>
      <c r="AL221" s="67">
        <f t="shared" si="413"/>
        <v>87.558999999999997</v>
      </c>
      <c r="AM221" s="67">
        <f t="shared" si="414"/>
        <v>92.082999999999998</v>
      </c>
      <c r="AN221" s="67">
        <f t="shared" si="414"/>
        <v>86.828000000000003</v>
      </c>
      <c r="AO221" s="631">
        <f t="shared" si="414"/>
        <v>102.41800000000001</v>
      </c>
      <c r="AP221" s="67">
        <f t="shared" si="414"/>
        <v>97.971000000000004</v>
      </c>
      <c r="AQ221" s="67">
        <f t="shared" ref="AQ221:AR221" si="419">AQ205-AQ213</f>
        <v>105.73599999999999</v>
      </c>
      <c r="AR221" s="67">
        <f t="shared" si="419"/>
        <v>104.41800000000001</v>
      </c>
      <c r="AS221" s="501">
        <f t="shared" ref="AS221:BD221" si="420">AS64</f>
        <v>117.02305395721736</v>
      </c>
      <c r="AT221" s="439">
        <f t="shared" si="420"/>
        <v>110.6244712655125</v>
      </c>
      <c r="AU221" s="439">
        <f t="shared" si="420"/>
        <v>119.1576544653296</v>
      </c>
      <c r="AV221" s="461">
        <f t="shared" si="420"/>
        <v>122.81079212448338</v>
      </c>
      <c r="AW221" s="501">
        <f t="shared" si="420"/>
        <v>137.40258384982999</v>
      </c>
      <c r="AX221" s="439">
        <f t="shared" si="420"/>
        <v>128.20088467136509</v>
      </c>
      <c r="AY221" s="439">
        <f t="shared" si="420"/>
        <v>136.36606169619569</v>
      </c>
      <c r="AZ221" s="461">
        <f t="shared" si="420"/>
        <v>138.84613718464485</v>
      </c>
      <c r="BA221" s="501">
        <f t="shared" si="420"/>
        <v>154.88073463306355</v>
      </c>
      <c r="BB221" s="439">
        <f t="shared" si="420"/>
        <v>143.8834868929064</v>
      </c>
      <c r="BC221" s="439">
        <f t="shared" si="420"/>
        <v>151.86914057019516</v>
      </c>
      <c r="BD221" s="461">
        <f t="shared" si="420"/>
        <v>153.86266378307047</v>
      </c>
      <c r="BE221" s="2577"/>
      <c r="BF221" s="336">
        <f t="shared" si="417"/>
        <v>1.0780000000000001</v>
      </c>
      <c r="BG221" s="336">
        <f t="shared" si="417"/>
        <v>3.9359999999999999</v>
      </c>
      <c r="BH221" s="336">
        <f t="shared" si="417"/>
        <v>9.8979999999999997</v>
      </c>
      <c r="BI221" s="336">
        <f t="shared" si="417"/>
        <v>17.757999999999999</v>
      </c>
      <c r="BJ221" s="336">
        <f>SUM(M221:P221)</f>
        <v>33.256999999999998</v>
      </c>
      <c r="BK221" s="336">
        <f>SUM(Q221:T221)</f>
        <v>52.931999999999995</v>
      </c>
      <c r="BL221" s="336">
        <f>SUM(U221:X221)</f>
        <v>80.998999999999995</v>
      </c>
      <c r="BM221" s="336">
        <f>SUM(Y221:AB221)</f>
        <v>121.839</v>
      </c>
      <c r="BN221" s="336">
        <f>SUM(AC221:AF221)</f>
        <v>186.04700000000003</v>
      </c>
      <c r="BO221" s="336">
        <f>SUM(AG221:AJ221)</f>
        <v>279.80200000000002</v>
      </c>
      <c r="BP221" s="110">
        <f>SUM(AK221:AN221)</f>
        <v>355.75599999999997</v>
      </c>
      <c r="BQ221" s="110">
        <f>SUM(AO221:AR221)</f>
        <v>410.54300000000001</v>
      </c>
      <c r="BR221" s="110">
        <f>SUM(AS221:AV221)</f>
        <v>469.61597181254285</v>
      </c>
      <c r="BS221" s="110">
        <f>SUM(AW221:AZ221)</f>
        <v>540.81566740203561</v>
      </c>
      <c r="BT221" s="110">
        <f>SUM(BA221:BD221)</f>
        <v>604.49602587923562</v>
      </c>
      <c r="BU221" s="439">
        <f>BU64</f>
        <v>659.49602587923562</v>
      </c>
      <c r="BV221" s="439">
        <f>BV64</f>
        <v>709.49602587923562</v>
      </c>
      <c r="BW221" s="439">
        <f>BW64</f>
        <v>754.49602587923562</v>
      </c>
      <c r="BX221" s="439">
        <f>BX64</f>
        <v>794.49602587923562</v>
      </c>
      <c r="BY221" s="461">
        <f>BY64</f>
        <v>829.49602587923562</v>
      </c>
    </row>
    <row r="222" spans="1:84" s="36" customFormat="1" ht="11.25" customHeight="1">
      <c r="I222" s="653" t="s">
        <v>245</v>
      </c>
      <c r="J222" s="13"/>
      <c r="K222" s="5"/>
      <c r="L222" s="5"/>
      <c r="M222" s="67">
        <f t="shared" ref="M222:AJ222" si="421">M206-M214</f>
        <v>1.1520000000000001</v>
      </c>
      <c r="N222" s="67">
        <f t="shared" si="421"/>
        <v>1.484</v>
      </c>
      <c r="O222" s="67">
        <f t="shared" si="421"/>
        <v>1.847</v>
      </c>
      <c r="P222" s="67">
        <f t="shared" si="421"/>
        <v>1.8169999999999999</v>
      </c>
      <c r="Q222" s="631">
        <f t="shared" si="421"/>
        <v>2.1720000000000002</v>
      </c>
      <c r="R222" s="67">
        <f t="shared" si="421"/>
        <v>2.488</v>
      </c>
      <c r="S222" s="67">
        <f t="shared" si="421"/>
        <v>3.2069999999999999</v>
      </c>
      <c r="T222" s="581">
        <f t="shared" si="421"/>
        <v>2.9979999999999998</v>
      </c>
      <c r="U222" s="631">
        <f t="shared" si="421"/>
        <v>3.8969999999999998</v>
      </c>
      <c r="V222" s="67">
        <f t="shared" si="421"/>
        <v>4.0360000000000005</v>
      </c>
      <c r="W222" s="67">
        <f t="shared" si="421"/>
        <v>5.2869999999999999</v>
      </c>
      <c r="X222" s="581">
        <f t="shared" si="421"/>
        <v>5.548</v>
      </c>
      <c r="Y222" s="631">
        <f t="shared" si="421"/>
        <v>6.42</v>
      </c>
      <c r="Z222" s="67">
        <f t="shared" si="421"/>
        <v>6.9569999999999999</v>
      </c>
      <c r="AA222" s="67">
        <f t="shared" si="421"/>
        <v>9.4990000000000006</v>
      </c>
      <c r="AB222" s="581">
        <f t="shared" si="421"/>
        <v>9.0969999999999995</v>
      </c>
      <c r="AC222" s="67">
        <f t="shared" si="421"/>
        <v>10.94</v>
      </c>
      <c r="AD222" s="67">
        <f t="shared" si="421"/>
        <v>11.270000000000001</v>
      </c>
      <c r="AE222" s="67">
        <f t="shared" si="421"/>
        <v>13.561999999999998</v>
      </c>
      <c r="AF222" s="67">
        <f t="shared" si="421"/>
        <v>14.525</v>
      </c>
      <c r="AG222" s="631">
        <f t="shared" si="421"/>
        <v>18.855</v>
      </c>
      <c r="AH222" s="67">
        <f t="shared" si="421"/>
        <v>20.279999999999998</v>
      </c>
      <c r="AI222" s="67">
        <f t="shared" si="421"/>
        <v>22.564</v>
      </c>
      <c r="AJ222" s="67">
        <f t="shared" si="421"/>
        <v>22.655999999999999</v>
      </c>
      <c r="AK222" s="631">
        <f t="shared" si="413"/>
        <v>24.192</v>
      </c>
      <c r="AL222" s="67">
        <f t="shared" si="413"/>
        <v>24.684999999999999</v>
      </c>
      <c r="AM222" s="67">
        <f t="shared" si="414"/>
        <v>27.085000000000001</v>
      </c>
      <c r="AN222" s="67">
        <f t="shared" si="414"/>
        <v>26.265000000000001</v>
      </c>
      <c r="AO222" s="631">
        <f t="shared" si="414"/>
        <v>28.663000000000004</v>
      </c>
      <c r="AP222" s="67">
        <f t="shared" si="414"/>
        <v>30.843000000000004</v>
      </c>
      <c r="AQ222" s="67">
        <f t="shared" ref="AQ222:AR222" si="422">AQ206-AQ214</f>
        <v>33.858000000000004</v>
      </c>
      <c r="AR222" s="67">
        <f t="shared" si="422"/>
        <v>35.143000000000001</v>
      </c>
      <c r="AS222" s="501">
        <f t="shared" ref="AS222:BD222" si="423">AS119</f>
        <v>31.663000000000004</v>
      </c>
      <c r="AT222" s="439">
        <f t="shared" si="423"/>
        <v>33.843000000000004</v>
      </c>
      <c r="AU222" s="439">
        <f t="shared" si="423"/>
        <v>36.858000000000004</v>
      </c>
      <c r="AV222" s="461">
        <f t="shared" si="423"/>
        <v>38.143000000000001</v>
      </c>
      <c r="AW222" s="501">
        <f t="shared" si="423"/>
        <v>35.163000000000004</v>
      </c>
      <c r="AX222" s="439">
        <f t="shared" si="423"/>
        <v>37.843000000000004</v>
      </c>
      <c r="AY222" s="439">
        <f t="shared" si="423"/>
        <v>40.858000000000004</v>
      </c>
      <c r="AZ222" s="461">
        <f t="shared" si="423"/>
        <v>42.143000000000001</v>
      </c>
      <c r="BA222" s="501">
        <f t="shared" si="423"/>
        <v>38.163000000000004</v>
      </c>
      <c r="BB222" s="439">
        <f t="shared" si="423"/>
        <v>40.843000000000004</v>
      </c>
      <c r="BC222" s="439">
        <f t="shared" si="423"/>
        <v>43.858000000000004</v>
      </c>
      <c r="BD222" s="461">
        <f t="shared" si="423"/>
        <v>45.143000000000001</v>
      </c>
      <c r="BE222" s="2577"/>
      <c r="BF222" s="336">
        <f t="shared" si="417"/>
        <v>0.86899999999999999</v>
      </c>
      <c r="BG222" s="336">
        <f t="shared" si="417"/>
        <v>1.456</v>
      </c>
      <c r="BH222" s="336">
        <f t="shared" si="417"/>
        <v>1.9830000000000001</v>
      </c>
      <c r="BI222" s="336">
        <f t="shared" si="417"/>
        <v>3.0640000000000001</v>
      </c>
      <c r="BJ222" s="336">
        <f>SUM(M222:P222)</f>
        <v>6.3000000000000007</v>
      </c>
      <c r="BK222" s="336">
        <f>SUM(Q222:T222)</f>
        <v>10.865</v>
      </c>
      <c r="BL222" s="336">
        <f>SUM(U222:X222)</f>
        <v>18.768000000000001</v>
      </c>
      <c r="BM222" s="336">
        <f>SUM(Y222:AB222)</f>
        <v>31.972999999999999</v>
      </c>
      <c r="BN222" s="336">
        <f>SUM(AC222:AF222)</f>
        <v>50.296999999999997</v>
      </c>
      <c r="BO222" s="336">
        <f>SUM(AG222:AJ222)</f>
        <v>84.35499999999999</v>
      </c>
      <c r="BP222" s="110">
        <f>SUM(AK222:AN222)</f>
        <v>102.22699999999999</v>
      </c>
      <c r="BQ222" s="110">
        <f>SUM(AO222:AR222)</f>
        <v>128.50700000000001</v>
      </c>
      <c r="BR222" s="110">
        <f>SUM(AS222:AV222)</f>
        <v>140.50700000000001</v>
      </c>
      <c r="BS222" s="110">
        <f>SUM(AW222:AZ222)</f>
        <v>156.00700000000001</v>
      </c>
      <c r="BT222" s="110">
        <f>SUM(BA222:BD222)</f>
        <v>168.00700000000001</v>
      </c>
      <c r="BU222" s="439">
        <f>BU119</f>
        <v>178.80700000000002</v>
      </c>
      <c r="BV222" s="439">
        <f>BV119</f>
        <v>187.80700000000002</v>
      </c>
      <c r="BW222" s="439">
        <f>BW119</f>
        <v>196.80700000000002</v>
      </c>
      <c r="BX222" s="439">
        <f>BX119</f>
        <v>204.80700000000002</v>
      </c>
      <c r="BY222" s="461">
        <f>BY119</f>
        <v>212.80700000000002</v>
      </c>
    </row>
    <row r="223" spans="1:84" s="36" customFormat="1" ht="11.25" customHeight="1">
      <c r="I223" s="653" t="s">
        <v>105</v>
      </c>
      <c r="J223" s="13"/>
      <c r="K223" s="5"/>
      <c r="L223" s="5"/>
      <c r="M223" s="67">
        <f t="shared" ref="M223:T223" si="424">M207-M215</f>
        <v>1.72</v>
      </c>
      <c r="N223" s="67">
        <f t="shared" si="424"/>
        <v>2.718</v>
      </c>
      <c r="O223" s="67">
        <f t="shared" si="424"/>
        <v>2.5350000000000001</v>
      </c>
      <c r="P223" s="67">
        <f t="shared" si="424"/>
        <v>2.5310000000000001</v>
      </c>
      <c r="Q223" s="631">
        <f t="shared" si="424"/>
        <v>2.9409999999999998</v>
      </c>
      <c r="R223" s="67">
        <f t="shared" si="424"/>
        <v>3.101</v>
      </c>
      <c r="S223" s="67">
        <f t="shared" si="424"/>
        <v>4.1150000000000002</v>
      </c>
      <c r="T223" s="581">
        <f t="shared" si="424"/>
        <v>4.5780000000000003</v>
      </c>
      <c r="U223" s="631">
        <f>U207-U215-U216</f>
        <v>4.6899999999999995</v>
      </c>
      <c r="V223" s="67">
        <f t="shared" ref="V223:AJ223" si="425">V207-V215</f>
        <v>5.335</v>
      </c>
      <c r="W223" s="67">
        <f t="shared" si="425"/>
        <v>6.298</v>
      </c>
      <c r="X223" s="581">
        <f t="shared" si="425"/>
        <v>7.0739999999999998</v>
      </c>
      <c r="Y223" s="631">
        <f t="shared" si="425"/>
        <v>7.0349999999999993</v>
      </c>
      <c r="Z223" s="67">
        <f t="shared" si="425"/>
        <v>7.8620000000000001</v>
      </c>
      <c r="AA223" s="67">
        <f t="shared" si="425"/>
        <v>7.9930000000000003</v>
      </c>
      <c r="AB223" s="581">
        <f t="shared" si="425"/>
        <v>10.717000000000001</v>
      </c>
      <c r="AC223" s="67">
        <f t="shared" si="425"/>
        <v>10.303000000000001</v>
      </c>
      <c r="AD223" s="67">
        <f t="shared" si="425"/>
        <v>10.477</v>
      </c>
      <c r="AE223" s="67">
        <f t="shared" si="425"/>
        <v>12.238</v>
      </c>
      <c r="AF223" s="67">
        <f t="shared" si="425"/>
        <v>13.598999999999998</v>
      </c>
      <c r="AG223" s="631">
        <f t="shared" si="425"/>
        <v>16.432000000000002</v>
      </c>
      <c r="AH223" s="67">
        <f t="shared" si="425"/>
        <v>15.705000000000002</v>
      </c>
      <c r="AI223" s="67">
        <f t="shared" si="425"/>
        <v>17.256999999999998</v>
      </c>
      <c r="AJ223" s="67">
        <f t="shared" si="425"/>
        <v>17.14</v>
      </c>
      <c r="AK223" s="631">
        <f t="shared" si="413"/>
        <v>17.431999999999999</v>
      </c>
      <c r="AL223" s="67">
        <f t="shared" si="413"/>
        <v>18.401</v>
      </c>
      <c r="AM223" s="67">
        <f t="shared" si="414"/>
        <v>19.555</v>
      </c>
      <c r="AN223" s="67">
        <f t="shared" si="414"/>
        <v>21.698999999999998</v>
      </c>
      <c r="AO223" s="631">
        <f t="shared" si="414"/>
        <v>21.038</v>
      </c>
      <c r="AP223" s="67">
        <f t="shared" si="414"/>
        <v>20.058999999999997</v>
      </c>
      <c r="AQ223" s="67">
        <f t="shared" ref="AQ223:AR223" si="426">AQ207-AQ215</f>
        <v>21.658999999999999</v>
      </c>
      <c r="AR223" s="67">
        <f t="shared" si="426"/>
        <v>21.891999999999999</v>
      </c>
      <c r="AS223" s="501">
        <f t="shared" ref="AS223:BD223" si="427">AS151</f>
        <v>22.538</v>
      </c>
      <c r="AT223" s="439">
        <f t="shared" si="427"/>
        <v>21.558999999999997</v>
      </c>
      <c r="AU223" s="439">
        <f t="shared" si="427"/>
        <v>23.158999999999999</v>
      </c>
      <c r="AV223" s="461">
        <f t="shared" si="427"/>
        <v>24.391999999999999</v>
      </c>
      <c r="AW223" s="501">
        <f t="shared" si="427"/>
        <v>25.538</v>
      </c>
      <c r="AX223" s="439">
        <f t="shared" si="427"/>
        <v>24.558999999999997</v>
      </c>
      <c r="AY223" s="439">
        <f t="shared" si="427"/>
        <v>26.158999999999999</v>
      </c>
      <c r="AZ223" s="461">
        <f t="shared" si="427"/>
        <v>27.391999999999999</v>
      </c>
      <c r="BA223" s="501">
        <f t="shared" si="427"/>
        <v>28.538</v>
      </c>
      <c r="BB223" s="439">
        <f t="shared" si="427"/>
        <v>27.558999999999997</v>
      </c>
      <c r="BC223" s="439">
        <f t="shared" si="427"/>
        <v>29.158999999999999</v>
      </c>
      <c r="BD223" s="461">
        <f t="shared" si="427"/>
        <v>30.391999999999999</v>
      </c>
      <c r="BE223" s="2577"/>
      <c r="BF223" s="336">
        <f t="shared" si="417"/>
        <v>0.71399999999999997</v>
      </c>
      <c r="BG223" s="336">
        <f t="shared" si="417"/>
        <v>1.772</v>
      </c>
      <c r="BH223" s="336">
        <f t="shared" si="417"/>
        <v>4.9530000000000003</v>
      </c>
      <c r="BI223" s="336">
        <f t="shared" si="417"/>
        <v>4.4400000000000004</v>
      </c>
      <c r="BJ223" s="336">
        <f>SUM(M223:P223)</f>
        <v>9.5039999999999996</v>
      </c>
      <c r="BK223" s="336">
        <f>SUM(Q223:T223)</f>
        <v>14.734999999999999</v>
      </c>
      <c r="BL223" s="336">
        <f>SUM(U223:X223)</f>
        <v>23.396999999999998</v>
      </c>
      <c r="BM223" s="336">
        <f>SUM(Y223:AB223)</f>
        <v>33.606999999999999</v>
      </c>
      <c r="BN223" s="336">
        <f>SUM(AC223:AF223)</f>
        <v>46.616999999999997</v>
      </c>
      <c r="BO223" s="336">
        <f>SUM(AG223:AJ223)</f>
        <v>66.533999999999992</v>
      </c>
      <c r="BP223" s="110">
        <f>SUM(AK223:AN223)</f>
        <v>77.086999999999989</v>
      </c>
      <c r="BQ223" s="110">
        <f>SUM(AO223:AR223)</f>
        <v>84.647999999999996</v>
      </c>
      <c r="BR223" s="110">
        <f>SUM(AS223:AV223)</f>
        <v>91.647999999999996</v>
      </c>
      <c r="BS223" s="110">
        <f>SUM(AW223:AZ223)</f>
        <v>103.648</v>
      </c>
      <c r="BT223" s="110">
        <f>SUM(BA223:BD223)</f>
        <v>115.648</v>
      </c>
      <c r="BU223" s="439">
        <f>BU151</f>
        <v>125.648</v>
      </c>
      <c r="BV223" s="439">
        <f>BV151</f>
        <v>135.648</v>
      </c>
      <c r="BW223" s="439">
        <f>BW151</f>
        <v>145.648</v>
      </c>
      <c r="BX223" s="439">
        <f>BX151</f>
        <v>154.648</v>
      </c>
      <c r="BY223" s="461">
        <f>BY151</f>
        <v>162.648</v>
      </c>
    </row>
    <row r="224" spans="1:84" s="36" customFormat="1" ht="11.25" customHeight="1">
      <c r="I224" s="622" t="s">
        <v>303</v>
      </c>
      <c r="J224" s="50"/>
      <c r="K224" s="50"/>
      <c r="L224" s="50"/>
      <c r="M224" s="402">
        <f t="shared" ref="M224:AC224" si="428">+SUM(M220:M223)</f>
        <v>10.005000000000001</v>
      </c>
      <c r="N224" s="402">
        <f t="shared" si="428"/>
        <v>12.693</v>
      </c>
      <c r="O224" s="402">
        <f t="shared" si="428"/>
        <v>14.587999999999999</v>
      </c>
      <c r="P224" s="402">
        <f t="shared" si="428"/>
        <v>14.886000000000001</v>
      </c>
      <c r="Q224" s="896">
        <f t="shared" si="428"/>
        <v>17.38</v>
      </c>
      <c r="R224" s="402">
        <f t="shared" si="428"/>
        <v>18.928999999999998</v>
      </c>
      <c r="S224" s="402">
        <f t="shared" si="428"/>
        <v>23.184000000000005</v>
      </c>
      <c r="T224" s="897">
        <f t="shared" si="428"/>
        <v>24.92</v>
      </c>
      <c r="U224" s="896">
        <f t="shared" si="428"/>
        <v>28.335999999999999</v>
      </c>
      <c r="V224" s="402">
        <f t="shared" si="428"/>
        <v>31.072000000000003</v>
      </c>
      <c r="W224" s="402">
        <f t="shared" si="428"/>
        <v>34.208999999999996</v>
      </c>
      <c r="X224" s="897">
        <f t="shared" si="428"/>
        <v>39.351999999999997</v>
      </c>
      <c r="Y224" s="896">
        <f t="shared" si="428"/>
        <v>42.928999999999995</v>
      </c>
      <c r="Z224" s="402">
        <f t="shared" si="428"/>
        <v>47.253</v>
      </c>
      <c r="AA224" s="402">
        <f t="shared" si="428"/>
        <v>53.131</v>
      </c>
      <c r="AB224" s="897">
        <f t="shared" si="428"/>
        <v>60.246000000000002</v>
      </c>
      <c r="AC224" s="402">
        <f t="shared" si="428"/>
        <v>67.894000000000005</v>
      </c>
      <c r="AD224" s="76">
        <f t="shared" ref="AD224:AN224" si="429">+SUM(AD220:AD223)</f>
        <v>71.543000000000006</v>
      </c>
      <c r="AE224" s="76">
        <f t="shared" si="429"/>
        <v>82.388999999999996</v>
      </c>
      <c r="AF224" s="76">
        <f t="shared" si="429"/>
        <v>84.788000000000011</v>
      </c>
      <c r="AG224" s="896">
        <f t="shared" si="429"/>
        <v>102.191</v>
      </c>
      <c r="AH224" s="76">
        <f t="shared" si="429"/>
        <v>111.17999999999999</v>
      </c>
      <c r="AI224" s="76">
        <f t="shared" si="429"/>
        <v>131.02600000000001</v>
      </c>
      <c r="AJ224" s="76">
        <f t="shared" si="429"/>
        <v>136.19200000000001</v>
      </c>
      <c r="AK224" s="627">
        <f t="shared" si="429"/>
        <v>145.58699999999999</v>
      </c>
      <c r="AL224" s="76">
        <f t="shared" si="429"/>
        <v>145.32500000000002</v>
      </c>
      <c r="AM224" s="76">
        <f t="shared" si="429"/>
        <v>152.553</v>
      </c>
      <c r="AN224" s="76">
        <f t="shared" si="429"/>
        <v>149.52199999999999</v>
      </c>
      <c r="AO224" s="627">
        <f>+SUM(AO220:AO223)</f>
        <v>168.05200000000002</v>
      </c>
      <c r="AP224" s="76">
        <f>+SUM(AP220:AP223)</f>
        <v>165.97200000000001</v>
      </c>
      <c r="AQ224" s="76">
        <f>+SUM(AQ220:AQ223)</f>
        <v>179.572</v>
      </c>
      <c r="AR224" s="76">
        <f t="shared" ref="AR224" si="430">+SUM(AR220:AR223)</f>
        <v>176.61</v>
      </c>
      <c r="AS224" s="627">
        <f t="shared" ref="AS224:AV224" si="431">+SUM(AS220:AS223)</f>
        <v>188.42142100109973</v>
      </c>
      <c r="AT224" s="76">
        <f t="shared" si="431"/>
        <v>184.04481852305807</v>
      </c>
      <c r="AU224" s="76">
        <f t="shared" si="431"/>
        <v>198.36415352100008</v>
      </c>
      <c r="AV224" s="614">
        <f t="shared" si="431"/>
        <v>202.58270259615296</v>
      </c>
      <c r="AW224" s="627">
        <f t="shared" ref="AW224:BD224" si="432">+SUM(AW220:AW223)</f>
        <v>217.96412796784969</v>
      </c>
      <c r="AX224" s="76">
        <f t="shared" si="432"/>
        <v>211.16275203002911</v>
      </c>
      <c r="AY224" s="76">
        <f t="shared" si="432"/>
        <v>225.00118882993073</v>
      </c>
      <c r="AZ224" s="614">
        <f t="shared" si="432"/>
        <v>227.48386634348395</v>
      </c>
      <c r="BA224" s="627">
        <f t="shared" si="432"/>
        <v>243.58747607019961</v>
      </c>
      <c r="BB224" s="76">
        <f t="shared" si="432"/>
        <v>234.9921010111843</v>
      </c>
      <c r="BC224" s="76">
        <f t="shared" si="432"/>
        <v>248.57224014749528</v>
      </c>
      <c r="BD224" s="614">
        <f t="shared" si="432"/>
        <v>250.13078281388891</v>
      </c>
      <c r="BE224" s="2585"/>
      <c r="BF224" s="76">
        <f t="shared" ref="BF224:BT224" si="433">+SUM(BF220:BF223)</f>
        <v>2.661</v>
      </c>
      <c r="BG224" s="76">
        <f t="shared" si="433"/>
        <v>7.3960000000000008</v>
      </c>
      <c r="BH224" s="76">
        <f t="shared" si="433"/>
        <v>17.442</v>
      </c>
      <c r="BI224" s="76">
        <f t="shared" si="433"/>
        <v>26.382999999999999</v>
      </c>
      <c r="BJ224" s="76">
        <f t="shared" si="433"/>
        <v>52.17199999999999</v>
      </c>
      <c r="BK224" s="76">
        <f t="shared" si="433"/>
        <v>84.412999999999997</v>
      </c>
      <c r="BL224" s="76">
        <f t="shared" si="433"/>
        <v>132.96899999999999</v>
      </c>
      <c r="BM224" s="76">
        <f t="shared" si="433"/>
        <v>203.559</v>
      </c>
      <c r="BN224" s="76">
        <f t="shared" si="433"/>
        <v>306.61400000000003</v>
      </c>
      <c r="BO224" s="76">
        <f t="shared" si="433"/>
        <v>480.58900000000006</v>
      </c>
      <c r="BP224" s="76">
        <f t="shared" si="433"/>
        <v>592.98699999999997</v>
      </c>
      <c r="BQ224" s="76">
        <f t="shared" si="433"/>
        <v>690.20600000000002</v>
      </c>
      <c r="BR224" s="76">
        <f t="shared" si="433"/>
        <v>773.41309564131086</v>
      </c>
      <c r="BS224" s="76">
        <f t="shared" si="433"/>
        <v>881.61193517129357</v>
      </c>
      <c r="BT224" s="76">
        <f t="shared" si="433"/>
        <v>977.28260004276819</v>
      </c>
      <c r="BU224" s="76">
        <f>+SUM(BU220:BU223)</f>
        <v>1060.1801945714803</v>
      </c>
      <c r="BV224" s="76">
        <f>+SUM(BV220:BV223)</f>
        <v>1135.5176720745774</v>
      </c>
      <c r="BW224" s="76">
        <f>+SUM(BW220:BW223)</f>
        <v>1205.0483268768537</v>
      </c>
      <c r="BX224" s="76">
        <f>+SUM(BX220:BX223)</f>
        <v>1268.59575897831</v>
      </c>
      <c r="BY224" s="614">
        <f>+SUM(BY220:BY223)</f>
        <v>1325.697074054151</v>
      </c>
    </row>
    <row r="225" spans="1:84" ht="11.25" customHeight="1">
      <c r="A225" s="36"/>
      <c r="B225" s="36"/>
      <c r="C225" s="36"/>
      <c r="D225" s="36"/>
      <c r="E225" s="36"/>
      <c r="F225" s="36"/>
      <c r="G225" s="36"/>
      <c r="H225" s="36"/>
      <c r="I225" s="622"/>
      <c r="J225" s="50"/>
      <c r="K225" s="50"/>
      <c r="L225" s="50"/>
      <c r="M225" s="78"/>
      <c r="N225" s="78"/>
      <c r="O225" s="78"/>
      <c r="P225" s="78"/>
      <c r="Q225" s="873"/>
      <c r="R225" s="78"/>
      <c r="S225" s="78"/>
      <c r="T225" s="874"/>
      <c r="U225" s="873"/>
      <c r="V225" s="78"/>
      <c r="W225" s="78"/>
      <c r="X225" s="874"/>
      <c r="Y225" s="873"/>
      <c r="Z225" s="78"/>
      <c r="AA225" s="78"/>
      <c r="AB225" s="874"/>
      <c r="AC225" s="78"/>
      <c r="AD225" s="78"/>
      <c r="AE225" s="78"/>
      <c r="AF225" s="78"/>
      <c r="AG225" s="873"/>
      <c r="AH225" s="78"/>
      <c r="AI225" s="78"/>
      <c r="AJ225" s="78"/>
      <c r="AK225" s="873"/>
      <c r="AL225" s="78"/>
      <c r="AM225" s="78"/>
      <c r="AN225" s="874"/>
      <c r="AO225" s="873"/>
      <c r="AP225" s="78"/>
      <c r="AQ225" s="78"/>
      <c r="AR225" s="874"/>
      <c r="AS225" s="873"/>
      <c r="AT225" s="78"/>
      <c r="AU225" s="78"/>
      <c r="AV225" s="874"/>
      <c r="AW225" s="873"/>
      <c r="AX225" s="78"/>
      <c r="AY225" s="78"/>
      <c r="AZ225" s="874"/>
      <c r="BA225" s="873"/>
      <c r="BB225" s="78"/>
      <c r="BC225" s="78"/>
      <c r="BD225" s="874"/>
      <c r="BE225" s="883"/>
      <c r="BF225" s="78"/>
      <c r="BG225" s="78"/>
      <c r="BH225" s="78"/>
      <c r="BI225" s="78"/>
      <c r="BJ225" s="78"/>
      <c r="BK225" s="78"/>
      <c r="BL225" s="78"/>
      <c r="BM225" s="78"/>
      <c r="BN225" s="78"/>
      <c r="BO225" s="78"/>
      <c r="BP225" s="78"/>
      <c r="BQ225" s="78"/>
      <c r="BR225" s="78"/>
      <c r="BS225" s="78"/>
      <c r="BT225" s="78"/>
      <c r="BU225" s="78"/>
      <c r="BV225" s="78"/>
      <c r="BW225" s="78"/>
      <c r="BX225" s="78"/>
      <c r="BY225" s="874"/>
      <c r="BZ225" s="36"/>
      <c r="CA225" s="36"/>
      <c r="CB225" s="36"/>
      <c r="CC225" s="36"/>
      <c r="CD225" s="36"/>
      <c r="CE225" s="36"/>
      <c r="CF225" s="36"/>
    </row>
    <row r="226" spans="1:84" s="106" customFormat="1" ht="11.25" customHeight="1">
      <c r="A226" s="86"/>
      <c r="B226" s="86"/>
      <c r="C226" s="86"/>
      <c r="D226" s="86"/>
      <c r="E226" s="86"/>
      <c r="F226" s="86"/>
      <c r="G226" s="86"/>
      <c r="H226" s="86"/>
      <c r="I226" s="771" t="s">
        <v>328</v>
      </c>
      <c r="J226" s="339"/>
      <c r="K226" s="339"/>
      <c r="L226" s="339"/>
      <c r="M226" s="383"/>
      <c r="N226" s="383"/>
      <c r="O226" s="383"/>
      <c r="P226" s="383"/>
      <c r="Q226" s="864"/>
      <c r="R226" s="383"/>
      <c r="S226" s="383"/>
      <c r="T226" s="858"/>
      <c r="U226" s="864"/>
      <c r="V226" s="383"/>
      <c r="W226" s="383"/>
      <c r="X226" s="858"/>
      <c r="Y226" s="864"/>
      <c r="Z226" s="383"/>
      <c r="AA226" s="383"/>
      <c r="AB226" s="858"/>
      <c r="AC226" s="383"/>
      <c r="AD226" s="383"/>
      <c r="AE226" s="383"/>
      <c r="AF226" s="383"/>
      <c r="AG226" s="864"/>
      <c r="AH226" s="383"/>
      <c r="AI226" s="383"/>
      <c r="AJ226" s="383"/>
      <c r="AK226" s="864"/>
      <c r="AL226" s="383"/>
      <c r="AM226" s="383"/>
      <c r="AN226" s="858"/>
      <c r="AO226" s="864"/>
      <c r="AP226" s="383"/>
      <c r="AQ226" s="383"/>
      <c r="AR226" s="858"/>
      <c r="AS226" s="864"/>
      <c r="AT226" s="383"/>
      <c r="AU226" s="383"/>
      <c r="AV226" s="858"/>
      <c r="AW226" s="864"/>
      <c r="AX226" s="383"/>
      <c r="AY226" s="383"/>
      <c r="AZ226" s="858"/>
      <c r="BA226" s="864"/>
      <c r="BB226" s="383"/>
      <c r="BC226" s="383"/>
      <c r="BD226" s="858"/>
      <c r="BE226" s="2586"/>
      <c r="BF226" s="383"/>
      <c r="BG226" s="383"/>
      <c r="BH226" s="383"/>
      <c r="BI226" s="383"/>
      <c r="BJ226" s="383"/>
      <c r="BK226" s="383"/>
      <c r="BL226" s="383"/>
      <c r="BM226" s="383"/>
      <c r="BN226" s="383"/>
      <c r="BO226" s="383"/>
      <c r="BP226" s="383"/>
      <c r="BQ226" s="383"/>
      <c r="BR226" s="383"/>
      <c r="BS226" s="383"/>
      <c r="BT226" s="383"/>
      <c r="BU226" s="383"/>
      <c r="BV226" s="383"/>
      <c r="BW226" s="383"/>
      <c r="BX226" s="383"/>
      <c r="BY226" s="858"/>
      <c r="BZ226" s="99"/>
      <c r="CA226" s="327"/>
      <c r="CB226" s="327"/>
      <c r="CC226" s="327"/>
      <c r="CD226" s="327"/>
      <c r="CE226" s="327"/>
      <c r="CF226" s="327"/>
    </row>
    <row r="227" spans="1:84" s="83" customFormat="1" ht="11.25" customHeight="1">
      <c r="A227" s="328"/>
      <c r="B227" s="328"/>
      <c r="C227" s="328"/>
      <c r="D227" s="328"/>
      <c r="E227" s="328"/>
      <c r="F227" s="328"/>
      <c r="G227" s="328"/>
      <c r="H227" s="328"/>
      <c r="I227" s="1059" t="s">
        <v>556</v>
      </c>
      <c r="J227" s="277"/>
      <c r="K227" s="277"/>
      <c r="L227" s="277"/>
      <c r="M227" s="1093"/>
      <c r="N227" s="1093"/>
      <c r="O227" s="1093"/>
      <c r="P227" s="1093"/>
      <c r="Q227" s="2109"/>
      <c r="R227" s="1093"/>
      <c r="S227" s="1093"/>
      <c r="T227" s="2110"/>
      <c r="U227" s="2111">
        <f>'Revenue drivers'!U532</f>
        <v>533.33333333333337</v>
      </c>
      <c r="V227" s="2112">
        <f>'Revenue drivers'!V532</f>
        <v>566.66666666666663</v>
      </c>
      <c r="W227" s="2112">
        <f>'Revenue drivers'!W532</f>
        <v>686.27450980392155</v>
      </c>
      <c r="X227" s="2113">
        <f>'Revenue drivers'!X532</f>
        <v>769.23076923076928</v>
      </c>
      <c r="Y227" s="2111">
        <f>'Revenue drivers'!Y532</f>
        <v>800</v>
      </c>
      <c r="Z227" s="2112">
        <f>'Revenue drivers'!Z532</f>
        <v>850</v>
      </c>
      <c r="AA227" s="2112">
        <f>'Revenue drivers'!AA532</f>
        <v>1050</v>
      </c>
      <c r="AB227" s="2113">
        <f>'Revenue drivers'!AB532</f>
        <v>1100</v>
      </c>
      <c r="AC227" s="2112">
        <f>'Revenue drivers'!AC532</f>
        <v>1250</v>
      </c>
      <c r="AD227" s="2112">
        <f>'Revenue drivers'!AD532</f>
        <v>1350</v>
      </c>
      <c r="AE227" s="2112">
        <f>'Revenue drivers'!AE532</f>
        <v>1550</v>
      </c>
      <c r="AF227" s="2112">
        <f>'Revenue drivers'!AF532</f>
        <v>1550</v>
      </c>
      <c r="AG227" s="2111">
        <f>'Revenue drivers'!AG532</f>
        <v>1600</v>
      </c>
      <c r="AH227" s="2112">
        <f>'Revenue drivers'!AH532</f>
        <v>1750</v>
      </c>
      <c r="AI227" s="2112">
        <f>'Revenue drivers'!AI532</f>
        <v>2100</v>
      </c>
      <c r="AJ227" s="2112">
        <f>'Revenue drivers'!AJ532</f>
        <v>2200</v>
      </c>
      <c r="AK227" s="2621">
        <v>2300</v>
      </c>
      <c r="AL227" s="2622">
        <v>2400</v>
      </c>
      <c r="AM227" s="2622">
        <v>2500</v>
      </c>
      <c r="AN227" s="2622">
        <v>2450</v>
      </c>
      <c r="AO227" s="2621">
        <v>2550</v>
      </c>
      <c r="AP227" s="2622">
        <v>2750</v>
      </c>
      <c r="AQ227" s="2622">
        <v>3050</v>
      </c>
      <c r="AR227" s="2622">
        <v>3300</v>
      </c>
      <c r="AS227" s="2111">
        <f>'Revenue drivers'!AS169</f>
        <v>3350</v>
      </c>
      <c r="AT227" s="2112">
        <f>'Revenue drivers'!AT169</f>
        <v>3400</v>
      </c>
      <c r="AU227" s="2112">
        <f>'Revenue drivers'!AU169</f>
        <v>3475</v>
      </c>
      <c r="AV227" s="2113">
        <f>'Revenue drivers'!AV169</f>
        <v>3550</v>
      </c>
      <c r="AW227" s="2111">
        <f>'Revenue drivers'!AW532</f>
        <v>3300</v>
      </c>
      <c r="AX227" s="2112">
        <f>'Revenue drivers'!AX532</f>
        <v>3400</v>
      </c>
      <c r="AY227" s="2112">
        <f>'Revenue drivers'!AY532</f>
        <v>3475</v>
      </c>
      <c r="AZ227" s="2113">
        <f>'Revenue drivers'!AZ532</f>
        <v>3525</v>
      </c>
      <c r="BA227" s="2111">
        <f>'Revenue drivers'!BA532</f>
        <v>3605</v>
      </c>
      <c r="BB227" s="2112">
        <f>'Revenue drivers'!BB532</f>
        <v>3685</v>
      </c>
      <c r="BC227" s="2112">
        <f>'Revenue drivers'!BC532</f>
        <v>3735</v>
      </c>
      <c r="BD227" s="2113">
        <f>'Revenue drivers'!BD532</f>
        <v>3775</v>
      </c>
      <c r="BE227" s="2587"/>
      <c r="BF227" s="2112">
        <f>'Revenue drivers'!BF532</f>
        <v>0</v>
      </c>
      <c r="BG227" s="2112">
        <f>'Revenue drivers'!BG532</f>
        <v>0</v>
      </c>
      <c r="BH227" s="2112">
        <f>'Revenue drivers'!BH532</f>
        <v>0</v>
      </c>
      <c r="BI227" s="2112">
        <f>'Revenue drivers'!BI532</f>
        <v>0</v>
      </c>
      <c r="BJ227" s="2112">
        <f>'Revenue drivers'!BJ532</f>
        <v>0</v>
      </c>
      <c r="BK227" s="2112">
        <f>'Revenue drivers'!BK532</f>
        <v>0</v>
      </c>
      <c r="BL227" s="2112">
        <f>'Revenue drivers'!BL532</f>
        <v>769.23076923076928</v>
      </c>
      <c r="BM227" s="2112">
        <f>'Revenue drivers'!BM532</f>
        <v>1100</v>
      </c>
      <c r="BN227" s="2112">
        <f>'Revenue drivers'!BN169</f>
        <v>1550</v>
      </c>
      <c r="BO227" s="2112">
        <f>'Revenue drivers'!BO169</f>
        <v>2200</v>
      </c>
      <c r="BP227" s="2112">
        <f>'Revenue drivers'!BP169</f>
        <v>2450</v>
      </c>
      <c r="BQ227" s="2112">
        <f>'Revenue drivers'!BQ169</f>
        <v>3300</v>
      </c>
      <c r="BR227" s="2112">
        <f>'Revenue drivers'!BR169</f>
        <v>3550</v>
      </c>
      <c r="BS227" s="2112">
        <f>'Revenue drivers'!BS169</f>
        <v>3875</v>
      </c>
      <c r="BT227" s="2112">
        <f>'Revenue drivers'!BT169</f>
        <v>4125</v>
      </c>
      <c r="BU227" s="2112">
        <f>'Revenue drivers'!BU169</f>
        <v>4312.5</v>
      </c>
      <c r="BV227" s="2112">
        <f>'Revenue drivers'!BV169</f>
        <v>4443.75</v>
      </c>
      <c r="BW227" s="2112">
        <f>'Revenue drivers'!BW169</f>
        <v>4535.625</v>
      </c>
      <c r="BX227" s="2112">
        <f>'Revenue drivers'!BX169</f>
        <v>4599.9375</v>
      </c>
      <c r="BY227" s="2113">
        <f>'Revenue drivers'!BY169</f>
        <v>4644.9562500000002</v>
      </c>
      <c r="BZ227" s="320"/>
      <c r="CA227" s="329"/>
      <c r="CB227" s="329"/>
      <c r="CC227" s="329"/>
      <c r="CD227" s="329"/>
      <c r="CE227" s="329"/>
      <c r="CF227" s="329"/>
    </row>
    <row r="228" spans="1:84" s="83" customFormat="1" ht="11.25" customHeight="1">
      <c r="A228" s="328"/>
      <c r="B228" s="328"/>
      <c r="C228" s="328"/>
      <c r="D228" s="328"/>
      <c r="E228" s="328"/>
      <c r="F228" s="328"/>
      <c r="G228" s="328"/>
      <c r="H228" s="328"/>
      <c r="I228" s="1012" t="s">
        <v>512</v>
      </c>
      <c r="J228" s="228"/>
      <c r="K228" s="228"/>
      <c r="L228" s="228"/>
      <c r="M228" s="955"/>
      <c r="N228" s="955"/>
      <c r="O228" s="955"/>
      <c r="P228" s="955"/>
      <c r="Q228" s="1020"/>
      <c r="R228" s="955"/>
      <c r="S228" s="955"/>
      <c r="T228" s="975"/>
      <c r="U228" s="1020"/>
      <c r="V228" s="2114">
        <f>V227-U227</f>
        <v>33.333333333333258</v>
      </c>
      <c r="W228" s="2114">
        <f t="shared" ref="W228:AR228" si="434">W227-V227</f>
        <v>119.60784313725492</v>
      </c>
      <c r="X228" s="2115">
        <f t="shared" si="434"/>
        <v>82.956259426847737</v>
      </c>
      <c r="Y228" s="2116">
        <f t="shared" si="434"/>
        <v>30.769230769230717</v>
      </c>
      <c r="Z228" s="2114">
        <f t="shared" si="434"/>
        <v>50</v>
      </c>
      <c r="AA228" s="2114">
        <f t="shared" si="434"/>
        <v>200</v>
      </c>
      <c r="AB228" s="2115">
        <f t="shared" si="434"/>
        <v>50</v>
      </c>
      <c r="AC228" s="2114">
        <f t="shared" si="434"/>
        <v>150</v>
      </c>
      <c r="AD228" s="2114">
        <f t="shared" si="434"/>
        <v>100</v>
      </c>
      <c r="AE228" s="2114">
        <f t="shared" si="434"/>
        <v>200</v>
      </c>
      <c r="AF228" s="2114">
        <f t="shared" si="434"/>
        <v>0</v>
      </c>
      <c r="AG228" s="2116">
        <f t="shared" si="434"/>
        <v>50</v>
      </c>
      <c r="AH228" s="2114">
        <f t="shared" si="434"/>
        <v>150</v>
      </c>
      <c r="AI228" s="2114">
        <f t="shared" si="434"/>
        <v>350</v>
      </c>
      <c r="AJ228" s="2114">
        <f t="shared" si="434"/>
        <v>100</v>
      </c>
      <c r="AK228" s="2116">
        <f t="shared" si="434"/>
        <v>100</v>
      </c>
      <c r="AL228" s="2114">
        <f t="shared" si="434"/>
        <v>100</v>
      </c>
      <c r="AM228" s="2114">
        <f t="shared" si="434"/>
        <v>100</v>
      </c>
      <c r="AN228" s="2114">
        <f t="shared" si="434"/>
        <v>-50</v>
      </c>
      <c r="AO228" s="2116">
        <f t="shared" si="434"/>
        <v>100</v>
      </c>
      <c r="AP228" s="2114">
        <f t="shared" si="434"/>
        <v>200</v>
      </c>
      <c r="AQ228" s="2114">
        <f t="shared" si="434"/>
        <v>300</v>
      </c>
      <c r="AR228" s="2114">
        <f t="shared" si="434"/>
        <v>250</v>
      </c>
      <c r="AS228" s="2116">
        <f t="shared" ref="AS228:BD228" si="435">AS227-AR227</f>
        <v>50</v>
      </c>
      <c r="AT228" s="2114">
        <f t="shared" si="435"/>
        <v>50</v>
      </c>
      <c r="AU228" s="2114">
        <f t="shared" si="435"/>
        <v>75</v>
      </c>
      <c r="AV228" s="2115">
        <f t="shared" si="435"/>
        <v>75</v>
      </c>
      <c r="AW228" s="2116">
        <f t="shared" si="435"/>
        <v>-250</v>
      </c>
      <c r="AX228" s="2114">
        <f t="shared" si="435"/>
        <v>100</v>
      </c>
      <c r="AY228" s="2114">
        <f t="shared" si="435"/>
        <v>75</v>
      </c>
      <c r="AZ228" s="2115">
        <f t="shared" si="435"/>
        <v>50</v>
      </c>
      <c r="BA228" s="2116">
        <f t="shared" si="435"/>
        <v>80</v>
      </c>
      <c r="BB228" s="2114">
        <f t="shared" si="435"/>
        <v>80</v>
      </c>
      <c r="BC228" s="2114">
        <f t="shared" si="435"/>
        <v>50</v>
      </c>
      <c r="BD228" s="2115">
        <f t="shared" si="435"/>
        <v>40</v>
      </c>
      <c r="BE228" s="2586"/>
      <c r="BF228" s="955"/>
      <c r="BG228" s="955"/>
      <c r="BH228" s="955"/>
      <c r="BI228" s="955"/>
      <c r="BJ228" s="955"/>
      <c r="BK228" s="955"/>
      <c r="BL228" s="955"/>
      <c r="BM228" s="2114">
        <f t="shared" ref="BM228:BY228" si="436">BM227-BL227</f>
        <v>330.76923076923072</v>
      </c>
      <c r="BN228" s="2114">
        <f t="shared" si="436"/>
        <v>450</v>
      </c>
      <c r="BO228" s="2114">
        <f t="shared" si="436"/>
        <v>650</v>
      </c>
      <c r="BP228" s="2114">
        <f t="shared" si="436"/>
        <v>250</v>
      </c>
      <c r="BQ228" s="2114">
        <f t="shared" si="436"/>
        <v>850</v>
      </c>
      <c r="BR228" s="2114">
        <f t="shared" si="436"/>
        <v>250</v>
      </c>
      <c r="BS228" s="2114">
        <f t="shared" si="436"/>
        <v>325</v>
      </c>
      <c r="BT228" s="2114">
        <f t="shared" si="436"/>
        <v>250</v>
      </c>
      <c r="BU228" s="2114">
        <f t="shared" si="436"/>
        <v>187.5</v>
      </c>
      <c r="BV228" s="2114">
        <f t="shared" si="436"/>
        <v>131.25</v>
      </c>
      <c r="BW228" s="2114">
        <f t="shared" si="436"/>
        <v>91.875</v>
      </c>
      <c r="BX228" s="2114">
        <f t="shared" si="436"/>
        <v>64.3125</v>
      </c>
      <c r="BY228" s="2115">
        <f t="shared" si="436"/>
        <v>45.018750000000182</v>
      </c>
      <c r="BZ228" s="320"/>
      <c r="CA228" s="329"/>
      <c r="CB228" s="329"/>
      <c r="CC228" s="329"/>
      <c r="CD228" s="329"/>
      <c r="CE228" s="329"/>
      <c r="CF228" s="329"/>
    </row>
    <row r="229" spans="1:84" s="83" customFormat="1" ht="11.25" customHeight="1">
      <c r="A229" s="328"/>
      <c r="B229" s="328"/>
      <c r="C229" s="328"/>
      <c r="D229" s="328"/>
      <c r="E229" s="328"/>
      <c r="F229" s="328"/>
      <c r="G229" s="328"/>
      <c r="H229" s="328"/>
      <c r="I229" s="1059" t="s">
        <v>557</v>
      </c>
      <c r="J229" s="277"/>
      <c r="K229" s="277"/>
      <c r="L229" s="277"/>
      <c r="M229" s="1093"/>
      <c r="N229" s="1093"/>
      <c r="O229" s="1093"/>
      <c r="P229" s="1093"/>
      <c r="Q229" s="2109"/>
      <c r="R229" s="1093"/>
      <c r="S229" s="1093"/>
      <c r="T229" s="2110"/>
      <c r="U229" s="2111">
        <f>U231-U227</f>
        <v>463.66666666666663</v>
      </c>
      <c r="V229" s="2112">
        <f>V231-V227</f>
        <v>529.33333333333337</v>
      </c>
      <c r="W229" s="2112">
        <f>W231-W227</f>
        <v>527.72549019607845</v>
      </c>
      <c r="X229" s="2113">
        <f>X231-X227</f>
        <v>617.76923076923072</v>
      </c>
      <c r="Y229" s="2111">
        <f>Y231-Y227</f>
        <v>679</v>
      </c>
      <c r="Z229" s="2112">
        <f t="shared" ref="Z229:AJ229" si="437">Z231-Z227</f>
        <v>686</v>
      </c>
      <c r="AA229" s="2112">
        <f t="shared" si="437"/>
        <v>756</v>
      </c>
      <c r="AB229" s="2113">
        <f t="shared" si="437"/>
        <v>884</v>
      </c>
      <c r="AC229" s="2112">
        <f t="shared" si="437"/>
        <v>904</v>
      </c>
      <c r="AD229" s="2112">
        <f t="shared" si="437"/>
        <v>995</v>
      </c>
      <c r="AE229" s="2112">
        <f t="shared" si="437"/>
        <v>1089</v>
      </c>
      <c r="AF229" s="2112">
        <f t="shared" si="437"/>
        <v>1161</v>
      </c>
      <c r="AG229" s="2111">
        <f t="shared" si="437"/>
        <v>1521</v>
      </c>
      <c r="AH229" s="2112">
        <f t="shared" si="437"/>
        <v>1500</v>
      </c>
      <c r="AI229" s="2112">
        <f t="shared" si="437"/>
        <v>1550</v>
      </c>
      <c r="AJ229" s="2112">
        <f t="shared" si="437"/>
        <v>1626</v>
      </c>
      <c r="AK229" s="2111">
        <f t="shared" ref="AK229:AP229" si="438">AK231-AK227</f>
        <v>1728</v>
      </c>
      <c r="AL229" s="2112">
        <f t="shared" si="438"/>
        <v>1754</v>
      </c>
      <c r="AM229" s="2112">
        <f t="shared" si="438"/>
        <v>1850</v>
      </c>
      <c r="AN229" s="2112">
        <f t="shared" si="438"/>
        <v>1800</v>
      </c>
      <c r="AO229" s="2111">
        <f t="shared" si="438"/>
        <v>1800</v>
      </c>
      <c r="AP229" s="2112">
        <f t="shared" si="438"/>
        <v>1850</v>
      </c>
      <c r="AQ229" s="2112">
        <f t="shared" ref="AQ229:AR229" si="439">AQ231-AQ227</f>
        <v>2000</v>
      </c>
      <c r="AR229" s="2112">
        <f t="shared" si="439"/>
        <v>1900</v>
      </c>
      <c r="AS229" s="2111">
        <f t="shared" ref="AS229:BD229" si="440">AR229+AS230</f>
        <v>1925</v>
      </c>
      <c r="AT229" s="2112">
        <f t="shared" si="440"/>
        <v>1950</v>
      </c>
      <c r="AU229" s="2112">
        <f t="shared" si="440"/>
        <v>1975</v>
      </c>
      <c r="AV229" s="2113">
        <f t="shared" si="440"/>
        <v>2000</v>
      </c>
      <c r="AW229" s="2111">
        <f t="shared" si="440"/>
        <v>2020</v>
      </c>
      <c r="AX229" s="2112">
        <f t="shared" si="440"/>
        <v>2040</v>
      </c>
      <c r="AY229" s="2112">
        <f t="shared" si="440"/>
        <v>2060</v>
      </c>
      <c r="AZ229" s="2113">
        <f t="shared" si="440"/>
        <v>2080</v>
      </c>
      <c r="BA229" s="2111">
        <f t="shared" si="440"/>
        <v>2095</v>
      </c>
      <c r="BB229" s="2112">
        <f t="shared" si="440"/>
        <v>2110</v>
      </c>
      <c r="BC229" s="2112">
        <f t="shared" si="440"/>
        <v>2125</v>
      </c>
      <c r="BD229" s="2113">
        <f t="shared" si="440"/>
        <v>2140</v>
      </c>
      <c r="BE229" s="2587"/>
      <c r="BF229" s="2112"/>
      <c r="BG229" s="2112"/>
      <c r="BH229" s="2112"/>
      <c r="BI229" s="2112"/>
      <c r="BJ229" s="2112"/>
      <c r="BK229" s="2112"/>
      <c r="BL229" s="2112">
        <f t="shared" ref="BL229:BR229" si="441">BL231-BL227</f>
        <v>617.76923076923072</v>
      </c>
      <c r="BM229" s="2112">
        <f t="shared" si="441"/>
        <v>884</v>
      </c>
      <c r="BN229" s="2112">
        <f t="shared" si="441"/>
        <v>1161</v>
      </c>
      <c r="BO229" s="2112">
        <f t="shared" si="441"/>
        <v>1626</v>
      </c>
      <c r="BP229" s="2112">
        <f t="shared" si="441"/>
        <v>1800</v>
      </c>
      <c r="BQ229" s="2112">
        <f t="shared" si="441"/>
        <v>1900</v>
      </c>
      <c r="BR229" s="2112">
        <f t="shared" si="441"/>
        <v>2000</v>
      </c>
      <c r="BS229" s="2112">
        <f>BS231-BS227</f>
        <v>1730</v>
      </c>
      <c r="BT229" s="2112">
        <f>BT231-BT227</f>
        <v>1790</v>
      </c>
      <c r="BU229" s="2112">
        <f>BT229+BU230</f>
        <v>1840</v>
      </c>
      <c r="BV229" s="2112">
        <f>BU229+BV230</f>
        <v>1880</v>
      </c>
      <c r="BW229" s="2112">
        <f>BV229+BW230</f>
        <v>1910</v>
      </c>
      <c r="BX229" s="2112">
        <f>BW229+BX230</f>
        <v>1940</v>
      </c>
      <c r="BY229" s="2113">
        <f>BX229+BY230</f>
        <v>1970</v>
      </c>
      <c r="BZ229" s="320"/>
      <c r="CA229" s="329"/>
      <c r="CB229" s="329"/>
      <c r="CC229" s="329"/>
      <c r="CD229" s="329"/>
      <c r="CE229" s="329"/>
      <c r="CF229" s="329"/>
    </row>
    <row r="230" spans="1:84" s="83" customFormat="1" ht="11.25" customHeight="1">
      <c r="A230" s="328"/>
      <c r="B230" s="328"/>
      <c r="C230" s="328"/>
      <c r="D230" s="328"/>
      <c r="E230" s="328"/>
      <c r="F230" s="328"/>
      <c r="G230" s="328"/>
      <c r="H230" s="328"/>
      <c r="I230" s="1012" t="s">
        <v>559</v>
      </c>
      <c r="J230" s="228"/>
      <c r="K230" s="228"/>
      <c r="L230" s="228"/>
      <c r="M230" s="955"/>
      <c r="N230" s="955"/>
      <c r="O230" s="955"/>
      <c r="P230" s="955"/>
      <c r="Q230" s="1020"/>
      <c r="R230" s="955"/>
      <c r="S230" s="955"/>
      <c r="T230" s="975"/>
      <c r="U230" s="1020"/>
      <c r="V230" s="2114">
        <f t="shared" ref="V230:AR230" si="442">V229-U229</f>
        <v>65.666666666666742</v>
      </c>
      <c r="W230" s="2114">
        <f t="shared" si="442"/>
        <v>-1.6078431372549176</v>
      </c>
      <c r="X230" s="2115">
        <f t="shared" si="442"/>
        <v>90.043740573152263</v>
      </c>
      <c r="Y230" s="2116">
        <f t="shared" si="442"/>
        <v>61.230769230769283</v>
      </c>
      <c r="Z230" s="2114">
        <f t="shared" si="442"/>
        <v>7</v>
      </c>
      <c r="AA230" s="2114">
        <f t="shared" si="442"/>
        <v>70</v>
      </c>
      <c r="AB230" s="2115">
        <f t="shared" si="442"/>
        <v>128</v>
      </c>
      <c r="AC230" s="2114">
        <f t="shared" si="442"/>
        <v>20</v>
      </c>
      <c r="AD230" s="2114">
        <f t="shared" si="442"/>
        <v>91</v>
      </c>
      <c r="AE230" s="2114">
        <f t="shared" si="442"/>
        <v>94</v>
      </c>
      <c r="AF230" s="2114">
        <f t="shared" si="442"/>
        <v>72</v>
      </c>
      <c r="AG230" s="2116">
        <f t="shared" si="442"/>
        <v>360</v>
      </c>
      <c r="AH230" s="2114">
        <f t="shared" si="442"/>
        <v>-21</v>
      </c>
      <c r="AI230" s="2114">
        <f t="shared" si="442"/>
        <v>50</v>
      </c>
      <c r="AJ230" s="2114">
        <f t="shared" si="442"/>
        <v>76</v>
      </c>
      <c r="AK230" s="2116">
        <f t="shared" si="442"/>
        <v>102</v>
      </c>
      <c r="AL230" s="2114">
        <f t="shared" si="442"/>
        <v>26</v>
      </c>
      <c r="AM230" s="2114">
        <f t="shared" si="442"/>
        <v>96</v>
      </c>
      <c r="AN230" s="2114">
        <f t="shared" si="442"/>
        <v>-50</v>
      </c>
      <c r="AO230" s="2116">
        <f t="shared" si="442"/>
        <v>0</v>
      </c>
      <c r="AP230" s="2114">
        <f t="shared" si="442"/>
        <v>50</v>
      </c>
      <c r="AQ230" s="2114">
        <f t="shared" si="442"/>
        <v>150</v>
      </c>
      <c r="AR230" s="2114">
        <f t="shared" si="442"/>
        <v>-100</v>
      </c>
      <c r="AS230" s="2133">
        <v>25</v>
      </c>
      <c r="AT230" s="2117">
        <v>25</v>
      </c>
      <c r="AU230" s="2117">
        <v>25</v>
      </c>
      <c r="AV230" s="2118">
        <v>25</v>
      </c>
      <c r="AW230" s="2133">
        <v>20</v>
      </c>
      <c r="AX230" s="2117">
        <v>20</v>
      </c>
      <c r="AY230" s="2117">
        <v>20</v>
      </c>
      <c r="AZ230" s="2118">
        <v>20</v>
      </c>
      <c r="BA230" s="2133">
        <v>15</v>
      </c>
      <c r="BB230" s="2117">
        <v>15</v>
      </c>
      <c r="BC230" s="2117">
        <v>15</v>
      </c>
      <c r="BD230" s="2118">
        <v>15</v>
      </c>
      <c r="BE230" s="2586"/>
      <c r="BF230" s="955"/>
      <c r="BG230" s="955"/>
      <c r="BH230" s="955"/>
      <c r="BI230" s="955"/>
      <c r="BJ230" s="955"/>
      <c r="BK230" s="955"/>
      <c r="BL230" s="955"/>
      <c r="BM230" s="2114">
        <f t="shared" ref="BM230:BT230" si="443">BM229-BL229</f>
        <v>266.23076923076928</v>
      </c>
      <c r="BN230" s="2114">
        <f t="shared" si="443"/>
        <v>277</v>
      </c>
      <c r="BO230" s="2114">
        <f t="shared" si="443"/>
        <v>465</v>
      </c>
      <c r="BP230" s="2114">
        <f t="shared" si="443"/>
        <v>174</v>
      </c>
      <c r="BQ230" s="2114">
        <f t="shared" si="443"/>
        <v>100</v>
      </c>
      <c r="BR230" s="2114">
        <f t="shared" si="443"/>
        <v>100</v>
      </c>
      <c r="BS230" s="2114">
        <f t="shared" si="443"/>
        <v>-270</v>
      </c>
      <c r="BT230" s="2114">
        <f t="shared" si="443"/>
        <v>60</v>
      </c>
      <c r="BU230" s="2117">
        <v>50</v>
      </c>
      <c r="BV230" s="2117">
        <v>40</v>
      </c>
      <c r="BW230" s="2117">
        <v>30</v>
      </c>
      <c r="BX230" s="2117">
        <f>+BW230</f>
        <v>30</v>
      </c>
      <c r="BY230" s="2118">
        <f>+BX230</f>
        <v>30</v>
      </c>
      <c r="BZ230" s="320"/>
      <c r="CA230" s="329"/>
      <c r="CB230" s="329"/>
      <c r="CC230" s="329"/>
      <c r="CD230" s="329"/>
      <c r="CE230" s="329"/>
      <c r="CF230" s="329"/>
    </row>
    <row r="231" spans="1:84" s="234" customFormat="1" ht="11.25" customHeight="1">
      <c r="I231" s="622" t="s">
        <v>274</v>
      </c>
      <c r="J231" s="236"/>
      <c r="K231" s="236"/>
      <c r="L231" s="236"/>
      <c r="M231" s="236"/>
      <c r="N231" s="236"/>
      <c r="O231" s="236"/>
      <c r="P231" s="236"/>
      <c r="Q231" s="906">
        <f>U231/(1+49%)</f>
        <v>669.1275167785235</v>
      </c>
      <c r="R231" s="892">
        <f>V231/(1+48%)</f>
        <v>740.54054054054052</v>
      </c>
      <c r="S231" s="892">
        <f>W231/(1+42%)</f>
        <v>854.92957746478874</v>
      </c>
      <c r="T231" s="824">
        <v>918</v>
      </c>
      <c r="U231" s="823">
        <v>997</v>
      </c>
      <c r="V231" s="380">
        <v>1096</v>
      </c>
      <c r="W231" s="380">
        <v>1214</v>
      </c>
      <c r="X231" s="824">
        <v>1387</v>
      </c>
      <c r="Y231" s="823">
        <v>1479</v>
      </c>
      <c r="Z231" s="380">
        <v>1536</v>
      </c>
      <c r="AA231" s="380">
        <v>1806</v>
      </c>
      <c r="AB231" s="824">
        <v>1984</v>
      </c>
      <c r="AC231" s="380">
        <v>2154</v>
      </c>
      <c r="AD231" s="380">
        <v>2345</v>
      </c>
      <c r="AE231" s="380">
        <v>2639</v>
      </c>
      <c r="AF231" s="380">
        <v>2711</v>
      </c>
      <c r="AG231" s="823">
        <v>3121</v>
      </c>
      <c r="AH231" s="1734">
        <v>3250</v>
      </c>
      <c r="AI231" s="1734">
        <v>3650</v>
      </c>
      <c r="AJ231" s="2066">
        <v>3826</v>
      </c>
      <c r="AK231" s="2623">
        <v>4028</v>
      </c>
      <c r="AL231" s="2160">
        <v>4154</v>
      </c>
      <c r="AM231" s="2160">
        <v>4350</v>
      </c>
      <c r="AN231" s="2160">
        <v>4250</v>
      </c>
      <c r="AO231" s="2623">
        <v>4350</v>
      </c>
      <c r="AP231" s="2160">
        <v>4600</v>
      </c>
      <c r="AQ231" s="2160">
        <v>5050</v>
      </c>
      <c r="AR231" s="2160">
        <v>5200</v>
      </c>
      <c r="AS231" s="2136">
        <f t="shared" ref="AS231:BD231" si="444">+AS229+AS227</f>
        <v>5275</v>
      </c>
      <c r="AT231" s="297">
        <f t="shared" si="444"/>
        <v>5350</v>
      </c>
      <c r="AU231" s="297">
        <f t="shared" si="444"/>
        <v>5450</v>
      </c>
      <c r="AV231" s="2119">
        <f t="shared" si="444"/>
        <v>5550</v>
      </c>
      <c r="AW231" s="2136">
        <f t="shared" si="444"/>
        <v>5320</v>
      </c>
      <c r="AX231" s="297">
        <f t="shared" si="444"/>
        <v>5440</v>
      </c>
      <c r="AY231" s="297">
        <f t="shared" si="444"/>
        <v>5535</v>
      </c>
      <c r="AZ231" s="2119">
        <f t="shared" si="444"/>
        <v>5605</v>
      </c>
      <c r="BA231" s="2136">
        <f t="shared" si="444"/>
        <v>5700</v>
      </c>
      <c r="BB231" s="297">
        <f t="shared" si="444"/>
        <v>5795</v>
      </c>
      <c r="BC231" s="297">
        <f t="shared" si="444"/>
        <v>5860</v>
      </c>
      <c r="BD231" s="2119">
        <f t="shared" si="444"/>
        <v>5915</v>
      </c>
      <c r="BE231" s="2119"/>
      <c r="BF231" s="236"/>
      <c r="BG231" s="236"/>
      <c r="BH231" s="236"/>
      <c r="BI231" s="236"/>
      <c r="BJ231" s="236"/>
      <c r="BK231" s="236">
        <f>T231</f>
        <v>918</v>
      </c>
      <c r="BL231" s="236">
        <f>X231</f>
        <v>1387</v>
      </c>
      <c r="BM231" s="236">
        <f>AB231</f>
        <v>1984</v>
      </c>
      <c r="BN231" s="236">
        <f>AF231</f>
        <v>2711</v>
      </c>
      <c r="BO231" s="236">
        <f>AJ231</f>
        <v>3826</v>
      </c>
      <c r="BP231" s="297">
        <f>+AN231</f>
        <v>4250</v>
      </c>
      <c r="BQ231" s="297">
        <f>AR231</f>
        <v>5200</v>
      </c>
      <c r="BR231" s="297">
        <f>AV231</f>
        <v>5550</v>
      </c>
      <c r="BS231" s="297">
        <f>AZ231</f>
        <v>5605</v>
      </c>
      <c r="BT231" s="297">
        <f>BD231</f>
        <v>5915</v>
      </c>
      <c r="BU231" s="297">
        <f>+BU229+BU227</f>
        <v>6152.5</v>
      </c>
      <c r="BV231" s="297">
        <f>+BV229+BV227</f>
        <v>6323.75</v>
      </c>
      <c r="BW231" s="297">
        <f>+BW229+BW227</f>
        <v>6445.625</v>
      </c>
      <c r="BX231" s="297">
        <f>+BX229+BX227</f>
        <v>6539.9375</v>
      </c>
      <c r="BY231" s="2119">
        <f>+BY229+BY227</f>
        <v>6614.9562500000002</v>
      </c>
    </row>
    <row r="232" spans="1:84" ht="11.25" customHeight="1">
      <c r="A232" s="36"/>
      <c r="B232" s="36"/>
      <c r="C232" s="36"/>
      <c r="D232" s="36"/>
      <c r="E232" s="36"/>
      <c r="F232" s="36"/>
      <c r="G232" s="36"/>
      <c r="H232" s="36"/>
      <c r="I232" s="796" t="s">
        <v>558</v>
      </c>
      <c r="J232" s="50"/>
      <c r="K232" s="50"/>
      <c r="L232" s="50"/>
      <c r="M232" s="330"/>
      <c r="N232" s="330"/>
      <c r="O232" s="330"/>
      <c r="P232" s="330"/>
      <c r="Q232" s="790"/>
      <c r="R232" s="379">
        <f t="shared" ref="R232:AB232" si="445">R231-Q231</f>
        <v>71.413023762017019</v>
      </c>
      <c r="S232" s="379">
        <f t="shared" si="445"/>
        <v>114.38903692424822</v>
      </c>
      <c r="T232" s="821">
        <f t="shared" si="445"/>
        <v>63.070422535211264</v>
      </c>
      <c r="U232" s="820">
        <f t="shared" si="445"/>
        <v>79</v>
      </c>
      <c r="V232" s="379">
        <f t="shared" si="445"/>
        <v>99</v>
      </c>
      <c r="W232" s="379">
        <f t="shared" si="445"/>
        <v>118</v>
      </c>
      <c r="X232" s="821">
        <f t="shared" si="445"/>
        <v>173</v>
      </c>
      <c r="Y232" s="820">
        <f t="shared" si="445"/>
        <v>92</v>
      </c>
      <c r="Z232" s="379">
        <f t="shared" si="445"/>
        <v>57</v>
      </c>
      <c r="AA232" s="379">
        <f t="shared" si="445"/>
        <v>270</v>
      </c>
      <c r="AB232" s="821">
        <f t="shared" si="445"/>
        <v>178</v>
      </c>
      <c r="AC232" s="379">
        <f t="shared" ref="AC232:AJ232" si="446">AC231-AB231</f>
        <v>170</v>
      </c>
      <c r="AD232" s="379">
        <f t="shared" si="446"/>
        <v>191</v>
      </c>
      <c r="AE232" s="379">
        <f t="shared" si="446"/>
        <v>294</v>
      </c>
      <c r="AF232" s="379">
        <f t="shared" si="446"/>
        <v>72</v>
      </c>
      <c r="AG232" s="820">
        <f t="shared" si="446"/>
        <v>410</v>
      </c>
      <c r="AH232" s="379">
        <f t="shared" si="446"/>
        <v>129</v>
      </c>
      <c r="AI232" s="379">
        <f t="shared" si="446"/>
        <v>400</v>
      </c>
      <c r="AJ232" s="2067">
        <f t="shared" si="446"/>
        <v>176</v>
      </c>
      <c r="AK232" s="2134">
        <f t="shared" ref="AK232:AR232" si="447">AK231-AJ231</f>
        <v>202</v>
      </c>
      <c r="AL232" s="2067">
        <f t="shared" si="447"/>
        <v>126</v>
      </c>
      <c r="AM232" s="2067">
        <f t="shared" si="447"/>
        <v>196</v>
      </c>
      <c r="AN232" s="2067">
        <f t="shared" si="447"/>
        <v>-100</v>
      </c>
      <c r="AO232" s="2134">
        <f t="shared" si="447"/>
        <v>100</v>
      </c>
      <c r="AP232" s="2067">
        <f t="shared" si="447"/>
        <v>250</v>
      </c>
      <c r="AQ232" s="2067">
        <f t="shared" si="447"/>
        <v>450</v>
      </c>
      <c r="AR232" s="2067">
        <f t="shared" si="447"/>
        <v>150</v>
      </c>
      <c r="AS232" s="2134">
        <f t="shared" ref="AS232:BD232" si="448">AS231-AR231</f>
        <v>75</v>
      </c>
      <c r="AT232" s="2067">
        <f t="shared" si="448"/>
        <v>75</v>
      </c>
      <c r="AU232" s="2067">
        <f t="shared" si="448"/>
        <v>100</v>
      </c>
      <c r="AV232" s="2135">
        <f t="shared" si="448"/>
        <v>100</v>
      </c>
      <c r="AW232" s="2134">
        <f t="shared" si="448"/>
        <v>-230</v>
      </c>
      <c r="AX232" s="2067">
        <f t="shared" si="448"/>
        <v>120</v>
      </c>
      <c r="AY232" s="2067">
        <f t="shared" si="448"/>
        <v>95</v>
      </c>
      <c r="AZ232" s="2135">
        <f t="shared" si="448"/>
        <v>70</v>
      </c>
      <c r="BA232" s="2134">
        <f t="shared" si="448"/>
        <v>95</v>
      </c>
      <c r="BB232" s="2067">
        <f t="shared" si="448"/>
        <v>95</v>
      </c>
      <c r="BC232" s="2067">
        <f t="shared" si="448"/>
        <v>65</v>
      </c>
      <c r="BD232" s="2135">
        <f t="shared" si="448"/>
        <v>55</v>
      </c>
      <c r="BE232" s="1122"/>
      <c r="BF232" s="76"/>
      <c r="BG232" s="330"/>
      <c r="BH232" s="330"/>
      <c r="BI232" s="330"/>
      <c r="BJ232" s="330"/>
      <c r="BK232" s="330"/>
      <c r="BL232" s="379">
        <f t="shared" ref="BL232:BQ232" si="449">BL231-BK231</f>
        <v>469</v>
      </c>
      <c r="BM232" s="379">
        <f t="shared" si="449"/>
        <v>597</v>
      </c>
      <c r="BN232" s="379">
        <f t="shared" si="449"/>
        <v>727</v>
      </c>
      <c r="BO232" s="379">
        <f t="shared" si="449"/>
        <v>1115</v>
      </c>
      <c r="BP232" s="379">
        <f t="shared" si="449"/>
        <v>424</v>
      </c>
      <c r="BQ232" s="379">
        <f t="shared" si="449"/>
        <v>950</v>
      </c>
      <c r="BR232" s="379">
        <f t="shared" ref="BR232:BY232" si="450">BR231-BQ231</f>
        <v>350</v>
      </c>
      <c r="BS232" s="379">
        <f t="shared" si="450"/>
        <v>55</v>
      </c>
      <c r="BT232" s="379">
        <f t="shared" si="450"/>
        <v>310</v>
      </c>
      <c r="BU232" s="379">
        <f t="shared" si="450"/>
        <v>237.5</v>
      </c>
      <c r="BV232" s="379">
        <f t="shared" si="450"/>
        <v>171.25</v>
      </c>
      <c r="BW232" s="379">
        <f t="shared" si="450"/>
        <v>121.875</v>
      </c>
      <c r="BX232" s="379">
        <f t="shared" si="450"/>
        <v>94.3125</v>
      </c>
      <c r="BY232" s="821">
        <f t="shared" si="450"/>
        <v>75.018750000000182</v>
      </c>
      <c r="BZ232" s="36"/>
      <c r="CA232" s="36"/>
      <c r="CB232" s="36"/>
      <c r="CC232" s="36"/>
      <c r="CD232" s="36"/>
      <c r="CE232" s="36"/>
      <c r="CF232" s="36"/>
    </row>
    <row r="233" spans="1:84" ht="11.25" customHeight="1">
      <c r="A233" s="36"/>
      <c r="B233" s="36"/>
      <c r="C233" s="36"/>
      <c r="D233" s="36"/>
      <c r="E233" s="36"/>
      <c r="F233" s="36"/>
      <c r="G233" s="36"/>
      <c r="H233" s="36"/>
      <c r="I233" s="796" t="s">
        <v>132</v>
      </c>
      <c r="J233" s="54"/>
      <c r="K233" s="54"/>
      <c r="L233" s="54"/>
      <c r="M233" s="199"/>
      <c r="N233" s="199"/>
      <c r="O233" s="199"/>
      <c r="P233" s="199"/>
      <c r="Q233" s="449"/>
      <c r="R233" s="199" t="str">
        <f t="shared" ref="R233:AG233" si="451">IF(ISERROR(R231/N231-1),"NA",(IF(R231&lt;=0,"NM",R231/N231-1)))</f>
        <v>NA</v>
      </c>
      <c r="S233" s="199" t="str">
        <f t="shared" si="451"/>
        <v>NA</v>
      </c>
      <c r="T233" s="620" t="str">
        <f t="shared" si="451"/>
        <v>NA</v>
      </c>
      <c r="U233" s="449">
        <f t="shared" si="451"/>
        <v>0.49</v>
      </c>
      <c r="V233" s="199">
        <f t="shared" si="451"/>
        <v>0.48</v>
      </c>
      <c r="W233" s="199">
        <f t="shared" si="451"/>
        <v>0.41999999999999993</v>
      </c>
      <c r="X233" s="620">
        <f t="shared" si="451"/>
        <v>0.51089324618736387</v>
      </c>
      <c r="Y233" s="449">
        <f t="shared" si="451"/>
        <v>0.48345035105315959</v>
      </c>
      <c r="Z233" s="199">
        <f t="shared" si="451"/>
        <v>0.4014598540145986</v>
      </c>
      <c r="AA233" s="199">
        <f t="shared" si="451"/>
        <v>0.48764415156507424</v>
      </c>
      <c r="AB233" s="620">
        <f t="shared" si="451"/>
        <v>0.43042537851478002</v>
      </c>
      <c r="AC233" s="199">
        <f t="shared" si="451"/>
        <v>0.45638945233265726</v>
      </c>
      <c r="AD233" s="199">
        <f t="shared" si="451"/>
        <v>0.52669270833333326</v>
      </c>
      <c r="AE233" s="199">
        <f t="shared" si="451"/>
        <v>0.46124031007751931</v>
      </c>
      <c r="AF233" s="199">
        <f t="shared" si="451"/>
        <v>0.36643145161290325</v>
      </c>
      <c r="AG233" s="449">
        <f t="shared" si="451"/>
        <v>0.44893221912720516</v>
      </c>
      <c r="AH233" s="199">
        <f t="shared" ref="AH233:AR233" si="452">AH231/AD231-1</f>
        <v>0.38592750533049047</v>
      </c>
      <c r="AI233" s="199">
        <f t="shared" si="452"/>
        <v>0.38309965896172793</v>
      </c>
      <c r="AJ233" s="265">
        <f t="shared" si="452"/>
        <v>0.41128734784212462</v>
      </c>
      <c r="AK233" s="449">
        <f t="shared" si="452"/>
        <v>0.29061198333867355</v>
      </c>
      <c r="AL233" s="199">
        <f t="shared" si="452"/>
        <v>0.2781538461538462</v>
      </c>
      <c r="AM233" s="199">
        <f t="shared" si="452"/>
        <v>0.19178082191780832</v>
      </c>
      <c r="AN233" s="199">
        <f t="shared" si="452"/>
        <v>0.11082070047046533</v>
      </c>
      <c r="AO233" s="449">
        <f t="shared" si="452"/>
        <v>7.9940417080436976E-2</v>
      </c>
      <c r="AP233" s="199">
        <f t="shared" si="452"/>
        <v>0.10736639383726532</v>
      </c>
      <c r="AQ233" s="199">
        <f t="shared" si="452"/>
        <v>0.16091954022988508</v>
      </c>
      <c r="AR233" s="199">
        <f t="shared" si="452"/>
        <v>0.22352941176470598</v>
      </c>
      <c r="AS233" s="449">
        <f t="shared" ref="AS233:AV233" si="453">AS231/AO231-1</f>
        <v>0.21264367816091956</v>
      </c>
      <c r="AT233" s="199">
        <f t="shared" si="453"/>
        <v>0.16304347826086962</v>
      </c>
      <c r="AU233" s="199">
        <f t="shared" si="453"/>
        <v>7.9207920792079278E-2</v>
      </c>
      <c r="AV233" s="620">
        <f t="shared" si="453"/>
        <v>6.7307692307692291E-2</v>
      </c>
      <c r="AW233" s="449">
        <f t="shared" ref="AW233:BD233" si="454">AW231/AS231-1</f>
        <v>8.5308056872037685E-3</v>
      </c>
      <c r="AX233" s="199">
        <f t="shared" si="454"/>
        <v>1.6822429906542036E-2</v>
      </c>
      <c r="AY233" s="199">
        <f t="shared" si="454"/>
        <v>1.5596330275229331E-2</v>
      </c>
      <c r="AZ233" s="620">
        <f t="shared" si="454"/>
        <v>9.9099099099098087E-3</v>
      </c>
      <c r="BA233" s="449">
        <f t="shared" si="454"/>
        <v>7.1428571428571397E-2</v>
      </c>
      <c r="BB233" s="199">
        <f t="shared" si="454"/>
        <v>6.5257352941176405E-2</v>
      </c>
      <c r="BC233" s="199">
        <f t="shared" si="454"/>
        <v>5.8717253839205119E-2</v>
      </c>
      <c r="BD233" s="620">
        <f t="shared" si="454"/>
        <v>5.5307760927743033E-2</v>
      </c>
      <c r="BE233" s="883"/>
      <c r="BF233" s="54"/>
      <c r="BG233" s="199"/>
      <c r="BH233" s="199"/>
      <c r="BI233" s="199"/>
      <c r="BJ233" s="199"/>
      <c r="BK233" s="199"/>
      <c r="BL233" s="199">
        <f>IF(ISERROR(+BL231/BK231-1),"NA",(IF(BL231&lt;=0,"NM",BL231/BK231-1)))</f>
        <v>0.51089324618736387</v>
      </c>
      <c r="BM233" s="199">
        <f>IF(ISERROR(+BM231/BL231-1),"NA",(IF(BM231&lt;=0,"NM",BM231/BL231-1)))</f>
        <v>0.43042537851478002</v>
      </c>
      <c r="BN233" s="199">
        <f>IF(ISERROR(+BN231/BM231-1),"NA",(IF(BN231&lt;=0,"NM",BN231/BM231-1)))</f>
        <v>0.36643145161290325</v>
      </c>
      <c r="BO233" s="199">
        <f>IF(ISERROR(+BO231/BN231-1),"NA",(IF(BO231&lt;=0,"NM",BO231/BN231-1)))</f>
        <v>0.41128734784212462</v>
      </c>
      <c r="BP233" s="199">
        <f>IF(ISERROR(+BP231/BO231-1),"NA",(IF(BP231&lt;=0,"NM",BP231/BO231-1)))</f>
        <v>0.11082070047046533</v>
      </c>
      <c r="BQ233" s="199">
        <f t="shared" ref="BQ233:BY233" si="455">BQ231/BP231-1</f>
        <v>0.22352941176470598</v>
      </c>
      <c r="BR233" s="199">
        <f t="shared" si="455"/>
        <v>6.7307692307692291E-2</v>
      </c>
      <c r="BS233" s="199">
        <f t="shared" si="455"/>
        <v>9.9099099099098087E-3</v>
      </c>
      <c r="BT233" s="199">
        <f t="shared" si="455"/>
        <v>5.5307760927743033E-2</v>
      </c>
      <c r="BU233" s="199">
        <f t="shared" si="455"/>
        <v>4.0152155536770984E-2</v>
      </c>
      <c r="BV233" s="199">
        <f t="shared" si="455"/>
        <v>2.7834213734254432E-2</v>
      </c>
      <c r="BW233" s="199">
        <f t="shared" si="455"/>
        <v>1.9272583514528652E-2</v>
      </c>
      <c r="BX233" s="199">
        <f t="shared" si="455"/>
        <v>1.4632017841559097E-2</v>
      </c>
      <c r="BY233" s="620">
        <f t="shared" si="455"/>
        <v>1.1470866502929056E-2</v>
      </c>
      <c r="BZ233" s="36"/>
      <c r="CA233" s="36"/>
      <c r="CB233" s="36"/>
      <c r="CC233" s="36"/>
      <c r="CD233" s="36"/>
      <c r="CE233" s="36"/>
      <c r="CF233" s="36"/>
    </row>
    <row r="234" spans="1:84" ht="11.25" customHeight="1">
      <c r="A234" s="36"/>
      <c r="B234" s="36"/>
      <c r="C234" s="36"/>
      <c r="D234" s="36"/>
      <c r="E234" s="36"/>
      <c r="F234" s="36"/>
      <c r="G234" s="36"/>
      <c r="H234" s="36"/>
      <c r="I234" s="796" t="s">
        <v>146</v>
      </c>
      <c r="J234" s="54"/>
      <c r="K234" s="54"/>
      <c r="L234" s="54"/>
      <c r="M234" s="199"/>
      <c r="N234" s="199"/>
      <c r="O234" s="199"/>
      <c r="P234" s="199"/>
      <c r="Q234" s="449"/>
      <c r="R234" s="199">
        <f t="shared" ref="R234:AB234" si="456">IF(ISERROR(R231/Q231-1),"NA",(IF(R231&lt;=0,"NM",R231/Q231-1)))</f>
        <v>0.1067255821518609</v>
      </c>
      <c r="S234" s="199">
        <f t="shared" si="456"/>
        <v>0.15446694767142999</v>
      </c>
      <c r="T234" s="620">
        <f t="shared" si="456"/>
        <v>7.3772652388797377E-2</v>
      </c>
      <c r="U234" s="449">
        <f t="shared" si="456"/>
        <v>8.6056644880174282E-2</v>
      </c>
      <c r="V234" s="199">
        <f t="shared" si="456"/>
        <v>9.9297893681043137E-2</v>
      </c>
      <c r="W234" s="199">
        <f t="shared" si="456"/>
        <v>0.10766423357664223</v>
      </c>
      <c r="X234" s="620">
        <f t="shared" si="456"/>
        <v>0.14250411861614487</v>
      </c>
      <c r="Y234" s="449">
        <f t="shared" si="456"/>
        <v>6.6330209084354719E-2</v>
      </c>
      <c r="Z234" s="199">
        <f t="shared" si="456"/>
        <v>3.8539553752535483E-2</v>
      </c>
      <c r="AA234" s="199">
        <f t="shared" si="456"/>
        <v>0.17578125</v>
      </c>
      <c r="AB234" s="620">
        <f t="shared" si="456"/>
        <v>9.8560354374307879E-2</v>
      </c>
      <c r="AC234" s="199">
        <f t="shared" ref="AC234:AJ234" si="457">IF(ISERROR(AC231/AB231-1),"NA",(IF(AC231&lt;=0,"NM",AC231/AB231-1)))</f>
        <v>8.5685483870967749E-2</v>
      </c>
      <c r="AD234" s="199">
        <f t="shared" si="457"/>
        <v>8.8672237697307255E-2</v>
      </c>
      <c r="AE234" s="199">
        <f t="shared" si="457"/>
        <v>0.12537313432835817</v>
      </c>
      <c r="AF234" s="199">
        <f t="shared" si="457"/>
        <v>2.7283061765820404E-2</v>
      </c>
      <c r="AG234" s="449">
        <f t="shared" si="457"/>
        <v>0.15123570638140915</v>
      </c>
      <c r="AH234" s="199">
        <f t="shared" si="457"/>
        <v>4.1332906119833313E-2</v>
      </c>
      <c r="AI234" s="199">
        <f t="shared" si="457"/>
        <v>0.12307692307692308</v>
      </c>
      <c r="AJ234" s="265">
        <f t="shared" si="457"/>
        <v>4.8219178082191672E-2</v>
      </c>
      <c r="AK234" s="449">
        <f t="shared" ref="AK234:AR234" si="458">IF(ISERROR(AK231/AJ231-1),"NA",(IF(AK231&lt;=0,"NM",AK231/AJ231-1)))</f>
        <v>5.2796654469419835E-2</v>
      </c>
      <c r="AL234" s="199">
        <f t="shared" si="458"/>
        <v>3.1281032770605677E-2</v>
      </c>
      <c r="AM234" s="199">
        <f t="shared" si="458"/>
        <v>4.7183437650457405E-2</v>
      </c>
      <c r="AN234" s="199">
        <f t="shared" si="458"/>
        <v>-2.2988505747126409E-2</v>
      </c>
      <c r="AO234" s="449">
        <f t="shared" si="458"/>
        <v>2.3529411764705799E-2</v>
      </c>
      <c r="AP234" s="199">
        <f t="shared" si="458"/>
        <v>5.7471264367816133E-2</v>
      </c>
      <c r="AQ234" s="199">
        <f t="shared" si="458"/>
        <v>9.7826086956521729E-2</v>
      </c>
      <c r="AR234" s="199">
        <f t="shared" si="458"/>
        <v>2.9702970297029729E-2</v>
      </c>
      <c r="AS234" s="449">
        <f t="shared" ref="AS234:BD234" si="459">IF(ISERROR(AS231/AR231-1),"NA",(IF(AS231&lt;=0,"NM",AS231/AR231-1)))</f>
        <v>1.4423076923076872E-2</v>
      </c>
      <c r="AT234" s="199">
        <f t="shared" si="459"/>
        <v>1.4218009478673022E-2</v>
      </c>
      <c r="AU234" s="199">
        <f t="shared" si="459"/>
        <v>1.8691588785046731E-2</v>
      </c>
      <c r="AV234" s="620">
        <f t="shared" si="459"/>
        <v>1.8348623853210899E-2</v>
      </c>
      <c r="AW234" s="449">
        <f t="shared" si="459"/>
        <v>-4.1441441441441462E-2</v>
      </c>
      <c r="AX234" s="199">
        <f t="shared" si="459"/>
        <v>2.2556390977443552E-2</v>
      </c>
      <c r="AY234" s="199">
        <f t="shared" si="459"/>
        <v>1.7463235294117752E-2</v>
      </c>
      <c r="AZ234" s="620">
        <f t="shared" si="459"/>
        <v>1.2646793134597933E-2</v>
      </c>
      <c r="BA234" s="449">
        <f t="shared" si="459"/>
        <v>1.6949152542372836E-2</v>
      </c>
      <c r="BB234" s="199">
        <f t="shared" si="459"/>
        <v>1.6666666666666607E-2</v>
      </c>
      <c r="BC234" s="199">
        <f t="shared" si="459"/>
        <v>1.1216566005176842E-2</v>
      </c>
      <c r="BD234" s="620">
        <f t="shared" si="459"/>
        <v>9.385665529010323E-3</v>
      </c>
      <c r="BE234" s="883"/>
      <c r="BF234" s="54"/>
      <c r="BG234" s="54"/>
      <c r="BH234" s="54"/>
      <c r="BI234" s="54"/>
      <c r="BJ234" s="54"/>
      <c r="BK234" s="199"/>
      <c r="BL234" s="199"/>
      <c r="BM234" s="199"/>
      <c r="BN234" s="199"/>
      <c r="BO234" s="199"/>
      <c r="BP234" s="199"/>
      <c r="BQ234" s="199"/>
      <c r="BR234" s="199"/>
      <c r="BS234" s="199"/>
      <c r="BT234" s="199"/>
      <c r="BU234" s="199"/>
      <c r="BV234" s="199"/>
      <c r="BW234" s="199"/>
      <c r="BX234" s="199"/>
      <c r="BY234" s="620"/>
      <c r="BZ234" s="36"/>
      <c r="CA234" s="36"/>
      <c r="CB234" s="36"/>
      <c r="CC234" s="36"/>
      <c r="CD234" s="36"/>
      <c r="CE234" s="36"/>
      <c r="CF234" s="36"/>
    </row>
    <row r="235" spans="1:84" ht="11.25" customHeight="1">
      <c r="A235" s="36"/>
      <c r="B235" s="36"/>
      <c r="C235" s="36"/>
      <c r="D235" s="36"/>
      <c r="E235" s="36"/>
      <c r="F235" s="36"/>
      <c r="G235" s="36"/>
      <c r="H235" s="36"/>
      <c r="I235" s="796"/>
      <c r="J235" s="54"/>
      <c r="K235" s="54"/>
      <c r="L235" s="54"/>
      <c r="M235" s="199"/>
      <c r="N235" s="199"/>
      <c r="O235" s="199"/>
      <c r="P235" s="199"/>
      <c r="Q235" s="449"/>
      <c r="R235" s="199"/>
      <c r="S235" s="199"/>
      <c r="T235" s="620"/>
      <c r="U235" s="449"/>
      <c r="V235" s="199"/>
      <c r="W235" s="199"/>
      <c r="X235" s="620"/>
      <c r="Y235" s="449"/>
      <c r="Z235" s="199"/>
      <c r="AA235" s="199"/>
      <c r="AB235" s="620"/>
      <c r="AC235" s="199"/>
      <c r="AD235" s="199"/>
      <c r="AE235" s="199"/>
      <c r="AF235" s="199"/>
      <c r="AG235" s="449"/>
      <c r="AH235" s="199"/>
      <c r="AI235" s="199"/>
      <c r="AJ235" s="265"/>
      <c r="AK235" s="449"/>
      <c r="AL235" s="199"/>
      <c r="AM235" s="199"/>
      <c r="AN235" s="620"/>
      <c r="AO235" s="449"/>
      <c r="AP235" s="199"/>
      <c r="AQ235" s="199"/>
      <c r="AR235" s="620"/>
      <c r="AS235" s="449"/>
      <c r="AT235" s="199"/>
      <c r="AU235" s="199"/>
      <c r="AV235" s="620"/>
      <c r="AW235" s="449"/>
      <c r="AX235" s="199"/>
      <c r="AY235" s="199"/>
      <c r="AZ235" s="620"/>
      <c r="BA235" s="449"/>
      <c r="BB235" s="199"/>
      <c r="BC235" s="199"/>
      <c r="BD235" s="620"/>
      <c r="BE235" s="883"/>
      <c r="BF235" s="54"/>
      <c r="BG235" s="54"/>
      <c r="BH235" s="54"/>
      <c r="BI235" s="54"/>
      <c r="BJ235" s="54"/>
      <c r="BK235" s="199"/>
      <c r="BL235" s="199"/>
      <c r="BM235" s="199"/>
      <c r="BN235" s="199"/>
      <c r="BO235" s="199"/>
      <c r="BP235" s="199"/>
      <c r="BQ235" s="199"/>
      <c r="BR235" s="199"/>
      <c r="BS235" s="199"/>
      <c r="BT235" s="199"/>
      <c r="BU235" s="199"/>
      <c r="BV235" s="199"/>
      <c r="BW235" s="199"/>
      <c r="BX235" s="199"/>
      <c r="BY235" s="620"/>
      <c r="BZ235" s="36"/>
      <c r="CA235" s="36"/>
      <c r="CB235" s="36"/>
      <c r="CC235" s="36"/>
      <c r="CD235" s="36"/>
      <c r="CE235" s="36"/>
      <c r="CF235" s="36"/>
    </row>
    <row r="236" spans="1:84" s="2025" customFormat="1" ht="11.25" hidden="1" customHeight="1" outlineLevel="1">
      <c r="I236" s="2198" t="s">
        <v>327</v>
      </c>
      <c r="J236" s="2072"/>
      <c r="K236" s="2072"/>
      <c r="L236" s="2072"/>
      <c r="M236" s="2072"/>
      <c r="N236" s="2072"/>
      <c r="O236" s="2072"/>
      <c r="P236" s="2072"/>
      <c r="Q236" s="2199">
        <f>('Revenue drivers'!Q562*1000)/Q231</f>
        <v>19.428284854563692</v>
      </c>
      <c r="R236" s="2200">
        <f>('Revenue drivers'!R562*1000)/R231</f>
        <v>20.255474452554743</v>
      </c>
      <c r="S236" s="2200">
        <f>('Revenue drivers'!S562*1000)/S231</f>
        <v>22.224052718286657</v>
      </c>
      <c r="T236" s="2201">
        <f>('Revenue drivers'!T562*1000)/T231</f>
        <v>25.816993464052288</v>
      </c>
      <c r="U236" s="2199">
        <f>('Revenue drivers'!U562*1000)/U231</f>
        <v>27.081243731193581</v>
      </c>
      <c r="V236" s="2200">
        <f>('Revenue drivers'!V562*1000)/V231</f>
        <v>29.014598540145986</v>
      </c>
      <c r="W236" s="2200">
        <f>('Revenue drivers'!W562*1000)/W231</f>
        <v>29.654036243822077</v>
      </c>
      <c r="X236" s="2201">
        <f>('Revenue drivers'!X562*1000)/X231</f>
        <v>28.695025234318674</v>
      </c>
      <c r="Y236" s="2199">
        <f>('Revenue drivers'!Y562*1000)/Y231</f>
        <v>30.223123732251523</v>
      </c>
      <c r="Z236" s="2200">
        <f>('Revenue drivers'!Z562*1000)/Z231</f>
        <v>33.463541666666664</v>
      </c>
      <c r="AA236" s="2200">
        <f>('Revenue drivers'!AA562*1000)/AA231</f>
        <v>31.672203765227021</v>
      </c>
      <c r="AB236" s="2201">
        <f>('Revenue drivers'!AB562*1000)/AB231</f>
        <v>33.87096774193548</v>
      </c>
      <c r="AC236" s="2200">
        <f>('Revenue drivers'!AC562*1000)/AC231</f>
        <v>34.354688950789232</v>
      </c>
      <c r="AD236" s="2200">
        <f>('Revenue drivers'!AD562*1000)/AD231</f>
        <v>34.072494669509595</v>
      </c>
      <c r="AE236" s="2200">
        <f>('Revenue drivers'!AE562*1000)/AE231</f>
        <v>32.663887836301626</v>
      </c>
      <c r="AF236" s="2200">
        <f>('Revenue drivers'!AF562*1000)/AF231</f>
        <v>34.562891921800073</v>
      </c>
      <c r="AG236" s="2199">
        <f>('Revenue drivers'!AG562*1000)/AG231</f>
        <v>31.944889458506889</v>
      </c>
      <c r="AH236" s="2200">
        <f>('Revenue drivers'!AH562*1000)/AH231</f>
        <v>32.523076923076921</v>
      </c>
      <c r="AI236" s="2200">
        <f>('Revenue drivers'!AI562*1000)/AI231</f>
        <v>30.876712328767123</v>
      </c>
      <c r="AJ236" s="2200">
        <f>('Revenue drivers'!AJ562*1000)/AJ231</f>
        <v>31.808677469942499</v>
      </c>
      <c r="AK236" s="2199">
        <f>('Revenue drivers'!AK562*1000)/AK231</f>
        <v>32.447864945382321</v>
      </c>
      <c r="AL236" s="2200">
        <f>('Revenue drivers'!AL562*1000)/AL231</f>
        <v>33.630235917188251</v>
      </c>
      <c r="AM236" s="2200">
        <f>('Revenue drivers'!AM562*1000)/AM231</f>
        <v>34.183908045977013</v>
      </c>
      <c r="AN236" s="2201">
        <f>('Revenue drivers'!AN562*1000)/AN231</f>
        <v>37.10588235294118</v>
      </c>
      <c r="AO236" s="2199">
        <f>('Revenue drivers'!AO562*1000)/AO231</f>
        <v>38.321839080459768</v>
      </c>
      <c r="AP236" s="2200">
        <f>('Revenue drivers'!AP562*1000)/AP231</f>
        <v>38.195652173913047</v>
      </c>
      <c r="AQ236" s="2200">
        <f>('Revenue drivers'!AQ562*1000)/AQ231</f>
        <v>36.574257425742573</v>
      </c>
      <c r="AR236" s="2201">
        <f>('Revenue drivers'!AR562*1000)/AR231</f>
        <v>37.25</v>
      </c>
      <c r="AS236" s="2199">
        <f>('Revenue drivers'!AS562*1000)/AS231</f>
        <v>38.426540284360186</v>
      </c>
      <c r="AT236" s="2200">
        <f>('Revenue drivers'!AT562*1000)/AT231</f>
        <v>39.570093457943926</v>
      </c>
      <c r="AU236" s="2200">
        <f>('Revenue drivers'!AU562*1000)/AU231</f>
        <v>40.4954128440367</v>
      </c>
      <c r="AV236" s="2201">
        <f>('Revenue drivers'!AV562*1000)/AV231</f>
        <v>41.387387387387385</v>
      </c>
      <c r="AW236" s="2199">
        <f>('Revenue drivers'!AW562*1000)/AW231</f>
        <v>44.868421052631582</v>
      </c>
      <c r="AX236" s="2200">
        <f>('Revenue drivers'!AX562*1000)/AX231</f>
        <v>45.533088235294116</v>
      </c>
      <c r="AY236" s="2200">
        <f>('Revenue drivers'!AY562*1000)/AY231</f>
        <v>46.377597109304425</v>
      </c>
      <c r="AZ236" s="2201">
        <f>('Revenue drivers'!AZ562*1000)/AZ231</f>
        <v>47.404103479036571</v>
      </c>
      <c r="BA236" s="2199">
        <f>('Revenue drivers'!BA562*1000)/BA231</f>
        <v>48.192982456140349</v>
      </c>
      <c r="BB236" s="2200">
        <f>('Revenue drivers'!BB562*1000)/BB231</f>
        <v>48.955996548748921</v>
      </c>
      <c r="BC236" s="2200">
        <f>('Revenue drivers'!BC562*1000)/BC231</f>
        <v>49.948805460750854</v>
      </c>
      <c r="BD236" s="2201">
        <f>('Revenue drivers'!BD562*1000)/BD231</f>
        <v>51.005917159763314</v>
      </c>
      <c r="BE236" s="2202"/>
      <c r="BF236" s="2072"/>
      <c r="BG236" s="2072"/>
      <c r="BH236" s="2072"/>
      <c r="BI236" s="2072"/>
      <c r="BJ236" s="2072"/>
      <c r="BK236" s="2200">
        <f>('Revenue drivers'!BK562*1000)/BK231</f>
        <v>25.816993464052288</v>
      </c>
      <c r="BL236" s="2200">
        <f>('Revenue drivers'!BL562*1000)/BL231</f>
        <v>28.695025234318674</v>
      </c>
      <c r="BM236" s="2200">
        <f>('Revenue drivers'!BM562*1000)/BM231</f>
        <v>33.87096774193548</v>
      </c>
      <c r="BN236" s="2200">
        <f>('Revenue drivers'!BN562*1000)/BN231</f>
        <v>34.562891921800073</v>
      </c>
      <c r="BO236" s="2200">
        <f>('Revenue drivers'!BO562*1000)/BO231</f>
        <v>31.808677469942499</v>
      </c>
      <c r="BP236" s="2200">
        <f>('Revenue drivers'!BP562*1000)/BP231</f>
        <v>0</v>
      </c>
      <c r="BQ236" s="2200">
        <f>('Revenue drivers'!BQ562*1000)/BQ231</f>
        <v>0</v>
      </c>
      <c r="BR236" s="2200">
        <f>('Revenue drivers'!BR562*1000)/BR231</f>
        <v>0</v>
      </c>
      <c r="BS236" s="2200">
        <f>('Revenue drivers'!BS562*1000)/BS231</f>
        <v>0</v>
      </c>
      <c r="BT236" s="2200">
        <f>('Revenue drivers'!BT562*1000)/BT231</f>
        <v>0</v>
      </c>
      <c r="BU236" s="2200">
        <f>('Revenue drivers'!BU562*1000)/BU231</f>
        <v>0</v>
      </c>
      <c r="BV236" s="2200">
        <f>('Revenue drivers'!BV562*1000)/BV231</f>
        <v>0</v>
      </c>
      <c r="BW236" s="2200">
        <f>('Revenue drivers'!BW562*1000)/BW231</f>
        <v>0</v>
      </c>
      <c r="BX236" s="2200">
        <f>('Revenue drivers'!BX562*1000)/BX231</f>
        <v>0</v>
      </c>
      <c r="BY236" s="2201">
        <f>('Revenue drivers'!BY562*1000)/BY231</f>
        <v>0</v>
      </c>
    </row>
    <row r="237" spans="1:84" s="2025" customFormat="1" ht="11.25" hidden="1" customHeight="1" outlineLevel="1">
      <c r="I237" s="2203" t="s">
        <v>132</v>
      </c>
      <c r="J237" s="2072"/>
      <c r="K237" s="2072"/>
      <c r="L237" s="2072"/>
      <c r="M237" s="2072"/>
      <c r="N237" s="2072"/>
      <c r="O237" s="2072"/>
      <c r="P237" s="2072"/>
      <c r="Q237" s="2204" t="str">
        <f t="shared" ref="Q237:AB237" si="460">IF(ISERROR(Q236/M236-1),"NA",(IF(Q236&lt;=0,"NM",Q236/M236-1)))</f>
        <v>NA</v>
      </c>
      <c r="R237" s="2083" t="str">
        <f t="shared" si="460"/>
        <v>NA</v>
      </c>
      <c r="S237" s="2083" t="str">
        <f t="shared" si="460"/>
        <v>NA</v>
      </c>
      <c r="T237" s="2205" t="str">
        <f t="shared" si="460"/>
        <v>NA</v>
      </c>
      <c r="U237" s="2204">
        <f t="shared" si="460"/>
        <v>0.39390810531750131</v>
      </c>
      <c r="V237" s="2083">
        <f t="shared" si="460"/>
        <v>0.43243243243243246</v>
      </c>
      <c r="W237" s="2083">
        <f t="shared" si="460"/>
        <v>0.33432171979243885</v>
      </c>
      <c r="X237" s="2205">
        <f t="shared" si="460"/>
        <v>0.11147819262044489</v>
      </c>
      <c r="Y237" s="2204">
        <f t="shared" si="460"/>
        <v>0.11601682818721359</v>
      </c>
      <c r="Z237" s="2083">
        <f t="shared" si="460"/>
        <v>0.15333464360587001</v>
      </c>
      <c r="AA237" s="2083">
        <f t="shared" si="460"/>
        <v>6.8057093638488997E-2</v>
      </c>
      <c r="AB237" s="2205">
        <f t="shared" si="460"/>
        <v>0.18037769492624389</v>
      </c>
      <c r="AC237" s="2083">
        <f t="shared" ref="AC237:AJ237" si="461">IF(ISERROR(AC236/Y236-1),"NA",(IF(AC236&lt;=0,"NM",AC236/Y236-1)))</f>
        <v>0.13670212434490536</v>
      </c>
      <c r="AD237" s="2083">
        <f t="shared" si="461"/>
        <v>1.8197506077173964E-2</v>
      </c>
      <c r="AE237" s="2083">
        <f t="shared" si="461"/>
        <v>3.1310864202110711E-2</v>
      </c>
      <c r="AF237" s="2083">
        <f t="shared" si="461"/>
        <v>2.0428237691240358E-2</v>
      </c>
      <c r="AG237" s="2204">
        <f t="shared" si="461"/>
        <v>-7.014470414021845E-2</v>
      </c>
      <c r="AH237" s="2083">
        <f t="shared" si="461"/>
        <v>-4.5474150380283129E-2</v>
      </c>
      <c r="AI237" s="2083">
        <f t="shared" si="461"/>
        <v>-5.4714108635540049E-2</v>
      </c>
      <c r="AJ237" s="2083">
        <f t="shared" si="461"/>
        <v>-7.968703712898495E-2</v>
      </c>
      <c r="AK237" s="2204">
        <f t="shared" ref="AK237:AR237" si="462">IF(ISERROR(AK236/AG236-1),"NA",(IF(AK236&lt;=0,"NM",AK236/AG236-1)))</f>
        <v>1.5745100246120636E-2</v>
      </c>
      <c r="AL237" s="2083">
        <f t="shared" si="462"/>
        <v>3.404225857012122E-2</v>
      </c>
      <c r="AM237" s="2083">
        <f t="shared" si="462"/>
        <v>0.10710971045089712</v>
      </c>
      <c r="AN237" s="2205">
        <f t="shared" si="462"/>
        <v>0.16653332688868483</v>
      </c>
      <c r="AO237" s="2204">
        <f t="shared" si="462"/>
        <v>0.18102806286221851</v>
      </c>
      <c r="AP237" s="2083">
        <f t="shared" si="462"/>
        <v>0.13575332233668425</v>
      </c>
      <c r="AQ237" s="2083">
        <f t="shared" si="462"/>
        <v>6.9926158722126264E-2</v>
      </c>
      <c r="AR237" s="2205">
        <f t="shared" si="462"/>
        <v>3.8839568801520841E-3</v>
      </c>
      <c r="AS237" s="2204">
        <f t="shared" ref="AS237:BD237" si="463">IF(ISERROR(AS236/AO236-1),"NA",(IF(AS236&lt;=0,"NM",AS236/AO236-1)))</f>
        <v>2.7321549908028153E-3</v>
      </c>
      <c r="AT237" s="2083">
        <f t="shared" si="463"/>
        <v>3.5984233958691103E-2</v>
      </c>
      <c r="AU237" s="2083">
        <f t="shared" si="463"/>
        <v>0.1072108005543333</v>
      </c>
      <c r="AV237" s="2205">
        <f t="shared" si="463"/>
        <v>0.11107080234597011</v>
      </c>
      <c r="AW237" s="2204">
        <f t="shared" si="463"/>
        <v>0.16764144574559259</v>
      </c>
      <c r="AX237" s="2083">
        <f t="shared" si="463"/>
        <v>0.15069448303648336</v>
      </c>
      <c r="AY237" s="2083">
        <f t="shared" si="463"/>
        <v>0.14525556975853693</v>
      </c>
      <c r="AZ237" s="2205">
        <f t="shared" si="463"/>
        <v>0.14537559559709612</v>
      </c>
      <c r="BA237" s="2204">
        <f t="shared" si="463"/>
        <v>7.4095796676441728E-2</v>
      </c>
      <c r="BB237" s="2083">
        <f t="shared" si="463"/>
        <v>7.5174086496544668E-2</v>
      </c>
      <c r="BC237" s="2083">
        <f t="shared" si="463"/>
        <v>7.7002875828811712E-2</v>
      </c>
      <c r="BD237" s="2205">
        <f t="shared" si="463"/>
        <v>7.5981052617513756E-2</v>
      </c>
      <c r="BE237" s="2202"/>
      <c r="BF237" s="2072"/>
      <c r="BG237" s="2072"/>
      <c r="BH237" s="2072"/>
      <c r="BI237" s="2072"/>
      <c r="BJ237" s="2072"/>
      <c r="BK237" s="2083" t="str">
        <f>IF(ISERROR(+BK236/BJ236-1),"NA",(IF(BK236&lt;=0,"NM",BK236/BJ236-1)))</f>
        <v>NA</v>
      </c>
      <c r="BL237" s="2083">
        <f t="shared" ref="BL237:BT237" si="464">IF(ISERROR(+BL236/BK236-1),"NA",(IF(BL236&lt;=0,"NM",BL236/BK236-1)))</f>
        <v>0.11147819262044489</v>
      </c>
      <c r="BM237" s="2083">
        <f t="shared" si="464"/>
        <v>0.18037769492624389</v>
      </c>
      <c r="BN237" s="2083">
        <f t="shared" si="464"/>
        <v>2.0428237691240358E-2</v>
      </c>
      <c r="BO237" s="2083">
        <f t="shared" si="464"/>
        <v>-7.968703712898495E-2</v>
      </c>
      <c r="BP237" s="2083" t="str">
        <f t="shared" si="464"/>
        <v>NM</v>
      </c>
      <c r="BQ237" s="2083" t="str">
        <f t="shared" si="464"/>
        <v>NA</v>
      </c>
      <c r="BR237" s="2083" t="str">
        <f t="shared" si="464"/>
        <v>NA</v>
      </c>
      <c r="BS237" s="2083" t="str">
        <f t="shared" si="464"/>
        <v>NA</v>
      </c>
      <c r="BT237" s="2083" t="str">
        <f t="shared" si="464"/>
        <v>NA</v>
      </c>
      <c r="BU237" s="2083" t="str">
        <f>IF(ISERROR(+BU236/BT236-1),"NA",(IF(BU236&lt;=0,"NM",BU236/BT236-1)))</f>
        <v>NA</v>
      </c>
      <c r="BV237" s="2083" t="str">
        <f>IF(ISERROR(+BV236/BU236-1),"NA",(IF(BV236&lt;=0,"NM",BV236/BU236-1)))</f>
        <v>NA</v>
      </c>
      <c r="BW237" s="2083" t="str">
        <f>IF(ISERROR(+BW236/BV236-1),"NA",(IF(BW236&lt;=0,"NM",BW236/BV236-1)))</f>
        <v>NA</v>
      </c>
      <c r="BX237" s="2083" t="str">
        <f>IF(ISERROR(+BX236/BW236-1),"NA",(IF(BX236&lt;=0,"NM",BX236/BW236-1)))</f>
        <v>NA</v>
      </c>
      <c r="BY237" s="2205" t="str">
        <f>IF(ISERROR(+BY236/BX236-1),"NA",(IF(BY236&lt;=0,"NM",BY236/BX236-1)))</f>
        <v>NA</v>
      </c>
    </row>
    <row r="238" spans="1:84" s="2025" customFormat="1" ht="11.25" hidden="1" customHeight="1" outlineLevel="1">
      <c r="I238" s="2203" t="s">
        <v>146</v>
      </c>
      <c r="J238" s="2072"/>
      <c r="K238" s="2072"/>
      <c r="L238" s="2072"/>
      <c r="M238" s="2072"/>
      <c r="N238" s="2072"/>
      <c r="O238" s="2072"/>
      <c r="P238" s="2072"/>
      <c r="Q238" s="2204" t="str">
        <f t="shared" ref="Q238:AB238" si="465">IF(ISERROR(Q236/P236-1),"NA",(IF(Q236&lt;=0,"NM",Q236/P236-1)))</f>
        <v>NA</v>
      </c>
      <c r="R238" s="2083">
        <f t="shared" si="465"/>
        <v>4.2576563200675155E-2</v>
      </c>
      <c r="S238" s="2083">
        <f t="shared" si="465"/>
        <v>9.7187467533431438E-2</v>
      </c>
      <c r="T238" s="2205">
        <f t="shared" si="465"/>
        <v>0.16166901650702292</v>
      </c>
      <c r="U238" s="2204">
        <f t="shared" si="465"/>
        <v>4.8969693891802057E-2</v>
      </c>
      <c r="V238" s="2083">
        <f t="shared" si="465"/>
        <v>7.1390916463909271E-2</v>
      </c>
      <c r="W238" s="2083">
        <f t="shared" si="465"/>
        <v>2.2038481862546977E-2</v>
      </c>
      <c r="X238" s="2205">
        <f t="shared" si="465"/>
        <v>-3.2339982376031418E-2</v>
      </c>
      <c r="Y238" s="2204">
        <f t="shared" si="465"/>
        <v>5.3253080819921195E-2</v>
      </c>
      <c r="Z238" s="2083">
        <f t="shared" si="465"/>
        <v>0.10721651286353451</v>
      </c>
      <c r="AA238" s="2083">
        <f t="shared" si="465"/>
        <v>-5.3531031451581557E-2</v>
      </c>
      <c r="AB238" s="2205">
        <f t="shared" si="465"/>
        <v>6.9422512970899852E-2</v>
      </c>
      <c r="AC238" s="2083">
        <f t="shared" ref="AC238:AJ238" si="466">IF(ISERROR(AC236/AB236-1),"NA",(IF(AC236&lt;=0,"NM",AC236/AB236-1)))</f>
        <v>1.4281292832825088E-2</v>
      </c>
      <c r="AD238" s="2083">
        <f t="shared" si="466"/>
        <v>-8.2141416469775352E-3</v>
      </c>
      <c r="AE238" s="2083">
        <f t="shared" si="466"/>
        <v>-4.1341464629195079E-2</v>
      </c>
      <c r="AF238" s="2083">
        <f t="shared" si="466"/>
        <v>5.8137723684807519E-2</v>
      </c>
      <c r="AG238" s="2204">
        <f t="shared" si="466"/>
        <v>-7.5746047790691828E-2</v>
      </c>
      <c r="AH238" s="2083">
        <f t="shared" si="466"/>
        <v>1.8099529357302524E-2</v>
      </c>
      <c r="AI238" s="2083">
        <f t="shared" si="466"/>
        <v>-5.0621427923432716E-2</v>
      </c>
      <c r="AJ238" s="2083">
        <f t="shared" si="466"/>
        <v>3.0183431812689676E-2</v>
      </c>
      <c r="AK238" s="2204">
        <f t="shared" ref="AK238:AR238" si="467">IF(ISERROR(AK236/AJ236-1),"NA",(IF(AK236&lt;=0,"NM",AK236/AJ236-1)))</f>
        <v>2.0094751692956159E-2</v>
      </c>
      <c r="AL238" s="2083">
        <f t="shared" si="467"/>
        <v>3.6439099268816388E-2</v>
      </c>
      <c r="AM238" s="2083">
        <f t="shared" si="467"/>
        <v>1.6463521997054587E-2</v>
      </c>
      <c r="AN238" s="2205">
        <f t="shared" si="467"/>
        <v>8.5478064796866926E-2</v>
      </c>
      <c r="AO238" s="2204">
        <f t="shared" si="467"/>
        <v>3.2769918148091381E-2</v>
      </c>
      <c r="AP238" s="2083">
        <f t="shared" si="467"/>
        <v>-3.2928196969300716E-3</v>
      </c>
      <c r="AQ238" s="2083">
        <f t="shared" si="467"/>
        <v>-4.2449720213911135E-2</v>
      </c>
      <c r="AR238" s="2205">
        <f t="shared" si="467"/>
        <v>1.8475906876015191E-2</v>
      </c>
      <c r="AS238" s="2204">
        <f t="shared" ref="AS238:BD238" si="468">IF(ISERROR(AS236/AR236-1),"NA",(IF(AS236&lt;=0,"NM",AS236/AR236-1)))</f>
        <v>3.1584974076783512E-2</v>
      </c>
      <c r="AT238" s="2083">
        <f t="shared" si="468"/>
        <v>2.975946221339032E-2</v>
      </c>
      <c r="AU238" s="2083">
        <f t="shared" si="468"/>
        <v>2.3384311363232602E-2</v>
      </c>
      <c r="AV238" s="2205">
        <f t="shared" si="468"/>
        <v>2.2026557595202778E-2</v>
      </c>
      <c r="AW238" s="2204">
        <f t="shared" si="468"/>
        <v>8.4108562656096231E-2</v>
      </c>
      <c r="AX238" s="2083">
        <f t="shared" si="468"/>
        <v>1.4813696739692794E-2</v>
      </c>
      <c r="AY238" s="2083">
        <f t="shared" si="468"/>
        <v>1.8547146849479557E-2</v>
      </c>
      <c r="AZ238" s="2205">
        <f t="shared" si="468"/>
        <v>2.2133668704586773E-2</v>
      </c>
      <c r="BA238" s="2204">
        <f t="shared" si="468"/>
        <v>1.6641575711955792E-2</v>
      </c>
      <c r="BB238" s="2083">
        <f t="shared" si="468"/>
        <v>1.5832472980956913E-2</v>
      </c>
      <c r="BC238" s="2083">
        <f t="shared" si="468"/>
        <v>2.0279618065037752E-2</v>
      </c>
      <c r="BD238" s="2205">
        <f t="shared" si="468"/>
        <v>2.1163903506023374E-2</v>
      </c>
      <c r="BE238" s="2202"/>
      <c r="BF238" s="2072"/>
      <c r="BG238" s="2072"/>
      <c r="BH238" s="2072"/>
      <c r="BI238" s="2072"/>
      <c r="BJ238" s="2072"/>
      <c r="BK238" s="2083"/>
      <c r="BL238" s="2072"/>
      <c r="BM238" s="2072"/>
      <c r="BN238" s="2072"/>
      <c r="BO238" s="2072"/>
      <c r="BP238" s="2072"/>
      <c r="BQ238" s="2072"/>
      <c r="BR238" s="2072"/>
      <c r="BS238" s="2072"/>
      <c r="BT238" s="2072"/>
      <c r="BU238" s="2072"/>
      <c r="BV238" s="2072"/>
      <c r="BW238" s="2072"/>
      <c r="BX238" s="2072"/>
      <c r="BY238" s="2202"/>
    </row>
    <row r="239" spans="1:84" ht="11.25" customHeight="1" collapsed="1">
      <c r="I239" s="853"/>
      <c r="J239" s="846"/>
      <c r="K239" s="846"/>
      <c r="L239" s="846"/>
      <c r="M239" s="846"/>
      <c r="N239" s="846"/>
      <c r="O239" s="846"/>
      <c r="P239" s="846"/>
      <c r="Q239" s="853"/>
      <c r="R239" s="846"/>
      <c r="S239" s="846"/>
      <c r="T239" s="847"/>
      <c r="U239" s="853"/>
      <c r="V239" s="846"/>
      <c r="W239" s="846"/>
      <c r="X239" s="847"/>
      <c r="Y239" s="853"/>
      <c r="Z239" s="846"/>
      <c r="AA239" s="846"/>
      <c r="AB239" s="847"/>
      <c r="AC239" s="846"/>
      <c r="AD239" s="846"/>
      <c r="AE239" s="846"/>
      <c r="AF239" s="846"/>
      <c r="AG239" s="853"/>
      <c r="AH239" s="846"/>
      <c r="AI239" s="846"/>
      <c r="AJ239" s="846"/>
      <c r="AK239" s="853"/>
      <c r="AL239" s="846"/>
      <c r="AM239" s="846"/>
      <c r="AN239" s="847"/>
      <c r="AO239" s="853"/>
      <c r="AP239" s="846"/>
      <c r="AQ239" s="846"/>
      <c r="AR239" s="847"/>
      <c r="AS239" s="853"/>
      <c r="AT239" s="846"/>
      <c r="AU239" s="846"/>
      <c r="AV239" s="847"/>
      <c r="AW239" s="853"/>
      <c r="AX239" s="846"/>
      <c r="AY239" s="846"/>
      <c r="AZ239" s="847"/>
      <c r="BA239" s="853"/>
      <c r="BB239" s="846"/>
      <c r="BC239" s="846"/>
      <c r="BD239" s="847"/>
      <c r="BE239" s="883"/>
      <c r="BF239" s="846"/>
      <c r="BG239" s="846"/>
      <c r="BH239" s="846"/>
      <c r="BI239" s="846"/>
      <c r="BJ239" s="846"/>
      <c r="BK239" s="846"/>
      <c r="BL239" s="846"/>
      <c r="BM239" s="846"/>
      <c r="BN239" s="846"/>
      <c r="BO239" s="846"/>
      <c r="BP239" s="846"/>
      <c r="BQ239" s="846"/>
      <c r="BR239" s="846"/>
      <c r="BS239" s="846"/>
      <c r="BT239" s="846"/>
      <c r="BU239" s="1137"/>
      <c r="BV239" s="1137"/>
      <c r="BW239" s="1137"/>
      <c r="BX239" s="1137"/>
      <c r="BY239" s="1150"/>
    </row>
    <row r="243" spans="1:84" s="2149" customFormat="1" ht="11.25" customHeight="1">
      <c r="I243" s="2149" t="s">
        <v>577</v>
      </c>
      <c r="BE243" s="2150"/>
      <c r="BN243" s="2150"/>
      <c r="BU243" s="2150"/>
      <c r="BY243" s="2150"/>
    </row>
    <row r="244" spans="1:84" ht="11.25" hidden="1" customHeight="1" outlineLevel="1"/>
    <row r="245" spans="1:84" s="41" customFormat="1" ht="11.25" hidden="1" customHeight="1" outlineLevel="1">
      <c r="A245" s="29"/>
      <c r="B245" s="29"/>
      <c r="C245" s="29"/>
      <c r="D245" s="29"/>
      <c r="E245" s="29"/>
      <c r="F245" s="29"/>
      <c r="G245" s="29"/>
      <c r="H245" s="29"/>
      <c r="I245" s="1316" t="s">
        <v>479</v>
      </c>
      <c r="J245" s="2"/>
      <c r="K245" s="2"/>
      <c r="L245" s="2"/>
      <c r="M245" s="1235"/>
      <c r="N245" s="1235"/>
      <c r="O245" s="1235"/>
      <c r="P245" s="1235"/>
      <c r="Q245" s="1236"/>
      <c r="R245" s="1235"/>
      <c r="S245" s="1235"/>
      <c r="T245" s="1237"/>
      <c r="U245" s="1235"/>
      <c r="V245" s="1235"/>
      <c r="W245" s="1235"/>
      <c r="X245" s="1235"/>
      <c r="Y245" s="1236"/>
      <c r="Z245" s="1235"/>
      <c r="AA245" s="1235"/>
      <c r="AB245" s="1237"/>
      <c r="AC245" s="1259"/>
      <c r="AD245" s="1247"/>
      <c r="AE245" s="1247"/>
      <c r="AF245" s="1247"/>
      <c r="AG245" s="1983" t="e">
        <f>+(#REF!-#REF!)*-1*0.6</f>
        <v>#REF!</v>
      </c>
      <c r="AH245" s="1984" t="e">
        <f>+(#REF!-#REF!)*-1*0.6</f>
        <v>#REF!</v>
      </c>
      <c r="AI245" s="1984" t="e">
        <f>+(#REF!-#REF!)*-1*0.6</f>
        <v>#REF!</v>
      </c>
      <c r="AJ245" s="1984" t="e">
        <f>+(#REF!-#REF!)*-1*0.6</f>
        <v>#REF!</v>
      </c>
      <c r="AK245" s="1983" t="e">
        <f>+(#REF!-#REF!)*-1*0.6</f>
        <v>#REF!</v>
      </c>
      <c r="AL245" s="1984" t="e">
        <f>+(#REF!-#REF!)*-1*0.6</f>
        <v>#REF!</v>
      </c>
      <c r="AM245" s="1984" t="e">
        <f>+(#REF!-#REF!)*-1*0.6</f>
        <v>#REF!</v>
      </c>
      <c r="AN245" s="1985" t="e">
        <f>+(#REF!-#REF!)*-1*0.6</f>
        <v>#REF!</v>
      </c>
      <c r="AO245" s="1983" t="e">
        <f>+(#REF!-#REF!)*-1*0.6</f>
        <v>#REF!</v>
      </c>
      <c r="AP245" s="1984" t="e">
        <f>+(#REF!-#REF!)*-1*0.6</f>
        <v>#REF!</v>
      </c>
      <c r="AQ245" s="1984" t="e">
        <f>+(#REF!-#REF!)*-1*0.6</f>
        <v>#REF!</v>
      </c>
      <c r="AR245" s="1985" t="e">
        <f>+(#REF!-#REF!)*-1*0.6</f>
        <v>#REF!</v>
      </c>
      <c r="AS245" s="1983" t="e">
        <f>+(#REF!-#REF!)*-1*0.6</f>
        <v>#REF!</v>
      </c>
      <c r="AT245" s="1984" t="e">
        <f>+(#REF!-#REF!)*-1*0.6</f>
        <v>#REF!</v>
      </c>
      <c r="AU245" s="1984" t="e">
        <f>+(#REF!-#REF!)*-1*0.6</f>
        <v>#REF!</v>
      </c>
      <c r="AV245" s="1985" t="e">
        <f>+(#REF!-#REF!)*-1*0.6</f>
        <v>#REF!</v>
      </c>
      <c r="AW245" s="1983" t="e">
        <f>+(#REF!-#REF!)*-1*0.6</f>
        <v>#REF!</v>
      </c>
      <c r="AX245" s="1984" t="e">
        <f>+(#REF!-#REF!)*-1*0.6</f>
        <v>#REF!</v>
      </c>
      <c r="AY245" s="1984" t="e">
        <f>+(#REF!-#REF!)*-1*0.6</f>
        <v>#REF!</v>
      </c>
      <c r="AZ245" s="1985" t="e">
        <f>+(#REF!-#REF!)*-1*0.6</f>
        <v>#REF!</v>
      </c>
      <c r="BA245" s="1983" t="e">
        <f>+(#REF!-#REF!)*-1*0.6</f>
        <v>#REF!</v>
      </c>
      <c r="BB245" s="1984" t="e">
        <f>+(#REF!-#REF!)*-1*0.6</f>
        <v>#REF!</v>
      </c>
      <c r="BC245" s="1984" t="e">
        <f>+(#REF!-#REF!)*-1*0.6</f>
        <v>#REF!</v>
      </c>
      <c r="BD245" s="1985" t="e">
        <f>+(#REF!-#REF!)*-1*0.6</f>
        <v>#REF!</v>
      </c>
      <c r="BE245" s="90"/>
      <c r="BF245" s="1236"/>
      <c r="BG245" s="1235"/>
      <c r="BH245" s="1235"/>
      <c r="BI245" s="1235"/>
      <c r="BJ245" s="1235"/>
      <c r="BK245" s="1235"/>
      <c r="BL245" s="1235"/>
      <c r="BM245" s="1251"/>
      <c r="BN245" s="1251"/>
      <c r="BO245" s="1251" t="e">
        <f>+SUM(AG245:AJ245)</f>
        <v>#REF!</v>
      </c>
      <c r="BP245" s="1251" t="e">
        <f>+SUM(AK245:AN245)</f>
        <v>#REF!</v>
      </c>
      <c r="BQ245" s="1277" t="e">
        <f>+(#REF!-#REF!)*-1*0.6</f>
        <v>#REF!</v>
      </c>
      <c r="BR245" s="1277" t="e">
        <f>+(#REF!-#REF!)*-1*0.6</f>
        <v>#REF!</v>
      </c>
      <c r="BS245" s="1277" t="e">
        <f>+(#REF!-#REF!)*-1*0.6</f>
        <v>#REF!</v>
      </c>
      <c r="BT245" s="1277" t="e">
        <f>+(#REF!-#REF!)*-1*0.6</f>
        <v>#REF!</v>
      </c>
      <c r="BU245" s="1277" t="e">
        <f>+(#REF!-#REF!)*-1*0.6</f>
        <v>#REF!</v>
      </c>
      <c r="BV245" s="1277" t="e">
        <f>+(#REF!-#REF!)*-1*0.6</f>
        <v>#REF!</v>
      </c>
      <c r="BW245" s="1277" t="e">
        <f>+(#REF!-#REF!)*-1*0.6</f>
        <v>#REF!</v>
      </c>
      <c r="BX245" s="1277" t="e">
        <f>+(#REF!-#REF!)*-1*0.6</f>
        <v>#REF!</v>
      </c>
      <c r="BY245" s="1282" t="e">
        <f>+(#REF!-#REF!)*-1*0.6</f>
        <v>#REF!</v>
      </c>
      <c r="BZ245" s="29"/>
      <c r="CA245" s="29"/>
      <c r="CB245" s="29"/>
      <c r="CC245" s="29"/>
      <c r="CD245" s="29"/>
      <c r="CE245" s="29"/>
      <c r="CF245" s="29"/>
    </row>
    <row r="246" spans="1:84" s="106" customFormat="1" ht="11.25" hidden="1" customHeight="1" outlineLevel="1">
      <c r="A246" s="54"/>
      <c r="B246" s="54"/>
      <c r="C246" s="54"/>
      <c r="D246" s="54"/>
      <c r="E246" s="54"/>
      <c r="F246" s="54"/>
      <c r="G246" s="54"/>
      <c r="H246" s="54"/>
      <c r="I246" s="769"/>
      <c r="J246" s="324"/>
      <c r="K246" s="324"/>
      <c r="L246" s="324"/>
      <c r="M246" s="325"/>
      <c r="N246" s="325"/>
      <c r="O246" s="325"/>
      <c r="P246" s="325"/>
      <c r="Q246" s="746"/>
      <c r="R246" s="325"/>
      <c r="S246" s="325"/>
      <c r="T246" s="747"/>
      <c r="U246" s="326"/>
      <c r="V246" s="325"/>
      <c r="W246" s="325"/>
      <c r="X246" s="325"/>
      <c r="Y246" s="746"/>
      <c r="Z246" s="325"/>
      <c r="AA246" s="325"/>
      <c r="AB246" s="747"/>
      <c r="AC246" s="325"/>
      <c r="AD246" s="325">
        <f>+AD248*0.1</f>
        <v>4.2069999999999999</v>
      </c>
      <c r="AE246" s="325"/>
      <c r="AF246" s="325"/>
      <c r="AG246" s="746"/>
      <c r="AH246" s="325"/>
      <c r="AI246" s="325"/>
      <c r="AJ246" s="747"/>
      <c r="AK246" s="746"/>
      <c r="AL246" s="325"/>
      <c r="AM246" s="325"/>
      <c r="AN246" s="747"/>
      <c r="AO246" s="746"/>
      <c r="AP246" s="325"/>
      <c r="AQ246" s="325"/>
      <c r="AR246" s="747"/>
      <c r="AS246" s="746"/>
      <c r="AT246" s="325"/>
      <c r="AU246" s="325"/>
      <c r="AV246" s="747"/>
      <c r="AW246" s="746"/>
      <c r="AX246" s="325"/>
      <c r="AY246" s="325"/>
      <c r="AZ246" s="747"/>
      <c r="BA246" s="746"/>
      <c r="BB246" s="325"/>
      <c r="BC246" s="325"/>
      <c r="BD246" s="747"/>
      <c r="BE246" s="105"/>
      <c r="BF246" s="1418"/>
      <c r="BG246" s="323"/>
      <c r="BH246" s="323"/>
      <c r="BI246" s="323"/>
      <c r="BJ246" s="323"/>
      <c r="BK246" s="323"/>
      <c r="BL246" s="323"/>
      <c r="BM246" s="323"/>
      <c r="BN246" s="323"/>
      <c r="BO246" s="323"/>
      <c r="BP246" s="323"/>
      <c r="BQ246" s="323"/>
      <c r="BR246" s="323"/>
      <c r="BS246" s="323"/>
      <c r="BT246" s="323"/>
      <c r="BU246" s="1643"/>
      <c r="BV246" s="1643"/>
      <c r="BW246" s="1643"/>
      <c r="BX246" s="1643"/>
      <c r="BY246" s="1645"/>
      <c r="BZ246" s="54"/>
      <c r="CA246" s="54"/>
      <c r="CB246" s="54"/>
      <c r="CC246" s="54"/>
      <c r="CD246" s="54"/>
      <c r="CE246" s="54"/>
      <c r="CF246" s="54"/>
    </row>
    <row r="247" spans="1:84" ht="11.25" hidden="1" customHeight="1" outlineLevel="1">
      <c r="A247" s="36"/>
      <c r="B247" s="36"/>
      <c r="C247" s="36"/>
      <c r="D247" s="36"/>
      <c r="E247" s="36"/>
      <c r="F247" s="36"/>
      <c r="G247" s="36"/>
      <c r="H247" s="36"/>
      <c r="I247" s="138"/>
      <c r="J247" s="50"/>
      <c r="K247" s="50"/>
      <c r="L247" s="50"/>
      <c r="M247" s="78"/>
      <c r="N247" s="78"/>
      <c r="O247" s="78"/>
      <c r="P247" s="78"/>
      <c r="Q247" s="873"/>
      <c r="R247" s="78"/>
      <c r="S247" s="78"/>
      <c r="T247" s="874"/>
      <c r="U247" s="873"/>
      <c r="V247" s="78"/>
      <c r="W247" s="78"/>
      <c r="X247" s="874"/>
      <c r="Y247" s="1297"/>
      <c r="Z247" s="1297"/>
      <c r="AA247" s="1297"/>
      <c r="AB247" s="1298"/>
      <c r="AC247" s="1297"/>
      <c r="AD247" s="1297"/>
      <c r="AE247" s="1297"/>
      <c r="AF247" s="1297"/>
      <c r="AG247" s="1296"/>
      <c r="AH247" s="1297"/>
      <c r="AI247" s="1297"/>
      <c r="AJ247" s="1298"/>
      <c r="AK247" s="1296"/>
      <c r="AL247" s="1297"/>
      <c r="AM247" s="1297"/>
      <c r="AN247" s="1298"/>
      <c r="AO247" s="1296"/>
      <c r="AP247" s="1297"/>
      <c r="AQ247" s="1297"/>
      <c r="AR247" s="1298"/>
      <c r="AS247" s="1296"/>
      <c r="AT247" s="1297"/>
      <c r="AU247" s="1297"/>
      <c r="AV247" s="1298"/>
      <c r="AW247" s="1296"/>
      <c r="AX247" s="1297"/>
      <c r="AY247" s="1297"/>
      <c r="AZ247" s="1298"/>
      <c r="BA247" s="1296"/>
      <c r="BB247" s="1297"/>
      <c r="BC247" s="1297"/>
      <c r="BD247" s="1298"/>
      <c r="BE247" s="42"/>
      <c r="BF247" s="873"/>
      <c r="BG247" s="78"/>
      <c r="BH247" s="78"/>
      <c r="BI247" s="78"/>
      <c r="BJ247" s="78"/>
      <c r="BK247" s="78"/>
      <c r="BL247" s="78"/>
      <c r="BM247" s="78"/>
      <c r="BN247" s="78"/>
      <c r="BO247" s="78"/>
      <c r="BP247" s="78"/>
      <c r="BQ247" s="78"/>
      <c r="BR247" s="78"/>
      <c r="BS247" s="78"/>
      <c r="BT247" s="78"/>
      <c r="BU247" s="78"/>
      <c r="BV247" s="78"/>
      <c r="BW247" s="78"/>
      <c r="BX247" s="78"/>
      <c r="BY247" s="874"/>
      <c r="BZ247" s="36"/>
      <c r="CA247" s="36"/>
      <c r="CB247" s="36"/>
      <c r="CC247" s="36"/>
      <c r="CD247" s="36"/>
      <c r="CE247" s="36"/>
      <c r="CF247" s="36"/>
    </row>
    <row r="248" spans="1:84" ht="11.25" hidden="1" customHeight="1" outlineLevel="1">
      <c r="A248" s="36"/>
      <c r="B248" s="36"/>
      <c r="C248" s="36"/>
      <c r="D248" s="36"/>
      <c r="E248" s="36"/>
      <c r="F248" s="36"/>
      <c r="G248" s="36"/>
      <c r="H248" s="36"/>
      <c r="I248" s="772" t="s">
        <v>476</v>
      </c>
      <c r="J248" s="50"/>
      <c r="K248" s="50"/>
      <c r="L248" s="50"/>
      <c r="M248" s="78"/>
      <c r="N248" s="78"/>
      <c r="O248" s="78"/>
      <c r="P248" s="78"/>
      <c r="Q248" s="873"/>
      <c r="R248" s="78"/>
      <c r="S248" s="78"/>
      <c r="T248" s="874"/>
      <c r="U248" s="900">
        <f t="shared" ref="U248:AB248" si="469">U64</f>
        <v>17.646000000000001</v>
      </c>
      <c r="V248" s="901">
        <f t="shared" si="469"/>
        <v>19.437999999999999</v>
      </c>
      <c r="W248" s="901">
        <f t="shared" si="469"/>
        <v>20.149999999999999</v>
      </c>
      <c r="X248" s="902">
        <f t="shared" si="469"/>
        <v>23.765000000000001</v>
      </c>
      <c r="Y248" s="900">
        <f t="shared" si="469"/>
        <v>26.206</v>
      </c>
      <c r="Z248" s="901">
        <f t="shared" si="469"/>
        <v>28.521000000000001</v>
      </c>
      <c r="AA248" s="901">
        <f t="shared" si="469"/>
        <v>31.465999999999998</v>
      </c>
      <c r="AB248" s="902">
        <f t="shared" si="469"/>
        <v>35.646000000000001</v>
      </c>
      <c r="AC248" s="901">
        <f>AC64-AC73</f>
        <v>38.724000000000004</v>
      </c>
      <c r="AD248" s="901">
        <f>AD64-AD73</f>
        <v>42.07</v>
      </c>
      <c r="AE248" s="901">
        <f>AE64-AE73</f>
        <v>47.667999999999999</v>
      </c>
      <c r="AF248" s="901">
        <f>AF64-AF73</f>
        <v>47.585000000000001</v>
      </c>
      <c r="AG248" s="900" t="e">
        <f t="shared" ref="AG248:BD248" si="470">AG64-AG73-AG245</f>
        <v>#REF!</v>
      </c>
      <c r="AH248" s="901" t="e">
        <f t="shared" si="470"/>
        <v>#REF!</v>
      </c>
      <c r="AI248" s="901" t="e">
        <f t="shared" si="470"/>
        <v>#REF!</v>
      </c>
      <c r="AJ248" s="902" t="e">
        <f t="shared" si="470"/>
        <v>#REF!</v>
      </c>
      <c r="AK248" s="900" t="e">
        <f t="shared" si="470"/>
        <v>#REF!</v>
      </c>
      <c r="AL248" s="901" t="e">
        <f t="shared" si="470"/>
        <v>#REF!</v>
      </c>
      <c r="AM248" s="901" t="e">
        <f t="shared" si="470"/>
        <v>#REF!</v>
      </c>
      <c r="AN248" s="902" t="e">
        <f t="shared" si="470"/>
        <v>#REF!</v>
      </c>
      <c r="AO248" s="900" t="e">
        <f t="shared" si="470"/>
        <v>#REF!</v>
      </c>
      <c r="AP248" s="901" t="e">
        <f t="shared" si="470"/>
        <v>#REF!</v>
      </c>
      <c r="AQ248" s="901" t="e">
        <f t="shared" si="470"/>
        <v>#REF!</v>
      </c>
      <c r="AR248" s="902" t="e">
        <f t="shared" si="470"/>
        <v>#REF!</v>
      </c>
      <c r="AS248" s="900" t="e">
        <f t="shared" si="470"/>
        <v>#REF!</v>
      </c>
      <c r="AT248" s="901" t="e">
        <f t="shared" si="470"/>
        <v>#REF!</v>
      </c>
      <c r="AU248" s="901" t="e">
        <f t="shared" si="470"/>
        <v>#REF!</v>
      </c>
      <c r="AV248" s="902" t="e">
        <f t="shared" si="470"/>
        <v>#REF!</v>
      </c>
      <c r="AW248" s="900" t="e">
        <f t="shared" si="470"/>
        <v>#REF!</v>
      </c>
      <c r="AX248" s="901" t="e">
        <f t="shared" si="470"/>
        <v>#REF!</v>
      </c>
      <c r="AY248" s="901" t="e">
        <f t="shared" si="470"/>
        <v>#REF!</v>
      </c>
      <c r="AZ248" s="902" t="e">
        <f t="shared" si="470"/>
        <v>#REF!</v>
      </c>
      <c r="BA248" s="900" t="e">
        <f t="shared" si="470"/>
        <v>#REF!</v>
      </c>
      <c r="BB248" s="901" t="e">
        <f t="shared" si="470"/>
        <v>#REF!</v>
      </c>
      <c r="BC248" s="901" t="e">
        <f t="shared" si="470"/>
        <v>#REF!</v>
      </c>
      <c r="BD248" s="902" t="e">
        <f t="shared" si="470"/>
        <v>#REF!</v>
      </c>
      <c r="BE248" s="42"/>
      <c r="BF248" s="1264"/>
      <c r="BG248" s="1263"/>
      <c r="BH248" s="1263"/>
      <c r="BI248" s="901"/>
      <c r="BJ248" s="901"/>
      <c r="BK248" s="901"/>
      <c r="BL248" s="901">
        <f>+BL64-BL73</f>
        <v>80.998999999999995</v>
      </c>
      <c r="BM248" s="901">
        <f>+BM64-BM73</f>
        <v>121.839</v>
      </c>
      <c r="BN248" s="901">
        <f>+BN64-BN73</f>
        <v>176.04700000000003</v>
      </c>
      <c r="BO248" s="901" t="e">
        <f t="shared" ref="BO248:BY248" si="471">BO64-BO73-BO245</f>
        <v>#REF!</v>
      </c>
      <c r="BP248" s="901" t="e">
        <f t="shared" si="471"/>
        <v>#REF!</v>
      </c>
      <c r="BQ248" s="901" t="e">
        <f t="shared" si="471"/>
        <v>#REF!</v>
      </c>
      <c r="BR248" s="901" t="e">
        <f t="shared" si="471"/>
        <v>#REF!</v>
      </c>
      <c r="BS248" s="901" t="e">
        <f t="shared" si="471"/>
        <v>#REF!</v>
      </c>
      <c r="BT248" s="901" t="e">
        <f t="shared" si="471"/>
        <v>#REF!</v>
      </c>
      <c r="BU248" s="901" t="e">
        <f t="shared" si="471"/>
        <v>#REF!</v>
      </c>
      <c r="BV248" s="901" t="e">
        <f t="shared" si="471"/>
        <v>#REF!</v>
      </c>
      <c r="BW248" s="901" t="e">
        <f t="shared" si="471"/>
        <v>#REF!</v>
      </c>
      <c r="BX248" s="901" t="e">
        <f t="shared" si="471"/>
        <v>#REF!</v>
      </c>
      <c r="BY248" s="902" t="e">
        <f t="shared" si="471"/>
        <v>#REF!</v>
      </c>
      <c r="BZ248" s="36"/>
      <c r="CA248" s="36"/>
      <c r="CB248" s="36"/>
      <c r="CC248" s="36"/>
      <c r="CD248" s="36"/>
      <c r="CE248" s="36"/>
      <c r="CF248" s="36"/>
    </row>
    <row r="249" spans="1:84" s="1324" customFormat="1" ht="11.25" hidden="1" customHeight="1" outlineLevel="1">
      <c r="A249" s="1317"/>
      <c r="B249" s="1317"/>
      <c r="C249" s="1317"/>
      <c r="D249" s="1317"/>
      <c r="E249" s="1317"/>
      <c r="F249" s="1317"/>
      <c r="G249" s="1317"/>
      <c r="H249" s="1317"/>
      <c r="I249" s="1318" t="s">
        <v>468</v>
      </c>
      <c r="J249" s="1319"/>
      <c r="K249" s="1319"/>
      <c r="L249" s="1319"/>
      <c r="M249" s="1320"/>
      <c r="N249" s="1320"/>
      <c r="O249" s="1320"/>
      <c r="P249" s="1320"/>
      <c r="Q249" s="1321"/>
      <c r="R249" s="1320"/>
      <c r="S249" s="1320"/>
      <c r="T249" s="1322"/>
      <c r="U249" s="1408">
        <f>(U248/AVERAGE('Revenue drivers'!U506,'Revenue drivers'!T506)*1000000)</f>
        <v>33086.25</v>
      </c>
      <c r="V249" s="1303">
        <f>(V248/AVERAGE('Revenue drivers'!V506,'Revenue drivers'!U506)*1000000)</f>
        <v>35341.818181818184</v>
      </c>
      <c r="W249" s="1303">
        <f>(W248/AVERAGE('Revenue drivers'!W506,'Revenue drivers'!V506)*1000000)</f>
        <v>32164.31924882629</v>
      </c>
      <c r="X249" s="1351">
        <f>(X248/AVERAGE('Revenue drivers'!X506,'Revenue drivers'!W506)*1000000)</f>
        <v>32655.326424870465</v>
      </c>
      <c r="Y249" s="1408">
        <f>(Y248/AVERAGE('Revenue drivers'!Y506,'Revenue drivers'!X506)*1000000)</f>
        <v>33399.803921568622</v>
      </c>
      <c r="Z249" s="1303">
        <f>(Z248/AVERAGE('Revenue drivers'!Z506,'Revenue drivers'!Y506)*1000000)</f>
        <v>34570.909090909088</v>
      </c>
      <c r="AA249" s="1303">
        <f>(AA248/AVERAGE('Revenue drivers'!AA506,'Revenue drivers'!Z506)*1000000)</f>
        <v>33122.105263157893</v>
      </c>
      <c r="AB249" s="1351">
        <f>(AB248/AVERAGE('Revenue drivers'!AB506,'Revenue drivers'!AA506)*1000000)</f>
        <v>33159.069767441862</v>
      </c>
      <c r="AC249" s="1303">
        <f>(AC248/AVERAGE('Revenue drivers'!AC506,'Revenue drivers'!AB506)*1000000)</f>
        <v>32956.595744680853</v>
      </c>
      <c r="AD249" s="1303">
        <f>(AD248/AVERAGE('Revenue drivers'!AD506,'Revenue drivers'!AC506)*1000000)</f>
        <v>32361.538461538461</v>
      </c>
      <c r="AE249" s="1303">
        <f>(AE248/AVERAGE('Revenue drivers'!AE506,'Revenue drivers'!AD506)*1000000)</f>
        <v>32874.482758620688</v>
      </c>
      <c r="AF249" s="1303">
        <f>(AF248/AVERAGE('Revenue drivers'!AF506,'Revenue drivers'!AE506)*1000000)</f>
        <v>30700</v>
      </c>
      <c r="AG249" s="1408" t="e">
        <f>(AG248/AVERAGE('Revenue drivers'!AG506,'Revenue drivers'!AF506)*1000000)</f>
        <v>#REF!</v>
      </c>
      <c r="AH249" s="1303" t="e">
        <f>(AH248/AVERAGE('Revenue drivers'!AH506,'Revenue drivers'!AG506)*1000000)</f>
        <v>#REF!</v>
      </c>
      <c r="AI249" s="1303" t="e">
        <f>(AI248/AVERAGE('Revenue drivers'!AI506,'Revenue drivers'!AH506)*1000000)</f>
        <v>#REF!</v>
      </c>
      <c r="AJ249" s="1351" t="e">
        <f>(AJ248/AVERAGE('Revenue drivers'!AJ506,'Revenue drivers'!AI506)*1000000)</f>
        <v>#REF!</v>
      </c>
      <c r="AK249" s="1408" t="e">
        <f>(AK248/AVERAGE('Revenue drivers'!AK506,'Revenue drivers'!AJ506)*1000000)</f>
        <v>#REF!</v>
      </c>
      <c r="AL249" s="1303" t="e">
        <f>(AL248/AVERAGE('Revenue drivers'!AL506,'Revenue drivers'!AK506)*1000000)</f>
        <v>#REF!</v>
      </c>
      <c r="AM249" s="1303" t="e">
        <f>(AM248/AVERAGE('Revenue drivers'!AM506,'Revenue drivers'!AL506)*1000000)</f>
        <v>#REF!</v>
      </c>
      <c r="AN249" s="1351" t="e">
        <f>(AN248/AVERAGE('Revenue drivers'!AN506,'Revenue drivers'!AM506)*1000000)</f>
        <v>#REF!</v>
      </c>
      <c r="AO249" s="1408" t="e">
        <f>(AO248/AVERAGE('Revenue drivers'!AO506,'Revenue drivers'!AN506)*1000000)</f>
        <v>#REF!</v>
      </c>
      <c r="AP249" s="1303" t="e">
        <f>(AP248/AVERAGE('Revenue drivers'!AP506,'Revenue drivers'!AO506)*1000000)</f>
        <v>#REF!</v>
      </c>
      <c r="AQ249" s="1303" t="e">
        <f>(AQ248/AVERAGE('Revenue drivers'!AQ506,'Revenue drivers'!AP506)*1000000)</f>
        <v>#REF!</v>
      </c>
      <c r="AR249" s="1351" t="e">
        <f>(AR248/AVERAGE('Revenue drivers'!AR506,'Revenue drivers'!AQ506)*1000000)</f>
        <v>#REF!</v>
      </c>
      <c r="AS249" s="1408" t="e">
        <f>(AS248/AVERAGE('Revenue drivers'!AS506,'Revenue drivers'!AR506)*1000000)</f>
        <v>#REF!</v>
      </c>
      <c r="AT249" s="1303" t="e">
        <f>(AT248/AVERAGE('Revenue drivers'!AT506,'Revenue drivers'!AS506)*1000000)</f>
        <v>#REF!</v>
      </c>
      <c r="AU249" s="1303" t="e">
        <f>(AU248/AVERAGE('Revenue drivers'!AU506,'Revenue drivers'!AT506)*1000000)</f>
        <v>#REF!</v>
      </c>
      <c r="AV249" s="1351" t="e">
        <f>(AV248/AVERAGE('Revenue drivers'!AV506,'Revenue drivers'!AU506)*1000000)</f>
        <v>#REF!</v>
      </c>
      <c r="AW249" s="1408" t="e">
        <f>(AW248/AVERAGE('Revenue drivers'!AW506,'Revenue drivers'!AV506)*1000000)</f>
        <v>#REF!</v>
      </c>
      <c r="AX249" s="1303" t="e">
        <f>(AX248/AVERAGE('Revenue drivers'!AX506,'Revenue drivers'!AW506)*1000000)</f>
        <v>#REF!</v>
      </c>
      <c r="AY249" s="1303" t="e">
        <f>(AY248/AVERAGE('Revenue drivers'!AY506,'Revenue drivers'!AX506)*1000000)</f>
        <v>#REF!</v>
      </c>
      <c r="AZ249" s="1351" t="e">
        <f>(AZ248/AVERAGE('Revenue drivers'!AZ506,'Revenue drivers'!AY506)*1000000)</f>
        <v>#REF!</v>
      </c>
      <c r="BA249" s="1408" t="e">
        <f>(BA248/AVERAGE('Revenue drivers'!BA506,'Revenue drivers'!AZ506)*1000000)</f>
        <v>#REF!</v>
      </c>
      <c r="BB249" s="1303" t="e">
        <f>(BB248/AVERAGE('Revenue drivers'!BB506,'Revenue drivers'!BA506)*1000000)</f>
        <v>#REF!</v>
      </c>
      <c r="BC249" s="1303" t="e">
        <f>(BC248/AVERAGE('Revenue drivers'!BC506,'Revenue drivers'!BB506)*1000000)</f>
        <v>#REF!</v>
      </c>
      <c r="BD249" s="1351" t="e">
        <f>(BD248/AVERAGE('Revenue drivers'!BD506,'Revenue drivers'!BC506)*1000000)</f>
        <v>#REF!</v>
      </c>
      <c r="BE249" s="1638"/>
      <c r="BF249" s="1321"/>
      <c r="BG249" s="1320"/>
      <c r="BH249" s="1320"/>
      <c r="BI249" s="1323"/>
      <c r="BJ249" s="1323"/>
      <c r="BK249" s="1323"/>
      <c r="BL249" s="1303">
        <f>(BL248/AVERAGE('Revenue drivers'!BL506,'Revenue drivers'!BK506)*1000000)</f>
        <v>105298.69999999998</v>
      </c>
      <c r="BM249" s="1303">
        <f>(BM248/AVERAGE('Revenue drivers'!BM506,'Revenue drivers'!BL506)*1000000)</f>
        <v>130362.71604938271</v>
      </c>
      <c r="BN249" s="1303">
        <f>(BN248/AVERAGE('Revenue drivers'!BN506,'Revenue drivers'!BM506)*1000000)</f>
        <v>132865.66037735849</v>
      </c>
      <c r="BO249" s="1303" t="e">
        <f>(BO248/AVERAGE('Revenue drivers'!BO506,'Revenue drivers'!BN506)*1000000)</f>
        <v>#REF!</v>
      </c>
      <c r="BP249" s="1303" t="e">
        <f>(BP248/AVERAGE('Revenue drivers'!BP506,'Revenue drivers'!BO506)*1000000)</f>
        <v>#REF!</v>
      </c>
      <c r="BQ249" s="1303" t="e">
        <f>(BQ248/AVERAGE('Revenue drivers'!BQ506,'Revenue drivers'!BP506)*1000000)</f>
        <v>#REF!</v>
      </c>
      <c r="BR249" s="1303" t="e">
        <f>(BR248/AVERAGE('Revenue drivers'!BR506,'Revenue drivers'!BQ506)*1000000)</f>
        <v>#REF!</v>
      </c>
      <c r="BS249" s="1303" t="e">
        <f>(BS248/AVERAGE('Revenue drivers'!BS506,'Revenue drivers'!BR506)*1000000)</f>
        <v>#REF!</v>
      </c>
      <c r="BT249" s="1303" t="e">
        <f>(BT248/AVERAGE('Revenue drivers'!BT506,'Revenue drivers'!BS506)*1000000)</f>
        <v>#REF!</v>
      </c>
      <c r="BU249" s="1303" t="e">
        <f>(BU248/AVERAGE('Revenue drivers'!BU506,'Revenue drivers'!BT506)*1000000)</f>
        <v>#REF!</v>
      </c>
      <c r="BV249" s="1303" t="e">
        <f>(BV248/AVERAGE('Revenue drivers'!BV506,'Revenue drivers'!BU506)*1000000)</f>
        <v>#REF!</v>
      </c>
      <c r="BW249" s="1303" t="e">
        <f>(BW248/AVERAGE('Revenue drivers'!BW506,'Revenue drivers'!BV506)*1000000)</f>
        <v>#REF!</v>
      </c>
      <c r="BX249" s="1303" t="e">
        <f>(BX248/AVERAGE('Revenue drivers'!BX506,'Revenue drivers'!BW506)*1000000)</f>
        <v>#REF!</v>
      </c>
      <c r="BY249" s="1351" t="e">
        <f>(BY248/AVERAGE('Revenue drivers'!BY506,'Revenue drivers'!BX506)*1000000)</f>
        <v>#REF!</v>
      </c>
      <c r="BZ249" s="1317"/>
      <c r="CA249" s="1317"/>
      <c r="CB249" s="1317"/>
      <c r="CC249" s="1317"/>
      <c r="CD249" s="1317"/>
      <c r="CE249" s="1317"/>
      <c r="CF249" s="1317"/>
    </row>
    <row r="250" spans="1:84" ht="11.25" hidden="1" customHeight="1" outlineLevel="1">
      <c r="A250" s="36"/>
      <c r="B250" s="36"/>
      <c r="C250" s="36"/>
      <c r="D250" s="36"/>
      <c r="E250" s="36"/>
      <c r="F250" s="36"/>
      <c r="G250" s="36"/>
      <c r="H250" s="36"/>
      <c r="I250" s="1274" t="s">
        <v>132</v>
      </c>
      <c r="J250" s="5"/>
      <c r="K250" s="5"/>
      <c r="L250" s="5"/>
      <c r="M250" s="1263"/>
      <c r="N250" s="1263"/>
      <c r="O250" s="1263"/>
      <c r="P250" s="1263"/>
      <c r="Q250" s="1264"/>
      <c r="R250" s="1263"/>
      <c r="S250" s="1263"/>
      <c r="T250" s="1265"/>
      <c r="U250" s="1398"/>
      <c r="V250" s="1276"/>
      <c r="W250" s="1276"/>
      <c r="X250" s="1399"/>
      <c r="Y250" s="1260">
        <f>Y249/U249-1</f>
        <v>9.4768649081906631E-3</v>
      </c>
      <c r="Z250" s="403">
        <f t="shared" ref="Z250:AN250" si="472">Z249/V249-1</f>
        <v>-2.1812943718489741E-2</v>
      </c>
      <c r="AA250" s="403">
        <f t="shared" si="472"/>
        <v>2.977790410927339E-2</v>
      </c>
      <c r="AB250" s="1261">
        <f t="shared" si="472"/>
        <v>1.5426069732616288E-2</v>
      </c>
      <c r="AC250" s="403">
        <f t="shared" si="472"/>
        <v>-1.3269783796591605E-2</v>
      </c>
      <c r="AD250" s="403">
        <f t="shared" si="472"/>
        <v>-6.3908375205314227E-2</v>
      </c>
      <c r="AE250" s="403">
        <f t="shared" si="472"/>
        <v>-7.4760496825254652E-3</v>
      </c>
      <c r="AF250" s="403">
        <f t="shared" si="472"/>
        <v>-7.4159793525220286E-2</v>
      </c>
      <c r="AG250" s="1260" t="e">
        <f t="shared" si="472"/>
        <v>#REF!</v>
      </c>
      <c r="AH250" s="403" t="e">
        <f t="shared" si="472"/>
        <v>#REF!</v>
      </c>
      <c r="AI250" s="403" t="e">
        <f t="shared" si="472"/>
        <v>#REF!</v>
      </c>
      <c r="AJ250" s="1261" t="e">
        <f t="shared" si="472"/>
        <v>#REF!</v>
      </c>
      <c r="AK250" s="1260" t="e">
        <f t="shared" si="472"/>
        <v>#REF!</v>
      </c>
      <c r="AL250" s="403" t="e">
        <f t="shared" si="472"/>
        <v>#REF!</v>
      </c>
      <c r="AM250" s="403" t="e">
        <f t="shared" si="472"/>
        <v>#REF!</v>
      </c>
      <c r="AN250" s="1261" t="e">
        <f t="shared" si="472"/>
        <v>#REF!</v>
      </c>
      <c r="AO250" s="1260" t="e">
        <f t="shared" ref="AO250:AV250" si="473">AO249/AK249-1</f>
        <v>#REF!</v>
      </c>
      <c r="AP250" s="403" t="e">
        <f t="shared" si="473"/>
        <v>#REF!</v>
      </c>
      <c r="AQ250" s="403" t="e">
        <f t="shared" si="473"/>
        <v>#REF!</v>
      </c>
      <c r="AR250" s="1261" t="e">
        <f t="shared" si="473"/>
        <v>#REF!</v>
      </c>
      <c r="AS250" s="1260" t="e">
        <f t="shared" si="473"/>
        <v>#REF!</v>
      </c>
      <c r="AT250" s="403" t="e">
        <f t="shared" si="473"/>
        <v>#REF!</v>
      </c>
      <c r="AU250" s="403" t="e">
        <f t="shared" si="473"/>
        <v>#REF!</v>
      </c>
      <c r="AV250" s="1261" t="e">
        <f t="shared" si="473"/>
        <v>#REF!</v>
      </c>
      <c r="AW250" s="1260" t="e">
        <f t="shared" ref="AW250:BD250" si="474">AW249/AS249-1</f>
        <v>#REF!</v>
      </c>
      <c r="AX250" s="403" t="e">
        <f t="shared" si="474"/>
        <v>#REF!</v>
      </c>
      <c r="AY250" s="403" t="e">
        <f t="shared" si="474"/>
        <v>#REF!</v>
      </c>
      <c r="AZ250" s="1261" t="e">
        <f t="shared" si="474"/>
        <v>#REF!</v>
      </c>
      <c r="BA250" s="1260" t="e">
        <f t="shared" si="474"/>
        <v>#REF!</v>
      </c>
      <c r="BB250" s="403" t="e">
        <f t="shared" si="474"/>
        <v>#REF!</v>
      </c>
      <c r="BC250" s="403" t="e">
        <f t="shared" si="474"/>
        <v>#REF!</v>
      </c>
      <c r="BD250" s="1261" t="e">
        <f t="shared" si="474"/>
        <v>#REF!</v>
      </c>
      <c r="BE250" s="42"/>
      <c r="BF250" s="1264"/>
      <c r="BG250" s="1263"/>
      <c r="BH250" s="1263"/>
      <c r="BI250" s="901"/>
      <c r="BJ250" s="901"/>
      <c r="BK250" s="901"/>
      <c r="BL250" s="901"/>
      <c r="BM250" s="403">
        <f>BM249/BL249-1</f>
        <v>0.23802778238841249</v>
      </c>
      <c r="BN250" s="403">
        <f>BN249/BM249-1</f>
        <v>1.919984796134222E-2</v>
      </c>
      <c r="BO250" s="403" t="e">
        <f t="shared" ref="BO250:BT250" si="475">BO249/BN249-1</f>
        <v>#REF!</v>
      </c>
      <c r="BP250" s="403" t="e">
        <f t="shared" si="475"/>
        <v>#REF!</v>
      </c>
      <c r="BQ250" s="403" t="e">
        <f t="shared" si="475"/>
        <v>#REF!</v>
      </c>
      <c r="BR250" s="403" t="e">
        <f t="shared" si="475"/>
        <v>#REF!</v>
      </c>
      <c r="BS250" s="403" t="e">
        <f t="shared" si="475"/>
        <v>#REF!</v>
      </c>
      <c r="BT250" s="403" t="e">
        <f t="shared" si="475"/>
        <v>#REF!</v>
      </c>
      <c r="BU250" s="403" t="e">
        <f>BU249/BT249-1</f>
        <v>#REF!</v>
      </c>
      <c r="BV250" s="403" t="e">
        <f>BV249/BU249-1</f>
        <v>#REF!</v>
      </c>
      <c r="BW250" s="403" t="e">
        <f>BW249/BV249-1</f>
        <v>#REF!</v>
      </c>
      <c r="BX250" s="403" t="e">
        <f>BX249/BW249-1</f>
        <v>#REF!</v>
      </c>
      <c r="BY250" s="1261" t="e">
        <f>BY249/BX249-1</f>
        <v>#REF!</v>
      </c>
      <c r="BZ250" s="36"/>
      <c r="CA250" s="36"/>
      <c r="CB250" s="36"/>
      <c r="CC250" s="36"/>
      <c r="CD250" s="36"/>
      <c r="CE250" s="36"/>
      <c r="CF250" s="36"/>
    </row>
    <row r="251" spans="1:84" ht="11.25" hidden="1" customHeight="1" outlineLevel="1">
      <c r="A251" s="36"/>
      <c r="B251" s="36"/>
      <c r="C251" s="36"/>
      <c r="D251" s="36"/>
      <c r="E251" s="36"/>
      <c r="F251" s="36"/>
      <c r="G251" s="36"/>
      <c r="H251" s="36"/>
      <c r="I251" s="138"/>
      <c r="J251" s="50"/>
      <c r="K251" s="50"/>
      <c r="L251" s="50"/>
      <c r="M251" s="78"/>
      <c r="N251" s="78"/>
      <c r="O251" s="78"/>
      <c r="P251" s="78"/>
      <c r="Q251" s="873"/>
      <c r="R251" s="78"/>
      <c r="S251" s="78"/>
      <c r="T251" s="874"/>
      <c r="U251" s="1253"/>
      <c r="V251" s="1252"/>
      <c r="W251" s="1252"/>
      <c r="X251" s="1301">
        <f t="shared" ref="X251:AN251" si="476">+X249-T249</f>
        <v>32655.326424870465</v>
      </c>
      <c r="Y251" s="1300">
        <f t="shared" si="476"/>
        <v>313.55392156862217</v>
      </c>
      <c r="Z251" s="1299">
        <f t="shared" si="476"/>
        <v>-770.90909090909554</v>
      </c>
      <c r="AA251" s="1299">
        <f t="shared" si="476"/>
        <v>957.78601433160293</v>
      </c>
      <c r="AB251" s="1301">
        <f t="shared" si="476"/>
        <v>503.74334257139708</v>
      </c>
      <c r="AC251" s="1300">
        <f t="shared" si="476"/>
        <v>-443.20817688776879</v>
      </c>
      <c r="AD251" s="1299">
        <f t="shared" si="476"/>
        <v>-2209.3706293706273</v>
      </c>
      <c r="AE251" s="1299">
        <f t="shared" si="476"/>
        <v>-247.6225045372048</v>
      </c>
      <c r="AF251" s="1301">
        <f t="shared" si="476"/>
        <v>-2459.0697674418625</v>
      </c>
      <c r="AG251" s="1300" t="e">
        <f t="shared" si="476"/>
        <v>#REF!</v>
      </c>
      <c r="AH251" s="1299" t="e">
        <f t="shared" si="476"/>
        <v>#REF!</v>
      </c>
      <c r="AI251" s="1299" t="e">
        <f t="shared" si="476"/>
        <v>#REF!</v>
      </c>
      <c r="AJ251" s="1299" t="e">
        <f t="shared" si="476"/>
        <v>#REF!</v>
      </c>
      <c r="AK251" s="1300" t="e">
        <f t="shared" si="476"/>
        <v>#REF!</v>
      </c>
      <c r="AL251" s="1299" t="e">
        <f t="shared" si="476"/>
        <v>#REF!</v>
      </c>
      <c r="AM251" s="1299" t="e">
        <f t="shared" si="476"/>
        <v>#REF!</v>
      </c>
      <c r="AN251" s="1301" t="e">
        <f t="shared" si="476"/>
        <v>#REF!</v>
      </c>
      <c r="AO251" s="1299" t="e">
        <f t="shared" ref="AO251:AV251" si="477">+AO249-AK249</f>
        <v>#REF!</v>
      </c>
      <c r="AP251" s="1299" t="e">
        <f t="shared" si="477"/>
        <v>#REF!</v>
      </c>
      <c r="AQ251" s="1299" t="e">
        <f t="shared" si="477"/>
        <v>#REF!</v>
      </c>
      <c r="AR251" s="1301" t="e">
        <f t="shared" si="477"/>
        <v>#REF!</v>
      </c>
      <c r="AS251" s="1299" t="e">
        <f t="shared" si="477"/>
        <v>#REF!</v>
      </c>
      <c r="AT251" s="1299" t="e">
        <f t="shared" si="477"/>
        <v>#REF!</v>
      </c>
      <c r="AU251" s="1299" t="e">
        <f t="shared" si="477"/>
        <v>#REF!</v>
      </c>
      <c r="AV251" s="1301" t="e">
        <f t="shared" si="477"/>
        <v>#REF!</v>
      </c>
      <c r="AW251" s="1299" t="e">
        <f t="shared" ref="AW251:BD251" si="478">+AW249-AS249</f>
        <v>#REF!</v>
      </c>
      <c r="AX251" s="1299" t="e">
        <f t="shared" si="478"/>
        <v>#REF!</v>
      </c>
      <c r="AY251" s="1299" t="e">
        <f t="shared" si="478"/>
        <v>#REF!</v>
      </c>
      <c r="AZ251" s="1301" t="e">
        <f t="shared" si="478"/>
        <v>#REF!</v>
      </c>
      <c r="BA251" s="1299" t="e">
        <f t="shared" si="478"/>
        <v>#REF!</v>
      </c>
      <c r="BB251" s="1299" t="e">
        <f t="shared" si="478"/>
        <v>#REF!</v>
      </c>
      <c r="BC251" s="1299" t="e">
        <f t="shared" si="478"/>
        <v>#REF!</v>
      </c>
      <c r="BD251" s="1301" t="e">
        <f t="shared" si="478"/>
        <v>#REF!</v>
      </c>
      <c r="BE251" s="42"/>
      <c r="BF251" s="873"/>
      <c r="BG251" s="78"/>
      <c r="BH251" s="78"/>
      <c r="BI251" s="901"/>
      <c r="BJ251" s="901"/>
      <c r="BK251" s="901"/>
      <c r="BL251" s="901"/>
      <c r="BM251" s="901"/>
      <c r="BN251" s="1252"/>
      <c r="BO251" s="1252"/>
      <c r="BP251" s="1252"/>
      <c r="BQ251" s="1252"/>
      <c r="BR251" s="1252"/>
      <c r="BS251" s="1252"/>
      <c r="BT251" s="1252"/>
      <c r="BU251" s="1252"/>
      <c r="BV251" s="1252"/>
      <c r="BW251" s="1252"/>
      <c r="BX251" s="1252"/>
      <c r="BY251" s="1254"/>
      <c r="BZ251" s="36"/>
      <c r="CA251" s="36"/>
      <c r="CB251" s="36"/>
      <c r="CC251" s="36"/>
      <c r="CD251" s="36"/>
      <c r="CE251" s="36"/>
      <c r="CF251" s="36"/>
    </row>
    <row r="252" spans="1:84" ht="11.25" hidden="1" customHeight="1" outlineLevel="1">
      <c r="A252" s="36"/>
      <c r="B252" s="36"/>
      <c r="C252" s="36"/>
      <c r="D252" s="36"/>
      <c r="E252" s="36"/>
      <c r="F252" s="36"/>
      <c r="G252" s="36"/>
      <c r="H252" s="36"/>
      <c r="I252" s="138"/>
      <c r="J252" s="50"/>
      <c r="K252" s="50"/>
      <c r="L252" s="50"/>
      <c r="M252" s="78"/>
      <c r="N252" s="78"/>
      <c r="O252" s="78"/>
      <c r="P252" s="78"/>
      <c r="Q252" s="873"/>
      <c r="R252" s="78"/>
      <c r="S252" s="78"/>
      <c r="T252" s="874"/>
      <c r="U252" s="78"/>
      <c r="V252" s="78"/>
      <c r="W252" s="78"/>
      <c r="X252" s="78"/>
      <c r="Y252" s="1296"/>
      <c r="Z252" s="1297"/>
      <c r="AA252" s="1297"/>
      <c r="AB252" s="1298"/>
      <c r="AC252" s="1297"/>
      <c r="AD252" s="1297"/>
      <c r="AE252" s="1297"/>
      <c r="AF252" s="1297"/>
      <c r="AG252" s="1296"/>
      <c r="AH252" s="1297"/>
      <c r="AI252" s="1297"/>
      <c r="AJ252" s="1297"/>
      <c r="AK252" s="1296"/>
      <c r="AL252" s="1297"/>
      <c r="AM252" s="1297"/>
      <c r="AN252" s="1298" t="e">
        <f>AVERAGE(AK249:AN249)</f>
        <v>#REF!</v>
      </c>
      <c r="AO252" s="1296"/>
      <c r="AP252" s="1297"/>
      <c r="AQ252" s="1297"/>
      <c r="AR252" s="1298" t="e">
        <f>AVERAGE(AO249:AR249)</f>
        <v>#REF!</v>
      </c>
      <c r="AS252" s="1296"/>
      <c r="AT252" s="1297"/>
      <c r="AU252" s="1297"/>
      <c r="AV252" s="1298" t="e">
        <f>AVERAGE(AS249:AV249)</f>
        <v>#REF!</v>
      </c>
      <c r="AW252" s="1296"/>
      <c r="AX252" s="1297"/>
      <c r="AY252" s="1297"/>
      <c r="AZ252" s="1298" t="e">
        <f>AVERAGE(AW249:AZ249)</f>
        <v>#REF!</v>
      </c>
      <c r="BA252" s="1296"/>
      <c r="BB252" s="1297"/>
      <c r="BC252" s="1297"/>
      <c r="BD252" s="1298" t="e">
        <f>AVERAGE(BA249:BD249)</f>
        <v>#REF!</v>
      </c>
      <c r="BE252" s="42"/>
      <c r="BF252" s="873"/>
      <c r="BG252" s="78"/>
      <c r="BH252" s="78"/>
      <c r="BI252" s="78"/>
      <c r="BJ252" s="78"/>
      <c r="BK252" s="78"/>
      <c r="BL252" s="78"/>
      <c r="BM252" s="78"/>
      <c r="BN252" s="78"/>
      <c r="BO252" s="78"/>
      <c r="BP252" s="78"/>
      <c r="BQ252" s="78"/>
      <c r="BR252" s="78"/>
      <c r="BS252" s="78"/>
      <c r="BT252" s="78"/>
      <c r="BU252" s="78"/>
      <c r="BV252" s="78"/>
      <c r="BW252" s="78"/>
      <c r="BX252" s="78"/>
      <c r="BY252" s="874"/>
      <c r="BZ252" s="36"/>
      <c r="CA252" s="36"/>
      <c r="CB252" s="36"/>
      <c r="CC252" s="36"/>
      <c r="CD252" s="36"/>
      <c r="CE252" s="36"/>
      <c r="CF252" s="36"/>
    </row>
    <row r="253" spans="1:84" ht="11.25" hidden="1" customHeight="1" outlineLevel="1"/>
    <row r="254" spans="1:84" ht="11.25" customHeight="1" collapsed="1"/>
  </sheetData>
  <mergeCells count="3">
    <mergeCell ref="AS7:AV7"/>
    <mergeCell ref="AW7:AZ7"/>
    <mergeCell ref="BA7:BD7"/>
  </mergeCells>
  <phoneticPr fontId="2" type="noConversion"/>
  <pageMargins left="0" right="0" top="0" bottom="0" header="0" footer="0"/>
  <pageSetup paperSize="5" scale="59" orientation="landscape" r:id="rId1"/>
  <ignoredErrors>
    <ignoredError sqref="BJ209:BO209 BJ210:BO210 BJ212:BO216 BJ211:BN211 BJ204:BO207" formulaRange="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C00000"/>
    <pageSetUpPr fitToPage="1"/>
  </sheetPr>
  <dimension ref="A1:BH76"/>
  <sheetViews>
    <sheetView showGridLines="0" zoomScaleNormal="100" workbookViewId="0">
      <pane xSplit="12" ySplit="9" topLeftCell="M10" activePane="bottomRight" state="frozen"/>
      <selection activeCell="R35" sqref="R35"/>
      <selection pane="topRight" activeCell="R35" sqref="R35"/>
      <selection pane="bottomLeft" activeCell="R35" sqref="R35"/>
      <selection pane="bottomRight" activeCell="V22" sqref="V22"/>
    </sheetView>
  </sheetViews>
  <sheetFormatPr defaultRowHeight="11.25" outlineLevelRow="1" outlineLevelCol="1"/>
  <cols>
    <col min="1" max="7" width="8.7109375" style="89" hidden="1" customWidth="1" outlineLevel="1"/>
    <col min="8" max="8" width="1.7109375" style="89" customWidth="1" collapsed="1"/>
    <col min="9" max="12" width="10.85546875" style="89" customWidth="1"/>
    <col min="13" max="16" width="9.140625" style="89" hidden="1" customWidth="1" outlineLevel="1"/>
    <col min="17" max="17" width="8.7109375" style="89" hidden="1" customWidth="1" outlineLevel="1"/>
    <col min="18" max="18" width="8.7109375" style="89" customWidth="1" collapsed="1"/>
    <col min="19" max="25" width="8.7109375" style="89" customWidth="1"/>
    <col min="26" max="26" width="8.7109375" style="1174" customWidth="1"/>
    <col min="27" max="29" width="8.7109375" style="89" customWidth="1"/>
    <col min="30" max="16384" width="9.140625" style="89"/>
  </cols>
  <sheetData>
    <row r="1" spans="1:60">
      <c r="A1" s="19"/>
      <c r="B1" s="125" t="s">
        <v>208</v>
      </c>
      <c r="C1" s="125" t="s">
        <v>209</v>
      </c>
      <c r="D1" s="125" t="s">
        <v>210</v>
      </c>
      <c r="E1" s="125" t="s">
        <v>211</v>
      </c>
      <c r="F1" s="125" t="s">
        <v>212</v>
      </c>
      <c r="G1" s="125" t="s">
        <v>213</v>
      </c>
      <c r="H1" s="19"/>
      <c r="I1" s="11"/>
      <c r="J1" s="112"/>
      <c r="K1" s="112"/>
      <c r="L1" s="39">
        <f>L40</f>
        <v>22</v>
      </c>
      <c r="M1" s="115"/>
      <c r="N1" s="115"/>
      <c r="O1" s="115"/>
      <c r="P1" s="115"/>
      <c r="Q1" s="115"/>
      <c r="R1" s="115"/>
      <c r="S1" s="115"/>
      <c r="T1" s="115"/>
      <c r="U1" s="115"/>
      <c r="V1" s="115"/>
      <c r="W1" s="115"/>
      <c r="X1" s="115"/>
      <c r="Y1" s="254"/>
      <c r="AA1" s="19"/>
      <c r="AB1" s="19"/>
      <c r="AC1" s="19"/>
      <c r="AD1" s="19"/>
      <c r="AE1" s="19"/>
      <c r="AF1" s="19"/>
      <c r="AG1" s="19"/>
      <c r="AH1" s="19"/>
      <c r="AI1" s="19"/>
    </row>
    <row r="2" spans="1:60">
      <c r="A2" s="19"/>
      <c r="B2" s="19"/>
      <c r="C2" s="19"/>
      <c r="D2" s="19"/>
      <c r="E2" s="19"/>
      <c r="F2" s="19"/>
      <c r="G2" s="19"/>
      <c r="H2" s="19"/>
      <c r="I2" s="11"/>
      <c r="J2" s="112"/>
      <c r="K2" s="112"/>
      <c r="L2" s="112"/>
      <c r="M2" s="115"/>
      <c r="N2" s="115"/>
      <c r="O2" s="115"/>
      <c r="P2" s="115"/>
      <c r="Q2" s="115"/>
      <c r="R2" s="115"/>
      <c r="S2" s="115"/>
      <c r="T2" s="115"/>
      <c r="U2" s="2268"/>
      <c r="V2" s="2268"/>
      <c r="X2" s="115"/>
      <c r="Y2" s="93"/>
      <c r="AA2" s="19"/>
      <c r="AB2" s="19"/>
      <c r="AC2" s="19"/>
      <c r="AD2" s="19"/>
      <c r="AE2" s="19"/>
      <c r="AF2" s="19"/>
      <c r="AG2" s="19"/>
      <c r="AH2" s="19"/>
      <c r="AI2" s="19"/>
    </row>
    <row r="3" spans="1:60">
      <c r="A3" s="19"/>
      <c r="B3" s="19"/>
      <c r="C3" s="19"/>
      <c r="D3" s="19"/>
      <c r="E3" s="19"/>
      <c r="F3" s="19"/>
      <c r="G3" s="19"/>
      <c r="H3" s="19"/>
      <c r="I3" s="11"/>
      <c r="J3" s="112"/>
      <c r="K3" s="112"/>
      <c r="L3" s="112"/>
      <c r="M3" s="115"/>
      <c r="N3" s="115"/>
      <c r="O3" s="115"/>
      <c r="P3" s="115"/>
      <c r="Q3" s="115"/>
      <c r="R3" s="115"/>
      <c r="S3" s="115"/>
      <c r="T3" s="115"/>
      <c r="U3" s="115"/>
      <c r="V3" s="2851"/>
      <c r="W3" s="115"/>
      <c r="X3" s="115"/>
      <c r="Y3" s="93"/>
      <c r="AA3" s="19"/>
      <c r="AB3" s="19"/>
      <c r="AC3" s="19"/>
      <c r="AD3" s="19"/>
      <c r="AE3" s="19"/>
      <c r="AF3" s="19"/>
      <c r="AG3" s="19"/>
      <c r="AH3" s="19"/>
      <c r="AI3" s="19"/>
    </row>
    <row r="4" spans="1:60">
      <c r="A4" s="19"/>
      <c r="B4" s="19"/>
      <c r="C4" s="19"/>
      <c r="D4" s="19"/>
      <c r="E4" s="19"/>
      <c r="F4" s="19"/>
      <c r="G4" s="19"/>
      <c r="H4" s="19"/>
      <c r="I4" s="11"/>
      <c r="J4" s="112"/>
      <c r="K4" s="112"/>
      <c r="L4" s="112"/>
      <c r="M4" s="115"/>
      <c r="N4" s="115"/>
      <c r="O4" s="115"/>
      <c r="P4" s="115"/>
      <c r="Q4" s="115"/>
      <c r="R4" s="115"/>
      <c r="S4" s="115"/>
      <c r="T4" s="115"/>
      <c r="U4" s="2796">
        <f>$L$35/U14</f>
        <v>6.9429434170367799</v>
      </c>
      <c r="V4" s="2796">
        <f>$L$35/V14</f>
        <v>7.0133858998898706</v>
      </c>
      <c r="W4" s="2796">
        <f>$L$35/W14</f>
        <v>6.0554232047059457</v>
      </c>
      <c r="X4" s="115"/>
      <c r="Y4" s="115"/>
      <c r="AA4" s="19"/>
      <c r="AB4" s="19"/>
      <c r="AC4" s="19"/>
      <c r="AD4" s="19"/>
      <c r="AE4" s="19"/>
      <c r="AF4" s="19"/>
      <c r="AG4" s="19"/>
      <c r="AH4" s="19"/>
      <c r="AI4" s="19"/>
    </row>
    <row r="5" spans="1:60" hidden="1" outlineLevel="1">
      <c r="A5" s="116"/>
      <c r="B5" s="116"/>
      <c r="C5" s="116"/>
      <c r="D5" s="116"/>
      <c r="E5" s="116"/>
      <c r="F5" s="116"/>
      <c r="G5" s="116"/>
      <c r="H5" s="116"/>
      <c r="I5" s="117"/>
      <c r="J5" s="117"/>
      <c r="K5" s="117"/>
      <c r="L5" s="117"/>
      <c r="M5" s="118" t="str">
        <f t="shared" ref="M5:AA5" si="0">+YEAR(M$8)&amp;"-FY"</f>
        <v>2009-FY</v>
      </c>
      <c r="N5" s="118" t="str">
        <f t="shared" si="0"/>
        <v>2010-FY</v>
      </c>
      <c r="O5" s="118" t="str">
        <f t="shared" si="0"/>
        <v>2011-FY</v>
      </c>
      <c r="P5" s="118" t="str">
        <f t="shared" si="0"/>
        <v>2012-FY</v>
      </c>
      <c r="Q5" s="118" t="str">
        <f t="shared" si="0"/>
        <v>2013-FY</v>
      </c>
      <c r="R5" s="118" t="str">
        <f t="shared" si="0"/>
        <v>2014-FY</v>
      </c>
      <c r="S5" s="118" t="str">
        <f t="shared" si="0"/>
        <v>2015-FY</v>
      </c>
      <c r="T5" s="118" t="str">
        <f t="shared" si="0"/>
        <v>2016-FY</v>
      </c>
      <c r="U5" s="118" t="str">
        <f t="shared" si="0"/>
        <v>2017-FY</v>
      </c>
      <c r="V5" s="118" t="str">
        <f t="shared" si="0"/>
        <v>2018-FY</v>
      </c>
      <c r="W5" s="118" t="str">
        <f t="shared" si="0"/>
        <v>2019-FY</v>
      </c>
      <c r="X5" s="118" t="str">
        <f t="shared" si="0"/>
        <v>2020-FY</v>
      </c>
      <c r="Y5" s="118" t="str">
        <f t="shared" si="0"/>
        <v>2021-FY</v>
      </c>
      <c r="Z5" s="118" t="str">
        <f t="shared" si="0"/>
        <v>2022-FY</v>
      </c>
      <c r="AA5" s="118" t="str">
        <f t="shared" si="0"/>
        <v>2023-FY</v>
      </c>
      <c r="AB5" s="118"/>
      <c r="AC5" s="118"/>
      <c r="AD5" s="116"/>
      <c r="AE5" s="116"/>
      <c r="AF5" s="116"/>
      <c r="AG5" s="116"/>
      <c r="AH5" s="116"/>
      <c r="AI5" s="116"/>
    </row>
    <row r="6" spans="1:60" hidden="1" outlineLevel="1">
      <c r="A6" s="116"/>
      <c r="B6" s="116"/>
      <c r="C6" s="116"/>
      <c r="D6" s="116"/>
      <c r="E6" s="116"/>
      <c r="F6" s="116"/>
      <c r="G6" s="116"/>
      <c r="H6" s="116"/>
      <c r="I6" s="117" t="s">
        <v>108</v>
      </c>
      <c r="J6" s="117"/>
      <c r="K6" s="117"/>
      <c r="L6" s="117"/>
      <c r="M6" s="119">
        <v>40178</v>
      </c>
      <c r="N6" s="119">
        <f t="shared" ref="N6:X6" si="1">+EOMONTH(M6,12)</f>
        <v>40543</v>
      </c>
      <c r="O6" s="119">
        <f t="shared" si="1"/>
        <v>40908</v>
      </c>
      <c r="P6" s="119">
        <f t="shared" si="1"/>
        <v>41274</v>
      </c>
      <c r="Q6" s="119">
        <f t="shared" si="1"/>
        <v>41639</v>
      </c>
      <c r="R6" s="119">
        <f t="shared" si="1"/>
        <v>42004</v>
      </c>
      <c r="S6" s="119">
        <f t="shared" si="1"/>
        <v>42369</v>
      </c>
      <c r="T6" s="119">
        <f t="shared" si="1"/>
        <v>42735</v>
      </c>
      <c r="U6" s="119">
        <f t="shared" si="1"/>
        <v>43100</v>
      </c>
      <c r="V6" s="119">
        <f t="shared" si="1"/>
        <v>43465</v>
      </c>
      <c r="W6" s="119">
        <f t="shared" si="1"/>
        <v>43830</v>
      </c>
      <c r="X6" s="119">
        <f t="shared" si="1"/>
        <v>44196</v>
      </c>
      <c r="Y6" s="119">
        <f>+EOMONTH(X6,12)</f>
        <v>44561</v>
      </c>
      <c r="Z6" s="119">
        <f>+EOMONTH(Y6,12)</f>
        <v>44926</v>
      </c>
      <c r="AA6" s="119">
        <f>+EOMONTH(Z6,12)</f>
        <v>45291</v>
      </c>
      <c r="AB6" s="119"/>
      <c r="AC6" s="119"/>
      <c r="AD6" s="116"/>
      <c r="AE6" s="116"/>
      <c r="AF6" s="116"/>
      <c r="AG6" s="116"/>
      <c r="AH6" s="116"/>
      <c r="AI6" s="116"/>
    </row>
    <row r="7" spans="1:60" ht="13.5" collapsed="1">
      <c r="A7" s="19"/>
      <c r="B7" s="19"/>
      <c r="C7" s="19"/>
      <c r="D7" s="19"/>
      <c r="E7" s="19"/>
      <c r="F7" s="19"/>
      <c r="G7" s="19"/>
      <c r="H7" s="112"/>
      <c r="I7" s="2" t="s">
        <v>256</v>
      </c>
      <c r="J7" s="2"/>
      <c r="K7" s="2"/>
      <c r="L7" s="2"/>
      <c r="M7" s="9"/>
      <c r="N7" s="9"/>
      <c r="O7" s="9"/>
      <c r="P7" s="9"/>
      <c r="Q7" s="9"/>
      <c r="R7" s="9"/>
      <c r="S7" s="9"/>
      <c r="T7" s="9"/>
      <c r="U7" s="9"/>
      <c r="V7" s="9"/>
      <c r="W7" s="9"/>
      <c r="X7" s="9"/>
      <c r="Y7" s="9"/>
      <c r="AA7" s="19"/>
      <c r="AB7" s="19"/>
      <c r="AC7" s="19"/>
      <c r="AD7" s="19"/>
      <c r="AE7" s="19"/>
      <c r="AF7" s="19"/>
      <c r="AG7" s="19"/>
      <c r="AH7" s="19"/>
      <c r="AI7" s="19"/>
    </row>
    <row r="8" spans="1:60" ht="12" thickBot="1">
      <c r="A8" s="19"/>
      <c r="B8" s="19"/>
      <c r="C8" s="19"/>
      <c r="D8" s="19"/>
      <c r="E8" s="19"/>
      <c r="F8" s="19"/>
      <c r="G8" s="19"/>
      <c r="H8" s="112"/>
      <c r="I8" s="3" t="s">
        <v>83</v>
      </c>
      <c r="J8" s="3"/>
      <c r="K8" s="3"/>
      <c r="L8" s="3"/>
      <c r="M8" s="10">
        <v>40178</v>
      </c>
      <c r="N8" s="10">
        <f t="shared" ref="N8:X8" si="2">+EOMONTH(M8,12)</f>
        <v>40543</v>
      </c>
      <c r="O8" s="10">
        <f t="shared" si="2"/>
        <v>40908</v>
      </c>
      <c r="P8" s="10">
        <f t="shared" si="2"/>
        <v>41274</v>
      </c>
      <c r="Q8" s="10">
        <f t="shared" si="2"/>
        <v>41639</v>
      </c>
      <c r="R8" s="10">
        <f t="shared" si="2"/>
        <v>42004</v>
      </c>
      <c r="S8" s="10">
        <f t="shared" si="2"/>
        <v>42369</v>
      </c>
      <c r="T8" s="10">
        <f t="shared" si="2"/>
        <v>42735</v>
      </c>
      <c r="U8" s="12">
        <f t="shared" si="2"/>
        <v>43100</v>
      </c>
      <c r="V8" s="12">
        <f t="shared" si="2"/>
        <v>43465</v>
      </c>
      <c r="W8" s="12">
        <f t="shared" si="2"/>
        <v>43830</v>
      </c>
      <c r="X8" s="12">
        <f t="shared" si="2"/>
        <v>44196</v>
      </c>
      <c r="Y8" s="12">
        <f>+EOMONTH(X8,12)</f>
        <v>44561</v>
      </c>
      <c r="Z8" s="12">
        <f>+EOMONTH(Y8,12)</f>
        <v>44926</v>
      </c>
      <c r="AA8" s="12">
        <f>+EOMONTH(Z8,12)</f>
        <v>45291</v>
      </c>
      <c r="AB8" s="12">
        <f>+EOMONTH(AA8,12)</f>
        <v>45657</v>
      </c>
      <c r="AC8" s="12">
        <f>+EOMONTH(AB8,12)</f>
        <v>46022</v>
      </c>
      <c r="AD8" s="12" t="s">
        <v>502</v>
      </c>
      <c r="AE8" s="1175" t="s">
        <v>692</v>
      </c>
      <c r="AF8" s="19"/>
      <c r="AG8" s="19"/>
      <c r="AH8" s="19"/>
      <c r="AI8" s="19"/>
    </row>
    <row r="9" spans="1:60" ht="6.75" customHeight="1">
      <c r="A9" s="19"/>
      <c r="B9" s="19"/>
      <c r="C9" s="19"/>
      <c r="D9" s="19"/>
      <c r="E9" s="19"/>
      <c r="F9" s="19"/>
      <c r="G9" s="19"/>
      <c r="H9" s="112"/>
      <c r="I9" s="112"/>
      <c r="J9" s="112"/>
      <c r="K9" s="112"/>
      <c r="L9" s="112"/>
      <c r="M9" s="19"/>
      <c r="N9" s="112"/>
      <c r="O9" s="112"/>
      <c r="P9" s="112"/>
      <c r="Q9" s="112"/>
      <c r="R9" s="112"/>
      <c r="S9" s="112"/>
      <c r="T9" s="112"/>
      <c r="U9" s="112"/>
      <c r="V9" s="112"/>
      <c r="W9" s="112"/>
      <c r="X9" s="112"/>
      <c r="AA9" s="19"/>
      <c r="AB9" s="19"/>
      <c r="AC9" s="19"/>
      <c r="AD9" s="112"/>
      <c r="AE9" s="1174"/>
      <c r="AF9" s="19"/>
      <c r="AG9" s="19"/>
      <c r="AH9" s="19"/>
      <c r="AI9" s="19"/>
    </row>
    <row r="10" spans="1:60" s="83" customFormat="1" ht="11.25" customHeight="1">
      <c r="A10" s="36"/>
      <c r="B10" s="36"/>
      <c r="C10" s="36"/>
      <c r="D10" s="36"/>
      <c r="E10" s="36"/>
      <c r="F10" s="36"/>
      <c r="G10" s="36"/>
      <c r="H10" s="36"/>
      <c r="I10" s="60" t="s">
        <v>49</v>
      </c>
      <c r="J10" s="60"/>
      <c r="K10" s="60"/>
      <c r="L10" s="60"/>
      <c r="M10" s="69"/>
      <c r="N10" s="178"/>
      <c r="O10" s="178"/>
      <c r="P10" s="178"/>
      <c r="Q10" s="178"/>
      <c r="R10" s="178"/>
      <c r="S10" s="178"/>
      <c r="T10" s="178"/>
      <c r="U10" s="178"/>
      <c r="V10" s="178"/>
      <c r="W10" s="178"/>
      <c r="X10" s="178"/>
      <c r="Y10" s="178"/>
      <c r="Z10" s="178"/>
      <c r="AA10" s="178"/>
      <c r="AB10" s="178"/>
      <c r="AC10" s="178"/>
      <c r="AD10" s="69"/>
      <c r="AE10" s="1176"/>
      <c r="AF10" s="68"/>
      <c r="AG10" s="68"/>
      <c r="AH10" s="68"/>
      <c r="AI10" s="68"/>
      <c r="AJ10" s="68"/>
      <c r="AK10" s="68"/>
      <c r="AL10" s="68"/>
      <c r="AM10" s="68"/>
      <c r="AN10" s="68"/>
      <c r="AO10" s="68"/>
      <c r="AP10" s="68"/>
      <c r="AQ10" s="68"/>
      <c r="AR10" s="68"/>
      <c r="AS10" s="68"/>
      <c r="AT10" s="68"/>
      <c r="AU10" s="68"/>
      <c r="AV10" s="68"/>
      <c r="AW10" s="68"/>
      <c r="AX10" s="68"/>
      <c r="AY10" s="68"/>
      <c r="AZ10" s="68"/>
      <c r="BA10" s="68"/>
      <c r="BB10" s="68"/>
      <c r="BC10" s="68"/>
      <c r="BD10" s="68"/>
      <c r="BE10" s="68"/>
      <c r="BF10" s="68"/>
      <c r="BG10" s="68"/>
      <c r="BH10" s="68"/>
    </row>
    <row r="11" spans="1:60">
      <c r="A11" s="19"/>
      <c r="B11" s="19"/>
      <c r="C11" s="19"/>
      <c r="D11" s="19"/>
      <c r="E11" s="19"/>
      <c r="F11" s="19"/>
      <c r="G11" s="19"/>
      <c r="H11" s="19"/>
      <c r="I11" s="121" t="s">
        <v>707</v>
      </c>
      <c r="J11" s="112"/>
      <c r="K11" s="112"/>
      <c r="L11" s="112"/>
      <c r="M11" s="113">
        <f>Model!BJ23</f>
        <v>25.808000000000003</v>
      </c>
      <c r="N11" s="113">
        <f>Model!BK23</f>
        <v>47.731000000000002</v>
      </c>
      <c r="O11" s="113">
        <f>Model!BL23</f>
        <v>83.284999999999997</v>
      </c>
      <c r="P11" s="113">
        <f>Model!BM23</f>
        <v>137.56599999999997</v>
      </c>
      <c r="Q11" s="113">
        <f>Model!BN23</f>
        <v>232.988</v>
      </c>
      <c r="R11" s="113">
        <f>Model!BO23</f>
        <v>377.536</v>
      </c>
      <c r="S11" s="113">
        <f>Model!BP23</f>
        <v>518.70000000000005</v>
      </c>
      <c r="T11" s="113">
        <f>Model!BQ23</f>
        <v>713.06899999999996</v>
      </c>
      <c r="U11" s="113">
        <f>Model!BR23</f>
        <v>846.81299999999999</v>
      </c>
      <c r="V11" s="113">
        <f t="shared" ref="V11:AC11" si="3">U11*(1+V12)</f>
        <v>889.15364999999997</v>
      </c>
      <c r="W11" s="113">
        <f t="shared" si="3"/>
        <v>995.85208800000009</v>
      </c>
      <c r="X11" s="113">
        <f t="shared" si="3"/>
        <v>1104.5644542385669</v>
      </c>
      <c r="Y11" s="113">
        <f t="shared" si="3"/>
        <v>1205.1441342109108</v>
      </c>
      <c r="Z11" s="113">
        <f t="shared" si="3"/>
        <v>1298.9226926140084</v>
      </c>
      <c r="AA11" s="113">
        <f t="shared" si="3"/>
        <v>1385.2990242180647</v>
      </c>
      <c r="AB11" s="113">
        <f t="shared" si="3"/>
        <v>1464.5627397256405</v>
      </c>
      <c r="AC11" s="113">
        <f t="shared" si="3"/>
        <v>1523.1680364655397</v>
      </c>
      <c r="AD11" s="113">
        <f>+(1+$L$50)*AC11</f>
        <v>1561.247237377178</v>
      </c>
      <c r="AE11" s="1177">
        <f>RATE(6,,-T11,Y11)</f>
        <v>9.1401565737982568E-2</v>
      </c>
      <c r="AF11" s="19"/>
      <c r="AG11" s="19"/>
      <c r="AH11" s="19"/>
      <c r="AI11" s="19"/>
    </row>
    <row r="12" spans="1:60">
      <c r="A12" s="19"/>
      <c r="B12" s="19"/>
      <c r="C12" s="19"/>
      <c r="D12" s="19"/>
      <c r="E12" s="19"/>
      <c r="F12" s="19"/>
      <c r="G12" s="19"/>
      <c r="H12" s="19"/>
      <c r="I12" s="111" t="s">
        <v>132</v>
      </c>
      <c r="J12" s="112"/>
      <c r="K12" s="112"/>
      <c r="L12" s="112"/>
      <c r="M12" s="114" t="str">
        <f t="shared" ref="M12:U12" si="4">IF(ISERROR(+M11/L11-1), "NA", +M11/L11-1)</f>
        <v>NA</v>
      </c>
      <c r="N12" s="114">
        <f t="shared" si="4"/>
        <v>0.84946528208307481</v>
      </c>
      <c r="O12" s="114">
        <f t="shared" si="4"/>
        <v>0.74488278058284951</v>
      </c>
      <c r="P12" s="114">
        <f t="shared" si="4"/>
        <v>0.65175001500870477</v>
      </c>
      <c r="Q12" s="114">
        <f t="shared" si="4"/>
        <v>0.69364523210677098</v>
      </c>
      <c r="R12" s="114">
        <f t="shared" si="4"/>
        <v>0.62040963483097844</v>
      </c>
      <c r="S12" s="114">
        <f t="shared" si="4"/>
        <v>0.37390871334124443</v>
      </c>
      <c r="T12" s="114">
        <f t="shared" si="4"/>
        <v>0.37472334682860975</v>
      </c>
      <c r="U12" s="114">
        <f t="shared" si="4"/>
        <v>0.1875610915633692</v>
      </c>
      <c r="V12" s="1353">
        <v>0.05</v>
      </c>
      <c r="W12" s="1353">
        <v>0.12</v>
      </c>
      <c r="X12" s="1353">
        <f>DCF!X12-0.02</f>
        <v>0.1091651737728412</v>
      </c>
      <c r="Y12" s="1353">
        <f>DCF!Y12-0.02</f>
        <v>9.105822624147232E-2</v>
      </c>
      <c r="Z12" s="1353">
        <f>DCF!Z12-0.02</f>
        <v>7.7815222047693769E-2</v>
      </c>
      <c r="AA12" s="1353">
        <f>DCF!AA12-0.02</f>
        <v>6.6498439125910483E-2</v>
      </c>
      <c r="AB12" s="1353">
        <f>DCF!AB12-0.02</f>
        <v>5.7217766072069867E-2</v>
      </c>
      <c r="AC12" s="1353">
        <f>DCF!AC12-0.03</f>
        <v>4.001555901311396E-2</v>
      </c>
      <c r="AD12" s="114">
        <f>IF(ISERROR(+AD11/AC11-1), "NA", +AD11/AC11-1)</f>
        <v>2.4999999999999911E-2</v>
      </c>
      <c r="AE12" s="1174"/>
      <c r="AF12" s="19"/>
      <c r="AG12" s="19"/>
      <c r="AH12" s="19"/>
      <c r="AI12" s="19"/>
    </row>
    <row r="13" spans="1:60">
      <c r="A13" s="19"/>
      <c r="B13" s="19"/>
      <c r="C13" s="19"/>
      <c r="D13" s="19"/>
      <c r="E13" s="19"/>
      <c r="F13" s="19"/>
      <c r="G13" s="19"/>
      <c r="H13" s="19"/>
      <c r="I13" s="111"/>
      <c r="J13" s="112"/>
      <c r="K13" s="112"/>
      <c r="L13" s="112"/>
      <c r="M13" s="127"/>
      <c r="N13" s="127"/>
      <c r="O13" s="127"/>
      <c r="P13" s="127"/>
      <c r="Q13" s="127"/>
      <c r="R13" s="127"/>
      <c r="S13" s="1750"/>
      <c r="T13" s="1750"/>
      <c r="U13" s="1750"/>
      <c r="V13" s="1750"/>
      <c r="W13" s="1750"/>
      <c r="X13" s="1750"/>
      <c r="Y13" s="1750"/>
      <c r="Z13" s="1750"/>
      <c r="AA13" s="1750"/>
      <c r="AB13" s="1750"/>
      <c r="AC13" s="1750"/>
      <c r="AD13" s="1750"/>
      <c r="AE13" s="1174"/>
      <c r="AF13" s="19"/>
      <c r="AG13" s="19"/>
      <c r="AH13" s="19"/>
      <c r="AI13" s="19"/>
    </row>
    <row r="14" spans="1:60">
      <c r="A14" s="19"/>
      <c r="B14" s="19"/>
      <c r="C14" s="19"/>
      <c r="D14" s="19"/>
      <c r="E14" s="19"/>
      <c r="F14" s="19"/>
      <c r="G14" s="19"/>
      <c r="H14" s="19"/>
      <c r="I14" s="121" t="s">
        <v>703</v>
      </c>
      <c r="J14" s="112"/>
      <c r="K14" s="112"/>
      <c r="L14" s="112"/>
      <c r="M14" s="113">
        <f>Model!BJ49</f>
        <v>-0.57499999999999618</v>
      </c>
      <c r="N14" s="113">
        <f>Model!BK49</f>
        <v>-4.4409999999999989</v>
      </c>
      <c r="O14" s="113">
        <f>Model!BL49</f>
        <v>-1.1280000000000001</v>
      </c>
      <c r="P14" s="113">
        <f>Model!BM49</f>
        <v>4.5969999999999676</v>
      </c>
      <c r="Q14" s="113">
        <f>Model!BN49</f>
        <v>29.428999999999988</v>
      </c>
      <c r="R14" s="113">
        <f>Model!BO49</f>
        <v>70.921999999999997</v>
      </c>
      <c r="S14" s="113">
        <f>Model!BP49</f>
        <v>38.111000000000004</v>
      </c>
      <c r="T14" s="113">
        <f>Model!BQ49</f>
        <v>120.08199999999995</v>
      </c>
      <c r="U14" s="113">
        <f>Model!BR49</f>
        <v>156.607</v>
      </c>
      <c r="V14" s="113">
        <f t="shared" ref="V14:AC14" si="5">V11*V22</f>
        <v>155.03403851325973</v>
      </c>
      <c r="W14" s="113">
        <f t="shared" si="5"/>
        <v>179.56028884436648</v>
      </c>
      <c r="X14" s="113">
        <f t="shared" si="5"/>
        <v>215.111780683528</v>
      </c>
      <c r="Y14" s="113">
        <f t="shared" si="5"/>
        <v>244.70793710293279</v>
      </c>
      <c r="Z14" s="113">
        <f t="shared" si="5"/>
        <v>274.72208860121856</v>
      </c>
      <c r="AA14" s="113">
        <f t="shared" si="5"/>
        <v>309.16180293512741</v>
      </c>
      <c r="AB14" s="113">
        <f t="shared" si="5"/>
        <v>351.59454055573229</v>
      </c>
      <c r="AC14" s="113">
        <f t="shared" si="5"/>
        <v>390.75471612841648</v>
      </c>
      <c r="AD14" s="124">
        <f>+AD11*AD22</f>
        <v>400.52358403162685</v>
      </c>
      <c r="AE14" s="1177">
        <f>RATE(6,,-T14,Y14)</f>
        <v>0.12597398687127076</v>
      </c>
      <c r="AF14" s="19"/>
      <c r="AG14" s="19"/>
      <c r="AH14" s="19"/>
      <c r="AI14" s="19"/>
    </row>
    <row r="15" spans="1:60" s="19" customFormat="1">
      <c r="I15" s="121" t="s">
        <v>220</v>
      </c>
      <c r="J15" s="112"/>
      <c r="K15" s="112"/>
      <c r="L15" s="112"/>
      <c r="M15" s="113">
        <f>-Model!BJ66</f>
        <v>-8.0000000000000002E-3</v>
      </c>
      <c r="N15" s="113">
        <f>-Model!BK66</f>
        <v>-7.4999999999999997E-2</v>
      </c>
      <c r="O15" s="113">
        <f>-O72</f>
        <v>-9.1999999999999998E-2</v>
      </c>
      <c r="P15" s="113">
        <f t="shared" ref="P15:AC15" si="6">-P72</f>
        <v>-0.11</v>
      </c>
      <c r="Q15" s="113">
        <f t="shared" si="6"/>
        <v>-0.29099999999999998</v>
      </c>
      <c r="R15" s="113">
        <f>-R72</f>
        <v>-1.972</v>
      </c>
      <c r="S15" s="113">
        <f>-S72</f>
        <v>-0.35199999999999998</v>
      </c>
      <c r="T15" s="113">
        <f>-T72</f>
        <v>0</v>
      </c>
      <c r="U15" s="113">
        <f>-U72</f>
        <v>-5.3396000000000043</v>
      </c>
      <c r="V15" s="113">
        <f t="shared" si="6"/>
        <v>-11.7637962326415</v>
      </c>
      <c r="W15" s="113">
        <f t="shared" si="6"/>
        <v>-30.932776528258003</v>
      </c>
      <c r="X15" s="113">
        <f t="shared" si="6"/>
        <v>-43.704141808020232</v>
      </c>
      <c r="Y15" s="2238">
        <f t="shared" si="6"/>
        <v>-60.928762860284976</v>
      </c>
      <c r="Z15" s="2238">
        <f t="shared" si="6"/>
        <v>-81.059481000701339</v>
      </c>
      <c r="AA15" s="2238">
        <f t="shared" si="6"/>
        <v>-101.81083715656558</v>
      </c>
      <c r="AB15" s="2238">
        <f t="shared" si="6"/>
        <v>-123.24080173921146</v>
      </c>
      <c r="AC15" s="2238">
        <f t="shared" si="6"/>
        <v>-145.93238563262116</v>
      </c>
      <c r="AD15" s="124"/>
      <c r="AE15" s="1174"/>
    </row>
    <row r="16" spans="1:60">
      <c r="A16" s="19"/>
      <c r="B16" s="19"/>
      <c r="C16" s="19"/>
      <c r="D16" s="19"/>
      <c r="E16" s="19"/>
      <c r="F16" s="19"/>
      <c r="G16" s="19"/>
      <c r="H16" s="19"/>
      <c r="I16" s="121" t="s">
        <v>219</v>
      </c>
      <c r="J16" s="112"/>
      <c r="K16" s="112"/>
      <c r="L16" s="112"/>
      <c r="M16" s="113">
        <f>Model!BJ215</f>
        <v>-0.15199999999999991</v>
      </c>
      <c r="N16" s="113">
        <f>Model!BK215</f>
        <v>-2.0810000000000004</v>
      </c>
      <c r="O16" s="113">
        <f>Model!BL215</f>
        <v>1.8270000000000004</v>
      </c>
      <c r="P16" s="113">
        <f>Model!BM215</f>
        <v>-4.7739999999999991</v>
      </c>
      <c r="Q16" s="113">
        <f>Model!BN215</f>
        <v>-9.7419999999999991</v>
      </c>
      <c r="R16" s="113">
        <f>Model!BO215</f>
        <v>-15.964</v>
      </c>
      <c r="S16" s="113">
        <f>Model!BP215</f>
        <v>-32.128999999999998</v>
      </c>
      <c r="T16" s="113">
        <f>Model!BQ215</f>
        <v>-10.273999999999997</v>
      </c>
      <c r="U16" s="113">
        <f>Model!BR215</f>
        <v>19.559999999999995</v>
      </c>
      <c r="V16" s="113">
        <f>Model!BS215</f>
        <v>-2.7442893768807046</v>
      </c>
      <c r="W16" s="113">
        <f>Model!BT215</f>
        <v>-0.30202538990474181</v>
      </c>
      <c r="X16" s="113">
        <f>Model!BU215</f>
        <v>1.2947334900096195</v>
      </c>
      <c r="Y16" s="1354">
        <f>X16</f>
        <v>1.2947334900096195</v>
      </c>
      <c r="Z16" s="1354">
        <f>Y16</f>
        <v>1.2947334900096195</v>
      </c>
      <c r="AA16" s="1354">
        <f>Z16</f>
        <v>1.2947334900096195</v>
      </c>
      <c r="AB16" s="1354">
        <f>AA16</f>
        <v>1.2947334900096195</v>
      </c>
      <c r="AC16" s="1354">
        <f>AB16</f>
        <v>1.2947334900096195</v>
      </c>
      <c r="AD16" s="124"/>
      <c r="AE16" s="1174"/>
      <c r="AF16" s="19"/>
      <c r="AG16" s="19"/>
      <c r="AH16" s="19"/>
      <c r="AI16" s="19"/>
    </row>
    <row r="17" spans="1:35">
      <c r="A17" s="19"/>
      <c r="B17" s="19"/>
      <c r="C17" s="19"/>
      <c r="D17" s="19"/>
      <c r="E17" s="19"/>
      <c r="F17" s="19"/>
      <c r="G17" s="19"/>
      <c r="H17" s="19"/>
      <c r="I17" s="121" t="s">
        <v>130</v>
      </c>
      <c r="J17" s="112"/>
      <c r="K17" s="112"/>
      <c r="L17" s="112"/>
      <c r="M17" s="113">
        <f>Model!BJ220</f>
        <v>-0.622</v>
      </c>
      <c r="N17" s="113">
        <f>Model!BK220</f>
        <v>-3.5710000000000002</v>
      </c>
      <c r="O17" s="113">
        <f>Model!BL220</f>
        <v>-4.798</v>
      </c>
      <c r="P17" s="113">
        <f>Model!BM220</f>
        <v>-7.524</v>
      </c>
      <c r="Q17" s="113">
        <f>Model!BN220</f>
        <v>-16.242999999999999</v>
      </c>
      <c r="R17" s="113">
        <f>Model!BO220</f>
        <v>-29.053999999999995</v>
      </c>
      <c r="S17" s="113">
        <f>Model!BP220</f>
        <v>-104.54899999999999</v>
      </c>
      <c r="T17" s="113">
        <f>Model!BQ220</f>
        <v>-22.994</v>
      </c>
      <c r="U17" s="113">
        <f>Model!BR220</f>
        <v>-15.598000000000003</v>
      </c>
      <c r="V17" s="1354">
        <f t="shared" ref="V17:AC17" si="7">V11*-0.03</f>
        <v>-26.674609499999999</v>
      </c>
      <c r="W17" s="1354">
        <f t="shared" si="7"/>
        <v>-29.875562640000002</v>
      </c>
      <c r="X17" s="1354">
        <f t="shared" si="7"/>
        <v>-33.136933627157006</v>
      </c>
      <c r="Y17" s="1354">
        <f t="shared" si="7"/>
        <v>-36.154324026327323</v>
      </c>
      <c r="Z17" s="1354">
        <f t="shared" si="7"/>
        <v>-38.967680778420252</v>
      </c>
      <c r="AA17" s="1354">
        <f t="shared" si="7"/>
        <v>-41.558970726541936</v>
      </c>
      <c r="AB17" s="1354">
        <f t="shared" si="7"/>
        <v>-43.936882191769215</v>
      </c>
      <c r="AC17" s="1354">
        <f t="shared" si="7"/>
        <v>-45.695041093966189</v>
      </c>
      <c r="AD17" s="124"/>
      <c r="AE17" s="1174"/>
      <c r="AF17" s="19"/>
      <c r="AG17" s="19"/>
      <c r="AH17" s="19"/>
      <c r="AI17" s="19"/>
    </row>
    <row r="18" spans="1:35">
      <c r="A18" s="19"/>
      <c r="B18" s="19"/>
      <c r="C18" s="19"/>
      <c r="D18" s="19"/>
      <c r="E18" s="19"/>
      <c r="F18" s="19"/>
      <c r="G18" s="19"/>
      <c r="H18" s="19"/>
      <c r="I18" s="1673" t="s">
        <v>218</v>
      </c>
      <c r="J18" s="140"/>
      <c r="K18" s="140"/>
      <c r="L18" s="140"/>
      <c r="M18" s="195">
        <f>-Model!BJ36</f>
        <v>-0.55700000000000005</v>
      </c>
      <c r="N18" s="195">
        <f>-Model!BK36</f>
        <v>-1.431</v>
      </c>
      <c r="O18" s="195">
        <f>-Model!BL36</f>
        <v>-4.8770000000000007</v>
      </c>
      <c r="P18" s="195">
        <f>-Model!BM36</f>
        <v>-14.879000000000001</v>
      </c>
      <c r="Q18" s="195">
        <f>-Model!BN36</f>
        <v>-26.677</v>
      </c>
      <c r="R18" s="195">
        <f>-Model!BO36</f>
        <v>-42.273000000000003</v>
      </c>
      <c r="S18" s="195">
        <f>-Model!BP36</f>
        <v>-60.842000000000006</v>
      </c>
      <c r="T18" s="195">
        <f>-Model!BQ36</f>
        <v>-86.26</v>
      </c>
      <c r="U18" s="195">
        <f>-Model!BR36</f>
        <v>-100.41500000000001</v>
      </c>
      <c r="V18" s="195">
        <f>V11*'Expense drivers'!BR186*-1</f>
        <v>-105.83026281892968</v>
      </c>
      <c r="W18" s="195">
        <f>W11*'Expense drivers'!BS186*-1</f>
        <v>-114.15562738522286</v>
      </c>
      <c r="X18" s="195">
        <f>X11*'Expense drivers'!BT186*-1</f>
        <v>-123.34704802229905</v>
      </c>
      <c r="Y18" s="1355">
        <f>-0.08*Y11</f>
        <v>-96.411530736872862</v>
      </c>
      <c r="Z18" s="1355">
        <f>-0.08*Z11</f>
        <v>-103.91381540912067</v>
      </c>
      <c r="AA18" s="1355">
        <f>-0.08*AA11</f>
        <v>-110.82392193744518</v>
      </c>
      <c r="AB18" s="1355">
        <f>-0.08*AB11</f>
        <v>-117.16501917805124</v>
      </c>
      <c r="AC18" s="1355">
        <f>-0.08*AC11</f>
        <v>-121.85344291724317</v>
      </c>
      <c r="AD18" s="208"/>
      <c r="AE18" s="1174"/>
      <c r="AF18" s="19"/>
      <c r="AG18" s="19"/>
      <c r="AH18" s="19"/>
      <c r="AI18" s="19"/>
    </row>
    <row r="19" spans="1:35">
      <c r="A19" s="19"/>
      <c r="B19" s="19"/>
      <c r="C19" s="19"/>
      <c r="D19" s="19"/>
      <c r="E19" s="19"/>
      <c r="F19" s="19"/>
      <c r="G19" s="19"/>
      <c r="H19" s="19"/>
      <c r="I19" s="4" t="s">
        <v>131</v>
      </c>
      <c r="J19" s="4"/>
      <c r="K19" s="4"/>
      <c r="L19" s="4"/>
      <c r="M19" s="205">
        <f>IF(ISERROR(+SUM(M14:M18)), "NA", +SUM(M14:M18))</f>
        <v>-1.9139999999999961</v>
      </c>
      <c r="N19" s="205">
        <f>IF(ISERROR(+SUM(N14:N18)), "NA", +SUM(N14:N18))</f>
        <v>-11.599</v>
      </c>
      <c r="O19" s="205">
        <f>IF(ISERROR(+SUM(O14:O18)), "NA", +SUM(O14:O18))</f>
        <v>-9.0680000000000014</v>
      </c>
      <c r="P19" s="205">
        <f>IF(ISERROR(+SUM(P14:P18)), "NA", +SUM(P14:P18))</f>
        <v>-22.690000000000033</v>
      </c>
      <c r="Q19" s="205">
        <f>IF(ISERROR(+SUM(Q14:Q18)), "NA", +SUM(Q14:Q18))</f>
        <v>-23.524000000000012</v>
      </c>
      <c r="R19" s="205">
        <f t="shared" ref="R19:AC19" si="8">IF(ISERROR(+SUM(R14:R18)), "NA", +SUM(R14:R18))</f>
        <v>-18.340999999999994</v>
      </c>
      <c r="S19" s="205">
        <f t="shared" si="8"/>
        <v>-159.761</v>
      </c>
      <c r="T19" s="205">
        <f t="shared" si="8"/>
        <v>0.5539999999999452</v>
      </c>
      <c r="U19" s="205">
        <f t="shared" ref="U19" si="9">IF(ISERROR(+SUM(U14:U18)), "NA", +SUM(U14:U18))</f>
        <v>54.814399999999992</v>
      </c>
      <c r="V19" s="205">
        <f t="shared" si="8"/>
        <v>8.0210805848078195</v>
      </c>
      <c r="W19" s="205">
        <f t="shared" si="8"/>
        <v>4.2942969009808962</v>
      </c>
      <c r="X19" s="205">
        <f t="shared" si="8"/>
        <v>16.218390716061293</v>
      </c>
      <c r="Y19" s="205">
        <f t="shared" si="8"/>
        <v>52.508052969457225</v>
      </c>
      <c r="Z19" s="205">
        <f t="shared" si="8"/>
        <v>52.075844902985892</v>
      </c>
      <c r="AA19" s="205">
        <f t="shared" si="8"/>
        <v>56.262806604584327</v>
      </c>
      <c r="AB19" s="205">
        <f t="shared" si="8"/>
        <v>68.546570936709998</v>
      </c>
      <c r="AC19" s="205">
        <f t="shared" si="8"/>
        <v>78.568579974595565</v>
      </c>
      <c r="AD19" s="205">
        <f>+AD14*AD24</f>
        <v>80.53279447396045</v>
      </c>
      <c r="AE19" s="1177" t="s">
        <v>450</v>
      </c>
      <c r="AF19" s="19"/>
      <c r="AG19" s="19"/>
      <c r="AH19" s="19"/>
      <c r="AI19" s="19"/>
    </row>
    <row r="20" spans="1:35">
      <c r="A20" s="19"/>
      <c r="B20" s="19"/>
      <c r="C20" s="19"/>
      <c r="D20" s="19"/>
      <c r="E20" s="19"/>
      <c r="F20" s="19"/>
      <c r="G20" s="19"/>
      <c r="H20" s="19"/>
      <c r="I20" s="111" t="s">
        <v>144</v>
      </c>
      <c r="J20" s="112"/>
      <c r="K20" s="112"/>
      <c r="L20" s="112"/>
      <c r="M20" s="114">
        <f t="shared" ref="M20:T20" si="10">IF(ISERROR(+M19/M11), "NA", +M19/M11)</f>
        <v>-7.4163050216986826E-2</v>
      </c>
      <c r="N20" s="114">
        <f t="shared" si="10"/>
        <v>-0.24300768892334121</v>
      </c>
      <c r="O20" s="114">
        <f t="shared" si="10"/>
        <v>-0.10887914990694605</v>
      </c>
      <c r="P20" s="114">
        <f t="shared" si="10"/>
        <v>-0.16493901109285752</v>
      </c>
      <c r="Q20" s="114">
        <f t="shared" si="10"/>
        <v>-0.10096657338575382</v>
      </c>
      <c r="R20" s="114">
        <f t="shared" si="10"/>
        <v>-4.8580797592812322E-2</v>
      </c>
      <c r="S20" s="114">
        <f t="shared" si="10"/>
        <v>-0.30800269905533062</v>
      </c>
      <c r="T20" s="114">
        <f t="shared" si="10"/>
        <v>7.7692341133879788E-4</v>
      </c>
      <c r="U20" s="114">
        <f t="shared" ref="U20" si="11">IF(ISERROR(+U19/U11), "NA", +U19/U11)</f>
        <v>6.4730229696520952E-2</v>
      </c>
      <c r="V20" s="114">
        <f t="shared" ref="V20:AC20" si="12">IF(ISERROR(+V19/V11), "NA", +V19/V11)</f>
        <v>9.0210286881326068E-3</v>
      </c>
      <c r="W20" s="114">
        <f t="shared" si="12"/>
        <v>4.3121834584945867E-3</v>
      </c>
      <c r="X20" s="114">
        <f t="shared" si="12"/>
        <v>1.4683064128875543E-2</v>
      </c>
      <c r="Y20" s="114">
        <f t="shared" si="12"/>
        <v>4.3569936141985031E-2</v>
      </c>
      <c r="Z20" s="114">
        <f t="shared" si="12"/>
        <v>4.0091566033222656E-2</v>
      </c>
      <c r="AA20" s="114">
        <f t="shared" si="12"/>
        <v>4.0614196372759308E-2</v>
      </c>
      <c r="AB20" s="114">
        <f t="shared" si="12"/>
        <v>4.6803437693322007E-2</v>
      </c>
      <c r="AC20" s="114">
        <f t="shared" si="12"/>
        <v>5.1582345541409419E-2</v>
      </c>
      <c r="AD20" s="114" t="str">
        <f>IF(ISERROR(+AD19/#REF!), "NA", +AD19/#REF!)</f>
        <v>NA</v>
      </c>
      <c r="AE20" s="1174"/>
      <c r="AF20" s="19"/>
      <c r="AG20" s="19"/>
      <c r="AH20" s="19"/>
      <c r="AI20" s="19"/>
    </row>
    <row r="21" spans="1:35">
      <c r="A21" s="19"/>
      <c r="B21" s="19"/>
      <c r="C21" s="19"/>
      <c r="D21" s="19"/>
      <c r="E21" s="19"/>
      <c r="F21" s="19"/>
      <c r="G21" s="19"/>
      <c r="H21" s="19"/>
      <c r="I21" s="111"/>
      <c r="J21" s="112"/>
      <c r="K21" s="112"/>
      <c r="L21" s="112"/>
      <c r="M21" s="128"/>
      <c r="N21" s="128"/>
      <c r="O21" s="128"/>
      <c r="P21" s="128"/>
      <c r="Q21" s="128"/>
      <c r="R21" s="128"/>
      <c r="S21" s="128"/>
      <c r="T21" s="128"/>
      <c r="U21" s="128"/>
      <c r="V21" s="128"/>
      <c r="W21" s="128"/>
      <c r="X21" s="128"/>
      <c r="AA21" s="19"/>
      <c r="AB21" s="19"/>
      <c r="AC21" s="19"/>
      <c r="AD21" s="128"/>
      <c r="AE21" s="1174"/>
      <c r="AF21" s="19"/>
      <c r="AG21" s="19"/>
      <c r="AH21" s="19"/>
      <c r="AI21" s="19"/>
    </row>
    <row r="22" spans="1:35">
      <c r="A22" s="19"/>
      <c r="B22" s="19"/>
      <c r="C22" s="19"/>
      <c r="D22" s="19"/>
      <c r="E22" s="19"/>
      <c r="F22" s="19"/>
      <c r="G22" s="19"/>
      <c r="H22" s="19"/>
      <c r="I22" s="121" t="s">
        <v>221</v>
      </c>
      <c r="J22" s="112"/>
      <c r="K22" s="112"/>
      <c r="L22" s="112"/>
      <c r="M22" s="114">
        <f t="shared" ref="M22:T22" si="13">IF(ISERROR(+M14/M11), "NA", +M14/M11)</f>
        <v>-2.2279913205207537E-2</v>
      </c>
      <c r="N22" s="114">
        <f t="shared" si="13"/>
        <v>-9.3042257652259514E-2</v>
      </c>
      <c r="O22" s="114">
        <f t="shared" si="13"/>
        <v>-1.354385543615297E-2</v>
      </c>
      <c r="P22" s="114">
        <f t="shared" si="13"/>
        <v>3.3416687262840881E-2</v>
      </c>
      <c r="Q22" s="114">
        <f t="shared" si="13"/>
        <v>0.12631122632925296</v>
      </c>
      <c r="R22" s="114">
        <f t="shared" si="13"/>
        <v>0.18785493303949821</v>
      </c>
      <c r="S22" s="114">
        <f t="shared" si="13"/>
        <v>7.3474069789859264E-2</v>
      </c>
      <c r="T22" s="114">
        <f t="shared" si="13"/>
        <v>0.16840165537977383</v>
      </c>
      <c r="U22" s="114">
        <f t="shared" ref="U22" si="14">IF(ISERROR(+U14/U11), "NA", +U14/U11)</f>
        <v>0.18493693412831405</v>
      </c>
      <c r="V22" s="1353">
        <f>DCF!V22-0.02</f>
        <v>0.17436135870696784</v>
      </c>
      <c r="W22" s="1353">
        <f>DCF!W22-0.03</f>
        <v>0.1803081913549861</v>
      </c>
      <c r="X22" s="1353">
        <f>DCF!X22-0.03</f>
        <v>0.1947480564471139</v>
      </c>
      <c r="Y22" s="1353">
        <f>DCF!Y22-0.04</f>
        <v>0.20305283837535298</v>
      </c>
      <c r="Z22" s="1353">
        <f>DCF!Z22-0.05</f>
        <v>0.21149995312527486</v>
      </c>
      <c r="AA22" s="1353">
        <f>DCF!AA22-0.0555</f>
        <v>0.22317333480375079</v>
      </c>
      <c r="AB22" s="1353">
        <f>DCF!AB22-0.055</f>
        <v>0.2400679267735551</v>
      </c>
      <c r="AC22" s="1353">
        <f>DCF!AC22-0.055</f>
        <v>0.25654077998849667</v>
      </c>
      <c r="AD22" s="209">
        <f>AC22</f>
        <v>0.25654077998849667</v>
      </c>
      <c r="AE22" s="2658">
        <f>(V22-T22)*10000</f>
        <v>59.597033271940049</v>
      </c>
      <c r="AF22" s="19"/>
      <c r="AG22" s="19"/>
      <c r="AH22" s="19"/>
      <c r="AI22" s="19"/>
    </row>
    <row r="23" spans="1:35">
      <c r="A23" s="19"/>
      <c r="B23" s="19"/>
      <c r="C23" s="19"/>
      <c r="D23" s="19"/>
      <c r="E23" s="19"/>
      <c r="F23" s="19"/>
      <c r="G23" s="19"/>
      <c r="H23" s="19"/>
      <c r="I23" s="2250" t="s">
        <v>704</v>
      </c>
      <c r="J23" s="112"/>
      <c r="K23" s="112"/>
      <c r="L23" s="112"/>
      <c r="M23" s="114"/>
      <c r="N23" s="114"/>
      <c r="O23" s="114"/>
      <c r="P23" s="114"/>
      <c r="Q23" s="114"/>
      <c r="R23" s="114">
        <f t="shared" ref="R23:AC23" si="15">+(R14-Q14)/(R11-Q11)</f>
        <v>0.28705343553698431</v>
      </c>
      <c r="S23" s="114">
        <f t="shared" si="15"/>
        <v>-0.23243178147403007</v>
      </c>
      <c r="T23" s="114">
        <f t="shared" si="15"/>
        <v>0.42172877362130784</v>
      </c>
      <c r="U23" s="114">
        <f t="shared" si="15"/>
        <v>0.27309636320134018</v>
      </c>
      <c r="V23" s="114">
        <f t="shared" si="15"/>
        <v>-3.7150149719956338E-2</v>
      </c>
      <c r="W23" s="114">
        <f t="shared" si="15"/>
        <v>0.22986513008847162</v>
      </c>
      <c r="X23" s="114">
        <f t="shared" si="15"/>
        <v>0.32702343872402317</v>
      </c>
      <c r="Y23" s="114">
        <f t="shared" si="15"/>
        <v>0.29425582212572915</v>
      </c>
      <c r="Z23" s="114">
        <f t="shared" si="15"/>
        <v>0.32005345368258914</v>
      </c>
      <c r="AA23" s="114">
        <f t="shared" si="15"/>
        <v>0.39871702924104657</v>
      </c>
      <c r="AB23" s="114">
        <f t="shared" si="15"/>
        <v>0.53533621719447722</v>
      </c>
      <c r="AC23" s="114">
        <f t="shared" si="15"/>
        <v>0.66820198431012301</v>
      </c>
      <c r="AD23" s="1682"/>
      <c r="AE23" s="1174"/>
      <c r="AF23" s="19"/>
      <c r="AG23" s="19"/>
      <c r="AH23" s="19"/>
      <c r="AI23" s="19"/>
    </row>
    <row r="24" spans="1:35">
      <c r="A24" s="19"/>
      <c r="B24" s="19"/>
      <c r="C24" s="19"/>
      <c r="D24" s="19"/>
      <c r="E24" s="19"/>
      <c r="F24" s="19"/>
      <c r="G24" s="19"/>
      <c r="H24" s="19"/>
      <c r="I24" s="121" t="s">
        <v>337</v>
      </c>
      <c r="J24" s="112"/>
      <c r="K24" s="112"/>
      <c r="L24" s="112"/>
      <c r="M24" s="114">
        <f t="shared" ref="M24:AC24" si="16">IF(ISERROR(+M19/M14), "NA", +M19/M14)</f>
        <v>3.3286956521739284</v>
      </c>
      <c r="N24" s="114">
        <f t="shared" si="16"/>
        <v>2.6117991443368616</v>
      </c>
      <c r="O24" s="114">
        <f t="shared" si="16"/>
        <v>8.0390070921985828</v>
      </c>
      <c r="P24" s="114">
        <f t="shared" si="16"/>
        <v>-4.9358277137263853</v>
      </c>
      <c r="Q24" s="114">
        <f t="shared" si="16"/>
        <v>-0.79934758231676306</v>
      </c>
      <c r="R24" s="114">
        <f t="shared" si="16"/>
        <v>-0.25860804827839029</v>
      </c>
      <c r="S24" s="114">
        <f t="shared" si="16"/>
        <v>-4.1919918133872107</v>
      </c>
      <c r="T24" s="114">
        <f t="shared" si="16"/>
        <v>4.6135140986987679E-3</v>
      </c>
      <c r="U24" s="114">
        <f t="shared" ref="U24" si="17">IF(ISERROR(+U19/U14), "NA", +U19/U14)</f>
        <v>0.35001245155069693</v>
      </c>
      <c r="V24" s="114">
        <f t="shared" si="16"/>
        <v>5.1737545262499199E-2</v>
      </c>
      <c r="W24" s="114">
        <f t="shared" si="16"/>
        <v>2.3915627049937358E-2</v>
      </c>
      <c r="X24" s="114">
        <f t="shared" si="16"/>
        <v>7.539517670546253E-2</v>
      </c>
      <c r="Y24" s="114">
        <f t="shared" si="16"/>
        <v>0.21457437625887257</v>
      </c>
      <c r="Z24" s="114">
        <f t="shared" si="16"/>
        <v>0.18955827384735055</v>
      </c>
      <c r="AA24" s="114">
        <f t="shared" si="16"/>
        <v>0.18198498673003974</v>
      </c>
      <c r="AB24" s="114">
        <f t="shared" si="16"/>
        <v>0.19495914478184134</v>
      </c>
      <c r="AC24" s="114">
        <f t="shared" si="16"/>
        <v>0.20106879515889201</v>
      </c>
      <c r="AD24" s="209">
        <f>AC24</f>
        <v>0.20106879515889201</v>
      </c>
      <c r="AE24" s="1174"/>
      <c r="AF24" s="19"/>
      <c r="AG24" s="19"/>
      <c r="AH24" s="19"/>
      <c r="AI24" s="19"/>
    </row>
    <row r="25" spans="1:35">
      <c r="A25" s="19"/>
      <c r="B25" s="19"/>
      <c r="C25" s="19"/>
      <c r="D25" s="19"/>
      <c r="E25" s="19"/>
      <c r="F25" s="19"/>
      <c r="G25" s="19"/>
      <c r="H25" s="19"/>
      <c r="I25" s="111"/>
      <c r="J25" s="112"/>
      <c r="K25" s="112"/>
      <c r="L25" s="112"/>
      <c r="M25" s="94"/>
      <c r="N25" s="94"/>
      <c r="O25" s="94"/>
      <c r="P25" s="94"/>
      <c r="Q25" s="94"/>
      <c r="R25" s="94"/>
      <c r="S25" s="94"/>
      <c r="T25" s="94"/>
      <c r="U25" s="94"/>
      <c r="V25" s="94"/>
      <c r="W25" s="94"/>
      <c r="X25" s="94"/>
      <c r="AA25" s="19"/>
      <c r="AB25" s="19"/>
      <c r="AC25" s="19"/>
      <c r="AD25" s="94"/>
      <c r="AE25" s="1174"/>
      <c r="AF25" s="19"/>
      <c r="AG25" s="19"/>
      <c r="AH25" s="19"/>
      <c r="AI25" s="19"/>
    </row>
    <row r="26" spans="1:35">
      <c r="A26" s="19"/>
      <c r="B26" s="19"/>
      <c r="C26" s="19"/>
      <c r="D26" s="19"/>
      <c r="E26" s="19"/>
      <c r="F26" s="19"/>
      <c r="G26" s="19"/>
      <c r="H26" s="19"/>
      <c r="I26" s="111"/>
      <c r="J26" s="112"/>
      <c r="K26" s="112"/>
      <c r="L26" s="112"/>
      <c r="M26" s="94"/>
      <c r="N26" s="94"/>
      <c r="O26" s="94"/>
      <c r="P26" s="94"/>
      <c r="Q26" s="94"/>
      <c r="R26" s="94"/>
      <c r="S26" s="94"/>
      <c r="T26" s="94"/>
      <c r="U26" s="94"/>
      <c r="V26" s="94"/>
      <c r="W26" s="94"/>
      <c r="X26" s="94"/>
      <c r="Y26" s="94"/>
      <c r="AA26" s="19"/>
      <c r="AB26" s="19"/>
      <c r="AC26" s="19"/>
      <c r="AD26" s="19"/>
      <c r="AE26" s="19"/>
      <c r="AF26" s="19"/>
      <c r="AG26" s="19"/>
      <c r="AH26" s="19"/>
      <c r="AI26" s="19"/>
    </row>
    <row r="27" spans="1:35" ht="12" hidden="1" outlineLevel="1" thickBot="1">
      <c r="A27" s="19"/>
      <c r="B27" s="19"/>
      <c r="C27" s="19"/>
      <c r="D27" s="19"/>
      <c r="E27" s="19"/>
      <c r="F27" s="19"/>
      <c r="G27" s="19"/>
      <c r="H27" s="112"/>
      <c r="I27" s="126" t="s">
        <v>147</v>
      </c>
      <c r="J27" s="126"/>
      <c r="K27" s="126"/>
      <c r="L27" s="126"/>
      <c r="M27" s="12"/>
      <c r="N27" s="12"/>
      <c r="O27" s="12"/>
      <c r="P27" s="12"/>
      <c r="Q27" s="12"/>
      <c r="R27" s="12"/>
      <c r="S27" s="12">
        <f t="shared" ref="S27:AC27" si="18">S$8</f>
        <v>42369</v>
      </c>
      <c r="T27" s="12">
        <f t="shared" si="18"/>
        <v>42735</v>
      </c>
      <c r="U27" s="12">
        <f t="shared" si="18"/>
        <v>43100</v>
      </c>
      <c r="V27" s="12">
        <f t="shared" si="18"/>
        <v>43465</v>
      </c>
      <c r="W27" s="12">
        <f t="shared" si="18"/>
        <v>43830</v>
      </c>
      <c r="X27" s="12">
        <f t="shared" si="18"/>
        <v>44196</v>
      </c>
      <c r="Y27" s="12">
        <f t="shared" si="18"/>
        <v>44561</v>
      </c>
      <c r="Z27" s="12">
        <f t="shared" si="18"/>
        <v>44926</v>
      </c>
      <c r="AA27" s="12">
        <f t="shared" si="18"/>
        <v>45291</v>
      </c>
      <c r="AB27" s="12">
        <f t="shared" si="18"/>
        <v>45657</v>
      </c>
      <c r="AC27" s="12">
        <f t="shared" si="18"/>
        <v>46022</v>
      </c>
      <c r="AD27" s="19"/>
      <c r="AE27" s="19"/>
      <c r="AF27" s="19"/>
      <c r="AG27" s="19"/>
      <c r="AH27" s="19"/>
      <c r="AI27" s="19"/>
    </row>
    <row r="28" spans="1:35" hidden="1" outlineLevel="1">
      <c r="A28" s="19"/>
      <c r="B28" s="19"/>
      <c r="C28" s="19"/>
      <c r="D28" s="19"/>
      <c r="E28" s="19"/>
      <c r="F28" s="19"/>
      <c r="G28" s="19"/>
      <c r="H28" s="19"/>
      <c r="I28" s="121" t="s">
        <v>148</v>
      </c>
      <c r="J28" s="112"/>
      <c r="K28" s="112"/>
      <c r="L28" s="112"/>
      <c r="M28" s="127"/>
      <c r="N28" s="129"/>
      <c r="O28" s="130"/>
      <c r="P28" s="131"/>
      <c r="Q28" s="187"/>
      <c r="R28" s="187"/>
      <c r="S28" s="187"/>
      <c r="T28" s="187"/>
      <c r="U28" s="188">
        <v>0</v>
      </c>
      <c r="V28" s="188">
        <v>0</v>
      </c>
      <c r="W28" s="188">
        <f t="shared" ref="W28:AA28" si="19">V28+1</f>
        <v>1</v>
      </c>
      <c r="X28" s="188">
        <f t="shared" si="19"/>
        <v>2</v>
      </c>
      <c r="Y28" s="188">
        <f t="shared" si="19"/>
        <v>3</v>
      </c>
      <c r="Z28" s="188">
        <f t="shared" si="19"/>
        <v>4</v>
      </c>
      <c r="AA28" s="188">
        <f t="shared" si="19"/>
        <v>5</v>
      </c>
      <c r="AB28" s="188">
        <f>AA28+1</f>
        <v>6</v>
      </c>
      <c r="AC28" s="188">
        <f>AB28+1</f>
        <v>7</v>
      </c>
      <c r="AD28" s="19"/>
      <c r="AE28" s="19"/>
      <c r="AF28" s="19"/>
      <c r="AG28" s="19"/>
      <c r="AH28" s="19"/>
      <c r="AI28" s="19"/>
    </row>
    <row r="29" spans="1:35" hidden="1" outlineLevel="1">
      <c r="A29" s="19"/>
      <c r="B29" s="19"/>
      <c r="C29" s="19"/>
      <c r="D29" s="19"/>
      <c r="E29" s="19"/>
      <c r="F29" s="19"/>
      <c r="G29" s="19"/>
      <c r="H29" s="19"/>
      <c r="I29" s="121" t="s">
        <v>149</v>
      </c>
      <c r="J29" s="112"/>
      <c r="K29" s="112"/>
      <c r="L29" s="112"/>
      <c r="M29" s="122"/>
      <c r="N29" s="165"/>
      <c r="O29" s="165"/>
      <c r="P29" s="124"/>
      <c r="Q29" s="124"/>
      <c r="R29" s="124"/>
      <c r="S29" s="124"/>
      <c r="T29" s="124"/>
      <c r="U29" s="124"/>
      <c r="V29" s="124"/>
      <c r="W29" s="124">
        <f t="shared" ref="W29:AC29" si="20">W$19/(1+$L$49)^W28</f>
        <v>3.9774898355771744</v>
      </c>
      <c r="X29" s="124">
        <f t="shared" si="20"/>
        <v>13.913672623576664</v>
      </c>
      <c r="Y29" s="124">
        <f t="shared" si="20"/>
        <v>41.723136376343248</v>
      </c>
      <c r="Z29" s="124">
        <f t="shared" si="20"/>
        <v>38.326959562734757</v>
      </c>
      <c r="AA29" s="124">
        <f t="shared" si="20"/>
        <v>38.353627607346716</v>
      </c>
      <c r="AB29" s="124">
        <f t="shared" si="20"/>
        <v>43.280054540693484</v>
      </c>
      <c r="AC29" s="124">
        <f t="shared" si="20"/>
        <v>45.948144717640368</v>
      </c>
      <c r="AD29" s="19"/>
      <c r="AE29" s="19"/>
      <c r="AF29" s="19"/>
      <c r="AG29" s="19"/>
      <c r="AH29" s="19"/>
      <c r="AI29" s="19"/>
    </row>
    <row r="30" spans="1:35" collapsed="1">
      <c r="A30" s="19"/>
      <c r="B30" s="19"/>
      <c r="C30" s="19"/>
      <c r="D30" s="19"/>
      <c r="E30" s="19"/>
      <c r="F30" s="19"/>
      <c r="G30" s="19"/>
      <c r="H30" s="19"/>
      <c r="I30" s="132"/>
      <c r="J30" s="112"/>
      <c r="K30" s="112"/>
      <c r="L30" s="112"/>
      <c r="M30" s="122"/>
      <c r="N30" s="122"/>
      <c r="O30" s="122"/>
      <c r="P30" s="123"/>
      <c r="Q30" s="123"/>
      <c r="R30" s="123"/>
      <c r="S30" s="123"/>
      <c r="T30" s="1174"/>
      <c r="AF30" s="19"/>
    </row>
    <row r="31" spans="1:35">
      <c r="A31" s="19"/>
      <c r="B31" s="19"/>
      <c r="C31" s="19"/>
      <c r="D31" s="19"/>
      <c r="E31" s="19"/>
      <c r="F31" s="19"/>
      <c r="G31" s="19"/>
      <c r="H31" s="19"/>
      <c r="I31" s="132"/>
      <c r="J31" s="112"/>
      <c r="K31" s="112"/>
      <c r="L31" s="112"/>
      <c r="M31" s="122"/>
      <c r="N31" s="122"/>
      <c r="O31" s="122"/>
      <c r="P31" s="123"/>
      <c r="Q31" s="123"/>
      <c r="R31" s="123"/>
      <c r="S31" s="123"/>
      <c r="T31" s="1174"/>
      <c r="AF31" s="19"/>
    </row>
    <row r="32" spans="1:35">
      <c r="A32" s="19"/>
      <c r="B32" s="19"/>
      <c r="C32" s="19"/>
      <c r="D32" s="19"/>
      <c r="E32" s="19"/>
      <c r="F32" s="19"/>
      <c r="G32" s="19"/>
      <c r="H32" s="19"/>
      <c r="I32" s="133" t="s">
        <v>238</v>
      </c>
      <c r="J32" s="134"/>
      <c r="K32" s="134"/>
      <c r="L32" s="135"/>
      <c r="M32" s="112"/>
      <c r="N32" s="130"/>
      <c r="O32" s="112"/>
      <c r="P32" s="123"/>
      <c r="Q32" s="123"/>
      <c r="R32" s="123"/>
      <c r="S32" s="19"/>
      <c r="T32" s="1174"/>
      <c r="AF32" s="19"/>
    </row>
    <row r="33" spans="1:39">
      <c r="A33" s="19"/>
      <c r="B33" s="19"/>
      <c r="C33" s="19"/>
      <c r="D33" s="19"/>
      <c r="E33" s="19"/>
      <c r="F33" s="19"/>
      <c r="G33" s="19"/>
      <c r="H33" s="19"/>
      <c r="I33" s="136" t="s">
        <v>186</v>
      </c>
      <c r="J33" s="137"/>
      <c r="K33" s="137"/>
      <c r="L33" s="251">
        <f>SUM(W29:AC29)</f>
        <v>225.52308526391241</v>
      </c>
      <c r="M33" s="170"/>
      <c r="N33" s="130"/>
      <c r="P33" s="123"/>
      <c r="Q33" s="123"/>
      <c r="R33" s="123"/>
      <c r="S33" s="19"/>
      <c r="T33" s="1174"/>
      <c r="AF33" s="19"/>
    </row>
    <row r="34" spans="1:39">
      <c r="A34" s="19"/>
      <c r="B34" s="19"/>
      <c r="C34" s="19"/>
      <c r="D34" s="19"/>
      <c r="E34" s="19"/>
      <c r="F34" s="19"/>
      <c r="G34" s="19"/>
      <c r="H34" s="19"/>
      <c r="I34" s="136" t="s">
        <v>150</v>
      </c>
      <c r="J34" s="137"/>
      <c r="K34" s="137"/>
      <c r="L34" s="252">
        <f>(($AD$19)/($L$49-$L$50))/(1+$L$49)^$AC$28</f>
        <v>861.79045444796657</v>
      </c>
      <c r="M34" s="112"/>
      <c r="N34" s="130"/>
      <c r="P34" s="19"/>
      <c r="Q34" s="19"/>
      <c r="R34" s="19"/>
      <c r="S34" s="19"/>
      <c r="T34" s="1174"/>
      <c r="AF34" s="19"/>
      <c r="AM34" s="1378"/>
    </row>
    <row r="35" spans="1:39">
      <c r="A35" s="19"/>
      <c r="B35" s="19"/>
      <c r="C35" s="19"/>
      <c r="D35" s="19"/>
      <c r="E35" s="19"/>
      <c r="F35" s="19"/>
      <c r="G35" s="19"/>
      <c r="H35" s="19"/>
      <c r="I35" s="138" t="s">
        <v>151</v>
      </c>
      <c r="J35" s="2"/>
      <c r="K35" s="2"/>
      <c r="L35" s="253">
        <f>L33+L34</f>
        <v>1087.313539711879</v>
      </c>
      <c r="M35" s="112"/>
      <c r="N35" s="130"/>
      <c r="P35" s="19"/>
      <c r="Q35" s="19"/>
      <c r="R35" s="1728"/>
      <c r="S35" s="19"/>
      <c r="T35" s="1907"/>
      <c r="AF35" s="19"/>
      <c r="AM35" s="1378"/>
    </row>
    <row r="36" spans="1:39">
      <c r="A36" s="19"/>
      <c r="B36" s="19"/>
      <c r="C36" s="19"/>
      <c r="D36" s="19"/>
      <c r="E36" s="19"/>
      <c r="F36" s="19"/>
      <c r="G36" s="19"/>
      <c r="H36" s="19"/>
      <c r="I36" s="136" t="s">
        <v>329</v>
      </c>
      <c r="J36" s="137"/>
      <c r="K36" s="137"/>
      <c r="L36" s="251">
        <f>DCF!L35</f>
        <v>30.736999999999998</v>
      </c>
      <c r="M36" s="112"/>
      <c r="N36" s="130"/>
      <c r="P36" s="19"/>
      <c r="Q36" s="19"/>
      <c r="R36" s="19"/>
      <c r="S36" s="19"/>
      <c r="T36" s="1174"/>
      <c r="AM36" s="1378"/>
    </row>
    <row r="37" spans="1:39">
      <c r="A37" s="19"/>
      <c r="B37" s="19"/>
      <c r="C37" s="19"/>
      <c r="D37" s="19"/>
      <c r="E37" s="19"/>
      <c r="F37" s="19"/>
      <c r="G37" s="19"/>
      <c r="H37" s="19"/>
      <c r="I37" s="136" t="s">
        <v>330</v>
      </c>
      <c r="J37" s="137"/>
      <c r="K37" s="137"/>
      <c r="L37" s="251">
        <f>DCF!L36</f>
        <v>988.91721202096483</v>
      </c>
      <c r="M37" s="112"/>
      <c r="N37" s="130"/>
      <c r="P37" s="19"/>
      <c r="Q37" s="19"/>
      <c r="R37" s="19"/>
      <c r="S37" s="19"/>
      <c r="T37" s="1174"/>
      <c r="AM37" s="1378"/>
    </row>
    <row r="38" spans="1:39">
      <c r="A38" s="19"/>
      <c r="B38" s="19"/>
      <c r="C38" s="19"/>
      <c r="D38" s="19"/>
      <c r="E38" s="19"/>
      <c r="F38" s="19"/>
      <c r="G38" s="19"/>
      <c r="H38" s="19"/>
      <c r="I38" s="138" t="s">
        <v>152</v>
      </c>
      <c r="J38" s="2"/>
      <c r="K38" s="2"/>
      <c r="L38" s="253">
        <f>L35-L36+L37</f>
        <v>2045.4937517328437</v>
      </c>
      <c r="M38" s="112"/>
      <c r="N38" s="130"/>
      <c r="P38" s="19"/>
      <c r="Q38" s="19"/>
      <c r="R38" s="19"/>
      <c r="S38" s="19"/>
      <c r="T38" s="1174"/>
      <c r="AM38" s="1378"/>
    </row>
    <row r="39" spans="1:39">
      <c r="A39" s="19"/>
      <c r="B39" s="19"/>
      <c r="C39" s="19"/>
      <c r="D39" s="19"/>
      <c r="E39" s="19"/>
      <c r="F39" s="19"/>
      <c r="G39" s="19"/>
      <c r="H39" s="19"/>
      <c r="I39" s="136" t="s">
        <v>153</v>
      </c>
      <c r="J39" s="137"/>
      <c r="K39" s="137"/>
      <c r="L39" s="258">
        <f>DCF!L38</f>
        <v>93.86399999999999</v>
      </c>
      <c r="M39" s="112"/>
      <c r="N39" s="130"/>
      <c r="P39" s="19"/>
      <c r="Q39" s="19"/>
      <c r="R39" s="19"/>
      <c r="S39" s="19"/>
      <c r="T39" s="1174"/>
      <c r="AM39" s="1378"/>
    </row>
    <row r="40" spans="1:39">
      <c r="A40" s="19"/>
      <c r="B40" s="19"/>
      <c r="C40" s="19"/>
      <c r="D40" s="19"/>
      <c r="E40" s="19"/>
      <c r="F40" s="19"/>
      <c r="G40" s="19"/>
      <c r="H40" s="19"/>
      <c r="I40" s="138" t="s">
        <v>154</v>
      </c>
      <c r="J40" s="2"/>
      <c r="K40" s="2"/>
      <c r="L40" s="230">
        <f>ROUND(L38/L39,0)</f>
        <v>22</v>
      </c>
      <c r="M40" s="112"/>
      <c r="N40" s="130"/>
      <c r="P40" s="19"/>
      <c r="Q40" s="19"/>
      <c r="R40" s="19"/>
      <c r="S40" s="19"/>
      <c r="T40" s="1174"/>
      <c r="AM40" s="1378"/>
    </row>
    <row r="41" spans="1:39">
      <c r="A41" s="19"/>
      <c r="B41" s="19"/>
      <c r="C41" s="19"/>
      <c r="D41" s="19"/>
      <c r="E41" s="19"/>
      <c r="F41" s="19"/>
      <c r="G41" s="19"/>
      <c r="H41" s="19"/>
      <c r="I41" s="139" t="s">
        <v>155</v>
      </c>
      <c r="J41" s="140"/>
      <c r="K41" s="140"/>
      <c r="L41" s="17">
        <f>ROUND(((AD19*(1+L50))/(L49-L50))/AD14,1)</f>
        <v>3.8</v>
      </c>
      <c r="M41" s="112"/>
      <c r="N41" s="130"/>
      <c r="P41" s="19"/>
      <c r="Q41" s="19"/>
      <c r="R41" s="19"/>
      <c r="S41" s="19"/>
      <c r="T41" s="1174"/>
      <c r="AM41" s="1378"/>
    </row>
    <row r="42" spans="1:39">
      <c r="A42" s="19"/>
      <c r="B42" s="19"/>
      <c r="C42" s="19"/>
      <c r="D42" s="19"/>
      <c r="E42" s="19"/>
      <c r="F42" s="19"/>
      <c r="G42" s="19"/>
      <c r="H42" s="19"/>
      <c r="I42" s="130"/>
      <c r="J42" s="130"/>
      <c r="K42" s="130"/>
      <c r="L42" s="130"/>
      <c r="M42" s="112"/>
      <c r="N42" s="130"/>
      <c r="P42" s="19"/>
      <c r="Q42" s="19"/>
      <c r="R42" s="19"/>
      <c r="S42" s="19"/>
      <c r="T42" s="1174"/>
      <c r="AM42" s="1378"/>
    </row>
    <row r="43" spans="1:39">
      <c r="A43" s="19"/>
      <c r="B43" s="19"/>
      <c r="C43" s="19"/>
      <c r="D43" s="19"/>
      <c r="E43" s="19"/>
      <c r="F43" s="19"/>
      <c r="G43" s="19"/>
      <c r="H43" s="19"/>
      <c r="I43" s="133" t="s">
        <v>488</v>
      </c>
      <c r="J43" s="141"/>
      <c r="K43" s="141"/>
      <c r="L43" s="142"/>
      <c r="M43" s="112"/>
      <c r="N43" s="130"/>
      <c r="O43" s="112"/>
      <c r="P43" s="19"/>
      <c r="Q43" s="19"/>
      <c r="R43" s="19"/>
      <c r="S43" s="19"/>
      <c r="T43" s="1174"/>
    </row>
    <row r="44" spans="1:39">
      <c r="A44" s="19"/>
      <c r="B44" s="19"/>
      <c r="C44" s="19"/>
      <c r="D44" s="19"/>
      <c r="E44" s="19"/>
      <c r="F44" s="19"/>
      <c r="G44" s="19"/>
      <c r="H44" s="19"/>
      <c r="I44" s="143" t="s">
        <v>156</v>
      </c>
      <c r="J44" s="144"/>
      <c r="K44" s="144"/>
      <c r="L44" s="246" t="s">
        <v>320</v>
      </c>
      <c r="M44" s="112"/>
      <c r="N44" s="130"/>
      <c r="O44" s="112"/>
      <c r="P44" s="19"/>
      <c r="Q44" s="19"/>
      <c r="R44" s="19"/>
      <c r="S44" s="19"/>
      <c r="T44" s="1174"/>
    </row>
    <row r="45" spans="1:39" hidden="1" outlineLevel="1">
      <c r="A45" s="19"/>
      <c r="B45" s="19"/>
      <c r="C45" s="19"/>
      <c r="D45" s="19"/>
      <c r="E45" s="19"/>
      <c r="F45" s="19"/>
      <c r="G45" s="19"/>
      <c r="H45" s="19"/>
      <c r="I45" s="136" t="s">
        <v>157</v>
      </c>
      <c r="J45" s="137"/>
      <c r="K45" s="137"/>
      <c r="L45" s="2127">
        <f>DCF!L44</f>
        <v>7.9649999999999999E-2</v>
      </c>
      <c r="M45" s="112"/>
      <c r="N45" s="130"/>
      <c r="O45" s="112"/>
      <c r="P45" s="19"/>
      <c r="Q45" s="19"/>
      <c r="R45" s="19"/>
      <c r="S45" s="19"/>
      <c r="T45" s="1174"/>
    </row>
    <row r="46" spans="1:39" hidden="1" outlineLevel="1">
      <c r="A46" s="19"/>
      <c r="B46" s="19"/>
      <c r="C46" s="19"/>
      <c r="D46" s="19"/>
      <c r="E46" s="19"/>
      <c r="F46" s="19"/>
      <c r="G46" s="19"/>
      <c r="H46" s="19"/>
      <c r="I46" s="136" t="s">
        <v>158</v>
      </c>
      <c r="J46" s="137"/>
      <c r="K46" s="137"/>
      <c r="L46" s="1508">
        <v>0</v>
      </c>
      <c r="M46" s="112"/>
      <c r="N46" s="130"/>
      <c r="O46" s="112"/>
      <c r="P46" s="19"/>
      <c r="Q46" s="19"/>
      <c r="R46" s="19"/>
      <c r="S46" s="19"/>
      <c r="T46" s="1174"/>
    </row>
    <row r="47" spans="1:39" hidden="1" outlineLevel="1">
      <c r="A47" s="19"/>
      <c r="B47" s="19"/>
      <c r="C47" s="19"/>
      <c r="D47" s="19"/>
      <c r="E47" s="19"/>
      <c r="F47" s="19"/>
      <c r="G47" s="19"/>
      <c r="H47" s="19"/>
      <c r="I47" s="136" t="s">
        <v>159</v>
      </c>
      <c r="J47" s="137"/>
      <c r="K47" s="137"/>
      <c r="L47" s="1508">
        <v>0.35</v>
      </c>
      <c r="M47" s="112"/>
      <c r="N47" s="130"/>
      <c r="O47" s="112"/>
      <c r="P47" s="19"/>
      <c r="Q47" s="19"/>
      <c r="R47" s="19"/>
      <c r="S47" s="19"/>
      <c r="T47" s="1174"/>
    </row>
    <row r="48" spans="1:39" hidden="1" outlineLevel="1">
      <c r="A48" s="19"/>
      <c r="B48" s="19"/>
      <c r="C48" s="19"/>
      <c r="D48" s="19"/>
      <c r="E48" s="19"/>
      <c r="F48" s="19"/>
      <c r="G48" s="19"/>
      <c r="H48" s="19"/>
      <c r="I48" s="136" t="s">
        <v>160</v>
      </c>
      <c r="J48" s="137"/>
      <c r="K48" s="137"/>
      <c r="L48" s="1508">
        <v>0</v>
      </c>
      <c r="M48" s="112"/>
      <c r="N48" s="130"/>
      <c r="O48" s="112"/>
      <c r="P48" s="19"/>
      <c r="Q48" s="19"/>
      <c r="R48" s="19"/>
      <c r="S48" s="19"/>
      <c r="T48" s="1174"/>
    </row>
    <row r="49" spans="1:60" collapsed="1">
      <c r="A49" s="19"/>
      <c r="B49" s="19"/>
      <c r="C49" s="19"/>
      <c r="D49" s="19"/>
      <c r="E49" s="19"/>
      <c r="F49" s="19"/>
      <c r="G49" s="19"/>
      <c r="H49" s="19"/>
      <c r="I49" s="145" t="s">
        <v>161</v>
      </c>
      <c r="J49" s="146"/>
      <c r="K49" s="146"/>
      <c r="L49" s="147">
        <f>+(L45*(1-L48))+((1-L47)*L46*L48)</f>
        <v>7.9649999999999999E-2</v>
      </c>
      <c r="M49" s="112"/>
      <c r="N49" s="130"/>
      <c r="O49" s="112"/>
      <c r="P49" s="19"/>
      <c r="Q49" s="19"/>
      <c r="R49" s="19"/>
      <c r="S49" s="19"/>
      <c r="T49" s="1174"/>
    </row>
    <row r="50" spans="1:60">
      <c r="A50" s="19"/>
      <c r="B50" s="19"/>
      <c r="C50" s="19"/>
      <c r="D50" s="19"/>
      <c r="E50" s="19"/>
      <c r="F50" s="19"/>
      <c r="G50" s="19"/>
      <c r="H50" s="19"/>
      <c r="I50" s="139" t="s">
        <v>162</v>
      </c>
      <c r="J50" s="140"/>
      <c r="K50" s="140"/>
      <c r="L50" s="2404">
        <f>DCF!L49</f>
        <v>2.5000000000000001E-2</v>
      </c>
      <c r="M50" s="112"/>
      <c r="N50" s="130"/>
      <c r="O50" s="112"/>
      <c r="P50" s="112"/>
      <c r="Q50" s="112"/>
      <c r="R50" s="112"/>
      <c r="S50" s="112"/>
      <c r="T50" s="112"/>
      <c r="U50" s="19"/>
      <c r="V50" s="19"/>
      <c r="W50" s="19"/>
      <c r="X50" s="19"/>
      <c r="Y50" s="19"/>
      <c r="AF50" s="19"/>
    </row>
    <row r="51" spans="1:60">
      <c r="A51" s="19"/>
      <c r="B51" s="19"/>
      <c r="C51" s="19"/>
      <c r="D51" s="19"/>
      <c r="E51" s="19"/>
      <c r="F51" s="19"/>
      <c r="G51" s="19"/>
      <c r="H51" s="19"/>
      <c r="I51" s="112"/>
      <c r="J51" s="112"/>
      <c r="K51" s="112"/>
      <c r="L51" s="112"/>
      <c r="M51" s="112"/>
      <c r="N51" s="112"/>
      <c r="O51" s="112"/>
      <c r="P51" s="112"/>
      <c r="Q51" s="112"/>
      <c r="R51" s="112"/>
      <c r="S51" s="112"/>
      <c r="T51" s="112"/>
      <c r="U51" s="19"/>
      <c r="V51" s="19"/>
      <c r="W51" s="19"/>
      <c r="X51" s="19"/>
      <c r="Y51" s="19"/>
      <c r="AF51" s="19"/>
    </row>
    <row r="52" spans="1:60">
      <c r="A52" s="19"/>
      <c r="B52" s="19"/>
      <c r="C52" s="19"/>
      <c r="D52" s="19"/>
      <c r="E52" s="19"/>
      <c r="F52" s="19"/>
      <c r="G52" s="19"/>
      <c r="H52" s="19"/>
      <c r="I52" s="19"/>
      <c r="J52" s="19"/>
      <c r="K52" s="19"/>
      <c r="L52" s="19"/>
      <c r="M52" s="112"/>
      <c r="N52" s="2"/>
      <c r="O52" s="112"/>
      <c r="P52" s="112"/>
      <c r="Q52" s="112"/>
      <c r="R52" s="112"/>
      <c r="S52" s="1380"/>
      <c r="T52" s="2887"/>
      <c r="U52" s="2888"/>
      <c r="V52" s="2888"/>
      <c r="W52" s="1378"/>
      <c r="X52" s="1378"/>
      <c r="Y52" s="19"/>
      <c r="AF52" s="19"/>
    </row>
    <row r="53" spans="1:60">
      <c r="A53" s="19"/>
      <c r="B53" s="19"/>
      <c r="C53" s="19"/>
      <c r="D53" s="19"/>
      <c r="E53" s="19"/>
      <c r="F53" s="19"/>
      <c r="G53" s="19"/>
      <c r="H53" s="19"/>
      <c r="I53" s="19"/>
      <c r="J53" s="19"/>
      <c r="K53" s="19"/>
      <c r="L53" s="19"/>
      <c r="M53" s="112"/>
      <c r="N53" s="2"/>
      <c r="O53" s="112"/>
      <c r="P53" s="112"/>
      <c r="Q53" s="112"/>
      <c r="R53" s="112"/>
      <c r="S53" s="1380"/>
      <c r="T53" s="1378"/>
      <c r="U53" s="1378"/>
      <c r="V53" s="1378"/>
      <c r="W53" s="1378"/>
      <c r="X53" s="1378"/>
      <c r="Y53" s="19"/>
      <c r="AF53" s="19"/>
    </row>
    <row r="54" spans="1:60">
      <c r="A54" s="19"/>
      <c r="B54" s="19"/>
      <c r="C54" s="19"/>
      <c r="D54" s="19"/>
      <c r="E54" s="19"/>
      <c r="F54" s="19"/>
      <c r="G54" s="19"/>
      <c r="H54" s="19"/>
      <c r="I54" s="36" t="s">
        <v>608</v>
      </c>
      <c r="J54" s="19"/>
      <c r="K54" s="19"/>
      <c r="L54" s="19"/>
      <c r="M54" s="112"/>
      <c r="N54" s="2"/>
      <c r="O54" s="112"/>
      <c r="P54" s="112"/>
      <c r="Q54" s="112"/>
      <c r="R54" s="112"/>
      <c r="S54" s="1380"/>
      <c r="T54" s="2889"/>
      <c r="U54" s="2889"/>
      <c r="V54" s="2889"/>
      <c r="W54" s="1378"/>
      <c r="X54" s="1378"/>
      <c r="Y54" s="19"/>
      <c r="AF54" s="19"/>
    </row>
    <row r="55" spans="1:60" ht="13.5">
      <c r="A55" s="19"/>
      <c r="B55" s="19"/>
      <c r="C55" s="19"/>
      <c r="D55" s="19"/>
      <c r="E55" s="19"/>
      <c r="F55" s="19"/>
      <c r="G55" s="19"/>
      <c r="H55" s="19"/>
      <c r="I55" s="36" t="s">
        <v>606</v>
      </c>
      <c r="J55" s="19"/>
      <c r="K55" s="19"/>
      <c r="L55" s="19"/>
      <c r="M55" s="112"/>
      <c r="N55" s="2"/>
      <c r="O55" s="112"/>
      <c r="P55" s="112"/>
      <c r="Q55" s="112"/>
      <c r="R55" s="112"/>
      <c r="S55" s="1380"/>
      <c r="T55" s="2890"/>
      <c r="U55" s="2890"/>
      <c r="V55" s="2890"/>
      <c r="W55" s="1378"/>
      <c r="X55" s="1378"/>
      <c r="Y55" s="19"/>
      <c r="AF55" s="19"/>
    </row>
    <row r="56" spans="1:60">
      <c r="A56" s="19"/>
      <c r="B56" s="19"/>
      <c r="C56" s="19"/>
      <c r="D56" s="19"/>
      <c r="E56" s="19"/>
      <c r="F56" s="19"/>
      <c r="G56" s="19"/>
      <c r="H56" s="19"/>
      <c r="I56" s="29" t="s">
        <v>460</v>
      </c>
      <c r="J56" s="29"/>
      <c r="K56" s="29"/>
      <c r="L56" s="29"/>
      <c r="M56" s="4"/>
      <c r="N56" s="2"/>
      <c r="O56" s="4"/>
      <c r="P56" s="4"/>
      <c r="Q56" s="4"/>
      <c r="R56" s="4"/>
      <c r="S56" s="2891"/>
      <c r="T56" s="2892"/>
      <c r="U56" s="2892"/>
      <c r="V56" s="2892"/>
      <c r="W56" s="1378"/>
      <c r="X56" s="1378"/>
      <c r="Y56" s="19"/>
      <c r="AF56" s="19"/>
    </row>
    <row r="57" spans="1:60">
      <c r="A57" s="19"/>
      <c r="B57" s="19"/>
      <c r="C57" s="19"/>
      <c r="D57" s="19"/>
      <c r="E57" s="19"/>
      <c r="F57" s="19"/>
      <c r="G57" s="19"/>
      <c r="H57" s="19"/>
      <c r="I57" s="19"/>
      <c r="J57" s="19"/>
      <c r="K57" s="19"/>
      <c r="L57" s="19"/>
      <c r="M57" s="112"/>
      <c r="N57" s="2"/>
      <c r="O57" s="112"/>
      <c r="P57" s="112"/>
      <c r="Q57" s="112"/>
      <c r="R57" s="112"/>
      <c r="S57" s="1380"/>
      <c r="T57" s="1380"/>
      <c r="U57" s="1378"/>
      <c r="V57" s="1378"/>
      <c r="W57" s="1378"/>
      <c r="X57" s="1378"/>
      <c r="Y57" s="19"/>
      <c r="AF57" s="19"/>
    </row>
    <row r="58" spans="1:60">
      <c r="A58" s="19"/>
      <c r="B58" s="19"/>
      <c r="C58" s="19"/>
      <c r="D58" s="19"/>
      <c r="E58" s="19"/>
      <c r="F58" s="19"/>
      <c r="G58" s="19"/>
      <c r="H58" s="19"/>
      <c r="I58" s="19"/>
      <c r="J58" s="19"/>
      <c r="K58" s="19"/>
      <c r="L58" s="19"/>
      <c r="M58" s="112"/>
      <c r="N58" s="2"/>
      <c r="O58" s="112"/>
      <c r="P58" s="112"/>
      <c r="Q58" s="112"/>
      <c r="R58" s="112"/>
      <c r="S58" s="112"/>
      <c r="T58" s="112"/>
      <c r="U58" s="19"/>
      <c r="V58" s="19"/>
      <c r="W58" s="19"/>
      <c r="X58" s="19"/>
      <c r="Y58" s="19"/>
      <c r="AF58" s="19"/>
    </row>
    <row r="59" spans="1:60">
      <c r="A59" s="19"/>
      <c r="B59" s="19"/>
      <c r="C59" s="19"/>
      <c r="D59" s="19"/>
      <c r="E59" s="19"/>
      <c r="F59" s="19"/>
      <c r="G59" s="19"/>
      <c r="H59" s="19"/>
      <c r="I59" s="19"/>
      <c r="J59" s="19"/>
      <c r="K59" s="19"/>
      <c r="L59" s="19"/>
      <c r="M59" s="112"/>
      <c r="N59" s="2"/>
      <c r="O59" s="112"/>
      <c r="P59" s="112"/>
      <c r="Q59" s="112"/>
      <c r="R59" s="112"/>
      <c r="S59" s="112"/>
      <c r="T59" s="112"/>
      <c r="U59" s="19"/>
      <c r="V59" s="19"/>
      <c r="W59" s="19"/>
      <c r="X59" s="19"/>
      <c r="Y59" s="19"/>
      <c r="AF59" s="19"/>
    </row>
    <row r="60" spans="1:60">
      <c r="A60" s="19"/>
      <c r="B60" s="19"/>
      <c r="C60" s="19"/>
      <c r="D60" s="19"/>
      <c r="E60" s="19"/>
      <c r="F60" s="19"/>
      <c r="G60" s="19"/>
      <c r="H60" s="19"/>
      <c r="I60" s="19"/>
      <c r="J60" s="19"/>
      <c r="K60" s="19"/>
      <c r="L60" s="19"/>
      <c r="M60" s="112"/>
      <c r="N60" s="2"/>
      <c r="O60" s="112"/>
      <c r="P60" s="112"/>
      <c r="Q60" s="112"/>
      <c r="R60" s="112"/>
      <c r="S60" s="112"/>
      <c r="T60" s="112"/>
      <c r="U60" s="19"/>
      <c r="V60" s="19"/>
      <c r="W60" s="19"/>
      <c r="X60" s="19"/>
      <c r="Y60" s="19"/>
      <c r="AF60" s="19"/>
    </row>
    <row r="61" spans="1:60">
      <c r="A61" s="19"/>
      <c r="B61" s="19"/>
      <c r="C61" s="19"/>
      <c r="D61" s="19"/>
      <c r="E61" s="19"/>
      <c r="F61" s="19"/>
      <c r="G61" s="19"/>
      <c r="H61" s="19"/>
      <c r="I61" s="19"/>
      <c r="J61" s="19"/>
      <c r="K61" s="19"/>
      <c r="L61" s="19"/>
      <c r="M61" s="112"/>
      <c r="N61" s="2"/>
      <c r="O61" s="112"/>
      <c r="P61" s="112"/>
      <c r="Q61" s="112"/>
      <c r="R61" s="112"/>
      <c r="S61" s="112"/>
      <c r="T61" s="112"/>
      <c r="U61" s="19"/>
      <c r="V61" s="19"/>
      <c r="W61" s="19"/>
      <c r="X61" s="19"/>
      <c r="Y61" s="19"/>
      <c r="AF61" s="19"/>
    </row>
    <row r="62" spans="1:60">
      <c r="A62" s="19"/>
      <c r="B62" s="19"/>
      <c r="C62" s="19"/>
      <c r="D62" s="19"/>
      <c r="E62" s="19"/>
      <c r="F62" s="19"/>
      <c r="G62" s="19"/>
      <c r="H62" s="19"/>
      <c r="I62" s="19"/>
      <c r="J62" s="19"/>
      <c r="K62" s="19"/>
      <c r="L62" s="19"/>
      <c r="M62" s="112"/>
      <c r="N62" s="2"/>
      <c r="O62" s="112"/>
      <c r="P62" s="112"/>
      <c r="Q62" s="112"/>
      <c r="R62" s="112"/>
      <c r="S62" s="112"/>
      <c r="T62" s="112"/>
      <c r="U62" s="19"/>
      <c r="V62" s="19"/>
      <c r="W62" s="19"/>
      <c r="X62" s="19"/>
      <c r="Y62" s="19"/>
      <c r="AF62" s="19"/>
    </row>
    <row r="63" spans="1:60">
      <c r="A63" s="19"/>
      <c r="B63" s="19"/>
      <c r="C63" s="19"/>
      <c r="D63" s="19"/>
      <c r="E63" s="19"/>
      <c r="F63" s="19"/>
      <c r="G63" s="19"/>
      <c r="H63" s="19"/>
      <c r="I63" s="19"/>
      <c r="J63" s="19"/>
      <c r="K63" s="19"/>
      <c r="L63" s="19"/>
      <c r="M63" s="112"/>
      <c r="N63" s="2"/>
      <c r="O63" s="112"/>
      <c r="P63" s="112"/>
      <c r="Q63" s="112"/>
      <c r="R63" s="112"/>
      <c r="S63" s="112"/>
      <c r="T63" s="112"/>
      <c r="U63" s="19"/>
      <c r="V63" s="19"/>
      <c r="W63" s="19"/>
      <c r="X63" s="19"/>
      <c r="Y63" s="19"/>
      <c r="AF63" s="19"/>
    </row>
    <row r="64" spans="1:60" s="83" customFormat="1" ht="11.25" hidden="1" customHeight="1" outlineLevel="1">
      <c r="A64" s="36"/>
      <c r="B64" s="36"/>
      <c r="C64" s="36"/>
      <c r="D64" s="36"/>
      <c r="E64" s="36"/>
      <c r="F64" s="36"/>
      <c r="G64" s="36"/>
      <c r="H64" s="36"/>
      <c r="I64" s="60" t="s">
        <v>323</v>
      </c>
      <c r="J64" s="60"/>
      <c r="K64" s="60"/>
      <c r="L64" s="60"/>
      <c r="M64" s="69"/>
      <c r="N64" s="178"/>
      <c r="O64" s="178"/>
      <c r="P64" s="178"/>
      <c r="Q64" s="178"/>
      <c r="R64" s="178"/>
      <c r="S64" s="178"/>
      <c r="T64" s="178"/>
      <c r="U64" s="178"/>
      <c r="V64" s="178"/>
      <c r="W64" s="178"/>
      <c r="X64" s="178"/>
      <c r="Y64" s="69"/>
      <c r="Z64" s="69"/>
      <c r="AA64" s="69"/>
      <c r="AB64" s="69"/>
      <c r="AC64" s="69"/>
      <c r="AD64" s="69"/>
      <c r="AE64" s="68"/>
      <c r="AF64" s="68"/>
      <c r="AG64" s="68"/>
      <c r="AH64" s="68"/>
      <c r="AI64" s="68"/>
      <c r="AJ64" s="68"/>
      <c r="AK64" s="68"/>
      <c r="AL64" s="68"/>
      <c r="AM64" s="68"/>
      <c r="AN64" s="68"/>
      <c r="AO64" s="68"/>
      <c r="AP64" s="68"/>
      <c r="AQ64" s="68"/>
      <c r="AR64" s="68"/>
      <c r="AS64" s="68"/>
      <c r="AT64" s="68"/>
      <c r="AU64" s="68"/>
      <c r="AV64" s="68"/>
      <c r="AW64" s="68"/>
      <c r="AX64" s="68"/>
      <c r="AY64" s="68"/>
      <c r="AZ64" s="68"/>
      <c r="BA64" s="68"/>
      <c r="BB64" s="68"/>
      <c r="BC64" s="68"/>
      <c r="BD64" s="68"/>
      <c r="BE64" s="68"/>
      <c r="BF64" s="68"/>
      <c r="BG64" s="68"/>
      <c r="BH64" s="68"/>
    </row>
    <row r="65" spans="1:39" hidden="1" outlineLevel="1">
      <c r="A65" s="19"/>
      <c r="B65" s="19"/>
      <c r="C65" s="19"/>
      <c r="D65" s="19"/>
      <c r="E65" s="19"/>
      <c r="F65" s="19"/>
      <c r="G65" s="19"/>
      <c r="H65" s="19"/>
      <c r="I65" s="19" t="s">
        <v>313</v>
      </c>
      <c r="J65" s="19"/>
      <c r="K65" s="19"/>
      <c r="L65" s="19"/>
      <c r="M65" s="113"/>
      <c r="N65" s="113"/>
      <c r="O65" s="113"/>
      <c r="P65" s="113">
        <f>Model!BM62</f>
        <v>-18.992000000000026</v>
      </c>
      <c r="Q65" s="113">
        <f>Model!BN62</f>
        <v>-9.2300000000000075</v>
      </c>
      <c r="R65" s="113">
        <f>Model!BO62</f>
        <v>11.279999999999969</v>
      </c>
      <c r="S65" s="113">
        <f>Model!BP62</f>
        <v>-51.949000000000034</v>
      </c>
      <c r="T65" s="113">
        <f>Model!BQ62</f>
        <v>-3.2850000000000419</v>
      </c>
      <c r="U65" s="113">
        <f>Model!BR62</f>
        <v>184.34900000000002</v>
      </c>
      <c r="V65" s="113">
        <f>Model!BS62</f>
        <v>29.409490581603738</v>
      </c>
      <c r="W65" s="113">
        <f>Model!BT62</f>
        <v>77.331941320645015</v>
      </c>
      <c r="X65" s="113">
        <f>Model!BU62</f>
        <v>109.26035452005051</v>
      </c>
      <c r="Y65" s="113">
        <f>Model!BV62</f>
        <v>152.32190715071235</v>
      </c>
      <c r="Z65" s="113">
        <f>Model!BW62</f>
        <v>202.64870250175323</v>
      </c>
      <c r="AA65" s="113">
        <f>Model!BX62</f>
        <v>254.52709289141382</v>
      </c>
      <c r="AB65" s="113">
        <f>Model!BY62</f>
        <v>308.10200434802846</v>
      </c>
      <c r="AC65" s="113">
        <f>Model!BZ62</f>
        <v>364.83096408155268</v>
      </c>
      <c r="AD65" s="2"/>
      <c r="AE65" s="239"/>
      <c r="AF65" s="19"/>
    </row>
    <row r="66" spans="1:39" hidden="1" outlineLevel="1">
      <c r="A66" s="19"/>
      <c r="B66" s="19"/>
      <c r="C66" s="19"/>
      <c r="D66" s="19"/>
      <c r="E66" s="19"/>
      <c r="F66" s="19"/>
      <c r="G66" s="19"/>
      <c r="H66" s="19"/>
      <c r="I66" s="19" t="s">
        <v>310</v>
      </c>
      <c r="J66" s="19"/>
      <c r="K66" s="19"/>
      <c r="L66" s="19"/>
      <c r="M66" s="238"/>
      <c r="N66" s="238"/>
      <c r="O66" s="238"/>
      <c r="P66" s="238">
        <v>28</v>
      </c>
      <c r="Q66" s="238">
        <v>49.8</v>
      </c>
      <c r="R66" s="238">
        <v>113.3</v>
      </c>
      <c r="S66" s="238">
        <v>166.7</v>
      </c>
      <c r="T66" s="2146">
        <v>171</v>
      </c>
      <c r="U66" s="113">
        <f t="shared" ref="U66:AC66" si="21">T68</f>
        <v>171</v>
      </c>
      <c r="V66" s="113">
        <f t="shared" si="21"/>
        <v>0</v>
      </c>
      <c r="W66" s="113">
        <f t="shared" si="21"/>
        <v>0</v>
      </c>
      <c r="X66" s="113">
        <f t="shared" si="21"/>
        <v>0</v>
      </c>
      <c r="Y66" s="113">
        <f t="shared" si="21"/>
        <v>0</v>
      </c>
      <c r="Z66" s="113">
        <f t="shared" si="21"/>
        <v>0</v>
      </c>
      <c r="AA66" s="113">
        <f t="shared" si="21"/>
        <v>0</v>
      </c>
      <c r="AB66" s="113">
        <f t="shared" si="21"/>
        <v>0</v>
      </c>
      <c r="AC66" s="113">
        <f t="shared" si="21"/>
        <v>0</v>
      </c>
      <c r="AD66" s="179"/>
      <c r="AE66" s="240"/>
      <c r="AF66" s="19"/>
    </row>
    <row r="67" spans="1:39" hidden="1" outlineLevel="1">
      <c r="A67" s="19"/>
      <c r="B67" s="19"/>
      <c r="C67" s="19"/>
      <c r="D67" s="19"/>
      <c r="E67" s="19"/>
      <c r="F67" s="19"/>
      <c r="G67" s="19"/>
      <c r="H67" s="19"/>
      <c r="I67" s="19" t="s">
        <v>311</v>
      </c>
      <c r="J67" s="19"/>
      <c r="K67" s="19"/>
      <c r="L67" s="19"/>
      <c r="M67" s="113"/>
      <c r="N67" s="113"/>
      <c r="O67" s="113"/>
      <c r="P67" s="113">
        <f t="shared" ref="P67:X67" si="22">(IF(P65&gt;0,IF(P66&gt;P65,P65,P66),0))</f>
        <v>0</v>
      </c>
      <c r="Q67" s="113">
        <f t="shared" si="22"/>
        <v>0</v>
      </c>
      <c r="R67" s="113">
        <f t="shared" si="22"/>
        <v>11.279999999999969</v>
      </c>
      <c r="S67" s="113">
        <f t="shared" si="22"/>
        <v>0</v>
      </c>
      <c r="T67" s="113">
        <f t="shared" si="22"/>
        <v>0</v>
      </c>
      <c r="U67" s="113">
        <f t="shared" si="22"/>
        <v>171</v>
      </c>
      <c r="V67" s="113">
        <f t="shared" si="22"/>
        <v>0</v>
      </c>
      <c r="W67" s="113">
        <f t="shared" si="22"/>
        <v>0</v>
      </c>
      <c r="X67" s="113">
        <f t="shared" si="22"/>
        <v>0</v>
      </c>
      <c r="Y67" s="113">
        <f>(IF(Y65&gt;0,IF(Y66&gt;Y65,Y65,Y66),0))</f>
        <v>0</v>
      </c>
      <c r="Z67" s="113">
        <f>(IF(Z65&gt;0,IF(Z66&gt;Z65,Z65,Z66),0))</f>
        <v>0</v>
      </c>
      <c r="AA67" s="113">
        <f>(IF(AA65&gt;0,IF(AA66&gt;AA65,AA65,AA66),0))</f>
        <v>0</v>
      </c>
      <c r="AB67" s="113">
        <f>(IF(AB65&gt;0,IF(AB66&gt;AB65,AB65,AB66),0))</f>
        <v>0</v>
      </c>
      <c r="AC67" s="113">
        <f>(IF(AC65&gt;0,IF(AC66&gt;AC65,AC65,AC66),0))</f>
        <v>0</v>
      </c>
      <c r="AD67" s="179"/>
      <c r="AE67" s="240"/>
      <c r="AF67" s="19"/>
    </row>
    <row r="68" spans="1:39" hidden="1" outlineLevel="1">
      <c r="A68" s="19"/>
      <c r="B68" s="19"/>
      <c r="C68" s="19"/>
      <c r="D68" s="19"/>
      <c r="E68" s="19"/>
      <c r="F68" s="19"/>
      <c r="G68" s="19"/>
      <c r="H68" s="19"/>
      <c r="I68" s="19" t="s">
        <v>312</v>
      </c>
      <c r="J68" s="19"/>
      <c r="K68" s="19"/>
      <c r="L68" s="19"/>
      <c r="M68" s="113"/>
      <c r="N68" s="113"/>
      <c r="O68" s="113"/>
      <c r="P68" s="113">
        <f t="shared" ref="P68:X68" si="23">P66-P67</f>
        <v>28</v>
      </c>
      <c r="Q68" s="113">
        <f t="shared" si="23"/>
        <v>49.8</v>
      </c>
      <c r="R68" s="113">
        <f t="shared" si="23"/>
        <v>102.02000000000002</v>
      </c>
      <c r="S68" s="113">
        <f t="shared" si="23"/>
        <v>166.7</v>
      </c>
      <c r="T68" s="113">
        <f t="shared" si="23"/>
        <v>171</v>
      </c>
      <c r="U68" s="113">
        <f t="shared" si="23"/>
        <v>0</v>
      </c>
      <c r="V68" s="113">
        <f t="shared" si="23"/>
        <v>0</v>
      </c>
      <c r="W68" s="113">
        <f t="shared" si="23"/>
        <v>0</v>
      </c>
      <c r="X68" s="113">
        <f t="shared" si="23"/>
        <v>0</v>
      </c>
      <c r="Y68" s="113">
        <f>Y66-Y67</f>
        <v>0</v>
      </c>
      <c r="Z68" s="113">
        <f>Z66-Z67</f>
        <v>0</v>
      </c>
      <c r="AA68" s="113">
        <f>AA66-AA67</f>
        <v>0</v>
      </c>
      <c r="AB68" s="113">
        <f>AB66-AB67</f>
        <v>0</v>
      </c>
      <c r="AC68" s="113">
        <f>AC66-AC67</f>
        <v>0</v>
      </c>
      <c r="AD68" s="179"/>
      <c r="AE68" s="240"/>
      <c r="AF68" s="19"/>
      <c r="AM68" s="983"/>
    </row>
    <row r="69" spans="1:39" hidden="1" outlineLevel="1">
      <c r="A69" s="19"/>
      <c r="B69" s="19"/>
      <c r="C69" s="19"/>
      <c r="D69" s="19"/>
      <c r="E69" s="19"/>
      <c r="F69" s="19"/>
      <c r="G69" s="19"/>
      <c r="H69" s="19"/>
      <c r="I69" s="19"/>
      <c r="J69" s="19"/>
      <c r="K69" s="19"/>
      <c r="L69" s="19"/>
      <c r="M69" s="113"/>
      <c r="N69" s="113"/>
      <c r="O69" s="113"/>
      <c r="P69" s="113"/>
      <c r="Q69" s="113"/>
      <c r="R69" s="113"/>
      <c r="S69" s="113"/>
      <c r="T69" s="113"/>
      <c r="U69" s="113"/>
      <c r="V69" s="113"/>
      <c r="W69" s="113"/>
      <c r="X69" s="113"/>
      <c r="Y69" s="113"/>
      <c r="Z69" s="113"/>
      <c r="AA69" s="113"/>
      <c r="AB69" s="113"/>
      <c r="AC69" s="113"/>
      <c r="AD69" s="137"/>
      <c r="AE69" s="137"/>
      <c r="AF69" s="19"/>
      <c r="AG69" s="112"/>
      <c r="AH69" s="112"/>
      <c r="AI69" s="112"/>
    </row>
    <row r="70" spans="1:39" hidden="1" outlineLevel="1">
      <c r="A70" s="19"/>
      <c r="B70" s="19"/>
      <c r="C70" s="19"/>
      <c r="D70" s="19"/>
      <c r="E70" s="19"/>
      <c r="F70" s="19"/>
      <c r="G70" s="19"/>
      <c r="H70" s="19"/>
      <c r="I70" s="112" t="s">
        <v>314</v>
      </c>
      <c r="J70" s="112"/>
      <c r="K70" s="112"/>
      <c r="L70" s="112"/>
      <c r="M70" s="113"/>
      <c r="N70" s="113"/>
      <c r="O70" s="113"/>
      <c r="P70" s="113">
        <f>P65-P67</f>
        <v>-18.992000000000026</v>
      </c>
      <c r="Q70" s="113">
        <f>Q65-Q67</f>
        <v>-9.2300000000000075</v>
      </c>
      <c r="R70" s="113">
        <f>R65-R67</f>
        <v>0</v>
      </c>
      <c r="S70" s="113">
        <f>S65-S67</f>
        <v>-51.949000000000034</v>
      </c>
      <c r="T70" s="113">
        <f>T65-T67</f>
        <v>-3.2850000000000419</v>
      </c>
      <c r="U70" s="113">
        <f t="shared" ref="U70:AC70" si="24">U65-U67</f>
        <v>13.349000000000018</v>
      </c>
      <c r="V70" s="113">
        <f t="shared" si="24"/>
        <v>29.409490581603738</v>
      </c>
      <c r="W70" s="113">
        <f t="shared" si="24"/>
        <v>77.331941320645015</v>
      </c>
      <c r="X70" s="113">
        <f t="shared" si="24"/>
        <v>109.26035452005051</v>
      </c>
      <c r="Y70" s="113">
        <f t="shared" si="24"/>
        <v>152.32190715071235</v>
      </c>
      <c r="Z70" s="113">
        <f t="shared" si="24"/>
        <v>202.64870250175323</v>
      </c>
      <c r="AA70" s="113">
        <f t="shared" si="24"/>
        <v>254.52709289141382</v>
      </c>
      <c r="AB70" s="113">
        <f t="shared" si="24"/>
        <v>308.10200434802846</v>
      </c>
      <c r="AC70" s="113">
        <f t="shared" si="24"/>
        <v>364.83096408155268</v>
      </c>
      <c r="AD70" s="2"/>
      <c r="AE70" s="172"/>
      <c r="AF70" s="19"/>
    </row>
    <row r="71" spans="1:39" hidden="1" outlineLevel="1">
      <c r="A71" s="19"/>
      <c r="B71" s="19"/>
      <c r="C71" s="19"/>
      <c r="D71" s="19"/>
      <c r="E71" s="19"/>
      <c r="F71" s="19"/>
      <c r="G71" s="19"/>
      <c r="H71" s="19"/>
      <c r="I71" s="112" t="s">
        <v>315</v>
      </c>
      <c r="J71" s="112"/>
      <c r="K71" s="112"/>
      <c r="L71" s="112"/>
      <c r="M71" s="101"/>
      <c r="N71" s="101"/>
      <c r="O71" s="101"/>
      <c r="P71" s="241">
        <f>+IFERROR(P72/P70,"NA")</f>
        <v>-5.7919123841617447E-3</v>
      </c>
      <c r="Q71" s="241">
        <f>+IFERROR(Q72/Q70,"NA")</f>
        <v>-3.1527627302275159E-2</v>
      </c>
      <c r="R71" s="241" t="str">
        <f>+IFERROR(R72/R70,"NA")</f>
        <v>NA</v>
      </c>
      <c r="S71" s="101">
        <f>Model!BP65</f>
        <v>0.24686832340042622</v>
      </c>
      <c r="T71" s="101">
        <f>Model!BQ65</f>
        <v>0.40000000000000013</v>
      </c>
      <c r="U71" s="241">
        <f>Model!BR65</f>
        <v>0.3999999999999998</v>
      </c>
      <c r="V71" s="241">
        <f>Model!BS65</f>
        <v>0.40000000000000019</v>
      </c>
      <c r="W71" s="241">
        <f>Model!BT65</f>
        <v>0.39999999999999997</v>
      </c>
      <c r="X71" s="241">
        <f>Model!BU65</f>
        <v>0.40000000000000024</v>
      </c>
      <c r="Y71" s="241">
        <f>Model!BV65</f>
        <v>0.40000000000000024</v>
      </c>
      <c r="Z71" s="241">
        <f>Model!BW65</f>
        <v>0.40000000000000024</v>
      </c>
      <c r="AA71" s="241">
        <f>Model!BX65</f>
        <v>0.40000000000000024</v>
      </c>
      <c r="AB71" s="241">
        <f>Model!BY65</f>
        <v>0.40000000000000024</v>
      </c>
      <c r="AC71" s="241">
        <f>Model!BZ65</f>
        <v>0.40000000000000024</v>
      </c>
      <c r="AD71" s="179"/>
      <c r="AE71" s="175"/>
      <c r="AF71" s="19"/>
    </row>
    <row r="72" spans="1:39" hidden="1" outlineLevel="1">
      <c r="A72" s="19"/>
      <c r="B72" s="19"/>
      <c r="C72" s="19"/>
      <c r="D72" s="19"/>
      <c r="E72" s="19"/>
      <c r="F72" s="19"/>
      <c r="G72" s="19"/>
      <c r="H72" s="19"/>
      <c r="I72" s="19" t="s">
        <v>316</v>
      </c>
      <c r="J72" s="19"/>
      <c r="K72" s="19"/>
      <c r="L72" s="19"/>
      <c r="M72" s="238">
        <f>+Model!BJ103</f>
        <v>0</v>
      </c>
      <c r="N72" s="238">
        <f>+Model!BK103</f>
        <v>21</v>
      </c>
      <c r="O72" s="238">
        <f>+Model!BL103</f>
        <v>9.1999999999999998E-2</v>
      </c>
      <c r="P72" s="238">
        <f>+Model!BM103</f>
        <v>0.11</v>
      </c>
      <c r="Q72" s="238">
        <f>+Model!BN103</f>
        <v>0.29099999999999998</v>
      </c>
      <c r="R72" s="238">
        <f>+Model!BO103</f>
        <v>1.972</v>
      </c>
      <c r="S72" s="238">
        <f>+Model!BP103</f>
        <v>0.35199999999999998</v>
      </c>
      <c r="T72" s="61">
        <f>IF(T70&lt;=0,0,T70*T71)</f>
        <v>0</v>
      </c>
      <c r="U72" s="113">
        <f>IF(U70&lt;=0,0,U70*U71)</f>
        <v>5.3396000000000043</v>
      </c>
      <c r="V72" s="113">
        <f>IF(V70&lt;=0,0,V70*V71)</f>
        <v>11.7637962326415</v>
      </c>
      <c r="W72" s="113">
        <f>IF(W70&lt;=0,0,W70*W71)</f>
        <v>30.932776528258003</v>
      </c>
      <c r="X72" s="113">
        <f t="shared" ref="X72:AC72" si="25">IF(X70&lt;=0,0,X70*X71)</f>
        <v>43.704141808020232</v>
      </c>
      <c r="Y72" s="113">
        <f t="shared" si="25"/>
        <v>60.928762860284976</v>
      </c>
      <c r="Z72" s="113">
        <f t="shared" si="25"/>
        <v>81.059481000701339</v>
      </c>
      <c r="AA72" s="113">
        <f t="shared" si="25"/>
        <v>101.81083715656558</v>
      </c>
      <c r="AB72" s="113">
        <f t="shared" si="25"/>
        <v>123.24080173921146</v>
      </c>
      <c r="AC72" s="113">
        <f t="shared" si="25"/>
        <v>145.93238563262116</v>
      </c>
      <c r="AF72" s="19"/>
    </row>
    <row r="73" spans="1:39" hidden="1" outlineLevel="1">
      <c r="A73" s="19"/>
      <c r="B73" s="19"/>
      <c r="C73" s="19"/>
      <c r="D73" s="19"/>
      <c r="E73" s="19"/>
      <c r="F73" s="19"/>
      <c r="G73" s="19"/>
      <c r="H73" s="19"/>
      <c r="I73" s="19"/>
      <c r="J73" s="19"/>
      <c r="K73" s="19"/>
      <c r="L73" s="19"/>
      <c r="M73" s="112"/>
      <c r="N73" s="2"/>
      <c r="O73" s="112"/>
      <c r="P73" s="112"/>
      <c r="Q73" s="112"/>
      <c r="R73" s="112"/>
      <c r="S73" s="112"/>
      <c r="T73" s="112"/>
      <c r="U73" s="19"/>
      <c r="V73" s="19"/>
      <c r="W73" s="19"/>
      <c r="X73" s="19"/>
      <c r="Y73" s="19"/>
      <c r="AF73" s="19"/>
    </row>
    <row r="74" spans="1:39" hidden="1" outlineLevel="1">
      <c r="A74" s="19"/>
      <c r="B74" s="19"/>
      <c r="C74" s="19"/>
      <c r="D74" s="19"/>
      <c r="E74" s="19"/>
      <c r="F74" s="19"/>
      <c r="G74" s="19"/>
      <c r="H74" s="19"/>
      <c r="I74" s="19"/>
      <c r="J74" s="19"/>
      <c r="K74" s="19"/>
      <c r="L74" s="19"/>
      <c r="M74" s="112"/>
      <c r="N74" s="2"/>
      <c r="O74" s="112"/>
      <c r="P74" s="112"/>
      <c r="Q74" s="112"/>
      <c r="R74" s="112"/>
      <c r="S74" s="112"/>
      <c r="T74" s="112"/>
      <c r="U74" s="19"/>
      <c r="V74" s="19"/>
      <c r="W74" s="19"/>
      <c r="X74" s="19"/>
      <c r="Y74" s="19"/>
      <c r="AF74" s="19"/>
    </row>
    <row r="75" spans="1:39" collapsed="1">
      <c r="A75" s="19"/>
      <c r="B75" s="19"/>
      <c r="C75" s="19"/>
      <c r="D75" s="19"/>
      <c r="E75" s="19"/>
      <c r="F75" s="19"/>
      <c r="G75" s="19"/>
      <c r="H75" s="19"/>
      <c r="I75" s="19"/>
      <c r="J75" s="19"/>
      <c r="K75" s="19"/>
      <c r="L75" s="19"/>
      <c r="M75" s="112"/>
      <c r="N75" s="2"/>
      <c r="O75" s="112"/>
      <c r="P75" s="112"/>
      <c r="Q75" s="112"/>
      <c r="R75" s="112"/>
      <c r="S75" s="112"/>
      <c r="T75" s="112"/>
      <c r="U75" s="19"/>
      <c r="V75" s="19"/>
      <c r="W75" s="19"/>
      <c r="X75" s="19"/>
      <c r="Y75" s="19"/>
      <c r="AF75" s="19"/>
      <c r="AM75" s="983"/>
    </row>
    <row r="76" spans="1:39">
      <c r="A76" s="19"/>
      <c r="B76" s="19"/>
      <c r="C76" s="19"/>
      <c r="D76" s="19"/>
      <c r="E76" s="19"/>
      <c r="F76" s="19"/>
      <c r="G76" s="19"/>
      <c r="H76" s="19"/>
      <c r="I76" s="19"/>
      <c r="J76" s="19"/>
      <c r="K76" s="19"/>
      <c r="L76" s="19"/>
      <c r="M76" s="112"/>
      <c r="N76" s="2"/>
      <c r="O76" s="112"/>
      <c r="P76" s="112"/>
      <c r="Q76" s="112"/>
      <c r="R76" s="112"/>
      <c r="S76" s="112"/>
      <c r="T76" s="112"/>
      <c r="U76" s="19"/>
      <c r="V76" s="19"/>
      <c r="W76" s="19"/>
      <c r="X76" s="19"/>
      <c r="Y76" s="19"/>
      <c r="AF76" s="19"/>
    </row>
  </sheetData>
  <pageMargins left="0.25" right="0.25" top="0.25" bottom="0.25" header="0.25" footer="0.25"/>
  <pageSetup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pageSetUpPr fitToPage="1"/>
  </sheetPr>
  <dimension ref="A1:IV86"/>
  <sheetViews>
    <sheetView showGridLines="0" zoomScaleNormal="100" workbookViewId="0">
      <pane xSplit="12" ySplit="9" topLeftCell="R10" activePane="bottomRight" state="frozen"/>
      <selection activeCell="AK36" sqref="AK36"/>
      <selection pane="topRight" activeCell="AK36" sqref="AK36"/>
      <selection pane="bottomLeft" activeCell="AK36" sqref="AK36"/>
      <selection pane="bottomRight" activeCell="W3" sqref="W3"/>
    </sheetView>
  </sheetViews>
  <sheetFormatPr defaultRowHeight="11.25" outlineLevelRow="1" outlineLevelCol="1"/>
  <cols>
    <col min="1" max="7" width="8.7109375" style="89" hidden="1" customWidth="1" outlineLevel="1"/>
    <col min="8" max="8" width="1.7109375" style="89" customWidth="1" collapsed="1"/>
    <col min="9" max="12" width="10.85546875" style="89" customWidth="1"/>
    <col min="13" max="16" width="9.140625" style="89" hidden="1" customWidth="1" outlineLevel="1"/>
    <col min="17" max="17" width="8.7109375" style="89" hidden="1" customWidth="1" outlineLevel="1"/>
    <col min="18" max="18" width="8.7109375" style="89" customWidth="1" collapsed="1"/>
    <col min="19" max="25" width="8.7109375" style="89" customWidth="1"/>
    <col min="26" max="26" width="8.7109375" style="1174" customWidth="1"/>
    <col min="27" max="29" width="8.7109375" style="89" customWidth="1"/>
    <col min="30" max="16384" width="9.140625" style="89"/>
  </cols>
  <sheetData>
    <row r="1" spans="1:256">
      <c r="A1" s="19"/>
      <c r="B1" s="125" t="s">
        <v>208</v>
      </c>
      <c r="C1" s="125" t="s">
        <v>209</v>
      </c>
      <c r="D1" s="125" t="s">
        <v>210</v>
      </c>
      <c r="E1" s="125" t="s">
        <v>211</v>
      </c>
      <c r="F1" s="125" t="s">
        <v>212</v>
      </c>
      <c r="G1" s="125" t="s">
        <v>213</v>
      </c>
      <c r="H1" s="19"/>
      <c r="I1" s="11"/>
      <c r="J1" s="112"/>
      <c r="K1" s="112"/>
      <c r="L1" s="39">
        <f>fair_value</f>
        <v>40</v>
      </c>
      <c r="M1" s="115"/>
      <c r="N1" s="115"/>
      <c r="O1" s="115"/>
      <c r="P1" s="115"/>
      <c r="Q1" s="115"/>
      <c r="R1" s="115"/>
      <c r="S1" s="115"/>
      <c r="T1" s="115"/>
      <c r="U1" s="115"/>
      <c r="V1" s="115"/>
      <c r="W1" s="115"/>
      <c r="X1" s="2460"/>
      <c r="Y1" s="2461"/>
      <c r="Z1" s="2462"/>
      <c r="AA1" s="1727"/>
      <c r="AB1" s="1727"/>
      <c r="AC1" s="1727"/>
      <c r="AD1" s="19"/>
      <c r="AE1" s="19"/>
      <c r="AF1" s="19"/>
      <c r="AG1" s="19"/>
      <c r="AH1" s="19"/>
    </row>
    <row r="2" spans="1:256">
      <c r="A2" s="19"/>
      <c r="B2" s="19"/>
      <c r="C2" s="19"/>
      <c r="D2" s="19"/>
      <c r="E2" s="19"/>
      <c r="F2" s="19"/>
      <c r="G2" s="19"/>
      <c r="H2" s="19"/>
      <c r="I2" s="11"/>
      <c r="J2" s="112"/>
      <c r="K2" s="112"/>
      <c r="L2" s="112"/>
      <c r="M2" s="115"/>
      <c r="N2" s="115"/>
      <c r="O2" s="115"/>
      <c r="P2" s="115"/>
      <c r="Q2" s="115"/>
      <c r="R2" s="115"/>
      <c r="S2" s="115"/>
      <c r="T2" s="2268"/>
      <c r="U2" s="2268"/>
      <c r="V2" s="2252"/>
      <c r="W2" s="115"/>
      <c r="X2" s="115"/>
      <c r="Y2" s="115"/>
      <c r="Z2" s="115"/>
      <c r="AA2" s="115"/>
      <c r="AB2" s="115"/>
      <c r="AC2" s="115"/>
      <c r="AD2" s="1729"/>
      <c r="AE2" s="19"/>
      <c r="AF2" s="19"/>
      <c r="AG2" s="19"/>
      <c r="AH2" s="19"/>
    </row>
    <row r="3" spans="1:256">
      <c r="A3" s="19"/>
      <c r="B3" s="19"/>
      <c r="C3" s="19"/>
      <c r="D3" s="19"/>
      <c r="E3" s="19"/>
      <c r="F3" s="19"/>
      <c r="G3" s="19"/>
      <c r="H3" s="19"/>
      <c r="I3" s="11"/>
      <c r="J3" s="112"/>
      <c r="K3" s="112"/>
      <c r="L3" s="112"/>
      <c r="M3" s="115"/>
      <c r="N3" s="115"/>
      <c r="O3" s="115"/>
      <c r="P3" s="115"/>
      <c r="Q3" s="115"/>
      <c r="R3" s="115"/>
      <c r="S3" s="115"/>
      <c r="T3" s="2252"/>
      <c r="U3" s="2252"/>
      <c r="V3" s="2252"/>
      <c r="W3" s="1729"/>
      <c r="X3" s="1729"/>
      <c r="Y3" s="1729"/>
      <c r="Z3" s="1729"/>
      <c r="AA3" s="1729"/>
      <c r="AB3" s="1729"/>
      <c r="AC3" s="1729"/>
      <c r="AD3" s="202"/>
      <c r="AE3" s="19"/>
      <c r="AF3" s="19"/>
      <c r="AG3" s="19"/>
      <c r="AH3" s="19"/>
    </row>
    <row r="4" spans="1:256">
      <c r="A4" s="19"/>
      <c r="B4" s="19"/>
      <c r="C4" s="19"/>
      <c r="D4" s="19"/>
      <c r="E4" s="19"/>
      <c r="F4" s="19"/>
      <c r="G4" s="19"/>
      <c r="H4" s="19"/>
      <c r="I4" s="11"/>
      <c r="J4" s="112"/>
      <c r="K4" s="112"/>
      <c r="L4" s="112"/>
      <c r="M4" s="115"/>
      <c r="N4" s="115"/>
      <c r="O4" s="115"/>
      <c r="P4" s="115"/>
      <c r="Q4" s="115"/>
      <c r="R4" s="115"/>
      <c r="S4" s="115"/>
      <c r="T4" s="115"/>
      <c r="U4" s="2851">
        <f>$L$34/U14</f>
        <v>18.010091144472963</v>
      </c>
      <c r="V4" s="2851">
        <f>$L$34/V14</f>
        <v>15.11631458572473</v>
      </c>
      <c r="W4" s="2851">
        <f>$L$34/W14</f>
        <v>12.012988590030011</v>
      </c>
      <c r="X4" s="2252"/>
      <c r="Y4" s="2252"/>
      <c r="Z4" s="2253"/>
      <c r="AA4" s="2254"/>
      <c r="AB4" s="2254"/>
      <c r="AC4" s="2254"/>
      <c r="AD4" s="2254"/>
      <c r="AE4" s="19"/>
      <c r="AF4" s="19"/>
      <c r="AG4" s="19"/>
      <c r="AH4" s="19"/>
    </row>
    <row r="5" spans="1:256" ht="11.25" hidden="1" customHeight="1" outlineLevel="1">
      <c r="A5" s="116"/>
      <c r="B5" s="116"/>
      <c r="C5" s="116"/>
      <c r="D5" s="116"/>
      <c r="E5" s="116"/>
      <c r="F5" s="116"/>
      <c r="G5" s="116"/>
      <c r="H5" s="116"/>
      <c r="I5" s="117"/>
      <c r="J5" s="117"/>
      <c r="K5" s="117"/>
      <c r="L5" s="117"/>
      <c r="M5" s="118" t="str">
        <f t="shared" ref="M5:AA5" si="0">+YEAR(M$8)&amp;"-FY"</f>
        <v>2009-FY</v>
      </c>
      <c r="N5" s="118" t="str">
        <f t="shared" si="0"/>
        <v>2010-FY</v>
      </c>
      <c r="O5" s="118" t="str">
        <f t="shared" si="0"/>
        <v>2011-FY</v>
      </c>
      <c r="P5" s="118" t="str">
        <f t="shared" si="0"/>
        <v>2012-FY</v>
      </c>
      <c r="Q5" s="118" t="str">
        <f t="shared" si="0"/>
        <v>2013-FY</v>
      </c>
      <c r="R5" s="118" t="str">
        <f t="shared" si="0"/>
        <v>2014-FY</v>
      </c>
      <c r="S5" s="118" t="str">
        <f t="shared" si="0"/>
        <v>2015-FY</v>
      </c>
      <c r="T5" s="118" t="str">
        <f t="shared" si="0"/>
        <v>2016-FY</v>
      </c>
      <c r="U5" s="118" t="str">
        <f t="shared" si="0"/>
        <v>2017-FY</v>
      </c>
      <c r="V5" s="118" t="str">
        <f t="shared" si="0"/>
        <v>2018-FY</v>
      </c>
      <c r="W5" s="118" t="str">
        <f t="shared" si="0"/>
        <v>2019-FY</v>
      </c>
      <c r="X5" s="118" t="str">
        <f t="shared" si="0"/>
        <v>2020-FY</v>
      </c>
      <c r="Y5" s="118" t="str">
        <f t="shared" si="0"/>
        <v>2021-FY</v>
      </c>
      <c r="Z5" s="118" t="str">
        <f t="shared" si="0"/>
        <v>2022-FY</v>
      </c>
      <c r="AA5" s="118" t="str">
        <f t="shared" si="0"/>
        <v>2023-FY</v>
      </c>
      <c r="AB5" s="118"/>
      <c r="AC5" s="118"/>
      <c r="AD5" s="116"/>
      <c r="AE5" s="116"/>
      <c r="AF5" s="116"/>
      <c r="AG5" s="116"/>
      <c r="AH5" s="116"/>
    </row>
    <row r="6" spans="1:256" ht="11.25" hidden="1" customHeight="1" outlineLevel="1">
      <c r="A6" s="116"/>
      <c r="B6" s="116"/>
      <c r="C6" s="116"/>
      <c r="D6" s="116"/>
      <c r="E6" s="116"/>
      <c r="F6" s="116"/>
      <c r="G6" s="116"/>
      <c r="H6" s="116"/>
      <c r="I6" s="117" t="s">
        <v>108</v>
      </c>
      <c r="J6" s="117"/>
      <c r="K6" s="117"/>
      <c r="L6" s="117"/>
      <c r="M6" s="119">
        <v>40178</v>
      </c>
      <c r="N6" s="119">
        <f t="shared" ref="N6:X6" si="1">+EOMONTH(M6,12)</f>
        <v>40543</v>
      </c>
      <c r="O6" s="119">
        <f t="shared" si="1"/>
        <v>40908</v>
      </c>
      <c r="P6" s="119">
        <f t="shared" si="1"/>
        <v>41274</v>
      </c>
      <c r="Q6" s="119">
        <f t="shared" si="1"/>
        <v>41639</v>
      </c>
      <c r="R6" s="119">
        <f t="shared" si="1"/>
        <v>42004</v>
      </c>
      <c r="S6" s="119">
        <f t="shared" si="1"/>
        <v>42369</v>
      </c>
      <c r="T6" s="119">
        <f t="shared" si="1"/>
        <v>42735</v>
      </c>
      <c r="U6" s="119">
        <f t="shared" si="1"/>
        <v>43100</v>
      </c>
      <c r="V6" s="119">
        <f t="shared" si="1"/>
        <v>43465</v>
      </c>
      <c r="W6" s="119">
        <f t="shared" si="1"/>
        <v>43830</v>
      </c>
      <c r="X6" s="119">
        <f t="shared" si="1"/>
        <v>44196</v>
      </c>
      <c r="Y6" s="119">
        <f>+EOMONTH(X6,12)</f>
        <v>44561</v>
      </c>
      <c r="Z6" s="119">
        <f>+EOMONTH(Y6,12)</f>
        <v>44926</v>
      </c>
      <c r="AA6" s="119">
        <f>+EOMONTH(Z6,12)</f>
        <v>45291</v>
      </c>
      <c r="AB6" s="119"/>
      <c r="AC6" s="119"/>
      <c r="AD6" s="116"/>
      <c r="AE6" s="116"/>
      <c r="AF6" s="116"/>
      <c r="AG6" s="116"/>
      <c r="AH6" s="116"/>
    </row>
    <row r="7" spans="1:256" collapsed="1">
      <c r="A7" s="19"/>
      <c r="B7" s="19"/>
      <c r="C7" s="19"/>
      <c r="D7" s="19"/>
      <c r="E7" s="19"/>
      <c r="F7" s="19"/>
      <c r="G7" s="19"/>
      <c r="H7" s="112"/>
      <c r="I7" s="2" t="s">
        <v>256</v>
      </c>
      <c r="J7" s="2"/>
      <c r="K7" s="2"/>
      <c r="L7" s="2"/>
      <c r="M7" s="2"/>
      <c r="N7" s="2"/>
      <c r="O7" s="2"/>
      <c r="P7" s="2"/>
      <c r="Q7" s="2"/>
      <c r="R7" s="2"/>
      <c r="S7" s="2"/>
      <c r="T7" s="2"/>
      <c r="U7" s="2"/>
      <c r="V7" s="2"/>
      <c r="W7" s="173"/>
      <c r="X7" s="173"/>
      <c r="Y7" s="173"/>
      <c r="Z7" s="173"/>
      <c r="AA7" s="173"/>
      <c r="AB7" s="173"/>
      <c r="AC7" s="173"/>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row>
    <row r="8" spans="1:256" ht="12" thickBot="1">
      <c r="A8" s="19"/>
      <c r="B8" s="19"/>
      <c r="C8" s="19"/>
      <c r="D8" s="19"/>
      <c r="E8" s="19"/>
      <c r="F8" s="19"/>
      <c r="G8" s="19"/>
      <c r="H8" s="112"/>
      <c r="I8" s="3" t="s">
        <v>83</v>
      </c>
      <c r="J8" s="3"/>
      <c r="K8" s="3"/>
      <c r="L8" s="3"/>
      <c r="M8" s="10">
        <v>40178</v>
      </c>
      <c r="N8" s="10">
        <f t="shared" ref="N8:X8" si="2">+EOMONTH(M8,12)</f>
        <v>40543</v>
      </c>
      <c r="O8" s="10">
        <f t="shared" si="2"/>
        <v>40908</v>
      </c>
      <c r="P8" s="10">
        <f t="shared" si="2"/>
        <v>41274</v>
      </c>
      <c r="Q8" s="10">
        <f t="shared" si="2"/>
        <v>41639</v>
      </c>
      <c r="R8" s="10">
        <f t="shared" si="2"/>
        <v>42004</v>
      </c>
      <c r="S8" s="10">
        <f t="shared" si="2"/>
        <v>42369</v>
      </c>
      <c r="T8" s="10">
        <f t="shared" si="2"/>
        <v>42735</v>
      </c>
      <c r="U8" s="10">
        <f t="shared" si="2"/>
        <v>43100</v>
      </c>
      <c r="V8" s="12">
        <f t="shared" si="2"/>
        <v>43465</v>
      </c>
      <c r="W8" s="12">
        <f t="shared" si="2"/>
        <v>43830</v>
      </c>
      <c r="X8" s="12">
        <f t="shared" si="2"/>
        <v>44196</v>
      </c>
      <c r="Y8" s="12">
        <f>+EOMONTH(X8,12)</f>
        <v>44561</v>
      </c>
      <c r="Z8" s="12">
        <f>+EOMONTH(Y8,12)</f>
        <v>44926</v>
      </c>
      <c r="AA8" s="12">
        <f>+EOMONTH(Z8,12)</f>
        <v>45291</v>
      </c>
      <c r="AB8" s="12">
        <f>+EOMONTH(AA8,12)</f>
        <v>45657</v>
      </c>
      <c r="AC8" s="12">
        <f>+EOMONTH(AB8,12)</f>
        <v>46022</v>
      </c>
      <c r="AD8" s="12" t="s">
        <v>502</v>
      </c>
      <c r="AE8" s="1175" t="s">
        <v>692</v>
      </c>
      <c r="AF8" s="19"/>
      <c r="AG8" s="19"/>
      <c r="AH8" s="19"/>
    </row>
    <row r="9" spans="1:256" ht="6.75" customHeight="1">
      <c r="A9" s="19"/>
      <c r="B9" s="19"/>
      <c r="C9" s="19"/>
      <c r="D9" s="19"/>
      <c r="E9" s="19"/>
      <c r="F9" s="19"/>
      <c r="G9" s="19"/>
      <c r="H9" s="112"/>
      <c r="I9" s="112"/>
      <c r="J9" s="112"/>
      <c r="K9" s="112"/>
      <c r="L9" s="112"/>
      <c r="M9" s="19"/>
      <c r="N9" s="112"/>
      <c r="O9" s="112"/>
      <c r="P9" s="112"/>
      <c r="Q9" s="112"/>
      <c r="R9" s="112"/>
      <c r="S9" s="112"/>
      <c r="T9" s="112"/>
      <c r="U9" s="112"/>
      <c r="V9" s="112"/>
      <c r="W9" s="112"/>
      <c r="X9" s="112"/>
      <c r="AA9" s="19"/>
      <c r="AB9" s="19"/>
      <c r="AC9" s="19"/>
      <c r="AD9" s="112"/>
      <c r="AE9" s="1174"/>
      <c r="AF9" s="19"/>
      <c r="AG9" s="19"/>
      <c r="AH9" s="19"/>
    </row>
    <row r="10" spans="1:256" s="83" customFormat="1" ht="11.25" customHeight="1">
      <c r="A10" s="36"/>
      <c r="B10" s="36"/>
      <c r="C10" s="36"/>
      <c r="D10" s="36"/>
      <c r="E10" s="36"/>
      <c r="F10" s="36"/>
      <c r="G10" s="36"/>
      <c r="H10" s="36"/>
      <c r="I10" s="60" t="s">
        <v>49</v>
      </c>
      <c r="J10" s="60"/>
      <c r="K10" s="60"/>
      <c r="L10" s="60"/>
      <c r="M10" s="69"/>
      <c r="N10" s="178"/>
      <c r="O10" s="178"/>
      <c r="P10" s="178"/>
      <c r="Q10" s="178"/>
      <c r="R10" s="178"/>
      <c r="S10" s="178"/>
      <c r="T10" s="178"/>
      <c r="U10" s="178"/>
      <c r="V10" s="178"/>
      <c r="W10" s="178"/>
      <c r="X10" s="178"/>
      <c r="Y10" s="178"/>
      <c r="Z10" s="178"/>
      <c r="AA10" s="178"/>
      <c r="AB10" s="178"/>
      <c r="AC10" s="178"/>
      <c r="AD10" s="69"/>
      <c r="AE10" s="1176"/>
      <c r="AF10" s="68"/>
      <c r="AG10" s="68"/>
      <c r="AH10" s="68"/>
      <c r="AI10" s="68"/>
      <c r="AJ10" s="68"/>
      <c r="AK10" s="68"/>
      <c r="AL10" s="68"/>
      <c r="AM10" s="68"/>
      <c r="AN10" s="68"/>
      <c r="AO10" s="68"/>
      <c r="AP10" s="68"/>
      <c r="AQ10" s="68"/>
      <c r="AR10" s="68"/>
      <c r="AS10" s="68"/>
      <c r="AT10" s="68"/>
      <c r="AU10" s="68"/>
      <c r="AV10" s="68"/>
      <c r="AW10" s="68"/>
      <c r="AX10" s="68"/>
      <c r="AY10" s="68"/>
      <c r="AZ10" s="68"/>
      <c r="BA10" s="68"/>
      <c r="BB10" s="68"/>
      <c r="BC10" s="68"/>
      <c r="BD10" s="68"/>
      <c r="BE10" s="68"/>
      <c r="BF10" s="68"/>
      <c r="BG10" s="68"/>
    </row>
    <row r="11" spans="1:256">
      <c r="A11" s="19"/>
      <c r="B11" s="19"/>
      <c r="C11" s="19"/>
      <c r="D11" s="19"/>
      <c r="E11" s="19"/>
      <c r="F11" s="19"/>
      <c r="G11" s="19"/>
      <c r="H11" s="19"/>
      <c r="I11" s="121" t="s">
        <v>14</v>
      </c>
      <c r="J11" s="112"/>
      <c r="K11" s="112"/>
      <c r="L11" s="112"/>
      <c r="M11" s="113">
        <f>Model!BJ18</f>
        <v>25.808000000000003</v>
      </c>
      <c r="N11" s="113">
        <f>Model!BK18</f>
        <v>47.731000000000002</v>
      </c>
      <c r="O11" s="113">
        <f>Model!BL18</f>
        <v>83.284999999999997</v>
      </c>
      <c r="P11" s="113">
        <f>Model!BM18</f>
        <v>137.566</v>
      </c>
      <c r="Q11" s="113">
        <f>Model!BN18</f>
        <v>232.98799999999997</v>
      </c>
      <c r="R11" s="113">
        <f>Model!BO18</f>
        <v>377.53599999999994</v>
      </c>
      <c r="S11" s="113">
        <f>Model!BP23</f>
        <v>518.70000000000005</v>
      </c>
      <c r="T11" s="113">
        <f>Model!BQ23</f>
        <v>713.06899999999996</v>
      </c>
      <c r="U11" s="113">
        <f>Model!BR23</f>
        <v>846.81299999999999</v>
      </c>
      <c r="V11" s="113">
        <f>Model!BS23</f>
        <v>960</v>
      </c>
      <c r="W11" s="113">
        <f>Model!BT23</f>
        <v>1116.4000000000001</v>
      </c>
      <c r="X11" s="113">
        <f>Model!BU23</f>
        <v>1260.5999999999999</v>
      </c>
      <c r="Y11" s="113">
        <f>Model!BV23</f>
        <v>1400.6</v>
      </c>
      <c r="Z11" s="113">
        <f>Model!BW23</f>
        <v>1537.6</v>
      </c>
      <c r="AA11" s="113">
        <f>Model!BX23</f>
        <v>1670.6</v>
      </c>
      <c r="AB11" s="113">
        <f>Model!BY23</f>
        <v>1799.6</v>
      </c>
      <c r="AC11" s="113">
        <f>Model!BZ23</f>
        <v>1925.6</v>
      </c>
      <c r="AD11" s="2236">
        <f>+(1+L49)*AC11</f>
        <v>1973.7399999999998</v>
      </c>
      <c r="AE11" s="1177">
        <f>RATE(6,,-T11,Y11)</f>
        <v>0.11908676863898451</v>
      </c>
      <c r="AF11" s="19"/>
      <c r="AG11" s="19"/>
      <c r="AH11" s="19"/>
    </row>
    <row r="12" spans="1:256">
      <c r="A12" s="19"/>
      <c r="B12" s="19"/>
      <c r="C12" s="19"/>
      <c r="D12" s="19"/>
      <c r="E12" s="19"/>
      <c r="F12" s="19"/>
      <c r="G12" s="19"/>
      <c r="H12" s="19"/>
      <c r="I12" s="111" t="s">
        <v>132</v>
      </c>
      <c r="J12" s="112"/>
      <c r="K12" s="112"/>
      <c r="L12" s="112"/>
      <c r="M12" s="114" t="str">
        <f t="shared" ref="M12:W12" si="3">IF(ISERROR(+M11/L11-1), "NA", +M11/L11-1)</f>
        <v>NA</v>
      </c>
      <c r="N12" s="114">
        <f t="shared" si="3"/>
        <v>0.84946528208307481</v>
      </c>
      <c r="O12" s="114">
        <f t="shared" si="3"/>
        <v>0.74488278058284951</v>
      </c>
      <c r="P12" s="114">
        <f t="shared" si="3"/>
        <v>0.65175001500870522</v>
      </c>
      <c r="Q12" s="114">
        <f t="shared" si="3"/>
        <v>0.69364523210677032</v>
      </c>
      <c r="R12" s="114">
        <f t="shared" si="3"/>
        <v>0.62040963483097844</v>
      </c>
      <c r="S12" s="114">
        <f t="shared" si="3"/>
        <v>0.37390871334124465</v>
      </c>
      <c r="T12" s="114">
        <f t="shared" si="3"/>
        <v>0.37472334682860975</v>
      </c>
      <c r="U12" s="114">
        <f t="shared" si="3"/>
        <v>0.1875610915633692</v>
      </c>
      <c r="V12" s="114">
        <f t="shared" si="3"/>
        <v>0.13366233158914653</v>
      </c>
      <c r="W12" s="114">
        <f t="shared" si="3"/>
        <v>0.16291666666666682</v>
      </c>
      <c r="X12" s="114">
        <f t="shared" ref="X12:AD12" si="4">IF(ISERROR(+X11/W11-1), "NA", +X11/W11-1)</f>
        <v>0.1291651737728412</v>
      </c>
      <c r="Y12" s="114">
        <f t="shared" si="4"/>
        <v>0.11105822624147232</v>
      </c>
      <c r="Z12" s="114">
        <f t="shared" si="4"/>
        <v>9.7815222047693773E-2</v>
      </c>
      <c r="AA12" s="114">
        <f t="shared" si="4"/>
        <v>8.6498439125910487E-2</v>
      </c>
      <c r="AB12" s="114">
        <f t="shared" si="4"/>
        <v>7.7217766072069871E-2</v>
      </c>
      <c r="AC12" s="114">
        <f t="shared" si="4"/>
        <v>7.0015559013113959E-2</v>
      </c>
      <c r="AD12" s="2852">
        <f t="shared" si="4"/>
        <v>2.4999999999999911E-2</v>
      </c>
      <c r="AE12" s="1174"/>
      <c r="AF12" s="19"/>
      <c r="AG12" s="19"/>
      <c r="AH12" s="19"/>
    </row>
    <row r="13" spans="1:256">
      <c r="A13" s="19"/>
      <c r="B13" s="19"/>
      <c r="C13" s="19"/>
      <c r="D13" s="19"/>
      <c r="E13" s="19"/>
      <c r="F13" s="19"/>
      <c r="G13" s="19"/>
      <c r="H13" s="19"/>
      <c r="I13" s="111"/>
      <c r="J13" s="112"/>
      <c r="K13" s="112"/>
      <c r="L13" s="112"/>
      <c r="M13" s="127"/>
      <c r="N13" s="127"/>
      <c r="O13" s="127"/>
      <c r="P13" s="127"/>
      <c r="Q13" s="127"/>
      <c r="R13" s="127"/>
      <c r="S13" s="127"/>
      <c r="T13" s="127"/>
      <c r="U13" s="1750"/>
      <c r="V13" s="1750"/>
      <c r="W13" s="1750"/>
      <c r="X13" s="127"/>
      <c r="Y13" s="1755"/>
      <c r="Z13" s="1755"/>
      <c r="AA13" s="1755"/>
      <c r="AB13" s="1755"/>
      <c r="AC13" s="1755"/>
      <c r="AD13" s="127"/>
      <c r="AE13" s="1174"/>
      <c r="AF13" s="19"/>
      <c r="AG13" s="19"/>
      <c r="AH13" s="19"/>
    </row>
    <row r="14" spans="1:256">
      <c r="A14" s="19"/>
      <c r="B14" s="19"/>
      <c r="C14" s="19"/>
      <c r="D14" s="19"/>
      <c r="E14" s="19"/>
      <c r="F14" s="19"/>
      <c r="G14" s="19"/>
      <c r="H14" s="19"/>
      <c r="I14" s="121" t="s">
        <v>123</v>
      </c>
      <c r="J14" s="112"/>
      <c r="K14" s="112"/>
      <c r="L14" s="112"/>
      <c r="M14" s="113">
        <f>Model!BJ49</f>
        <v>-0.57499999999999618</v>
      </c>
      <c r="N14" s="113">
        <f>Model!BK49</f>
        <v>-4.4409999999999989</v>
      </c>
      <c r="O14" s="113">
        <f>Model!BL49</f>
        <v>-1.1280000000000001</v>
      </c>
      <c r="P14" s="113">
        <f>Model!BM49</f>
        <v>4.5969999999999676</v>
      </c>
      <c r="Q14" s="113">
        <f>Model!BN49</f>
        <v>29.428999999999988</v>
      </c>
      <c r="R14" s="113">
        <f>Model!BO49</f>
        <v>70.921999999999997</v>
      </c>
      <c r="S14" s="113">
        <f>Model!BP49</f>
        <v>38.111000000000004</v>
      </c>
      <c r="T14" s="113">
        <f>Model!BQ49</f>
        <v>120.08199999999995</v>
      </c>
      <c r="U14" s="113">
        <f>Model!BR49</f>
        <v>156.607</v>
      </c>
      <c r="V14" s="113">
        <f>Model!BS49</f>
        <v>186.58690435868911</v>
      </c>
      <c r="W14" s="113">
        <f>Model!BT49</f>
        <v>234.7880648287065</v>
      </c>
      <c r="X14" s="113">
        <f>Model!BU49</f>
        <v>283.31739995723177</v>
      </c>
      <c r="Y14" s="113">
        <f>Model!BV49</f>
        <v>340.4198054285194</v>
      </c>
      <c r="Z14" s="113">
        <f>Model!BW49</f>
        <v>402.08232792542259</v>
      </c>
      <c r="AA14" s="113">
        <f>Model!BX49</f>
        <v>465.55167312314603</v>
      </c>
      <c r="AB14" s="113">
        <f>Model!BY49</f>
        <v>531.00424102168972</v>
      </c>
      <c r="AC14" s="113">
        <f>Model!BZ49</f>
        <v>599.90292594584912</v>
      </c>
      <c r="AD14" s="2235">
        <f>+AD11*AD22</f>
        <v>614.90049909449533</v>
      </c>
      <c r="AE14" s="1177">
        <f>RATE(6,,-T14,Y14)</f>
        <v>0.18965988559148467</v>
      </c>
      <c r="AF14" s="19"/>
      <c r="AG14" s="19"/>
      <c r="AH14" s="19"/>
    </row>
    <row r="15" spans="1:256" s="19" customFormat="1">
      <c r="I15" s="121" t="s">
        <v>220</v>
      </c>
      <c r="J15" s="112"/>
      <c r="K15" s="112"/>
      <c r="L15" s="112"/>
      <c r="M15" s="113">
        <f>-Model!BJ66</f>
        <v>-8.0000000000000002E-3</v>
      </c>
      <c r="N15" s="113">
        <f>-Model!BK66</f>
        <v>-7.4999999999999997E-2</v>
      </c>
      <c r="O15" s="113">
        <f t="shared" ref="O15:AC15" si="5">-O72</f>
        <v>-9.1999999999999998E-2</v>
      </c>
      <c r="P15" s="113">
        <f t="shared" si="5"/>
        <v>-0.11</v>
      </c>
      <c r="Q15" s="113">
        <f t="shared" si="5"/>
        <v>-0.29099999999999998</v>
      </c>
      <c r="R15" s="113">
        <f t="shared" si="5"/>
        <v>-1.972</v>
      </c>
      <c r="S15" s="113">
        <f>-S72</f>
        <v>-0.35199999999999998</v>
      </c>
      <c r="T15" s="113">
        <f t="shared" si="5"/>
        <v>0</v>
      </c>
      <c r="U15" s="113">
        <f t="shared" si="5"/>
        <v>-5.3396000000000043</v>
      </c>
      <c r="V15" s="113">
        <f t="shared" si="5"/>
        <v>-11.7637962326415</v>
      </c>
      <c r="W15" s="113">
        <f t="shared" si="5"/>
        <v>-30.932776528258003</v>
      </c>
      <c r="X15" s="113">
        <f t="shared" si="5"/>
        <v>-43.704141808020232</v>
      </c>
      <c r="Y15" s="113">
        <f t="shared" si="5"/>
        <v>-60.928762860284976</v>
      </c>
      <c r="Z15" s="113">
        <f t="shared" si="5"/>
        <v>-81.059481000701339</v>
      </c>
      <c r="AA15" s="113">
        <f t="shared" si="5"/>
        <v>-101.81083715656558</v>
      </c>
      <c r="AB15" s="113">
        <f t="shared" si="5"/>
        <v>-123.24080173921146</v>
      </c>
      <c r="AC15" s="113">
        <f t="shared" si="5"/>
        <v>-145.93238563262116</v>
      </c>
      <c r="AD15" s="124"/>
    </row>
    <row r="16" spans="1:256">
      <c r="A16" s="19"/>
      <c r="B16" s="19"/>
      <c r="C16" s="19"/>
      <c r="D16" s="19"/>
      <c r="E16" s="19"/>
      <c r="F16" s="19"/>
      <c r="G16" s="19"/>
      <c r="H16" s="19"/>
      <c r="I16" s="121" t="s">
        <v>219</v>
      </c>
      <c r="J16" s="112"/>
      <c r="K16" s="112"/>
      <c r="L16" s="112"/>
      <c r="M16" s="113">
        <f>Model!BJ215</f>
        <v>-0.15199999999999991</v>
      </c>
      <c r="N16" s="113">
        <f>Model!BK215</f>
        <v>-2.0810000000000004</v>
      </c>
      <c r="O16" s="113">
        <f>Model!BL215</f>
        <v>1.8270000000000004</v>
      </c>
      <c r="P16" s="113">
        <f>Model!BM215</f>
        <v>-4.7739999999999991</v>
      </c>
      <c r="Q16" s="113">
        <f>Model!BN215</f>
        <v>-9.7419999999999991</v>
      </c>
      <c r="R16" s="113">
        <f>Model!BO215</f>
        <v>-15.964</v>
      </c>
      <c r="S16" s="1894">
        <f>Model!BP215</f>
        <v>-32.128999999999998</v>
      </c>
      <c r="T16" s="1894">
        <f>Model!BQ215</f>
        <v>-10.273999999999997</v>
      </c>
      <c r="U16" s="1894">
        <f>Model!BR215</f>
        <v>19.559999999999995</v>
      </c>
      <c r="V16" s="1894">
        <f>Model!BS215</f>
        <v>-2.7442893768807046</v>
      </c>
      <c r="W16" s="1894">
        <f>Model!BT215</f>
        <v>-0.30202538990474181</v>
      </c>
      <c r="X16" s="1894">
        <f>Model!BU215</f>
        <v>1.2947334900096195</v>
      </c>
      <c r="Y16" s="1894">
        <f>Model!BV215</f>
        <v>3.5807885082181912E-2</v>
      </c>
      <c r="Z16" s="1894">
        <f>Model!BW215</f>
        <v>0.19320624623882665</v>
      </c>
      <c r="AA16" s="1894">
        <f>Model!BX215</f>
        <v>0.53526846219218172</v>
      </c>
      <c r="AB16" s="1894">
        <f>Model!BY215</f>
        <v>0.95719023522371316</v>
      </c>
      <c r="AC16" s="1894">
        <f>Model!BZ215</f>
        <v>1.1560625482428861</v>
      </c>
      <c r="AD16" s="124"/>
      <c r="AE16" s="19"/>
      <c r="AF16" s="19"/>
      <c r="AG16" s="19"/>
      <c r="AH16" s="19"/>
    </row>
    <row r="17" spans="1:35">
      <c r="A17" s="19"/>
      <c r="B17" s="19"/>
      <c r="C17" s="19"/>
      <c r="D17" s="19"/>
      <c r="E17" s="19"/>
      <c r="F17" s="19"/>
      <c r="G17" s="19"/>
      <c r="H17" s="19"/>
      <c r="I17" s="121" t="s">
        <v>130</v>
      </c>
      <c r="J17" s="112"/>
      <c r="K17" s="112"/>
      <c r="L17" s="112"/>
      <c r="M17" s="113">
        <f>-Model!BJ258</f>
        <v>-0.622</v>
      </c>
      <c r="N17" s="113">
        <f>-Model!BK258</f>
        <v>-3.5710000000000002</v>
      </c>
      <c r="O17" s="113">
        <f>-Model!BL258</f>
        <v>-4.798</v>
      </c>
      <c r="P17" s="113">
        <f>-Model!BM258</f>
        <v>-7.524</v>
      </c>
      <c r="Q17" s="113">
        <f>-Model!BN258</f>
        <v>-16.242999999999999</v>
      </c>
      <c r="R17" s="113">
        <f>-Model!BO258</f>
        <v>-29.053999999999995</v>
      </c>
      <c r="S17" s="113">
        <f>-Model!BP258</f>
        <v>-104.54899999999999</v>
      </c>
      <c r="T17" s="113">
        <f>-Model!BQ258</f>
        <v>-22.994</v>
      </c>
      <c r="U17" s="113">
        <f>-Model!BR258</f>
        <v>-15.598000000000003</v>
      </c>
      <c r="V17" s="113">
        <f>-Model!BS258</f>
        <v>-24</v>
      </c>
      <c r="W17" s="113">
        <f>-Model!BT258</f>
        <v>-36.30290473341244</v>
      </c>
      <c r="X17" s="113">
        <f>-Model!BU258</f>
        <v>-41.119783277907715</v>
      </c>
      <c r="Y17" s="113">
        <f>-Model!BV258</f>
        <v>-46.119783277907715</v>
      </c>
      <c r="Z17" s="113">
        <f>-Model!BW258</f>
        <v>-51.119783277907715</v>
      </c>
      <c r="AA17" s="113">
        <f>-Model!BX258</f>
        <v>-56.119783277907715</v>
      </c>
      <c r="AB17" s="113">
        <f>-Model!BY258</f>
        <v>-61.119783277907715</v>
      </c>
      <c r="AC17" s="113">
        <f>-Model!BZ258</f>
        <v>-66.119783277907715</v>
      </c>
      <c r="AD17" s="124"/>
      <c r="AE17" s="19"/>
      <c r="AF17" s="19"/>
      <c r="AG17" s="19"/>
      <c r="AH17" s="19"/>
    </row>
    <row r="18" spans="1:35">
      <c r="A18" s="19"/>
      <c r="B18" s="19"/>
      <c r="C18" s="19"/>
      <c r="D18" s="19"/>
      <c r="E18" s="19"/>
      <c r="F18" s="19"/>
      <c r="G18" s="19"/>
      <c r="H18" s="19"/>
      <c r="I18" s="1673" t="s">
        <v>218</v>
      </c>
      <c r="J18" s="140"/>
      <c r="K18" s="140"/>
      <c r="L18" s="140"/>
      <c r="M18" s="195">
        <f>-Model!BJ36</f>
        <v>-0.55700000000000005</v>
      </c>
      <c r="N18" s="195">
        <f>-Model!BK36</f>
        <v>-1.431</v>
      </c>
      <c r="O18" s="195">
        <f>-Model!BL36</f>
        <v>-4.8770000000000007</v>
      </c>
      <c r="P18" s="195">
        <f>-Model!BM36</f>
        <v>-14.879000000000001</v>
      </c>
      <c r="Q18" s="195">
        <f>-Model!BN36</f>
        <v>-26.677</v>
      </c>
      <c r="R18" s="195">
        <f>-Model!BO36</f>
        <v>-42.273000000000003</v>
      </c>
      <c r="S18" s="195">
        <f>-Model!BP36</f>
        <v>-60.842000000000006</v>
      </c>
      <c r="T18" s="195">
        <f>-Model!BQ36</f>
        <v>-86.26</v>
      </c>
      <c r="U18" s="195">
        <f>-Model!BR36</f>
        <v>-100.41500000000001</v>
      </c>
      <c r="V18" s="195">
        <f>-Model!BS36</f>
        <v>-114.26265000000001</v>
      </c>
      <c r="W18" s="195">
        <f>-Model!BT36</f>
        <v>-127.97416800000002</v>
      </c>
      <c r="X18" s="195">
        <f>-Model!BU36</f>
        <v>-140.77158480000003</v>
      </c>
      <c r="Y18" s="195">
        <f>-Model!BV36</f>
        <v>-150.62559573600004</v>
      </c>
      <c r="Z18" s="195">
        <f>-Model!BW36</f>
        <v>-158.15687552280005</v>
      </c>
      <c r="AA18" s="195">
        <f>-Model!BX36</f>
        <v>-166.06471929894005</v>
      </c>
      <c r="AB18" s="195">
        <f>-Model!BY36</f>
        <v>-174.36795526388707</v>
      </c>
      <c r="AC18" s="195">
        <f>-Model!BZ36</f>
        <v>-183.08635302708143</v>
      </c>
      <c r="AD18" s="208"/>
      <c r="AE18" s="19"/>
      <c r="AF18" s="19"/>
      <c r="AG18" s="19"/>
      <c r="AH18" s="19"/>
    </row>
    <row r="19" spans="1:35">
      <c r="A19" s="19"/>
      <c r="B19" s="19"/>
      <c r="C19" s="19"/>
      <c r="D19" s="19"/>
      <c r="E19" s="19"/>
      <c r="F19" s="19"/>
      <c r="G19" s="19"/>
      <c r="H19" s="19"/>
      <c r="I19" s="4" t="s">
        <v>131</v>
      </c>
      <c r="J19" s="4"/>
      <c r="K19" s="4"/>
      <c r="L19" s="4"/>
      <c r="M19" s="205">
        <f t="shared" ref="M19:AC19" si="6">IF(ISERROR(+SUM(M14:M18)), "NA", +SUM(M14:M18))</f>
        <v>-1.9139999999999961</v>
      </c>
      <c r="N19" s="205">
        <f t="shared" si="6"/>
        <v>-11.599</v>
      </c>
      <c r="O19" s="205">
        <f t="shared" si="6"/>
        <v>-9.0680000000000014</v>
      </c>
      <c r="P19" s="205">
        <f t="shared" si="6"/>
        <v>-22.690000000000033</v>
      </c>
      <c r="Q19" s="205">
        <f t="shared" si="6"/>
        <v>-23.524000000000012</v>
      </c>
      <c r="R19" s="205">
        <f t="shared" si="6"/>
        <v>-18.340999999999994</v>
      </c>
      <c r="S19" s="205">
        <f>IF(ISERROR(+SUM(S14:S18)), "NA", +SUM(S14:S18))</f>
        <v>-159.761</v>
      </c>
      <c r="T19" s="205">
        <f t="shared" si="6"/>
        <v>0.5539999999999452</v>
      </c>
      <c r="U19" s="205">
        <f t="shared" si="6"/>
        <v>54.814399999999992</v>
      </c>
      <c r="V19" s="205">
        <f t="shared" si="6"/>
        <v>33.816168749166877</v>
      </c>
      <c r="W19" s="205">
        <f t="shared" si="6"/>
        <v>39.276190177131269</v>
      </c>
      <c r="X19" s="205">
        <f t="shared" si="6"/>
        <v>59.016623561313423</v>
      </c>
      <c r="Y19" s="205">
        <f t="shared" si="6"/>
        <v>82.781471439408875</v>
      </c>
      <c r="Z19" s="205">
        <f t="shared" si="6"/>
        <v>111.93939437025236</v>
      </c>
      <c r="AA19" s="205">
        <f t="shared" si="6"/>
        <v>142.09160185192482</v>
      </c>
      <c r="AB19" s="205">
        <f t="shared" si="6"/>
        <v>173.23289097590717</v>
      </c>
      <c r="AC19" s="205">
        <f t="shared" si="6"/>
        <v>205.9204665564817</v>
      </c>
      <c r="AD19" s="205">
        <f>+AD14*AD24</f>
        <v>211.06847822039373</v>
      </c>
      <c r="AE19" s="19"/>
      <c r="AF19" s="19"/>
      <c r="AG19" s="19"/>
      <c r="AH19" s="19"/>
    </row>
    <row r="20" spans="1:35">
      <c r="A20" s="19"/>
      <c r="B20" s="19"/>
      <c r="C20" s="19"/>
      <c r="D20" s="19"/>
      <c r="E20" s="19"/>
      <c r="F20" s="19"/>
      <c r="G20" s="19"/>
      <c r="H20" s="19"/>
      <c r="I20" s="111" t="s">
        <v>144</v>
      </c>
      <c r="J20" s="112"/>
      <c r="K20" s="112"/>
      <c r="L20" s="112"/>
      <c r="M20" s="114">
        <f t="shared" ref="M20:AD20" si="7">IF(ISERROR(+M19/M11), "NA", +M19/M11)</f>
        <v>-7.4163050216986826E-2</v>
      </c>
      <c r="N20" s="114">
        <f t="shared" si="7"/>
        <v>-0.24300768892334121</v>
      </c>
      <c r="O20" s="114">
        <f t="shared" si="7"/>
        <v>-0.10887914990694605</v>
      </c>
      <c r="P20" s="114">
        <f t="shared" si="7"/>
        <v>-0.1649390110928575</v>
      </c>
      <c r="Q20" s="114">
        <f t="shared" si="7"/>
        <v>-0.10096657338575384</v>
      </c>
      <c r="R20" s="114">
        <f t="shared" si="7"/>
        <v>-4.8580797592812329E-2</v>
      </c>
      <c r="S20" s="114">
        <f>IF(ISERROR(+S19/S11), "NA", +S19/S11)</f>
        <v>-0.30800269905533062</v>
      </c>
      <c r="T20" s="114">
        <f t="shared" si="7"/>
        <v>7.7692341133879788E-4</v>
      </c>
      <c r="U20" s="114">
        <f t="shared" si="7"/>
        <v>6.4730229696520952E-2</v>
      </c>
      <c r="V20" s="114">
        <f t="shared" si="7"/>
        <v>3.5225175780382166E-2</v>
      </c>
      <c r="W20" s="114">
        <f t="shared" si="7"/>
        <v>3.5181109080196407E-2</v>
      </c>
      <c r="X20" s="114">
        <f t="shared" si="7"/>
        <v>4.6816296653429658E-2</v>
      </c>
      <c r="Y20" s="114">
        <f t="shared" si="7"/>
        <v>5.9104292045843838E-2</v>
      </c>
      <c r="Z20" s="114">
        <f t="shared" si="7"/>
        <v>7.2801375110726041E-2</v>
      </c>
      <c r="AA20" s="114">
        <f t="shared" si="7"/>
        <v>8.5054233120989364E-2</v>
      </c>
      <c r="AB20" s="114">
        <f t="shared" si="7"/>
        <v>9.6261886516952194E-2</v>
      </c>
      <c r="AC20" s="114">
        <f t="shared" si="7"/>
        <v>0.10693833950793608</v>
      </c>
      <c r="AD20" s="114">
        <f t="shared" si="7"/>
        <v>0.10693833950793608</v>
      </c>
      <c r="AE20" s="19"/>
      <c r="AF20" s="19"/>
      <c r="AG20" s="19"/>
      <c r="AH20" s="19"/>
    </row>
    <row r="21" spans="1:35" s="1378" customFormat="1">
      <c r="I21" s="1379"/>
      <c r="J21" s="1380"/>
      <c r="K21" s="1380"/>
      <c r="L21" s="1380"/>
      <c r="M21" s="1381"/>
      <c r="N21" s="1381"/>
      <c r="O21" s="1381"/>
      <c r="P21" s="1381"/>
      <c r="Q21" s="1381"/>
      <c r="R21" s="1381"/>
      <c r="S21" s="1381"/>
      <c r="T21" s="1640"/>
      <c r="U21" s="1640"/>
      <c r="V21" s="1640"/>
      <c r="W21" s="1640"/>
      <c r="X21" s="1640"/>
      <c r="Y21" s="1640"/>
      <c r="Z21" s="1640"/>
      <c r="AA21" s="1640"/>
      <c r="AB21" s="1640"/>
      <c r="AC21" s="1640"/>
      <c r="AD21" s="1381"/>
    </row>
    <row r="22" spans="1:35">
      <c r="A22" s="19"/>
      <c r="B22" s="19"/>
      <c r="C22" s="19"/>
      <c r="D22" s="19"/>
      <c r="E22" s="19"/>
      <c r="F22" s="19"/>
      <c r="G22" s="19"/>
      <c r="H22" s="19"/>
      <c r="I22" s="121" t="s">
        <v>221</v>
      </c>
      <c r="J22" s="112"/>
      <c r="K22" s="112"/>
      <c r="L22" s="112"/>
      <c r="M22" s="114">
        <f>IF(ISERROR(+M14/M11), "NA", +M14/M11)</f>
        <v>-2.2279913205207537E-2</v>
      </c>
      <c r="N22" s="114">
        <f t="shared" ref="N22:W22" si="8">IF(ISERROR(+N14/N11), "NA", +N14/N11)</f>
        <v>-9.3042257652259514E-2</v>
      </c>
      <c r="O22" s="114">
        <f t="shared" si="8"/>
        <v>-1.354385543615297E-2</v>
      </c>
      <c r="P22" s="114">
        <f t="shared" si="8"/>
        <v>3.3416687262840875E-2</v>
      </c>
      <c r="Q22" s="114">
        <f>IF(ISERROR(+Q14/Q11), "NA", +Q14/Q11)</f>
        <v>0.12631122632925298</v>
      </c>
      <c r="R22" s="114">
        <f>IF(ISERROR(+R14/R11), "NA", +R14/R11)</f>
        <v>0.18785493303949824</v>
      </c>
      <c r="S22" s="114">
        <f>IF(ISERROR(+S14/S11), "NA", +S14/S11)</f>
        <v>7.3474069789859264E-2</v>
      </c>
      <c r="T22" s="114">
        <f t="shared" si="8"/>
        <v>0.16840165537977383</v>
      </c>
      <c r="U22" s="114">
        <f t="shared" si="8"/>
        <v>0.18493693412831405</v>
      </c>
      <c r="V22" s="114">
        <f t="shared" si="8"/>
        <v>0.19436135870696783</v>
      </c>
      <c r="W22" s="114">
        <f t="shared" si="8"/>
        <v>0.2103081913549861</v>
      </c>
      <c r="X22" s="114">
        <f t="shared" ref="X22:AC22" si="9">IF(ISERROR(+X14/X11), "NA", +X14/X11)</f>
        <v>0.2247480564471139</v>
      </c>
      <c r="Y22" s="114">
        <f t="shared" si="9"/>
        <v>0.24305283837535299</v>
      </c>
      <c r="Z22" s="114">
        <f t="shared" si="9"/>
        <v>0.26149995312527485</v>
      </c>
      <c r="AA22" s="114">
        <f t="shared" si="9"/>
        <v>0.27867333480375078</v>
      </c>
      <c r="AB22" s="114">
        <f t="shared" si="9"/>
        <v>0.29506792677355509</v>
      </c>
      <c r="AC22" s="114">
        <f t="shared" si="9"/>
        <v>0.31154077998849666</v>
      </c>
      <c r="AD22" s="1682">
        <f>AC22</f>
        <v>0.31154077998849666</v>
      </c>
      <c r="AE22" s="2658">
        <f>(V22-T22)*10000</f>
        <v>259.59703327193995</v>
      </c>
      <c r="AF22" s="19"/>
      <c r="AG22" s="19"/>
      <c r="AH22" s="19"/>
    </row>
    <row r="23" spans="1:35">
      <c r="A23" s="19"/>
      <c r="B23" s="19"/>
      <c r="C23" s="19"/>
      <c r="D23" s="19"/>
      <c r="E23" s="19"/>
      <c r="F23" s="19"/>
      <c r="G23" s="19"/>
      <c r="H23" s="19"/>
      <c r="I23" s="2250" t="s">
        <v>604</v>
      </c>
      <c r="J23" s="112"/>
      <c r="K23" s="112"/>
      <c r="L23" s="112"/>
      <c r="M23" s="114"/>
      <c r="N23" s="114"/>
      <c r="O23" s="114"/>
      <c r="P23" s="114"/>
      <c r="Q23" s="114"/>
      <c r="R23" s="114">
        <f>+(R14-Q14)/(R11-Q11)</f>
        <v>0.28705343553698437</v>
      </c>
      <c r="S23" s="114">
        <f>+(S14-R14)/(S11-R11)</f>
        <v>-0.23243178147402999</v>
      </c>
      <c r="T23" s="114">
        <f>+(T14-S14)/(T11-S11)</f>
        <v>0.42172877362130784</v>
      </c>
      <c r="U23" s="114">
        <f t="shared" ref="U23:AC23" si="10">+(U14-T14)/(U11-T11)</f>
        <v>0.27309636320134018</v>
      </c>
      <c r="V23" s="114">
        <f t="shared" si="10"/>
        <v>0.26487056250884916</v>
      </c>
      <c r="W23" s="2251">
        <f t="shared" si="10"/>
        <v>0.30819156310752788</v>
      </c>
      <c r="X23" s="2251">
        <f t="shared" si="10"/>
        <v>0.33654185248630608</v>
      </c>
      <c r="Y23" s="2251">
        <f t="shared" si="10"/>
        <v>0.40787432479491159</v>
      </c>
      <c r="Z23" s="2251">
        <f t="shared" si="10"/>
        <v>0.45009140508688461</v>
      </c>
      <c r="AA23" s="2251">
        <f t="shared" si="10"/>
        <v>0.47721312178739428</v>
      </c>
      <c r="AB23" s="2251">
        <f t="shared" si="10"/>
        <v>0.50738424727553244</v>
      </c>
      <c r="AC23" s="2251">
        <f t="shared" si="10"/>
        <v>0.54681495971555072</v>
      </c>
      <c r="AD23" s="1682"/>
      <c r="AE23" s="1174"/>
      <c r="AF23" s="19"/>
      <c r="AG23" s="19"/>
      <c r="AH23" s="19"/>
      <c r="AI23" s="19"/>
    </row>
    <row r="24" spans="1:35" ht="10.5" customHeight="1">
      <c r="A24" s="19"/>
      <c r="B24" s="19"/>
      <c r="C24" s="19"/>
      <c r="D24" s="19"/>
      <c r="E24" s="19"/>
      <c r="F24" s="19"/>
      <c r="G24" s="19"/>
      <c r="H24" s="19"/>
      <c r="I24" s="121" t="s">
        <v>337</v>
      </c>
      <c r="J24" s="112"/>
      <c r="K24" s="112"/>
      <c r="L24" s="112"/>
      <c r="M24" s="114">
        <f t="shared" ref="M24:AC24" si="11">IF(ISERROR(+M19/M14), "NA", +M19/M14)</f>
        <v>3.3286956521739284</v>
      </c>
      <c r="N24" s="114">
        <f t="shared" si="11"/>
        <v>2.6117991443368616</v>
      </c>
      <c r="O24" s="114">
        <f t="shared" si="11"/>
        <v>8.0390070921985828</v>
      </c>
      <c r="P24" s="114">
        <f t="shared" si="11"/>
        <v>-4.9358277137263853</v>
      </c>
      <c r="Q24" s="114">
        <f t="shared" si="11"/>
        <v>-0.79934758231676306</v>
      </c>
      <c r="R24" s="114">
        <f t="shared" si="11"/>
        <v>-0.25860804827839029</v>
      </c>
      <c r="S24" s="114">
        <f>IF(ISERROR(+S19/S14), "NA", +S19/S14)</f>
        <v>-4.1919918133872107</v>
      </c>
      <c r="T24" s="114">
        <f t="shared" si="11"/>
        <v>4.6135140986987679E-3</v>
      </c>
      <c r="U24" s="114">
        <f t="shared" si="11"/>
        <v>0.35001245155069693</v>
      </c>
      <c r="V24" s="114">
        <f t="shared" si="11"/>
        <v>0.1812354884464972</v>
      </c>
      <c r="W24" s="114">
        <f t="shared" si="11"/>
        <v>0.16728358916278757</v>
      </c>
      <c r="X24" s="114">
        <f t="shared" si="11"/>
        <v>0.2083056796731238</v>
      </c>
      <c r="Y24" s="114">
        <f t="shared" si="11"/>
        <v>0.2431746629289204</v>
      </c>
      <c r="Z24" s="114">
        <f t="shared" si="11"/>
        <v>0.27839918990673634</v>
      </c>
      <c r="AA24" s="114">
        <f t="shared" si="11"/>
        <v>0.30521123659314886</v>
      </c>
      <c r="AB24" s="114">
        <f t="shared" si="11"/>
        <v>0.32623636045278065</v>
      </c>
      <c r="AC24" s="114">
        <f t="shared" si="11"/>
        <v>0.34325631306400617</v>
      </c>
      <c r="AD24" s="1682">
        <f>AC24</f>
        <v>0.34325631306400617</v>
      </c>
      <c r="AE24" s="19"/>
      <c r="AF24" s="19"/>
      <c r="AG24" s="19"/>
      <c r="AH24" s="19"/>
    </row>
    <row r="25" spans="1:35" s="1378" customFormat="1">
      <c r="I25" s="1379"/>
      <c r="J25" s="1380"/>
      <c r="K25" s="1380"/>
      <c r="L25" s="1380"/>
      <c r="M25" s="1382"/>
      <c r="N25" s="1382"/>
      <c r="O25" s="1382"/>
      <c r="P25" s="1382"/>
      <c r="Q25" s="1382"/>
      <c r="R25" s="1382"/>
      <c r="S25" s="1382"/>
      <c r="T25" s="1382"/>
      <c r="U25" s="1382"/>
      <c r="V25" s="1382"/>
      <c r="W25" s="1382"/>
      <c r="X25" s="1382"/>
      <c r="Y25" s="1382"/>
      <c r="Z25" s="1382"/>
      <c r="AA25" s="1382"/>
      <c r="AB25" s="1382"/>
      <c r="AC25" s="1382"/>
      <c r="AD25" s="1382"/>
    </row>
    <row r="26" spans="1:35" ht="12" hidden="1" customHeight="1" outlineLevel="1" thickBot="1">
      <c r="A26" s="19"/>
      <c r="B26" s="19"/>
      <c r="C26" s="19"/>
      <c r="D26" s="19"/>
      <c r="E26" s="19"/>
      <c r="F26" s="19"/>
      <c r="G26" s="19"/>
      <c r="H26" s="112"/>
      <c r="I26" s="126" t="s">
        <v>147</v>
      </c>
      <c r="J26" s="126"/>
      <c r="K26" s="126"/>
      <c r="L26" s="126"/>
      <c r="M26" s="12"/>
      <c r="N26" s="12"/>
      <c r="O26" s="12"/>
      <c r="P26" s="12"/>
      <c r="Q26" s="12"/>
      <c r="R26" s="12"/>
      <c r="S26" s="10">
        <f>S$8</f>
        <v>42369</v>
      </c>
      <c r="T26" s="10">
        <f>T$8</f>
        <v>42735</v>
      </c>
      <c r="U26" s="12">
        <f>U$8</f>
        <v>43100</v>
      </c>
      <c r="V26" s="12">
        <f>V$8</f>
        <v>43465</v>
      </c>
      <c r="W26" s="12">
        <f>W$8</f>
        <v>43830</v>
      </c>
      <c r="X26" s="12">
        <f t="shared" ref="X26:AC26" si="12">X$8</f>
        <v>44196</v>
      </c>
      <c r="Y26" s="12">
        <f t="shared" si="12"/>
        <v>44561</v>
      </c>
      <c r="Z26" s="12">
        <f t="shared" si="12"/>
        <v>44926</v>
      </c>
      <c r="AA26" s="12">
        <f t="shared" si="12"/>
        <v>45291</v>
      </c>
      <c r="AB26" s="12">
        <f t="shared" si="12"/>
        <v>45657</v>
      </c>
      <c r="AC26" s="12">
        <f t="shared" si="12"/>
        <v>46022</v>
      </c>
      <c r="AD26" s="19"/>
      <c r="AE26" s="19"/>
      <c r="AF26" s="19"/>
      <c r="AG26" s="19"/>
      <c r="AH26" s="19"/>
    </row>
    <row r="27" spans="1:35" ht="11.25" hidden="1" customHeight="1" outlineLevel="1">
      <c r="A27" s="19"/>
      <c r="B27" s="19"/>
      <c r="C27" s="19"/>
      <c r="D27" s="19"/>
      <c r="E27" s="19"/>
      <c r="F27" s="19"/>
      <c r="G27" s="19"/>
      <c r="H27" s="19"/>
      <c r="I27" s="121" t="s">
        <v>148</v>
      </c>
      <c r="J27" s="112"/>
      <c r="K27" s="112"/>
      <c r="L27" s="112"/>
      <c r="M27" s="127"/>
      <c r="N27" s="129"/>
      <c r="O27" s="130"/>
      <c r="P27" s="131"/>
      <c r="Q27" s="187"/>
      <c r="R27" s="187"/>
      <c r="S27" s="1680"/>
      <c r="T27" s="2234">
        <v>0</v>
      </c>
      <c r="U27" s="2234">
        <v>0</v>
      </c>
      <c r="V27" s="2234">
        <v>0</v>
      </c>
      <c r="W27" s="1674">
        <f t="shared" ref="W27:AC27" si="13">V27+1</f>
        <v>1</v>
      </c>
      <c r="X27" s="1674">
        <f t="shared" si="13"/>
        <v>2</v>
      </c>
      <c r="Y27" s="1674">
        <f t="shared" si="13"/>
        <v>3</v>
      </c>
      <c r="Z27" s="1674">
        <f t="shared" si="13"/>
        <v>4</v>
      </c>
      <c r="AA27" s="1674">
        <f t="shared" si="13"/>
        <v>5</v>
      </c>
      <c r="AB27" s="1674">
        <f t="shared" si="13"/>
        <v>6</v>
      </c>
      <c r="AC27" s="1674">
        <f t="shared" si="13"/>
        <v>7</v>
      </c>
      <c r="AD27" s="19"/>
      <c r="AE27" s="19"/>
      <c r="AF27" s="19"/>
      <c r="AG27" s="19"/>
      <c r="AH27" s="19"/>
    </row>
    <row r="28" spans="1:35" ht="11.25" hidden="1" customHeight="1" outlineLevel="1">
      <c r="A28" s="19"/>
      <c r="B28" s="19"/>
      <c r="C28" s="19"/>
      <c r="D28" s="19"/>
      <c r="E28" s="19"/>
      <c r="F28" s="19"/>
      <c r="G28" s="19"/>
      <c r="H28" s="19"/>
      <c r="I28" s="121" t="s">
        <v>149</v>
      </c>
      <c r="J28" s="112"/>
      <c r="K28" s="112"/>
      <c r="L28" s="112"/>
      <c r="M28" s="122"/>
      <c r="N28" s="165"/>
      <c r="O28" s="165"/>
      <c r="P28" s="124"/>
      <c r="Q28" s="124"/>
      <c r="R28" s="124"/>
      <c r="S28" s="124"/>
      <c r="T28" s="1675"/>
      <c r="U28" s="1675"/>
      <c r="V28" s="1675"/>
      <c r="W28" s="1675">
        <f t="shared" ref="W28:AC28" si="14">W$19/(1+$L$48)^W27</f>
        <v>36.378632128126029</v>
      </c>
      <c r="X28" s="1675">
        <f t="shared" si="14"/>
        <v>50.63005287989467</v>
      </c>
      <c r="Y28" s="1675">
        <f t="shared" si="14"/>
        <v>65.778531615138704</v>
      </c>
      <c r="Z28" s="1675">
        <f t="shared" si="14"/>
        <v>82.385540733870769</v>
      </c>
      <c r="AA28" s="1675">
        <f t="shared" si="14"/>
        <v>96.862007291261833</v>
      </c>
      <c r="AB28" s="1675">
        <f t="shared" si="14"/>
        <v>109.37861467354573</v>
      </c>
      <c r="AC28" s="1675">
        <f t="shared" si="14"/>
        <v>120.42553652771358</v>
      </c>
      <c r="AD28" s="19"/>
      <c r="AE28" s="19"/>
      <c r="AF28" s="19"/>
      <c r="AG28" s="19"/>
      <c r="AH28" s="19"/>
    </row>
    <row r="29" spans="1:35" ht="11.25" hidden="1" customHeight="1" outlineLevel="1">
      <c r="A29" s="19"/>
      <c r="B29" s="19"/>
      <c r="C29" s="19"/>
      <c r="D29" s="19"/>
      <c r="E29" s="19"/>
      <c r="F29" s="19"/>
      <c r="G29" s="19"/>
      <c r="H29" s="19"/>
      <c r="I29" s="132"/>
      <c r="J29" s="112"/>
      <c r="K29" s="112"/>
      <c r="L29" s="112"/>
      <c r="M29" s="122"/>
      <c r="N29" s="122"/>
      <c r="O29" s="122"/>
      <c r="P29" s="123"/>
      <c r="Q29" s="123"/>
      <c r="R29" s="123"/>
      <c r="S29" s="123"/>
      <c r="T29" s="1174"/>
      <c r="Z29" s="89"/>
      <c r="AE29" s="19"/>
    </row>
    <row r="30" spans="1:35" collapsed="1">
      <c r="A30" s="19"/>
      <c r="B30" s="19"/>
      <c r="C30" s="19"/>
      <c r="D30" s="19"/>
      <c r="E30" s="19"/>
      <c r="F30" s="19"/>
      <c r="G30" s="19"/>
      <c r="H30" s="19"/>
      <c r="I30" s="132"/>
      <c r="J30" s="112"/>
      <c r="K30" s="112"/>
      <c r="L30" s="112"/>
      <c r="M30" s="122"/>
      <c r="N30" s="122"/>
      <c r="O30" s="122"/>
      <c r="P30" s="123"/>
      <c r="Q30" s="123"/>
      <c r="R30" s="123"/>
      <c r="S30" s="123"/>
      <c r="T30" s="2256"/>
      <c r="U30" s="2257"/>
      <c r="V30" s="2257"/>
      <c r="W30" s="2257"/>
      <c r="X30" s="2257"/>
      <c r="Y30" s="2257"/>
      <c r="Z30" s="2257"/>
      <c r="AA30" s="2257"/>
      <c r="AB30" s="2257"/>
      <c r="AC30" s="2257"/>
      <c r="AD30" s="2257"/>
      <c r="AE30" s="19"/>
    </row>
    <row r="31" spans="1:35">
      <c r="A31" s="19"/>
      <c r="B31" s="19"/>
      <c r="C31" s="19"/>
      <c r="D31" s="19"/>
      <c r="E31" s="19"/>
      <c r="F31" s="19"/>
      <c r="G31" s="19"/>
      <c r="H31" s="19"/>
      <c r="I31" s="133" t="s">
        <v>238</v>
      </c>
      <c r="J31" s="134"/>
      <c r="K31" s="134"/>
      <c r="L31" s="135"/>
      <c r="M31" s="112"/>
      <c r="N31" s="130"/>
      <c r="O31" s="112"/>
      <c r="P31" s="123"/>
      <c r="Q31" s="123"/>
      <c r="R31" s="123"/>
      <c r="S31" s="19"/>
      <c r="T31" s="2512"/>
      <c r="U31" s="2512"/>
      <c r="V31" s="2512"/>
      <c r="W31" s="2512"/>
      <c r="X31" s="2512"/>
      <c r="Y31" s="2512"/>
      <c r="Z31" s="2512"/>
      <c r="AA31" s="2512"/>
      <c r="AB31" s="2512"/>
      <c r="AC31" s="2512"/>
      <c r="AE31" s="19"/>
    </row>
    <row r="32" spans="1:35">
      <c r="A32" s="19"/>
      <c r="B32" s="19"/>
      <c r="C32" s="19"/>
      <c r="D32" s="19"/>
      <c r="E32" s="19"/>
      <c r="F32" s="19"/>
      <c r="G32" s="19"/>
      <c r="H32" s="19"/>
      <c r="I32" s="136" t="s">
        <v>186</v>
      </c>
      <c r="J32" s="137"/>
      <c r="K32" s="137"/>
      <c r="L32" s="251">
        <f>SUM(W28:AC28)</f>
        <v>561.83891584955131</v>
      </c>
      <c r="M32" s="170"/>
      <c r="N32" s="130"/>
      <c r="P32" s="123"/>
      <c r="Q32" s="123"/>
      <c r="R32" s="123"/>
      <c r="S32" s="19"/>
      <c r="T32" s="1174"/>
      <c r="Z32" s="89"/>
      <c r="AD32" s="1906"/>
      <c r="AE32" s="19"/>
    </row>
    <row r="33" spans="1:38">
      <c r="A33" s="19"/>
      <c r="B33" s="19"/>
      <c r="C33" s="19"/>
      <c r="D33" s="19"/>
      <c r="E33" s="19"/>
      <c r="F33" s="19"/>
      <c r="G33" s="19"/>
      <c r="H33" s="19"/>
      <c r="I33" s="136" t="s">
        <v>150</v>
      </c>
      <c r="J33" s="137"/>
      <c r="K33" s="137"/>
      <c r="L33" s="252">
        <f>(($AD$19)/($L$48-$L$49))/(1+$L$48)^$AC$27</f>
        <v>2258.6674280129264</v>
      </c>
      <c r="M33" s="112"/>
      <c r="N33" s="130"/>
      <c r="P33" s="19"/>
      <c r="Q33" s="1729">
        <f>L33/L34</f>
        <v>0.80080210878726343</v>
      </c>
      <c r="R33" s="19"/>
      <c r="S33" s="19"/>
      <c r="T33" s="1683" t="s">
        <v>506</v>
      </c>
      <c r="U33" s="1684"/>
      <c r="V33" s="1684"/>
      <c r="W33" s="1684"/>
      <c r="X33" s="1684"/>
      <c r="Y33" s="1685"/>
      <c r="Z33" s="1684"/>
      <c r="AA33" s="1685"/>
      <c r="AE33" s="19"/>
    </row>
    <row r="34" spans="1:38">
      <c r="A34" s="19"/>
      <c r="B34" s="19"/>
      <c r="C34" s="19"/>
      <c r="D34" s="19"/>
      <c r="E34" s="19"/>
      <c r="F34" s="19"/>
      <c r="G34" s="19"/>
      <c r="H34" s="19"/>
      <c r="I34" s="138" t="s">
        <v>151</v>
      </c>
      <c r="J34" s="2"/>
      <c r="K34" s="2"/>
      <c r="L34" s="253">
        <f>L32+L33</f>
        <v>2820.5063438624775</v>
      </c>
      <c r="M34" s="112"/>
      <c r="N34" s="130"/>
      <c r="P34" s="19"/>
      <c r="Q34" s="19"/>
      <c r="R34" s="1728"/>
      <c r="S34" s="19"/>
      <c r="T34" s="1686">
        <f>+L34</f>
        <v>2820.5063438624775</v>
      </c>
      <c r="U34" s="1687">
        <f>+V34-0.005</f>
        <v>6.964999999999999E-2</v>
      </c>
      <c r="V34" s="1687">
        <f>+W34-0.005</f>
        <v>7.4649999999999994E-2</v>
      </c>
      <c r="W34" s="1688">
        <f>+L48</f>
        <v>7.9649999999999999E-2</v>
      </c>
      <c r="X34" s="1687">
        <f>+W34+0.005</f>
        <v>8.4650000000000003E-2</v>
      </c>
      <c r="Y34" s="1687">
        <f>+X34+0.005</f>
        <v>8.9650000000000007E-2</v>
      </c>
      <c r="Z34" s="1687">
        <f>+Y34+0.005</f>
        <v>9.4650000000000012E-2</v>
      </c>
      <c r="AA34" s="1689">
        <f>+Z34+0.005</f>
        <v>9.9650000000000016E-2</v>
      </c>
      <c r="AE34" s="19"/>
    </row>
    <row r="35" spans="1:38">
      <c r="A35" s="19"/>
      <c r="B35" s="19"/>
      <c r="C35" s="19"/>
      <c r="D35" s="19"/>
      <c r="E35" s="19"/>
      <c r="F35" s="19"/>
      <c r="G35" s="19"/>
      <c r="H35" s="19"/>
      <c r="I35" s="136" t="s">
        <v>329</v>
      </c>
      <c r="J35" s="137"/>
      <c r="K35" s="137"/>
      <c r="L35" s="251">
        <f>Model!BS171</f>
        <v>30.736999999999998</v>
      </c>
      <c r="M35" s="112"/>
      <c r="N35" s="130"/>
      <c r="P35" s="19"/>
      <c r="Q35" s="19"/>
      <c r="R35" s="19"/>
      <c r="S35" s="19"/>
      <c r="T35" s="1690">
        <f>+T36-0.5%</f>
        <v>0.02</v>
      </c>
      <c r="U35" s="1691">
        <f t="shared" ref="U35:AA37" si="15">+(($AC$11*(1+$T35)*$AD$22*$AD$24)/(U$34-$T35))/((1+U$34)^$AC$27)+$L$32-$L$35+$L$36</f>
        <v>4160.5336719973438</v>
      </c>
      <c r="V35" s="1692">
        <f t="shared" si="15"/>
        <v>3841.9015186751913</v>
      </c>
      <c r="W35" s="1693">
        <f t="shared" si="15"/>
        <v>3579.265519459248</v>
      </c>
      <c r="X35" s="1692">
        <f t="shared" si="15"/>
        <v>3359.5361542316605</v>
      </c>
      <c r="Y35" s="1692">
        <f t="shared" si="15"/>
        <v>3173.3866495911871</v>
      </c>
      <c r="Z35" s="1692">
        <f t="shared" si="15"/>
        <v>3013.9926601982734</v>
      </c>
      <c r="AA35" s="1694">
        <f t="shared" si="15"/>
        <v>2876.246655952978</v>
      </c>
    </row>
    <row r="36" spans="1:38">
      <c r="A36" s="19"/>
      <c r="B36" s="19"/>
      <c r="C36" s="19"/>
      <c r="D36" s="19"/>
      <c r="E36" s="19"/>
      <c r="F36" s="19"/>
      <c r="G36" s="19"/>
      <c r="H36" s="19"/>
      <c r="I36" s="136" t="s">
        <v>330</v>
      </c>
      <c r="J36" s="137"/>
      <c r="K36" s="137"/>
      <c r="L36" s="252">
        <f>SUM(Model!BS153,Model!BS154,Model!BS160)</f>
        <v>988.91721202096483</v>
      </c>
      <c r="M36" s="112"/>
      <c r="N36" s="130"/>
      <c r="P36" s="19"/>
      <c r="Q36" s="19"/>
      <c r="R36" s="19"/>
      <c r="S36" s="19"/>
      <c r="T36" s="1695">
        <f>+L49</f>
        <v>2.5000000000000001E-2</v>
      </c>
      <c r="U36" s="1696">
        <f t="shared" si="15"/>
        <v>4470.6171515798551</v>
      </c>
      <c r="V36" s="1697">
        <f t="shared" si="15"/>
        <v>4088.25451033033</v>
      </c>
      <c r="W36" s="1698">
        <f t="shared" si="15"/>
        <v>3778.6865558834425</v>
      </c>
      <c r="X36" s="1697">
        <f t="shared" si="15"/>
        <v>3523.5017823764438</v>
      </c>
      <c r="Y36" s="1697">
        <f t="shared" si="15"/>
        <v>3309.9888605948508</v>
      </c>
      <c r="Z36" s="1697">
        <f t="shared" si="15"/>
        <v>3129.0904268440072</v>
      </c>
      <c r="AA36" s="1699">
        <f t="shared" si="15"/>
        <v>2974.1792040043993</v>
      </c>
      <c r="AL36" s="1378"/>
    </row>
    <row r="37" spans="1:38">
      <c r="A37" s="19"/>
      <c r="B37" s="19"/>
      <c r="C37" s="19"/>
      <c r="D37" s="19"/>
      <c r="E37" s="19"/>
      <c r="F37" s="19"/>
      <c r="G37" s="19"/>
      <c r="H37" s="19"/>
      <c r="I37" s="138" t="s">
        <v>152</v>
      </c>
      <c r="J37" s="2"/>
      <c r="K37" s="2"/>
      <c r="L37" s="253">
        <f>L34-L35+L36</f>
        <v>3778.6865558834425</v>
      </c>
      <c r="M37" s="112"/>
      <c r="N37" s="130"/>
      <c r="P37" s="19"/>
      <c r="Q37" s="19"/>
      <c r="S37" s="19"/>
      <c r="T37" s="1700">
        <f>+T36+0.5%</f>
        <v>3.0000000000000002E-2</v>
      </c>
      <c r="U37" s="1701">
        <f t="shared" si="15"/>
        <v>4858.905796252533</v>
      </c>
      <c r="V37" s="1702">
        <f t="shared" si="15"/>
        <v>4389.7817442374599</v>
      </c>
      <c r="W37" s="1703">
        <f t="shared" si="15"/>
        <v>4018.2729571463469</v>
      </c>
      <c r="X37" s="1702">
        <f t="shared" si="15"/>
        <v>3717.4702702000532</v>
      </c>
      <c r="Y37" s="1702">
        <f t="shared" si="15"/>
        <v>3469.491693728216</v>
      </c>
      <c r="Z37" s="1702">
        <f t="shared" si="15"/>
        <v>3261.9914056545886</v>
      </c>
      <c r="AA37" s="1704">
        <f t="shared" si="15"/>
        <v>3086.172419399888</v>
      </c>
      <c r="AC37" s="1784"/>
    </row>
    <row r="38" spans="1:38">
      <c r="A38" s="19"/>
      <c r="B38" s="19"/>
      <c r="C38" s="19"/>
      <c r="D38" s="19"/>
      <c r="E38" s="19"/>
      <c r="F38" s="19"/>
      <c r="G38" s="19"/>
      <c r="H38" s="19"/>
      <c r="I38" s="136" t="s">
        <v>153</v>
      </c>
      <c r="J38" s="137"/>
      <c r="K38" s="137"/>
      <c r="L38" s="258">
        <f>Model!$BS$90</f>
        <v>93.86399999999999</v>
      </c>
      <c r="M38" s="112"/>
      <c r="N38" s="130"/>
      <c r="P38" s="19"/>
      <c r="Q38" s="19"/>
      <c r="R38" s="19"/>
      <c r="S38" s="19"/>
      <c r="T38" s="1705"/>
      <c r="U38" s="1705"/>
      <c r="V38" s="1705"/>
      <c r="W38" s="1705"/>
      <c r="X38" s="1705"/>
      <c r="Y38" s="1705"/>
      <c r="Z38" s="1705"/>
      <c r="AA38" s="1705"/>
    </row>
    <row r="39" spans="1:38">
      <c r="A39" s="19"/>
      <c r="B39" s="19"/>
      <c r="C39" s="19"/>
      <c r="D39" s="19"/>
      <c r="E39" s="19"/>
      <c r="F39" s="19"/>
      <c r="G39" s="19"/>
      <c r="H39" s="19"/>
      <c r="I39" s="138" t="s">
        <v>154</v>
      </c>
      <c r="J39" s="2"/>
      <c r="K39" s="2"/>
      <c r="L39" s="230">
        <f>ROUND(L37/L38,0)</f>
        <v>40</v>
      </c>
      <c r="M39" s="112"/>
      <c r="N39" s="130"/>
      <c r="P39" s="19"/>
      <c r="Q39" s="19"/>
      <c r="R39" s="19"/>
      <c r="S39" s="19"/>
      <c r="T39" s="1683" t="s">
        <v>507</v>
      </c>
      <c r="U39" s="1684"/>
      <c r="V39" s="1684"/>
      <c r="W39" s="1684"/>
      <c r="X39" s="1684"/>
      <c r="Y39" s="1685"/>
      <c r="Z39" s="1684"/>
      <c r="AA39" s="1685"/>
    </row>
    <row r="40" spans="1:38">
      <c r="A40" s="19"/>
      <c r="B40" s="19"/>
      <c r="C40" s="19"/>
      <c r="D40" s="19"/>
      <c r="E40" s="19"/>
      <c r="F40" s="19"/>
      <c r="G40" s="19"/>
      <c r="H40" s="19"/>
      <c r="I40" s="139" t="s">
        <v>155</v>
      </c>
      <c r="J40" s="140"/>
      <c r="K40" s="140"/>
      <c r="L40" s="1678">
        <f>ROUND(((AD19*(1+L49))/(L48-L49))/AD14,1)</f>
        <v>6.4</v>
      </c>
      <c r="M40" s="112"/>
      <c r="N40" s="130"/>
      <c r="P40" s="19"/>
      <c r="Q40" s="19"/>
      <c r="R40" s="19"/>
      <c r="S40" s="19"/>
      <c r="T40" s="1686">
        <f>+fair_value</f>
        <v>40</v>
      </c>
      <c r="U40" s="1687">
        <v>7.7937499999999979E-2</v>
      </c>
      <c r="V40" s="1687">
        <v>8.2937499999999983E-2</v>
      </c>
      <c r="W40" s="1706">
        <v>8.7937499999999988E-2</v>
      </c>
      <c r="X40" s="1687">
        <v>9.2937499999999992E-2</v>
      </c>
      <c r="Y40" s="1687">
        <v>9.7937499999999997E-2</v>
      </c>
      <c r="Z40" s="1687">
        <v>0.1029375</v>
      </c>
      <c r="AA40" s="1689">
        <v>0.10793750000000001</v>
      </c>
    </row>
    <row r="41" spans="1:38">
      <c r="A41" s="19"/>
      <c r="B41" s="19"/>
      <c r="C41" s="19"/>
      <c r="D41" s="19"/>
      <c r="E41" s="19"/>
      <c r="F41" s="19"/>
      <c r="G41" s="19"/>
      <c r="H41" s="19"/>
      <c r="I41" s="130"/>
      <c r="J41" s="130"/>
      <c r="K41" s="130"/>
      <c r="L41" s="130"/>
      <c r="M41" s="112"/>
      <c r="N41" s="130"/>
      <c r="P41" s="19"/>
      <c r="Q41" s="19"/>
      <c r="R41" s="19"/>
      <c r="S41" s="19"/>
      <c r="T41" s="1690">
        <v>0.02</v>
      </c>
      <c r="U41" s="1691">
        <f t="shared" ref="U41:AA41" si="16">+U35/$L$38</f>
        <v>44.325126480837639</v>
      </c>
      <c r="V41" s="1692">
        <f t="shared" si="16"/>
        <v>40.930511364050027</v>
      </c>
      <c r="W41" s="1693">
        <f t="shared" si="16"/>
        <v>38.132463132396325</v>
      </c>
      <c r="X41" s="1692">
        <f t="shared" si="16"/>
        <v>35.791529811553531</v>
      </c>
      <c r="Y41" s="1692">
        <f t="shared" si="16"/>
        <v>33.808346646117656</v>
      </c>
      <c r="Z41" s="1692">
        <f t="shared" si="16"/>
        <v>32.110209027936946</v>
      </c>
      <c r="AA41" s="1694">
        <f t="shared" si="16"/>
        <v>30.642702803555977</v>
      </c>
    </row>
    <row r="42" spans="1:38">
      <c r="A42" s="19"/>
      <c r="B42" s="19"/>
      <c r="C42" s="19"/>
      <c r="D42" s="19"/>
      <c r="E42" s="19"/>
      <c r="F42" s="19"/>
      <c r="G42" s="19"/>
      <c r="H42" s="19"/>
      <c r="I42" s="133" t="s">
        <v>486</v>
      </c>
      <c r="J42" s="141"/>
      <c r="K42" s="141"/>
      <c r="L42" s="142"/>
      <c r="M42" s="112"/>
      <c r="N42" s="130"/>
      <c r="O42" s="112"/>
      <c r="P42" s="19"/>
      <c r="Q42" s="19"/>
      <c r="R42" s="19"/>
      <c r="S42" s="19"/>
      <c r="T42" s="1707">
        <v>2.5000000000000001E-2</v>
      </c>
      <c r="U42" s="1696">
        <f t="shared" ref="U42:AA42" si="17">+U36/$L$38</f>
        <v>47.628666491731181</v>
      </c>
      <c r="V42" s="1697">
        <f t="shared" si="17"/>
        <v>43.555085126676154</v>
      </c>
      <c r="W42" s="1698">
        <f t="shared" si="17"/>
        <v>40.257037371979067</v>
      </c>
      <c r="X42" s="1697">
        <f t="shared" si="17"/>
        <v>37.538372351236298</v>
      </c>
      <c r="Y42" s="1697">
        <f t="shared" si="17"/>
        <v>35.26366722699705</v>
      </c>
      <c r="Z42" s="1697">
        <f t="shared" si="17"/>
        <v>33.336427457214775</v>
      </c>
      <c r="AA42" s="1699">
        <f t="shared" si="17"/>
        <v>31.686047941749759</v>
      </c>
      <c r="AB42" s="1784"/>
    </row>
    <row r="43" spans="1:38">
      <c r="A43" s="19"/>
      <c r="B43" s="19"/>
      <c r="C43" s="19"/>
      <c r="D43" s="19"/>
      <c r="E43" s="19"/>
      <c r="F43" s="19"/>
      <c r="G43" s="19"/>
      <c r="H43" s="19"/>
      <c r="I43" s="143"/>
      <c r="J43" s="144"/>
      <c r="K43" s="144"/>
      <c r="L43" s="246"/>
      <c r="M43" s="112"/>
      <c r="N43" s="130"/>
      <c r="O43" s="112"/>
      <c r="P43" s="19"/>
      <c r="Q43" s="19"/>
      <c r="R43" s="19"/>
      <c r="S43" s="19"/>
      <c r="T43" s="1700">
        <v>0.03</v>
      </c>
      <c r="U43" s="1701">
        <f t="shared" ref="U43:AA43" si="18">+U37/$L$38</f>
        <v>51.765381789104808</v>
      </c>
      <c r="V43" s="1702">
        <f t="shared" si="18"/>
        <v>46.767469362454833</v>
      </c>
      <c r="W43" s="1703">
        <f t="shared" si="18"/>
        <v>42.809521831014521</v>
      </c>
      <c r="X43" s="1702">
        <f t="shared" si="18"/>
        <v>39.60485670970823</v>
      </c>
      <c r="Y43" s="1702">
        <f t="shared" si="18"/>
        <v>36.962964435014662</v>
      </c>
      <c r="Z43" s="1702">
        <f t="shared" si="18"/>
        <v>34.752316177177498</v>
      </c>
      <c r="AA43" s="1704">
        <f t="shared" si="18"/>
        <v>32.879191376884521</v>
      </c>
    </row>
    <row r="44" spans="1:38" ht="11.25" hidden="1" customHeight="1" outlineLevel="1">
      <c r="A44" s="19"/>
      <c r="B44" s="19"/>
      <c r="C44" s="19"/>
      <c r="D44" s="19"/>
      <c r="E44" s="19"/>
      <c r="F44" s="19"/>
      <c r="G44" s="19"/>
      <c r="H44" s="19"/>
      <c r="I44" s="136" t="s">
        <v>157</v>
      </c>
      <c r="J44" s="137"/>
      <c r="K44" s="137"/>
      <c r="L44" s="620">
        <f>L55</f>
        <v>7.9649999999999999E-2</v>
      </c>
      <c r="M44" s="112"/>
      <c r="N44" s="130"/>
      <c r="O44" s="112"/>
      <c r="P44" s="19"/>
      <c r="Q44" s="19"/>
      <c r="R44" s="19"/>
      <c r="S44" s="19"/>
      <c r="T44" s="1174"/>
    </row>
    <row r="45" spans="1:38" ht="11.25" hidden="1" customHeight="1" outlineLevel="1">
      <c r="A45" s="19"/>
      <c r="B45" s="19"/>
      <c r="C45" s="19"/>
      <c r="D45" s="19"/>
      <c r="E45" s="19"/>
      <c r="F45" s="19"/>
      <c r="G45" s="19"/>
      <c r="H45" s="19"/>
      <c r="I45" s="136" t="s">
        <v>158</v>
      </c>
      <c r="J45" s="137"/>
      <c r="K45" s="137"/>
      <c r="L45" s="1679">
        <v>0</v>
      </c>
      <c r="M45" s="112"/>
      <c r="N45" s="130"/>
      <c r="O45" s="112"/>
      <c r="P45" s="19"/>
      <c r="Q45" s="19"/>
      <c r="R45" s="19"/>
      <c r="S45" s="19"/>
      <c r="T45" s="1174"/>
      <c r="AC45" s="1784"/>
    </row>
    <row r="46" spans="1:38" ht="11.25" hidden="1" customHeight="1" outlineLevel="1">
      <c r="A46" s="19"/>
      <c r="B46" s="19"/>
      <c r="C46" s="19"/>
      <c r="D46" s="19"/>
      <c r="E46" s="19"/>
      <c r="F46" s="19"/>
      <c r="G46" s="19"/>
      <c r="H46" s="19"/>
      <c r="I46" s="136" t="s">
        <v>159</v>
      </c>
      <c r="J46" s="137"/>
      <c r="K46" s="137"/>
      <c r="L46" s="1679">
        <v>0.35</v>
      </c>
      <c r="M46" s="112"/>
      <c r="N46" s="130"/>
      <c r="O46" s="112"/>
      <c r="P46" s="19"/>
      <c r="Q46" s="19"/>
      <c r="R46" s="19"/>
      <c r="S46" s="19"/>
      <c r="T46" s="1174"/>
    </row>
    <row r="47" spans="1:38" ht="11.25" hidden="1" customHeight="1" outlineLevel="1">
      <c r="A47" s="19"/>
      <c r="B47" s="19"/>
      <c r="C47" s="19"/>
      <c r="D47" s="19"/>
      <c r="E47" s="19"/>
      <c r="F47" s="19"/>
      <c r="G47" s="19"/>
      <c r="H47" s="19"/>
      <c r="I47" s="136" t="s">
        <v>160</v>
      </c>
      <c r="J47" s="137"/>
      <c r="K47" s="137"/>
      <c r="L47" s="1679">
        <v>0</v>
      </c>
      <c r="M47" s="112"/>
      <c r="N47" s="130"/>
      <c r="O47" s="112"/>
      <c r="P47" s="19"/>
      <c r="Q47" s="19"/>
      <c r="R47" s="19"/>
      <c r="S47" s="19"/>
      <c r="T47" s="1174"/>
    </row>
    <row r="48" spans="1:38" collapsed="1">
      <c r="A48" s="19"/>
      <c r="B48" s="19"/>
      <c r="C48" s="19"/>
      <c r="D48" s="19"/>
      <c r="E48" s="19"/>
      <c r="F48" s="19"/>
      <c r="G48" s="19"/>
      <c r="H48" s="19"/>
      <c r="I48" s="145" t="s">
        <v>161</v>
      </c>
      <c r="J48" s="146"/>
      <c r="K48" s="146"/>
      <c r="L48" s="147">
        <f>+(L44*(1-L47))+((1-L46)*L45*L47)</f>
        <v>7.9649999999999999E-2</v>
      </c>
      <c r="M48" s="112"/>
      <c r="N48" s="130"/>
      <c r="O48" s="112"/>
      <c r="P48" s="19"/>
      <c r="Q48" s="19"/>
      <c r="R48" s="19"/>
      <c r="S48" s="19"/>
      <c r="T48" s="1174"/>
    </row>
    <row r="49" spans="1:59">
      <c r="A49" s="19"/>
      <c r="B49" s="19"/>
      <c r="C49" s="19"/>
      <c r="D49" s="19"/>
      <c r="E49" s="19"/>
      <c r="F49" s="19"/>
      <c r="G49" s="19"/>
      <c r="H49" s="19"/>
      <c r="I49" s="139" t="s">
        <v>162</v>
      </c>
      <c r="J49" s="140"/>
      <c r="K49" s="140"/>
      <c r="L49" s="2408">
        <v>2.5000000000000001E-2</v>
      </c>
      <c r="M49" s="112"/>
      <c r="N49" s="130"/>
      <c r="O49" s="112"/>
      <c r="P49" s="112"/>
      <c r="Q49" s="112"/>
      <c r="R49" s="112"/>
      <c r="S49" s="112"/>
      <c r="T49" s="112"/>
      <c r="U49" s="19"/>
      <c r="V49" s="19"/>
      <c r="W49" s="19"/>
      <c r="X49" s="19"/>
      <c r="Y49" s="19"/>
      <c r="AE49" s="19"/>
    </row>
    <row r="50" spans="1:59">
      <c r="A50" s="19"/>
      <c r="B50" s="19"/>
      <c r="C50" s="19"/>
      <c r="D50" s="19"/>
      <c r="E50" s="19"/>
      <c r="F50" s="19"/>
      <c r="G50" s="19"/>
      <c r="H50" s="19"/>
      <c r="I50" s="112"/>
      <c r="J50" s="112"/>
      <c r="K50" s="112"/>
      <c r="L50" s="112"/>
      <c r="M50" s="112"/>
      <c r="N50" s="112"/>
      <c r="O50" s="112"/>
      <c r="P50" s="112"/>
      <c r="Q50" s="112"/>
      <c r="R50" s="112"/>
      <c r="S50" s="112"/>
      <c r="T50" s="112"/>
      <c r="U50" s="19"/>
      <c r="V50" s="19"/>
      <c r="W50" s="19"/>
      <c r="X50" s="19"/>
      <c r="Y50" s="19"/>
      <c r="AE50" s="19"/>
    </row>
    <row r="51" spans="1:59" ht="11.25" hidden="1" customHeight="1" outlineLevel="1">
      <c r="A51" s="19"/>
      <c r="B51" s="19"/>
      <c r="C51" s="19"/>
      <c r="D51" s="19"/>
      <c r="E51" s="19"/>
      <c r="F51" s="19"/>
      <c r="G51" s="19"/>
      <c r="H51" s="19"/>
      <c r="I51" s="133" t="s">
        <v>567</v>
      </c>
      <c r="J51" s="141"/>
      <c r="K51" s="141"/>
      <c r="L51" s="142"/>
      <c r="M51" s="112"/>
      <c r="N51" s="112"/>
      <c r="O51" s="112"/>
      <c r="P51" s="112"/>
      <c r="Q51" s="112"/>
      <c r="R51" s="112"/>
      <c r="S51" s="112"/>
      <c r="T51" s="112"/>
      <c r="U51" s="19"/>
      <c r="V51" s="19"/>
      <c r="W51" s="19"/>
      <c r="X51" s="19"/>
      <c r="Y51" s="19"/>
      <c r="AE51" s="19"/>
    </row>
    <row r="52" spans="1:59" ht="11.25" hidden="1" customHeight="1" outlineLevel="1">
      <c r="A52" s="19"/>
      <c r="B52" s="19"/>
      <c r="C52" s="19"/>
      <c r="D52" s="19"/>
      <c r="E52" s="19"/>
      <c r="F52" s="19"/>
      <c r="G52" s="19"/>
      <c r="H52" s="19"/>
      <c r="I52" s="450" t="s">
        <v>564</v>
      </c>
      <c r="J52" s="137"/>
      <c r="K52" s="137"/>
      <c r="L52" s="2128">
        <v>1.25</v>
      </c>
      <c r="M52" s="112"/>
      <c r="N52" s="112"/>
      <c r="O52" s="112"/>
      <c r="P52" s="112"/>
      <c r="Q52" s="112"/>
      <c r="R52" s="112"/>
      <c r="S52" s="112"/>
      <c r="T52" s="112"/>
      <c r="U52" s="19"/>
      <c r="V52" s="19"/>
      <c r="W52" s="19"/>
      <c r="X52" s="19"/>
      <c r="Y52" s="19"/>
      <c r="AE52" s="19"/>
    </row>
    <row r="53" spans="1:59" ht="11.25" hidden="1" customHeight="1" outlineLevel="1">
      <c r="A53" s="19"/>
      <c r="B53" s="19"/>
      <c r="C53" s="19"/>
      <c r="D53" s="19"/>
      <c r="E53" s="19"/>
      <c r="F53" s="19"/>
      <c r="G53" s="19"/>
      <c r="H53" s="19"/>
      <c r="I53" s="450" t="s">
        <v>565</v>
      </c>
      <c r="J53" s="137"/>
      <c r="K53" s="137"/>
      <c r="L53" s="2840">
        <v>2.4899999999999999E-2</v>
      </c>
      <c r="M53" s="112"/>
      <c r="N53" s="112"/>
      <c r="O53" s="112"/>
      <c r="P53" s="112"/>
      <c r="Q53" s="112"/>
      <c r="R53" s="112"/>
      <c r="S53" s="112"/>
      <c r="T53" s="112"/>
      <c r="U53" s="19"/>
      <c r="V53" s="19"/>
      <c r="W53" s="19"/>
      <c r="X53" s="19"/>
      <c r="Y53" s="19"/>
      <c r="AE53" s="19"/>
    </row>
    <row r="54" spans="1:59" ht="11.25" hidden="1" customHeight="1" outlineLevel="1">
      <c r="A54" s="19"/>
      <c r="B54" s="19"/>
      <c r="C54" s="19"/>
      <c r="D54" s="19"/>
      <c r="E54" s="19"/>
      <c r="F54" s="19"/>
      <c r="G54" s="19"/>
      <c r="H54" s="19"/>
      <c r="I54" s="450" t="s">
        <v>566</v>
      </c>
      <c r="J54" s="137"/>
      <c r="K54" s="137"/>
      <c r="L54" s="2840">
        <v>4.3799999999999999E-2</v>
      </c>
      <c r="M54" s="112"/>
      <c r="N54" s="112"/>
      <c r="O54" s="112"/>
      <c r="P54" s="112"/>
      <c r="Q54" s="112"/>
      <c r="R54" s="112"/>
      <c r="S54" s="112"/>
      <c r="T54" s="112"/>
      <c r="U54" s="19"/>
      <c r="V54" s="19"/>
      <c r="W54" s="19"/>
      <c r="X54" s="19"/>
      <c r="Y54" s="19"/>
      <c r="AE54" s="19"/>
    </row>
    <row r="55" spans="1:59" collapsed="1">
      <c r="A55" s="19"/>
      <c r="B55" s="19"/>
      <c r="C55" s="19"/>
      <c r="D55" s="19"/>
      <c r="E55" s="19"/>
      <c r="F55" s="19"/>
      <c r="G55" s="19"/>
      <c r="H55" s="19"/>
      <c r="I55" s="145" t="s">
        <v>157</v>
      </c>
      <c r="J55" s="146"/>
      <c r="K55" s="146"/>
      <c r="L55" s="147">
        <f>L53+L52*L54</f>
        <v>7.9649999999999999E-2</v>
      </c>
      <c r="M55" s="112"/>
      <c r="N55" s="112"/>
      <c r="O55" s="112"/>
      <c r="P55" s="112"/>
      <c r="Q55" s="112"/>
      <c r="R55" s="112"/>
      <c r="S55" s="112"/>
      <c r="T55" s="112"/>
      <c r="U55" s="19"/>
      <c r="V55" s="19"/>
      <c r="W55" s="19"/>
      <c r="X55" s="19"/>
      <c r="Y55" s="19"/>
      <c r="AE55" s="19"/>
    </row>
    <row r="56" spans="1:59">
      <c r="A56" s="19"/>
      <c r="B56" s="19"/>
      <c r="C56" s="19"/>
      <c r="D56" s="19"/>
      <c r="E56" s="19"/>
      <c r="F56" s="19"/>
      <c r="G56" s="19"/>
      <c r="H56" s="19"/>
      <c r="I56" s="112"/>
      <c r="J56" s="112"/>
      <c r="K56" s="112"/>
      <c r="L56" s="112"/>
      <c r="M56" s="112"/>
      <c r="N56" s="112"/>
      <c r="O56" s="112"/>
      <c r="P56" s="112"/>
      <c r="Q56" s="112"/>
      <c r="R56" s="112"/>
      <c r="S56" s="112"/>
      <c r="T56" s="112"/>
      <c r="U56" s="19"/>
      <c r="V56" s="19"/>
      <c r="W56" s="19"/>
      <c r="X56" s="19"/>
      <c r="Y56" s="19"/>
      <c r="AE56" s="19"/>
    </row>
    <row r="57" spans="1:59">
      <c r="A57" s="19"/>
      <c r="B57" s="19"/>
      <c r="C57" s="19"/>
      <c r="D57" s="19"/>
      <c r="E57" s="19"/>
      <c r="F57" s="19"/>
      <c r="G57" s="19"/>
      <c r="H57" s="19"/>
      <c r="I57" s="1676" t="s">
        <v>711</v>
      </c>
      <c r="J57" s="112"/>
      <c r="K57" s="112"/>
      <c r="L57" s="1677">
        <f>+L34/W11</f>
        <v>2.5264299031372959</v>
      </c>
      <c r="M57" s="112"/>
      <c r="N57" s="112"/>
      <c r="O57" s="112"/>
      <c r="P57" s="112"/>
      <c r="Q57" s="112"/>
      <c r="R57" s="112"/>
      <c r="S57" s="112"/>
      <c r="T57" s="112"/>
      <c r="U57" s="19"/>
      <c r="V57" s="19"/>
      <c r="W57" s="19"/>
      <c r="X57" s="19"/>
      <c r="Y57" s="19"/>
      <c r="AE57" s="19"/>
    </row>
    <row r="58" spans="1:59">
      <c r="A58" s="19"/>
      <c r="B58" s="19"/>
      <c r="C58" s="19"/>
      <c r="D58" s="19"/>
      <c r="E58" s="19"/>
      <c r="F58" s="19"/>
      <c r="G58" s="19"/>
      <c r="H58" s="19"/>
      <c r="I58" s="1676" t="s">
        <v>712</v>
      </c>
      <c r="J58" s="112"/>
      <c r="K58" s="112"/>
      <c r="L58" s="1677">
        <f>+L34/W14</f>
        <v>12.012988590030011</v>
      </c>
      <c r="M58" s="112"/>
      <c r="N58" s="112"/>
      <c r="O58" s="112"/>
      <c r="P58" s="112"/>
      <c r="Q58" s="112"/>
      <c r="R58" s="112"/>
      <c r="S58" s="112"/>
      <c r="T58" s="112"/>
      <c r="U58" s="19"/>
      <c r="V58" s="19"/>
      <c r="W58" s="19"/>
      <c r="X58" s="19"/>
      <c r="Y58" s="19"/>
      <c r="AE58" s="19"/>
    </row>
    <row r="59" spans="1:59">
      <c r="A59" s="19"/>
      <c r="B59" s="19"/>
      <c r="C59" s="19"/>
      <c r="D59" s="19"/>
      <c r="E59" s="19"/>
      <c r="F59" s="19"/>
      <c r="G59" s="19"/>
      <c r="H59" s="19"/>
      <c r="I59" s="1676" t="s">
        <v>695</v>
      </c>
      <c r="J59" s="112"/>
      <c r="K59" s="112"/>
      <c r="L59" s="1677">
        <f>+fair_value/Model!BT75</f>
        <v>31.258689871605597</v>
      </c>
      <c r="M59" s="112"/>
      <c r="N59" s="112"/>
      <c r="O59" s="112"/>
      <c r="P59" s="112"/>
      <c r="Q59" s="112"/>
      <c r="R59" s="112"/>
      <c r="S59" s="112"/>
      <c r="T59" s="112"/>
      <c r="U59" s="19"/>
      <c r="V59" s="19"/>
      <c r="W59" s="19"/>
      <c r="X59" s="19"/>
      <c r="Y59" s="19"/>
      <c r="AE59" s="19"/>
    </row>
    <row r="60" spans="1:59">
      <c r="A60" s="19"/>
      <c r="B60" s="19"/>
      <c r="C60" s="19"/>
      <c r="D60" s="19"/>
      <c r="E60" s="19"/>
      <c r="F60" s="19"/>
      <c r="G60" s="19"/>
      <c r="H60" s="19"/>
      <c r="I60" s="1676" t="s">
        <v>504</v>
      </c>
      <c r="J60" s="112"/>
      <c r="K60" s="112"/>
      <c r="L60" s="1681">
        <f>+AD22</f>
        <v>0.31154077998849666</v>
      </c>
      <c r="M60" s="112"/>
      <c r="N60" s="112"/>
      <c r="O60" s="112"/>
      <c r="P60" s="112"/>
      <c r="Q60" s="112"/>
      <c r="R60" s="112"/>
      <c r="S60" s="112"/>
      <c r="T60" s="112"/>
      <c r="U60" s="19"/>
      <c r="V60" s="19"/>
      <c r="W60" s="19"/>
      <c r="X60" s="19"/>
      <c r="Y60" s="19"/>
      <c r="AE60" s="19"/>
    </row>
    <row r="61" spans="1:59">
      <c r="A61" s="19"/>
      <c r="B61" s="19"/>
      <c r="C61" s="19"/>
      <c r="D61" s="19"/>
      <c r="E61" s="19"/>
      <c r="F61" s="19"/>
      <c r="G61" s="19"/>
      <c r="H61" s="19"/>
      <c r="I61" s="1676" t="s">
        <v>505</v>
      </c>
      <c r="J61" s="112"/>
      <c r="K61" s="112"/>
      <c r="L61" s="1681">
        <f>+AD24</f>
        <v>0.34325631306400617</v>
      </c>
      <c r="M61" s="112"/>
      <c r="N61" s="112"/>
      <c r="O61" s="112"/>
      <c r="P61" s="112"/>
      <c r="Q61" s="112"/>
      <c r="R61" s="112"/>
      <c r="S61" s="112"/>
      <c r="T61" s="112"/>
      <c r="U61" s="19"/>
      <c r="V61" s="19"/>
      <c r="W61" s="19"/>
      <c r="X61" s="19"/>
      <c r="Y61" s="19"/>
      <c r="AE61" s="19"/>
    </row>
    <row r="62" spans="1:59">
      <c r="A62" s="19"/>
      <c r="B62" s="19"/>
      <c r="C62" s="19"/>
      <c r="D62" s="19"/>
      <c r="E62" s="19"/>
      <c r="F62" s="19"/>
      <c r="G62" s="19"/>
      <c r="H62" s="19"/>
      <c r="I62" s="112"/>
      <c r="J62" s="112"/>
      <c r="K62" s="112"/>
      <c r="L62" s="112"/>
      <c r="M62" s="112"/>
      <c r="N62" s="112"/>
      <c r="O62" s="112"/>
      <c r="P62" s="112"/>
      <c r="Q62" s="112"/>
      <c r="R62" s="112"/>
      <c r="S62" s="112"/>
      <c r="T62" s="112"/>
      <c r="U62" s="19"/>
      <c r="V62" s="19"/>
      <c r="W62" s="19"/>
      <c r="X62" s="19"/>
      <c r="Y62" s="19"/>
      <c r="AE62" s="19"/>
    </row>
    <row r="63" spans="1:59">
      <c r="A63" s="19"/>
      <c r="B63" s="19"/>
      <c r="C63" s="19"/>
      <c r="D63" s="19"/>
      <c r="E63" s="19"/>
      <c r="F63" s="19"/>
      <c r="G63" s="19"/>
      <c r="H63" s="19"/>
      <c r="I63" s="112"/>
      <c r="J63" s="112"/>
      <c r="K63" s="112"/>
      <c r="L63" s="112"/>
      <c r="M63" s="112"/>
      <c r="N63" s="112"/>
      <c r="O63" s="112"/>
      <c r="P63" s="112"/>
      <c r="Q63" s="112"/>
      <c r="R63" s="112"/>
      <c r="S63" s="112"/>
      <c r="T63" s="112"/>
      <c r="U63" s="19"/>
      <c r="V63" s="19"/>
      <c r="W63" s="19"/>
      <c r="X63" s="19"/>
      <c r="Y63" s="19"/>
      <c r="AE63" s="19"/>
    </row>
    <row r="64" spans="1:59" s="83" customFormat="1" ht="11.25" hidden="1" customHeight="1" outlineLevel="1">
      <c r="A64" s="36"/>
      <c r="B64" s="36"/>
      <c r="C64" s="36"/>
      <c r="D64" s="36"/>
      <c r="E64" s="36"/>
      <c r="F64" s="36"/>
      <c r="G64" s="36"/>
      <c r="H64" s="36"/>
      <c r="I64" s="60" t="s">
        <v>323</v>
      </c>
      <c r="J64" s="60"/>
      <c r="K64" s="60"/>
      <c r="L64" s="60"/>
      <c r="M64" s="69"/>
      <c r="N64" s="178"/>
      <c r="O64" s="178"/>
      <c r="P64" s="178"/>
      <c r="Q64" s="178"/>
      <c r="R64" s="178"/>
      <c r="S64" s="178"/>
      <c r="T64" s="178"/>
      <c r="U64" s="178"/>
      <c r="V64" s="178"/>
      <c r="W64" s="178"/>
      <c r="X64" s="178"/>
      <c r="Y64" s="178"/>
      <c r="Z64" s="178"/>
      <c r="AA64" s="178"/>
      <c r="AB64" s="178"/>
      <c r="AC64" s="178"/>
      <c r="AD64" s="178"/>
      <c r="AE64" s="68"/>
      <c r="AF64" s="68"/>
      <c r="AG64" s="68"/>
      <c r="AH64" s="68"/>
      <c r="AI64" s="68"/>
      <c r="AJ64" s="68"/>
      <c r="AK64" s="68"/>
      <c r="AL64" s="68"/>
      <c r="AM64" s="68"/>
      <c r="AN64" s="68"/>
      <c r="AO64" s="68"/>
      <c r="AP64" s="68"/>
      <c r="AQ64" s="68"/>
      <c r="AR64" s="68"/>
      <c r="AS64" s="68"/>
      <c r="AT64" s="68"/>
      <c r="AU64" s="68"/>
      <c r="AV64" s="68"/>
      <c r="AW64" s="68"/>
      <c r="AX64" s="68"/>
      <c r="AY64" s="68"/>
      <c r="AZ64" s="68"/>
      <c r="BA64" s="68"/>
      <c r="BB64" s="68"/>
      <c r="BC64" s="68"/>
      <c r="BD64" s="68"/>
      <c r="BE64" s="68"/>
      <c r="BF64" s="68"/>
      <c r="BG64" s="68"/>
    </row>
    <row r="65" spans="1:38" ht="11.25" hidden="1" customHeight="1" outlineLevel="1">
      <c r="A65" s="19"/>
      <c r="B65" s="19"/>
      <c r="C65" s="19"/>
      <c r="D65" s="19"/>
      <c r="E65" s="19"/>
      <c r="F65" s="19"/>
      <c r="G65" s="19"/>
      <c r="H65" s="19"/>
      <c r="I65" s="19" t="s">
        <v>313</v>
      </c>
      <c r="J65" s="19"/>
      <c r="K65" s="19"/>
      <c r="L65" s="19"/>
      <c r="M65" s="113"/>
      <c r="N65" s="113"/>
      <c r="O65" s="113"/>
      <c r="P65" s="113">
        <f>Model!BM62</f>
        <v>-18.992000000000026</v>
      </c>
      <c r="Q65" s="113">
        <f>Model!BN62</f>
        <v>-9.2300000000000075</v>
      </c>
      <c r="R65" s="113">
        <f>Model!BO62</f>
        <v>11.279999999999969</v>
      </c>
      <c r="S65" s="113">
        <f>Model!BP62</f>
        <v>-51.949000000000034</v>
      </c>
      <c r="T65" s="113">
        <f>Model!BQ62</f>
        <v>-3.2850000000000419</v>
      </c>
      <c r="U65" s="113">
        <f>Model!BR62</f>
        <v>184.34900000000002</v>
      </c>
      <c r="V65" s="113">
        <f>Model!BS62</f>
        <v>29.409490581603738</v>
      </c>
      <c r="W65" s="113">
        <f>Model!BT62</f>
        <v>77.331941320645015</v>
      </c>
      <c r="X65" s="113">
        <f>Model!BU62</f>
        <v>109.26035452005051</v>
      </c>
      <c r="Y65" s="113">
        <f>Model!BV62</f>
        <v>152.32190715071235</v>
      </c>
      <c r="Z65" s="113">
        <f>Model!BW62</f>
        <v>202.64870250175323</v>
      </c>
      <c r="AA65" s="113">
        <f>Model!BX62</f>
        <v>254.52709289141382</v>
      </c>
      <c r="AB65" s="113">
        <f>Model!BY62</f>
        <v>308.10200434802846</v>
      </c>
      <c r="AC65" s="113">
        <f>Model!BZ62</f>
        <v>364.83096408155268</v>
      </c>
      <c r="AD65" s="2"/>
      <c r="AE65" s="19"/>
    </row>
    <row r="66" spans="1:38" ht="11.25" hidden="1" customHeight="1" outlineLevel="1">
      <c r="A66" s="19"/>
      <c r="B66" s="19"/>
      <c r="C66" s="19"/>
      <c r="D66" s="19"/>
      <c r="E66" s="19"/>
      <c r="F66" s="19"/>
      <c r="G66" s="19"/>
      <c r="H66" s="19"/>
      <c r="I66" s="19" t="s">
        <v>310</v>
      </c>
      <c r="J66" s="19"/>
      <c r="K66" s="19"/>
      <c r="L66" s="19"/>
      <c r="M66" s="238"/>
      <c r="N66" s="238"/>
      <c r="O66" s="238"/>
      <c r="P66" s="238">
        <v>28</v>
      </c>
      <c r="Q66" s="238">
        <v>49.8</v>
      </c>
      <c r="R66" s="238">
        <v>113.3</v>
      </c>
      <c r="S66" s="238">
        <v>166.7</v>
      </c>
      <c r="T66" s="2146">
        <v>171</v>
      </c>
      <c r="U66" s="113">
        <f t="shared" ref="U66:AC66" si="19">T68</f>
        <v>171</v>
      </c>
      <c r="V66" s="113">
        <f t="shared" si="19"/>
        <v>0</v>
      </c>
      <c r="W66" s="113">
        <f t="shared" si="19"/>
        <v>0</v>
      </c>
      <c r="X66" s="113">
        <f t="shared" si="19"/>
        <v>0</v>
      </c>
      <c r="Y66" s="113">
        <f t="shared" si="19"/>
        <v>0</v>
      </c>
      <c r="Z66" s="113">
        <f t="shared" si="19"/>
        <v>0</v>
      </c>
      <c r="AA66" s="113">
        <f t="shared" si="19"/>
        <v>0</v>
      </c>
      <c r="AB66" s="113">
        <f t="shared" si="19"/>
        <v>0</v>
      </c>
      <c r="AC66" s="113">
        <f t="shared" si="19"/>
        <v>0</v>
      </c>
      <c r="AD66" s="179"/>
      <c r="AE66" s="19"/>
    </row>
    <row r="67" spans="1:38" ht="11.25" hidden="1" customHeight="1" outlineLevel="1">
      <c r="A67" s="19"/>
      <c r="B67" s="19"/>
      <c r="C67" s="19"/>
      <c r="D67" s="19"/>
      <c r="E67" s="19"/>
      <c r="F67" s="19"/>
      <c r="G67" s="19"/>
      <c r="H67" s="19"/>
      <c r="I67" s="19" t="s">
        <v>311</v>
      </c>
      <c r="J67" s="19"/>
      <c r="K67" s="19"/>
      <c r="L67" s="19"/>
      <c r="M67" s="113"/>
      <c r="N67" s="113"/>
      <c r="O67" s="113"/>
      <c r="P67" s="113">
        <f t="shared" ref="P67:X67" si="20">(IF(P65&gt;0,IF(P66&gt;P65,P65,P66),0))</f>
        <v>0</v>
      </c>
      <c r="Q67" s="113">
        <f t="shared" si="20"/>
        <v>0</v>
      </c>
      <c r="R67" s="113">
        <f t="shared" si="20"/>
        <v>11.279999999999969</v>
      </c>
      <c r="S67" s="113">
        <f t="shared" si="20"/>
        <v>0</v>
      </c>
      <c r="T67" s="113">
        <f t="shared" si="20"/>
        <v>0</v>
      </c>
      <c r="U67" s="113">
        <f t="shared" si="20"/>
        <v>171</v>
      </c>
      <c r="V67" s="113">
        <f t="shared" si="20"/>
        <v>0</v>
      </c>
      <c r="W67" s="113">
        <f t="shared" si="20"/>
        <v>0</v>
      </c>
      <c r="X67" s="113">
        <f t="shared" si="20"/>
        <v>0</v>
      </c>
      <c r="Y67" s="113">
        <f>(IF(Y65&gt;0,IF(Y66&gt;Y65,Y65,Y66),0))</f>
        <v>0</v>
      </c>
      <c r="Z67" s="113">
        <f>(IF(Z65&gt;0,IF(Z66&gt;Z65,Z65,Z66),0))</f>
        <v>0</v>
      </c>
      <c r="AA67" s="113">
        <f>(IF(AA65&gt;0,IF(AA66&gt;AA65,AA65,AA66),0))</f>
        <v>0</v>
      </c>
      <c r="AB67" s="113">
        <f>(IF(AB65&gt;0,IF(AB66&gt;AB65,AB65,AB66),0))</f>
        <v>0</v>
      </c>
      <c r="AC67" s="113">
        <f>(IF(AC65&gt;0,IF(AC66&gt;AC65,AC65,AC66),0))</f>
        <v>0</v>
      </c>
      <c r="AD67" s="179"/>
      <c r="AE67" s="19"/>
    </row>
    <row r="68" spans="1:38" ht="11.25" hidden="1" customHeight="1" outlineLevel="1">
      <c r="A68" s="19"/>
      <c r="B68" s="19"/>
      <c r="C68" s="19"/>
      <c r="D68" s="19"/>
      <c r="E68" s="19"/>
      <c r="F68" s="19"/>
      <c r="G68" s="19"/>
      <c r="H68" s="19"/>
      <c r="I68" s="19" t="s">
        <v>312</v>
      </c>
      <c r="J68" s="19"/>
      <c r="K68" s="19"/>
      <c r="L68" s="19"/>
      <c r="M68" s="113"/>
      <c r="N68" s="113"/>
      <c r="O68" s="113"/>
      <c r="P68" s="113">
        <f t="shared" ref="P68:X68" si="21">P66-P67</f>
        <v>28</v>
      </c>
      <c r="Q68" s="113">
        <f t="shared" si="21"/>
        <v>49.8</v>
      </c>
      <c r="R68" s="113">
        <f t="shared" si="21"/>
        <v>102.02000000000002</v>
      </c>
      <c r="S68" s="113">
        <f t="shared" si="21"/>
        <v>166.7</v>
      </c>
      <c r="T68" s="113">
        <f t="shared" si="21"/>
        <v>171</v>
      </c>
      <c r="U68" s="113">
        <f t="shared" si="21"/>
        <v>0</v>
      </c>
      <c r="V68" s="113">
        <f t="shared" si="21"/>
        <v>0</v>
      </c>
      <c r="W68" s="113">
        <f t="shared" si="21"/>
        <v>0</v>
      </c>
      <c r="X68" s="113">
        <f t="shared" si="21"/>
        <v>0</v>
      </c>
      <c r="Y68" s="113">
        <f>Y66-Y67</f>
        <v>0</v>
      </c>
      <c r="Z68" s="113">
        <f>Z66-Z67</f>
        <v>0</v>
      </c>
      <c r="AA68" s="113">
        <f>AA66-AA67</f>
        <v>0</v>
      </c>
      <c r="AB68" s="113">
        <f>AB66-AB67</f>
        <v>0</v>
      </c>
      <c r="AC68" s="113">
        <f>AC66-AC67</f>
        <v>0</v>
      </c>
      <c r="AD68" s="179"/>
      <c r="AE68" s="19"/>
      <c r="AL68" s="983"/>
    </row>
    <row r="69" spans="1:38" ht="11.25" hidden="1" customHeight="1" outlineLevel="1">
      <c r="A69" s="19"/>
      <c r="B69" s="19"/>
      <c r="C69" s="19"/>
      <c r="D69" s="19"/>
      <c r="E69" s="19"/>
      <c r="F69" s="19"/>
      <c r="G69" s="19"/>
      <c r="H69" s="19"/>
      <c r="I69" s="19"/>
      <c r="J69" s="19"/>
      <c r="K69" s="19"/>
      <c r="L69" s="19"/>
      <c r="M69" s="113"/>
      <c r="N69" s="113"/>
      <c r="O69" s="113"/>
      <c r="P69" s="113"/>
      <c r="Q69" s="113"/>
      <c r="R69" s="113"/>
      <c r="S69" s="113"/>
      <c r="T69" s="113"/>
      <c r="U69" s="113"/>
      <c r="V69" s="113"/>
      <c r="W69" s="113"/>
      <c r="X69" s="113"/>
      <c r="Y69" s="113"/>
      <c r="Z69" s="113"/>
      <c r="AA69" s="113"/>
      <c r="AB69" s="113"/>
      <c r="AC69" s="113"/>
      <c r="AD69" s="137"/>
      <c r="AE69" s="19"/>
      <c r="AF69" s="112"/>
      <c r="AG69" s="112"/>
      <c r="AH69" s="112"/>
    </row>
    <row r="70" spans="1:38" ht="11.25" hidden="1" customHeight="1" outlineLevel="1">
      <c r="A70" s="19"/>
      <c r="B70" s="19"/>
      <c r="C70" s="19"/>
      <c r="D70" s="19"/>
      <c r="E70" s="19"/>
      <c r="F70" s="19"/>
      <c r="G70" s="19"/>
      <c r="H70" s="19"/>
      <c r="I70" s="112" t="s">
        <v>314</v>
      </c>
      <c r="J70" s="112"/>
      <c r="K70" s="112"/>
      <c r="L70" s="112"/>
      <c r="M70" s="113"/>
      <c r="N70" s="113"/>
      <c r="O70" s="113"/>
      <c r="P70" s="113">
        <f t="shared" ref="P70:W70" si="22">P65-P67</f>
        <v>-18.992000000000026</v>
      </c>
      <c r="Q70" s="113">
        <f t="shared" si="22"/>
        <v>-9.2300000000000075</v>
      </c>
      <c r="R70" s="113">
        <f t="shared" si="22"/>
        <v>0</v>
      </c>
      <c r="S70" s="113">
        <f>S65-S67</f>
        <v>-51.949000000000034</v>
      </c>
      <c r="T70" s="113">
        <f>T65-T67</f>
        <v>-3.2850000000000419</v>
      </c>
      <c r="U70" s="113">
        <f t="shared" si="22"/>
        <v>13.349000000000018</v>
      </c>
      <c r="V70" s="113">
        <f t="shared" si="22"/>
        <v>29.409490581603738</v>
      </c>
      <c r="W70" s="113">
        <f t="shared" si="22"/>
        <v>77.331941320645015</v>
      </c>
      <c r="X70" s="113">
        <f t="shared" ref="X70:AC70" si="23">X65-X67</f>
        <v>109.26035452005051</v>
      </c>
      <c r="Y70" s="113">
        <f t="shared" si="23"/>
        <v>152.32190715071235</v>
      </c>
      <c r="Z70" s="113">
        <f t="shared" si="23"/>
        <v>202.64870250175323</v>
      </c>
      <c r="AA70" s="113">
        <f t="shared" si="23"/>
        <v>254.52709289141382</v>
      </c>
      <c r="AB70" s="113">
        <f t="shared" si="23"/>
        <v>308.10200434802846</v>
      </c>
      <c r="AC70" s="113">
        <f t="shared" si="23"/>
        <v>364.83096408155268</v>
      </c>
      <c r="AD70" s="2"/>
      <c r="AE70" s="19"/>
    </row>
    <row r="71" spans="1:38" ht="11.25" hidden="1" customHeight="1" outlineLevel="1">
      <c r="A71" s="19"/>
      <c r="B71" s="19"/>
      <c r="C71" s="19"/>
      <c r="D71" s="19"/>
      <c r="E71" s="19"/>
      <c r="F71" s="19"/>
      <c r="G71" s="19"/>
      <c r="H71" s="19"/>
      <c r="I71" s="112" t="s">
        <v>315</v>
      </c>
      <c r="J71" s="112"/>
      <c r="K71" s="112"/>
      <c r="L71" s="112"/>
      <c r="M71" s="101"/>
      <c r="N71" s="101"/>
      <c r="O71" s="101"/>
      <c r="P71" s="241">
        <f>+IFERROR(P72/P70,"NA")</f>
        <v>-5.7919123841617447E-3</v>
      </c>
      <c r="Q71" s="241">
        <f>+IFERROR(Q72/Q70,"NA")</f>
        <v>-3.1527627302275159E-2</v>
      </c>
      <c r="R71" s="241" t="str">
        <f>+IFERROR(R72/R70,"NA")</f>
        <v>NA</v>
      </c>
      <c r="S71" s="101">
        <f>Model!BP65</f>
        <v>0.24686832340042622</v>
      </c>
      <c r="T71" s="101">
        <f>Model!BQ65</f>
        <v>0.40000000000000013</v>
      </c>
      <c r="U71" s="241">
        <f>Model!BR65</f>
        <v>0.3999999999999998</v>
      </c>
      <c r="V71" s="241">
        <f>Model!BS65</f>
        <v>0.40000000000000019</v>
      </c>
      <c r="W71" s="241">
        <f>Model!BT65</f>
        <v>0.39999999999999997</v>
      </c>
      <c r="X71" s="241">
        <f>Model!BU65</f>
        <v>0.40000000000000024</v>
      </c>
      <c r="Y71" s="241">
        <f>Model!BV65</f>
        <v>0.40000000000000024</v>
      </c>
      <c r="Z71" s="241">
        <f>Model!BW65</f>
        <v>0.40000000000000024</v>
      </c>
      <c r="AA71" s="241">
        <f>Model!BX65</f>
        <v>0.40000000000000024</v>
      </c>
      <c r="AB71" s="241">
        <f>Model!BY65</f>
        <v>0.40000000000000024</v>
      </c>
      <c r="AC71" s="241">
        <f>Model!BZ65</f>
        <v>0.40000000000000024</v>
      </c>
      <c r="AD71" s="179"/>
      <c r="AE71" s="19"/>
    </row>
    <row r="72" spans="1:38" ht="11.25" hidden="1" customHeight="1" outlineLevel="1">
      <c r="A72" s="19"/>
      <c r="B72" s="19"/>
      <c r="C72" s="19"/>
      <c r="D72" s="19"/>
      <c r="E72" s="19"/>
      <c r="F72" s="19"/>
      <c r="G72" s="19"/>
      <c r="H72" s="19"/>
      <c r="I72" s="19" t="s">
        <v>316</v>
      </c>
      <c r="J72" s="19"/>
      <c r="K72" s="19"/>
      <c r="L72" s="19"/>
      <c r="M72" s="238">
        <f>+Model!BJ103</f>
        <v>0</v>
      </c>
      <c r="N72" s="238">
        <f>+Model!BK103</f>
        <v>21</v>
      </c>
      <c r="O72" s="238">
        <f>+Model!BL103</f>
        <v>9.1999999999999998E-2</v>
      </c>
      <c r="P72" s="238">
        <f>+Model!BM103</f>
        <v>0.11</v>
      </c>
      <c r="Q72" s="238">
        <f>+Model!BN103</f>
        <v>0.29099999999999998</v>
      </c>
      <c r="R72" s="238">
        <f>+Model!BO103</f>
        <v>1.972</v>
      </c>
      <c r="S72" s="238">
        <f>+Model!BP103</f>
        <v>0.35199999999999998</v>
      </c>
      <c r="T72" s="61">
        <f>IF(T70&lt;=0,0,T70*T71)</f>
        <v>0</v>
      </c>
      <c r="U72" s="113">
        <f>IF(U70&lt;=0,0,U70*U71)</f>
        <v>5.3396000000000043</v>
      </c>
      <c r="V72" s="113">
        <f>IF(V70&lt;=0,0,V70*V71)</f>
        <v>11.7637962326415</v>
      </c>
      <c r="W72" s="113">
        <f>IF(W70&lt;=0,0,W70*W71)</f>
        <v>30.932776528258003</v>
      </c>
      <c r="X72" s="113">
        <f t="shared" ref="X72:AC72" si="24">IF(X70&lt;=0,0,X70*X71)</f>
        <v>43.704141808020232</v>
      </c>
      <c r="Y72" s="113">
        <f t="shared" si="24"/>
        <v>60.928762860284976</v>
      </c>
      <c r="Z72" s="113">
        <f t="shared" si="24"/>
        <v>81.059481000701339</v>
      </c>
      <c r="AA72" s="113">
        <f t="shared" si="24"/>
        <v>101.81083715656558</v>
      </c>
      <c r="AB72" s="113">
        <f t="shared" si="24"/>
        <v>123.24080173921146</v>
      </c>
      <c r="AC72" s="113">
        <f t="shared" si="24"/>
        <v>145.93238563262116</v>
      </c>
      <c r="AE72" s="19"/>
    </row>
    <row r="73" spans="1:38" ht="11.25" hidden="1" customHeight="1" outlineLevel="1">
      <c r="A73" s="19"/>
      <c r="B73" s="19"/>
      <c r="C73" s="19"/>
      <c r="D73" s="19"/>
      <c r="E73" s="19"/>
      <c r="F73" s="19"/>
      <c r="G73" s="19"/>
      <c r="H73" s="19"/>
      <c r="I73" s="19"/>
      <c r="J73" s="19"/>
      <c r="K73" s="19"/>
      <c r="L73" s="19"/>
      <c r="M73" s="112"/>
      <c r="N73" s="2"/>
      <c r="O73" s="112"/>
      <c r="P73" s="112"/>
      <c r="Q73" s="112"/>
      <c r="R73" s="112"/>
      <c r="S73" s="112"/>
      <c r="T73" s="112"/>
      <c r="U73" s="19"/>
      <c r="V73" s="19"/>
      <c r="W73" s="19"/>
      <c r="X73" s="19"/>
      <c r="Y73" s="19"/>
      <c r="AE73" s="19"/>
    </row>
    <row r="74" spans="1:38" ht="11.25" hidden="1" customHeight="1" outlineLevel="1">
      <c r="A74" s="19"/>
      <c r="B74" s="19"/>
      <c r="C74" s="19"/>
      <c r="D74" s="19"/>
      <c r="E74" s="19"/>
      <c r="F74" s="19"/>
      <c r="G74" s="19"/>
      <c r="H74" s="19"/>
      <c r="I74" s="19"/>
      <c r="J74" s="19"/>
      <c r="K74" s="19"/>
      <c r="L74" s="19"/>
      <c r="M74" s="112"/>
      <c r="N74" s="2"/>
      <c r="O74" s="112"/>
      <c r="P74" s="112"/>
      <c r="Q74" s="112"/>
      <c r="R74" s="112"/>
      <c r="S74" s="112"/>
      <c r="T74" s="112"/>
      <c r="U74" s="19"/>
      <c r="V74" s="19"/>
      <c r="W74" s="19"/>
      <c r="X74" s="19"/>
      <c r="Y74" s="19"/>
      <c r="AE74" s="19"/>
    </row>
    <row r="75" spans="1:38" ht="11.25" hidden="1" customHeight="1" outlineLevel="1">
      <c r="A75" s="19"/>
      <c r="B75" s="19"/>
      <c r="C75" s="19"/>
      <c r="D75" s="19"/>
      <c r="E75" s="19"/>
      <c r="F75" s="19"/>
      <c r="G75" s="19"/>
      <c r="H75" s="19"/>
      <c r="I75" s="19"/>
      <c r="J75" s="19"/>
      <c r="K75" s="19"/>
      <c r="L75" s="19"/>
      <c r="M75" s="112"/>
      <c r="N75" s="2"/>
      <c r="O75" s="112"/>
      <c r="P75" s="112"/>
      <c r="Q75" s="112"/>
      <c r="R75" s="112"/>
      <c r="S75" s="112"/>
      <c r="T75" s="112"/>
      <c r="U75" s="19"/>
      <c r="V75" s="19"/>
      <c r="W75" s="19"/>
      <c r="X75" s="19"/>
      <c r="Y75" s="19"/>
      <c r="AE75" s="19"/>
      <c r="AL75" s="983"/>
    </row>
    <row r="76" spans="1:38" collapsed="1">
      <c r="AA76" s="169"/>
      <c r="AB76" s="169"/>
      <c r="AC76" s="169"/>
      <c r="AD76" s="169"/>
      <c r="AE76" s="169"/>
      <c r="AF76" s="169"/>
      <c r="AG76" s="169"/>
      <c r="AH76" s="169"/>
    </row>
    <row r="77" spans="1:38">
      <c r="AA77" s="169"/>
      <c r="AB77" s="169"/>
      <c r="AC77" s="169"/>
      <c r="AD77" s="169"/>
      <c r="AE77" s="169"/>
      <c r="AF77" s="169"/>
      <c r="AG77" s="169"/>
      <c r="AH77" s="169"/>
    </row>
    <row r="78" spans="1:38">
      <c r="AA78" s="169"/>
      <c r="AB78" s="169"/>
      <c r="AC78" s="169"/>
      <c r="AD78" s="169"/>
      <c r="AE78" s="169"/>
      <c r="AF78" s="169"/>
      <c r="AG78" s="169"/>
      <c r="AH78" s="169"/>
    </row>
    <row r="79" spans="1:38">
      <c r="AA79" s="169"/>
      <c r="AB79" s="169"/>
      <c r="AC79" s="169"/>
      <c r="AD79" s="169"/>
      <c r="AE79" s="169"/>
      <c r="AF79" s="169"/>
      <c r="AG79" s="169"/>
      <c r="AH79" s="169"/>
    </row>
    <row r="80" spans="1:38">
      <c r="AA80" s="169"/>
      <c r="AB80" s="169"/>
      <c r="AC80" s="169"/>
      <c r="AD80" s="169"/>
      <c r="AE80" s="169"/>
      <c r="AF80" s="169"/>
      <c r="AG80" s="169"/>
      <c r="AH80" s="169"/>
    </row>
    <row r="81" spans="27:34">
      <c r="AA81" s="169"/>
      <c r="AB81" s="169"/>
      <c r="AC81" s="169"/>
      <c r="AD81" s="169"/>
      <c r="AE81" s="169"/>
      <c r="AF81" s="169"/>
      <c r="AG81" s="169"/>
      <c r="AH81" s="169"/>
    </row>
    <row r="82" spans="27:34">
      <c r="AA82" s="169"/>
      <c r="AB82" s="169"/>
      <c r="AC82" s="169"/>
      <c r="AD82" s="169"/>
      <c r="AE82" s="169"/>
      <c r="AF82" s="169"/>
      <c r="AG82" s="169"/>
      <c r="AH82" s="169"/>
    </row>
    <row r="83" spans="27:34">
      <c r="AA83" s="169"/>
      <c r="AB83" s="169"/>
      <c r="AC83" s="169"/>
      <c r="AD83" s="169"/>
      <c r="AE83" s="169"/>
      <c r="AF83" s="169"/>
      <c r="AG83" s="169"/>
      <c r="AH83" s="169"/>
    </row>
    <row r="84" spans="27:34">
      <c r="AA84" s="169"/>
      <c r="AB84" s="169"/>
      <c r="AC84" s="169"/>
      <c r="AD84" s="169"/>
      <c r="AE84" s="169"/>
      <c r="AF84" s="169"/>
      <c r="AG84" s="169"/>
      <c r="AH84" s="169"/>
    </row>
    <row r="85" spans="27:34">
      <c r="AA85" s="169"/>
      <c r="AB85" s="169"/>
      <c r="AC85" s="169"/>
      <c r="AD85" s="169"/>
      <c r="AE85" s="169"/>
      <c r="AF85" s="169"/>
      <c r="AG85" s="169"/>
      <c r="AH85" s="169"/>
    </row>
    <row r="86" spans="27:34">
      <c r="AA86" s="169"/>
      <c r="AB86" s="169"/>
      <c r="AC86" s="169"/>
      <c r="AD86" s="169"/>
      <c r="AE86" s="169"/>
      <c r="AF86" s="169"/>
      <c r="AG86" s="169"/>
      <c r="AH86" s="169"/>
    </row>
  </sheetData>
  <phoneticPr fontId="2" type="noConversion"/>
  <pageMargins left="0" right="0" top="0" bottom="0" header="0" footer="0"/>
  <pageSetup paperSize="5"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pageSetUpPr fitToPage="1"/>
  </sheetPr>
  <dimension ref="A1:BO119"/>
  <sheetViews>
    <sheetView showGridLines="0" zoomScaleNormal="100" workbookViewId="0">
      <pane xSplit="12" ySplit="9" topLeftCell="M10" activePane="bottomRight" state="frozen"/>
      <selection activeCell="Z25" sqref="Z25"/>
      <selection pane="topRight" activeCell="Z25" sqref="Z25"/>
      <selection pane="bottomLeft" activeCell="Z25" sqref="Z25"/>
      <selection pane="bottomRight" activeCell="Z22" sqref="Z22"/>
    </sheetView>
  </sheetViews>
  <sheetFormatPr defaultRowHeight="11.25" outlineLevelRow="1" outlineLevelCol="1"/>
  <cols>
    <col min="1" max="7" width="8.7109375" style="89" hidden="1" customWidth="1" outlineLevel="1"/>
    <col min="8" max="8" width="1.7109375" style="89" customWidth="1" collapsed="1"/>
    <col min="9" max="12" width="10.85546875" style="89" customWidth="1"/>
    <col min="13" max="16" width="9.140625" style="89" hidden="1" customWidth="1" outlineLevel="1"/>
    <col min="17" max="17" width="8.7109375" style="89" hidden="1" customWidth="1" outlineLevel="1"/>
    <col min="18" max="18" width="8.7109375" style="89" customWidth="1" collapsed="1"/>
    <col min="19" max="25" width="8.7109375" style="89" customWidth="1"/>
    <col min="26" max="26" width="8.7109375" style="1174" customWidth="1"/>
    <col min="27" max="29" width="8.7109375" style="89" customWidth="1"/>
    <col min="30" max="16384" width="9.140625" style="89"/>
  </cols>
  <sheetData>
    <row r="1" spans="1:60">
      <c r="A1" s="19"/>
      <c r="B1" s="125" t="s">
        <v>208</v>
      </c>
      <c r="C1" s="125" t="s">
        <v>209</v>
      </c>
      <c r="D1" s="125" t="s">
        <v>210</v>
      </c>
      <c r="E1" s="125" t="s">
        <v>211</v>
      </c>
      <c r="F1" s="125" t="s">
        <v>212</v>
      </c>
      <c r="G1" s="125" t="s">
        <v>213</v>
      </c>
      <c r="H1" s="19"/>
      <c r="I1" s="11"/>
      <c r="J1" s="112"/>
      <c r="K1" s="112"/>
      <c r="L1" s="39">
        <f>fair_value</f>
        <v>54</v>
      </c>
      <c r="M1" s="115"/>
      <c r="N1" s="115"/>
      <c r="O1" s="115"/>
      <c r="P1" s="115"/>
      <c r="Q1" s="115"/>
      <c r="R1" s="115"/>
      <c r="S1" s="115"/>
      <c r="T1" s="115"/>
      <c r="U1" s="115"/>
      <c r="V1" s="115"/>
      <c r="W1" s="115"/>
      <c r="X1" s="115"/>
      <c r="Y1" s="254"/>
      <c r="AA1" s="19"/>
      <c r="AB1" s="19"/>
      <c r="AC1" s="19"/>
      <c r="AD1" s="19"/>
      <c r="AE1" s="19"/>
      <c r="AF1" s="19"/>
      <c r="AG1" s="19"/>
      <c r="AH1" s="19"/>
      <c r="AI1" s="19"/>
    </row>
    <row r="2" spans="1:60">
      <c r="A2" s="19"/>
      <c r="B2" s="19"/>
      <c r="C2" s="19"/>
      <c r="D2" s="19"/>
      <c r="E2" s="19"/>
      <c r="F2" s="19"/>
      <c r="G2" s="19"/>
      <c r="H2" s="19"/>
      <c r="I2" s="11"/>
      <c r="J2" s="112"/>
      <c r="K2" s="112"/>
      <c r="L2" s="112"/>
      <c r="M2" s="115"/>
      <c r="N2" s="115"/>
      <c r="O2" s="115"/>
      <c r="P2" s="115"/>
      <c r="Q2" s="115"/>
      <c r="R2" s="115"/>
      <c r="S2" s="115"/>
      <c r="T2" s="2252"/>
      <c r="U2" s="115"/>
      <c r="V2" s="115"/>
      <c r="W2" s="115"/>
      <c r="X2" s="115"/>
      <c r="Y2" s="93"/>
      <c r="AA2" s="19"/>
      <c r="AB2" s="19"/>
      <c r="AC2" s="19"/>
      <c r="AD2" s="19"/>
      <c r="AE2" s="19"/>
      <c r="AF2" s="19"/>
      <c r="AG2" s="19"/>
      <c r="AH2" s="19"/>
      <c r="AI2" s="19"/>
    </row>
    <row r="3" spans="1:60">
      <c r="A3" s="19"/>
      <c r="B3" s="19"/>
      <c r="C3" s="19"/>
      <c r="D3" s="19"/>
      <c r="E3" s="19"/>
      <c r="F3" s="19"/>
      <c r="G3" s="19"/>
      <c r="H3" s="19"/>
      <c r="I3" s="11"/>
      <c r="J3" s="112"/>
      <c r="K3" s="112"/>
      <c r="L3" s="112"/>
      <c r="M3" s="115"/>
      <c r="N3" s="115"/>
      <c r="O3" s="115"/>
      <c r="P3" s="115"/>
      <c r="Q3" s="115"/>
      <c r="R3" s="115"/>
      <c r="S3" s="115"/>
      <c r="T3" s="2268"/>
      <c r="U3" s="2268"/>
      <c r="V3" s="2268"/>
      <c r="W3" s="115"/>
      <c r="X3" s="115"/>
      <c r="Y3" s="93"/>
      <c r="AA3" s="19"/>
      <c r="AB3" s="19"/>
      <c r="AC3" s="19"/>
      <c r="AD3" s="19"/>
      <c r="AE3" s="19"/>
      <c r="AF3" s="19"/>
      <c r="AG3" s="19"/>
      <c r="AH3" s="19"/>
      <c r="AI3" s="19"/>
    </row>
    <row r="4" spans="1:60">
      <c r="A4" s="19"/>
      <c r="B4" s="19"/>
      <c r="C4" s="19"/>
      <c r="D4" s="19"/>
      <c r="E4" s="19"/>
      <c r="F4" s="19"/>
      <c r="G4" s="19"/>
      <c r="H4" s="19"/>
      <c r="I4" s="11"/>
      <c r="J4" s="112"/>
      <c r="K4" s="112"/>
      <c r="L4" s="112"/>
      <c r="M4" s="115"/>
      <c r="N4" s="115"/>
      <c r="O4" s="115"/>
      <c r="P4" s="115"/>
      <c r="Q4" s="115"/>
      <c r="R4" s="115"/>
      <c r="S4" s="115"/>
      <c r="T4" s="115"/>
      <c r="U4" s="2796">
        <f>$L$35/U14</f>
        <v>26.148337470740898</v>
      </c>
      <c r="V4" s="2796">
        <f>$L$35/V14</f>
        <v>20.33489701809733</v>
      </c>
      <c r="W4" s="2796">
        <f>$L$35/W14</f>
        <v>15.946154326954003</v>
      </c>
      <c r="X4" s="115"/>
      <c r="Y4" s="115"/>
      <c r="AA4" s="19"/>
      <c r="AB4" s="19"/>
      <c r="AC4" s="19"/>
      <c r="AD4" s="19"/>
      <c r="AE4" s="19"/>
      <c r="AF4" s="19"/>
      <c r="AG4" s="19"/>
      <c r="AH4" s="19"/>
      <c r="AI4" s="19"/>
    </row>
    <row r="5" spans="1:60" hidden="1" outlineLevel="1">
      <c r="A5" s="116"/>
      <c r="B5" s="116"/>
      <c r="C5" s="116"/>
      <c r="D5" s="116"/>
      <c r="E5" s="116"/>
      <c r="F5" s="116"/>
      <c r="G5" s="116"/>
      <c r="H5" s="116"/>
      <c r="I5" s="117"/>
      <c r="J5" s="117"/>
      <c r="K5" s="117"/>
      <c r="L5" s="117"/>
      <c r="M5" s="118" t="str">
        <f t="shared" ref="M5:AC5" si="0">+YEAR(M$8)&amp;"-FY"</f>
        <v>2009-FY</v>
      </c>
      <c r="N5" s="118" t="str">
        <f t="shared" si="0"/>
        <v>2010-FY</v>
      </c>
      <c r="O5" s="118" t="str">
        <f t="shared" si="0"/>
        <v>2011-FY</v>
      </c>
      <c r="P5" s="118" t="str">
        <f t="shared" si="0"/>
        <v>2012-FY</v>
      </c>
      <c r="Q5" s="118" t="str">
        <f t="shared" si="0"/>
        <v>2013-FY</v>
      </c>
      <c r="R5" s="118" t="str">
        <f t="shared" si="0"/>
        <v>2014-FY</v>
      </c>
      <c r="S5" s="118" t="str">
        <f t="shared" si="0"/>
        <v>2015-FY</v>
      </c>
      <c r="T5" s="118" t="str">
        <f t="shared" si="0"/>
        <v>2016-FY</v>
      </c>
      <c r="U5" s="118" t="str">
        <f t="shared" si="0"/>
        <v>2017-FY</v>
      </c>
      <c r="V5" s="118" t="str">
        <f t="shared" si="0"/>
        <v>2018-FY</v>
      </c>
      <c r="W5" s="118" t="str">
        <f t="shared" si="0"/>
        <v>2019-FY</v>
      </c>
      <c r="X5" s="118" t="str">
        <f t="shared" si="0"/>
        <v>2020-FY</v>
      </c>
      <c r="Y5" s="118" t="str">
        <f t="shared" si="0"/>
        <v>2021-FY</v>
      </c>
      <c r="Z5" s="118" t="str">
        <f t="shared" si="0"/>
        <v>2022-FY</v>
      </c>
      <c r="AA5" s="118" t="str">
        <f t="shared" si="0"/>
        <v>2023-FY</v>
      </c>
      <c r="AB5" s="118" t="str">
        <f t="shared" si="0"/>
        <v>2024-FY</v>
      </c>
      <c r="AC5" s="118" t="str">
        <f t="shared" si="0"/>
        <v>2025-FY</v>
      </c>
      <c r="AD5" s="116"/>
      <c r="AE5" s="116"/>
      <c r="AF5" s="116"/>
      <c r="AG5" s="116"/>
      <c r="AH5" s="116"/>
      <c r="AI5" s="116"/>
    </row>
    <row r="6" spans="1:60" hidden="1" outlineLevel="1">
      <c r="A6" s="116"/>
      <c r="B6" s="116"/>
      <c r="C6" s="116"/>
      <c r="D6" s="116"/>
      <c r="E6" s="116"/>
      <c r="F6" s="116"/>
      <c r="G6" s="116"/>
      <c r="H6" s="116"/>
      <c r="I6" s="117" t="s">
        <v>108</v>
      </c>
      <c r="J6" s="117"/>
      <c r="K6" s="117"/>
      <c r="L6" s="117"/>
      <c r="M6" s="119">
        <v>40178</v>
      </c>
      <c r="N6" s="119">
        <f t="shared" ref="N6:X6" si="1">+EOMONTH(M6,12)</f>
        <v>40543</v>
      </c>
      <c r="O6" s="119">
        <f t="shared" si="1"/>
        <v>40908</v>
      </c>
      <c r="P6" s="119">
        <f t="shared" si="1"/>
        <v>41274</v>
      </c>
      <c r="Q6" s="119">
        <f t="shared" si="1"/>
        <v>41639</v>
      </c>
      <c r="R6" s="119">
        <f t="shared" si="1"/>
        <v>42004</v>
      </c>
      <c r="S6" s="119">
        <f t="shared" si="1"/>
        <v>42369</v>
      </c>
      <c r="T6" s="119">
        <f t="shared" si="1"/>
        <v>42735</v>
      </c>
      <c r="U6" s="119">
        <f t="shared" si="1"/>
        <v>43100</v>
      </c>
      <c r="V6" s="119">
        <f t="shared" si="1"/>
        <v>43465</v>
      </c>
      <c r="W6" s="119">
        <f t="shared" si="1"/>
        <v>43830</v>
      </c>
      <c r="X6" s="119">
        <f t="shared" si="1"/>
        <v>44196</v>
      </c>
      <c r="Y6" s="119">
        <f>+EOMONTH(X6,12)</f>
        <v>44561</v>
      </c>
      <c r="Z6" s="119">
        <f>+EOMONTH(Y6,12)</f>
        <v>44926</v>
      </c>
      <c r="AA6" s="119">
        <f>+EOMONTH(Z6,12)</f>
        <v>45291</v>
      </c>
      <c r="AB6" s="119">
        <f>+EOMONTH(AA6,12)</f>
        <v>45657</v>
      </c>
      <c r="AC6" s="119">
        <f>+EOMONTH(AB6,12)</f>
        <v>46022</v>
      </c>
      <c r="AD6" s="116"/>
      <c r="AE6" s="116"/>
      <c r="AF6" s="116"/>
      <c r="AG6" s="116"/>
      <c r="AH6" s="116"/>
      <c r="AI6" s="116"/>
    </row>
    <row r="7" spans="1:60" ht="13.5" collapsed="1">
      <c r="A7" s="19"/>
      <c r="B7" s="19"/>
      <c r="C7" s="19"/>
      <c r="D7" s="19"/>
      <c r="E7" s="19"/>
      <c r="F7" s="19"/>
      <c r="G7" s="19"/>
      <c r="H7" s="112"/>
      <c r="I7" s="2" t="s">
        <v>256</v>
      </c>
      <c r="J7" s="2"/>
      <c r="K7" s="2"/>
      <c r="L7" s="2"/>
      <c r="M7" s="9"/>
      <c r="N7" s="9"/>
      <c r="O7" s="9"/>
      <c r="P7" s="9"/>
      <c r="Q7" s="9"/>
      <c r="R7" s="9"/>
      <c r="S7" s="1910"/>
      <c r="T7" s="9"/>
      <c r="U7" s="9"/>
      <c r="V7" s="9"/>
      <c r="W7" s="9"/>
      <c r="X7" s="9"/>
      <c r="Y7" s="9"/>
      <c r="AA7" s="19"/>
      <c r="AB7" s="19"/>
      <c r="AC7" s="19"/>
      <c r="AD7" s="19"/>
      <c r="AE7" s="19"/>
      <c r="AF7" s="19"/>
      <c r="AG7" s="19"/>
      <c r="AH7" s="19"/>
      <c r="AI7" s="19"/>
    </row>
    <row r="8" spans="1:60" ht="12" thickBot="1">
      <c r="A8" s="19"/>
      <c r="B8" s="19"/>
      <c r="C8" s="19"/>
      <c r="D8" s="19"/>
      <c r="E8" s="19"/>
      <c r="F8" s="19"/>
      <c r="G8" s="19"/>
      <c r="H8" s="112"/>
      <c r="I8" s="3" t="s">
        <v>83</v>
      </c>
      <c r="J8" s="3"/>
      <c r="K8" s="3"/>
      <c r="L8" s="3"/>
      <c r="M8" s="10">
        <v>40178</v>
      </c>
      <c r="N8" s="10">
        <f t="shared" ref="N8:X8" si="2">+EOMONTH(M8,12)</f>
        <v>40543</v>
      </c>
      <c r="O8" s="10">
        <f t="shared" si="2"/>
        <v>40908</v>
      </c>
      <c r="P8" s="10">
        <f t="shared" si="2"/>
        <v>41274</v>
      </c>
      <c r="Q8" s="10">
        <f t="shared" si="2"/>
        <v>41639</v>
      </c>
      <c r="R8" s="10">
        <f t="shared" si="2"/>
        <v>42004</v>
      </c>
      <c r="S8" s="10">
        <f t="shared" si="2"/>
        <v>42369</v>
      </c>
      <c r="T8" s="10">
        <f t="shared" si="2"/>
        <v>42735</v>
      </c>
      <c r="U8" s="12">
        <f t="shared" si="2"/>
        <v>43100</v>
      </c>
      <c r="V8" s="12">
        <f t="shared" si="2"/>
        <v>43465</v>
      </c>
      <c r="W8" s="12">
        <f t="shared" si="2"/>
        <v>43830</v>
      </c>
      <c r="X8" s="12">
        <f t="shared" si="2"/>
        <v>44196</v>
      </c>
      <c r="Y8" s="12">
        <f>+EOMONTH(X8,12)</f>
        <v>44561</v>
      </c>
      <c r="Z8" s="12">
        <f>+EOMONTH(Y8,12)</f>
        <v>44926</v>
      </c>
      <c r="AA8" s="12">
        <f>+EOMONTH(Z8,12)</f>
        <v>45291</v>
      </c>
      <c r="AB8" s="12">
        <f>+EOMONTH(AA8,12)</f>
        <v>45657</v>
      </c>
      <c r="AC8" s="12">
        <f>+EOMONTH(AB8,12)</f>
        <v>46022</v>
      </c>
      <c r="AD8" s="12" t="s">
        <v>502</v>
      </c>
      <c r="AE8" s="1175" t="s">
        <v>692</v>
      </c>
      <c r="AF8" s="19"/>
      <c r="AG8" s="19"/>
      <c r="AH8" s="19"/>
      <c r="AI8" s="19"/>
    </row>
    <row r="9" spans="1:60" ht="6.75" customHeight="1">
      <c r="A9" s="19"/>
      <c r="B9" s="19"/>
      <c r="C9" s="19"/>
      <c r="D9" s="19"/>
      <c r="E9" s="19"/>
      <c r="F9" s="19"/>
      <c r="G9" s="19"/>
      <c r="H9" s="112"/>
      <c r="I9" s="112"/>
      <c r="J9" s="112"/>
      <c r="K9" s="112"/>
      <c r="L9" s="112"/>
      <c r="M9" s="19"/>
      <c r="N9" s="112"/>
      <c r="O9" s="112"/>
      <c r="P9" s="112"/>
      <c r="Q9" s="112"/>
      <c r="R9" s="112"/>
      <c r="S9" s="112"/>
      <c r="T9" s="112"/>
      <c r="U9" s="112"/>
      <c r="V9" s="112"/>
      <c r="W9" s="112"/>
      <c r="X9" s="112"/>
      <c r="AA9" s="19"/>
      <c r="AB9" s="19"/>
      <c r="AC9" s="19"/>
      <c r="AD9" s="112"/>
      <c r="AE9" s="1174"/>
      <c r="AF9" s="19"/>
      <c r="AG9" s="19"/>
      <c r="AH9" s="19"/>
      <c r="AI9" s="19"/>
    </row>
    <row r="10" spans="1:60" s="83" customFormat="1" ht="11.25" customHeight="1">
      <c r="A10" s="36"/>
      <c r="B10" s="36"/>
      <c r="C10" s="36"/>
      <c r="D10" s="36"/>
      <c r="E10" s="36"/>
      <c r="F10" s="36"/>
      <c r="G10" s="36"/>
      <c r="H10" s="36"/>
      <c r="I10" s="60" t="s">
        <v>49</v>
      </c>
      <c r="J10" s="60"/>
      <c r="K10" s="60"/>
      <c r="L10" s="60"/>
      <c r="M10" s="69"/>
      <c r="N10" s="178"/>
      <c r="O10" s="178"/>
      <c r="P10" s="178"/>
      <c r="Q10" s="178"/>
      <c r="R10" s="178"/>
      <c r="S10" s="178"/>
      <c r="T10" s="178"/>
      <c r="U10" s="178"/>
      <c r="V10" s="178"/>
      <c r="W10" s="178"/>
      <c r="X10" s="178"/>
      <c r="Y10" s="178"/>
      <c r="Z10" s="178"/>
      <c r="AA10" s="178"/>
      <c r="AB10" s="178"/>
      <c r="AC10" s="178"/>
      <c r="AD10" s="69"/>
      <c r="AE10" s="1176"/>
      <c r="AF10" s="68"/>
      <c r="AG10" s="68"/>
      <c r="AH10" s="68"/>
      <c r="AI10" s="68"/>
      <c r="AJ10" s="68"/>
      <c r="AK10" s="68"/>
      <c r="AL10" s="68"/>
      <c r="AM10" s="68"/>
      <c r="AN10" s="68"/>
      <c r="AO10" s="68"/>
      <c r="AP10" s="68"/>
      <c r="AQ10" s="68"/>
      <c r="AR10" s="68"/>
      <c r="AS10" s="68"/>
      <c r="AT10" s="68"/>
      <c r="AU10" s="68"/>
      <c r="AV10" s="68"/>
      <c r="AW10" s="68"/>
      <c r="AX10" s="68"/>
      <c r="AY10" s="68"/>
      <c r="AZ10" s="68"/>
      <c r="BA10" s="68"/>
      <c r="BB10" s="68"/>
      <c r="BC10" s="68"/>
      <c r="BD10" s="68"/>
      <c r="BE10" s="68"/>
      <c r="BF10" s="68"/>
      <c r="BG10" s="68"/>
      <c r="BH10" s="68"/>
    </row>
    <row r="11" spans="1:60">
      <c r="A11" s="19"/>
      <c r="B11" s="19"/>
      <c r="C11" s="19"/>
      <c r="D11" s="19"/>
      <c r="E11" s="19"/>
      <c r="F11" s="19"/>
      <c r="G11" s="19"/>
      <c r="H11" s="19"/>
      <c r="I11" s="121" t="s">
        <v>707</v>
      </c>
      <c r="J11" s="112"/>
      <c r="K11" s="112"/>
      <c r="L11" s="112"/>
      <c r="M11" s="113">
        <f>Model!BJ23</f>
        <v>25.808000000000003</v>
      </c>
      <c r="N11" s="113">
        <f>Model!BK23</f>
        <v>47.731000000000002</v>
      </c>
      <c r="O11" s="113">
        <f>Model!BL23</f>
        <v>83.284999999999997</v>
      </c>
      <c r="P11" s="113">
        <f>Model!BM23</f>
        <v>137.56599999999997</v>
      </c>
      <c r="Q11" s="113">
        <f>Model!BN23</f>
        <v>232.988</v>
      </c>
      <c r="R11" s="113">
        <f>Model!BO23</f>
        <v>377.536</v>
      </c>
      <c r="S11" s="113">
        <f>Model!BP23</f>
        <v>518.70000000000005</v>
      </c>
      <c r="T11" s="113">
        <f>Model!BQ23</f>
        <v>713.06899999999996</v>
      </c>
      <c r="U11" s="113">
        <f>Model!BR23</f>
        <v>846.81299999999999</v>
      </c>
      <c r="V11" s="113">
        <f>U11*(1+V12)</f>
        <v>985.40438999999992</v>
      </c>
      <c r="W11" s="113">
        <f t="shared" ref="W11:AC11" si="3">V11*(1+W12)</f>
        <v>1165.6512763375001</v>
      </c>
      <c r="X11" s="113">
        <f t="shared" si="3"/>
        <v>1339.5258515309174</v>
      </c>
      <c r="Y11" s="113">
        <f t="shared" si="3"/>
        <v>1515.0817336371572</v>
      </c>
      <c r="Z11" s="113">
        <f t="shared" si="3"/>
        <v>1678.4306071696521</v>
      </c>
      <c r="AA11" s="113">
        <f t="shared" si="3"/>
        <v>1840.3965409426778</v>
      </c>
      <c r="AB11" s="113">
        <f t="shared" si="3"/>
        <v>2000.9118159304628</v>
      </c>
      <c r="AC11" s="113">
        <f t="shared" si="3"/>
        <v>2141.0067752587793</v>
      </c>
      <c r="AD11" s="2236">
        <f>+(1+L50)*AC11</f>
        <v>2205.2369785165429</v>
      </c>
      <c r="AE11" s="1177">
        <f>RATE(6,,-T11,Y11)</f>
        <v>0.13383732884601499</v>
      </c>
      <c r="AF11" s="19"/>
      <c r="AG11" s="19"/>
      <c r="AH11" s="19"/>
      <c r="AI11" s="19"/>
    </row>
    <row r="12" spans="1:60">
      <c r="A12" s="19"/>
      <c r="B12" s="19"/>
      <c r="C12" s="19"/>
      <c r="D12" s="19"/>
      <c r="E12" s="19"/>
      <c r="F12" s="19"/>
      <c r="G12" s="19"/>
      <c r="H12" s="19"/>
      <c r="I12" s="111" t="s">
        <v>132</v>
      </c>
      <c r="J12" s="112"/>
      <c r="K12" s="112"/>
      <c r="L12" s="112"/>
      <c r="M12" s="114" t="str">
        <f t="shared" ref="M12:U12" si="4">IF(ISERROR(+M11/L11-1), "NA", +M11/L11-1)</f>
        <v>NA</v>
      </c>
      <c r="N12" s="114">
        <f t="shared" si="4"/>
        <v>0.84946528208307481</v>
      </c>
      <c r="O12" s="114">
        <f t="shared" si="4"/>
        <v>0.74488278058284951</v>
      </c>
      <c r="P12" s="114">
        <f t="shared" si="4"/>
        <v>0.65175001500870477</v>
      </c>
      <c r="Q12" s="114">
        <f t="shared" si="4"/>
        <v>0.69364523210677098</v>
      </c>
      <c r="R12" s="114">
        <f t="shared" si="4"/>
        <v>0.62040963483097844</v>
      </c>
      <c r="S12" s="114">
        <f t="shared" si="4"/>
        <v>0.37390871334124443</v>
      </c>
      <c r="T12" s="114">
        <f t="shared" si="4"/>
        <v>0.37472334682860975</v>
      </c>
      <c r="U12" s="114">
        <f t="shared" si="4"/>
        <v>0.1875610915633692</v>
      </c>
      <c r="V12" s="1353">
        <f>DCF!V12+0.03</f>
        <v>0.16366233158914653</v>
      </c>
      <c r="W12" s="1353">
        <f>DCF!W12+0.02</f>
        <v>0.18291666666666681</v>
      </c>
      <c r="X12" s="1353">
        <f>DCF!X12+0.02</f>
        <v>0.14916517377284119</v>
      </c>
      <c r="Y12" s="1353">
        <f>DCF!Y12+0.02</f>
        <v>0.13105822624147231</v>
      </c>
      <c r="Z12" s="1353">
        <f>DCF!Z12+0.01</f>
        <v>0.10781522204769377</v>
      </c>
      <c r="AA12" s="1353">
        <f>DCF!AA12+0.01</f>
        <v>9.6498439125910482E-2</v>
      </c>
      <c r="AB12" s="1353">
        <f>DCF!AB12+0.01</f>
        <v>8.7217766072069866E-2</v>
      </c>
      <c r="AC12" s="1353">
        <f>DCF!AC12</f>
        <v>7.0015559013113959E-2</v>
      </c>
      <c r="AD12" s="2237">
        <f>IF(ISERROR(+AD11/AC11-1), "NA", +AD11/AC11-1)</f>
        <v>3.0000000000000027E-2</v>
      </c>
      <c r="AE12" s="1174"/>
      <c r="AF12" s="19"/>
      <c r="AG12" s="19"/>
      <c r="AH12" s="19"/>
      <c r="AI12" s="19"/>
    </row>
    <row r="13" spans="1:60" s="1378" customFormat="1">
      <c r="I13" s="121"/>
      <c r="J13" s="1380"/>
      <c r="K13" s="1380"/>
      <c r="L13" s="1380"/>
      <c r="M13" s="2251"/>
      <c r="N13" s="2251"/>
      <c r="O13" s="2251"/>
      <c r="P13" s="2251"/>
      <c r="Q13" s="2251"/>
      <c r="R13" s="2251"/>
      <c r="S13" s="2251"/>
      <c r="T13" s="2251"/>
      <c r="U13" s="2251"/>
      <c r="V13" s="2864"/>
      <c r="W13" s="2864"/>
      <c r="X13" s="2864"/>
      <c r="Y13" s="2864"/>
      <c r="Z13" s="2864"/>
      <c r="AA13" s="2864"/>
      <c r="AB13" s="2864"/>
      <c r="AC13" s="2864"/>
      <c r="AD13" s="2251"/>
      <c r="AE13" s="1174"/>
    </row>
    <row r="14" spans="1:60">
      <c r="A14" s="19"/>
      <c r="B14" s="19"/>
      <c r="C14" s="19"/>
      <c r="D14" s="19"/>
      <c r="E14" s="19"/>
      <c r="F14" s="19"/>
      <c r="G14" s="19"/>
      <c r="H14" s="19"/>
      <c r="I14" s="121" t="s">
        <v>703</v>
      </c>
      <c r="J14" s="112"/>
      <c r="K14" s="112"/>
      <c r="L14" s="112"/>
      <c r="M14" s="113">
        <f>Model!BJ49</f>
        <v>-0.57499999999999618</v>
      </c>
      <c r="N14" s="113">
        <f>Model!BK49</f>
        <v>-4.4409999999999989</v>
      </c>
      <c r="O14" s="113">
        <f>Model!BL49</f>
        <v>-1.1280000000000001</v>
      </c>
      <c r="P14" s="113">
        <f>Model!BM49</f>
        <v>4.5969999999999676</v>
      </c>
      <c r="Q14" s="113">
        <f>Model!BN49</f>
        <v>29.428999999999988</v>
      </c>
      <c r="R14" s="113">
        <f>Model!BO49</f>
        <v>70.921999999999997</v>
      </c>
      <c r="S14" s="113">
        <f>Model!BP49</f>
        <v>38.111000000000004</v>
      </c>
      <c r="T14" s="113">
        <f>Model!BQ49</f>
        <v>120.08199999999995</v>
      </c>
      <c r="U14" s="113">
        <f>Model!BR49</f>
        <v>156.607</v>
      </c>
      <c r="V14" s="113">
        <f t="shared" ref="V14:AC14" si="5">V11*V22</f>
        <v>201.3785800162108</v>
      </c>
      <c r="W14" s="113">
        <f t="shared" si="5"/>
        <v>256.80252444054577</v>
      </c>
      <c r="X14" s="113">
        <f t="shared" si="5"/>
        <v>314.45109020754813</v>
      </c>
      <c r="Y14" s="113">
        <f t="shared" si="5"/>
        <v>383.39573306753311</v>
      </c>
      <c r="Z14" s="113">
        <f t="shared" si="5"/>
        <v>455.6938311705872</v>
      </c>
      <c r="AA14" s="113">
        <f t="shared" si="5"/>
        <v>512.86944142578363</v>
      </c>
      <c r="AB14" s="113">
        <f t="shared" si="5"/>
        <v>590.40490118331093</v>
      </c>
      <c r="AC14" s="113">
        <f t="shared" si="5"/>
        <v>667.01092072477604</v>
      </c>
      <c r="AD14" s="2235">
        <f>+AD11*AD22</f>
        <v>709.07361813168484</v>
      </c>
      <c r="AF14" s="19"/>
      <c r="AG14" s="19"/>
      <c r="AH14" s="19"/>
      <c r="AI14" s="19"/>
    </row>
    <row r="15" spans="1:60" s="19" customFormat="1">
      <c r="I15" s="121" t="s">
        <v>220</v>
      </c>
      <c r="J15" s="112"/>
      <c r="K15" s="112"/>
      <c r="L15" s="112"/>
      <c r="M15" s="113">
        <f>-Model!BJ66</f>
        <v>-8.0000000000000002E-3</v>
      </c>
      <c r="N15" s="113">
        <f>-Model!BK66</f>
        <v>-7.4999999999999997E-2</v>
      </c>
      <c r="O15" s="113">
        <f t="shared" ref="O15:AC15" si="6">-O72</f>
        <v>-9.1999999999999998E-2</v>
      </c>
      <c r="P15" s="113">
        <f t="shared" si="6"/>
        <v>-0.11</v>
      </c>
      <c r="Q15" s="113">
        <f t="shared" si="6"/>
        <v>-0.29099999999999998</v>
      </c>
      <c r="R15" s="113">
        <f t="shared" si="6"/>
        <v>-1.972</v>
      </c>
      <c r="S15" s="113">
        <f t="shared" si="6"/>
        <v>-0.35199999999999998</v>
      </c>
      <c r="T15" s="113">
        <f>-T72</f>
        <v>0</v>
      </c>
      <c r="U15" s="113">
        <f>-U72</f>
        <v>-5.3396000000000043</v>
      </c>
      <c r="V15" s="113">
        <f t="shared" si="6"/>
        <v>-11.7637962326415</v>
      </c>
      <c r="W15" s="113">
        <f t="shared" si="6"/>
        <v>-30.932776528258003</v>
      </c>
      <c r="X15" s="113">
        <f t="shared" si="6"/>
        <v>-43.704141808020232</v>
      </c>
      <c r="Y15" s="113">
        <f t="shared" si="6"/>
        <v>-60.928762860284976</v>
      </c>
      <c r="Z15" s="113">
        <f t="shared" si="6"/>
        <v>-81.059481000701339</v>
      </c>
      <c r="AA15" s="113">
        <f t="shared" si="6"/>
        <v>-101.81083715656558</v>
      </c>
      <c r="AB15" s="113">
        <f t="shared" si="6"/>
        <v>-123.24080173921146</v>
      </c>
      <c r="AC15" s="113">
        <f t="shared" si="6"/>
        <v>-145.93238563262116</v>
      </c>
      <c r="AD15" s="124"/>
      <c r="AE15" s="1174"/>
    </row>
    <row r="16" spans="1:60">
      <c r="A16" s="19"/>
      <c r="B16" s="19"/>
      <c r="C16" s="19"/>
      <c r="D16" s="19"/>
      <c r="E16" s="19"/>
      <c r="F16" s="19"/>
      <c r="G16" s="19"/>
      <c r="H16" s="19"/>
      <c r="I16" s="121" t="s">
        <v>219</v>
      </c>
      <c r="J16" s="112"/>
      <c r="K16" s="112"/>
      <c r="L16" s="112"/>
      <c r="M16" s="113">
        <f>Model!BJ215</f>
        <v>-0.15199999999999991</v>
      </c>
      <c r="N16" s="113">
        <f>Model!BK215</f>
        <v>-2.0810000000000004</v>
      </c>
      <c r="O16" s="113">
        <f>Model!BL215</f>
        <v>1.8270000000000004</v>
      </c>
      <c r="P16" s="113">
        <f>Model!BM215</f>
        <v>-4.7739999999999991</v>
      </c>
      <c r="Q16" s="113">
        <f>Model!BN215</f>
        <v>-9.7419999999999991</v>
      </c>
      <c r="R16" s="113">
        <f>Model!BO215</f>
        <v>-15.964</v>
      </c>
      <c r="S16" s="113">
        <f>Model!BP215</f>
        <v>-32.128999999999998</v>
      </c>
      <c r="T16" s="113">
        <f>Model!BQ215</f>
        <v>-10.273999999999997</v>
      </c>
      <c r="U16" s="113">
        <f>Model!BR215</f>
        <v>19.559999999999995</v>
      </c>
      <c r="V16" s="113">
        <f>Model!BS215</f>
        <v>-2.7442893768807046</v>
      </c>
      <c r="W16" s="113">
        <f>Model!BT215</f>
        <v>-0.30202538990474181</v>
      </c>
      <c r="X16" s="113">
        <f>Model!BU215</f>
        <v>1.2947334900096195</v>
      </c>
      <c r="Y16" s="113">
        <f>Model!BV215</f>
        <v>3.5807885082181912E-2</v>
      </c>
      <c r="Z16" s="113">
        <f>Model!BW215</f>
        <v>0.19320624623882665</v>
      </c>
      <c r="AA16" s="113">
        <f>Model!BX215</f>
        <v>0.53526846219218172</v>
      </c>
      <c r="AB16" s="113">
        <f>Model!BY215</f>
        <v>0.95719023522371316</v>
      </c>
      <c r="AC16" s="113">
        <f>Model!BZ215</f>
        <v>1.1560625482428861</v>
      </c>
      <c r="AD16" s="124"/>
      <c r="AE16" s="1174"/>
      <c r="AF16" s="19"/>
      <c r="AG16" s="19"/>
      <c r="AH16" s="19"/>
      <c r="AI16" s="19"/>
    </row>
    <row r="17" spans="1:35">
      <c r="A17" s="19"/>
      <c r="B17" s="19"/>
      <c r="C17" s="19"/>
      <c r="D17" s="19"/>
      <c r="E17" s="19"/>
      <c r="F17" s="19"/>
      <c r="G17" s="19"/>
      <c r="H17" s="19"/>
      <c r="I17" s="121" t="s">
        <v>130</v>
      </c>
      <c r="J17" s="112"/>
      <c r="K17" s="112"/>
      <c r="L17" s="112"/>
      <c r="M17" s="113">
        <f>Model!BJ220</f>
        <v>-0.622</v>
      </c>
      <c r="N17" s="113">
        <f>Model!BK220</f>
        <v>-3.5710000000000002</v>
      </c>
      <c r="O17" s="113">
        <f>Model!BL220</f>
        <v>-4.798</v>
      </c>
      <c r="P17" s="113">
        <f>Model!BM220</f>
        <v>-7.524</v>
      </c>
      <c r="Q17" s="113">
        <f>Model!BN220</f>
        <v>-16.242999999999999</v>
      </c>
      <c r="R17" s="113">
        <f>Model!BO220</f>
        <v>-29.053999999999995</v>
      </c>
      <c r="S17" s="113">
        <f>Model!BP220</f>
        <v>-104.54899999999999</v>
      </c>
      <c r="T17" s="113">
        <f>Model!BQ220</f>
        <v>-22.994</v>
      </c>
      <c r="U17" s="113">
        <f>Model!BR220</f>
        <v>-15.598000000000003</v>
      </c>
      <c r="V17" s="1354">
        <f>V11*Model!BS260*-1</f>
        <v>-24.635109749999998</v>
      </c>
      <c r="W17" s="1354">
        <f>W11*Model!BT260*-1</f>
        <v>-37.904449334701617</v>
      </c>
      <c r="X17" s="1354">
        <f>X11*Model!BU260*-1</f>
        <v>-43.694282651202691</v>
      </c>
      <c r="Y17" s="1354">
        <f>Y11*Model!BV260*-1</f>
        <v>-49.889505357462795</v>
      </c>
      <c r="Z17" s="1354">
        <f>Z11*Model!BW260*-1</f>
        <v>-55.801904842299479</v>
      </c>
      <c r="AA17" s="1354">
        <f>AA11*Model!BX260*-1</f>
        <v>-61.82368910757458</v>
      </c>
      <c r="AB17" s="1354">
        <f>AB11*Model!BY260*-1</f>
        <v>-67.95693295614285</v>
      </c>
      <c r="AC17" s="1354">
        <f>AC11*Model!BZ260*-1</f>
        <v>-73.516256739012547</v>
      </c>
      <c r="AD17" s="124"/>
      <c r="AE17" s="1174"/>
      <c r="AF17" s="19"/>
      <c r="AG17" s="19"/>
      <c r="AH17" s="19"/>
      <c r="AI17" s="19"/>
    </row>
    <row r="18" spans="1:35">
      <c r="A18" s="19"/>
      <c r="B18" s="19"/>
      <c r="C18" s="19"/>
      <c r="D18" s="19"/>
      <c r="E18" s="19"/>
      <c r="F18" s="19"/>
      <c r="G18" s="19"/>
      <c r="H18" s="19"/>
      <c r="I18" s="1673" t="s">
        <v>218</v>
      </c>
      <c r="J18" s="140"/>
      <c r="K18" s="140"/>
      <c r="L18" s="140"/>
      <c r="M18" s="195">
        <f>-Model!BJ36</f>
        <v>-0.55700000000000005</v>
      </c>
      <c r="N18" s="195">
        <f>-Model!BK36</f>
        <v>-1.431</v>
      </c>
      <c r="O18" s="195">
        <f>-Model!BL36</f>
        <v>-4.8770000000000007</v>
      </c>
      <c r="P18" s="195">
        <f>-Model!BM36</f>
        <v>-14.879000000000001</v>
      </c>
      <c r="Q18" s="195">
        <f>-Model!BN36</f>
        <v>-26.677</v>
      </c>
      <c r="R18" s="195">
        <f>-Model!BO36</f>
        <v>-42.273000000000003</v>
      </c>
      <c r="S18" s="195">
        <f>-Model!BP36</f>
        <v>-60.842000000000006</v>
      </c>
      <c r="T18" s="195">
        <f>-Model!BQ36</f>
        <v>-86.26</v>
      </c>
      <c r="U18" s="195">
        <f>-Model!BR36</f>
        <v>-100.41500000000001</v>
      </c>
      <c r="V18" s="195">
        <f>-Model!BS36</f>
        <v>-114.26265000000001</v>
      </c>
      <c r="W18" s="195">
        <f>-Model!BT36</f>
        <v>-127.97416800000002</v>
      </c>
      <c r="X18" s="195">
        <f>-Model!BU36</f>
        <v>-140.77158480000003</v>
      </c>
      <c r="Y18" s="195">
        <f>-Model!BV36</f>
        <v>-150.62559573600004</v>
      </c>
      <c r="Z18" s="195">
        <f>-Model!BW36</f>
        <v>-158.15687552280005</v>
      </c>
      <c r="AA18" s="195">
        <f>-Model!BX36</f>
        <v>-166.06471929894005</v>
      </c>
      <c r="AB18" s="195">
        <f>-Model!BY36</f>
        <v>-174.36795526388707</v>
      </c>
      <c r="AC18" s="195">
        <f>-Model!BZ36</f>
        <v>-183.08635302708143</v>
      </c>
      <c r="AD18" s="208"/>
      <c r="AE18" s="1174"/>
      <c r="AF18" s="19"/>
      <c r="AG18" s="19"/>
      <c r="AH18" s="19"/>
      <c r="AI18" s="19"/>
    </row>
    <row r="19" spans="1:35">
      <c r="A19" s="19"/>
      <c r="B19" s="19"/>
      <c r="C19" s="19"/>
      <c r="D19" s="19"/>
      <c r="E19" s="19"/>
      <c r="F19" s="19"/>
      <c r="G19" s="19"/>
      <c r="H19" s="19"/>
      <c r="I19" s="4" t="s">
        <v>131</v>
      </c>
      <c r="J19" s="4"/>
      <c r="K19" s="4"/>
      <c r="L19" s="4"/>
      <c r="M19" s="205">
        <f>IF(ISERROR(+SUM(M14:M18)), "NA", +SUM(M14:M18))</f>
        <v>-1.9139999999999961</v>
      </c>
      <c r="N19" s="205">
        <f>IF(ISERROR(+SUM(N14:N18)), "NA", +SUM(N14:N18))</f>
        <v>-11.599</v>
      </c>
      <c r="O19" s="205">
        <f>IF(ISERROR(+SUM(O14:O18)), "NA", +SUM(O14:O18))</f>
        <v>-9.0680000000000014</v>
      </c>
      <c r="P19" s="205">
        <f>IF(ISERROR(+SUM(P14:P18)), "NA", +SUM(P14:P18))</f>
        <v>-22.690000000000033</v>
      </c>
      <c r="Q19" s="205">
        <f>IF(ISERROR(+SUM(Q14:Q18)), "NA", +SUM(Q14:Q18))</f>
        <v>-23.524000000000012</v>
      </c>
      <c r="R19" s="205">
        <f t="shared" ref="R19:AC19" si="7">IF(ISERROR(+SUM(R14:R18)), "NA", +SUM(R14:R18))</f>
        <v>-18.340999999999994</v>
      </c>
      <c r="S19" s="205">
        <f t="shared" si="7"/>
        <v>-159.761</v>
      </c>
      <c r="T19" s="205">
        <f t="shared" si="7"/>
        <v>0.5539999999999452</v>
      </c>
      <c r="U19" s="205">
        <f t="shared" ref="U19" si="8">IF(ISERROR(+SUM(U14:U18)), "NA", +SUM(U14:U18))</f>
        <v>54.814399999999992</v>
      </c>
      <c r="V19" s="205">
        <f t="shared" si="7"/>
        <v>47.972734656688573</v>
      </c>
      <c r="W19" s="205">
        <f t="shared" si="7"/>
        <v>59.689105187681406</v>
      </c>
      <c r="X19" s="205">
        <f t="shared" si="7"/>
        <v>87.575814438334817</v>
      </c>
      <c r="Y19" s="205">
        <f t="shared" si="7"/>
        <v>121.98767699886753</v>
      </c>
      <c r="Z19" s="205">
        <f t="shared" si="7"/>
        <v>160.86877605102521</v>
      </c>
      <c r="AA19" s="205">
        <f t="shared" si="7"/>
        <v>183.70546432489559</v>
      </c>
      <c r="AB19" s="205">
        <f t="shared" si="7"/>
        <v>225.79640145929326</v>
      </c>
      <c r="AC19" s="205">
        <f t="shared" si="7"/>
        <v>265.63198787430377</v>
      </c>
      <c r="AD19" s="205">
        <f>+AD14*AD24</f>
        <v>282.38313479017688</v>
      </c>
      <c r="AE19" s="1177" t="s">
        <v>450</v>
      </c>
      <c r="AF19" s="19"/>
      <c r="AG19" s="19"/>
      <c r="AH19" s="19"/>
      <c r="AI19" s="19"/>
    </row>
    <row r="20" spans="1:35">
      <c r="A20" s="19"/>
      <c r="B20" s="19"/>
      <c r="C20" s="19"/>
      <c r="D20" s="19"/>
      <c r="E20" s="19"/>
      <c r="F20" s="19"/>
      <c r="G20" s="19"/>
      <c r="H20" s="19"/>
      <c r="I20" s="111" t="s">
        <v>144</v>
      </c>
      <c r="J20" s="112"/>
      <c r="K20" s="112"/>
      <c r="L20" s="112"/>
      <c r="M20" s="114">
        <f t="shared" ref="M20:T20" si="9">IF(ISERROR(+M19/M11), "NA", +M19/M11)</f>
        <v>-7.4163050216986826E-2</v>
      </c>
      <c r="N20" s="114">
        <f t="shared" si="9"/>
        <v>-0.24300768892334121</v>
      </c>
      <c r="O20" s="114">
        <f t="shared" si="9"/>
        <v>-0.10887914990694605</v>
      </c>
      <c r="P20" s="114">
        <f t="shared" si="9"/>
        <v>-0.16493901109285752</v>
      </c>
      <c r="Q20" s="114">
        <f t="shared" si="9"/>
        <v>-0.10096657338575382</v>
      </c>
      <c r="R20" s="114">
        <f t="shared" si="9"/>
        <v>-4.8580797592812322E-2</v>
      </c>
      <c r="S20" s="114">
        <f t="shared" si="9"/>
        <v>-0.30800269905533062</v>
      </c>
      <c r="T20" s="114">
        <f t="shared" si="9"/>
        <v>7.7692341133879788E-4</v>
      </c>
      <c r="U20" s="114">
        <f t="shared" ref="U20" si="10">IF(ISERROR(+U19/U11), "NA", +U19/U11)</f>
        <v>6.4730229696520952E-2</v>
      </c>
      <c r="V20" s="114" t="str">
        <f>IF(ISERROR(+V19/#REF!), "NA", +V19/#REF!)</f>
        <v>NA</v>
      </c>
      <c r="W20" s="114" t="str">
        <f>IF(ISERROR(+W19/#REF!), "NA", +W19/#REF!)</f>
        <v>NA</v>
      </c>
      <c r="X20" s="114" t="str">
        <f>IF(ISERROR(+X19/#REF!), "NA", +X19/#REF!)</f>
        <v>NA</v>
      </c>
      <c r="Y20" s="114" t="str">
        <f>IF(ISERROR(+Y19/#REF!), "NA", +Y19/#REF!)</f>
        <v>NA</v>
      </c>
      <c r="Z20" s="114" t="str">
        <f>IF(ISERROR(+Z19/#REF!), "NA", +Z19/#REF!)</f>
        <v>NA</v>
      </c>
      <c r="AA20" s="114" t="str">
        <f>IF(ISERROR(+AA19/#REF!), "NA", +AA19/#REF!)</f>
        <v>NA</v>
      </c>
      <c r="AB20" s="114" t="str">
        <f>IF(ISERROR(+AB19/#REF!), "NA", +AB19/#REF!)</f>
        <v>NA</v>
      </c>
      <c r="AC20" s="114" t="str">
        <f>IF(ISERROR(+AC19/#REF!), "NA", +AC19/#REF!)</f>
        <v>NA</v>
      </c>
      <c r="AD20" s="114" t="str">
        <f>IF(ISERROR(+AD19/#REF!), "NA", +AD19/#REF!)</f>
        <v>NA</v>
      </c>
      <c r="AE20" s="1174"/>
      <c r="AF20" s="19"/>
      <c r="AG20" s="19"/>
      <c r="AH20" s="19"/>
      <c r="AI20" s="19"/>
    </row>
    <row r="21" spans="1:35">
      <c r="A21" s="19"/>
      <c r="B21" s="19"/>
      <c r="C21" s="19"/>
      <c r="D21" s="19"/>
      <c r="E21" s="19"/>
      <c r="F21" s="19"/>
      <c r="G21" s="19"/>
      <c r="H21" s="19"/>
      <c r="I21" s="111"/>
      <c r="J21" s="112"/>
      <c r="K21" s="112"/>
      <c r="L21" s="112"/>
      <c r="M21" s="128"/>
      <c r="N21" s="128"/>
      <c r="O21" s="128"/>
      <c r="P21" s="128"/>
      <c r="Q21" s="128"/>
      <c r="R21" s="128"/>
      <c r="S21" s="128"/>
      <c r="T21" s="128"/>
      <c r="U21" s="128"/>
      <c r="V21" s="128"/>
      <c r="W21" s="128"/>
      <c r="X21" s="128"/>
      <c r="AA21" s="19"/>
      <c r="AB21" s="19"/>
      <c r="AC21" s="19"/>
      <c r="AD21" s="128"/>
      <c r="AE21" s="1174"/>
      <c r="AF21" s="19"/>
      <c r="AG21" s="19"/>
      <c r="AH21" s="19"/>
      <c r="AI21" s="19"/>
    </row>
    <row r="22" spans="1:35">
      <c r="A22" s="19"/>
      <c r="B22" s="19"/>
      <c r="C22" s="19"/>
      <c r="D22" s="19"/>
      <c r="E22" s="19"/>
      <c r="F22" s="19"/>
      <c r="G22" s="19"/>
      <c r="H22" s="19"/>
      <c r="I22" s="121" t="s">
        <v>221</v>
      </c>
      <c r="J22" s="112"/>
      <c r="K22" s="112"/>
      <c r="L22" s="112"/>
      <c r="M22" s="114">
        <f t="shared" ref="M22:T22" si="11">IF(ISERROR(+M14/M11), "NA", +M14/M11)</f>
        <v>-2.2279913205207537E-2</v>
      </c>
      <c r="N22" s="114">
        <f t="shared" si="11"/>
        <v>-9.3042257652259514E-2</v>
      </c>
      <c r="O22" s="114">
        <f t="shared" si="11"/>
        <v>-1.354385543615297E-2</v>
      </c>
      <c r="P22" s="114">
        <f t="shared" si="11"/>
        <v>3.3416687262840881E-2</v>
      </c>
      <c r="Q22" s="114">
        <f t="shared" si="11"/>
        <v>0.12631122632925296</v>
      </c>
      <c r="R22" s="114">
        <f t="shared" si="11"/>
        <v>0.18785493303949821</v>
      </c>
      <c r="S22" s="114">
        <f t="shared" si="11"/>
        <v>7.3474069789859264E-2</v>
      </c>
      <c r="T22" s="114">
        <f t="shared" si="11"/>
        <v>0.16840165537977383</v>
      </c>
      <c r="U22" s="114">
        <f t="shared" ref="U22" si="12">IF(ISERROR(+U14/U11), "NA", +U14/U11)</f>
        <v>0.18493693412831405</v>
      </c>
      <c r="V22" s="1353">
        <f>DCF!V22+0.01</f>
        <v>0.20436135870696784</v>
      </c>
      <c r="W22" s="1353">
        <f>DCF!W22+0.01</f>
        <v>0.22030819135498611</v>
      </c>
      <c r="X22" s="1353">
        <f>DCF!X22+0.01</f>
        <v>0.23474805644711391</v>
      </c>
      <c r="Y22" s="1353">
        <f>DCF!Y22+0.01</f>
        <v>0.25305283837535297</v>
      </c>
      <c r="Z22" s="1353">
        <f>DCF!Z22+0.01</f>
        <v>0.27149995312527486</v>
      </c>
      <c r="AA22" s="1353">
        <f>DCF!AA22+0</f>
        <v>0.27867333480375078</v>
      </c>
      <c r="AB22" s="1353">
        <f>DCF!AB22+0</f>
        <v>0.29506792677355509</v>
      </c>
      <c r="AC22" s="1353">
        <f>DCF!AC22+0</f>
        <v>0.31154077998849666</v>
      </c>
      <c r="AD22" s="1682">
        <f>DCF!AD22+0.01</f>
        <v>0.32154077998849667</v>
      </c>
      <c r="AE22" s="2658">
        <f>(V22-T22)*10000</f>
        <v>359.59703327194006</v>
      </c>
      <c r="AF22" s="19"/>
      <c r="AG22" s="19"/>
      <c r="AH22" s="19"/>
      <c r="AI22" s="19"/>
    </row>
    <row r="23" spans="1:35">
      <c r="A23" s="19"/>
      <c r="B23" s="19"/>
      <c r="C23" s="19"/>
      <c r="D23" s="19"/>
      <c r="E23" s="19"/>
      <c r="F23" s="19"/>
      <c r="G23" s="19"/>
      <c r="H23" s="19"/>
      <c r="I23" s="2250" t="s">
        <v>704</v>
      </c>
      <c r="J23" s="112"/>
      <c r="K23" s="112"/>
      <c r="L23" s="112"/>
      <c r="M23" s="114"/>
      <c r="N23" s="114"/>
      <c r="O23" s="114"/>
      <c r="P23" s="114"/>
      <c r="Q23" s="114"/>
      <c r="R23" s="114">
        <f t="shared" ref="R23:AC23" si="13">+(R14-Q14)/(R11-Q11)</f>
        <v>0.28705343553698431</v>
      </c>
      <c r="S23" s="114">
        <f t="shared" si="13"/>
        <v>-0.23243178147403007</v>
      </c>
      <c r="T23" s="114">
        <f t="shared" si="13"/>
        <v>0.42172877362130784</v>
      </c>
      <c r="U23" s="114">
        <f t="shared" si="13"/>
        <v>0.27309636320134018</v>
      </c>
      <c r="V23" s="114">
        <f t="shared" si="13"/>
        <v>0.32304734093662546</v>
      </c>
      <c r="W23" s="114">
        <f t="shared" si="13"/>
        <v>0.30748905321203357</v>
      </c>
      <c r="X23" s="114">
        <f t="shared" si="13"/>
        <v>0.33155259015226557</v>
      </c>
      <c r="Y23" s="114">
        <f t="shared" si="13"/>
        <v>0.39272191870086298</v>
      </c>
      <c r="Z23" s="114">
        <f t="shared" si="13"/>
        <v>0.44259930625522093</v>
      </c>
      <c r="AA23" s="114">
        <f t="shared" si="13"/>
        <v>0.35301009862555832</v>
      </c>
      <c r="AB23" s="114">
        <f t="shared" si="13"/>
        <v>0.48304100505965947</v>
      </c>
      <c r="AC23" s="114">
        <f t="shared" si="13"/>
        <v>0.54681495971555094</v>
      </c>
      <c r="AD23" s="1682"/>
      <c r="AE23" s="1174"/>
      <c r="AF23" s="19"/>
      <c r="AG23" s="19"/>
      <c r="AH23" s="19"/>
      <c r="AI23" s="19"/>
    </row>
    <row r="24" spans="1:35">
      <c r="A24" s="19"/>
      <c r="B24" s="19"/>
      <c r="C24" s="19"/>
      <c r="D24" s="19"/>
      <c r="E24" s="19"/>
      <c r="F24" s="19"/>
      <c r="G24" s="19"/>
      <c r="H24" s="19"/>
      <c r="I24" s="121" t="s">
        <v>337</v>
      </c>
      <c r="J24" s="112"/>
      <c r="K24" s="112"/>
      <c r="L24" s="112"/>
      <c r="M24" s="114">
        <f>IF(ISERROR(+M19/M14), "NA", +M19/M14)</f>
        <v>3.3286956521739284</v>
      </c>
      <c r="N24" s="114">
        <f>IF(ISERROR(+N19/N14), "NA", +N19/N14)</f>
        <v>2.6117991443368616</v>
      </c>
      <c r="O24" s="114">
        <f>IF(ISERROR(+O19/O14), "NA", +O19/O14)</f>
        <v>8.0390070921985828</v>
      </c>
      <c r="P24" s="114">
        <f>IF(ISERROR(+P19/P14), "NA", +P19/P14)</f>
        <v>-4.9358277137263853</v>
      </c>
      <c r="Q24" s="114">
        <f>IF(ISERROR(+Q19/Q14), "NA", +Q19/Q14)</f>
        <v>-0.79934758231676306</v>
      </c>
      <c r="R24" s="114">
        <f t="shared" ref="R24:AC24" si="14">IF(ISERROR(+R19/R14), "NA", +R19/R14)</f>
        <v>-0.25860804827839029</v>
      </c>
      <c r="S24" s="114">
        <f t="shared" si="14"/>
        <v>-4.1919918133872107</v>
      </c>
      <c r="T24" s="114">
        <f t="shared" si="14"/>
        <v>4.6135140986987679E-3</v>
      </c>
      <c r="U24" s="114">
        <f t="shared" ref="U24" si="15">IF(ISERROR(+U19/U14), "NA", +U19/U14)</f>
        <v>0.35001245155069693</v>
      </c>
      <c r="V24" s="114">
        <f t="shared" si="14"/>
        <v>0.23822163535380381</v>
      </c>
      <c r="W24" s="114">
        <f t="shared" si="14"/>
        <v>0.23243192533919374</v>
      </c>
      <c r="X24" s="114">
        <f t="shared" si="14"/>
        <v>0.27850377106510232</v>
      </c>
      <c r="Y24" s="114">
        <f t="shared" si="14"/>
        <v>0.31817692915580792</v>
      </c>
      <c r="Z24" s="114">
        <f t="shared" si="14"/>
        <v>0.3530194289393499</v>
      </c>
      <c r="AA24" s="114">
        <f t="shared" si="14"/>
        <v>0.35819148010494062</v>
      </c>
      <c r="AB24" s="114">
        <f t="shared" si="14"/>
        <v>0.38244330459781739</v>
      </c>
      <c r="AC24" s="114">
        <f t="shared" si="14"/>
        <v>0.39824233700052059</v>
      </c>
      <c r="AD24" s="209">
        <f>AC24</f>
        <v>0.39824233700052059</v>
      </c>
      <c r="AE24" s="1174"/>
      <c r="AF24" s="19"/>
      <c r="AG24" s="19"/>
      <c r="AH24" s="19"/>
      <c r="AI24" s="19"/>
    </row>
    <row r="25" spans="1:35">
      <c r="A25" s="19"/>
      <c r="B25" s="19"/>
      <c r="C25" s="19"/>
      <c r="D25" s="19"/>
      <c r="E25" s="19"/>
      <c r="F25" s="19"/>
      <c r="G25" s="19"/>
      <c r="H25" s="19"/>
      <c r="I25" s="111"/>
      <c r="J25" s="112"/>
      <c r="K25" s="112"/>
      <c r="L25" s="112"/>
      <c r="M25" s="94"/>
      <c r="N25" s="94"/>
      <c r="O25" s="94"/>
      <c r="P25" s="94"/>
      <c r="Q25" s="94"/>
      <c r="R25" s="94"/>
      <c r="S25" s="94"/>
      <c r="T25" s="94"/>
      <c r="U25" s="94"/>
      <c r="V25" s="94"/>
      <c r="W25" s="94"/>
      <c r="X25" s="94"/>
      <c r="AA25" s="19"/>
      <c r="AB25" s="19"/>
      <c r="AC25" s="19"/>
      <c r="AD25" s="94"/>
      <c r="AE25" s="1174"/>
      <c r="AF25" s="19"/>
      <c r="AG25" s="19"/>
      <c r="AH25" s="19"/>
      <c r="AI25" s="19"/>
    </row>
    <row r="26" spans="1:35">
      <c r="A26" s="19"/>
      <c r="B26" s="19"/>
      <c r="C26" s="19"/>
      <c r="D26" s="19"/>
      <c r="E26" s="19"/>
      <c r="F26" s="19"/>
      <c r="G26" s="19"/>
      <c r="H26" s="19"/>
      <c r="I26" s="111"/>
      <c r="J26" s="112"/>
      <c r="K26" s="112"/>
      <c r="L26" s="112"/>
      <c r="M26" s="94"/>
      <c r="N26" s="94"/>
      <c r="O26" s="94"/>
      <c r="P26" s="94"/>
      <c r="Q26" s="94"/>
      <c r="R26" s="94"/>
      <c r="S26" s="94"/>
      <c r="T26" s="94"/>
      <c r="U26" s="94"/>
      <c r="V26" s="94"/>
      <c r="W26" s="94"/>
      <c r="X26" s="94"/>
      <c r="Y26" s="94"/>
      <c r="AA26" s="19"/>
      <c r="AB26" s="19"/>
      <c r="AC26" s="19"/>
      <c r="AD26" s="19"/>
      <c r="AE26" s="19"/>
      <c r="AF26" s="19"/>
      <c r="AG26" s="19"/>
      <c r="AH26" s="19"/>
      <c r="AI26" s="19"/>
    </row>
    <row r="27" spans="1:35" ht="12" hidden="1" outlineLevel="1" thickBot="1">
      <c r="A27" s="19"/>
      <c r="B27" s="19"/>
      <c r="C27" s="19"/>
      <c r="D27" s="19"/>
      <c r="E27" s="19"/>
      <c r="F27" s="19"/>
      <c r="G27" s="19"/>
      <c r="H27" s="112"/>
      <c r="I27" s="126" t="s">
        <v>147</v>
      </c>
      <c r="J27" s="126"/>
      <c r="K27" s="126"/>
      <c r="L27" s="126"/>
      <c r="M27" s="12"/>
      <c r="N27" s="12"/>
      <c r="O27" s="12"/>
      <c r="P27" s="12"/>
      <c r="Q27" s="12"/>
      <c r="R27" s="12"/>
      <c r="S27" s="12">
        <f t="shared" ref="S27:AC27" si="16">S$8</f>
        <v>42369</v>
      </c>
      <c r="T27" s="12">
        <f t="shared" si="16"/>
        <v>42735</v>
      </c>
      <c r="U27" s="12">
        <f t="shared" si="16"/>
        <v>43100</v>
      </c>
      <c r="V27" s="12">
        <f t="shared" si="16"/>
        <v>43465</v>
      </c>
      <c r="W27" s="12">
        <f t="shared" si="16"/>
        <v>43830</v>
      </c>
      <c r="X27" s="12">
        <f t="shared" si="16"/>
        <v>44196</v>
      </c>
      <c r="Y27" s="12">
        <f t="shared" si="16"/>
        <v>44561</v>
      </c>
      <c r="Z27" s="12">
        <f t="shared" si="16"/>
        <v>44926</v>
      </c>
      <c r="AA27" s="12">
        <f t="shared" si="16"/>
        <v>45291</v>
      </c>
      <c r="AB27" s="12">
        <f t="shared" si="16"/>
        <v>45657</v>
      </c>
      <c r="AC27" s="12">
        <f t="shared" si="16"/>
        <v>46022</v>
      </c>
      <c r="AD27" s="19"/>
      <c r="AE27" s="19"/>
      <c r="AF27" s="19"/>
      <c r="AG27" s="19"/>
      <c r="AH27" s="19"/>
      <c r="AI27" s="19"/>
    </row>
    <row r="28" spans="1:35" hidden="1" outlineLevel="1">
      <c r="A28" s="19"/>
      <c r="B28" s="19"/>
      <c r="C28" s="19"/>
      <c r="D28" s="19"/>
      <c r="E28" s="19"/>
      <c r="F28" s="19"/>
      <c r="G28" s="19"/>
      <c r="H28" s="19"/>
      <c r="I28" s="121" t="s">
        <v>148</v>
      </c>
      <c r="J28" s="112"/>
      <c r="K28" s="112"/>
      <c r="L28" s="112"/>
      <c r="M28" s="127"/>
      <c r="N28" s="129"/>
      <c r="O28" s="130"/>
      <c r="P28" s="131"/>
      <c r="Q28" s="187"/>
      <c r="R28" s="187"/>
      <c r="S28" s="187"/>
      <c r="T28" s="187"/>
      <c r="U28" s="188"/>
      <c r="V28" s="188">
        <v>0</v>
      </c>
      <c r="W28" s="188">
        <f t="shared" ref="W28:AC28" si="17">V28+1</f>
        <v>1</v>
      </c>
      <c r="X28" s="188">
        <f t="shared" si="17"/>
        <v>2</v>
      </c>
      <c r="Y28" s="188">
        <f t="shared" si="17"/>
        <v>3</v>
      </c>
      <c r="Z28" s="188">
        <f t="shared" si="17"/>
        <v>4</v>
      </c>
      <c r="AA28" s="188">
        <f t="shared" si="17"/>
        <v>5</v>
      </c>
      <c r="AB28" s="188">
        <f t="shared" si="17"/>
        <v>6</v>
      </c>
      <c r="AC28" s="188">
        <f t="shared" si="17"/>
        <v>7</v>
      </c>
      <c r="AD28" s="19"/>
      <c r="AE28" s="19"/>
      <c r="AF28" s="19"/>
      <c r="AG28" s="19"/>
      <c r="AH28" s="19"/>
      <c r="AI28" s="19"/>
    </row>
    <row r="29" spans="1:35" hidden="1" outlineLevel="1">
      <c r="A29" s="19"/>
      <c r="B29" s="19"/>
      <c r="C29" s="19"/>
      <c r="D29" s="19"/>
      <c r="E29" s="19"/>
      <c r="F29" s="19"/>
      <c r="G29" s="19"/>
      <c r="H29" s="19"/>
      <c r="I29" s="121" t="s">
        <v>149</v>
      </c>
      <c r="J29" s="112"/>
      <c r="K29" s="112"/>
      <c r="L29" s="112"/>
      <c r="M29" s="122"/>
      <c r="N29" s="165"/>
      <c r="O29" s="165"/>
      <c r="P29" s="124"/>
      <c r="Q29" s="124"/>
      <c r="R29" s="124"/>
      <c r="S29" s="124"/>
      <c r="T29" s="124"/>
      <c r="U29" s="124"/>
      <c r="V29" s="124"/>
      <c r="W29" s="124">
        <f t="shared" ref="W29:AC29" si="18">W$19/(1+$L$49)^W28</f>
        <v>55.285606620369016</v>
      </c>
      <c r="X29" s="124">
        <f t="shared" si="18"/>
        <v>75.130833457563128</v>
      </c>
      <c r="Y29" s="124">
        <f t="shared" si="18"/>
        <v>96.931959877042701</v>
      </c>
      <c r="Z29" s="124">
        <f t="shared" si="18"/>
        <v>118.39675546504203</v>
      </c>
      <c r="AA29" s="124">
        <f t="shared" si="18"/>
        <v>125.22963914099637</v>
      </c>
      <c r="AB29" s="124">
        <f t="shared" si="18"/>
        <v>142.5670232180338</v>
      </c>
      <c r="AC29" s="124">
        <f t="shared" si="18"/>
        <v>155.34577593777911</v>
      </c>
      <c r="AD29" s="19"/>
      <c r="AE29" s="19"/>
      <c r="AF29" s="19"/>
      <c r="AG29" s="19"/>
      <c r="AH29" s="19"/>
      <c r="AI29" s="19"/>
    </row>
    <row r="30" spans="1:35" collapsed="1">
      <c r="A30" s="19"/>
      <c r="B30" s="19"/>
      <c r="C30" s="19"/>
      <c r="D30" s="19"/>
      <c r="E30" s="19"/>
      <c r="F30" s="19"/>
      <c r="G30" s="19"/>
      <c r="H30" s="19"/>
      <c r="I30" s="132"/>
      <c r="J30" s="112"/>
      <c r="K30" s="112"/>
      <c r="L30" s="112"/>
      <c r="M30" s="122"/>
      <c r="N30" s="122"/>
      <c r="O30" s="122"/>
      <c r="P30" s="123"/>
      <c r="Q30" s="123"/>
      <c r="R30" s="123"/>
      <c r="S30" s="123"/>
      <c r="T30" s="1174"/>
      <c r="AF30" s="19"/>
    </row>
    <row r="31" spans="1:35">
      <c r="A31" s="19"/>
      <c r="B31" s="19"/>
      <c r="C31" s="19"/>
      <c r="D31" s="19"/>
      <c r="E31" s="19"/>
      <c r="F31" s="19"/>
      <c r="G31" s="19"/>
      <c r="H31" s="19"/>
      <c r="I31" s="132"/>
      <c r="J31" s="112"/>
      <c r="K31" s="112"/>
      <c r="L31" s="112"/>
      <c r="M31" s="122"/>
      <c r="N31" s="122"/>
      <c r="O31" s="122"/>
      <c r="P31" s="123"/>
      <c r="Q31" s="123"/>
      <c r="R31" s="123"/>
      <c r="S31" s="123"/>
      <c r="T31" s="1174"/>
      <c r="AF31" s="19"/>
    </row>
    <row r="32" spans="1:35">
      <c r="A32" s="19"/>
      <c r="B32" s="19"/>
      <c r="C32" s="19"/>
      <c r="D32" s="19"/>
      <c r="E32" s="19"/>
      <c r="F32" s="19"/>
      <c r="G32" s="19"/>
      <c r="H32" s="19"/>
      <c r="I32" s="133" t="s">
        <v>238</v>
      </c>
      <c r="J32" s="134"/>
      <c r="K32" s="134"/>
      <c r="L32" s="135"/>
      <c r="M32" s="112"/>
      <c r="N32" s="130"/>
      <c r="O32" s="112"/>
      <c r="P32" s="123"/>
      <c r="Q32" s="123"/>
      <c r="R32" s="123"/>
      <c r="S32" s="19"/>
      <c r="T32" s="1174"/>
      <c r="AF32" s="19"/>
    </row>
    <row r="33" spans="1:39">
      <c r="A33" s="19"/>
      <c r="B33" s="19"/>
      <c r="C33" s="19"/>
      <c r="D33" s="19"/>
      <c r="E33" s="19"/>
      <c r="F33" s="19"/>
      <c r="G33" s="19"/>
      <c r="H33" s="19"/>
      <c r="I33" s="136" t="s">
        <v>186</v>
      </c>
      <c r="J33" s="137"/>
      <c r="K33" s="137"/>
      <c r="L33" s="251">
        <f>SUM(W29:AC29)</f>
        <v>768.88759371682613</v>
      </c>
      <c r="M33" s="170"/>
      <c r="N33" s="130"/>
      <c r="P33" s="123"/>
      <c r="Q33" s="123"/>
      <c r="R33" s="123"/>
      <c r="S33" s="19"/>
      <c r="T33" s="1174"/>
      <c r="AF33" s="19"/>
    </row>
    <row r="34" spans="1:39">
      <c r="A34" s="19"/>
      <c r="B34" s="19"/>
      <c r="C34" s="19"/>
      <c r="D34" s="19"/>
      <c r="E34" s="19"/>
      <c r="F34" s="19"/>
      <c r="G34" s="19"/>
      <c r="H34" s="19"/>
      <c r="I34" s="136" t="s">
        <v>150</v>
      </c>
      <c r="J34" s="137"/>
      <c r="K34" s="137"/>
      <c r="L34" s="252">
        <f>(($AD$19)/($L$49-$L$50))/(1+$L$49)^$AC$28</f>
        <v>3326.125092563494</v>
      </c>
      <c r="M34" s="112"/>
      <c r="N34" s="130"/>
      <c r="P34" s="19"/>
      <c r="Q34" s="19"/>
      <c r="R34" s="19"/>
      <c r="S34" s="19"/>
      <c r="T34" s="1174"/>
      <c r="AF34" s="19"/>
    </row>
    <row r="35" spans="1:39">
      <c r="A35" s="19"/>
      <c r="B35" s="19"/>
      <c r="C35" s="19"/>
      <c r="D35" s="19"/>
      <c r="E35" s="19"/>
      <c r="F35" s="19"/>
      <c r="G35" s="19"/>
      <c r="H35" s="19"/>
      <c r="I35" s="138" t="s">
        <v>151</v>
      </c>
      <c r="J35" s="2"/>
      <c r="K35" s="2"/>
      <c r="L35" s="253">
        <f>L33+L34</f>
        <v>4095.0126862803199</v>
      </c>
      <c r="M35" s="112"/>
      <c r="N35" s="130"/>
      <c r="P35" s="19"/>
      <c r="Q35" s="19"/>
      <c r="R35" s="1728"/>
      <c r="S35" s="19"/>
      <c r="T35" s="1907"/>
      <c r="AF35" s="19"/>
    </row>
    <row r="36" spans="1:39">
      <c r="A36" s="19"/>
      <c r="B36" s="19"/>
      <c r="C36" s="19"/>
      <c r="D36" s="19"/>
      <c r="E36" s="19"/>
      <c r="F36" s="19"/>
      <c r="G36" s="19"/>
      <c r="H36" s="19"/>
      <c r="I36" s="136" t="s">
        <v>329</v>
      </c>
      <c r="J36" s="137"/>
      <c r="K36" s="137"/>
      <c r="L36" s="251">
        <f>DCF!L35</f>
        <v>30.736999999999998</v>
      </c>
      <c r="M36" s="112"/>
      <c r="N36" s="130"/>
      <c r="P36" s="19"/>
      <c r="Q36" s="19"/>
      <c r="R36" s="19"/>
      <c r="S36" s="19"/>
      <c r="T36" s="1174"/>
    </row>
    <row r="37" spans="1:39">
      <c r="A37" s="19"/>
      <c r="B37" s="19"/>
      <c r="C37" s="19"/>
      <c r="D37" s="19"/>
      <c r="E37" s="19"/>
      <c r="F37" s="19"/>
      <c r="G37" s="19"/>
      <c r="H37" s="19"/>
      <c r="I37" s="136" t="s">
        <v>330</v>
      </c>
      <c r="J37" s="137"/>
      <c r="K37" s="137"/>
      <c r="L37" s="251">
        <f>DCF!L36</f>
        <v>988.91721202096483</v>
      </c>
      <c r="M37" s="112"/>
      <c r="N37" s="130"/>
      <c r="P37" s="19"/>
      <c r="Q37" s="19"/>
      <c r="R37" s="19"/>
      <c r="S37" s="19"/>
      <c r="T37" s="1174"/>
      <c r="AM37" s="983"/>
    </row>
    <row r="38" spans="1:39">
      <c r="A38" s="19"/>
      <c r="B38" s="19"/>
      <c r="C38" s="19"/>
      <c r="D38" s="19"/>
      <c r="E38" s="19"/>
      <c r="F38" s="19"/>
      <c r="G38" s="19"/>
      <c r="H38" s="19"/>
      <c r="I38" s="138" t="s">
        <v>152</v>
      </c>
      <c r="J38" s="2"/>
      <c r="K38" s="2"/>
      <c r="L38" s="253">
        <f>L35-L36+L37</f>
        <v>5053.1928983012849</v>
      </c>
      <c r="M38" s="112"/>
      <c r="N38" s="130"/>
      <c r="P38" s="19"/>
      <c r="Q38" s="19"/>
      <c r="R38" s="19"/>
      <c r="S38" s="19"/>
      <c r="T38" s="1174"/>
    </row>
    <row r="39" spans="1:39">
      <c r="A39" s="19"/>
      <c r="B39" s="19"/>
      <c r="C39" s="19"/>
      <c r="D39" s="19"/>
      <c r="E39" s="19"/>
      <c r="F39" s="19"/>
      <c r="G39" s="19"/>
      <c r="H39" s="19"/>
      <c r="I39" s="136" t="s">
        <v>153</v>
      </c>
      <c r="J39" s="137"/>
      <c r="K39" s="137"/>
      <c r="L39" s="258">
        <f>DCF!L38</f>
        <v>93.86399999999999</v>
      </c>
      <c r="M39" s="112"/>
      <c r="N39" s="130"/>
      <c r="P39" s="19"/>
      <c r="Q39" s="19"/>
      <c r="R39" s="19"/>
      <c r="S39" s="19"/>
      <c r="T39" s="1174"/>
    </row>
    <row r="40" spans="1:39">
      <c r="A40" s="19"/>
      <c r="B40" s="19"/>
      <c r="C40" s="19"/>
      <c r="D40" s="19"/>
      <c r="E40" s="19"/>
      <c r="F40" s="19"/>
      <c r="G40" s="19"/>
      <c r="H40" s="19"/>
      <c r="I40" s="138" t="s">
        <v>154</v>
      </c>
      <c r="J40" s="2"/>
      <c r="K40" s="2"/>
      <c r="L40" s="230">
        <f>ROUND(L38/L39,0)</f>
        <v>54</v>
      </c>
      <c r="M40" s="112"/>
      <c r="N40" s="130"/>
      <c r="P40" s="19"/>
      <c r="Q40" s="19"/>
      <c r="R40" s="19"/>
      <c r="S40" s="19"/>
      <c r="T40" s="1174"/>
    </row>
    <row r="41" spans="1:39">
      <c r="A41" s="19"/>
      <c r="B41" s="19"/>
      <c r="C41" s="19"/>
      <c r="D41" s="19"/>
      <c r="E41" s="19"/>
      <c r="F41" s="19"/>
      <c r="G41" s="19"/>
      <c r="H41" s="19"/>
      <c r="I41" s="139" t="s">
        <v>155</v>
      </c>
      <c r="J41" s="140"/>
      <c r="K41" s="140"/>
      <c r="L41" s="17">
        <f>ROUND(((AD19*(1+L50))/(L49-L50))/AD14,1)</f>
        <v>8.3000000000000007</v>
      </c>
      <c r="M41" s="112"/>
      <c r="N41" s="130"/>
      <c r="P41" s="19"/>
      <c r="Q41" s="19"/>
      <c r="R41" s="19"/>
      <c r="S41" s="19"/>
      <c r="T41" s="1174"/>
    </row>
    <row r="42" spans="1:39">
      <c r="A42" s="19"/>
      <c r="B42" s="19"/>
      <c r="C42" s="19"/>
      <c r="D42" s="19"/>
      <c r="E42" s="19"/>
      <c r="F42" s="19"/>
      <c r="G42" s="19"/>
      <c r="H42" s="19"/>
      <c r="I42" s="130"/>
      <c r="J42" s="130"/>
      <c r="K42" s="130"/>
      <c r="L42" s="130"/>
      <c r="M42" s="112"/>
      <c r="N42" s="130"/>
      <c r="P42" s="19"/>
      <c r="Q42" s="19"/>
      <c r="R42" s="19"/>
      <c r="S42" s="19"/>
      <c r="T42" s="1174"/>
    </row>
    <row r="43" spans="1:39">
      <c r="A43" s="19"/>
      <c r="B43" s="19"/>
      <c r="C43" s="19"/>
      <c r="D43" s="19"/>
      <c r="E43" s="19"/>
      <c r="F43" s="19"/>
      <c r="G43" s="19"/>
      <c r="H43" s="19"/>
      <c r="I43" s="133" t="s">
        <v>487</v>
      </c>
      <c r="J43" s="141"/>
      <c r="K43" s="141"/>
      <c r="L43" s="142"/>
      <c r="M43" s="112"/>
      <c r="N43" s="130"/>
      <c r="O43" s="112"/>
      <c r="P43" s="19"/>
      <c r="Q43" s="19"/>
      <c r="R43" s="19"/>
      <c r="S43" s="19"/>
      <c r="T43" s="1174"/>
    </row>
    <row r="44" spans="1:39">
      <c r="A44" s="19"/>
      <c r="B44" s="19"/>
      <c r="C44" s="19"/>
      <c r="D44" s="19"/>
      <c r="E44" s="19"/>
      <c r="F44" s="19"/>
      <c r="G44" s="19"/>
      <c r="H44" s="19"/>
      <c r="I44" s="143" t="s">
        <v>156</v>
      </c>
      <c r="J44" s="144"/>
      <c r="K44" s="144"/>
      <c r="L44" s="246" t="s">
        <v>320</v>
      </c>
      <c r="M44" s="112"/>
      <c r="N44" s="130"/>
      <c r="O44" s="112"/>
      <c r="P44" s="19"/>
      <c r="Q44" s="19"/>
      <c r="R44" s="19"/>
      <c r="S44" s="19"/>
      <c r="T44" s="1174"/>
    </row>
    <row r="45" spans="1:39" hidden="1" outlineLevel="1">
      <c r="A45" s="19"/>
      <c r="B45" s="19"/>
      <c r="C45" s="19"/>
      <c r="D45" s="19"/>
      <c r="E45" s="19"/>
      <c r="F45" s="19"/>
      <c r="G45" s="19"/>
      <c r="H45" s="19"/>
      <c r="I45" s="136" t="s">
        <v>157</v>
      </c>
      <c r="J45" s="137"/>
      <c r="K45" s="137"/>
      <c r="L45" s="2127">
        <f>DCF!L44</f>
        <v>7.9649999999999999E-2</v>
      </c>
      <c r="M45" s="112"/>
      <c r="N45" s="130"/>
      <c r="O45" s="112"/>
      <c r="P45" s="19"/>
      <c r="Q45" s="19"/>
      <c r="R45" s="19"/>
      <c r="S45" s="19"/>
      <c r="T45" s="1174"/>
    </row>
    <row r="46" spans="1:39" hidden="1" outlineLevel="1">
      <c r="A46" s="19"/>
      <c r="B46" s="19"/>
      <c r="C46" s="19"/>
      <c r="D46" s="19"/>
      <c r="E46" s="19"/>
      <c r="F46" s="19"/>
      <c r="G46" s="19"/>
      <c r="H46" s="19"/>
      <c r="I46" s="136" t="s">
        <v>158</v>
      </c>
      <c r="J46" s="137"/>
      <c r="K46" s="137"/>
      <c r="L46" s="1508">
        <v>0</v>
      </c>
      <c r="M46" s="112"/>
      <c r="N46" s="130"/>
      <c r="O46" s="112"/>
      <c r="P46" s="19"/>
      <c r="Q46" s="19"/>
      <c r="R46" s="19"/>
      <c r="S46" s="19"/>
      <c r="T46" s="1174"/>
    </row>
    <row r="47" spans="1:39" hidden="1" outlineLevel="1">
      <c r="A47" s="19"/>
      <c r="B47" s="19"/>
      <c r="C47" s="19"/>
      <c r="D47" s="19"/>
      <c r="E47" s="19"/>
      <c r="F47" s="19"/>
      <c r="G47" s="19"/>
      <c r="H47" s="19"/>
      <c r="I47" s="136" t="s">
        <v>159</v>
      </c>
      <c r="J47" s="137"/>
      <c r="K47" s="137"/>
      <c r="L47" s="1508">
        <v>0.35</v>
      </c>
      <c r="M47" s="112"/>
      <c r="N47" s="130"/>
      <c r="O47" s="112"/>
      <c r="P47" s="19"/>
      <c r="Q47" s="19"/>
      <c r="R47" s="19"/>
      <c r="S47" s="19"/>
      <c r="T47" s="1174"/>
    </row>
    <row r="48" spans="1:39" hidden="1" outlineLevel="1">
      <c r="A48" s="19"/>
      <c r="B48" s="19"/>
      <c r="C48" s="19"/>
      <c r="D48" s="19"/>
      <c r="E48" s="19"/>
      <c r="F48" s="19"/>
      <c r="G48" s="19"/>
      <c r="H48" s="19"/>
      <c r="I48" s="136" t="s">
        <v>160</v>
      </c>
      <c r="J48" s="137"/>
      <c r="K48" s="137"/>
      <c r="L48" s="1508">
        <v>0</v>
      </c>
      <c r="M48" s="112"/>
      <c r="N48" s="130"/>
      <c r="O48" s="112"/>
      <c r="P48" s="19"/>
      <c r="Q48" s="19"/>
      <c r="R48" s="19"/>
      <c r="S48" s="19"/>
      <c r="T48" s="1174"/>
    </row>
    <row r="49" spans="1:60" collapsed="1">
      <c r="A49" s="19"/>
      <c r="B49" s="19"/>
      <c r="C49" s="19"/>
      <c r="D49" s="19"/>
      <c r="E49" s="19"/>
      <c r="F49" s="19"/>
      <c r="G49" s="19"/>
      <c r="H49" s="19"/>
      <c r="I49" s="145" t="s">
        <v>161</v>
      </c>
      <c r="J49" s="146"/>
      <c r="K49" s="146"/>
      <c r="L49" s="147">
        <f>+(L45*(1-L48))+((1-L47)*L46*L48)</f>
        <v>7.9649999999999999E-2</v>
      </c>
      <c r="M49" s="112"/>
      <c r="N49" s="130"/>
      <c r="O49" s="112"/>
      <c r="P49" s="19"/>
      <c r="Q49" s="19"/>
      <c r="R49" s="19"/>
      <c r="S49" s="19"/>
      <c r="T49" s="1174"/>
    </row>
    <row r="50" spans="1:60">
      <c r="A50" s="19"/>
      <c r="B50" s="19"/>
      <c r="C50" s="19"/>
      <c r="D50" s="19"/>
      <c r="E50" s="19"/>
      <c r="F50" s="19"/>
      <c r="G50" s="19"/>
      <c r="H50" s="19"/>
      <c r="I50" s="139" t="s">
        <v>162</v>
      </c>
      <c r="J50" s="140"/>
      <c r="K50" s="140"/>
      <c r="L50" s="2406">
        <v>0.03</v>
      </c>
      <c r="M50" s="112"/>
      <c r="N50" s="130"/>
      <c r="O50" s="112"/>
      <c r="P50" s="112"/>
      <c r="Q50" s="112"/>
      <c r="R50" s="112"/>
      <c r="S50" s="112"/>
      <c r="T50" s="112"/>
      <c r="U50" s="19"/>
      <c r="V50" s="19"/>
      <c r="W50" s="19"/>
      <c r="X50" s="19"/>
      <c r="Y50" s="19"/>
      <c r="AF50" s="19"/>
    </row>
    <row r="51" spans="1:60">
      <c r="A51" s="19"/>
      <c r="B51" s="19"/>
      <c r="C51" s="19"/>
      <c r="D51" s="19"/>
      <c r="E51" s="19"/>
      <c r="F51" s="19"/>
      <c r="G51" s="19"/>
      <c r="H51" s="19"/>
      <c r="I51" s="112"/>
      <c r="J51" s="112"/>
      <c r="K51" s="112"/>
      <c r="L51" s="112"/>
      <c r="M51" s="112"/>
      <c r="N51" s="112"/>
      <c r="O51" s="112"/>
      <c r="P51" s="112"/>
      <c r="Q51" s="112"/>
      <c r="R51" s="112"/>
      <c r="S51" s="112"/>
      <c r="T51" s="112"/>
      <c r="U51" s="19"/>
      <c r="V51" s="19"/>
      <c r="W51" s="19"/>
      <c r="X51" s="19"/>
      <c r="Y51" s="19"/>
      <c r="AF51" s="19"/>
    </row>
    <row r="52" spans="1:60">
      <c r="A52" s="19"/>
      <c r="B52" s="19"/>
      <c r="C52" s="19"/>
      <c r="D52" s="19"/>
      <c r="E52" s="19"/>
      <c r="F52" s="19"/>
      <c r="G52" s="19"/>
      <c r="H52" s="19"/>
      <c r="I52" s="19"/>
      <c r="J52" s="19"/>
      <c r="K52" s="19"/>
      <c r="L52" s="19"/>
      <c r="M52" s="112"/>
      <c r="N52" s="2"/>
      <c r="O52" s="112"/>
      <c r="P52" s="112"/>
      <c r="Q52" s="112"/>
      <c r="R52" s="1380"/>
      <c r="S52" s="1380"/>
      <c r="T52" s="2887"/>
      <c r="U52" s="2888"/>
      <c r="V52" s="2888"/>
      <c r="W52" s="1378"/>
      <c r="X52" s="19"/>
      <c r="Y52" s="19"/>
      <c r="AF52" s="19"/>
    </row>
    <row r="53" spans="1:60">
      <c r="A53" s="19"/>
      <c r="B53" s="19"/>
      <c r="C53" s="19"/>
      <c r="D53" s="19"/>
      <c r="E53" s="19"/>
      <c r="F53" s="19"/>
      <c r="G53" s="19"/>
      <c r="H53" s="19"/>
      <c r="I53" s="19"/>
      <c r="J53" s="19"/>
      <c r="K53" s="19"/>
      <c r="L53" s="19"/>
      <c r="M53" s="112"/>
      <c r="N53" s="2"/>
      <c r="O53" s="112"/>
      <c r="P53" s="112"/>
      <c r="Q53" s="112"/>
      <c r="R53" s="1380"/>
      <c r="S53" s="1380"/>
      <c r="T53" s="1378"/>
      <c r="U53" s="1378"/>
      <c r="V53" s="1378"/>
      <c r="W53" s="1378"/>
      <c r="X53" s="19"/>
      <c r="Y53" s="19"/>
      <c r="AF53" s="19"/>
    </row>
    <row r="54" spans="1:60">
      <c r="A54" s="19"/>
      <c r="B54" s="19"/>
      <c r="C54" s="19"/>
      <c r="D54" s="19"/>
      <c r="E54" s="19"/>
      <c r="F54" s="19"/>
      <c r="G54" s="19"/>
      <c r="H54" s="19"/>
      <c r="I54" s="36" t="s">
        <v>607</v>
      </c>
      <c r="J54" s="19"/>
      <c r="K54" s="19"/>
      <c r="L54" s="19"/>
      <c r="M54" s="112"/>
      <c r="N54" s="2"/>
      <c r="O54" s="112"/>
      <c r="P54" s="112"/>
      <c r="Q54" s="112"/>
      <c r="R54" s="1380"/>
      <c r="S54" s="1380"/>
      <c r="T54" s="2889"/>
      <c r="U54" s="2889"/>
      <c r="V54" s="2889"/>
      <c r="W54" s="2888"/>
      <c r="X54" s="2255"/>
      <c r="Y54" s="2255"/>
      <c r="Z54" s="2256"/>
      <c r="AA54" s="2257"/>
      <c r="AB54" s="2257"/>
      <c r="AC54" s="2257"/>
      <c r="AD54" s="2257"/>
      <c r="AE54" s="2257"/>
      <c r="AF54" s="19"/>
    </row>
    <row r="55" spans="1:60" ht="13.5">
      <c r="A55" s="19"/>
      <c r="B55" s="19"/>
      <c r="C55" s="19"/>
      <c r="D55" s="19"/>
      <c r="E55" s="19"/>
      <c r="F55" s="19"/>
      <c r="G55" s="19"/>
      <c r="H55" s="19"/>
      <c r="I55" s="36" t="s">
        <v>606</v>
      </c>
      <c r="J55" s="19"/>
      <c r="K55" s="19"/>
      <c r="L55" s="19"/>
      <c r="M55" s="112"/>
      <c r="N55" s="2"/>
      <c r="O55" s="112"/>
      <c r="P55" s="112"/>
      <c r="Q55" s="112"/>
      <c r="R55" s="1380"/>
      <c r="S55" s="1380"/>
      <c r="T55" s="2890"/>
      <c r="U55" s="2890"/>
      <c r="V55" s="2890"/>
      <c r="W55" s="2888"/>
      <c r="X55" s="2255"/>
      <c r="Y55" s="2255"/>
      <c r="Z55" s="2256"/>
      <c r="AA55" s="2257"/>
      <c r="AB55" s="2257"/>
      <c r="AC55" s="2257"/>
      <c r="AD55" s="2257"/>
      <c r="AE55" s="2257"/>
      <c r="AF55" s="19"/>
    </row>
    <row r="56" spans="1:60" s="41" customFormat="1">
      <c r="A56" s="29"/>
      <c r="B56" s="29"/>
      <c r="C56" s="29"/>
      <c r="D56" s="29"/>
      <c r="E56" s="29"/>
      <c r="F56" s="29"/>
      <c r="G56" s="29"/>
      <c r="H56" s="29"/>
      <c r="I56" s="29" t="s">
        <v>460</v>
      </c>
      <c r="J56" s="29"/>
      <c r="K56" s="29"/>
      <c r="L56" s="29"/>
      <c r="M56" s="4"/>
      <c r="N56" s="2"/>
      <c r="O56" s="4"/>
      <c r="P56" s="4"/>
      <c r="Q56" s="4"/>
      <c r="R56" s="2891"/>
      <c r="S56" s="2891"/>
      <c r="T56" s="2892"/>
      <c r="U56" s="2892"/>
      <c r="V56" s="2892"/>
      <c r="W56" s="90"/>
      <c r="X56" s="29"/>
      <c r="Y56" s="29"/>
      <c r="Z56" s="1175"/>
      <c r="AF56" s="29"/>
    </row>
    <row r="57" spans="1:60">
      <c r="A57" s="19"/>
      <c r="B57" s="19"/>
      <c r="C57" s="19"/>
      <c r="D57" s="19"/>
      <c r="E57" s="19"/>
      <c r="F57" s="19"/>
      <c r="G57" s="19"/>
      <c r="H57" s="19"/>
      <c r="I57" s="19"/>
      <c r="J57" s="19"/>
      <c r="K57" s="19"/>
      <c r="L57" s="19"/>
      <c r="M57" s="112"/>
      <c r="N57" s="2"/>
      <c r="O57" s="112"/>
      <c r="P57" s="112"/>
      <c r="Q57" s="112"/>
      <c r="R57" s="112"/>
      <c r="S57" s="112"/>
      <c r="T57" s="112"/>
      <c r="U57" s="19"/>
      <c r="V57" s="19"/>
      <c r="W57" s="19"/>
      <c r="X57" s="19"/>
      <c r="Y57" s="19"/>
      <c r="AF57" s="19"/>
    </row>
    <row r="58" spans="1:60">
      <c r="A58" s="19"/>
      <c r="B58" s="19"/>
      <c r="C58" s="19"/>
      <c r="D58" s="19"/>
      <c r="E58" s="19"/>
      <c r="F58" s="19"/>
      <c r="G58" s="19"/>
      <c r="H58" s="19"/>
      <c r="I58" s="19"/>
      <c r="J58" s="19"/>
      <c r="K58" s="19"/>
      <c r="L58" s="19"/>
      <c r="M58" s="112"/>
      <c r="N58" s="2"/>
      <c r="O58" s="112"/>
      <c r="P58" s="112"/>
      <c r="Q58" s="112"/>
      <c r="R58" s="112"/>
      <c r="S58" s="112"/>
      <c r="T58" s="2267"/>
      <c r="U58" s="19"/>
      <c r="V58" s="19"/>
      <c r="W58" s="19"/>
      <c r="X58" s="19"/>
      <c r="Y58" s="19"/>
      <c r="AF58" s="19"/>
    </row>
    <row r="59" spans="1:60">
      <c r="A59" s="19"/>
      <c r="B59" s="19"/>
      <c r="C59" s="19"/>
      <c r="D59" s="19"/>
      <c r="E59" s="19"/>
      <c r="F59" s="19"/>
      <c r="G59" s="19"/>
      <c r="H59" s="19"/>
      <c r="I59" s="19"/>
      <c r="J59" s="19"/>
      <c r="K59" s="19"/>
      <c r="L59" s="19"/>
      <c r="M59" s="112"/>
      <c r="N59" s="2"/>
      <c r="O59" s="112"/>
      <c r="P59" s="112"/>
      <c r="Q59" s="112"/>
      <c r="R59" s="112"/>
      <c r="S59" s="112"/>
      <c r="T59" s="112"/>
      <c r="U59" s="19"/>
      <c r="V59" s="19"/>
      <c r="W59" s="19"/>
      <c r="X59" s="19"/>
      <c r="Y59" s="19"/>
      <c r="AF59" s="19"/>
    </row>
    <row r="60" spans="1:60">
      <c r="A60" s="19"/>
      <c r="B60" s="19"/>
      <c r="C60" s="19"/>
      <c r="D60" s="19"/>
      <c r="E60" s="19"/>
      <c r="F60" s="19"/>
      <c r="G60" s="19"/>
      <c r="H60" s="19"/>
      <c r="I60" s="19"/>
      <c r="J60" s="19"/>
      <c r="K60" s="19"/>
      <c r="L60" s="19"/>
      <c r="M60" s="112"/>
      <c r="N60" s="2"/>
      <c r="O60" s="112"/>
      <c r="P60" s="112"/>
      <c r="Q60" s="112"/>
      <c r="R60" s="112"/>
      <c r="S60" s="112"/>
      <c r="T60" s="112"/>
      <c r="U60" s="19"/>
      <c r="V60" s="19"/>
      <c r="W60" s="19"/>
      <c r="X60" s="19"/>
      <c r="Y60" s="19"/>
      <c r="AF60" s="19"/>
    </row>
    <row r="61" spans="1:60">
      <c r="A61" s="19"/>
      <c r="B61" s="19"/>
      <c r="C61" s="19"/>
      <c r="D61" s="19"/>
      <c r="E61" s="19"/>
      <c r="F61" s="19"/>
      <c r="G61" s="19"/>
      <c r="H61" s="19"/>
      <c r="I61" s="19"/>
      <c r="J61" s="19"/>
      <c r="K61" s="19"/>
      <c r="L61" s="19"/>
      <c r="M61" s="112"/>
      <c r="N61" s="2"/>
      <c r="O61" s="112"/>
      <c r="P61" s="112"/>
      <c r="Q61" s="112"/>
      <c r="R61" s="112"/>
      <c r="S61" s="112"/>
      <c r="T61" s="112"/>
      <c r="U61" s="19"/>
      <c r="V61" s="19"/>
      <c r="W61" s="19"/>
      <c r="X61" s="19"/>
      <c r="Y61" s="19"/>
      <c r="AF61" s="19"/>
    </row>
    <row r="62" spans="1:60">
      <c r="A62" s="19"/>
      <c r="B62" s="19"/>
      <c r="C62" s="19"/>
      <c r="D62" s="19"/>
      <c r="E62" s="19"/>
      <c r="F62" s="19"/>
      <c r="G62" s="19"/>
      <c r="H62" s="19"/>
      <c r="I62" s="19"/>
      <c r="J62" s="19"/>
      <c r="K62" s="19"/>
      <c r="L62" s="19"/>
      <c r="M62" s="112"/>
      <c r="N62" s="2"/>
      <c r="O62" s="112"/>
      <c r="P62" s="112"/>
      <c r="Q62" s="112"/>
      <c r="R62" s="112"/>
      <c r="S62" s="112"/>
      <c r="T62" s="112"/>
      <c r="U62" s="19"/>
      <c r="V62" s="19"/>
      <c r="W62" s="19"/>
      <c r="X62" s="19"/>
      <c r="Y62" s="19"/>
      <c r="AF62" s="19"/>
    </row>
    <row r="63" spans="1:60">
      <c r="A63" s="19"/>
      <c r="B63" s="19"/>
      <c r="C63" s="19"/>
      <c r="D63" s="19"/>
      <c r="E63" s="19"/>
      <c r="F63" s="19"/>
      <c r="G63" s="19"/>
      <c r="H63" s="19"/>
      <c r="I63" s="19"/>
      <c r="J63" s="19"/>
      <c r="K63" s="19"/>
      <c r="L63" s="19"/>
      <c r="M63" s="112"/>
      <c r="N63" s="2"/>
      <c r="O63" s="112"/>
      <c r="P63" s="112"/>
      <c r="Q63" s="112"/>
      <c r="R63" s="112"/>
      <c r="S63" s="112"/>
      <c r="T63" s="112"/>
      <c r="U63" s="19"/>
      <c r="V63" s="19"/>
      <c r="W63" s="19"/>
      <c r="X63" s="19"/>
      <c r="Y63" s="19"/>
      <c r="AF63" s="19"/>
    </row>
    <row r="64" spans="1:60" s="83" customFormat="1" ht="11.25" hidden="1" customHeight="1" outlineLevel="1">
      <c r="A64" s="36"/>
      <c r="B64" s="36"/>
      <c r="C64" s="36"/>
      <c r="D64" s="36"/>
      <c r="E64" s="36"/>
      <c r="F64" s="36"/>
      <c r="G64" s="36"/>
      <c r="H64" s="36"/>
      <c r="I64" s="60" t="s">
        <v>323</v>
      </c>
      <c r="J64" s="60"/>
      <c r="K64" s="60"/>
      <c r="L64" s="60"/>
      <c r="M64" s="69"/>
      <c r="N64" s="178"/>
      <c r="O64" s="178"/>
      <c r="P64" s="178"/>
      <c r="Q64" s="178"/>
      <c r="R64" s="178"/>
      <c r="S64" s="178"/>
      <c r="T64" s="178"/>
      <c r="U64" s="178"/>
      <c r="V64" s="178"/>
      <c r="W64" s="178"/>
      <c r="X64" s="178"/>
      <c r="Y64" s="69"/>
      <c r="Z64" s="69"/>
      <c r="AA64" s="69"/>
      <c r="AB64" s="69"/>
      <c r="AC64" s="69"/>
      <c r="AD64" s="69"/>
      <c r="AE64" s="68"/>
      <c r="AF64" s="68"/>
      <c r="AG64" s="68"/>
      <c r="AH64" s="68"/>
      <c r="AI64" s="68"/>
      <c r="AJ64" s="68"/>
      <c r="AK64" s="68"/>
      <c r="AL64" s="68"/>
      <c r="AM64" s="68"/>
      <c r="AN64" s="68"/>
      <c r="AO64" s="68"/>
      <c r="AP64" s="68"/>
      <c r="AQ64" s="68"/>
      <c r="AR64" s="68"/>
      <c r="AS64" s="68"/>
      <c r="AT64" s="68"/>
      <c r="AU64" s="68"/>
      <c r="AV64" s="68"/>
      <c r="AW64" s="68"/>
      <c r="AX64" s="68"/>
      <c r="AY64" s="68"/>
      <c r="AZ64" s="68"/>
      <c r="BA64" s="68"/>
      <c r="BB64" s="68"/>
      <c r="BC64" s="68"/>
      <c r="BD64" s="68"/>
      <c r="BE64" s="68"/>
      <c r="BF64" s="68"/>
      <c r="BG64" s="68"/>
      <c r="BH64" s="68"/>
    </row>
    <row r="65" spans="1:67" hidden="1" outlineLevel="1">
      <c r="A65" s="19"/>
      <c r="B65" s="19"/>
      <c r="C65" s="19"/>
      <c r="D65" s="19"/>
      <c r="E65" s="19"/>
      <c r="F65" s="19"/>
      <c r="G65" s="19"/>
      <c r="H65" s="19"/>
      <c r="I65" s="19" t="s">
        <v>313</v>
      </c>
      <c r="J65" s="19"/>
      <c r="K65" s="19"/>
      <c r="L65" s="19"/>
      <c r="M65" s="113"/>
      <c r="N65" s="113"/>
      <c r="O65" s="113"/>
      <c r="P65" s="113">
        <f>Model!BM62</f>
        <v>-18.992000000000026</v>
      </c>
      <c r="Q65" s="113">
        <f>Model!BN62</f>
        <v>-9.2300000000000075</v>
      </c>
      <c r="R65" s="113">
        <f>Model!BO62</f>
        <v>11.279999999999969</v>
      </c>
      <c r="S65" s="113">
        <f>Model!BP62</f>
        <v>-51.949000000000034</v>
      </c>
      <c r="T65" s="113">
        <f>Model!BQ62</f>
        <v>-3.2850000000000419</v>
      </c>
      <c r="U65" s="113">
        <f>Model!BR62</f>
        <v>184.34900000000002</v>
      </c>
      <c r="V65" s="113">
        <f>Model!BS62</f>
        <v>29.409490581603738</v>
      </c>
      <c r="W65" s="113">
        <f>Model!BT62</f>
        <v>77.331941320645015</v>
      </c>
      <c r="X65" s="113">
        <f>Model!BU62</f>
        <v>109.26035452005051</v>
      </c>
      <c r="Y65" s="113">
        <f>Model!BV62</f>
        <v>152.32190715071235</v>
      </c>
      <c r="Z65" s="113">
        <f>Model!BW62</f>
        <v>202.64870250175323</v>
      </c>
      <c r="AA65" s="113">
        <f>Model!BX62</f>
        <v>254.52709289141382</v>
      </c>
      <c r="AB65" s="113">
        <f>Model!BY62</f>
        <v>308.10200434802846</v>
      </c>
      <c r="AC65" s="113">
        <f>Model!BZ62</f>
        <v>364.83096408155268</v>
      </c>
      <c r="AD65" s="2"/>
      <c r="AE65" s="239"/>
      <c r="AF65" s="19"/>
    </row>
    <row r="66" spans="1:67" hidden="1" outlineLevel="1">
      <c r="A66" s="19"/>
      <c r="B66" s="19"/>
      <c r="C66" s="19"/>
      <c r="D66" s="19"/>
      <c r="E66" s="19"/>
      <c r="F66" s="19"/>
      <c r="G66" s="19"/>
      <c r="H66" s="19"/>
      <c r="I66" s="19" t="s">
        <v>310</v>
      </c>
      <c r="J66" s="19"/>
      <c r="K66" s="19"/>
      <c r="L66" s="19"/>
      <c r="M66" s="238"/>
      <c r="N66" s="238"/>
      <c r="O66" s="238"/>
      <c r="P66" s="238">
        <v>28</v>
      </c>
      <c r="Q66" s="238">
        <v>49.8</v>
      </c>
      <c r="R66" s="238">
        <v>113.3</v>
      </c>
      <c r="S66" s="238">
        <v>166.7</v>
      </c>
      <c r="T66" s="2146">
        <v>171</v>
      </c>
      <c r="U66" s="113">
        <f t="shared" ref="U66:AC66" si="19">T68</f>
        <v>171</v>
      </c>
      <c r="V66" s="113">
        <f t="shared" si="19"/>
        <v>0</v>
      </c>
      <c r="W66" s="113">
        <f t="shared" si="19"/>
        <v>0</v>
      </c>
      <c r="X66" s="113">
        <f t="shared" si="19"/>
        <v>0</v>
      </c>
      <c r="Y66" s="113">
        <f t="shared" si="19"/>
        <v>0</v>
      </c>
      <c r="Z66" s="113">
        <f t="shared" si="19"/>
        <v>0</v>
      </c>
      <c r="AA66" s="113">
        <f t="shared" si="19"/>
        <v>0</v>
      </c>
      <c r="AB66" s="113">
        <f t="shared" si="19"/>
        <v>0</v>
      </c>
      <c r="AC66" s="113">
        <f t="shared" si="19"/>
        <v>0</v>
      </c>
      <c r="AD66" s="179"/>
      <c r="AE66" s="240"/>
      <c r="AF66" s="19"/>
    </row>
    <row r="67" spans="1:67" hidden="1" outlineLevel="1">
      <c r="A67" s="19"/>
      <c r="B67" s="19"/>
      <c r="C67" s="19"/>
      <c r="D67" s="19"/>
      <c r="E67" s="19"/>
      <c r="F67" s="19"/>
      <c r="G67" s="19"/>
      <c r="H67" s="19"/>
      <c r="I67" s="19" t="s">
        <v>311</v>
      </c>
      <c r="J67" s="19"/>
      <c r="K67" s="19"/>
      <c r="L67" s="19"/>
      <c r="M67" s="113"/>
      <c r="N67" s="113"/>
      <c r="O67" s="113"/>
      <c r="P67" s="113">
        <f t="shared" ref="P67:X67" si="20">(IF(P65&gt;0,IF(P66&gt;P65,P65,P66),0))</f>
        <v>0</v>
      </c>
      <c r="Q67" s="113">
        <f t="shared" si="20"/>
        <v>0</v>
      </c>
      <c r="R67" s="113">
        <f t="shared" si="20"/>
        <v>11.279999999999969</v>
      </c>
      <c r="S67" s="113">
        <f t="shared" si="20"/>
        <v>0</v>
      </c>
      <c r="T67" s="113">
        <f t="shared" si="20"/>
        <v>0</v>
      </c>
      <c r="U67" s="113">
        <f t="shared" si="20"/>
        <v>171</v>
      </c>
      <c r="V67" s="113">
        <f t="shared" si="20"/>
        <v>0</v>
      </c>
      <c r="W67" s="113">
        <f t="shared" si="20"/>
        <v>0</v>
      </c>
      <c r="X67" s="113">
        <f t="shared" si="20"/>
        <v>0</v>
      </c>
      <c r="Y67" s="113">
        <f>(IF(Y65&gt;0,IF(Y66&gt;Y65,Y65,Y66),0))</f>
        <v>0</v>
      </c>
      <c r="Z67" s="113">
        <f>(IF(Z65&gt;0,IF(Z66&gt;Z65,Z65,Z66),0))</f>
        <v>0</v>
      </c>
      <c r="AA67" s="113">
        <f>(IF(AA65&gt;0,IF(AA66&gt;AA65,AA65,AA66),0))</f>
        <v>0</v>
      </c>
      <c r="AB67" s="113">
        <f>(IF(AB65&gt;0,IF(AB66&gt;AB65,AB65,AB66),0))</f>
        <v>0</v>
      </c>
      <c r="AC67" s="113">
        <f>(IF(AC65&gt;0,IF(AC66&gt;AC65,AC65,AC66),0))</f>
        <v>0</v>
      </c>
      <c r="AD67" s="179"/>
      <c r="AE67" s="240"/>
      <c r="AF67" s="19"/>
    </row>
    <row r="68" spans="1:67" hidden="1" outlineLevel="1">
      <c r="A68" s="19"/>
      <c r="B68" s="19"/>
      <c r="C68" s="19"/>
      <c r="D68" s="19"/>
      <c r="E68" s="19"/>
      <c r="F68" s="19"/>
      <c r="G68" s="19"/>
      <c r="H68" s="19"/>
      <c r="I68" s="19" t="s">
        <v>312</v>
      </c>
      <c r="J68" s="19"/>
      <c r="K68" s="19"/>
      <c r="L68" s="19"/>
      <c r="M68" s="113"/>
      <c r="N68" s="113"/>
      <c r="O68" s="113"/>
      <c r="P68" s="113">
        <f t="shared" ref="P68:X68" si="21">P66-P67</f>
        <v>28</v>
      </c>
      <c r="Q68" s="113">
        <f t="shared" si="21"/>
        <v>49.8</v>
      </c>
      <c r="R68" s="113">
        <f t="shared" si="21"/>
        <v>102.02000000000002</v>
      </c>
      <c r="S68" s="113">
        <f t="shared" si="21"/>
        <v>166.7</v>
      </c>
      <c r="T68" s="113">
        <f t="shared" si="21"/>
        <v>171</v>
      </c>
      <c r="U68" s="113">
        <f t="shared" si="21"/>
        <v>0</v>
      </c>
      <c r="V68" s="113">
        <f t="shared" si="21"/>
        <v>0</v>
      </c>
      <c r="W68" s="113">
        <f t="shared" si="21"/>
        <v>0</v>
      </c>
      <c r="X68" s="113">
        <f t="shared" si="21"/>
        <v>0</v>
      </c>
      <c r="Y68" s="113">
        <f>Y66-Y67</f>
        <v>0</v>
      </c>
      <c r="Z68" s="113">
        <f>Z66-Z67</f>
        <v>0</v>
      </c>
      <c r="AA68" s="113">
        <f>AA66-AA67</f>
        <v>0</v>
      </c>
      <c r="AB68" s="113">
        <f>AB66-AB67</f>
        <v>0</v>
      </c>
      <c r="AC68" s="113">
        <f>AC66-AC67</f>
        <v>0</v>
      </c>
      <c r="AD68" s="179"/>
      <c r="AE68" s="240"/>
      <c r="AF68" s="19"/>
      <c r="AM68" s="983"/>
    </row>
    <row r="69" spans="1:67" hidden="1" outlineLevel="1">
      <c r="A69" s="19"/>
      <c r="B69" s="19"/>
      <c r="C69" s="19"/>
      <c r="D69" s="19"/>
      <c r="E69" s="19"/>
      <c r="F69" s="19"/>
      <c r="G69" s="19"/>
      <c r="H69" s="19"/>
      <c r="I69" s="19"/>
      <c r="J69" s="19"/>
      <c r="K69" s="19"/>
      <c r="L69" s="19"/>
      <c r="M69" s="113"/>
      <c r="N69" s="113"/>
      <c r="O69" s="113"/>
      <c r="P69" s="113"/>
      <c r="Q69" s="113"/>
      <c r="R69" s="113"/>
      <c r="S69" s="113"/>
      <c r="T69" s="113"/>
      <c r="U69" s="113"/>
      <c r="V69" s="113"/>
      <c r="W69" s="113"/>
      <c r="X69" s="113"/>
      <c r="Y69" s="113"/>
      <c r="Z69" s="113"/>
      <c r="AA69" s="113"/>
      <c r="AB69" s="113"/>
      <c r="AC69" s="113"/>
      <c r="AD69" s="137"/>
      <c r="AE69" s="137"/>
      <c r="AF69" s="19"/>
      <c r="AG69" s="112"/>
      <c r="AH69" s="112"/>
      <c r="AI69" s="112"/>
    </row>
    <row r="70" spans="1:67" hidden="1" outlineLevel="1">
      <c r="A70" s="19"/>
      <c r="B70" s="19"/>
      <c r="C70" s="19"/>
      <c r="D70" s="19"/>
      <c r="E70" s="19"/>
      <c r="F70" s="19"/>
      <c r="G70" s="19"/>
      <c r="H70" s="19"/>
      <c r="I70" s="112" t="s">
        <v>314</v>
      </c>
      <c r="J70" s="112"/>
      <c r="K70" s="112"/>
      <c r="L70" s="112"/>
      <c r="M70" s="113"/>
      <c r="N70" s="113"/>
      <c r="O70" s="113"/>
      <c r="P70" s="113">
        <f>P65-P67</f>
        <v>-18.992000000000026</v>
      </c>
      <c r="Q70" s="113">
        <f>Q65-Q67</f>
        <v>-9.2300000000000075</v>
      </c>
      <c r="R70" s="113">
        <f>R65-R67</f>
        <v>0</v>
      </c>
      <c r="S70" s="113">
        <f>S65-S67</f>
        <v>-51.949000000000034</v>
      </c>
      <c r="T70" s="113">
        <f>T65-T67</f>
        <v>-3.2850000000000419</v>
      </c>
      <c r="U70" s="113">
        <f t="shared" ref="U70:AC70" si="22">U65-U67</f>
        <v>13.349000000000018</v>
      </c>
      <c r="V70" s="113">
        <f t="shared" si="22"/>
        <v>29.409490581603738</v>
      </c>
      <c r="W70" s="113">
        <f t="shared" si="22"/>
        <v>77.331941320645015</v>
      </c>
      <c r="X70" s="113">
        <f t="shared" si="22"/>
        <v>109.26035452005051</v>
      </c>
      <c r="Y70" s="113">
        <f t="shared" si="22"/>
        <v>152.32190715071235</v>
      </c>
      <c r="Z70" s="113">
        <f t="shared" si="22"/>
        <v>202.64870250175323</v>
      </c>
      <c r="AA70" s="113">
        <f t="shared" si="22"/>
        <v>254.52709289141382</v>
      </c>
      <c r="AB70" s="113">
        <f t="shared" si="22"/>
        <v>308.10200434802846</v>
      </c>
      <c r="AC70" s="113">
        <f t="shared" si="22"/>
        <v>364.83096408155268</v>
      </c>
      <c r="AD70" s="2"/>
      <c r="AE70" s="172"/>
      <c r="AF70" s="19"/>
    </row>
    <row r="71" spans="1:67" hidden="1" outlineLevel="1">
      <c r="A71" s="19"/>
      <c r="B71" s="19"/>
      <c r="C71" s="19"/>
      <c r="D71" s="19"/>
      <c r="E71" s="19"/>
      <c r="F71" s="19"/>
      <c r="G71" s="19"/>
      <c r="H71" s="19"/>
      <c r="I71" s="112" t="s">
        <v>315</v>
      </c>
      <c r="J71" s="112"/>
      <c r="K71" s="112"/>
      <c r="L71" s="112"/>
      <c r="M71" s="101"/>
      <c r="N71" s="101"/>
      <c r="O71" s="101"/>
      <c r="P71" s="241">
        <f>+IFERROR(P72/P70,"NA")</f>
        <v>-5.7919123841617447E-3</v>
      </c>
      <c r="Q71" s="241">
        <f>+IFERROR(Q72/Q70,"NA")</f>
        <v>-3.1527627302275159E-2</v>
      </c>
      <c r="R71" s="241" t="str">
        <f>+IFERROR(R72/R70,"NA")</f>
        <v>NA</v>
      </c>
      <c r="S71" s="101">
        <f>Model!BP65</f>
        <v>0.24686832340042622</v>
      </c>
      <c r="T71" s="101">
        <f>Model!BQ65</f>
        <v>0.40000000000000013</v>
      </c>
      <c r="U71" s="241">
        <f>Model!BR65</f>
        <v>0.3999999999999998</v>
      </c>
      <c r="V71" s="241">
        <f>Model!BS65</f>
        <v>0.40000000000000019</v>
      </c>
      <c r="W71" s="241">
        <f>Model!BT65</f>
        <v>0.39999999999999997</v>
      </c>
      <c r="X71" s="241">
        <f>Model!BU65</f>
        <v>0.40000000000000024</v>
      </c>
      <c r="Y71" s="241">
        <f>Model!BV65</f>
        <v>0.40000000000000024</v>
      </c>
      <c r="Z71" s="241">
        <f>Model!BW65</f>
        <v>0.40000000000000024</v>
      </c>
      <c r="AA71" s="241">
        <f>Model!BX65</f>
        <v>0.40000000000000024</v>
      </c>
      <c r="AB71" s="241">
        <f>Model!BY65</f>
        <v>0.40000000000000024</v>
      </c>
      <c r="AC71" s="241">
        <f>Model!BZ65</f>
        <v>0.40000000000000024</v>
      </c>
      <c r="AD71" s="179"/>
      <c r="AE71" s="175"/>
      <c r="AF71" s="19"/>
    </row>
    <row r="72" spans="1:67" hidden="1" outlineLevel="1">
      <c r="A72" s="19"/>
      <c r="B72" s="19"/>
      <c r="C72" s="19"/>
      <c r="D72" s="19"/>
      <c r="E72" s="19"/>
      <c r="F72" s="19"/>
      <c r="G72" s="19"/>
      <c r="H72" s="19"/>
      <c r="I72" s="19" t="s">
        <v>316</v>
      </c>
      <c r="J72" s="19"/>
      <c r="K72" s="19"/>
      <c r="L72" s="19"/>
      <c r="M72" s="238">
        <f>+Model!BJ103</f>
        <v>0</v>
      </c>
      <c r="N72" s="238">
        <f>+Model!BK103</f>
        <v>21</v>
      </c>
      <c r="O72" s="238">
        <f>+Model!BL103</f>
        <v>9.1999999999999998E-2</v>
      </c>
      <c r="P72" s="238">
        <f>+Model!BM103</f>
        <v>0.11</v>
      </c>
      <c r="Q72" s="238">
        <f>+Model!BN103</f>
        <v>0.29099999999999998</v>
      </c>
      <c r="R72" s="238">
        <f>+Model!BO103</f>
        <v>1.972</v>
      </c>
      <c r="S72" s="238">
        <f>+Model!BP103</f>
        <v>0.35199999999999998</v>
      </c>
      <c r="T72" s="61">
        <f>IF(T70&lt;=0,0,T70*T71)</f>
        <v>0</v>
      </c>
      <c r="U72" s="113">
        <f>IF(U70&lt;=0,0,U70*U71)</f>
        <v>5.3396000000000043</v>
      </c>
      <c r="V72" s="113">
        <f>IF(V70&lt;=0,0,V70*V71)</f>
        <v>11.7637962326415</v>
      </c>
      <c r="W72" s="113">
        <f>IF(W70&lt;=0,0,W70*W71)</f>
        <v>30.932776528258003</v>
      </c>
      <c r="X72" s="113">
        <f t="shared" ref="X72:AC72" si="23">IF(X70&lt;=0,0,X70*X71)</f>
        <v>43.704141808020232</v>
      </c>
      <c r="Y72" s="113">
        <f t="shared" si="23"/>
        <v>60.928762860284976</v>
      </c>
      <c r="Z72" s="113">
        <f t="shared" si="23"/>
        <v>81.059481000701339</v>
      </c>
      <c r="AA72" s="113">
        <f t="shared" si="23"/>
        <v>101.81083715656558</v>
      </c>
      <c r="AB72" s="113">
        <f t="shared" si="23"/>
        <v>123.24080173921146</v>
      </c>
      <c r="AC72" s="113">
        <f t="shared" si="23"/>
        <v>145.93238563262116</v>
      </c>
      <c r="AF72" s="19"/>
    </row>
    <row r="73" spans="1:67" hidden="1" outlineLevel="1">
      <c r="A73" s="19"/>
      <c r="B73" s="19"/>
      <c r="C73" s="19"/>
      <c r="D73" s="19"/>
      <c r="E73" s="19"/>
      <c r="F73" s="19"/>
      <c r="G73" s="19"/>
      <c r="H73" s="19"/>
      <c r="I73" s="19"/>
      <c r="J73" s="19"/>
      <c r="K73" s="19"/>
      <c r="L73" s="19"/>
      <c r="M73" s="112"/>
      <c r="N73" s="2"/>
      <c r="O73" s="112"/>
      <c r="P73" s="112"/>
      <c r="Q73" s="112"/>
      <c r="R73" s="112"/>
      <c r="S73" s="112"/>
      <c r="T73" s="112"/>
      <c r="U73" s="19"/>
      <c r="V73" s="19"/>
      <c r="W73" s="19"/>
      <c r="X73" s="19"/>
      <c r="Y73" s="19"/>
      <c r="AF73" s="19"/>
    </row>
    <row r="74" spans="1:67" collapsed="1">
      <c r="A74" s="19"/>
      <c r="B74" s="19"/>
      <c r="C74" s="19"/>
      <c r="D74" s="19"/>
      <c r="E74" s="19"/>
      <c r="F74" s="19"/>
      <c r="G74" s="19"/>
      <c r="H74" s="19"/>
      <c r="I74" s="19"/>
      <c r="J74" s="19"/>
      <c r="K74" s="19"/>
      <c r="L74" s="19"/>
      <c r="M74" s="112"/>
      <c r="N74" s="2"/>
      <c r="O74" s="112"/>
      <c r="P74" s="112"/>
      <c r="Q74" s="112"/>
      <c r="R74" s="112"/>
      <c r="S74" s="112"/>
      <c r="T74" s="112"/>
      <c r="U74" s="19"/>
      <c r="V74" s="19"/>
      <c r="W74" s="19"/>
      <c r="X74" s="19"/>
      <c r="Y74" s="19"/>
      <c r="AF74" s="19"/>
    </row>
    <row r="75" spans="1:67">
      <c r="A75" s="19"/>
      <c r="B75" s="19"/>
      <c r="C75" s="19"/>
      <c r="D75" s="19"/>
      <c r="E75" s="19"/>
      <c r="F75" s="19"/>
      <c r="G75" s="19"/>
      <c r="H75" s="19"/>
      <c r="I75" s="19"/>
      <c r="J75" s="19"/>
      <c r="K75" s="19"/>
      <c r="L75" s="19"/>
      <c r="M75" s="112"/>
      <c r="N75" s="2"/>
      <c r="O75" s="112"/>
      <c r="P75" s="112"/>
      <c r="Q75" s="112"/>
      <c r="R75" s="112"/>
      <c r="S75" s="112"/>
      <c r="T75" s="112"/>
      <c r="U75" s="19"/>
      <c r="V75" s="19"/>
      <c r="W75" s="19"/>
      <c r="X75" s="19"/>
      <c r="Y75" s="19"/>
      <c r="AF75" s="19"/>
      <c r="AM75" s="983"/>
    </row>
    <row r="76" spans="1:67">
      <c r="A76" s="19"/>
      <c r="B76" s="19"/>
      <c r="C76" s="19"/>
      <c r="D76" s="19"/>
      <c r="E76" s="19"/>
      <c r="F76" s="19"/>
      <c r="G76" s="19"/>
      <c r="H76" s="19"/>
      <c r="I76" s="19"/>
      <c r="J76" s="19"/>
      <c r="K76" s="19"/>
      <c r="L76" s="19"/>
      <c r="M76" s="112"/>
      <c r="N76" s="2"/>
      <c r="O76" s="112"/>
      <c r="P76" s="112"/>
      <c r="Q76" s="112"/>
      <c r="R76" s="112"/>
      <c r="S76" s="112"/>
      <c r="T76" s="112"/>
      <c r="U76" s="19"/>
      <c r="V76" s="19"/>
      <c r="W76" s="19"/>
      <c r="X76" s="19"/>
      <c r="Y76" s="19"/>
      <c r="AF76" s="19"/>
    </row>
    <row r="77" spans="1:67">
      <c r="A77" s="19"/>
      <c r="B77" s="19"/>
      <c r="C77" s="19"/>
      <c r="D77" s="19"/>
      <c r="E77" s="19"/>
      <c r="F77" s="19"/>
      <c r="G77" s="19"/>
      <c r="H77" s="19"/>
      <c r="I77" s="112"/>
      <c r="J77" s="112"/>
      <c r="K77" s="112"/>
      <c r="L77" s="112"/>
      <c r="M77" s="112"/>
      <c r="N77" s="112"/>
      <c r="O77" s="112"/>
      <c r="P77" s="112"/>
      <c r="Q77" s="112"/>
      <c r="R77" s="112"/>
      <c r="S77" s="112"/>
      <c r="T77" s="112"/>
      <c r="U77" s="19"/>
      <c r="V77" s="19"/>
      <c r="W77" s="19"/>
      <c r="X77" s="19"/>
      <c r="Y77" s="19"/>
      <c r="AA77" s="137"/>
      <c r="AB77" s="137"/>
      <c r="AC77" s="137"/>
      <c r="AD77" s="179"/>
      <c r="AE77" s="174"/>
      <c r="AF77" s="19"/>
      <c r="AG77" s="180"/>
      <c r="AH77" s="181"/>
      <c r="AI77" s="182"/>
    </row>
    <row r="78" spans="1:67">
      <c r="A78" s="19"/>
      <c r="B78" s="19"/>
      <c r="C78" s="19"/>
      <c r="D78" s="19"/>
      <c r="E78" s="19"/>
      <c r="F78" s="19"/>
      <c r="G78" s="19"/>
      <c r="H78" s="19"/>
      <c r="I78" s="112"/>
      <c r="J78" s="112"/>
      <c r="K78" s="112"/>
      <c r="L78" s="112"/>
      <c r="M78" s="112"/>
      <c r="N78" s="112"/>
      <c r="O78" s="112"/>
      <c r="P78" s="112"/>
      <c r="Q78" s="112"/>
      <c r="R78" s="112"/>
      <c r="S78" s="112"/>
      <c r="T78" s="112"/>
      <c r="U78" s="19"/>
      <c r="V78" s="19"/>
      <c r="W78" s="19"/>
      <c r="X78" s="19"/>
      <c r="Y78" s="19"/>
      <c r="AA78" s="96"/>
      <c r="AB78" s="96"/>
      <c r="AC78" s="96"/>
      <c r="AD78" s="96"/>
      <c r="AE78" s="96"/>
      <c r="AF78" s="97"/>
      <c r="AG78" s="167"/>
      <c r="AH78" s="167"/>
      <c r="AI78" s="167"/>
    </row>
    <row r="79" spans="1:67">
      <c r="A79" s="19"/>
      <c r="B79" s="19"/>
      <c r="C79" s="19"/>
      <c r="D79" s="19"/>
      <c r="E79" s="19"/>
      <c r="F79" s="19"/>
      <c r="G79" s="19"/>
      <c r="H79" s="19"/>
      <c r="I79" s="112"/>
      <c r="J79" s="112"/>
      <c r="K79" s="112"/>
      <c r="L79" s="112"/>
      <c r="M79" s="112"/>
      <c r="N79" s="112"/>
      <c r="O79" s="112"/>
      <c r="P79" s="112"/>
      <c r="Q79" s="112"/>
      <c r="R79" s="112"/>
      <c r="S79" s="112"/>
      <c r="T79" s="112"/>
      <c r="U79" s="19"/>
      <c r="V79" s="19"/>
      <c r="W79" s="19"/>
      <c r="X79" s="19"/>
      <c r="Y79" s="19"/>
      <c r="AA79" s="96"/>
      <c r="AB79" s="96"/>
      <c r="AC79" s="96"/>
      <c r="AD79" s="96"/>
      <c r="AE79" s="96"/>
      <c r="AF79" s="97"/>
      <c r="AG79" s="167"/>
      <c r="AH79" s="167"/>
      <c r="AI79" s="167"/>
    </row>
    <row r="80" spans="1:67" s="40" customFormat="1" ht="11.25" hidden="1" customHeight="1" outlineLevel="1">
      <c r="A80" s="36"/>
      <c r="B80" s="36"/>
      <c r="C80" s="36"/>
      <c r="D80" s="36"/>
      <c r="E80" s="36"/>
      <c r="F80" s="36"/>
      <c r="G80" s="36"/>
      <c r="H80" s="36"/>
      <c r="I80" s="60" t="s">
        <v>80</v>
      </c>
      <c r="J80" s="60"/>
      <c r="K80" s="60"/>
      <c r="L80" s="60"/>
      <c r="M80" s="69"/>
      <c r="N80" s="69"/>
      <c r="O80" s="69"/>
      <c r="P80" s="69"/>
      <c r="Q80" s="69"/>
      <c r="R80" s="69"/>
      <c r="S80" s="69"/>
      <c r="T80" s="69"/>
      <c r="U80" s="69"/>
      <c r="V80" s="69"/>
      <c r="W80" s="69"/>
      <c r="X80" s="69"/>
      <c r="Y80" s="69"/>
      <c r="Z80" s="1178"/>
      <c r="AA80" s="69"/>
      <c r="AB80" s="69"/>
      <c r="AC80" s="69"/>
      <c r="AD80" s="69"/>
      <c r="AE80" s="69"/>
      <c r="AF80" s="69"/>
      <c r="AG80" s="69"/>
      <c r="AH80" s="69"/>
      <c r="AI80" s="69"/>
      <c r="AJ80" s="69"/>
      <c r="AK80" s="69"/>
      <c r="AL80" s="69"/>
      <c r="AM80" s="69"/>
      <c r="AN80" s="69"/>
      <c r="AO80" s="69"/>
      <c r="AP80" s="69"/>
      <c r="AQ80" s="69"/>
      <c r="AR80" s="69"/>
      <c r="AS80" s="69"/>
      <c r="AT80" s="69"/>
      <c r="AU80" s="69"/>
      <c r="AV80" s="69"/>
      <c r="AW80" s="69"/>
      <c r="AX80" s="69"/>
      <c r="AY80" s="69"/>
      <c r="AZ80" s="69"/>
      <c r="BA80" s="69"/>
      <c r="BB80" s="69"/>
      <c r="BC80" s="69"/>
      <c r="BD80" s="69"/>
      <c r="BE80" s="69"/>
      <c r="BF80" s="69"/>
      <c r="BG80" s="69"/>
      <c r="BH80" s="69"/>
      <c r="BI80" s="36"/>
      <c r="BJ80" s="36"/>
      <c r="BK80" s="36"/>
      <c r="BL80" s="36"/>
      <c r="BM80" s="36"/>
      <c r="BN80" s="36"/>
      <c r="BO80" s="36"/>
    </row>
    <row r="81" spans="1:35" hidden="1" outlineLevel="1">
      <c r="A81" s="19"/>
      <c r="B81" s="19"/>
      <c r="C81" s="19"/>
      <c r="D81" s="19"/>
      <c r="E81" s="19"/>
      <c r="F81" s="19"/>
      <c r="G81" s="19"/>
      <c r="H81" s="19"/>
      <c r="I81" s="148">
        <v>1</v>
      </c>
      <c r="J81" s="149" t="str">
        <f>+VLOOKUP(model_case,$I$82:$J$84,COUNTA($I$82:$J$82),)</f>
        <v>Base Case</v>
      </c>
      <c r="K81" s="112"/>
      <c r="L81" s="112"/>
      <c r="M81" s="112"/>
      <c r="N81" s="112"/>
      <c r="O81" s="112"/>
      <c r="P81" s="112"/>
      <c r="Q81" s="112"/>
      <c r="R81" s="112"/>
      <c r="S81" s="112"/>
      <c r="T81" s="112"/>
      <c r="U81" s="112"/>
      <c r="V81" s="112"/>
      <c r="W81" s="112"/>
      <c r="X81" s="112"/>
      <c r="Y81" s="112"/>
      <c r="Z81" s="1179"/>
      <c r="AA81" s="2"/>
      <c r="AB81" s="2"/>
      <c r="AC81" s="2"/>
      <c r="AD81" s="2"/>
      <c r="AE81" s="172"/>
      <c r="AF81" s="92"/>
      <c r="AG81" s="2"/>
      <c r="AH81" s="2"/>
      <c r="AI81" s="173"/>
    </row>
    <row r="82" spans="1:35" hidden="1" outlineLevel="1">
      <c r="A82" s="19"/>
      <c r="B82" s="19"/>
      <c r="C82" s="19"/>
      <c r="D82" s="19"/>
      <c r="E82" s="19"/>
      <c r="F82" s="19"/>
      <c r="G82" s="19"/>
      <c r="H82" s="19"/>
      <c r="I82" s="150">
        <v>1</v>
      </c>
      <c r="J82" s="150" t="s">
        <v>141</v>
      </c>
      <c r="K82" s="112"/>
      <c r="L82" s="112"/>
      <c r="M82" s="112"/>
      <c r="N82" s="112"/>
      <c r="O82" s="112"/>
      <c r="P82" s="112"/>
      <c r="Q82" s="112"/>
      <c r="R82" s="112"/>
      <c r="S82" s="112"/>
      <c r="T82" s="112"/>
      <c r="U82" s="112"/>
      <c r="V82" s="112"/>
      <c r="W82" s="112"/>
      <c r="X82" s="112"/>
      <c r="Y82" s="112"/>
      <c r="AA82" s="137"/>
      <c r="AB82" s="137"/>
      <c r="AC82" s="137"/>
      <c r="AD82" s="174"/>
      <c r="AE82" s="175"/>
      <c r="AF82" s="92"/>
      <c r="AG82" s="137"/>
      <c r="AH82" s="174"/>
      <c r="AI82" s="176"/>
    </row>
    <row r="83" spans="1:35" hidden="1" outlineLevel="1">
      <c r="A83" s="19"/>
      <c r="B83" s="19"/>
      <c r="C83" s="19"/>
      <c r="D83" s="19"/>
      <c r="E83" s="19"/>
      <c r="F83" s="19"/>
      <c r="G83" s="19"/>
      <c r="H83" s="19"/>
      <c r="I83" s="150">
        <v>2</v>
      </c>
      <c r="J83" s="150" t="s">
        <v>142</v>
      </c>
      <c r="K83" s="112"/>
      <c r="L83" s="112"/>
      <c r="M83" s="112"/>
      <c r="N83" s="112"/>
      <c r="O83" s="112"/>
      <c r="P83" s="112"/>
      <c r="Q83" s="112"/>
      <c r="R83" s="112"/>
      <c r="S83" s="112"/>
      <c r="T83" s="112"/>
      <c r="U83" s="112"/>
      <c r="V83" s="112"/>
      <c r="W83" s="112"/>
      <c r="X83" s="112"/>
      <c r="Y83" s="112"/>
      <c r="AA83" s="137"/>
      <c r="AB83" s="137"/>
      <c r="AC83" s="137"/>
      <c r="AD83" s="174"/>
      <c r="AE83" s="175"/>
      <c r="AF83" s="92"/>
      <c r="AG83" s="137"/>
      <c r="AH83" s="174"/>
      <c r="AI83" s="176"/>
    </row>
    <row r="84" spans="1:35" hidden="1" outlineLevel="1">
      <c r="A84" s="19"/>
      <c r="B84" s="19"/>
      <c r="C84" s="19"/>
      <c r="D84" s="19"/>
      <c r="E84" s="19"/>
      <c r="F84" s="19"/>
      <c r="G84" s="19"/>
      <c r="H84" s="19"/>
      <c r="I84" s="150">
        <v>3</v>
      </c>
      <c r="J84" s="150" t="s">
        <v>143</v>
      </c>
      <c r="K84" s="112"/>
      <c r="L84" s="112"/>
      <c r="M84" s="112"/>
      <c r="N84" s="112"/>
      <c r="O84" s="112"/>
      <c r="P84" s="112"/>
      <c r="Q84" s="112"/>
      <c r="R84" s="112"/>
      <c r="S84" s="112"/>
      <c r="T84" s="112"/>
      <c r="U84" s="112"/>
      <c r="V84" s="112"/>
      <c r="W84" s="112"/>
      <c r="X84" s="112"/>
      <c r="Y84" s="112"/>
      <c r="AA84" s="137"/>
      <c r="AB84" s="137"/>
      <c r="AC84" s="137"/>
      <c r="AD84" s="174"/>
      <c r="AE84" s="175"/>
      <c r="AF84" s="92"/>
      <c r="AG84" s="137"/>
      <c r="AH84" s="174"/>
      <c r="AI84" s="176"/>
    </row>
    <row r="85" spans="1:35" hidden="1" outlineLevel="1">
      <c r="A85" s="19"/>
      <c r="B85" s="19"/>
      <c r="C85" s="19"/>
      <c r="D85" s="19"/>
      <c r="E85" s="19"/>
      <c r="F85" s="19"/>
      <c r="G85" s="19"/>
      <c r="H85" s="19"/>
      <c r="I85" s="112"/>
      <c r="J85" s="112"/>
      <c r="K85" s="112"/>
      <c r="L85" s="112"/>
      <c r="M85" s="112"/>
      <c r="N85" s="112"/>
      <c r="O85" s="112"/>
      <c r="P85" s="112"/>
      <c r="Q85" s="112"/>
      <c r="R85" s="112"/>
      <c r="S85" s="112"/>
      <c r="T85" s="112"/>
      <c r="U85" s="112"/>
      <c r="V85" s="112"/>
      <c r="W85" s="112"/>
      <c r="X85" s="112"/>
      <c r="Y85" s="112"/>
      <c r="AA85" s="92"/>
      <c r="AB85" s="92"/>
      <c r="AC85" s="92"/>
      <c r="AD85" s="92"/>
      <c r="AE85" s="92"/>
      <c r="AF85" s="92"/>
      <c r="AG85" s="92"/>
      <c r="AH85" s="92"/>
      <c r="AI85" s="92"/>
    </row>
    <row r="86" spans="1:35" hidden="1" outlineLevel="1">
      <c r="A86" s="19"/>
      <c r="B86" s="19"/>
      <c r="C86" s="19"/>
      <c r="D86" s="19"/>
      <c r="E86" s="19"/>
      <c r="F86" s="19"/>
      <c r="G86" s="19"/>
      <c r="H86" s="19"/>
      <c r="I86" s="2"/>
      <c r="J86" s="2"/>
      <c r="K86" s="2"/>
      <c r="L86" s="2"/>
      <c r="M86" s="2"/>
      <c r="N86" s="152"/>
      <c r="O86" s="152" t="s">
        <v>163</v>
      </c>
      <c r="P86" s="152"/>
      <c r="Q86" s="152" t="s">
        <v>164</v>
      </c>
      <c r="R86" s="152" t="s">
        <v>103</v>
      </c>
      <c r="S86" s="152" t="s">
        <v>165</v>
      </c>
      <c r="T86" s="152"/>
      <c r="U86" s="152" t="s">
        <v>166</v>
      </c>
      <c r="V86" s="112"/>
      <c r="W86" s="112"/>
      <c r="X86" s="112"/>
      <c r="Y86" s="112"/>
      <c r="AA86" s="2"/>
      <c r="AB86" s="2"/>
      <c r="AC86" s="2"/>
      <c r="AD86" s="2"/>
      <c r="AE86" s="2"/>
      <c r="AF86" s="92"/>
      <c r="AG86" s="2"/>
      <c r="AH86" s="2"/>
      <c r="AI86" s="173"/>
    </row>
    <row r="87" spans="1:35" hidden="1" outlineLevel="1">
      <c r="A87" s="19"/>
      <c r="B87" s="19"/>
      <c r="C87" s="19"/>
      <c r="D87" s="19"/>
      <c r="E87" s="19"/>
      <c r="F87" s="19"/>
      <c r="G87" s="19"/>
      <c r="H87" s="19"/>
      <c r="I87" s="126" t="s">
        <v>167</v>
      </c>
      <c r="J87" s="126"/>
      <c r="K87" s="126"/>
      <c r="L87" s="126"/>
      <c r="M87" s="126"/>
      <c r="N87" s="154" t="s">
        <v>168</v>
      </c>
      <c r="O87" s="154" t="s">
        <v>169</v>
      </c>
      <c r="P87" s="154" t="s">
        <v>170</v>
      </c>
      <c r="Q87" s="154" t="s">
        <v>171</v>
      </c>
      <c r="R87" s="154" t="s">
        <v>172</v>
      </c>
      <c r="S87" s="154" t="s">
        <v>173</v>
      </c>
      <c r="T87" s="154" t="s">
        <v>174</v>
      </c>
      <c r="U87" s="154" t="s">
        <v>175</v>
      </c>
      <c r="V87" s="112"/>
      <c r="W87" s="112"/>
      <c r="X87" s="112"/>
      <c r="Y87" s="112"/>
      <c r="AA87" s="2"/>
      <c r="AB87" s="2"/>
      <c r="AC87" s="2"/>
      <c r="AD87" s="2"/>
      <c r="AE87" s="2"/>
      <c r="AF87" s="92"/>
      <c r="AG87" s="137"/>
      <c r="AH87" s="174"/>
      <c r="AI87" s="176"/>
    </row>
    <row r="88" spans="1:35" hidden="1" outlineLevel="1">
      <c r="A88" s="19"/>
      <c r="B88" s="19"/>
      <c r="C88" s="19"/>
      <c r="D88" s="19"/>
      <c r="E88" s="19"/>
      <c r="F88" s="19"/>
      <c r="G88" s="19"/>
      <c r="H88" s="19"/>
      <c r="I88" s="112" t="s">
        <v>176</v>
      </c>
      <c r="J88" s="112"/>
      <c r="K88" s="112"/>
      <c r="L88" s="112"/>
      <c r="M88" s="112"/>
      <c r="N88" s="153">
        <v>0</v>
      </c>
      <c r="O88" s="155">
        <v>0</v>
      </c>
      <c r="P88" s="156">
        <f t="shared" ref="P88:P94" si="24">+N88*O88</f>
        <v>0</v>
      </c>
      <c r="Q88" s="127">
        <f>+$L$38+P88</f>
        <v>5053.1928983012849</v>
      </c>
      <c r="R88" s="151">
        <f>+$AE$89+$AE$91+N88</f>
        <v>0</v>
      </c>
      <c r="S88" s="243" t="str">
        <f>IF(ISERROR(Q88/R88),"NM",Q88/R88)</f>
        <v>NM</v>
      </c>
      <c r="T88" s="157">
        <f t="shared" ref="T88:T94" si="25">+IF(S88&gt;O88,1,0)</f>
        <v>1</v>
      </c>
      <c r="U88" s="244" t="str">
        <f>IF(ISERROR((N88-P88/S$95)*T88),"NM",(N88-P88/S$95)*T88)</f>
        <v>NM</v>
      </c>
      <c r="V88" s="112"/>
      <c r="W88" s="112"/>
      <c r="X88" s="112"/>
      <c r="Y88" s="112"/>
      <c r="AA88" s="137"/>
      <c r="AB88" s="137"/>
      <c r="AC88" s="137"/>
      <c r="AD88" s="137"/>
      <c r="AE88" s="137"/>
      <c r="AF88" s="92"/>
      <c r="AG88" s="137"/>
      <c r="AH88" s="174"/>
      <c r="AI88" s="176"/>
    </row>
    <row r="89" spans="1:35" hidden="1" outlineLevel="1">
      <c r="A89" s="19"/>
      <c r="B89" s="19"/>
      <c r="C89" s="19"/>
      <c r="D89" s="19"/>
      <c r="E89" s="19"/>
      <c r="F89" s="19"/>
      <c r="G89" s="19"/>
      <c r="H89" s="19"/>
      <c r="I89" s="112" t="s">
        <v>177</v>
      </c>
      <c r="J89" s="112"/>
      <c r="K89" s="112"/>
      <c r="L89" s="112"/>
      <c r="M89" s="112"/>
      <c r="N89" s="153">
        <v>0</v>
      </c>
      <c r="O89" s="158">
        <v>0</v>
      </c>
      <c r="P89" s="151">
        <f t="shared" si="24"/>
        <v>0</v>
      </c>
      <c r="Q89" s="122">
        <f t="shared" ref="Q89:Q94" si="26">+P89+Q88</f>
        <v>5053.1928983012849</v>
      </c>
      <c r="R89" s="151">
        <f t="shared" ref="R89:R94" si="27">+N89+R88</f>
        <v>0</v>
      </c>
      <c r="S89" s="243" t="str">
        <f t="shared" ref="S89:S94" si="28">IF(ISERROR(Q89/R89),"NM",Q89/R89)</f>
        <v>NM</v>
      </c>
      <c r="T89" s="157">
        <f t="shared" si="25"/>
        <v>1</v>
      </c>
      <c r="U89" s="244" t="str">
        <f t="shared" ref="U89:U94" si="29">IF(ISERROR((N89-P89/S$95)*T89),"NM",(N89-P89/S$95)*T89)</f>
        <v>NM</v>
      </c>
      <c r="V89" s="112"/>
      <c r="W89" s="112"/>
      <c r="X89" s="112"/>
      <c r="Y89" s="112"/>
      <c r="Z89" s="1179"/>
      <c r="AA89" s="137"/>
      <c r="AB89" s="137"/>
      <c r="AC89" s="137"/>
      <c r="AD89" s="137"/>
      <c r="AE89" s="177"/>
      <c r="AF89" s="92"/>
      <c r="AG89" s="137"/>
      <c r="AH89" s="174"/>
      <c r="AI89" s="176"/>
    </row>
    <row r="90" spans="1:35" hidden="1" outlineLevel="1">
      <c r="A90" s="19"/>
      <c r="B90" s="19"/>
      <c r="C90" s="19"/>
      <c r="D90" s="19"/>
      <c r="E90" s="19"/>
      <c r="F90" s="19"/>
      <c r="G90" s="19"/>
      <c r="H90" s="19"/>
      <c r="I90" s="112" t="s">
        <v>178</v>
      </c>
      <c r="J90" s="112"/>
      <c r="K90" s="112"/>
      <c r="L90" s="112"/>
      <c r="M90" s="112"/>
      <c r="N90" s="153">
        <v>0</v>
      </c>
      <c r="O90" s="158">
        <v>0</v>
      </c>
      <c r="P90" s="151">
        <f t="shared" si="24"/>
        <v>0</v>
      </c>
      <c r="Q90" s="122">
        <f t="shared" si="26"/>
        <v>5053.1928983012849</v>
      </c>
      <c r="R90" s="151">
        <f t="shared" si="27"/>
        <v>0</v>
      </c>
      <c r="S90" s="243" t="str">
        <f t="shared" si="28"/>
        <v>NM</v>
      </c>
      <c r="T90" s="157">
        <f t="shared" si="25"/>
        <v>1</v>
      </c>
      <c r="U90" s="244" t="str">
        <f t="shared" si="29"/>
        <v>NM</v>
      </c>
      <c r="V90" s="112"/>
      <c r="W90" s="112"/>
      <c r="X90" s="112"/>
      <c r="Y90" s="112"/>
      <c r="Z90" s="1179"/>
      <c r="AA90" s="137"/>
      <c r="AB90" s="137"/>
      <c r="AC90" s="137"/>
      <c r="AD90" s="137"/>
      <c r="AE90" s="177"/>
      <c r="AF90" s="92"/>
      <c r="AG90" s="92"/>
      <c r="AH90" s="92"/>
      <c r="AI90" s="92"/>
    </row>
    <row r="91" spans="1:35" hidden="1" outlineLevel="1">
      <c r="A91" s="19"/>
      <c r="B91" s="19"/>
      <c r="C91" s="19"/>
      <c r="D91" s="19"/>
      <c r="E91" s="19"/>
      <c r="F91" s="19"/>
      <c r="G91" s="19"/>
      <c r="H91" s="19"/>
      <c r="I91" s="112" t="s">
        <v>179</v>
      </c>
      <c r="J91" s="112"/>
      <c r="K91" s="112"/>
      <c r="L91" s="112"/>
      <c r="M91" s="112"/>
      <c r="N91" s="153">
        <v>0</v>
      </c>
      <c r="O91" s="158">
        <v>0</v>
      </c>
      <c r="P91" s="151">
        <f t="shared" si="24"/>
        <v>0</v>
      </c>
      <c r="Q91" s="122">
        <f t="shared" si="26"/>
        <v>5053.1928983012849</v>
      </c>
      <c r="R91" s="151">
        <f t="shared" si="27"/>
        <v>0</v>
      </c>
      <c r="S91" s="243" t="str">
        <f t="shared" si="28"/>
        <v>NM</v>
      </c>
      <c r="T91" s="157">
        <f t="shared" si="25"/>
        <v>1</v>
      </c>
      <c r="U91" s="244" t="str">
        <f t="shared" si="29"/>
        <v>NM</v>
      </c>
      <c r="V91" s="112"/>
      <c r="W91" s="112"/>
      <c r="X91" s="112"/>
      <c r="Y91" s="112"/>
      <c r="Z91" s="1179"/>
      <c r="AA91" s="137"/>
      <c r="AB91" s="137"/>
      <c r="AC91" s="137"/>
      <c r="AD91" s="137"/>
      <c r="AE91" s="177"/>
      <c r="AF91" s="92"/>
      <c r="AG91" s="92"/>
      <c r="AH91" s="92"/>
      <c r="AI91" s="92"/>
    </row>
    <row r="92" spans="1:35" hidden="1" outlineLevel="1">
      <c r="A92" s="19"/>
      <c r="B92" s="19"/>
      <c r="C92" s="19"/>
      <c r="D92" s="19"/>
      <c r="E92" s="19"/>
      <c r="F92" s="19"/>
      <c r="G92" s="19"/>
      <c r="H92" s="19"/>
      <c r="I92" s="112" t="s">
        <v>180</v>
      </c>
      <c r="J92" s="112"/>
      <c r="K92" s="112"/>
      <c r="L92" s="112"/>
      <c r="M92" s="112"/>
      <c r="N92" s="153">
        <v>0</v>
      </c>
      <c r="O92" s="158">
        <v>0</v>
      </c>
      <c r="P92" s="151">
        <f t="shared" si="24"/>
        <v>0</v>
      </c>
      <c r="Q92" s="122">
        <f t="shared" si="26"/>
        <v>5053.1928983012849</v>
      </c>
      <c r="R92" s="151">
        <f t="shared" si="27"/>
        <v>0</v>
      </c>
      <c r="S92" s="243" t="str">
        <f t="shared" si="28"/>
        <v>NM</v>
      </c>
      <c r="T92" s="157">
        <f t="shared" si="25"/>
        <v>1</v>
      </c>
      <c r="U92" s="244" t="str">
        <f t="shared" si="29"/>
        <v>NM</v>
      </c>
      <c r="V92" s="112"/>
      <c r="W92" s="112"/>
      <c r="X92" s="112"/>
      <c r="Y92" s="112"/>
      <c r="Z92" s="1179"/>
      <c r="AA92" s="168"/>
      <c r="AB92" s="168"/>
      <c r="AC92" s="168"/>
      <c r="AD92" s="168"/>
      <c r="AE92" s="171"/>
      <c r="AF92" s="97"/>
      <c r="AG92" s="97"/>
      <c r="AH92" s="97"/>
      <c r="AI92" s="97"/>
    </row>
    <row r="93" spans="1:35" hidden="1" outlineLevel="1">
      <c r="A93" s="19"/>
      <c r="B93" s="19"/>
      <c r="C93" s="19"/>
      <c r="D93" s="19"/>
      <c r="E93" s="19"/>
      <c r="F93" s="19"/>
      <c r="G93" s="19"/>
      <c r="H93" s="19"/>
      <c r="I93" s="112" t="s">
        <v>181</v>
      </c>
      <c r="J93" s="112"/>
      <c r="K93" s="112"/>
      <c r="L93" s="112"/>
      <c r="M93" s="112"/>
      <c r="N93" s="153">
        <v>0</v>
      </c>
      <c r="O93" s="158">
        <v>0</v>
      </c>
      <c r="P93" s="151">
        <f t="shared" si="24"/>
        <v>0</v>
      </c>
      <c r="Q93" s="122">
        <f t="shared" si="26"/>
        <v>5053.1928983012849</v>
      </c>
      <c r="R93" s="151">
        <f t="shared" si="27"/>
        <v>0</v>
      </c>
      <c r="S93" s="243" t="str">
        <f t="shared" si="28"/>
        <v>NM</v>
      </c>
      <c r="T93" s="157">
        <f t="shared" si="25"/>
        <v>1</v>
      </c>
      <c r="U93" s="244" t="str">
        <f t="shared" si="29"/>
        <v>NM</v>
      </c>
      <c r="V93" s="112"/>
      <c r="W93" s="112"/>
      <c r="X93" s="112"/>
      <c r="Y93" s="112"/>
      <c r="Z93" s="1179"/>
      <c r="AA93" s="97"/>
      <c r="AB93" s="97"/>
      <c r="AC93" s="97"/>
      <c r="AD93" s="97"/>
      <c r="AE93" s="97"/>
      <c r="AF93" s="97"/>
      <c r="AG93" s="97"/>
      <c r="AH93" s="97"/>
      <c r="AI93" s="97"/>
    </row>
    <row r="94" spans="1:35" hidden="1" outlineLevel="1">
      <c r="A94" s="19"/>
      <c r="B94" s="19"/>
      <c r="C94" s="19"/>
      <c r="D94" s="19"/>
      <c r="E94" s="19"/>
      <c r="F94" s="19"/>
      <c r="G94" s="19"/>
      <c r="H94" s="19"/>
      <c r="I94" s="112" t="s">
        <v>182</v>
      </c>
      <c r="J94" s="112"/>
      <c r="K94" s="112"/>
      <c r="L94" s="112"/>
      <c r="M94" s="112"/>
      <c r="N94" s="153">
        <v>0</v>
      </c>
      <c r="O94" s="158">
        <v>0</v>
      </c>
      <c r="P94" s="151">
        <f t="shared" si="24"/>
        <v>0</v>
      </c>
      <c r="Q94" s="122">
        <f t="shared" si="26"/>
        <v>5053.1928983012849</v>
      </c>
      <c r="R94" s="151">
        <f t="shared" si="27"/>
        <v>0</v>
      </c>
      <c r="S94" s="243" t="str">
        <f t="shared" si="28"/>
        <v>NM</v>
      </c>
      <c r="T94" s="157">
        <f t="shared" si="25"/>
        <v>1</v>
      </c>
      <c r="U94" s="244" t="str">
        <f t="shared" si="29"/>
        <v>NM</v>
      </c>
      <c r="V94" s="112"/>
      <c r="W94" s="112"/>
      <c r="X94" s="112"/>
      <c r="Y94" s="112"/>
      <c r="Z94" s="1179"/>
      <c r="AA94" s="96"/>
      <c r="AB94" s="96"/>
      <c r="AC94" s="96"/>
      <c r="AD94" s="96"/>
      <c r="AE94" s="97"/>
      <c r="AF94" s="97"/>
      <c r="AG94" s="97"/>
      <c r="AH94" s="97"/>
      <c r="AI94" s="97"/>
    </row>
    <row r="95" spans="1:35" hidden="1" outlineLevel="1">
      <c r="A95" s="19"/>
      <c r="B95" s="19"/>
      <c r="C95" s="19"/>
      <c r="D95" s="19"/>
      <c r="E95" s="19"/>
      <c r="F95" s="19"/>
      <c r="G95" s="19"/>
      <c r="H95" s="19"/>
      <c r="I95" s="4" t="s">
        <v>183</v>
      </c>
      <c r="J95" s="4"/>
      <c r="K95" s="4"/>
      <c r="L95" s="4"/>
      <c r="M95" s="112"/>
      <c r="N95" s="159">
        <f>+SUM(N88:N94)</f>
        <v>0</v>
      </c>
      <c r="O95" s="160"/>
      <c r="P95" s="161">
        <f>+SUM(P88:P94)</f>
        <v>0</v>
      </c>
      <c r="Q95" s="4"/>
      <c r="R95" s="4"/>
      <c r="S95" s="160">
        <f t="array" ref="S95">+MIN(IF(T88:T94,S88:S94))</f>
        <v>0</v>
      </c>
      <c r="T95" s="4"/>
      <c r="U95" s="162">
        <f>+SUM(U88:U94)</f>
        <v>0</v>
      </c>
      <c r="V95" s="112"/>
      <c r="W95" s="112"/>
      <c r="X95" s="112"/>
      <c r="Y95" s="112"/>
      <c r="Z95" s="1179"/>
      <c r="AA95" s="96"/>
      <c r="AB95" s="96"/>
      <c r="AC95" s="96"/>
      <c r="AD95" s="96"/>
      <c r="AE95" s="97"/>
      <c r="AF95" s="97"/>
      <c r="AG95" s="97"/>
      <c r="AH95" s="97"/>
      <c r="AI95" s="97"/>
    </row>
    <row r="96" spans="1:35" hidden="1" outlineLevel="1">
      <c r="A96" s="19"/>
      <c r="B96" s="19"/>
      <c r="C96" s="19"/>
      <c r="D96" s="19"/>
      <c r="E96" s="19"/>
      <c r="F96" s="19"/>
      <c r="G96" s="19"/>
      <c r="H96" s="19"/>
      <c r="I96" s="112"/>
      <c r="J96" s="112"/>
      <c r="K96" s="112"/>
      <c r="L96" s="112"/>
      <c r="M96" s="112"/>
      <c r="N96" s="112"/>
      <c r="O96" s="112"/>
      <c r="P96" s="112"/>
      <c r="Q96" s="112"/>
      <c r="R96" s="112"/>
      <c r="S96" s="112"/>
      <c r="T96" s="112"/>
      <c r="U96" s="112"/>
      <c r="V96" s="112"/>
      <c r="W96" s="112"/>
      <c r="X96" s="112"/>
      <c r="Y96" s="112"/>
      <c r="Z96" s="1179"/>
      <c r="AA96" s="96"/>
      <c r="AB96" s="96"/>
      <c r="AC96" s="96"/>
      <c r="AD96" s="96"/>
      <c r="AE96" s="97"/>
      <c r="AF96" s="97"/>
      <c r="AG96" s="97"/>
      <c r="AH96" s="97"/>
      <c r="AI96" s="97"/>
    </row>
    <row r="97" spans="1:35" hidden="1" outlineLevel="1">
      <c r="A97" s="19"/>
      <c r="B97" s="19"/>
      <c r="C97" s="19"/>
      <c r="D97" s="19"/>
      <c r="E97" s="19"/>
      <c r="F97" s="19"/>
      <c r="G97" s="19"/>
      <c r="H97" s="19"/>
      <c r="I97" s="126" t="s">
        <v>184</v>
      </c>
      <c r="J97" s="126"/>
      <c r="K97" s="126"/>
      <c r="L97" s="126"/>
      <c r="M97" s="126"/>
      <c r="N97" s="126"/>
      <c r="O97" s="126"/>
      <c r="P97" s="126"/>
      <c r="Q97" s="126"/>
      <c r="R97" s="126"/>
      <c r="S97" s="126"/>
      <c r="T97" s="126"/>
      <c r="U97" s="126"/>
      <c r="V97" s="126"/>
      <c r="W97" s="126"/>
      <c r="X97" s="126"/>
      <c r="Y97" s="112"/>
      <c r="Z97" s="1179"/>
      <c r="AA97" s="96"/>
      <c r="AB97" s="96"/>
      <c r="AC97" s="96"/>
      <c r="AD97" s="96"/>
      <c r="AE97" s="97"/>
      <c r="AF97" s="97"/>
      <c r="AG97" s="97"/>
      <c r="AH97" s="97"/>
      <c r="AI97" s="97"/>
    </row>
    <row r="98" spans="1:35" hidden="1" outlineLevel="1">
      <c r="A98" s="19"/>
      <c r="B98" s="112" t="s">
        <v>223</v>
      </c>
      <c r="C98" s="112">
        <v>0</v>
      </c>
      <c r="D98" s="112" t="s">
        <v>215</v>
      </c>
      <c r="E98" s="112" t="b">
        <v>0</v>
      </c>
      <c r="F98" s="19"/>
      <c r="G98" s="19"/>
      <c r="H98" s="19"/>
      <c r="I98" s="112" t="s">
        <v>185</v>
      </c>
      <c r="J98" s="112"/>
      <c r="K98" s="112"/>
      <c r="L98" s="112"/>
      <c r="M98" s="120">
        <f t="shared" ref="M98:X98" si="30">+$L$49</f>
        <v>7.9649999999999999E-2</v>
      </c>
      <c r="N98" s="120">
        <f t="shared" si="30"/>
        <v>7.9649999999999999E-2</v>
      </c>
      <c r="O98" s="120">
        <f t="shared" si="30"/>
        <v>7.9649999999999999E-2</v>
      </c>
      <c r="P98" s="120">
        <f t="shared" si="30"/>
        <v>7.9649999999999999E-2</v>
      </c>
      <c r="Q98" s="120">
        <f t="shared" si="30"/>
        <v>7.9649999999999999E-2</v>
      </c>
      <c r="R98" s="120">
        <f t="shared" si="30"/>
        <v>7.9649999999999999E-2</v>
      </c>
      <c r="S98" s="120">
        <f t="shared" si="30"/>
        <v>7.9649999999999999E-2</v>
      </c>
      <c r="T98" s="120">
        <f t="shared" si="30"/>
        <v>7.9649999999999999E-2</v>
      </c>
      <c r="U98" s="120">
        <f t="shared" si="30"/>
        <v>7.9649999999999999E-2</v>
      </c>
      <c r="V98" s="120">
        <f t="shared" si="30"/>
        <v>7.9649999999999999E-2</v>
      </c>
      <c r="W98" s="120">
        <f t="shared" si="30"/>
        <v>7.9649999999999999E-2</v>
      </c>
      <c r="X98" s="120">
        <f t="shared" si="30"/>
        <v>7.9649999999999999E-2</v>
      </c>
      <c r="Y98" s="112"/>
      <c r="Z98" s="1179"/>
      <c r="AA98" s="96"/>
      <c r="AB98" s="96"/>
      <c r="AC98" s="96"/>
      <c r="AD98" s="96"/>
      <c r="AE98" s="97"/>
      <c r="AF98" s="97"/>
      <c r="AG98" s="97"/>
      <c r="AH98" s="97"/>
      <c r="AI98" s="97"/>
    </row>
    <row r="99" spans="1:35" hidden="1" outlineLevel="1">
      <c r="A99" s="19"/>
      <c r="B99" s="112"/>
      <c r="C99" s="112"/>
      <c r="D99" s="112"/>
      <c r="E99" s="112"/>
      <c r="F99" s="19"/>
      <c r="G99" s="19"/>
      <c r="H99" s="19"/>
      <c r="I99" s="112"/>
      <c r="J99" s="112"/>
      <c r="K99" s="112"/>
      <c r="L99" s="112"/>
      <c r="M99" s="112"/>
      <c r="N99" s="112"/>
      <c r="O99" s="112"/>
      <c r="P99" s="112"/>
      <c r="Q99" s="112"/>
      <c r="R99" s="112"/>
      <c r="S99" s="112"/>
      <c r="T99" s="112"/>
      <c r="U99" s="112"/>
      <c r="V99" s="112"/>
      <c r="W99" s="112"/>
      <c r="X99" s="112"/>
      <c r="Y99" s="112"/>
      <c r="Z99" s="1179"/>
      <c r="AA99" s="96"/>
      <c r="AB99" s="96"/>
      <c r="AC99" s="96"/>
      <c r="AD99" s="96"/>
      <c r="AE99" s="97"/>
      <c r="AF99" s="97"/>
      <c r="AG99" s="97"/>
      <c r="AH99" s="97"/>
      <c r="AI99" s="97"/>
    </row>
    <row r="100" spans="1:35" hidden="1" outlineLevel="1">
      <c r="A100" s="19"/>
      <c r="B100" s="112"/>
      <c r="C100" s="112"/>
      <c r="D100" s="112"/>
      <c r="E100" s="112"/>
      <c r="F100" s="19"/>
      <c r="G100" s="19"/>
      <c r="H100" s="19"/>
      <c r="I100" s="163" t="s">
        <v>162</v>
      </c>
      <c r="J100" s="163"/>
      <c r="K100" s="163"/>
      <c r="L100" s="163"/>
      <c r="M100" s="163"/>
      <c r="N100" s="163"/>
      <c r="O100" s="163"/>
      <c r="P100" s="163"/>
      <c r="Q100" s="163"/>
      <c r="R100" s="163"/>
      <c r="S100" s="163"/>
      <c r="T100" s="163"/>
      <c r="U100" s="163"/>
      <c r="V100" s="163"/>
      <c r="W100" s="163"/>
      <c r="X100" s="163"/>
      <c r="Y100" s="112"/>
      <c r="Z100" s="1179"/>
      <c r="AA100" s="96"/>
      <c r="AB100" s="96"/>
      <c r="AC100" s="96"/>
      <c r="AD100" s="96"/>
      <c r="AE100" s="97"/>
      <c r="AF100" s="97"/>
      <c r="AG100" s="97"/>
      <c r="AH100" s="97"/>
      <c r="AI100" s="97"/>
    </row>
    <row r="101" spans="1:35" hidden="1" outlineLevel="1">
      <c r="A101" s="19"/>
      <c r="B101" s="112" t="s">
        <v>224</v>
      </c>
      <c r="C101" s="112">
        <v>0</v>
      </c>
      <c r="D101" s="112" t="s">
        <v>215</v>
      </c>
      <c r="E101" s="112" t="b">
        <v>0</v>
      </c>
      <c r="F101" s="19"/>
      <c r="G101" s="19"/>
      <c r="H101" s="19"/>
      <c r="I101" s="111" t="s">
        <v>141</v>
      </c>
      <c r="J101" s="112"/>
      <c r="K101" s="112"/>
      <c r="L101" s="112"/>
      <c r="M101" s="164"/>
      <c r="N101" s="164"/>
      <c r="O101" s="164"/>
      <c r="P101" s="164"/>
      <c r="Q101" s="164"/>
      <c r="R101" s="164"/>
      <c r="S101" s="164"/>
      <c r="T101" s="164"/>
      <c r="U101" s="164"/>
      <c r="V101" s="164"/>
      <c r="W101" s="164"/>
      <c r="X101" s="164"/>
      <c r="Y101" s="112"/>
      <c r="Z101" s="1179"/>
      <c r="AA101" s="96"/>
      <c r="AB101" s="96"/>
      <c r="AC101" s="96"/>
      <c r="AD101" s="96"/>
      <c r="AE101" s="97"/>
      <c r="AF101" s="97"/>
      <c r="AG101" s="97"/>
      <c r="AH101" s="97"/>
      <c r="AI101" s="97"/>
    </row>
    <row r="102" spans="1:35" hidden="1" outlineLevel="1">
      <c r="A102" s="19"/>
      <c r="B102" s="112" t="s">
        <v>225</v>
      </c>
      <c r="C102" s="112">
        <v>0</v>
      </c>
      <c r="D102" s="112" t="s">
        <v>215</v>
      </c>
      <c r="E102" s="112" t="b">
        <v>0</v>
      </c>
      <c r="F102" s="19"/>
      <c r="G102" s="19"/>
      <c r="H102" s="19"/>
      <c r="I102" s="111" t="s">
        <v>142</v>
      </c>
      <c r="J102" s="112"/>
      <c r="K102" s="112"/>
      <c r="L102" s="112"/>
      <c r="M102" s="164"/>
      <c r="N102" s="164"/>
      <c r="O102" s="164"/>
      <c r="P102" s="164"/>
      <c r="Q102" s="164"/>
      <c r="R102" s="164"/>
      <c r="S102" s="164"/>
      <c r="T102" s="164"/>
      <c r="U102" s="164"/>
      <c r="V102" s="164"/>
      <c r="W102" s="164"/>
      <c r="X102" s="164"/>
      <c r="Y102" s="112"/>
      <c r="Z102" s="1179"/>
      <c r="AA102" s="96"/>
      <c r="AB102" s="96"/>
      <c r="AC102" s="96"/>
      <c r="AD102" s="96"/>
      <c r="AE102" s="97"/>
      <c r="AF102" s="97"/>
      <c r="AG102" s="97"/>
      <c r="AH102" s="97"/>
      <c r="AI102" s="97"/>
    </row>
    <row r="103" spans="1:35" hidden="1" outlineLevel="1">
      <c r="A103" s="19"/>
      <c r="B103" s="112" t="s">
        <v>226</v>
      </c>
      <c r="C103" s="112">
        <v>0</v>
      </c>
      <c r="D103" s="112" t="s">
        <v>215</v>
      </c>
      <c r="E103" s="112" t="b">
        <v>0</v>
      </c>
      <c r="F103" s="19"/>
      <c r="G103" s="19"/>
      <c r="H103" s="19"/>
      <c r="I103" s="111" t="s">
        <v>143</v>
      </c>
      <c r="J103" s="112"/>
      <c r="K103" s="112"/>
      <c r="L103" s="112"/>
      <c r="M103" s="164"/>
      <c r="N103" s="164"/>
      <c r="O103" s="164"/>
      <c r="P103" s="164"/>
      <c r="Q103" s="164"/>
      <c r="R103" s="164"/>
      <c r="S103" s="164"/>
      <c r="T103" s="164"/>
      <c r="U103" s="164"/>
      <c r="V103" s="164"/>
      <c r="W103" s="164"/>
      <c r="X103" s="164"/>
      <c r="Y103" s="112"/>
      <c r="Z103" s="1179"/>
      <c r="AA103" s="96"/>
      <c r="AB103" s="96"/>
      <c r="AC103" s="96"/>
      <c r="AD103" s="96"/>
      <c r="AE103" s="97"/>
      <c r="AF103" s="97"/>
      <c r="AG103" s="97"/>
      <c r="AH103" s="97"/>
      <c r="AI103" s="97"/>
    </row>
    <row r="104" spans="1:35" collapsed="1">
      <c r="AA104" s="96"/>
      <c r="AB104" s="96"/>
      <c r="AC104" s="96"/>
      <c r="AD104" s="96"/>
      <c r="AE104" s="97"/>
      <c r="AF104" s="97"/>
      <c r="AG104" s="97"/>
      <c r="AH104" s="97"/>
      <c r="AI104" s="97"/>
    </row>
    <row r="105" spans="1:35">
      <c r="AA105" s="96"/>
      <c r="AB105" s="96"/>
      <c r="AC105" s="96"/>
      <c r="AD105" s="96"/>
      <c r="AE105" s="97"/>
      <c r="AF105" s="97"/>
      <c r="AG105" s="97"/>
      <c r="AH105" s="97"/>
      <c r="AI105" s="97"/>
    </row>
    <row r="106" spans="1:35">
      <c r="AA106" s="96"/>
      <c r="AB106" s="96"/>
      <c r="AC106" s="96"/>
      <c r="AD106" s="96"/>
      <c r="AE106" s="97"/>
      <c r="AF106" s="97"/>
      <c r="AG106" s="97"/>
      <c r="AH106" s="97"/>
      <c r="AI106" s="97"/>
    </row>
    <row r="107" spans="1:35">
      <c r="AA107" s="96"/>
      <c r="AB107" s="96"/>
      <c r="AC107" s="96"/>
      <c r="AD107" s="96"/>
      <c r="AE107" s="97"/>
      <c r="AF107" s="97"/>
      <c r="AG107" s="97"/>
      <c r="AH107" s="97"/>
      <c r="AI107" s="97"/>
    </row>
    <row r="108" spans="1:35">
      <c r="AA108" s="96"/>
      <c r="AB108" s="96"/>
      <c r="AC108" s="96"/>
      <c r="AD108" s="96"/>
      <c r="AE108" s="97"/>
      <c r="AF108" s="97"/>
      <c r="AG108" s="97"/>
      <c r="AH108" s="97"/>
      <c r="AI108" s="97"/>
    </row>
    <row r="109" spans="1:35">
      <c r="AA109" s="169"/>
      <c r="AB109" s="169"/>
      <c r="AC109" s="169"/>
      <c r="AD109" s="169"/>
      <c r="AE109" s="169"/>
      <c r="AF109" s="169"/>
      <c r="AG109" s="169"/>
      <c r="AH109" s="169"/>
      <c r="AI109" s="169"/>
    </row>
    <row r="110" spans="1:35">
      <c r="AA110" s="169"/>
      <c r="AB110" s="169"/>
      <c r="AC110" s="169"/>
      <c r="AD110" s="169"/>
      <c r="AE110" s="169"/>
      <c r="AF110" s="169"/>
      <c r="AG110" s="169"/>
      <c r="AH110" s="169"/>
      <c r="AI110" s="169"/>
    </row>
    <row r="111" spans="1:35">
      <c r="AA111" s="169"/>
      <c r="AB111" s="169"/>
      <c r="AC111" s="169"/>
      <c r="AD111" s="169"/>
      <c r="AE111" s="169"/>
      <c r="AF111" s="169"/>
      <c r="AG111" s="169"/>
      <c r="AH111" s="169"/>
      <c r="AI111" s="169"/>
    </row>
    <row r="112" spans="1:35">
      <c r="AA112" s="169"/>
      <c r="AB112" s="169"/>
      <c r="AC112" s="169"/>
      <c r="AD112" s="169"/>
      <c r="AE112" s="169"/>
      <c r="AF112" s="169"/>
      <c r="AG112" s="169"/>
      <c r="AH112" s="169"/>
      <c r="AI112" s="169"/>
    </row>
    <row r="113" spans="27:35">
      <c r="AA113" s="169"/>
      <c r="AB113" s="169"/>
      <c r="AC113" s="169"/>
      <c r="AD113" s="169"/>
      <c r="AE113" s="169"/>
      <c r="AF113" s="169"/>
      <c r="AG113" s="169"/>
      <c r="AH113" s="169"/>
      <c r="AI113" s="169"/>
    </row>
    <row r="114" spans="27:35">
      <c r="AA114" s="169"/>
      <c r="AB114" s="169"/>
      <c r="AC114" s="169"/>
      <c r="AD114" s="169"/>
      <c r="AE114" s="169"/>
      <c r="AF114" s="169"/>
      <c r="AG114" s="169"/>
      <c r="AH114" s="169"/>
      <c r="AI114" s="169"/>
    </row>
    <row r="115" spans="27:35">
      <c r="AA115" s="169"/>
      <c r="AB115" s="169"/>
      <c r="AC115" s="169"/>
      <c r="AD115" s="169"/>
      <c r="AE115" s="169"/>
      <c r="AF115" s="169"/>
      <c r="AG115" s="169"/>
      <c r="AH115" s="169"/>
      <c r="AI115" s="169"/>
    </row>
    <row r="116" spans="27:35">
      <c r="AA116" s="169"/>
      <c r="AB116" s="169"/>
      <c r="AC116" s="169"/>
      <c r="AD116" s="169"/>
      <c r="AE116" s="169"/>
      <c r="AF116" s="169"/>
      <c r="AG116" s="169"/>
      <c r="AH116" s="169"/>
      <c r="AI116" s="169"/>
    </row>
    <row r="117" spans="27:35">
      <c r="AA117" s="169"/>
      <c r="AB117" s="169"/>
      <c r="AC117" s="169"/>
      <c r="AD117" s="169"/>
      <c r="AE117" s="169"/>
      <c r="AF117" s="169"/>
      <c r="AG117" s="169"/>
      <c r="AH117" s="169"/>
      <c r="AI117" s="169"/>
    </row>
    <row r="118" spans="27:35">
      <c r="AA118" s="169"/>
      <c r="AB118" s="169"/>
      <c r="AC118" s="169"/>
      <c r="AD118" s="169"/>
      <c r="AE118" s="169"/>
      <c r="AF118" s="169"/>
      <c r="AG118" s="169"/>
      <c r="AH118" s="169"/>
      <c r="AI118" s="169"/>
    </row>
    <row r="119" spans="27:35">
      <c r="AA119" s="169"/>
      <c r="AB119" s="169"/>
      <c r="AC119" s="169"/>
      <c r="AD119" s="169"/>
      <c r="AE119" s="169"/>
      <c r="AF119" s="169"/>
      <c r="AG119" s="169"/>
      <c r="AH119" s="169"/>
      <c r="AI119" s="169"/>
    </row>
  </sheetData>
  <pageMargins left="0.25" right="0.25" top="0.25" bottom="0.25" header="0.25" footer="0.25"/>
  <pageSetup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pageSetUpPr fitToPage="1"/>
  </sheetPr>
  <dimension ref="A1:BY1334"/>
  <sheetViews>
    <sheetView showGridLines="0" topLeftCell="H8" zoomScale="70" zoomScaleNormal="70" zoomScaleSheetLayoutView="70" workbookViewId="0">
      <pane xSplit="17" ySplit="3" topLeftCell="Y1190" activePane="bottomRight" state="frozen"/>
      <selection activeCell="H8" sqref="H8"/>
      <selection pane="topRight" activeCell="Y8" sqref="Y8"/>
      <selection pane="bottomLeft" activeCell="H11" sqref="H11"/>
      <selection pane="bottomRight" activeCell="L1204" sqref="L1204"/>
    </sheetView>
  </sheetViews>
  <sheetFormatPr defaultRowHeight="11.25" customHeight="1" outlineLevelRow="1" outlineLevelCol="1"/>
  <cols>
    <col min="1" max="1" width="1.7109375" hidden="1" customWidth="1" outlineLevel="1"/>
    <col min="2" max="2" width="34.140625" hidden="1" customWidth="1" outlineLevel="1"/>
    <col min="3" max="7" width="5.7109375" hidden="1" customWidth="1" outlineLevel="1"/>
    <col min="8" max="8" width="1.7109375" customWidth="1" collapsed="1"/>
    <col min="9" max="12" width="10.85546875" customWidth="1"/>
    <col min="13" max="16" width="9.28515625" hidden="1" customWidth="1" outlineLevel="1"/>
    <col min="17" max="17" width="9.28515625" hidden="1" customWidth="1" outlineLevel="1" collapsed="1"/>
    <col min="18" max="24" width="9.28515625" hidden="1" customWidth="1" outlineLevel="1"/>
    <col min="25" max="25" width="9.28515625" customWidth="1" collapsed="1"/>
    <col min="26" max="36" width="9.28515625" customWidth="1"/>
    <col min="38" max="41" width="9.140625" customWidth="1" outlineLevel="1"/>
    <col min="42" max="42" width="9.28515625" customWidth="1" outlineLevel="1"/>
    <col min="43" max="44" width="9.42578125" customWidth="1" outlineLevel="1"/>
    <col min="45" max="45" width="9.42578125" customWidth="1"/>
    <col min="46" max="47" width="9.42578125" bestFit="1" customWidth="1"/>
    <col min="48" max="50" width="9.42578125" customWidth="1"/>
    <col min="51" max="52" width="9.7109375" customWidth="1"/>
    <col min="53" max="54" width="4.7109375" customWidth="1"/>
  </cols>
  <sheetData>
    <row r="1" spans="1:61" ht="11.25" customHeight="1">
      <c r="A1" s="36"/>
      <c r="H1" s="36"/>
      <c r="I1" s="48">
        <f>fair_value</f>
        <v>40</v>
      </c>
      <c r="J1" s="49"/>
      <c r="K1" s="1"/>
      <c r="M1" s="8"/>
      <c r="N1" s="8"/>
      <c r="O1" s="8"/>
      <c r="P1" s="8"/>
      <c r="Q1" s="8"/>
      <c r="R1" s="242"/>
      <c r="S1" s="8"/>
      <c r="T1" s="8"/>
      <c r="U1" s="102"/>
      <c r="V1" s="8"/>
      <c r="W1" s="8"/>
      <c r="X1" s="93"/>
      <c r="Y1" s="8"/>
      <c r="Z1" s="8"/>
      <c r="AA1" s="8"/>
      <c r="AB1" s="254"/>
      <c r="AC1" s="8"/>
      <c r="AD1" s="8"/>
      <c r="AE1" s="8"/>
      <c r="AF1" s="254"/>
      <c r="AG1" s="254"/>
      <c r="AH1" s="254"/>
      <c r="AI1" s="254"/>
      <c r="AJ1" s="254"/>
      <c r="AK1" s="57"/>
      <c r="AL1" s="8"/>
      <c r="AM1" s="8"/>
      <c r="AN1" s="8"/>
      <c r="AO1" s="36"/>
      <c r="AP1" s="8"/>
      <c r="AQ1" s="8"/>
      <c r="AR1" s="8"/>
      <c r="AS1" s="8"/>
      <c r="AT1" s="8"/>
      <c r="AU1" s="8"/>
      <c r="AV1" s="8"/>
      <c r="AW1" s="8"/>
      <c r="AX1" s="8"/>
      <c r="AY1" s="8"/>
      <c r="AZ1" s="8"/>
      <c r="BA1" s="36"/>
      <c r="BB1" s="36"/>
      <c r="BC1" s="36"/>
      <c r="BD1" s="36"/>
      <c r="BE1" s="36"/>
      <c r="BF1" s="36"/>
      <c r="BG1" s="36"/>
      <c r="BH1" s="36"/>
      <c r="BI1" s="36"/>
    </row>
    <row r="2" spans="1:61" ht="11.25" customHeight="1">
      <c r="A2" s="36"/>
      <c r="H2" s="36"/>
      <c r="I2" s="49"/>
      <c r="J2" s="49"/>
      <c r="K2" s="1"/>
      <c r="L2" s="1"/>
      <c r="M2" s="8"/>
      <c r="N2" s="8"/>
      <c r="O2" s="8"/>
      <c r="P2" s="8"/>
      <c r="Q2" s="8"/>
      <c r="R2" s="242"/>
      <c r="S2" s="242"/>
      <c r="T2" s="8"/>
      <c r="U2" s="8"/>
      <c r="V2" s="8"/>
      <c r="W2" s="8"/>
      <c r="X2" s="93"/>
      <c r="Y2" s="8"/>
      <c r="Z2" s="8"/>
      <c r="AA2" s="8"/>
      <c r="AB2" s="93"/>
      <c r="AC2" s="8"/>
      <c r="AD2" s="8"/>
      <c r="AE2" s="8"/>
      <c r="AF2" s="93"/>
      <c r="AG2" s="93"/>
      <c r="AH2" s="93"/>
      <c r="AI2" s="93"/>
      <c r="AJ2" s="93"/>
      <c r="AK2" s="36"/>
      <c r="AL2" s="8"/>
      <c r="AM2" s="8"/>
      <c r="AN2" s="8"/>
      <c r="AO2" s="36"/>
      <c r="AP2" s="8"/>
      <c r="AQ2" s="8"/>
      <c r="AR2" s="8"/>
      <c r="AS2" s="8"/>
      <c r="AT2" s="8"/>
      <c r="AU2" s="8"/>
      <c r="AV2" s="8"/>
      <c r="AW2" s="8"/>
      <c r="AX2" s="8"/>
      <c r="AY2" s="8"/>
      <c r="AZ2" s="8"/>
      <c r="BA2" s="36"/>
      <c r="BB2" s="36"/>
      <c r="BC2" s="36"/>
      <c r="BD2" s="36"/>
      <c r="BE2" s="36"/>
      <c r="BF2" s="36"/>
      <c r="BG2" s="36"/>
      <c r="BH2" s="36"/>
      <c r="BI2" s="36"/>
    </row>
    <row r="3" spans="1:61" ht="11.25" customHeight="1">
      <c r="A3" s="36"/>
      <c r="H3" s="36"/>
      <c r="I3" s="49"/>
      <c r="J3" s="49"/>
      <c r="K3" s="1"/>
      <c r="L3" s="1"/>
      <c r="M3" s="212"/>
      <c r="N3" s="210"/>
      <c r="O3" s="210"/>
      <c r="P3" s="210"/>
      <c r="Q3" s="210"/>
      <c r="R3" s="210"/>
      <c r="S3" s="210"/>
      <c r="T3" s="8"/>
      <c r="U3" s="8"/>
      <c r="V3" s="8"/>
      <c r="W3" s="8"/>
      <c r="X3" s="93"/>
      <c r="Y3" s="8"/>
      <c r="Z3" s="8"/>
      <c r="AA3" s="8"/>
      <c r="AB3" s="93"/>
      <c r="AC3" s="8"/>
      <c r="AD3" s="8"/>
      <c r="AE3" s="8"/>
      <c r="AF3" s="93"/>
      <c r="AG3" s="93"/>
      <c r="AH3" s="93"/>
      <c r="AI3" s="93"/>
      <c r="AJ3" s="93"/>
      <c r="AK3" s="36"/>
      <c r="AL3" s="210"/>
      <c r="AM3" s="210"/>
      <c r="AN3" s="210"/>
      <c r="AO3" s="210"/>
      <c r="AP3" s="210"/>
      <c r="AQ3" s="210"/>
      <c r="AR3" s="210"/>
      <c r="AS3" s="210"/>
      <c r="AT3" s="210"/>
      <c r="AU3" s="210"/>
      <c r="AV3" s="210"/>
      <c r="AW3" s="210"/>
      <c r="AX3" s="210"/>
      <c r="AY3" s="210"/>
      <c r="AZ3" s="210"/>
      <c r="BA3" s="36"/>
      <c r="BB3" s="36"/>
      <c r="BC3" s="36"/>
      <c r="BD3" s="36"/>
      <c r="BE3" s="36"/>
      <c r="BF3" s="36"/>
      <c r="BG3" s="36"/>
      <c r="BH3" s="36"/>
      <c r="BI3" s="36"/>
    </row>
    <row r="4" spans="1:61" ht="11.25" customHeight="1">
      <c r="A4" s="36"/>
      <c r="H4" s="36"/>
      <c r="I4" s="49"/>
      <c r="J4" s="49"/>
      <c r="K4" s="1"/>
      <c r="L4" s="1"/>
      <c r="M4" s="211"/>
      <c r="N4" s="211"/>
      <c r="O4" s="211"/>
      <c r="P4" s="211"/>
      <c r="Q4" s="211"/>
      <c r="R4" s="211"/>
      <c r="S4" s="211"/>
      <c r="T4" s="8"/>
      <c r="U4" s="8"/>
      <c r="V4" s="8"/>
      <c r="W4" s="8"/>
      <c r="X4" s="8"/>
      <c r="Y4" s="8"/>
      <c r="Z4" s="8"/>
      <c r="AA4" s="8"/>
      <c r="AB4" s="8"/>
      <c r="AC4" s="8"/>
      <c r="AD4" s="8"/>
      <c r="AE4" s="8"/>
      <c r="AF4" s="8"/>
      <c r="AG4" s="8"/>
      <c r="AH4" s="8"/>
      <c r="AI4" s="8"/>
      <c r="AJ4" s="8"/>
      <c r="AK4" s="36"/>
      <c r="AL4" s="211"/>
      <c r="AM4" s="211"/>
      <c r="AN4" s="211"/>
      <c r="AO4" s="211"/>
      <c r="AP4" s="211"/>
      <c r="AQ4" s="211"/>
      <c r="AR4" s="211"/>
      <c r="AS4" s="211"/>
      <c r="AT4" s="211"/>
      <c r="AU4" s="211"/>
      <c r="AV4" s="211"/>
      <c r="AW4" s="211"/>
      <c r="AX4" s="211"/>
      <c r="AY4" s="211"/>
      <c r="AZ4" s="211"/>
      <c r="BA4" s="36"/>
      <c r="BB4" s="36"/>
      <c r="BC4" s="36"/>
      <c r="BD4" s="36"/>
      <c r="BE4" s="36"/>
      <c r="BF4" s="36"/>
      <c r="BG4" s="36"/>
      <c r="BH4" s="36"/>
      <c r="BI4" s="36"/>
    </row>
    <row r="5" spans="1:61" ht="11.25" hidden="1" customHeight="1" outlineLevel="1"/>
    <row r="6" spans="1:61" ht="11.25" hidden="1" customHeight="1" outlineLevel="1">
      <c r="A6" s="56"/>
      <c r="H6" s="56"/>
      <c r="I6" s="6" t="s">
        <v>108</v>
      </c>
      <c r="J6" s="6"/>
      <c r="K6" s="6"/>
      <c r="L6" s="6"/>
      <c r="M6" s="45">
        <v>40268</v>
      </c>
      <c r="N6" s="45">
        <f t="shared" ref="N6:AJ6" si="0">+EOMONTH(M6,3)</f>
        <v>40359</v>
      </c>
      <c r="O6" s="45">
        <f t="shared" si="0"/>
        <v>40451</v>
      </c>
      <c r="P6" s="45">
        <f t="shared" si="0"/>
        <v>40543</v>
      </c>
      <c r="Q6" s="45">
        <f t="shared" si="0"/>
        <v>40633</v>
      </c>
      <c r="R6" s="45">
        <f t="shared" si="0"/>
        <v>40724</v>
      </c>
      <c r="S6" s="45">
        <f t="shared" si="0"/>
        <v>40816</v>
      </c>
      <c r="T6" s="45">
        <f t="shared" si="0"/>
        <v>40908</v>
      </c>
      <c r="U6" s="45">
        <f t="shared" si="0"/>
        <v>40999</v>
      </c>
      <c r="V6" s="45">
        <f t="shared" si="0"/>
        <v>41090</v>
      </c>
      <c r="W6" s="45">
        <f t="shared" si="0"/>
        <v>41182</v>
      </c>
      <c r="X6" s="45">
        <f t="shared" si="0"/>
        <v>41274</v>
      </c>
      <c r="Y6" s="45">
        <f t="shared" si="0"/>
        <v>41364</v>
      </c>
      <c r="Z6" s="45">
        <f t="shared" si="0"/>
        <v>41455</v>
      </c>
      <c r="AA6" s="45">
        <f t="shared" si="0"/>
        <v>41547</v>
      </c>
      <c r="AB6" s="45">
        <f t="shared" si="0"/>
        <v>41639</v>
      </c>
      <c r="AC6" s="45">
        <f t="shared" si="0"/>
        <v>41729</v>
      </c>
      <c r="AD6" s="45">
        <f t="shared" si="0"/>
        <v>41820</v>
      </c>
      <c r="AE6" s="45">
        <f t="shared" si="0"/>
        <v>41912</v>
      </c>
      <c r="AF6" s="45">
        <f t="shared" si="0"/>
        <v>42004</v>
      </c>
      <c r="AG6" s="45">
        <f t="shared" si="0"/>
        <v>42094</v>
      </c>
      <c r="AH6" s="45">
        <f t="shared" si="0"/>
        <v>42185</v>
      </c>
      <c r="AI6" s="45">
        <f t="shared" si="0"/>
        <v>42277</v>
      </c>
      <c r="AJ6" s="45">
        <f t="shared" si="0"/>
        <v>42369</v>
      </c>
      <c r="AK6" s="56"/>
      <c r="AL6" s="46">
        <v>39082</v>
      </c>
      <c r="AM6" s="46">
        <f t="shared" ref="AM6:AZ6" si="1">+EOMONTH(AL6,12)</f>
        <v>39447</v>
      </c>
      <c r="AN6" s="46">
        <f t="shared" si="1"/>
        <v>39813</v>
      </c>
      <c r="AO6" s="46">
        <f t="shared" si="1"/>
        <v>40178</v>
      </c>
      <c r="AP6" s="46">
        <f t="shared" si="1"/>
        <v>40543</v>
      </c>
      <c r="AQ6" s="46">
        <f t="shared" si="1"/>
        <v>40908</v>
      </c>
      <c r="AR6" s="46">
        <f t="shared" si="1"/>
        <v>41274</v>
      </c>
      <c r="AS6" s="46">
        <f t="shared" si="1"/>
        <v>41639</v>
      </c>
      <c r="AT6" s="46">
        <f t="shared" si="1"/>
        <v>42004</v>
      </c>
      <c r="AU6" s="46">
        <f t="shared" si="1"/>
        <v>42369</v>
      </c>
      <c r="AV6" s="46">
        <f t="shared" si="1"/>
        <v>42735</v>
      </c>
      <c r="AW6" s="46">
        <f t="shared" si="1"/>
        <v>43100</v>
      </c>
      <c r="AX6" s="46">
        <f t="shared" si="1"/>
        <v>43465</v>
      </c>
      <c r="AY6" s="46">
        <f t="shared" si="1"/>
        <v>43830</v>
      </c>
      <c r="AZ6" s="46">
        <f t="shared" si="1"/>
        <v>44196</v>
      </c>
      <c r="BA6" s="56"/>
      <c r="BB6" s="56"/>
      <c r="BC6" s="56"/>
      <c r="BD6" s="56"/>
      <c r="BE6" s="56"/>
      <c r="BF6" s="56"/>
      <c r="BG6" s="56"/>
      <c r="BH6" s="56"/>
      <c r="BI6" s="56"/>
    </row>
    <row r="7" spans="1:61" s="2043" customFormat="1" ht="11.25" customHeight="1" collapsed="1">
      <c r="A7" s="2025"/>
      <c r="B7"/>
      <c r="C7"/>
      <c r="D7"/>
      <c r="E7"/>
      <c r="F7"/>
      <c r="G7"/>
      <c r="H7" s="2026"/>
      <c r="I7" s="2027" t="s">
        <v>38</v>
      </c>
      <c r="J7" s="2028"/>
      <c r="K7" s="2028"/>
      <c r="L7" s="2028"/>
      <c r="M7" s="2029">
        <v>2010</v>
      </c>
      <c r="N7" s="2030"/>
      <c r="O7" s="2030"/>
      <c r="P7" s="2031"/>
      <c r="Q7" s="2032">
        <v>2011</v>
      </c>
      <c r="R7" s="2030"/>
      <c r="S7" s="2030"/>
      <c r="T7" s="2031"/>
      <c r="U7" s="2030">
        <v>2012</v>
      </c>
      <c r="V7" s="2033"/>
      <c r="W7" s="2033"/>
      <c r="X7" s="2033"/>
      <c r="Y7" s="2034">
        <v>2013</v>
      </c>
      <c r="Z7" s="2033"/>
      <c r="AA7" s="2033"/>
      <c r="AB7" s="2035"/>
      <c r="AC7" s="2036" t="s">
        <v>199</v>
      </c>
      <c r="AD7" s="2037"/>
      <c r="AE7" s="2037"/>
      <c r="AF7" s="2038"/>
      <c r="AG7" s="2036" t="s">
        <v>200</v>
      </c>
      <c r="AH7" s="2037"/>
      <c r="AI7" s="2037"/>
      <c r="AJ7" s="2038"/>
      <c r="AK7" s="2025"/>
      <c r="AL7" s="2039"/>
      <c r="AM7" s="2040"/>
      <c r="AN7" s="2040"/>
      <c r="AO7" s="2040"/>
      <c r="AP7" s="2040"/>
      <c r="AQ7" s="2040"/>
      <c r="AR7" s="2040"/>
      <c r="AS7" s="2039"/>
      <c r="AT7" s="2040"/>
      <c r="AU7" s="2040"/>
      <c r="AV7" s="2040"/>
      <c r="AW7" s="2040"/>
      <c r="AX7" s="2040"/>
      <c r="AY7" s="2040"/>
      <c r="AZ7" s="2041"/>
      <c r="BA7" s="2025"/>
      <c r="BB7" s="2025"/>
      <c r="BC7" s="2042" t="s">
        <v>135</v>
      </c>
      <c r="BD7" s="2042"/>
      <c r="BE7" s="2042"/>
      <c r="BF7" s="2042"/>
      <c r="BG7" s="2042"/>
      <c r="BH7" s="2042"/>
      <c r="BI7" s="2042"/>
    </row>
    <row r="8" spans="1:61" s="2043" customFormat="1" ht="11.25" customHeight="1" thickBot="1">
      <c r="A8" s="2025"/>
      <c r="B8"/>
      <c r="C8"/>
      <c r="D8"/>
      <c r="E8"/>
      <c r="F8"/>
      <c r="G8"/>
      <c r="H8" s="2026"/>
      <c r="I8" s="2044" t="s">
        <v>83</v>
      </c>
      <c r="J8" s="2045"/>
      <c r="K8" s="2045"/>
      <c r="L8" s="2045"/>
      <c r="M8" s="2046">
        <v>1</v>
      </c>
      <c r="N8" s="2047">
        <v>2</v>
      </c>
      <c r="O8" s="2047">
        <v>3</v>
      </c>
      <c r="P8" s="2048">
        <v>4</v>
      </c>
      <c r="Q8" s="2047">
        <v>1</v>
      </c>
      <c r="R8" s="2047">
        <v>2</v>
      </c>
      <c r="S8" s="2047">
        <v>3</v>
      </c>
      <c r="T8" s="2048">
        <v>4</v>
      </c>
      <c r="U8" s="2047">
        <v>1</v>
      </c>
      <c r="V8" s="2047">
        <v>2</v>
      </c>
      <c r="W8" s="2047">
        <v>3</v>
      </c>
      <c r="X8" s="2047">
        <v>4</v>
      </c>
      <c r="Y8" s="2046">
        <v>1</v>
      </c>
      <c r="Z8" s="2047">
        <v>2</v>
      </c>
      <c r="AA8" s="2047">
        <v>3</v>
      </c>
      <c r="AB8" s="2048">
        <v>4</v>
      </c>
      <c r="AC8" s="2046">
        <v>1</v>
      </c>
      <c r="AD8" s="2047">
        <v>2</v>
      </c>
      <c r="AE8" s="2047">
        <v>3</v>
      </c>
      <c r="AF8" s="2049">
        <v>4</v>
      </c>
      <c r="AG8" s="2050">
        <v>1</v>
      </c>
      <c r="AH8" s="2051">
        <v>2</v>
      </c>
      <c r="AI8" s="2051">
        <v>3</v>
      </c>
      <c r="AJ8" s="2049">
        <v>4</v>
      </c>
      <c r="AK8" s="2025"/>
      <c r="AL8" s="2052">
        <v>39082</v>
      </c>
      <c r="AM8" s="2053">
        <v>39447</v>
      </c>
      <c r="AN8" s="2053">
        <v>39813</v>
      </c>
      <c r="AO8" s="2053">
        <v>40178</v>
      </c>
      <c r="AP8" s="2053">
        <v>40543</v>
      </c>
      <c r="AQ8" s="2053">
        <v>40908</v>
      </c>
      <c r="AR8" s="2053">
        <v>41274</v>
      </c>
      <c r="AS8" s="2052">
        <v>41639</v>
      </c>
      <c r="AT8" s="2596">
        <v>42004</v>
      </c>
      <c r="AU8" s="2596">
        <v>42369</v>
      </c>
      <c r="AV8" s="2596">
        <v>42735</v>
      </c>
      <c r="AW8" s="2054">
        <v>43100</v>
      </c>
      <c r="AX8" s="2054">
        <v>43465</v>
      </c>
      <c r="AY8" s="2054">
        <v>43830</v>
      </c>
      <c r="AZ8" s="2055">
        <v>44196</v>
      </c>
      <c r="BA8" s="2025"/>
      <c r="BB8" s="2025"/>
      <c r="BC8" s="2056" t="s">
        <v>198</v>
      </c>
      <c r="BD8" s="2056" t="s">
        <v>136</v>
      </c>
      <c r="BE8" s="2056" t="s">
        <v>137</v>
      </c>
      <c r="BF8" s="2056" t="s">
        <v>138</v>
      </c>
      <c r="BG8" s="2056" t="s">
        <v>139</v>
      </c>
      <c r="BH8" s="2056" t="s">
        <v>325</v>
      </c>
      <c r="BI8" s="2056" t="s">
        <v>331</v>
      </c>
    </row>
    <row r="9" spans="1:61" s="2043" customFormat="1" ht="11.25" customHeight="1">
      <c r="A9" s="2025"/>
      <c r="B9"/>
      <c r="C9"/>
      <c r="D9"/>
      <c r="E9"/>
      <c r="F9"/>
      <c r="G9"/>
      <c r="H9" s="2026"/>
      <c r="I9" s="2057"/>
      <c r="J9" s="2058"/>
      <c r="K9" s="2058"/>
      <c r="L9" s="2058"/>
      <c r="M9" s="2059"/>
      <c r="N9" s="2059"/>
      <c r="O9" s="2059"/>
      <c r="P9" s="2060"/>
      <c r="Q9" s="2026"/>
      <c r="R9" s="2026"/>
      <c r="S9" s="2026"/>
      <c r="T9" s="2026"/>
      <c r="U9" s="2061"/>
      <c r="V9" s="2026"/>
      <c r="W9" s="2026"/>
      <c r="X9" s="2026"/>
      <c r="Y9" s="2062"/>
      <c r="Z9" s="2059"/>
      <c r="AA9" s="2059"/>
      <c r="AB9" s="2060"/>
      <c r="AC9" s="2062"/>
      <c r="AD9" s="2059"/>
      <c r="AE9" s="2059"/>
      <c r="AF9" s="2060"/>
      <c r="AG9" s="2063"/>
      <c r="AH9" s="2064"/>
      <c r="AI9" s="2064"/>
      <c r="AJ9" s="2065"/>
      <c r="AK9" s="2025"/>
      <c r="AL9" s="2062"/>
      <c r="AM9" s="2059"/>
      <c r="AN9" s="2059"/>
      <c r="AO9" s="2059"/>
      <c r="AP9" s="2059"/>
      <c r="AQ9" s="2059"/>
      <c r="AR9" s="2059"/>
      <c r="AS9" s="2062"/>
      <c r="AT9" s="2059"/>
      <c r="AU9" s="2059"/>
      <c r="AV9" s="2059"/>
      <c r="AW9" s="2059"/>
      <c r="AX9" s="2059"/>
      <c r="AY9" s="2059"/>
      <c r="AZ9" s="2060"/>
      <c r="BA9" s="2025"/>
      <c r="BB9" s="2025"/>
      <c r="BC9" s="2025"/>
      <c r="BD9" s="2025"/>
      <c r="BE9" s="2025"/>
      <c r="BF9" s="2025"/>
      <c r="BG9" s="2025"/>
      <c r="BH9" s="2025"/>
      <c r="BI9" s="2025"/>
    </row>
    <row r="10" spans="1:61" ht="11.25" customHeight="1">
      <c r="A10" s="36"/>
      <c r="H10" s="1" t="s">
        <v>434</v>
      </c>
      <c r="I10" s="452" t="s">
        <v>433</v>
      </c>
      <c r="J10" s="453"/>
      <c r="K10" s="453"/>
      <c r="L10" s="453"/>
      <c r="M10" s="453"/>
      <c r="N10" s="453"/>
      <c r="O10" s="453"/>
      <c r="P10" s="454"/>
      <c r="Q10" s="453"/>
      <c r="R10" s="453"/>
      <c r="S10" s="453"/>
      <c r="T10" s="453"/>
      <c r="U10" s="452"/>
      <c r="V10" s="453"/>
      <c r="W10" s="453"/>
      <c r="X10" s="454"/>
      <c r="Y10" s="452"/>
      <c r="Z10" s="453"/>
      <c r="AA10" s="453"/>
      <c r="AB10" s="454"/>
      <c r="AC10" s="452"/>
      <c r="AD10" s="453"/>
      <c r="AE10" s="453"/>
      <c r="AF10" s="454"/>
      <c r="AG10" s="452"/>
      <c r="AH10" s="453"/>
      <c r="AI10" s="453"/>
      <c r="AJ10" s="454"/>
      <c r="AK10" s="36"/>
      <c r="AL10" s="726"/>
      <c r="AM10" s="392"/>
      <c r="AN10" s="392"/>
      <c r="AO10" s="392"/>
      <c r="AP10" s="392"/>
      <c r="AQ10" s="393"/>
      <c r="AR10" s="392"/>
      <c r="AS10" s="726"/>
      <c r="AT10" s="392"/>
      <c r="AU10" s="392"/>
      <c r="AV10" s="392"/>
      <c r="AW10" s="392"/>
      <c r="AX10" s="392"/>
      <c r="AY10" s="392"/>
      <c r="AZ10" s="727"/>
      <c r="BA10" s="36"/>
      <c r="BB10" s="36"/>
      <c r="BC10" s="36"/>
      <c r="BD10" s="36"/>
      <c r="BE10" s="36"/>
      <c r="BF10" s="36"/>
      <c r="BG10" s="36"/>
      <c r="BH10" s="36"/>
      <c r="BI10" s="36"/>
    </row>
    <row r="11" spans="1:61" s="396" customFormat="1" ht="11.25" customHeight="1">
      <c r="A11" s="42"/>
      <c r="B11"/>
      <c r="C11"/>
      <c r="D11"/>
      <c r="E11"/>
      <c r="F11"/>
      <c r="G11"/>
      <c r="H11" s="213"/>
      <c r="I11" s="455"/>
      <c r="J11" s="334"/>
      <c r="K11" s="334"/>
      <c r="L11" s="334"/>
      <c r="M11" s="334"/>
      <c r="N11" s="334"/>
      <c r="O11" s="334"/>
      <c r="P11" s="456"/>
      <c r="Q11" s="334"/>
      <c r="R11" s="334"/>
      <c r="S11" s="334"/>
      <c r="T11" s="334"/>
      <c r="U11" s="455"/>
      <c r="V11" s="334"/>
      <c r="W11" s="334"/>
      <c r="X11" s="456"/>
      <c r="Y11" s="455"/>
      <c r="Z11" s="334"/>
      <c r="AA11" s="334"/>
      <c r="AB11" s="456"/>
      <c r="AC11" s="455"/>
      <c r="AD11" s="334"/>
      <c r="AE11" s="334"/>
      <c r="AF11" s="456"/>
      <c r="AG11" s="455"/>
      <c r="AH11" s="334"/>
      <c r="AI11" s="334"/>
      <c r="AJ11" s="456"/>
      <c r="AK11" s="42"/>
      <c r="AL11" s="728"/>
      <c r="AM11" s="277"/>
      <c r="AN11" s="277"/>
      <c r="AO11" s="277"/>
      <c r="AP11" s="277"/>
      <c r="AQ11" s="395"/>
      <c r="AR11" s="277"/>
      <c r="AS11" s="728"/>
      <c r="AT11" s="277"/>
      <c r="AU11" s="277"/>
      <c r="AV11" s="277"/>
      <c r="AW11" s="277"/>
      <c r="AX11" s="277"/>
      <c r="AY11" s="277"/>
      <c r="AZ11" s="729"/>
      <c r="BA11" s="42"/>
      <c r="BB11" s="42"/>
      <c r="BC11" s="42"/>
      <c r="BD11" s="42"/>
      <c r="BE11" s="42"/>
      <c r="BF11" s="42"/>
      <c r="BG11" s="42"/>
      <c r="BH11" s="42"/>
      <c r="BI11" s="42"/>
    </row>
    <row r="12" spans="1:61" ht="11.25" customHeight="1">
      <c r="I12" t="str">
        <f>Model!I10</f>
        <v>Income Statement</v>
      </c>
      <c r="M12">
        <f>Model!M10</f>
        <v>0</v>
      </c>
      <c r="N12">
        <f>Model!N10</f>
        <v>0</v>
      </c>
      <c r="O12">
        <f>Model!O10</f>
        <v>0</v>
      </c>
      <c r="P12">
        <f>Model!P10</f>
        <v>0</v>
      </c>
      <c r="Q12">
        <f>Model!Q10</f>
        <v>0</v>
      </c>
      <c r="R12">
        <f>Model!R10</f>
        <v>0</v>
      </c>
      <c r="S12">
        <f>Model!S10</f>
        <v>0</v>
      </c>
      <c r="T12">
        <f>Model!T10</f>
        <v>0</v>
      </c>
      <c r="U12">
        <f>Model!U10</f>
        <v>0</v>
      </c>
      <c r="V12">
        <f>Model!V10</f>
        <v>0</v>
      </c>
      <c r="W12">
        <f>Model!W10</f>
        <v>0</v>
      </c>
      <c r="X12">
        <f>Model!X10</f>
        <v>0</v>
      </c>
      <c r="Y12">
        <f>Model!Y10</f>
        <v>0</v>
      </c>
      <c r="Z12">
        <f>Model!Z10</f>
        <v>0</v>
      </c>
      <c r="AA12">
        <f>Model!AA10</f>
        <v>0</v>
      </c>
      <c r="AB12">
        <f>Model!AB10</f>
        <v>0</v>
      </c>
      <c r="AC12">
        <f>Model!AC10</f>
        <v>0</v>
      </c>
      <c r="AD12">
        <f>Model!AD10</f>
        <v>0</v>
      </c>
      <c r="AE12">
        <f>Model!AE10</f>
        <v>0</v>
      </c>
      <c r="AF12">
        <f>Model!AF10</f>
        <v>0</v>
      </c>
      <c r="AG12">
        <f>Model!AG10</f>
        <v>0</v>
      </c>
      <c r="AH12">
        <f>Model!AH10</f>
        <v>0</v>
      </c>
      <c r="AI12">
        <f>Model!AI10</f>
        <v>0</v>
      </c>
      <c r="AJ12">
        <f>Model!AJ10</f>
        <v>0</v>
      </c>
      <c r="AL12">
        <f>Model!BG10</f>
        <v>0</v>
      </c>
      <c r="AM12">
        <f>Model!BH10</f>
        <v>0</v>
      </c>
      <c r="AN12">
        <f>Model!BI10</f>
        <v>0</v>
      </c>
      <c r="AO12">
        <f>Model!BJ10</f>
        <v>0</v>
      </c>
      <c r="AP12">
        <f>Model!BK10</f>
        <v>0</v>
      </c>
      <c r="AQ12">
        <f>Model!BL10</f>
        <v>0</v>
      </c>
      <c r="AR12">
        <f>Model!BM10</f>
        <v>0</v>
      </c>
      <c r="AS12">
        <f>Model!BN10</f>
        <v>0</v>
      </c>
      <c r="AT12">
        <f>Model!BO10</f>
        <v>0</v>
      </c>
      <c r="AU12">
        <f>Model!BP10</f>
        <v>0</v>
      </c>
      <c r="AV12">
        <f>Model!BQ10</f>
        <v>0</v>
      </c>
      <c r="AW12">
        <f>Model!BR10</f>
        <v>0</v>
      </c>
      <c r="AX12">
        <f>Model!BS10</f>
        <v>0</v>
      </c>
      <c r="AY12">
        <f>Model!BT10</f>
        <v>0</v>
      </c>
      <c r="AZ12">
        <f>Model!BU10</f>
        <v>0</v>
      </c>
    </row>
    <row r="13" spans="1:61" ht="11.25" customHeight="1">
      <c r="I13">
        <f>Model!I17</f>
        <v>0</v>
      </c>
      <c r="M13">
        <f>Model!M17</f>
        <v>0</v>
      </c>
      <c r="N13">
        <f>Model!N17</f>
        <v>0</v>
      </c>
      <c r="O13">
        <f>Model!O17</f>
        <v>0</v>
      </c>
      <c r="P13">
        <f>Model!P17</f>
        <v>0</v>
      </c>
      <c r="Q13">
        <f>Model!Q17</f>
        <v>0</v>
      </c>
      <c r="R13">
        <f>Model!R17</f>
        <v>0</v>
      </c>
      <c r="S13">
        <f>Model!S17</f>
        <v>0</v>
      </c>
      <c r="T13">
        <f>Model!T17</f>
        <v>0</v>
      </c>
      <c r="U13">
        <f>Model!U17</f>
        <v>0</v>
      </c>
      <c r="V13">
        <f>Model!V17</f>
        <v>0</v>
      </c>
      <c r="W13">
        <f>Model!W17</f>
        <v>0</v>
      </c>
      <c r="X13">
        <f>Model!X17</f>
        <v>0</v>
      </c>
      <c r="Y13">
        <f>Model!Y17</f>
        <v>0</v>
      </c>
      <c r="Z13">
        <f>Model!Z17</f>
        <v>0</v>
      </c>
      <c r="AA13">
        <f>Model!AA17</f>
        <v>0</v>
      </c>
      <c r="AB13">
        <f>Model!AB17</f>
        <v>0</v>
      </c>
      <c r="AC13">
        <f>Model!AC17</f>
        <v>0</v>
      </c>
      <c r="AD13">
        <f>Model!AD17</f>
        <v>0</v>
      </c>
      <c r="AE13">
        <f>Model!AE17</f>
        <v>0</v>
      </c>
      <c r="AF13">
        <f>Model!AF17</f>
        <v>0</v>
      </c>
      <c r="AG13">
        <f>Model!AG17</f>
        <v>0</v>
      </c>
      <c r="AH13">
        <f>Model!AH17</f>
        <v>0</v>
      </c>
      <c r="AI13">
        <f>Model!AI17</f>
        <v>0</v>
      </c>
      <c r="AJ13">
        <f>Model!AJ17</f>
        <v>0</v>
      </c>
      <c r="AL13">
        <f>Model!BG17</f>
        <v>0</v>
      </c>
      <c r="AM13">
        <f>Model!BH17</f>
        <v>0</v>
      </c>
      <c r="AN13">
        <f>Model!BI17</f>
        <v>0</v>
      </c>
      <c r="AO13">
        <f>Model!BJ17</f>
        <v>0</v>
      </c>
      <c r="AP13">
        <f>Model!BK17</f>
        <v>0</v>
      </c>
      <c r="AQ13">
        <f>Model!BL17</f>
        <v>0</v>
      </c>
      <c r="AR13">
        <f>Model!BM17</f>
        <v>0</v>
      </c>
      <c r="AS13">
        <f>Model!BN17</f>
        <v>0</v>
      </c>
      <c r="AT13">
        <f>Model!BO17</f>
        <v>0</v>
      </c>
      <c r="AU13">
        <f>Model!BP17</f>
        <v>0</v>
      </c>
      <c r="AV13">
        <f>Model!BQ17</f>
        <v>0</v>
      </c>
      <c r="AW13">
        <f>Model!BR17</f>
        <v>0</v>
      </c>
      <c r="AX13">
        <f>Model!BS17</f>
        <v>0</v>
      </c>
      <c r="AY13">
        <f>Model!BT17</f>
        <v>0</v>
      </c>
      <c r="AZ13">
        <f>Model!BU17</f>
        <v>0</v>
      </c>
    </row>
    <row r="14" spans="1:61" ht="11.25" customHeight="1">
      <c r="I14" t="str">
        <f>Model!I23</f>
        <v>Total net revenue</v>
      </c>
      <c r="M14">
        <f>Model!M23</f>
        <v>9.1359999999999992</v>
      </c>
      <c r="N14">
        <f>Model!N23</f>
        <v>10.726999999999999</v>
      </c>
      <c r="O14">
        <f>Model!O23</f>
        <v>12.594000000000001</v>
      </c>
      <c r="P14">
        <f>Model!P23</f>
        <v>15.274000000000001</v>
      </c>
      <c r="Q14">
        <f>Model!Q23</f>
        <v>16.5</v>
      </c>
      <c r="R14">
        <f>Model!R23</f>
        <v>19.577999999999999</v>
      </c>
      <c r="S14">
        <f>Model!S23</f>
        <v>22.302</v>
      </c>
      <c r="T14">
        <f>Model!T23</f>
        <v>24.905000000000001</v>
      </c>
      <c r="U14">
        <f>Model!U23</f>
        <v>27.384999999999998</v>
      </c>
      <c r="V14">
        <f>Model!V23</f>
        <v>32.652999999999999</v>
      </c>
      <c r="W14">
        <f>Model!W23</f>
        <v>36.371000000000002</v>
      </c>
      <c r="X14">
        <f>Model!X23</f>
        <v>41.156999999999996</v>
      </c>
      <c r="Y14">
        <f>Model!Y23</f>
        <v>46.133000000000003</v>
      </c>
      <c r="Z14">
        <f>Model!Z23</f>
        <v>55.023000000000003</v>
      </c>
      <c r="AA14">
        <f>Model!AA23</f>
        <v>61.180999999999997</v>
      </c>
      <c r="AB14">
        <f>Model!AB23</f>
        <v>70.650999999999996</v>
      </c>
      <c r="AC14">
        <f>Model!AC23</f>
        <v>76.406999999999996</v>
      </c>
      <c r="AD14">
        <f>Model!AD23</f>
        <v>88.787000000000006</v>
      </c>
      <c r="AE14">
        <f>Model!AE23</f>
        <v>102.455</v>
      </c>
      <c r="AF14">
        <f>Model!AF23</f>
        <v>109.887</v>
      </c>
      <c r="AG14">
        <f>Model!AG23</f>
        <v>111.8</v>
      </c>
      <c r="AH14">
        <f>Model!AH23</f>
        <v>125.6</v>
      </c>
      <c r="AI14">
        <f>Model!AI23</f>
        <v>134.6</v>
      </c>
      <c r="AJ14">
        <f>Model!AJ23</f>
        <v>146.69999999999999</v>
      </c>
      <c r="AL14">
        <f>Model!BG23</f>
        <v>0.443</v>
      </c>
      <c r="AM14">
        <f>Model!BH23</f>
        <v>3.7450000000000001</v>
      </c>
      <c r="AN14">
        <f>Model!BI23</f>
        <v>12.139000000000001</v>
      </c>
      <c r="AO14">
        <f>Model!BJ23</f>
        <v>25.808000000000003</v>
      </c>
      <c r="AP14">
        <f>Model!BK23</f>
        <v>47.731000000000002</v>
      </c>
      <c r="AQ14">
        <f>Model!BL23</f>
        <v>83.284999999999997</v>
      </c>
      <c r="AR14">
        <f>Model!BM23</f>
        <v>137.56599999999997</v>
      </c>
      <c r="AS14">
        <f>Model!BN23</f>
        <v>232.988</v>
      </c>
      <c r="AT14">
        <f>Model!BO23</f>
        <v>377.536</v>
      </c>
      <c r="AU14">
        <f>Model!BP23</f>
        <v>518.70000000000005</v>
      </c>
      <c r="AV14" s="2597">
        <f>Model!BQ23</f>
        <v>713.06899999999996</v>
      </c>
      <c r="AW14" s="2597">
        <f>Model!BR23</f>
        <v>846.81299999999999</v>
      </c>
      <c r="AX14">
        <f>Model!BS23</f>
        <v>960</v>
      </c>
      <c r="AY14">
        <f>Model!BT23</f>
        <v>1116.4000000000001</v>
      </c>
      <c r="AZ14">
        <f>Model!BU23</f>
        <v>1260.5999999999999</v>
      </c>
    </row>
    <row r="15" spans="1:61" ht="11.25" customHeight="1">
      <c r="I15" t="str">
        <f>Model!I24</f>
        <v>Advertising (Direct and resellers)</v>
      </c>
      <c r="M15">
        <f>Model!M24</f>
        <v>0</v>
      </c>
      <c r="N15">
        <f>Model!N24</f>
        <v>0</v>
      </c>
      <c r="O15">
        <f>Model!O24</f>
        <v>0</v>
      </c>
      <c r="P15">
        <f>Model!P24</f>
        <v>0</v>
      </c>
      <c r="Q15">
        <f>Model!Q24</f>
        <v>0</v>
      </c>
      <c r="R15">
        <f>Model!R24</f>
        <v>0</v>
      </c>
      <c r="S15">
        <f>Model!S24</f>
        <v>0</v>
      </c>
      <c r="T15">
        <f>Model!T24</f>
        <v>0</v>
      </c>
      <c r="U15">
        <f>Model!U24</f>
        <v>0</v>
      </c>
      <c r="V15">
        <f>Model!V24</f>
        <v>0</v>
      </c>
      <c r="W15">
        <f>Model!W24</f>
        <v>0</v>
      </c>
      <c r="X15">
        <f>Model!X24</f>
        <v>0</v>
      </c>
      <c r="Y15">
        <f>Model!Y24</f>
        <v>0</v>
      </c>
      <c r="Z15">
        <f>Model!Z24</f>
        <v>0</v>
      </c>
      <c r="AA15">
        <f>Model!AA24</f>
        <v>0</v>
      </c>
      <c r="AB15">
        <f>Model!AB24</f>
        <v>0</v>
      </c>
      <c r="AC15">
        <f>Model!AC24</f>
        <v>0</v>
      </c>
      <c r="AD15">
        <f>Model!AD24</f>
        <v>0</v>
      </c>
      <c r="AE15">
        <f>Model!AE24</f>
        <v>0</v>
      </c>
      <c r="AF15">
        <f>Model!AF24</f>
        <v>0</v>
      </c>
      <c r="AG15">
        <f>Model!AG24</f>
        <v>104.3</v>
      </c>
      <c r="AH15">
        <f>Model!AH24</f>
        <v>113.5</v>
      </c>
      <c r="AI15">
        <f>Model!AI24</f>
        <v>121.9</v>
      </c>
      <c r="AJ15">
        <f>Model!AJ24</f>
        <v>131.69999999999999</v>
      </c>
      <c r="AL15">
        <f>Model!BG24</f>
        <v>0</v>
      </c>
      <c r="AM15">
        <f>Model!BH24</f>
        <v>0</v>
      </c>
      <c r="AN15">
        <f>Model!BI24</f>
        <v>0</v>
      </c>
      <c r="AO15">
        <f>Model!BJ24</f>
        <v>0</v>
      </c>
      <c r="AP15">
        <f>Model!BK24</f>
        <v>0</v>
      </c>
      <c r="AQ15">
        <f>Model!BL24</f>
        <v>0</v>
      </c>
      <c r="AR15">
        <f>Model!BM24</f>
        <v>0</v>
      </c>
      <c r="AS15">
        <f>Model!BN24</f>
        <v>0</v>
      </c>
      <c r="AT15">
        <f>Model!BO24</f>
        <v>0</v>
      </c>
      <c r="AU15">
        <f>Model!BP24</f>
        <v>471.40000000000003</v>
      </c>
      <c r="AV15">
        <f>Model!BQ24</f>
        <v>645.20000000000005</v>
      </c>
      <c r="AW15">
        <f>Model!BR24</f>
        <v>771.6</v>
      </c>
      <c r="AX15">
        <f>Model!BS24</f>
        <v>907.6</v>
      </c>
      <c r="AY15">
        <f>Model!BT24</f>
        <v>1036.0999999999999</v>
      </c>
      <c r="AZ15">
        <f>Model!BU24</f>
        <v>1158.5999999999999</v>
      </c>
    </row>
    <row r="16" spans="1:61" ht="11.25" customHeight="1">
      <c r="I16" t="str">
        <f>Model!I25</f>
        <v>Transactions (EAT24)</v>
      </c>
      <c r="M16">
        <f>Model!M25</f>
        <v>0</v>
      </c>
      <c r="N16">
        <f>Model!N25</f>
        <v>0</v>
      </c>
      <c r="O16">
        <f>Model!O25</f>
        <v>0</v>
      </c>
      <c r="P16">
        <f>Model!P25</f>
        <v>0</v>
      </c>
      <c r="Q16">
        <f>Model!Q25</f>
        <v>0</v>
      </c>
      <c r="R16">
        <f>Model!R25</f>
        <v>0</v>
      </c>
      <c r="S16">
        <f>Model!S25</f>
        <v>0</v>
      </c>
      <c r="T16">
        <f>Model!T25</f>
        <v>0</v>
      </c>
      <c r="U16">
        <f>Model!U25</f>
        <v>0</v>
      </c>
      <c r="V16">
        <f>Model!V25</f>
        <v>0</v>
      </c>
      <c r="W16">
        <f>Model!W25</f>
        <v>0</v>
      </c>
      <c r="X16">
        <f>Model!X25</f>
        <v>0</v>
      </c>
      <c r="Y16">
        <f>Model!Y25</f>
        <v>0</v>
      </c>
      <c r="Z16">
        <f>Model!Z25</f>
        <v>0</v>
      </c>
      <c r="AA16">
        <f>Model!AA25</f>
        <v>0</v>
      </c>
      <c r="AB16">
        <f>Model!AB25</f>
        <v>0</v>
      </c>
      <c r="AC16">
        <f>Model!AC25</f>
        <v>0</v>
      </c>
      <c r="AD16">
        <f>Model!AD25</f>
        <v>0</v>
      </c>
      <c r="AE16">
        <f>Model!AE25</f>
        <v>0</v>
      </c>
      <c r="AF16">
        <f>Model!AF25</f>
        <v>0</v>
      </c>
      <c r="AG16">
        <f>Model!AG25</f>
        <v>6.6</v>
      </c>
      <c r="AH16">
        <f>Model!AH25</f>
        <v>11.3</v>
      </c>
      <c r="AI16">
        <f>Model!AI25</f>
        <v>12</v>
      </c>
      <c r="AJ16">
        <f>Model!AJ25</f>
        <v>14</v>
      </c>
      <c r="AL16">
        <f>Model!BG25</f>
        <v>0</v>
      </c>
      <c r="AM16">
        <f>Model!BH25</f>
        <v>0</v>
      </c>
      <c r="AN16">
        <f>Model!BI25</f>
        <v>0</v>
      </c>
      <c r="AO16">
        <f>Model!BJ25</f>
        <v>0</v>
      </c>
      <c r="AP16">
        <f>Model!BK25</f>
        <v>0</v>
      </c>
      <c r="AQ16">
        <f>Model!BL25</f>
        <v>0</v>
      </c>
      <c r="AR16">
        <f>Model!BM25</f>
        <v>0</v>
      </c>
      <c r="AS16">
        <f>Model!BN25</f>
        <v>0</v>
      </c>
      <c r="AT16">
        <f>Model!BO25</f>
        <v>0</v>
      </c>
      <c r="AU16">
        <f>Model!BP25</f>
        <v>43.9</v>
      </c>
      <c r="AV16">
        <f>Model!BQ25</f>
        <v>62.5</v>
      </c>
      <c r="AW16">
        <f>Model!BR25</f>
        <v>60.2</v>
      </c>
      <c r="AX16">
        <f>Model!BS25</f>
        <v>28</v>
      </c>
      <c r="AY16">
        <f>Model!BT25</f>
        <v>46.3</v>
      </c>
      <c r="AZ16">
        <f>Model!BU25</f>
        <v>58.399999999999991</v>
      </c>
    </row>
    <row r="17" spans="9:52" ht="11.25" customHeight="1">
      <c r="I17" t="str">
        <f>Model!I26</f>
        <v>Other Services (Reservations, Nowait)</v>
      </c>
      <c r="M17">
        <f>Model!M26</f>
        <v>0</v>
      </c>
      <c r="N17">
        <f>Model!N26</f>
        <v>0</v>
      </c>
      <c r="O17">
        <f>Model!O26</f>
        <v>0</v>
      </c>
      <c r="P17">
        <f>Model!P26</f>
        <v>0</v>
      </c>
      <c r="Q17">
        <f>Model!Q26</f>
        <v>0</v>
      </c>
      <c r="R17">
        <f>Model!R26</f>
        <v>0</v>
      </c>
      <c r="S17">
        <f>Model!S26</f>
        <v>0</v>
      </c>
      <c r="T17">
        <f>Model!T26</f>
        <v>0</v>
      </c>
      <c r="U17">
        <f>Model!U26</f>
        <v>0</v>
      </c>
      <c r="V17">
        <f>Model!V26</f>
        <v>0</v>
      </c>
      <c r="W17">
        <f>Model!W26</f>
        <v>0</v>
      </c>
      <c r="X17">
        <f>Model!X26</f>
        <v>0</v>
      </c>
      <c r="Y17">
        <f>Model!Y26</f>
        <v>0</v>
      </c>
      <c r="Z17">
        <f>Model!Z26</f>
        <v>0</v>
      </c>
      <c r="AA17">
        <f>Model!AA26</f>
        <v>0</v>
      </c>
      <c r="AB17">
        <f>Model!AB26</f>
        <v>0</v>
      </c>
      <c r="AC17">
        <f>Model!AC26</f>
        <v>0</v>
      </c>
      <c r="AD17">
        <f>Model!AD26</f>
        <v>0</v>
      </c>
      <c r="AE17">
        <f>Model!AE26</f>
        <v>0</v>
      </c>
      <c r="AF17">
        <f>Model!AF26</f>
        <v>0</v>
      </c>
      <c r="AG17">
        <f>Model!AG26</f>
        <v>0.9</v>
      </c>
      <c r="AH17">
        <f>Model!AH26</f>
        <v>0.8</v>
      </c>
      <c r="AI17">
        <f>Model!AI26</f>
        <v>0.7</v>
      </c>
      <c r="AJ17">
        <f>Model!AJ26</f>
        <v>1</v>
      </c>
      <c r="AL17">
        <f>Model!BG26</f>
        <v>0</v>
      </c>
      <c r="AM17">
        <f>Model!BH26</f>
        <v>0</v>
      </c>
      <c r="AN17">
        <f>Model!BI26</f>
        <v>0</v>
      </c>
      <c r="AO17">
        <f>Model!BJ26</f>
        <v>0</v>
      </c>
      <c r="AP17">
        <f>Model!BK26</f>
        <v>0</v>
      </c>
      <c r="AQ17">
        <f>Model!BL26</f>
        <v>0</v>
      </c>
      <c r="AR17">
        <f>Model!BM26</f>
        <v>0</v>
      </c>
      <c r="AS17">
        <f>Model!BN26</f>
        <v>0</v>
      </c>
      <c r="AT17">
        <f>Model!BO26</f>
        <v>0</v>
      </c>
      <c r="AU17">
        <f>Model!BP26</f>
        <v>3.4000000000000004</v>
      </c>
      <c r="AV17">
        <f>Model!BQ26</f>
        <v>5.3999999999999995</v>
      </c>
      <c r="AW17">
        <f>Model!BR26</f>
        <v>14.9</v>
      </c>
      <c r="AX17">
        <f>Model!BS26</f>
        <v>24.4</v>
      </c>
      <c r="AY17">
        <f>Model!BT26</f>
        <v>33.999999999999993</v>
      </c>
      <c r="AZ17">
        <f>Model!BU26</f>
        <v>43.599999999999987</v>
      </c>
    </row>
    <row r="18" spans="9:52" ht="11.25" customHeight="1">
      <c r="I18">
        <f>Model!I27</f>
        <v>0</v>
      </c>
      <c r="M18">
        <f>Model!M27</f>
        <v>0</v>
      </c>
      <c r="N18">
        <f>Model!N27</f>
        <v>0</v>
      </c>
      <c r="O18">
        <f>Model!O27</f>
        <v>0</v>
      </c>
      <c r="P18">
        <f>Model!P27</f>
        <v>0</v>
      </c>
      <c r="Q18">
        <f>Model!Q27</f>
        <v>0</v>
      </c>
      <c r="R18">
        <f>Model!R27</f>
        <v>0</v>
      </c>
      <c r="S18">
        <f>Model!S27</f>
        <v>0</v>
      </c>
      <c r="T18">
        <f>Model!T27</f>
        <v>0</v>
      </c>
      <c r="U18">
        <f>Model!U27</f>
        <v>0</v>
      </c>
      <c r="V18">
        <f>Model!V27</f>
        <v>0</v>
      </c>
      <c r="W18">
        <f>Model!W27</f>
        <v>0</v>
      </c>
      <c r="X18">
        <f>Model!X27</f>
        <v>0</v>
      </c>
      <c r="Y18">
        <f>Model!Y27</f>
        <v>0</v>
      </c>
      <c r="Z18">
        <f>Model!Z27</f>
        <v>0</v>
      </c>
      <c r="AA18">
        <f>Model!AA27</f>
        <v>0</v>
      </c>
      <c r="AB18">
        <f>Model!AB27</f>
        <v>0</v>
      </c>
      <c r="AC18">
        <f>Model!AC27</f>
        <v>0</v>
      </c>
      <c r="AD18">
        <f>Model!AD27</f>
        <v>0</v>
      </c>
      <c r="AE18">
        <f>Model!AE27</f>
        <v>0</v>
      </c>
      <c r="AF18">
        <f>Model!AF27</f>
        <v>0</v>
      </c>
      <c r="AG18">
        <f>Model!AG27</f>
        <v>0</v>
      </c>
      <c r="AH18">
        <f>Model!AH27</f>
        <v>0</v>
      </c>
      <c r="AI18">
        <f>Model!AI27</f>
        <v>0</v>
      </c>
      <c r="AJ18">
        <f>Model!AJ27</f>
        <v>0</v>
      </c>
      <c r="AL18">
        <f>Model!BG27</f>
        <v>0</v>
      </c>
      <c r="AM18">
        <f>Model!BH27</f>
        <v>0</v>
      </c>
      <c r="AN18">
        <f>Model!BI27</f>
        <v>0</v>
      </c>
      <c r="AO18">
        <f>Model!BJ27</f>
        <v>0</v>
      </c>
      <c r="AP18">
        <f>Model!BK27</f>
        <v>0</v>
      </c>
      <c r="AQ18">
        <f>Model!BL27</f>
        <v>0</v>
      </c>
      <c r="AR18">
        <f>Model!BM27</f>
        <v>0</v>
      </c>
      <c r="AS18">
        <f>Model!BN27</f>
        <v>0</v>
      </c>
      <c r="AT18">
        <f>Model!BO27</f>
        <v>0</v>
      </c>
      <c r="AU18">
        <f>Model!BP27</f>
        <v>0</v>
      </c>
      <c r="AV18">
        <f>Model!BQ27</f>
        <v>0</v>
      </c>
      <c r="AW18">
        <f>Model!BR27</f>
        <v>0</v>
      </c>
      <c r="AX18">
        <f>Model!BS27</f>
        <v>0</v>
      </c>
      <c r="AY18">
        <f>Model!BT27</f>
        <v>0</v>
      </c>
      <c r="AZ18">
        <f>Model!BU27</f>
        <v>0</v>
      </c>
    </row>
    <row r="19" spans="9:52" ht="11.25" customHeight="1">
      <c r="I19" t="str">
        <f>Model!I28</f>
        <v>Cost of revenue (ex-SBC/D&amp;A)</v>
      </c>
      <c r="M19">
        <f>Model!M28</f>
        <v>0.56699999999999995</v>
      </c>
      <c r="N19">
        <f>Model!N28</f>
        <v>0.71299999999999997</v>
      </c>
      <c r="O19">
        <f>Model!O28</f>
        <v>0.87</v>
      </c>
      <c r="P19">
        <f>Model!P28</f>
        <v>0.96099999999999997</v>
      </c>
      <c r="Q19">
        <f>Model!Q28</f>
        <v>1.2670000000000001</v>
      </c>
      <c r="R19">
        <f>Model!R28</f>
        <v>1.274</v>
      </c>
      <c r="S19">
        <f>Model!S28</f>
        <v>1.524</v>
      </c>
      <c r="T19">
        <f>Model!T28</f>
        <v>1.8160000000000001</v>
      </c>
      <c r="U19">
        <f>Model!U28</f>
        <v>2.1029999999999998</v>
      </c>
      <c r="V19">
        <f>Model!V28</f>
        <v>2.2629999999999999</v>
      </c>
      <c r="W19">
        <f>Model!W28</f>
        <v>2.4739999999999998</v>
      </c>
      <c r="X19">
        <f>Model!X28</f>
        <v>2.9650000000000003</v>
      </c>
      <c r="Y19">
        <f>Model!Y28</f>
        <v>3.2679999999999998</v>
      </c>
      <c r="Z19">
        <f>Model!Z28</f>
        <v>3.9129999999999998</v>
      </c>
      <c r="AA19">
        <f>Model!AA28</f>
        <v>4.173</v>
      </c>
      <c r="AB19">
        <f>Model!AB28</f>
        <v>4.7860000000000005</v>
      </c>
      <c r="AC19">
        <f>Model!AC28</f>
        <v>4.9269999999999996</v>
      </c>
      <c r="AD19">
        <f>Model!AD28</f>
        <v>5.726</v>
      </c>
      <c r="AE19">
        <f>Model!AE28</f>
        <v>5.9210000000000003</v>
      </c>
      <c r="AF19">
        <f>Model!AF28</f>
        <v>7.0789999999999997</v>
      </c>
      <c r="AG19">
        <f>Model!AG28</f>
        <v>8.5749999999999993</v>
      </c>
      <c r="AH19">
        <f>Model!AH28</f>
        <v>12.835000000000001</v>
      </c>
      <c r="AI19">
        <f>Model!AI28</f>
        <v>13.824</v>
      </c>
      <c r="AJ19">
        <f>Model!AJ28</f>
        <v>14.664</v>
      </c>
      <c r="AL19">
        <f>Model!BG28</f>
        <v>0</v>
      </c>
      <c r="AM19">
        <f>Model!BH28</f>
        <v>0.23200000000000001</v>
      </c>
      <c r="AN19">
        <f>Model!BI28</f>
        <v>0.60799999999999998</v>
      </c>
      <c r="AO19">
        <f>Model!BJ28</f>
        <v>1.121</v>
      </c>
      <c r="AP19">
        <f>Model!BK28</f>
        <v>3.1109999999999998</v>
      </c>
      <c r="AQ19">
        <f>Model!BL28</f>
        <v>5.8810000000000002</v>
      </c>
      <c r="AR19">
        <f>Model!BM28</f>
        <v>9.8049999999999997</v>
      </c>
      <c r="AS19">
        <f>Model!BN28</f>
        <v>16.14</v>
      </c>
      <c r="AT19">
        <f>Model!BO28</f>
        <v>23.652999999999999</v>
      </c>
      <c r="AU19">
        <f>Model!BP28</f>
        <v>49.898000000000003</v>
      </c>
      <c r="AV19">
        <f>Model!BQ28</f>
        <v>57.916999999999994</v>
      </c>
      <c r="AW19">
        <f>Model!BR28</f>
        <v>66.50800000000001</v>
      </c>
      <c r="AX19">
        <f>Model!BS28</f>
        <v>71.642123828768007</v>
      </c>
      <c r="AY19">
        <f>Model!BT28</f>
        <v>81.141267769257837</v>
      </c>
      <c r="AZ19">
        <f>Model!BU28</f>
        <v>89.131574163532534</v>
      </c>
    </row>
    <row r="20" spans="9:52" ht="11.25" customHeight="1">
      <c r="I20" t="str">
        <f>Model!I29</f>
        <v>Gross profit</v>
      </c>
      <c r="M20">
        <f>Model!M29</f>
        <v>8.5689999999999991</v>
      </c>
      <c r="N20">
        <f>Model!N29</f>
        <v>10.013999999999999</v>
      </c>
      <c r="O20">
        <f>Model!O29</f>
        <v>11.724000000000002</v>
      </c>
      <c r="P20">
        <f>Model!P29</f>
        <v>14.313000000000001</v>
      </c>
      <c r="Q20">
        <f>Model!Q29</f>
        <v>15.233000000000001</v>
      </c>
      <c r="R20">
        <f>Model!R29</f>
        <v>18.303999999999998</v>
      </c>
      <c r="S20">
        <f>Model!S29</f>
        <v>20.777999999999999</v>
      </c>
      <c r="T20">
        <f>Model!T29</f>
        <v>23.089000000000002</v>
      </c>
      <c r="U20">
        <f>Model!U29</f>
        <v>25.281999999999996</v>
      </c>
      <c r="V20">
        <f>Model!V29</f>
        <v>30.39</v>
      </c>
      <c r="W20">
        <f>Model!W29</f>
        <v>33.897000000000006</v>
      </c>
      <c r="X20">
        <f>Model!X29</f>
        <v>38.191999999999993</v>
      </c>
      <c r="Y20">
        <f>Model!Y29</f>
        <v>42.865000000000002</v>
      </c>
      <c r="Z20">
        <f>Model!Z29</f>
        <v>51.110000000000007</v>
      </c>
      <c r="AA20">
        <f>Model!AA29</f>
        <v>57.007999999999996</v>
      </c>
      <c r="AB20">
        <f>Model!AB29</f>
        <v>65.864999999999995</v>
      </c>
      <c r="AC20">
        <f>Model!AC29</f>
        <v>71.47999999999999</v>
      </c>
      <c r="AD20">
        <f>Model!AD29</f>
        <v>83.061000000000007</v>
      </c>
      <c r="AE20">
        <f>Model!AE29</f>
        <v>96.533999999999992</v>
      </c>
      <c r="AF20">
        <f>Model!AF29</f>
        <v>102.80800000000001</v>
      </c>
      <c r="AG20">
        <f>Model!AG29</f>
        <v>103.22499999999999</v>
      </c>
      <c r="AH20">
        <f>Model!AH29</f>
        <v>112.76499999999999</v>
      </c>
      <c r="AI20">
        <f>Model!AI29</f>
        <v>120.776</v>
      </c>
      <c r="AJ20">
        <f>Model!AJ29</f>
        <v>132.036</v>
      </c>
      <c r="AL20">
        <f>Model!BG29</f>
        <v>0.443</v>
      </c>
      <c r="AM20">
        <f>Model!BH29</f>
        <v>3.5129999999999999</v>
      </c>
      <c r="AN20">
        <f>Model!BI29</f>
        <v>11.531000000000001</v>
      </c>
      <c r="AO20">
        <f>Model!BJ29</f>
        <v>24.687000000000005</v>
      </c>
      <c r="AP20">
        <f>Model!BK29</f>
        <v>44.620000000000005</v>
      </c>
      <c r="AQ20">
        <f>Model!BL29</f>
        <v>77.403999999999996</v>
      </c>
      <c r="AR20">
        <f>Model!BM29</f>
        <v>127.76099999999997</v>
      </c>
      <c r="AS20">
        <f>Model!BN29</f>
        <v>216.84800000000001</v>
      </c>
      <c r="AT20">
        <f>Model!BO29</f>
        <v>353.88299999999998</v>
      </c>
      <c r="AU20">
        <f>Model!BP29</f>
        <v>468.80200000000002</v>
      </c>
      <c r="AV20" s="2597">
        <f>Model!BQ29</f>
        <v>655.15199999999993</v>
      </c>
      <c r="AW20" s="2597">
        <f>Model!BR29</f>
        <v>780.30499999999995</v>
      </c>
      <c r="AX20">
        <f>Model!BS29</f>
        <v>888.35787617123196</v>
      </c>
      <c r="AY20">
        <f>Model!BT29</f>
        <v>1035.2587322307422</v>
      </c>
      <c r="AZ20">
        <f>Model!BU29</f>
        <v>1171.4684258364673</v>
      </c>
    </row>
    <row r="21" spans="9:52" ht="11.25" customHeight="1">
      <c r="I21" t="str">
        <f>Model!I30</f>
        <v>Gross margin</v>
      </c>
      <c r="M21">
        <f>Model!M30</f>
        <v>0.93793782837127848</v>
      </c>
      <c r="N21">
        <f>Model!N30</f>
        <v>0.93353220844597751</v>
      </c>
      <c r="O21">
        <f>Model!O30</f>
        <v>0.93091948546927117</v>
      </c>
      <c r="P21">
        <f>Model!P30</f>
        <v>0.93708262406704201</v>
      </c>
      <c r="Q21">
        <f>Model!Q30</f>
        <v>0.92321212121212126</v>
      </c>
      <c r="R21">
        <f>Model!R30</f>
        <v>0.93492695883134125</v>
      </c>
      <c r="S21">
        <f>Model!S30</f>
        <v>0.93166532149582992</v>
      </c>
      <c r="T21">
        <f>Model!T30</f>
        <v>0.92708291507729379</v>
      </c>
      <c r="U21">
        <f>Model!U30</f>
        <v>0.92320613474529845</v>
      </c>
      <c r="V21">
        <f>Model!V30</f>
        <v>0.93069549505405325</v>
      </c>
      <c r="W21">
        <f>Model!W30</f>
        <v>0.93197877429820475</v>
      </c>
      <c r="X21">
        <f>Model!X30</f>
        <v>0.92795879194304731</v>
      </c>
      <c r="Y21">
        <f>Model!Y30</f>
        <v>0.92916133787093835</v>
      </c>
      <c r="Z21">
        <f>Model!Z30</f>
        <v>0.92888428475364859</v>
      </c>
      <c r="AA21">
        <f>Model!AA30</f>
        <v>0.93179254997466532</v>
      </c>
      <c r="AB21">
        <f>Model!AB30</f>
        <v>0.93225856675772456</v>
      </c>
      <c r="AC21">
        <f>Model!AC30</f>
        <v>0.93551637938932286</v>
      </c>
      <c r="AD21">
        <f>Model!AD30</f>
        <v>0.93550857670604937</v>
      </c>
      <c r="AE21">
        <f>Model!AE30</f>
        <v>0.94220877458396368</v>
      </c>
      <c r="AF21">
        <f>Model!AF30</f>
        <v>0.93557927689353615</v>
      </c>
      <c r="AG21">
        <f>Model!AG30</f>
        <v>0.92330053667262968</v>
      </c>
      <c r="AH21">
        <f>Model!AH30</f>
        <v>0.8978105095541401</v>
      </c>
      <c r="AI21">
        <f>Model!AI30</f>
        <v>0.89729569093610695</v>
      </c>
      <c r="AJ21">
        <f>Model!AJ30</f>
        <v>0.90004089979550106</v>
      </c>
      <c r="AL21">
        <f>Model!BG30</f>
        <v>1</v>
      </c>
      <c r="AM21">
        <f>Model!BH30</f>
        <v>0.93805073431241648</v>
      </c>
      <c r="AN21">
        <f>Model!BI30</f>
        <v>0.94991350193590907</v>
      </c>
      <c r="AO21">
        <f>Model!BJ30</f>
        <v>0.95656385616862993</v>
      </c>
      <c r="AP21">
        <f>Model!BK30</f>
        <v>0.93482223293038069</v>
      </c>
      <c r="AQ21">
        <f>Model!BL30</f>
        <v>0.92938704448580178</v>
      </c>
      <c r="AR21">
        <f>Model!BM30</f>
        <v>0.92872512103281324</v>
      </c>
      <c r="AS21">
        <f>Model!BN30</f>
        <v>0.9307260459766169</v>
      </c>
      <c r="AT21">
        <f>Model!BO30</f>
        <v>0.93734902102051187</v>
      </c>
      <c r="AU21">
        <f>Model!BP30</f>
        <v>0.90380181222286482</v>
      </c>
      <c r="AV21">
        <f>Model!BQ30</f>
        <v>0.91877784618318836</v>
      </c>
      <c r="AW21">
        <f>Model!BR30</f>
        <v>0.92146081838611349</v>
      </c>
      <c r="AX21">
        <f>Model!BS30</f>
        <v>0.92537278767836662</v>
      </c>
      <c r="AY21">
        <f>Model!BT30</f>
        <v>0.9273188214177196</v>
      </c>
      <c r="AZ21">
        <f>Model!BU30</f>
        <v>0.92929432479491303</v>
      </c>
    </row>
    <row r="22" spans="9:52" ht="11.25" customHeight="1">
      <c r="I22">
        <f>Model!I31</f>
        <v>0</v>
      </c>
      <c r="M22">
        <f>Model!M31</f>
        <v>0</v>
      </c>
      <c r="N22">
        <f>Model!N31</f>
        <v>0</v>
      </c>
      <c r="O22">
        <f>Model!O31</f>
        <v>0</v>
      </c>
      <c r="P22">
        <f>Model!P31</f>
        <v>0</v>
      </c>
      <c r="Q22">
        <f>Model!Q31</f>
        <v>0</v>
      </c>
      <c r="R22">
        <f>Model!R31</f>
        <v>0</v>
      </c>
      <c r="S22">
        <f>Model!S31</f>
        <v>0</v>
      </c>
      <c r="T22">
        <f>Model!T31</f>
        <v>0</v>
      </c>
      <c r="U22">
        <f>Model!U31</f>
        <v>0</v>
      </c>
      <c r="V22">
        <f>Model!V31</f>
        <v>0</v>
      </c>
      <c r="W22">
        <f>Model!W31</f>
        <v>0</v>
      </c>
      <c r="X22">
        <f>Model!X31</f>
        <v>0</v>
      </c>
      <c r="Y22">
        <f>Model!Y31</f>
        <v>0</v>
      </c>
      <c r="Z22">
        <f>Model!Z31</f>
        <v>0</v>
      </c>
      <c r="AA22">
        <f>Model!AA31</f>
        <v>0</v>
      </c>
      <c r="AB22">
        <f>Model!AB31</f>
        <v>0</v>
      </c>
      <c r="AC22">
        <f>Model!AC31</f>
        <v>0</v>
      </c>
      <c r="AD22">
        <f>Model!AD31</f>
        <v>0</v>
      </c>
      <c r="AE22">
        <f>Model!AE31</f>
        <v>0</v>
      </c>
      <c r="AF22">
        <f>Model!AF31</f>
        <v>0</v>
      </c>
      <c r="AG22">
        <f>Model!AG31</f>
        <v>0</v>
      </c>
      <c r="AH22">
        <f>Model!AH31</f>
        <v>0</v>
      </c>
      <c r="AI22">
        <f>Model!AI31</f>
        <v>0</v>
      </c>
      <c r="AJ22">
        <f>Model!AJ31</f>
        <v>0</v>
      </c>
      <c r="AL22">
        <f>Model!BG31</f>
        <v>0</v>
      </c>
      <c r="AM22">
        <f>Model!BH31</f>
        <v>0</v>
      </c>
      <c r="AN22">
        <f>Model!BI31</f>
        <v>0</v>
      </c>
      <c r="AO22">
        <f>Model!BJ31</f>
        <v>0</v>
      </c>
      <c r="AP22">
        <f>Model!BK31</f>
        <v>0</v>
      </c>
      <c r="AQ22">
        <f>Model!BL31</f>
        <v>0</v>
      </c>
      <c r="AR22">
        <f>Model!BM31</f>
        <v>0</v>
      </c>
      <c r="AS22">
        <f>Model!BN31</f>
        <v>0</v>
      </c>
      <c r="AT22">
        <f>Model!BO31</f>
        <v>0</v>
      </c>
      <c r="AU22">
        <f>Model!BP31</f>
        <v>0</v>
      </c>
      <c r="AV22">
        <f>Model!BQ31</f>
        <v>0</v>
      </c>
      <c r="AW22">
        <f>Model!BR31</f>
        <v>0</v>
      </c>
      <c r="AX22">
        <f>Model!BS31</f>
        <v>0</v>
      </c>
      <c r="AY22">
        <f>Model!BT31</f>
        <v>0</v>
      </c>
      <c r="AZ22">
        <f>Model!BU31</f>
        <v>0</v>
      </c>
    </row>
    <row r="23" spans="9:52" ht="11.25" customHeight="1">
      <c r="I23" t="str">
        <f>Model!I32</f>
        <v>Sales and marketing (ex-SBC)</v>
      </c>
      <c r="M23">
        <f>Model!M32</f>
        <v>6.5660000000000007</v>
      </c>
      <c r="N23">
        <f>Model!N32</f>
        <v>7.7779999999999996</v>
      </c>
      <c r="O23">
        <f>Model!O32</f>
        <v>9.3360000000000003</v>
      </c>
      <c r="P23">
        <f>Model!P32</f>
        <v>9.577</v>
      </c>
      <c r="Q23">
        <f>Model!Q32</f>
        <v>11</v>
      </c>
      <c r="R23">
        <f>Model!R32</f>
        <v>12.065999999999999</v>
      </c>
      <c r="S23">
        <f>Model!S32</f>
        <v>14.338000000000001</v>
      </c>
      <c r="T23">
        <f>Model!T32</f>
        <v>15.528</v>
      </c>
      <c r="U23">
        <f>Model!U32</f>
        <v>17.646000000000001</v>
      </c>
      <c r="V23">
        <f>Model!V32</f>
        <v>19.437999999999999</v>
      </c>
      <c r="W23">
        <f>Model!W32</f>
        <v>20.149999999999999</v>
      </c>
      <c r="X23">
        <f>Model!X32</f>
        <v>23.765000000000001</v>
      </c>
      <c r="Y23">
        <f>Model!Y32</f>
        <v>26.206</v>
      </c>
      <c r="Z23">
        <f>Model!Z32</f>
        <v>28.521000000000001</v>
      </c>
      <c r="AA23">
        <f>Model!AA32</f>
        <v>31.465999999999998</v>
      </c>
      <c r="AB23">
        <f>Model!AB32</f>
        <v>35.646000000000001</v>
      </c>
      <c r="AC23">
        <f>Model!AC32</f>
        <v>41.724000000000004</v>
      </c>
      <c r="AD23">
        <f>Model!AD32</f>
        <v>44.07</v>
      </c>
      <c r="AE23">
        <f>Model!AE32</f>
        <v>50.667999999999999</v>
      </c>
      <c r="AF23">
        <f>Model!AF32</f>
        <v>49.585000000000001</v>
      </c>
      <c r="AG23">
        <f>Model!AG32</f>
        <v>58.329000000000001</v>
      </c>
      <c r="AH23">
        <f>Model!AH32</f>
        <v>62.36</v>
      </c>
      <c r="AI23">
        <f>Model!AI32</f>
        <v>77.381</v>
      </c>
      <c r="AJ23">
        <f>Model!AJ32</f>
        <v>81.731999999999999</v>
      </c>
      <c r="AL23">
        <f>Model!BG32</f>
        <v>1.0780000000000001</v>
      </c>
      <c r="AM23">
        <f>Model!BH32</f>
        <v>3.9359999999999999</v>
      </c>
      <c r="AN23">
        <f>Model!BI32</f>
        <v>9.8979999999999997</v>
      </c>
      <c r="AO23">
        <f>Model!BJ32</f>
        <v>17.757999999999999</v>
      </c>
      <c r="AP23">
        <f>Model!BK32</f>
        <v>33.256999999999998</v>
      </c>
      <c r="AQ23">
        <f>Model!BL32</f>
        <v>52.931999999999995</v>
      </c>
      <c r="AR23">
        <f>Model!BM32</f>
        <v>80.998999999999995</v>
      </c>
      <c r="AS23">
        <f>Model!BN32</f>
        <v>121.839</v>
      </c>
      <c r="AT23">
        <f>Model!BO32</f>
        <v>186.04700000000003</v>
      </c>
      <c r="AU23">
        <f>Model!BP32</f>
        <v>279.80200000000002</v>
      </c>
      <c r="AV23">
        <f>Model!BQ32</f>
        <v>355.75599999999997</v>
      </c>
      <c r="AW23">
        <f>Model!BR32</f>
        <v>410.54300000000001</v>
      </c>
      <c r="AX23">
        <f>Model!BS32</f>
        <v>469.61597181254285</v>
      </c>
      <c r="AY23">
        <f>Model!BT32</f>
        <v>540.81566740203561</v>
      </c>
      <c r="AZ23">
        <f>Model!BU32</f>
        <v>604.49602587923562</v>
      </c>
    </row>
    <row r="24" spans="9:52" ht="11.25" customHeight="1">
      <c r="I24" t="str">
        <f>Model!I33</f>
        <v>Product development (ex-SBC)</v>
      </c>
      <c r="M24">
        <f>Model!M33</f>
        <v>1.1520000000000001</v>
      </c>
      <c r="N24">
        <f>Model!N33</f>
        <v>1.484</v>
      </c>
      <c r="O24">
        <f>Model!O33</f>
        <v>1.847</v>
      </c>
      <c r="P24">
        <f>Model!P33</f>
        <v>1.8169999999999999</v>
      </c>
      <c r="Q24">
        <f>Model!Q33</f>
        <v>2.1720000000000002</v>
      </c>
      <c r="R24">
        <f>Model!R33</f>
        <v>2.488</v>
      </c>
      <c r="S24">
        <f>Model!S33</f>
        <v>3.2069999999999999</v>
      </c>
      <c r="T24">
        <f>Model!T33</f>
        <v>2.9979999999999998</v>
      </c>
      <c r="U24">
        <f>Model!U33</f>
        <v>3.8969999999999998</v>
      </c>
      <c r="V24">
        <f>Model!V33</f>
        <v>4.0360000000000005</v>
      </c>
      <c r="W24">
        <f>Model!W33</f>
        <v>5.2869999999999999</v>
      </c>
      <c r="X24">
        <f>Model!X33</f>
        <v>5.548</v>
      </c>
      <c r="Y24">
        <f>Model!Y33</f>
        <v>6.42</v>
      </c>
      <c r="Z24">
        <f>Model!Z33</f>
        <v>6.9569999999999999</v>
      </c>
      <c r="AA24">
        <f>Model!AA33</f>
        <v>9.4990000000000006</v>
      </c>
      <c r="AB24">
        <f>Model!AB33</f>
        <v>9.0969999999999995</v>
      </c>
      <c r="AC24">
        <f>Model!AC33</f>
        <v>10.94</v>
      </c>
      <c r="AD24">
        <f>Model!AD33</f>
        <v>11.270000000000001</v>
      </c>
      <c r="AE24">
        <f>Model!AE33</f>
        <v>13.561999999999998</v>
      </c>
      <c r="AF24">
        <f>Model!AF33</f>
        <v>14.525</v>
      </c>
      <c r="AG24">
        <f>Model!AG33</f>
        <v>18.855</v>
      </c>
      <c r="AH24">
        <f>Model!AH33</f>
        <v>20.279999999999998</v>
      </c>
      <c r="AI24">
        <f>Model!AI33</f>
        <v>22.564</v>
      </c>
      <c r="AJ24">
        <f>Model!AJ33</f>
        <v>22.655999999999999</v>
      </c>
      <c r="AL24">
        <f>Model!BG33</f>
        <v>0.86899999999999999</v>
      </c>
      <c r="AM24">
        <f>Model!BH33</f>
        <v>1.456</v>
      </c>
      <c r="AN24">
        <f>Model!BI33</f>
        <v>1.9830000000000001</v>
      </c>
      <c r="AO24">
        <f>Model!BJ33</f>
        <v>3.0640000000000001</v>
      </c>
      <c r="AP24">
        <f>Model!BK33</f>
        <v>6.3000000000000007</v>
      </c>
      <c r="AQ24">
        <f>Model!BL33</f>
        <v>10.865</v>
      </c>
      <c r="AR24">
        <f>Model!BM33</f>
        <v>18.768000000000001</v>
      </c>
      <c r="AS24">
        <f>Model!BN33</f>
        <v>31.972999999999999</v>
      </c>
      <c r="AT24">
        <f>Model!BO33</f>
        <v>50.296999999999997</v>
      </c>
      <c r="AU24">
        <f>Model!BP33</f>
        <v>84.35499999999999</v>
      </c>
      <c r="AV24">
        <f>Model!BQ33</f>
        <v>102.22699999999999</v>
      </c>
      <c r="AW24">
        <f>Model!BR33</f>
        <v>128.50700000000001</v>
      </c>
      <c r="AX24">
        <f>Model!BS33</f>
        <v>140.50700000000001</v>
      </c>
      <c r="AY24">
        <f>Model!BT33</f>
        <v>156.00700000000001</v>
      </c>
      <c r="AZ24">
        <f>Model!BU33</f>
        <v>168.00700000000001</v>
      </c>
    </row>
    <row r="25" spans="9:52" ht="11.25" customHeight="1">
      <c r="I25" t="str">
        <f>Model!I34</f>
        <v>General and administrative (ex-SBC)</v>
      </c>
      <c r="M25">
        <f>Model!M34</f>
        <v>1.72</v>
      </c>
      <c r="N25">
        <f>Model!N34</f>
        <v>2.718</v>
      </c>
      <c r="O25">
        <f>Model!O34</f>
        <v>2.5350000000000001</v>
      </c>
      <c r="P25">
        <f>Model!P34</f>
        <v>2.5310000000000001</v>
      </c>
      <c r="Q25">
        <f>Model!Q34</f>
        <v>2.9409999999999998</v>
      </c>
      <c r="R25">
        <f>Model!R34</f>
        <v>3.101</v>
      </c>
      <c r="S25">
        <f>Model!S34</f>
        <v>4.1150000000000002</v>
      </c>
      <c r="T25">
        <f>Model!T34</f>
        <v>4.5780000000000003</v>
      </c>
      <c r="U25">
        <f>Model!U34</f>
        <v>4.6899999999999995</v>
      </c>
      <c r="V25">
        <f>Model!V34</f>
        <v>5.335</v>
      </c>
      <c r="W25">
        <f>Model!W34</f>
        <v>6.298</v>
      </c>
      <c r="X25">
        <f>Model!X34</f>
        <v>7.0739999999999998</v>
      </c>
      <c r="Y25">
        <f>Model!Y34</f>
        <v>7.0349999999999993</v>
      </c>
      <c r="Z25">
        <f>Model!Z34</f>
        <v>7.8620000000000001</v>
      </c>
      <c r="AA25">
        <f>Model!AA34</f>
        <v>7.9930000000000003</v>
      </c>
      <c r="AB25">
        <f>Model!AB34</f>
        <v>10.717000000000001</v>
      </c>
      <c r="AC25">
        <f>Model!AC34</f>
        <v>10.303000000000001</v>
      </c>
      <c r="AD25">
        <f>Model!AD34</f>
        <v>10.477</v>
      </c>
      <c r="AE25">
        <f>Model!AE34</f>
        <v>12.238</v>
      </c>
      <c r="AF25">
        <f>Model!AF34</f>
        <v>13.598999999999998</v>
      </c>
      <c r="AG25">
        <f>Model!AG34</f>
        <v>16.432000000000002</v>
      </c>
      <c r="AH25">
        <f>Model!AH34</f>
        <v>15.705000000000002</v>
      </c>
      <c r="AI25">
        <f>Model!AI34</f>
        <v>17.256999999999998</v>
      </c>
      <c r="AJ25">
        <f>Model!AJ34</f>
        <v>17.14</v>
      </c>
      <c r="AL25">
        <f>Model!BG34</f>
        <v>0.71399999999999997</v>
      </c>
      <c r="AM25">
        <f>Model!BH34</f>
        <v>1.772</v>
      </c>
      <c r="AN25">
        <f>Model!BI34</f>
        <v>4.9530000000000003</v>
      </c>
      <c r="AO25">
        <f>Model!BJ34</f>
        <v>4.4400000000000004</v>
      </c>
      <c r="AP25">
        <f>Model!BK34</f>
        <v>9.5039999999999996</v>
      </c>
      <c r="AQ25">
        <f>Model!BL34</f>
        <v>14.734999999999999</v>
      </c>
      <c r="AR25">
        <f>Model!BM34</f>
        <v>23.396999999999998</v>
      </c>
      <c r="AS25">
        <f>Model!BN34</f>
        <v>33.606999999999999</v>
      </c>
      <c r="AT25">
        <f>Model!BO34</f>
        <v>46.616999999999997</v>
      </c>
      <c r="AU25">
        <f>Model!BP34</f>
        <v>66.533999999999992</v>
      </c>
      <c r="AV25">
        <f>Model!BQ34</f>
        <v>77.086999999999989</v>
      </c>
      <c r="AW25">
        <f>Model!BR34</f>
        <v>84.647999999999996</v>
      </c>
      <c r="AX25">
        <f>Model!BS34</f>
        <v>91.647999999999996</v>
      </c>
      <c r="AY25">
        <f>Model!BT34</f>
        <v>103.648</v>
      </c>
      <c r="AZ25">
        <f>Model!BU34</f>
        <v>115.648</v>
      </c>
    </row>
    <row r="26" spans="9:52" ht="11.25" customHeight="1">
      <c r="I26" t="str">
        <f>Model!I35</f>
        <v>Non-recurring items</v>
      </c>
      <c r="M26">
        <f>Model!M35</f>
        <v>1.3</v>
      </c>
      <c r="N26">
        <f>Model!N35</f>
        <v>0</v>
      </c>
      <c r="O26">
        <f>Model!O35</f>
        <v>0</v>
      </c>
      <c r="P26">
        <f>Model!P35</f>
        <v>0</v>
      </c>
      <c r="Q26">
        <f>Model!Q35</f>
        <v>0</v>
      </c>
      <c r="R26">
        <f>Model!R35</f>
        <v>0</v>
      </c>
      <c r="S26">
        <f>Model!S35</f>
        <v>0</v>
      </c>
      <c r="T26">
        <f>Model!T35</f>
        <v>5.9279999999999999</v>
      </c>
      <c r="U26">
        <f>Model!U35</f>
        <v>0</v>
      </c>
      <c r="V26">
        <f>Model!V35</f>
        <v>0</v>
      </c>
      <c r="W26">
        <f>Model!W35</f>
        <v>0</v>
      </c>
      <c r="X26">
        <f>Model!X35</f>
        <v>1.262</v>
      </c>
      <c r="Y26">
        <f>Model!Y35</f>
        <v>0.12</v>
      </c>
      <c r="Z26">
        <f>Model!Z35</f>
        <v>0</v>
      </c>
      <c r="AA26">
        <f>Model!AA35</f>
        <v>0</v>
      </c>
      <c r="AB26">
        <f>Model!AB35</f>
        <v>0</v>
      </c>
      <c r="AC26">
        <f>Model!AC35</f>
        <v>0</v>
      </c>
      <c r="AD26">
        <f>Model!AD35</f>
        <v>0</v>
      </c>
      <c r="AE26">
        <f>Model!AE35</f>
        <v>0</v>
      </c>
      <c r="AF26">
        <f>Model!AF35</f>
        <v>0</v>
      </c>
      <c r="AG26">
        <f>Model!AG35</f>
        <v>0</v>
      </c>
      <c r="AH26">
        <f>Model!AH35</f>
        <v>0</v>
      </c>
      <c r="AI26">
        <f>Model!AI35</f>
        <v>0</v>
      </c>
      <c r="AJ26">
        <f>Model!AJ35</f>
        <v>0</v>
      </c>
      <c r="AL26">
        <f>Model!BG35</f>
        <v>0</v>
      </c>
      <c r="AM26">
        <f>Model!BH35</f>
        <v>0</v>
      </c>
      <c r="AN26">
        <f>Model!BI35</f>
        <v>0</v>
      </c>
      <c r="AO26">
        <f>Model!BJ35</f>
        <v>0</v>
      </c>
      <c r="AP26">
        <f>Model!BK35</f>
        <v>1.3</v>
      </c>
      <c r="AQ26">
        <f>Model!BL35</f>
        <v>5.9279999999999999</v>
      </c>
      <c r="AR26">
        <f>Model!BM35</f>
        <v>1.262</v>
      </c>
      <c r="AS26">
        <f>Model!BN35</f>
        <v>0.12</v>
      </c>
      <c r="AT26">
        <f>Model!BO35</f>
        <v>0</v>
      </c>
      <c r="AU26">
        <f>Model!BP35</f>
        <v>0</v>
      </c>
      <c r="AV26">
        <f>Model!BQ35</f>
        <v>0</v>
      </c>
      <c r="AW26">
        <f>Model!BR35</f>
        <v>-164.72199999999998</v>
      </c>
      <c r="AX26">
        <f>Model!BS35</f>
        <v>0</v>
      </c>
      <c r="AY26">
        <f>Model!BT35</f>
        <v>0</v>
      </c>
      <c r="AZ26">
        <f>Model!BU35</f>
        <v>0</v>
      </c>
    </row>
    <row r="27" spans="9:52" ht="11.25" customHeight="1">
      <c r="I27" t="str">
        <f>Model!I36</f>
        <v>Stock based compensation</v>
      </c>
      <c r="M27">
        <f>Model!M36</f>
        <v>0.253</v>
      </c>
      <c r="N27">
        <f>Model!N36</f>
        <v>0.25700000000000001</v>
      </c>
      <c r="O27">
        <f>Model!O36</f>
        <v>0.36699999999999999</v>
      </c>
      <c r="P27">
        <f>Model!P36</f>
        <v>0.55400000000000005</v>
      </c>
      <c r="Q27">
        <f>Model!Q36</f>
        <v>1.1030000000000002</v>
      </c>
      <c r="R27">
        <f>Model!R36</f>
        <v>0.94799999999999995</v>
      </c>
      <c r="S27">
        <f>Model!S36</f>
        <v>1.46</v>
      </c>
      <c r="T27">
        <f>Model!T36</f>
        <v>1.3660000000000001</v>
      </c>
      <c r="U27">
        <f>Model!U36</f>
        <v>7.4290000000000003</v>
      </c>
      <c r="V27">
        <f>Model!V36</f>
        <v>1.8580000000000001</v>
      </c>
      <c r="W27">
        <f>Model!W36</f>
        <v>2.3339999999999996</v>
      </c>
      <c r="X27">
        <f>Model!X36</f>
        <v>3.258</v>
      </c>
      <c r="Y27">
        <f>Model!Y36</f>
        <v>5.16</v>
      </c>
      <c r="Z27">
        <f>Model!Z36</f>
        <v>5.7130000000000001</v>
      </c>
      <c r="AA27">
        <f>Model!AA36</f>
        <v>7.0150000000000006</v>
      </c>
      <c r="AB27">
        <f>Model!AB36</f>
        <v>8.7889999999999997</v>
      </c>
      <c r="AC27">
        <f>Model!AC36</f>
        <v>9.4559999999999995</v>
      </c>
      <c r="AD27">
        <f>Model!AD36</f>
        <v>10.083</v>
      </c>
      <c r="AE27">
        <f>Model!AE36</f>
        <v>10.917999999999999</v>
      </c>
      <c r="AF27">
        <f>Model!AF36</f>
        <v>11.816000000000001</v>
      </c>
      <c r="AG27">
        <f>Model!AG36</f>
        <v>13.670999999999999</v>
      </c>
      <c r="AH27">
        <f>Model!AH36</f>
        <v>15.516000000000002</v>
      </c>
      <c r="AI27">
        <f>Model!AI36</f>
        <v>15.683</v>
      </c>
      <c r="AJ27">
        <f>Model!AJ36</f>
        <v>15.972</v>
      </c>
      <c r="AL27">
        <f>Model!BG36</f>
        <v>0</v>
      </c>
      <c r="AM27">
        <f>Model!BH36</f>
        <v>9.4E-2</v>
      </c>
      <c r="AN27">
        <f>Model!BI36</f>
        <v>0.36499999999999999</v>
      </c>
      <c r="AO27">
        <f>Model!BJ36</f>
        <v>0.55700000000000005</v>
      </c>
      <c r="AP27">
        <f>Model!BK36</f>
        <v>1.431</v>
      </c>
      <c r="AQ27">
        <f>Model!BL36</f>
        <v>4.8770000000000007</v>
      </c>
      <c r="AR27">
        <f>Model!BM36</f>
        <v>14.879000000000001</v>
      </c>
      <c r="AS27">
        <f>Model!BN36</f>
        <v>26.677</v>
      </c>
      <c r="AT27">
        <f>Model!BO36</f>
        <v>42.273000000000003</v>
      </c>
      <c r="AU27">
        <f>Model!BP36</f>
        <v>60.842000000000006</v>
      </c>
      <c r="AV27">
        <f>Model!BQ36</f>
        <v>86.26</v>
      </c>
      <c r="AW27">
        <f>Model!BR36</f>
        <v>100.41500000000001</v>
      </c>
      <c r="AX27">
        <f>Model!BS36</f>
        <v>114.26265000000001</v>
      </c>
      <c r="AY27">
        <f>Model!BT36</f>
        <v>127.97416800000002</v>
      </c>
      <c r="AZ27">
        <f>Model!BU36</f>
        <v>140.77158480000003</v>
      </c>
    </row>
    <row r="28" spans="9:52" ht="11.25" customHeight="1">
      <c r="I28" t="str">
        <f>Model!I37</f>
        <v>Depreciation and amortization</v>
      </c>
      <c r="M28">
        <f>Model!M37</f>
        <v>0.44400000000000001</v>
      </c>
      <c r="N28">
        <f>Model!N37</f>
        <v>0.45300000000000001</v>
      </c>
      <c r="O28">
        <f>Model!O37</f>
        <v>0.58599999999999997</v>
      </c>
      <c r="P28">
        <f>Model!P37</f>
        <v>0.85099999999999998</v>
      </c>
      <c r="Q28">
        <f>Model!Q37</f>
        <v>0.81899999999999995</v>
      </c>
      <c r="R28">
        <f>Model!R37</f>
        <v>0.92400000000000004</v>
      </c>
      <c r="S28">
        <f>Model!S37</f>
        <v>1.0469999999999999</v>
      </c>
      <c r="T28">
        <f>Model!T37</f>
        <v>1.448</v>
      </c>
      <c r="U28">
        <f>Model!U37</f>
        <v>1.361</v>
      </c>
      <c r="V28">
        <f>Model!V37</f>
        <v>1.661</v>
      </c>
      <c r="W28">
        <f>Model!W37</f>
        <v>1.78</v>
      </c>
      <c r="X28">
        <f>Model!X37</f>
        <v>2.4209999999999998</v>
      </c>
      <c r="Y28">
        <f>Model!Y37</f>
        <v>2.4780000000000002</v>
      </c>
      <c r="Z28">
        <f>Model!Z37</f>
        <v>2.637</v>
      </c>
      <c r="AA28">
        <f>Model!AA37</f>
        <v>2.8159999999999998</v>
      </c>
      <c r="AB28">
        <f>Model!AB37</f>
        <v>3.524</v>
      </c>
      <c r="AC28">
        <f>Model!AC37</f>
        <v>3.661</v>
      </c>
      <c r="AD28">
        <f>Model!AD37</f>
        <v>4.0339999999999998</v>
      </c>
      <c r="AE28">
        <f>Model!AE37</f>
        <v>4.6040000000000001</v>
      </c>
      <c r="AF28">
        <f>Model!AF37</f>
        <v>5.2910000000000004</v>
      </c>
      <c r="AG28">
        <f>Model!AG37</f>
        <v>6.8949999999999996</v>
      </c>
      <c r="AH28">
        <f>Model!AH37</f>
        <v>7.1669999999999998</v>
      </c>
      <c r="AI28">
        <f>Model!AI37</f>
        <v>7.5620000000000003</v>
      </c>
      <c r="AJ28">
        <f>Model!AJ37</f>
        <v>7.98</v>
      </c>
      <c r="AL28">
        <f>Model!BG37</f>
        <v>0.01</v>
      </c>
      <c r="AM28">
        <f>Model!BH37</f>
        <v>0.17499999999999999</v>
      </c>
      <c r="AN28">
        <f>Model!BI37</f>
        <v>0.57099999999999995</v>
      </c>
      <c r="AO28">
        <f>Model!BJ37</f>
        <v>1.2010000000000001</v>
      </c>
      <c r="AP28">
        <f>Model!BK37</f>
        <v>2.3340000000000001</v>
      </c>
      <c r="AQ28">
        <f>Model!BL37</f>
        <v>4.2379999999999995</v>
      </c>
      <c r="AR28">
        <f>Model!BM37</f>
        <v>7.2230000000000008</v>
      </c>
      <c r="AS28">
        <f>Model!BN37</f>
        <v>11.455</v>
      </c>
      <c r="AT28">
        <f>Model!BO37</f>
        <v>17.59</v>
      </c>
      <c r="AU28">
        <f>Model!BP37</f>
        <v>29.603999999999999</v>
      </c>
      <c r="AV28">
        <f>Model!BQ37</f>
        <v>38.801000000000002</v>
      </c>
      <c r="AW28">
        <f>Model!BR37</f>
        <v>41.429000000000002</v>
      </c>
      <c r="AX28">
        <f>Model!BS37</f>
        <v>45.6</v>
      </c>
      <c r="AY28">
        <f>Model!BT37</f>
        <v>32.672614260071192</v>
      </c>
      <c r="AZ28">
        <f>Model!BU37</f>
        <v>37.007804950116949</v>
      </c>
    </row>
    <row r="29" spans="9:52" ht="11.25" customHeight="1">
      <c r="I29">
        <f>Model!I38</f>
        <v>0</v>
      </c>
      <c r="M29">
        <f>Model!M38</f>
        <v>0</v>
      </c>
      <c r="N29">
        <f>Model!N38</f>
        <v>0</v>
      </c>
      <c r="O29">
        <f>Model!O38</f>
        <v>0</v>
      </c>
      <c r="P29">
        <f>Model!P38</f>
        <v>0</v>
      </c>
      <c r="Q29">
        <f>Model!Q38</f>
        <v>0</v>
      </c>
      <c r="R29">
        <f>Model!R38</f>
        <v>0</v>
      </c>
      <c r="S29">
        <f>Model!S38</f>
        <v>0</v>
      </c>
      <c r="T29">
        <f>Model!T38</f>
        <v>0</v>
      </c>
      <c r="U29">
        <f>Model!U38</f>
        <v>0</v>
      </c>
      <c r="V29">
        <f>Model!V38</f>
        <v>0</v>
      </c>
      <c r="W29">
        <f>Model!W38</f>
        <v>0</v>
      </c>
      <c r="X29">
        <f>Model!X38</f>
        <v>0</v>
      </c>
      <c r="Y29">
        <f>Model!Y38</f>
        <v>0</v>
      </c>
      <c r="Z29">
        <f>Model!Z38</f>
        <v>0</v>
      </c>
      <c r="AA29">
        <f>Model!AA38</f>
        <v>0</v>
      </c>
      <c r="AB29">
        <f>Model!AB38</f>
        <v>0</v>
      </c>
      <c r="AC29">
        <f>Model!AC38</f>
        <v>0</v>
      </c>
      <c r="AD29">
        <f>Model!AD38</f>
        <v>0</v>
      </c>
      <c r="AE29">
        <f>Model!AE38</f>
        <v>0</v>
      </c>
      <c r="AF29">
        <f>Model!AF38</f>
        <v>0</v>
      </c>
      <c r="AG29">
        <f>Model!AG38</f>
        <v>0</v>
      </c>
      <c r="AH29">
        <f>Model!AH38</f>
        <v>0</v>
      </c>
      <c r="AI29">
        <f>Model!AI38</f>
        <v>0</v>
      </c>
      <c r="AJ29">
        <f>Model!AJ38</f>
        <v>0</v>
      </c>
      <c r="AL29">
        <f>Model!BG38</f>
        <v>0</v>
      </c>
      <c r="AM29">
        <f>Model!BH38</f>
        <v>0</v>
      </c>
      <c r="AN29">
        <f>Model!BI38</f>
        <v>0</v>
      </c>
      <c r="AO29">
        <f>Model!BJ38</f>
        <v>0</v>
      </c>
      <c r="AP29">
        <f>Model!BK38</f>
        <v>0</v>
      </c>
      <c r="AQ29">
        <f>Model!BL38</f>
        <v>0</v>
      </c>
      <c r="AR29">
        <f>Model!BM38</f>
        <v>0</v>
      </c>
      <c r="AS29">
        <f>Model!BN38</f>
        <v>0</v>
      </c>
      <c r="AT29">
        <f>Model!BO38</f>
        <v>0</v>
      </c>
      <c r="AU29">
        <f>Model!BP38</f>
        <v>0</v>
      </c>
      <c r="AV29">
        <f>Model!BQ38</f>
        <v>0</v>
      </c>
      <c r="AW29">
        <f>Model!BR38</f>
        <v>0</v>
      </c>
      <c r="AX29">
        <f>Model!BS38</f>
        <v>0</v>
      </c>
      <c r="AY29">
        <f>Model!BT38</f>
        <v>0</v>
      </c>
      <c r="AZ29">
        <f>Model!BU38</f>
        <v>0</v>
      </c>
    </row>
    <row r="30" spans="9:52" ht="11.25" customHeight="1">
      <c r="I30" t="str">
        <f>Model!I39</f>
        <v>Total operating expenses (adjusted)</v>
      </c>
      <c r="M30">
        <f>Model!M39</f>
        <v>9.8820000000000014</v>
      </c>
      <c r="N30">
        <f>Model!N39</f>
        <v>12.433</v>
      </c>
      <c r="O30">
        <f>Model!O39</f>
        <v>14.304</v>
      </c>
      <c r="P30">
        <f>Model!P39</f>
        <v>14.776</v>
      </c>
      <c r="Q30">
        <f>Model!Q39</f>
        <v>16.931999999999999</v>
      </c>
      <c r="R30">
        <f>Model!R39</f>
        <v>18.578999999999997</v>
      </c>
      <c r="S30">
        <f>Model!S39</f>
        <v>22.707000000000004</v>
      </c>
      <c r="T30">
        <f>Model!T39</f>
        <v>24.552</v>
      </c>
      <c r="U30">
        <f>Model!U39</f>
        <v>27.593999999999998</v>
      </c>
      <c r="V30">
        <f>Model!V39</f>
        <v>30.470000000000002</v>
      </c>
      <c r="W30">
        <f>Model!W39</f>
        <v>33.515000000000001</v>
      </c>
      <c r="X30">
        <f>Model!X39</f>
        <v>38.808</v>
      </c>
      <c r="Y30">
        <f>Model!Y39</f>
        <v>42.138999999999996</v>
      </c>
      <c r="Z30">
        <f>Model!Z39</f>
        <v>45.977000000000004</v>
      </c>
      <c r="AA30">
        <f>Model!AA39</f>
        <v>51.774000000000001</v>
      </c>
      <c r="AB30">
        <f>Model!AB39</f>
        <v>58.984000000000002</v>
      </c>
      <c r="AC30">
        <f>Model!AC39</f>
        <v>66.628</v>
      </c>
      <c r="AD30">
        <f>Model!AD39</f>
        <v>69.851000000000013</v>
      </c>
      <c r="AE30">
        <f>Model!AE39</f>
        <v>81.071999999999989</v>
      </c>
      <c r="AF30">
        <f>Model!AF39</f>
        <v>83</v>
      </c>
      <c r="AG30">
        <f>Model!AG39</f>
        <v>100.511</v>
      </c>
      <c r="AH30">
        <f>Model!AH39</f>
        <v>105.512</v>
      </c>
      <c r="AI30">
        <f>Model!AI39</f>
        <v>124.764</v>
      </c>
      <c r="AJ30">
        <f>Model!AJ39</f>
        <v>129.50800000000001</v>
      </c>
      <c r="AL30">
        <f>Model!BG39</f>
        <v>2.6709999999999998</v>
      </c>
      <c r="AM30">
        <f>Model!BH39</f>
        <v>7.3389999999999995</v>
      </c>
      <c r="AN30">
        <f>Model!BI39</f>
        <v>17.405000000000001</v>
      </c>
      <c r="AO30">
        <f>Model!BJ39</f>
        <v>26.463000000000001</v>
      </c>
      <c r="AP30">
        <f>Model!BK39</f>
        <v>51.395000000000003</v>
      </c>
      <c r="AQ30">
        <f>Model!BL39</f>
        <v>82.77</v>
      </c>
      <c r="AR30">
        <f>Model!BM39</f>
        <v>130.387</v>
      </c>
      <c r="AS30">
        <f>Model!BN39</f>
        <v>198.87400000000002</v>
      </c>
      <c r="AT30">
        <f>Model!BO39</f>
        <v>300.55099999999999</v>
      </c>
      <c r="AU30">
        <f>Model!BP39</f>
        <v>460.29500000000002</v>
      </c>
      <c r="AV30">
        <f>Model!BQ39</f>
        <v>573.87099999999998</v>
      </c>
      <c r="AW30">
        <f>Model!BR39</f>
        <v>665.12699999999995</v>
      </c>
      <c r="AX30">
        <f>Model!BS39</f>
        <v>747.37097181254285</v>
      </c>
      <c r="AY30">
        <f>Model!BT39</f>
        <v>833.14328166210692</v>
      </c>
      <c r="AZ30">
        <f>Model!BU39</f>
        <v>925.1588308293525</v>
      </c>
    </row>
    <row r="31" spans="9:52" ht="11.25" customHeight="1">
      <c r="I31">
        <f>Model!I40</f>
        <v>0</v>
      </c>
      <c r="M31">
        <f>Model!M40</f>
        <v>0</v>
      </c>
      <c r="N31">
        <f>Model!N40</f>
        <v>0</v>
      </c>
      <c r="O31">
        <f>Model!O40</f>
        <v>0</v>
      </c>
      <c r="P31">
        <f>Model!P40</f>
        <v>0</v>
      </c>
      <c r="Q31">
        <f>Model!Q40</f>
        <v>0</v>
      </c>
      <c r="R31">
        <f>Model!R40</f>
        <v>0</v>
      </c>
      <c r="S31">
        <f>Model!S40</f>
        <v>0</v>
      </c>
      <c r="T31">
        <f>Model!T40</f>
        <v>0</v>
      </c>
      <c r="U31">
        <f>Model!U40</f>
        <v>0</v>
      </c>
      <c r="V31">
        <f>Model!V40</f>
        <v>0</v>
      </c>
      <c r="W31">
        <f>Model!W40</f>
        <v>0</v>
      </c>
      <c r="X31">
        <f>Model!X40</f>
        <v>0</v>
      </c>
      <c r="Y31">
        <f>Model!Y40</f>
        <v>0</v>
      </c>
      <c r="Z31">
        <f>Model!Z40</f>
        <v>0</v>
      </c>
      <c r="AA31">
        <f>Model!AA40</f>
        <v>0</v>
      </c>
      <c r="AB31">
        <f>Model!AB40</f>
        <v>0</v>
      </c>
      <c r="AC31">
        <f>Model!AC40</f>
        <v>0</v>
      </c>
      <c r="AD31">
        <f>Model!AD40</f>
        <v>0</v>
      </c>
      <c r="AE31">
        <f>Model!AE40</f>
        <v>0</v>
      </c>
      <c r="AF31">
        <f>Model!AF40</f>
        <v>0</v>
      </c>
      <c r="AG31">
        <f>Model!AG40</f>
        <v>0</v>
      </c>
      <c r="AH31">
        <f>Model!AH40</f>
        <v>0</v>
      </c>
      <c r="AI31">
        <f>Model!AI40</f>
        <v>0</v>
      </c>
      <c r="AJ31">
        <f>Model!AJ40</f>
        <v>0</v>
      </c>
      <c r="AL31">
        <f>Model!BG40</f>
        <v>0</v>
      </c>
      <c r="AM31">
        <f>Model!BH40</f>
        <v>0</v>
      </c>
      <c r="AN31">
        <f>Model!BI40</f>
        <v>0</v>
      </c>
      <c r="AO31">
        <f>Model!BJ40</f>
        <v>0</v>
      </c>
      <c r="AP31">
        <f>Model!BK40</f>
        <v>0</v>
      </c>
      <c r="AQ31">
        <f>Model!BL40</f>
        <v>0</v>
      </c>
      <c r="AR31">
        <f>Model!BM40</f>
        <v>0</v>
      </c>
      <c r="AS31">
        <f>Model!BN40</f>
        <v>0</v>
      </c>
      <c r="AT31">
        <f>Model!BO40</f>
        <v>0</v>
      </c>
      <c r="AU31">
        <f>Model!BP40</f>
        <v>0</v>
      </c>
      <c r="AV31">
        <f>Model!BQ40</f>
        <v>0</v>
      </c>
      <c r="AW31">
        <f>Model!BR40</f>
        <v>0</v>
      </c>
      <c r="AX31">
        <f>Model!BS40</f>
        <v>0</v>
      </c>
      <c r="AY31">
        <f>Model!BT40</f>
        <v>0</v>
      </c>
      <c r="AZ31">
        <f>Model!BU40</f>
        <v>0</v>
      </c>
    </row>
    <row r="32" spans="9:52" ht="11.25" customHeight="1">
      <c r="I32" t="str">
        <f>Model!I41</f>
        <v>Total operating expenses (GAAP)</v>
      </c>
      <c r="M32">
        <f>Model!M41</f>
        <v>11.435000000000002</v>
      </c>
      <c r="N32">
        <f>Model!N41</f>
        <v>12.69</v>
      </c>
      <c r="O32">
        <f>Model!O41</f>
        <v>14.671000000000001</v>
      </c>
      <c r="P32">
        <f>Model!P41</f>
        <v>15.330000000000002</v>
      </c>
      <c r="Q32">
        <f>Model!Q41</f>
        <v>18.035</v>
      </c>
      <c r="R32">
        <f>Model!R41</f>
        <v>19.526999999999997</v>
      </c>
      <c r="S32">
        <f>Model!S41</f>
        <v>24.167000000000005</v>
      </c>
      <c r="T32">
        <f>Model!T41</f>
        <v>31.846</v>
      </c>
      <c r="U32">
        <f>Model!U41</f>
        <v>35.022999999999996</v>
      </c>
      <c r="V32">
        <f>Model!V41</f>
        <v>32.328000000000003</v>
      </c>
      <c r="W32">
        <f>Model!W41</f>
        <v>35.849000000000004</v>
      </c>
      <c r="X32">
        <f>Model!X41</f>
        <v>43.328000000000003</v>
      </c>
      <c r="Y32">
        <f>Model!Y41</f>
        <v>47.41899999999999</v>
      </c>
      <c r="Z32">
        <f>Model!Z41</f>
        <v>51.690000000000005</v>
      </c>
      <c r="AA32">
        <f>Model!AA41</f>
        <v>58.789000000000001</v>
      </c>
      <c r="AB32">
        <f>Model!AB41</f>
        <v>67.772999999999996</v>
      </c>
      <c r="AC32">
        <f>Model!AC41</f>
        <v>76.084000000000003</v>
      </c>
      <c r="AD32">
        <f>Model!AD41</f>
        <v>79.934000000000012</v>
      </c>
      <c r="AE32">
        <f>Model!AE41</f>
        <v>91.99</v>
      </c>
      <c r="AF32">
        <f>Model!AF41</f>
        <v>94.816000000000003</v>
      </c>
      <c r="AG32">
        <f>Model!AG41</f>
        <v>114.182</v>
      </c>
      <c r="AH32">
        <f>Model!AH41</f>
        <v>121.02800000000001</v>
      </c>
      <c r="AI32">
        <f>Model!AI41</f>
        <v>140.447</v>
      </c>
      <c r="AJ32">
        <f>Model!AJ41</f>
        <v>145.47999999999999</v>
      </c>
      <c r="AL32">
        <f>Model!BG41</f>
        <v>2.6709999999999998</v>
      </c>
      <c r="AM32">
        <f>Model!BH41</f>
        <v>7.4329999999999998</v>
      </c>
      <c r="AN32">
        <f>Model!BI41</f>
        <v>17.77</v>
      </c>
      <c r="AO32">
        <f>Model!BJ41</f>
        <v>27.02</v>
      </c>
      <c r="AP32">
        <f>Model!BK41</f>
        <v>54.125999999999998</v>
      </c>
      <c r="AQ32">
        <f>Model!BL41</f>
        <v>93.574999999999989</v>
      </c>
      <c r="AR32">
        <f>Model!BM41</f>
        <v>146.52799999999999</v>
      </c>
      <c r="AS32">
        <f>Model!BN41</f>
        <v>225.67100000000002</v>
      </c>
      <c r="AT32">
        <f>Model!BO41</f>
        <v>342.82400000000001</v>
      </c>
      <c r="AU32">
        <f>Model!BP41</f>
        <v>521.13700000000006</v>
      </c>
      <c r="AV32">
        <f>Model!BQ41</f>
        <v>660.13099999999997</v>
      </c>
      <c r="AW32">
        <f>Model!BR41</f>
        <v>600.81999999999994</v>
      </c>
      <c r="AX32">
        <f>Model!BS41</f>
        <v>861.63362181254286</v>
      </c>
      <c r="AY32">
        <f>Model!BT41</f>
        <v>961.11744966210699</v>
      </c>
      <c r="AZ32">
        <f>Model!BU41</f>
        <v>1065.9304156293526</v>
      </c>
    </row>
    <row r="33" spans="9:62" ht="11.25" customHeight="1">
      <c r="I33">
        <f>Model!I42</f>
        <v>0</v>
      </c>
      <c r="M33">
        <f>Model!M42</f>
        <v>0</v>
      </c>
      <c r="N33">
        <f>Model!N42</f>
        <v>0</v>
      </c>
      <c r="O33">
        <f>Model!O42</f>
        <v>0</v>
      </c>
      <c r="P33">
        <f>Model!P42</f>
        <v>0</v>
      </c>
      <c r="Q33">
        <f>Model!Q42</f>
        <v>0</v>
      </c>
      <c r="R33">
        <f>Model!R42</f>
        <v>0</v>
      </c>
      <c r="S33">
        <f>Model!S42</f>
        <v>0</v>
      </c>
      <c r="T33">
        <f>Model!T42</f>
        <v>0</v>
      </c>
      <c r="U33">
        <f>Model!U42</f>
        <v>0</v>
      </c>
      <c r="V33">
        <f>Model!V42</f>
        <v>0</v>
      </c>
      <c r="W33">
        <f>Model!W42</f>
        <v>0</v>
      </c>
      <c r="X33">
        <f>Model!X42</f>
        <v>0</v>
      </c>
      <c r="Y33">
        <f>Model!Y42</f>
        <v>0</v>
      </c>
      <c r="Z33">
        <f>Model!Z42</f>
        <v>0</v>
      </c>
      <c r="AA33">
        <f>Model!AA42</f>
        <v>0</v>
      </c>
      <c r="AB33">
        <f>Model!AB42</f>
        <v>0</v>
      </c>
      <c r="AC33">
        <f>Model!AC42</f>
        <v>0</v>
      </c>
      <c r="AD33">
        <f>Model!AD42</f>
        <v>0</v>
      </c>
      <c r="AE33">
        <f>Model!AE42</f>
        <v>0</v>
      </c>
      <c r="AF33">
        <f>Model!AF42</f>
        <v>0</v>
      </c>
      <c r="AG33">
        <f>Model!AG42</f>
        <v>0</v>
      </c>
      <c r="AH33">
        <f>Model!AH42</f>
        <v>0</v>
      </c>
      <c r="AI33">
        <f>Model!AI42</f>
        <v>0</v>
      </c>
      <c r="AJ33">
        <f>Model!AJ42</f>
        <v>0</v>
      </c>
      <c r="AL33">
        <f>Model!BG42</f>
        <v>0</v>
      </c>
      <c r="AM33">
        <f>Model!BH42</f>
        <v>0</v>
      </c>
      <c r="AN33">
        <f>Model!BI42</f>
        <v>0</v>
      </c>
      <c r="AO33">
        <f>Model!BJ42</f>
        <v>0</v>
      </c>
      <c r="AP33">
        <f>Model!BK42</f>
        <v>0</v>
      </c>
      <c r="AQ33">
        <f>Model!BL42</f>
        <v>0</v>
      </c>
      <c r="AR33">
        <f>Model!BM42</f>
        <v>0</v>
      </c>
      <c r="AS33">
        <f>Model!BN42</f>
        <v>0</v>
      </c>
      <c r="AT33">
        <f>Model!BO42</f>
        <v>0</v>
      </c>
      <c r="AU33">
        <f>Model!BP42</f>
        <v>0</v>
      </c>
      <c r="AV33">
        <f>Model!BQ42</f>
        <v>0</v>
      </c>
      <c r="AW33">
        <f>Model!BR42</f>
        <v>0</v>
      </c>
      <c r="AX33">
        <f>Model!BS42</f>
        <v>0</v>
      </c>
      <c r="AY33">
        <f>Model!BT42</f>
        <v>0</v>
      </c>
      <c r="AZ33">
        <f>Model!BU42</f>
        <v>0</v>
      </c>
    </row>
    <row r="34" spans="9:62" ht="11.25" customHeight="1">
      <c r="I34" t="str">
        <f>Model!I43</f>
        <v>Operating income (adjusted)</v>
      </c>
      <c r="M34">
        <f>Model!M43</f>
        <v>-1.3130000000000024</v>
      </c>
      <c r="N34">
        <f>Model!N43</f>
        <v>-2.4190000000000005</v>
      </c>
      <c r="O34">
        <f>Model!O43</f>
        <v>-2.5799999999999983</v>
      </c>
      <c r="P34">
        <f>Model!P43</f>
        <v>-0.46299999999999919</v>
      </c>
      <c r="Q34">
        <f>Model!Q43</f>
        <v>-1.6989999999999981</v>
      </c>
      <c r="R34">
        <f>Model!R43</f>
        <v>-0.27499999999999858</v>
      </c>
      <c r="S34">
        <f>Model!S43</f>
        <v>-1.9290000000000056</v>
      </c>
      <c r="T34">
        <f>Model!T43</f>
        <v>-1.4629999999999974</v>
      </c>
      <c r="U34">
        <f>Model!U43</f>
        <v>-2.3120000000000012</v>
      </c>
      <c r="V34">
        <f>Model!V43</f>
        <v>-8.0000000000001847E-2</v>
      </c>
      <c r="W34">
        <f>Model!W43</f>
        <v>0.382000000000005</v>
      </c>
      <c r="X34">
        <f>Model!X43</f>
        <v>-0.61600000000000676</v>
      </c>
      <c r="Y34">
        <f>Model!Y43</f>
        <v>0.7260000000000062</v>
      </c>
      <c r="Z34">
        <f>Model!Z43</f>
        <v>5.1330000000000027</v>
      </c>
      <c r="AA34">
        <f>Model!AA43</f>
        <v>5.2339999999999947</v>
      </c>
      <c r="AB34">
        <f>Model!AB43</f>
        <v>6.8809999999999931</v>
      </c>
      <c r="AC34">
        <f>Model!AC43</f>
        <v>4.8519999999999897</v>
      </c>
      <c r="AD34">
        <f>Model!AD43</f>
        <v>13.209999999999994</v>
      </c>
      <c r="AE34">
        <f>Model!AE43</f>
        <v>15.462000000000003</v>
      </c>
      <c r="AF34">
        <f>Model!AF43</f>
        <v>19.808000000000007</v>
      </c>
      <c r="AG34">
        <f>Model!AG43</f>
        <v>2.7139999999999986</v>
      </c>
      <c r="AH34">
        <f>Model!AH43</f>
        <v>7.2529999999999859</v>
      </c>
      <c r="AI34">
        <f>Model!AI43</f>
        <v>-3.9879999999999995</v>
      </c>
      <c r="AJ34">
        <f>Model!AJ43</f>
        <v>2.5279999999999916</v>
      </c>
      <c r="AL34">
        <f>Model!BG43</f>
        <v>-2.2279999999999998</v>
      </c>
      <c r="AM34">
        <f>Model!BH43</f>
        <v>-3.8259999999999996</v>
      </c>
      <c r="AN34">
        <f>Model!BI43</f>
        <v>-5.8740000000000006</v>
      </c>
      <c r="AO34">
        <f>Model!BJ43</f>
        <v>-1.7759999999999962</v>
      </c>
      <c r="AP34">
        <f>Model!BK43</f>
        <v>-6.7749999999999986</v>
      </c>
      <c r="AQ34">
        <f>Model!BL43</f>
        <v>-5.3659999999999997</v>
      </c>
      <c r="AR34">
        <f>Model!BM43</f>
        <v>-2.6260000000000332</v>
      </c>
      <c r="AS34">
        <f>Model!BN43</f>
        <v>17.97399999999999</v>
      </c>
      <c r="AT34">
        <f>Model!BO43</f>
        <v>53.331999999999994</v>
      </c>
      <c r="AU34">
        <f>Model!BP43</f>
        <v>8.507000000000005</v>
      </c>
      <c r="AV34" s="2597">
        <f>Model!BQ43</f>
        <v>81.280999999999949</v>
      </c>
      <c r="AW34" s="2597">
        <f>Model!BR43</f>
        <v>115.178</v>
      </c>
      <c r="AX34">
        <f>Model!BS43</f>
        <v>140.98690435868912</v>
      </c>
      <c r="AY34">
        <f>Model!BT43</f>
        <v>202.11545056863531</v>
      </c>
      <c r="AZ34">
        <f>Model!BU43</f>
        <v>246.30959500711481</v>
      </c>
    </row>
    <row r="35" spans="9:62" ht="11.25" customHeight="1">
      <c r="I35" t="str">
        <f>Model!I44</f>
        <v>Adjusted operating margin</v>
      </c>
      <c r="M35" t="str">
        <f>Model!M44</f>
        <v>NM</v>
      </c>
      <c r="N35" t="str">
        <f>Model!N44</f>
        <v>NM</v>
      </c>
      <c r="O35" t="str">
        <f>Model!O44</f>
        <v>NM</v>
      </c>
      <c r="P35" t="str">
        <f>Model!P44</f>
        <v>NM</v>
      </c>
      <c r="Q35" t="str">
        <f>Model!Q44</f>
        <v>NM</v>
      </c>
      <c r="R35" t="str">
        <f>Model!R44</f>
        <v>NM</v>
      </c>
      <c r="S35" t="str">
        <f>Model!S44</f>
        <v>NM</v>
      </c>
      <c r="T35" t="str">
        <f>Model!T44</f>
        <v>NM</v>
      </c>
      <c r="U35" t="str">
        <f>Model!U44</f>
        <v>NM</v>
      </c>
      <c r="V35" t="str">
        <f>Model!V44</f>
        <v>NM</v>
      </c>
      <c r="W35">
        <f>Model!W44</f>
        <v>1.0502873168183579E-2</v>
      </c>
      <c r="X35" t="str">
        <f>Model!X44</f>
        <v>NM</v>
      </c>
      <c r="Y35">
        <f>Model!Y44</f>
        <v>1.5737107927080531E-2</v>
      </c>
      <c r="Z35">
        <f>Model!Z44</f>
        <v>9.3288261272558792E-2</v>
      </c>
      <c r="AA35">
        <f>Model!AA44</f>
        <v>8.5549435282195371E-2</v>
      </c>
      <c r="AB35">
        <f>Model!AB44</f>
        <v>9.7394233627266333E-2</v>
      </c>
      <c r="AC35">
        <f>Model!AC44</f>
        <v>6.3502035153847031E-2</v>
      </c>
      <c r="AD35">
        <f>Model!AD44</f>
        <v>0.14878304256253722</v>
      </c>
      <c r="AE35">
        <f>Model!AE44</f>
        <v>0.15091503586940611</v>
      </c>
      <c r="AF35">
        <f>Model!AF44</f>
        <v>0.1802579012986068</v>
      </c>
      <c r="AG35">
        <f>Model!AG44</f>
        <v>2.4275491949910542E-2</v>
      </c>
      <c r="AH35">
        <f>Model!AH44</f>
        <v>5.7746815286624092E-2</v>
      </c>
      <c r="AI35" t="str">
        <f>Model!AI44</f>
        <v>NM</v>
      </c>
      <c r="AJ35">
        <f>Model!AJ44</f>
        <v>1.7232447171097422E-2</v>
      </c>
      <c r="AL35" t="str">
        <f>Model!BG44</f>
        <v>NM</v>
      </c>
      <c r="AM35" t="str">
        <f>Model!BH44</f>
        <v>NM</v>
      </c>
      <c r="AN35" t="str">
        <f>Model!BI44</f>
        <v>NM</v>
      </c>
      <c r="AO35" t="str">
        <f>Model!BJ44</f>
        <v>NM</v>
      </c>
      <c r="AP35" t="str">
        <f>Model!BK44</f>
        <v>NM</v>
      </c>
      <c r="AQ35" t="str">
        <f>Model!BL44</f>
        <v>NM</v>
      </c>
      <c r="AR35" t="str">
        <f>Model!BM44</f>
        <v>NM</v>
      </c>
      <c r="AS35">
        <f>Model!BN44</f>
        <v>7.7145604065445392E-2</v>
      </c>
      <c r="AT35">
        <f>Model!BO44</f>
        <v>0.14126334972029156</v>
      </c>
      <c r="AU35">
        <f>Model!BP44</f>
        <v>1.6400616926932725E-2</v>
      </c>
      <c r="AV35">
        <f>Model!BQ44</f>
        <v>0.11398756642064085</v>
      </c>
      <c r="AW35">
        <f>Model!BR44</f>
        <v>0.13601350002893201</v>
      </c>
      <c r="AX35">
        <f>Model!BS44</f>
        <v>0.14686135870696784</v>
      </c>
      <c r="AY35">
        <f>Model!BT44</f>
        <v>0.18104214490203807</v>
      </c>
      <c r="AZ35">
        <f>Model!BU44</f>
        <v>0.19539076234103983</v>
      </c>
    </row>
    <row r="36" spans="9:62" ht="11.25" customHeight="1">
      <c r="I36">
        <f>Model!I45</f>
        <v>0</v>
      </c>
      <c r="M36">
        <f>Model!M45</f>
        <v>0</v>
      </c>
      <c r="N36">
        <f>Model!N45</f>
        <v>0</v>
      </c>
      <c r="O36">
        <f>Model!O45</f>
        <v>0</v>
      </c>
      <c r="P36">
        <f>Model!P45</f>
        <v>0</v>
      </c>
      <c r="Q36">
        <f>Model!Q45</f>
        <v>0</v>
      </c>
      <c r="R36">
        <f>Model!R45</f>
        <v>0</v>
      </c>
      <c r="S36">
        <f>Model!S45</f>
        <v>0</v>
      </c>
      <c r="T36">
        <f>Model!T45</f>
        <v>0</v>
      </c>
      <c r="U36">
        <f>Model!U45</f>
        <v>0</v>
      </c>
      <c r="V36">
        <f>Model!V45</f>
        <v>0</v>
      </c>
      <c r="W36">
        <f>Model!W45</f>
        <v>0</v>
      </c>
      <c r="X36">
        <f>Model!X45</f>
        <v>0</v>
      </c>
      <c r="Y36">
        <f>Model!Y45</f>
        <v>0</v>
      </c>
      <c r="Z36">
        <f>Model!Z45</f>
        <v>0</v>
      </c>
      <c r="AA36">
        <f>Model!AA45</f>
        <v>0</v>
      </c>
      <c r="AB36">
        <f>Model!AB45</f>
        <v>0</v>
      </c>
      <c r="AC36">
        <f>Model!AC45</f>
        <v>0</v>
      </c>
      <c r="AD36">
        <f>Model!AD45</f>
        <v>0</v>
      </c>
      <c r="AE36">
        <f>Model!AE45</f>
        <v>0</v>
      </c>
      <c r="AF36">
        <f>Model!AF45</f>
        <v>0</v>
      </c>
      <c r="AG36">
        <f>Model!AG45</f>
        <v>0</v>
      </c>
      <c r="AH36">
        <f>Model!AH45</f>
        <v>0</v>
      </c>
      <c r="AI36">
        <f>Model!AI45</f>
        <v>0</v>
      </c>
      <c r="AJ36">
        <f>Model!AJ45</f>
        <v>0</v>
      </c>
      <c r="AL36">
        <f>Model!BG45</f>
        <v>0</v>
      </c>
      <c r="AM36">
        <f>Model!BH45</f>
        <v>0</v>
      </c>
      <c r="AN36">
        <f>Model!BI45</f>
        <v>0</v>
      </c>
      <c r="AO36">
        <f>Model!BJ45</f>
        <v>0</v>
      </c>
      <c r="AP36">
        <f>Model!BK45</f>
        <v>0</v>
      </c>
      <c r="AQ36">
        <f>Model!BL45</f>
        <v>0</v>
      </c>
      <c r="AR36">
        <f>Model!BM45</f>
        <v>0</v>
      </c>
      <c r="AS36">
        <f>Model!BN45</f>
        <v>0</v>
      </c>
      <c r="AT36">
        <f>Model!BO45</f>
        <v>0</v>
      </c>
      <c r="AU36">
        <f>Model!BP45</f>
        <v>0</v>
      </c>
      <c r="AV36">
        <f>Model!BQ45</f>
        <v>0</v>
      </c>
      <c r="AW36">
        <f>Model!BR45</f>
        <v>0</v>
      </c>
      <c r="AX36">
        <f>Model!BS45</f>
        <v>0</v>
      </c>
      <c r="AY36">
        <f>Model!BT45</f>
        <v>0</v>
      </c>
      <c r="AZ36">
        <f>Model!BU45</f>
        <v>0</v>
      </c>
    </row>
    <row r="37" spans="9:62" ht="11.25" customHeight="1">
      <c r="I37" t="str">
        <f>Model!I46</f>
        <v>Operating income (GAAP)</v>
      </c>
      <c r="M37">
        <f>Model!M46</f>
        <v>-2.8660000000000032</v>
      </c>
      <c r="N37">
        <f>Model!N46</f>
        <v>-2.6760000000000002</v>
      </c>
      <c r="O37">
        <f>Model!O46</f>
        <v>-2.9469999999999992</v>
      </c>
      <c r="P37">
        <f>Model!P46</f>
        <v>-1.0170000000000012</v>
      </c>
      <c r="Q37">
        <f>Model!Q46</f>
        <v>-2.8019999999999996</v>
      </c>
      <c r="R37">
        <f>Model!R46</f>
        <v>-1.222999999999999</v>
      </c>
      <c r="S37">
        <f>Model!S46</f>
        <v>-3.3890000000000065</v>
      </c>
      <c r="T37">
        <f>Model!T46</f>
        <v>-8.7569999999999979</v>
      </c>
      <c r="U37">
        <f>Model!U46</f>
        <v>-9.7409999999999997</v>
      </c>
      <c r="V37">
        <f>Model!V46</f>
        <v>-1.9380000000000024</v>
      </c>
      <c r="W37">
        <f>Model!W46</f>
        <v>-1.9519999999999982</v>
      </c>
      <c r="X37">
        <f>Model!X46</f>
        <v>-5.1360000000000099</v>
      </c>
      <c r="Y37">
        <f>Model!Y46</f>
        <v>-4.5539999999999878</v>
      </c>
      <c r="Z37">
        <f>Model!Z46</f>
        <v>-0.57999999999999829</v>
      </c>
      <c r="AA37">
        <f>Model!AA46</f>
        <v>-1.7810000000000059</v>
      </c>
      <c r="AB37">
        <f>Model!AB46</f>
        <v>-1.9080000000000013</v>
      </c>
      <c r="AC37">
        <f>Model!AC46</f>
        <v>-4.6040000000000134</v>
      </c>
      <c r="AD37">
        <f>Model!AD46</f>
        <v>3.1269999999999953</v>
      </c>
      <c r="AE37">
        <f>Model!AE46</f>
        <v>4.5439999999999969</v>
      </c>
      <c r="AF37">
        <f>Model!AF46</f>
        <v>7.9920000000000044</v>
      </c>
      <c r="AG37">
        <f>Model!AG46</f>
        <v>-10.957000000000008</v>
      </c>
      <c r="AH37">
        <f>Model!AH46</f>
        <v>-8.2630000000000194</v>
      </c>
      <c r="AI37">
        <f>Model!AI46</f>
        <v>-19.671000000000006</v>
      </c>
      <c r="AJ37">
        <f>Model!AJ46</f>
        <v>-13.443999999999988</v>
      </c>
      <c r="AL37">
        <f>Model!BG46</f>
        <v>-2.2279999999999998</v>
      </c>
      <c r="AM37">
        <f>Model!BH46</f>
        <v>-3.92</v>
      </c>
      <c r="AN37">
        <f>Model!BI46</f>
        <v>-6.238999999999999</v>
      </c>
      <c r="AO37">
        <f>Model!BJ46</f>
        <v>-2.3329999999999949</v>
      </c>
      <c r="AP37">
        <f>Model!BK46</f>
        <v>-9.5059999999999931</v>
      </c>
      <c r="AQ37">
        <f>Model!BL46</f>
        <v>-16.170999999999992</v>
      </c>
      <c r="AR37">
        <f>Model!BM46</f>
        <v>-18.767000000000024</v>
      </c>
      <c r="AS37">
        <f>Model!BN46</f>
        <v>-8.8230000000000075</v>
      </c>
      <c r="AT37">
        <f>Model!BO46</f>
        <v>11.058999999999969</v>
      </c>
      <c r="AU37">
        <f>Model!BP46</f>
        <v>-52.335000000000036</v>
      </c>
      <c r="AV37">
        <f>Model!BQ46</f>
        <v>-4.9790000000000418</v>
      </c>
      <c r="AW37">
        <f>Model!BR46</f>
        <v>179.48500000000001</v>
      </c>
      <c r="AX37">
        <f>Model!BS46</f>
        <v>26.724254358689109</v>
      </c>
      <c r="AY37">
        <f>Model!BT46</f>
        <v>74.141282568635233</v>
      </c>
      <c r="AZ37">
        <f>Model!BU46</f>
        <v>105.53801020711467</v>
      </c>
    </row>
    <row r="38" spans="9:62" ht="11.25" customHeight="1">
      <c r="I38" t="str">
        <f>Model!I47</f>
        <v>GAAP operating margin</v>
      </c>
      <c r="M38" t="str">
        <f>Model!M47</f>
        <v>NM</v>
      </c>
      <c r="N38" t="str">
        <f>Model!N47</f>
        <v>NM</v>
      </c>
      <c r="O38" t="str">
        <f>Model!O47</f>
        <v>NM</v>
      </c>
      <c r="P38" t="str">
        <f>Model!P47</f>
        <v>NM</v>
      </c>
      <c r="Q38" t="str">
        <f>Model!Q47</f>
        <v>NM</v>
      </c>
      <c r="R38" t="str">
        <f>Model!R47</f>
        <v>NM</v>
      </c>
      <c r="S38" t="str">
        <f>Model!S47</f>
        <v>NM</v>
      </c>
      <c r="T38" t="str">
        <f>Model!T47</f>
        <v>NM</v>
      </c>
      <c r="U38" t="str">
        <f>Model!U47</f>
        <v>NM</v>
      </c>
      <c r="V38" t="str">
        <f>Model!V47</f>
        <v>NM</v>
      </c>
      <c r="W38" t="str">
        <f>Model!W47</f>
        <v>NM</v>
      </c>
      <c r="X38" t="str">
        <f>Model!X47</f>
        <v>NM</v>
      </c>
      <c r="Y38" t="str">
        <f>Model!Y47</f>
        <v>NM</v>
      </c>
      <c r="Z38" t="str">
        <f>Model!Z47</f>
        <v>NM</v>
      </c>
      <c r="AA38" t="str">
        <f>Model!AA47</f>
        <v>NM</v>
      </c>
      <c r="AB38" t="str">
        <f>Model!AB47</f>
        <v>NM</v>
      </c>
      <c r="AC38" t="str">
        <f>Model!AC47</f>
        <v>NM</v>
      </c>
      <c r="AD38">
        <f>Model!AD47</f>
        <v>3.5219119916203891E-2</v>
      </c>
      <c r="AE38">
        <f>Model!AE47</f>
        <v>4.4351178566199766E-2</v>
      </c>
      <c r="AF38">
        <f>Model!AF47</f>
        <v>7.2729258238008174E-2</v>
      </c>
      <c r="AG38" t="str">
        <f>Model!AG47</f>
        <v>NM</v>
      </c>
      <c r="AH38" t="str">
        <f>Model!AH47</f>
        <v>NM</v>
      </c>
      <c r="AI38" t="str">
        <f>Model!AI47</f>
        <v>NM</v>
      </c>
      <c r="AJ38" t="str">
        <f>Model!AJ47</f>
        <v>NM</v>
      </c>
      <c r="AL38" t="str">
        <f>Model!BG47</f>
        <v>NM</v>
      </c>
      <c r="AM38" t="str">
        <f>Model!BH47</f>
        <v>NM</v>
      </c>
      <c r="AN38" t="str">
        <f>Model!BI47</f>
        <v>NM</v>
      </c>
      <c r="AO38" t="str">
        <f>Model!BJ47</f>
        <v>NM</v>
      </c>
      <c r="AP38" t="str">
        <f>Model!BK47</f>
        <v>NM</v>
      </c>
      <c r="AQ38" t="str">
        <f>Model!BL47</f>
        <v>NM</v>
      </c>
      <c r="AR38" t="str">
        <f>Model!BM47</f>
        <v>NM</v>
      </c>
      <c r="AS38" t="str">
        <f>Model!BN47</f>
        <v>NM</v>
      </c>
      <c r="AT38">
        <f>Model!BO47</f>
        <v>2.9292570774707496E-2</v>
      </c>
      <c r="AU38" t="str">
        <f>Model!BP47</f>
        <v>NM</v>
      </c>
      <c r="AV38" t="str">
        <f>Model!BQ47</f>
        <v>NM</v>
      </c>
      <c r="AW38">
        <f>Model!BR47</f>
        <v>0.2119535245679979</v>
      </c>
      <c r="AX38">
        <f>Model!BS47</f>
        <v>2.7837764956967822E-2</v>
      </c>
      <c r="AY38">
        <f>Model!BT47</f>
        <v>6.6411037771977099E-2</v>
      </c>
      <c r="AZ38">
        <f>Model!BU47</f>
        <v>8.3720458676118256E-2</v>
      </c>
    </row>
    <row r="39" spans="9:62" ht="11.25" customHeight="1">
      <c r="I39">
        <f>Model!I48</f>
        <v>0</v>
      </c>
      <c r="M39">
        <f>Model!M48</f>
        <v>0</v>
      </c>
      <c r="N39">
        <f>Model!N48</f>
        <v>0</v>
      </c>
      <c r="O39">
        <f>Model!O48</f>
        <v>0</v>
      </c>
      <c r="P39">
        <f>Model!P48</f>
        <v>0</v>
      </c>
      <c r="Q39">
        <f>Model!Q48</f>
        <v>0</v>
      </c>
      <c r="R39">
        <f>Model!R48</f>
        <v>0</v>
      </c>
      <c r="S39">
        <f>Model!S48</f>
        <v>0</v>
      </c>
      <c r="T39">
        <f>Model!T48</f>
        <v>0</v>
      </c>
      <c r="U39">
        <f>Model!U48</f>
        <v>0</v>
      </c>
      <c r="V39">
        <f>Model!V48</f>
        <v>0</v>
      </c>
      <c r="W39">
        <f>Model!W48</f>
        <v>0</v>
      </c>
      <c r="X39">
        <f>Model!X48</f>
        <v>0</v>
      </c>
      <c r="Y39">
        <f>Model!Y48</f>
        <v>0</v>
      </c>
      <c r="Z39">
        <f>Model!Z48</f>
        <v>0</v>
      </c>
      <c r="AA39">
        <f>Model!AA48</f>
        <v>0</v>
      </c>
      <c r="AB39">
        <f>Model!AB48</f>
        <v>0</v>
      </c>
      <c r="AC39">
        <f>Model!AC48</f>
        <v>0</v>
      </c>
      <c r="AD39">
        <f>Model!AD48</f>
        <v>0</v>
      </c>
      <c r="AE39">
        <f>Model!AE48</f>
        <v>0</v>
      </c>
      <c r="AF39">
        <f>Model!AF48</f>
        <v>0</v>
      </c>
      <c r="AG39">
        <f>Model!AG48</f>
        <v>0</v>
      </c>
      <c r="AH39">
        <f>Model!AH48</f>
        <v>0</v>
      </c>
      <c r="AI39">
        <f>Model!AI48</f>
        <v>0</v>
      </c>
      <c r="AJ39">
        <f>Model!AJ48</f>
        <v>0</v>
      </c>
      <c r="AL39">
        <f>Model!BG48</f>
        <v>0</v>
      </c>
      <c r="AM39">
        <f>Model!BH48</f>
        <v>0</v>
      </c>
      <c r="AN39">
        <f>Model!BI48</f>
        <v>0</v>
      </c>
      <c r="AO39">
        <f>Model!BJ48</f>
        <v>0</v>
      </c>
      <c r="AP39">
        <f>Model!BK48</f>
        <v>0</v>
      </c>
      <c r="AQ39">
        <f>Model!BL48</f>
        <v>0</v>
      </c>
      <c r="AR39">
        <f>Model!BM48</f>
        <v>0</v>
      </c>
      <c r="AS39">
        <f>Model!BN48</f>
        <v>0</v>
      </c>
      <c r="AT39">
        <f>Model!BO48</f>
        <v>0</v>
      </c>
      <c r="AU39">
        <f>Model!BP48</f>
        <v>0</v>
      </c>
      <c r="AV39">
        <f>Model!BQ48</f>
        <v>0</v>
      </c>
      <c r="AW39">
        <f>Model!BR48</f>
        <v>162.90700000000001</v>
      </c>
      <c r="AX39">
        <f>Model!BS48</f>
        <v>0</v>
      </c>
      <c r="AY39">
        <f>Model!BT48</f>
        <v>0</v>
      </c>
      <c r="AZ39">
        <f>Model!BU48</f>
        <v>0.20257221989495955</v>
      </c>
    </row>
    <row r="40" spans="9:62" ht="11.25" customHeight="1">
      <c r="I40" t="str">
        <f>Model!I49</f>
        <v>Adjusted EBITDA</v>
      </c>
      <c r="M40">
        <f>Model!M49</f>
        <v>-0.86900000000000244</v>
      </c>
      <c r="N40">
        <f>Model!N49</f>
        <v>-1.9660000000000004</v>
      </c>
      <c r="O40">
        <f>Model!O49</f>
        <v>-1.9939999999999984</v>
      </c>
      <c r="P40">
        <f>Model!P49</f>
        <v>0.38800000000000079</v>
      </c>
      <c r="Q40">
        <f>Model!Q49</f>
        <v>-0.87999999999999812</v>
      </c>
      <c r="R40">
        <f>Model!R49</f>
        <v>0.64900000000000146</v>
      </c>
      <c r="S40">
        <f>Model!S49</f>
        <v>-0.88200000000000567</v>
      </c>
      <c r="T40">
        <f>Model!T49</f>
        <v>-1.499999999999746E-2</v>
      </c>
      <c r="U40">
        <f>Model!U49</f>
        <v>-0.95100000000000118</v>
      </c>
      <c r="V40">
        <f>Model!V49</f>
        <v>1.5809999999999982</v>
      </c>
      <c r="W40">
        <f>Model!W49</f>
        <v>2.1620000000000053</v>
      </c>
      <c r="X40">
        <f>Model!X49</f>
        <v>1.8049999999999931</v>
      </c>
      <c r="Y40">
        <f>Model!Y49</f>
        <v>3.2040000000000064</v>
      </c>
      <c r="Z40">
        <f>Model!Z49</f>
        <v>7.7700000000000031</v>
      </c>
      <c r="AA40">
        <f>Model!AA49</f>
        <v>8.0499999999999936</v>
      </c>
      <c r="AB40">
        <f>Model!AB49</f>
        <v>10.404999999999994</v>
      </c>
      <c r="AC40">
        <f>Model!AC49</f>
        <v>8.5129999999999892</v>
      </c>
      <c r="AD40">
        <f>Model!AD49</f>
        <v>17.243999999999993</v>
      </c>
      <c r="AE40">
        <f>Model!AE49</f>
        <v>20.066000000000003</v>
      </c>
      <c r="AF40">
        <f>Model!AF49</f>
        <v>25.099000000000007</v>
      </c>
      <c r="AG40">
        <f>Model!AG49</f>
        <v>9.6089999999999982</v>
      </c>
      <c r="AH40">
        <f>Model!AH49</f>
        <v>14.419999999999986</v>
      </c>
      <c r="AI40">
        <f>Model!AI49</f>
        <v>3.5740000000000007</v>
      </c>
      <c r="AJ40">
        <f>Model!AJ49</f>
        <v>10.507999999999992</v>
      </c>
      <c r="AL40">
        <f>Model!BG49</f>
        <v>-2.218</v>
      </c>
      <c r="AM40">
        <f>Model!BH49</f>
        <v>-3.6509999999999998</v>
      </c>
      <c r="AN40">
        <f>Model!BI49</f>
        <v>-5.3030000000000008</v>
      </c>
      <c r="AO40">
        <f>Model!BJ49</f>
        <v>-0.57499999999999618</v>
      </c>
      <c r="AP40">
        <f>Model!BK49</f>
        <v>-4.4409999999999989</v>
      </c>
      <c r="AQ40">
        <f>Model!BL49</f>
        <v>-1.1280000000000001</v>
      </c>
      <c r="AR40">
        <f>Model!BM49</f>
        <v>4.5969999999999676</v>
      </c>
      <c r="AS40">
        <f>Model!BN49</f>
        <v>29.428999999999988</v>
      </c>
      <c r="AT40">
        <f>Model!BO49</f>
        <v>70.921999999999997</v>
      </c>
      <c r="AU40">
        <f>Model!BP49</f>
        <v>38.111000000000004</v>
      </c>
      <c r="AV40">
        <f>Model!BQ49</f>
        <v>120.08199999999995</v>
      </c>
      <c r="AW40">
        <f>Model!BR49</f>
        <v>156.607</v>
      </c>
      <c r="AX40">
        <f>Model!BS49</f>
        <v>186.58690435868911</v>
      </c>
      <c r="AY40">
        <f>Model!BT49</f>
        <v>234.7880648287065</v>
      </c>
      <c r="AZ40">
        <f>Model!BU49</f>
        <v>283.31739995723177</v>
      </c>
      <c r="BA40">
        <f>Model!BV49</f>
        <v>340.4198054285194</v>
      </c>
      <c r="BB40">
        <f>Model!BW49</f>
        <v>402.08232792542259</v>
      </c>
      <c r="BC40">
        <f>Model!BX49</f>
        <v>465.55167312314603</v>
      </c>
      <c r="BD40">
        <f>Model!BY49</f>
        <v>531.00424102168972</v>
      </c>
      <c r="BE40">
        <f>Model!BZ49</f>
        <v>599.90292594584912</v>
      </c>
      <c r="BF40">
        <f>Model!CA49</f>
        <v>0</v>
      </c>
      <c r="BG40">
        <f>Model!CB49</f>
        <v>0.49363533994683695</v>
      </c>
      <c r="BH40">
        <f>Model!CC49</f>
        <v>0</v>
      </c>
      <c r="BI40">
        <f>Model!CD49</f>
        <v>0</v>
      </c>
      <c r="BJ40">
        <f>Model!CE49</f>
        <v>0</v>
      </c>
    </row>
    <row r="41" spans="9:62" ht="11.25" customHeight="1">
      <c r="I41" t="str">
        <f>Model!I51</f>
        <v>Adjusted EBITDA margin</v>
      </c>
      <c r="M41">
        <f>Model!M51</f>
        <v>-9.5118213660245463E-2</v>
      </c>
      <c r="N41">
        <f>Model!N51</f>
        <v>-0.18327584599608471</v>
      </c>
      <c r="O41">
        <f>Model!O51</f>
        <v>-0.15832936318881993</v>
      </c>
      <c r="P41">
        <f>Model!P51</f>
        <v>2.5402645017677149E-2</v>
      </c>
      <c r="Q41">
        <f>Model!Q51</f>
        <v>-5.3333333333333219E-2</v>
      </c>
      <c r="R41">
        <f>Model!R51</f>
        <v>3.3149453468178644E-2</v>
      </c>
      <c r="S41">
        <f>Model!S51</f>
        <v>-3.954802259887031E-2</v>
      </c>
      <c r="T41">
        <f>Model!T51</f>
        <v>-6.022886970486834E-4</v>
      </c>
      <c r="U41">
        <f>Model!U51</f>
        <v>-3.4727040350556918E-2</v>
      </c>
      <c r="V41">
        <f>Model!V51</f>
        <v>4.841821578415454E-2</v>
      </c>
      <c r="W41">
        <f>Model!W51</f>
        <v>5.9442962800033132E-2</v>
      </c>
      <c r="X41">
        <f>Model!X51</f>
        <v>4.3856452122360549E-2</v>
      </c>
      <c r="Y41">
        <f>Model!Y51</f>
        <v>6.9451368868272301E-2</v>
      </c>
      <c r="Z41">
        <f>Model!Z51</f>
        <v>0.14121367428166409</v>
      </c>
      <c r="AA41">
        <f>Model!AA51</f>
        <v>0.13157679671793521</v>
      </c>
      <c r="AB41">
        <f>Model!AB51</f>
        <v>0.1472732162319004</v>
      </c>
      <c r="AC41">
        <f>Model!AC51</f>
        <v>0.11141649325323583</v>
      </c>
      <c r="AD41">
        <f>Model!AD51</f>
        <v>0.19421762194915912</v>
      </c>
      <c r="AE41">
        <f>Model!AE51</f>
        <v>0.1958518373920258</v>
      </c>
      <c r="AF41">
        <f>Model!AF51</f>
        <v>0.22840736392839925</v>
      </c>
      <c r="AG41">
        <f>Model!AG51</f>
        <v>8.5948121645796044E-2</v>
      </c>
      <c r="AH41">
        <f>Model!AH51</f>
        <v>0.11480891719745212</v>
      </c>
      <c r="AI41">
        <f>Model!AI51</f>
        <v>2.6552748885586931E-2</v>
      </c>
      <c r="AJ41">
        <f>Model!AJ51</f>
        <v>7.1629175187457345E-2</v>
      </c>
      <c r="AL41">
        <f>Model!BG51</f>
        <v>-5.006772009029345</v>
      </c>
      <c r="AM41">
        <f>Model!BH51</f>
        <v>-0.97489986648865146</v>
      </c>
      <c r="AN41">
        <f>Model!BI51</f>
        <v>-0.43685641321360907</v>
      </c>
      <c r="AO41">
        <f>Model!BJ51</f>
        <v>-2.2279913205207537E-2</v>
      </c>
      <c r="AP41">
        <f>Model!BK51</f>
        <v>-9.3042257652259514E-2</v>
      </c>
      <c r="AQ41">
        <f>Model!BL51</f>
        <v>-1.354385543615297E-2</v>
      </c>
      <c r="AR41">
        <f>Model!BM51</f>
        <v>3.3416687262840881E-2</v>
      </c>
      <c r="AS41">
        <f>Model!BN51</f>
        <v>0.12631122632925296</v>
      </c>
      <c r="AT41">
        <f>Model!BO51</f>
        <v>0.18785493303949821</v>
      </c>
      <c r="AU41">
        <f>Model!BP51</f>
        <v>7.3474069789859264E-2</v>
      </c>
      <c r="AV41">
        <f>Model!BQ51</f>
        <v>0.16840165537977383</v>
      </c>
      <c r="AW41">
        <f>Model!BR51</f>
        <v>0.18493693412831405</v>
      </c>
      <c r="AX41">
        <f>Model!BS51</f>
        <v>0.19436135870696783</v>
      </c>
      <c r="AY41">
        <f>Model!BT51</f>
        <v>0.2103081913549861</v>
      </c>
      <c r="AZ41">
        <f>Model!BU51</f>
        <v>0.2247480564471139</v>
      </c>
      <c r="BA41">
        <f>Model!BV51</f>
        <v>0.24305283837535299</v>
      </c>
      <c r="BB41">
        <f>Model!BW51</f>
        <v>0.26149995312527485</v>
      </c>
      <c r="BC41">
        <f>Model!BX51</f>
        <v>0.27867333480375078</v>
      </c>
      <c r="BD41">
        <f>Model!BY51</f>
        <v>0.29506792677355509</v>
      </c>
      <c r="BE41">
        <f>Model!BZ51</f>
        <v>0.31154077998849666</v>
      </c>
      <c r="BF41">
        <f>Model!CA51</f>
        <v>0</v>
      </c>
      <c r="BG41">
        <f>Model!CD51</f>
        <v>0</v>
      </c>
      <c r="BH41">
        <f>Model!CC51</f>
        <v>0</v>
      </c>
      <c r="BJ41">
        <f>Model!CE51</f>
        <v>0</v>
      </c>
    </row>
    <row r="42" spans="9:62" ht="11.25" customHeight="1">
      <c r="I42" t="str">
        <f>Model!I53</f>
        <v>Incremental EBITDA margin</v>
      </c>
      <c r="M42">
        <f>Model!M53</f>
        <v>0</v>
      </c>
      <c r="N42">
        <f>Model!N53</f>
        <v>0</v>
      </c>
      <c r="O42">
        <f>Model!O53</f>
        <v>0</v>
      </c>
      <c r="P42">
        <f>Model!P53</f>
        <v>0</v>
      </c>
      <c r="Q42" t="str">
        <f>Model!Q53</f>
        <v>NM</v>
      </c>
      <c r="R42" t="str">
        <f>Model!R53</f>
        <v>NM</v>
      </c>
      <c r="S42" t="str">
        <f>Model!S53</f>
        <v>NM</v>
      </c>
      <c r="T42" t="str">
        <f>Model!T53</f>
        <v>NM</v>
      </c>
      <c r="U42" t="str">
        <f>Model!U53</f>
        <v>NM</v>
      </c>
      <c r="V42">
        <f>Model!V53</f>
        <v>7.1281070745697644E-2</v>
      </c>
      <c r="W42" t="str">
        <f>Model!W53</f>
        <v>NM</v>
      </c>
      <c r="X42" t="str">
        <f>Model!X53</f>
        <v>NM</v>
      </c>
      <c r="Y42" t="str">
        <f>Model!Y53</f>
        <v>NM</v>
      </c>
      <c r="Z42">
        <f>Model!Z53</f>
        <v>0.27666517657577133</v>
      </c>
      <c r="AA42">
        <f>Model!AA53</f>
        <v>0.23732365981459047</v>
      </c>
      <c r="AB42">
        <f>Model!AB53</f>
        <v>0.2915847290974436</v>
      </c>
      <c r="AC42">
        <f>Model!AC53</f>
        <v>0.17536499966968305</v>
      </c>
      <c r="AD42">
        <f>Model!AD53</f>
        <v>0.28059471626584492</v>
      </c>
      <c r="AE42">
        <f>Model!AE53</f>
        <v>0.29112758637398867</v>
      </c>
      <c r="AF42">
        <f>Model!AF53</f>
        <v>0.37450300744214526</v>
      </c>
      <c r="AG42">
        <f>Model!AG53</f>
        <v>3.0966575311502528E-2</v>
      </c>
      <c r="AH42">
        <f>Model!AH53</f>
        <v>-7.6712031075978807E-2</v>
      </c>
      <c r="AI42">
        <f>Model!AI53</f>
        <v>-0.51305024109503816</v>
      </c>
      <c r="AJ42">
        <f>Model!AJ53</f>
        <v>-0.39635454866487435</v>
      </c>
      <c r="AL42">
        <f>Model!BG53</f>
        <v>0</v>
      </c>
      <c r="AM42" t="str">
        <f>Model!BH53</f>
        <v>NM</v>
      </c>
      <c r="AN42" t="str">
        <f>Model!BI53</f>
        <v>NM</v>
      </c>
      <c r="AO42" t="str">
        <f>Model!BJ53</f>
        <v>NM</v>
      </c>
      <c r="AP42" t="str">
        <f>Model!BK53</f>
        <v>NM</v>
      </c>
      <c r="AQ42" t="str">
        <f>Model!BL53</f>
        <v>NM</v>
      </c>
      <c r="AR42" t="str">
        <f>Model!BM53</f>
        <v>NM</v>
      </c>
      <c r="AS42">
        <f>Model!BN53</f>
        <v>0.26023348913248534</v>
      </c>
      <c r="AT42">
        <f>Model!BO53</f>
        <v>0.28705343553698431</v>
      </c>
      <c r="AU42">
        <f>Model!BP53</f>
        <v>-0.23243178147403007</v>
      </c>
      <c r="AV42">
        <f>Model!BQ53</f>
        <v>0.42172877362130784</v>
      </c>
      <c r="AW42">
        <f>Model!BR53</f>
        <v>0.27309636320134018</v>
      </c>
      <c r="AX42">
        <f>Model!BS53</f>
        <v>0.26487056250884916</v>
      </c>
      <c r="AY42">
        <f>Model!BT53</f>
        <v>0.30819156310752788</v>
      </c>
      <c r="AZ42">
        <f>Model!BU53</f>
        <v>0.33654185248630608</v>
      </c>
      <c r="BA42">
        <f>Model!BV53</f>
        <v>0.40787432479491159</v>
      </c>
      <c r="BB42">
        <f>Model!BW53</f>
        <v>0.45009140508688461</v>
      </c>
      <c r="BC42">
        <f>Model!BX53</f>
        <v>0.47721312178739428</v>
      </c>
      <c r="BD42">
        <f>Model!BY53</f>
        <v>0.50738424727553244</v>
      </c>
      <c r="BE42">
        <f>Model!BZ53</f>
        <v>0.54681495971555072</v>
      </c>
      <c r="BF42">
        <f>Model!CA53</f>
        <v>0</v>
      </c>
      <c r="BG42">
        <f>Model!CD53</f>
        <v>0</v>
      </c>
      <c r="BH42">
        <f>Model!CC53</f>
        <v>0</v>
      </c>
      <c r="BJ42">
        <f>Model!CE53</f>
        <v>0</v>
      </c>
    </row>
    <row r="43" spans="9:62" ht="11.25" customHeight="1">
      <c r="I43">
        <f>Model!I55</f>
        <v>0</v>
      </c>
      <c r="M43">
        <f>Model!M55</f>
        <v>0</v>
      </c>
      <c r="N43">
        <f>Model!N55</f>
        <v>0</v>
      </c>
      <c r="O43">
        <f>Model!O55</f>
        <v>0</v>
      </c>
      <c r="P43">
        <f>Model!P55</f>
        <v>0</v>
      </c>
      <c r="Q43">
        <f>Model!Q55</f>
        <v>0</v>
      </c>
      <c r="R43">
        <f>Model!R55</f>
        <v>0</v>
      </c>
      <c r="S43">
        <f>Model!S55</f>
        <v>0</v>
      </c>
      <c r="T43">
        <f>Model!T55</f>
        <v>0</v>
      </c>
      <c r="U43">
        <f>Model!U55</f>
        <v>0</v>
      </c>
      <c r="V43">
        <f>Model!V55</f>
        <v>0</v>
      </c>
      <c r="W43">
        <f>Model!W55</f>
        <v>0</v>
      </c>
      <c r="X43">
        <f>Model!X55</f>
        <v>0</v>
      </c>
      <c r="Y43">
        <f>Model!Y55</f>
        <v>0</v>
      </c>
      <c r="Z43">
        <f>Model!Z55</f>
        <v>0</v>
      </c>
      <c r="AA43">
        <f>Model!AA55</f>
        <v>0</v>
      </c>
      <c r="AB43">
        <f>Model!AB55</f>
        <v>0</v>
      </c>
      <c r="AC43">
        <f>Model!AC55</f>
        <v>0</v>
      </c>
      <c r="AD43">
        <f>Model!AD55</f>
        <v>0</v>
      </c>
      <c r="AE43">
        <f>Model!AE55</f>
        <v>0</v>
      </c>
      <c r="AF43">
        <f>Model!AF55</f>
        <v>0</v>
      </c>
      <c r="AG43">
        <f>Model!AG55</f>
        <v>0</v>
      </c>
      <c r="AH43">
        <f>Model!AH55</f>
        <v>0</v>
      </c>
      <c r="AI43">
        <f>Model!AI55</f>
        <v>0</v>
      </c>
      <c r="AJ43">
        <f>Model!AJ55</f>
        <v>0</v>
      </c>
      <c r="AL43">
        <f>Model!BG55</f>
        <v>0</v>
      </c>
      <c r="AM43">
        <f>Model!BH55</f>
        <v>0</v>
      </c>
      <c r="AN43">
        <f>Model!BI55</f>
        <v>0</v>
      </c>
      <c r="AO43">
        <f>Model!BJ55</f>
        <v>0</v>
      </c>
      <c r="AP43">
        <f>Model!BK55</f>
        <v>0</v>
      </c>
      <c r="AQ43">
        <f>Model!BL55</f>
        <v>0</v>
      </c>
      <c r="AR43">
        <f>Model!BM55</f>
        <v>0</v>
      </c>
      <c r="AS43">
        <f>Model!BN55</f>
        <v>0</v>
      </c>
      <c r="AT43">
        <f>Model!BO55</f>
        <v>0</v>
      </c>
      <c r="AU43">
        <f>Model!BP55</f>
        <v>0</v>
      </c>
      <c r="AV43">
        <f>Model!BQ55</f>
        <v>0</v>
      </c>
      <c r="AW43">
        <f>Model!BR55</f>
        <v>0</v>
      </c>
      <c r="AX43">
        <f>Model!BS55</f>
        <v>0</v>
      </c>
      <c r="AY43">
        <f>Model!BT55</f>
        <v>0</v>
      </c>
      <c r="AZ43">
        <f>Model!BU55</f>
        <v>0</v>
      </c>
      <c r="BA43">
        <f>Model!BV55</f>
        <v>0</v>
      </c>
      <c r="BB43">
        <f>Model!BW55</f>
        <v>0</v>
      </c>
      <c r="BC43">
        <f>Model!BX55</f>
        <v>0</v>
      </c>
      <c r="BD43">
        <f>Model!BY55</f>
        <v>0</v>
      </c>
      <c r="BE43">
        <f>Model!BZ55</f>
        <v>0</v>
      </c>
      <c r="BF43">
        <f>Model!CA55</f>
        <v>0</v>
      </c>
      <c r="BG43">
        <f>Model!CB55</f>
        <v>0</v>
      </c>
      <c r="BH43">
        <f>Model!CC55</f>
        <v>0</v>
      </c>
      <c r="BI43">
        <f>Model!CD55</f>
        <v>0</v>
      </c>
      <c r="BJ43">
        <f>Model!CE55</f>
        <v>0</v>
      </c>
    </row>
    <row r="44" spans="9:62" ht="11.25" customHeight="1">
      <c r="I44" t="str">
        <f>Model!I56</f>
        <v>Interest &amp; other income / (expense), net (adjusted)</v>
      </c>
      <c r="M44">
        <f>Model!M56</f>
        <v>-3.9E-2</v>
      </c>
      <c r="N44">
        <f>Model!N56</f>
        <v>1.4999999999999999E-2</v>
      </c>
      <c r="O44">
        <f>Model!O56</f>
        <v>0.104</v>
      </c>
      <c r="P44">
        <f>Model!P56</f>
        <v>-6.5000000000000002E-2</v>
      </c>
      <c r="Q44">
        <f>Model!Q56</f>
        <v>0.108</v>
      </c>
      <c r="R44">
        <f>Model!R56</f>
        <v>7.4999999999999997E-2</v>
      </c>
      <c r="S44">
        <f>Model!S56</f>
        <v>-0.32600000000000001</v>
      </c>
      <c r="T44">
        <f>Model!T56</f>
        <v>-0.252</v>
      </c>
      <c r="U44">
        <f>Model!U56</f>
        <v>-0.03</v>
      </c>
      <c r="V44">
        <f>Model!V56</f>
        <v>2.1999999999999999E-2</v>
      </c>
      <c r="W44">
        <f>Model!W56</f>
        <v>-1.4E-2</v>
      </c>
      <c r="X44">
        <f>Model!X56</f>
        <v>-0.20300000000000001</v>
      </c>
      <c r="Y44">
        <f>Model!Y56</f>
        <v>-0.20100000000000001</v>
      </c>
      <c r="Z44">
        <f>Model!Z56</f>
        <v>-6.6000000000000003E-2</v>
      </c>
      <c r="AA44">
        <f>Model!AA56</f>
        <v>-3.1E-2</v>
      </c>
      <c r="AB44">
        <f>Model!AB56</f>
        <v>-0.109</v>
      </c>
      <c r="AC44">
        <f>Model!AC56</f>
        <v>-2E-3</v>
      </c>
      <c r="AD44">
        <f>Model!AD56</f>
        <v>-1.4999999999999999E-2</v>
      </c>
      <c r="AE44">
        <f>Model!AE56</f>
        <v>0.2</v>
      </c>
      <c r="AF44">
        <f>Model!AF56</f>
        <v>3.7999999999999999E-2</v>
      </c>
      <c r="AG44">
        <f>Model!AG56</f>
        <v>0.56200000000000006</v>
      </c>
      <c r="AH44">
        <f>Model!AH56</f>
        <v>0.32900000000000001</v>
      </c>
      <c r="AI44">
        <f>Model!AI56</f>
        <v>-0.54500000000000004</v>
      </c>
      <c r="AJ44">
        <f>Model!AJ56</f>
        <v>0.04</v>
      </c>
      <c r="AL44">
        <f>Model!BG56</f>
        <v>0</v>
      </c>
      <c r="AM44">
        <f>Model!BH56</f>
        <v>0.60599999999999998</v>
      </c>
      <c r="AN44">
        <f>Model!BI56</f>
        <v>0.434</v>
      </c>
      <c r="AO44">
        <f>Model!BJ56</f>
        <v>3.3000000000000002E-2</v>
      </c>
      <c r="AP44">
        <f>Model!BK56</f>
        <v>1.4999999999999986E-2</v>
      </c>
      <c r="AQ44">
        <f>Model!BL56</f>
        <v>-0.39500000000000002</v>
      </c>
      <c r="AR44">
        <f>Model!BM56</f>
        <v>-0.22500000000000001</v>
      </c>
      <c r="AS44">
        <f>Model!BN56</f>
        <v>-0.40700000000000003</v>
      </c>
      <c r="AT44">
        <f>Model!BO56</f>
        <v>0.221</v>
      </c>
      <c r="AU44">
        <f>Model!BP56</f>
        <v>0.38599999999999995</v>
      </c>
      <c r="AV44">
        <f>Model!BQ56</f>
        <v>1.694</v>
      </c>
      <c r="AW44">
        <f>Model!BR56</f>
        <v>4.8639999999999999</v>
      </c>
      <c r="AX44">
        <f>Model!BS56</f>
        <v>2.6852362229146274</v>
      </c>
      <c r="AY44">
        <f>Model!BT56</f>
        <v>3.1906587520097749</v>
      </c>
      <c r="AZ44">
        <f>Model!BU56</f>
        <v>3.7223443129358409</v>
      </c>
    </row>
    <row r="45" spans="9:62" ht="11.25" customHeight="1">
      <c r="I45" t="str">
        <f>Model!I57</f>
        <v>One-time items</v>
      </c>
      <c r="M45">
        <f>Model!M57</f>
        <v>0</v>
      </c>
      <c r="N45">
        <f>Model!N57</f>
        <v>0</v>
      </c>
      <c r="O45">
        <f>Model!O57</f>
        <v>0</v>
      </c>
      <c r="P45">
        <f>Model!P57</f>
        <v>0</v>
      </c>
      <c r="Q45">
        <f>Model!Q57</f>
        <v>0</v>
      </c>
      <c r="R45">
        <f>Model!R57</f>
        <v>0</v>
      </c>
      <c r="S45">
        <f>Model!S57</f>
        <v>0</v>
      </c>
      <c r="T45">
        <f>Model!T57</f>
        <v>0</v>
      </c>
      <c r="U45">
        <f>Model!U57</f>
        <v>0</v>
      </c>
      <c r="V45">
        <f>Model!V57</f>
        <v>0</v>
      </c>
      <c r="W45">
        <f>Model!W57</f>
        <v>0</v>
      </c>
      <c r="X45">
        <f>Model!X57</f>
        <v>0</v>
      </c>
      <c r="Y45">
        <f>Model!Y57</f>
        <v>0</v>
      </c>
      <c r="Z45">
        <f>Model!Z57</f>
        <v>0</v>
      </c>
      <c r="AA45">
        <f>Model!AA57</f>
        <v>0</v>
      </c>
      <c r="AB45">
        <f>Model!AB57</f>
        <v>0</v>
      </c>
      <c r="AC45">
        <f>Model!AC57</f>
        <v>0</v>
      </c>
      <c r="AD45">
        <f>Model!AD57</f>
        <v>0</v>
      </c>
      <c r="AE45">
        <f>Model!AE57</f>
        <v>0</v>
      </c>
      <c r="AF45">
        <f>Model!AF57</f>
        <v>0</v>
      </c>
      <c r="AG45">
        <f>Model!AG57</f>
        <v>0</v>
      </c>
      <c r="AH45">
        <f>Model!AH57</f>
        <v>0</v>
      </c>
      <c r="AI45">
        <f>Model!AI57</f>
        <v>0</v>
      </c>
      <c r="AJ45">
        <f>Model!AJ57</f>
        <v>0</v>
      </c>
      <c r="AL45">
        <f>Model!BG57</f>
        <v>0</v>
      </c>
      <c r="AM45">
        <f>Model!BH57</f>
        <v>0</v>
      </c>
      <c r="AN45">
        <f>Model!BI57</f>
        <v>0</v>
      </c>
      <c r="AO45">
        <f>Model!BJ57</f>
        <v>0</v>
      </c>
      <c r="AP45">
        <f>Model!BK57</f>
        <v>0</v>
      </c>
      <c r="AQ45">
        <f>Model!BL57</f>
        <v>0</v>
      </c>
      <c r="AR45">
        <f>Model!BM57</f>
        <v>0</v>
      </c>
      <c r="AS45">
        <f>Model!BN57</f>
        <v>0</v>
      </c>
      <c r="AT45">
        <f>Model!BO57</f>
        <v>0</v>
      </c>
      <c r="AU45">
        <f>Model!BP57</f>
        <v>0</v>
      </c>
      <c r="AV45">
        <f>Model!BQ57</f>
        <v>0</v>
      </c>
      <c r="AW45">
        <f>Model!BR57</f>
        <v>0</v>
      </c>
      <c r="AX45">
        <f>Model!BS57</f>
        <v>0</v>
      </c>
      <c r="AY45">
        <f>Model!BT57</f>
        <v>0</v>
      </c>
      <c r="AZ45">
        <f>Model!BU57</f>
        <v>0</v>
      </c>
    </row>
    <row r="46" spans="9:62" ht="11.25" customHeight="1">
      <c r="I46" t="str">
        <f>Model!I58</f>
        <v>Interest &amp; other income / (expense), net (GAAP)</v>
      </c>
      <c r="M46">
        <f>Model!M58</f>
        <v>-3.9E-2</v>
      </c>
      <c r="N46">
        <f>Model!N58</f>
        <v>1.4999999999999999E-2</v>
      </c>
      <c r="O46">
        <f>Model!O58</f>
        <v>0.104</v>
      </c>
      <c r="P46">
        <f>Model!P58</f>
        <v>-6.5000000000000002E-2</v>
      </c>
      <c r="Q46">
        <f>Model!Q58</f>
        <v>0.108</v>
      </c>
      <c r="R46">
        <f>Model!R58</f>
        <v>7.4999999999999997E-2</v>
      </c>
      <c r="S46">
        <f>Model!S58</f>
        <v>-0.32600000000000001</v>
      </c>
      <c r="T46">
        <f>Model!T58</f>
        <v>-0.252</v>
      </c>
      <c r="U46">
        <f>Model!U58</f>
        <v>-0.03</v>
      </c>
      <c r="V46">
        <f>Model!V58</f>
        <v>2.1999999999999999E-2</v>
      </c>
      <c r="W46">
        <f>Model!W58</f>
        <v>-1.4E-2</v>
      </c>
      <c r="X46">
        <f>Model!X58</f>
        <v>-0.20300000000000001</v>
      </c>
      <c r="Y46">
        <f>Model!Y58</f>
        <v>-0.20100000000000001</v>
      </c>
      <c r="Z46">
        <f>Model!Z58</f>
        <v>-6.6000000000000003E-2</v>
      </c>
      <c r="AA46">
        <f>Model!AA58</f>
        <v>-3.1E-2</v>
      </c>
      <c r="AB46">
        <f>Model!AB58</f>
        <v>-0.109</v>
      </c>
      <c r="AC46">
        <f>Model!AC58</f>
        <v>-2E-3</v>
      </c>
      <c r="AD46">
        <f>Model!AD58</f>
        <v>-1.4999999999999999E-2</v>
      </c>
      <c r="AE46">
        <f>Model!AE58</f>
        <v>0.2</v>
      </c>
      <c r="AF46">
        <f>Model!AF58</f>
        <v>3.7999999999999999E-2</v>
      </c>
      <c r="AG46">
        <f>Model!AG58</f>
        <v>0.56200000000000006</v>
      </c>
      <c r="AH46">
        <f>Model!AH58</f>
        <v>0.32900000000000001</v>
      </c>
      <c r="AI46">
        <f>Model!AI58</f>
        <v>-0.54500000000000004</v>
      </c>
      <c r="AJ46">
        <f>Model!AJ58</f>
        <v>0.04</v>
      </c>
      <c r="AL46">
        <f>Model!BG58</f>
        <v>0</v>
      </c>
      <c r="AM46">
        <f>Model!BH58</f>
        <v>0.60599999999999998</v>
      </c>
      <c r="AN46">
        <f>Model!BI58</f>
        <v>0.434</v>
      </c>
      <c r="AO46">
        <f>Model!BJ58</f>
        <v>3.3000000000000002E-2</v>
      </c>
      <c r="AP46">
        <f>Model!BK58</f>
        <v>1.4999999999999986E-2</v>
      </c>
      <c r="AQ46">
        <f>Model!BL58</f>
        <v>-0.39500000000000002</v>
      </c>
      <c r="AR46">
        <f>Model!BM58</f>
        <v>-0.22500000000000001</v>
      </c>
      <c r="AS46">
        <f>Model!BN58</f>
        <v>-0.40700000000000003</v>
      </c>
      <c r="AT46">
        <f>Model!BO58</f>
        <v>0.221</v>
      </c>
      <c r="AU46">
        <f>Model!BP58</f>
        <v>0.38599999999999995</v>
      </c>
      <c r="AV46">
        <f>Model!BQ58</f>
        <v>1.694</v>
      </c>
      <c r="AW46">
        <f>Model!BR58</f>
        <v>4.8639999999999999</v>
      </c>
      <c r="AX46">
        <f>Model!BS58</f>
        <v>2.6852362229146274</v>
      </c>
      <c r="AY46">
        <f>Model!BT58</f>
        <v>3.1906587520097749</v>
      </c>
      <c r="AZ46">
        <f>Model!BU58</f>
        <v>3.7223443129358409</v>
      </c>
    </row>
    <row r="47" spans="9:62" ht="11.25" customHeight="1">
      <c r="I47">
        <f>Model!I59</f>
        <v>0</v>
      </c>
      <c r="M47">
        <f>Model!M59</f>
        <v>0</v>
      </c>
      <c r="N47">
        <f>Model!N59</f>
        <v>0</v>
      </c>
      <c r="O47">
        <f>Model!O59</f>
        <v>0</v>
      </c>
      <c r="P47">
        <f>Model!P59</f>
        <v>0</v>
      </c>
      <c r="Q47">
        <f>Model!Q59</f>
        <v>0</v>
      </c>
      <c r="R47">
        <f>Model!R59</f>
        <v>0</v>
      </c>
      <c r="S47">
        <f>Model!S59</f>
        <v>0</v>
      </c>
      <c r="T47">
        <f>Model!T59</f>
        <v>0</v>
      </c>
      <c r="U47">
        <f>Model!U59</f>
        <v>0</v>
      </c>
      <c r="V47">
        <f>Model!V59</f>
        <v>0</v>
      </c>
      <c r="W47">
        <f>Model!W59</f>
        <v>0</v>
      </c>
      <c r="X47">
        <f>Model!X59</f>
        <v>0</v>
      </c>
      <c r="Y47">
        <f>Model!Y59</f>
        <v>0</v>
      </c>
      <c r="Z47">
        <f>Model!Z59</f>
        <v>0</v>
      </c>
      <c r="AA47">
        <f>Model!AA59</f>
        <v>0</v>
      </c>
      <c r="AB47">
        <f>Model!AB59</f>
        <v>0</v>
      </c>
      <c r="AC47">
        <f>Model!AC59</f>
        <v>0</v>
      </c>
      <c r="AD47">
        <f>Model!AD59</f>
        <v>0</v>
      </c>
      <c r="AE47">
        <f>Model!AE59</f>
        <v>0</v>
      </c>
      <c r="AF47">
        <f>Model!AF59</f>
        <v>0</v>
      </c>
      <c r="AG47">
        <f>Model!AG59</f>
        <v>0</v>
      </c>
      <c r="AH47">
        <f>Model!AH59</f>
        <v>0</v>
      </c>
      <c r="AI47">
        <f>Model!AI59</f>
        <v>0</v>
      </c>
      <c r="AJ47">
        <f>Model!AJ59</f>
        <v>0</v>
      </c>
      <c r="AL47">
        <f>Model!BG59</f>
        <v>0</v>
      </c>
      <c r="AM47">
        <f>Model!BH59</f>
        <v>0</v>
      </c>
      <c r="AN47">
        <f>Model!BI59</f>
        <v>0</v>
      </c>
      <c r="AO47">
        <f>Model!BJ59</f>
        <v>0</v>
      </c>
      <c r="AP47">
        <f>Model!BK59</f>
        <v>0</v>
      </c>
      <c r="AQ47">
        <f>Model!BL59</f>
        <v>0</v>
      </c>
      <c r="AR47">
        <f>Model!BM59</f>
        <v>0</v>
      </c>
      <c r="AS47">
        <f>Model!BN59</f>
        <v>0</v>
      </c>
      <c r="AT47">
        <f>Model!BO59</f>
        <v>0</v>
      </c>
      <c r="AU47">
        <f>Model!BP59</f>
        <v>0</v>
      </c>
      <c r="AV47">
        <f>Model!BQ59</f>
        <v>0</v>
      </c>
      <c r="AW47">
        <f>Model!BR59</f>
        <v>0</v>
      </c>
      <c r="AX47">
        <f>Model!BS59</f>
        <v>0</v>
      </c>
      <c r="AY47">
        <f>Model!BT59</f>
        <v>0</v>
      </c>
      <c r="AZ47">
        <f>Model!BU59</f>
        <v>0</v>
      </c>
    </row>
    <row r="48" spans="9:62" ht="11.25" customHeight="1">
      <c r="I48" t="str">
        <f>Model!I60</f>
        <v>Pre-tax income (adjusted)</v>
      </c>
      <c r="M48">
        <f>Model!M60</f>
        <v>-1.3520000000000023</v>
      </c>
      <c r="N48">
        <f>Model!N60</f>
        <v>-2.4040000000000004</v>
      </c>
      <c r="O48">
        <f>Model!O60</f>
        <v>-2.4759999999999982</v>
      </c>
      <c r="P48">
        <f>Model!P60</f>
        <v>-0.52799999999999914</v>
      </c>
      <c r="Q48">
        <f>Model!Q60</f>
        <v>-1.590999999999998</v>
      </c>
      <c r="R48">
        <f>Model!R60</f>
        <v>-0.19999999999999857</v>
      </c>
      <c r="S48">
        <f>Model!S60</f>
        <v>-2.2550000000000057</v>
      </c>
      <c r="T48">
        <f>Model!T60</f>
        <v>-1.7149999999999974</v>
      </c>
      <c r="U48">
        <f>Model!U60</f>
        <v>-2.342000000000001</v>
      </c>
      <c r="V48">
        <f>Model!V60</f>
        <v>-5.8000000000001849E-2</v>
      </c>
      <c r="W48">
        <f>Model!W60</f>
        <v>0.36800000000000499</v>
      </c>
      <c r="X48">
        <f>Model!X60</f>
        <v>-0.81900000000000683</v>
      </c>
      <c r="Y48">
        <f>Model!Y60</f>
        <v>0.52500000000000613</v>
      </c>
      <c r="Z48">
        <f>Model!Z60</f>
        <v>5.0670000000000028</v>
      </c>
      <c r="AA48">
        <f>Model!AA60</f>
        <v>5.202999999999995</v>
      </c>
      <c r="AB48">
        <f>Model!AB60</f>
        <v>6.7719999999999931</v>
      </c>
      <c r="AC48">
        <f>Model!AC60</f>
        <v>4.8499999999999899</v>
      </c>
      <c r="AD48">
        <f>Model!AD60</f>
        <v>13.194999999999993</v>
      </c>
      <c r="AE48">
        <f>Model!AE60</f>
        <v>15.662000000000003</v>
      </c>
      <c r="AF48">
        <f>Model!AF60</f>
        <v>19.846000000000007</v>
      </c>
      <c r="AG48">
        <f>Model!AG60</f>
        <v>3.2759999999999989</v>
      </c>
      <c r="AH48">
        <f>Model!AH60</f>
        <v>7.5819999999999856</v>
      </c>
      <c r="AI48">
        <f>Model!AI60</f>
        <v>-4.5329999999999995</v>
      </c>
      <c r="AJ48">
        <f>Model!AJ60</f>
        <v>2.5679999999999916</v>
      </c>
      <c r="AL48">
        <f>Model!BG60</f>
        <v>-2.2279999999999998</v>
      </c>
      <c r="AM48">
        <f>Model!BH60</f>
        <v>-3.2199999999999998</v>
      </c>
      <c r="AN48">
        <f>Model!BI60</f>
        <v>-5.44</v>
      </c>
      <c r="AO48">
        <f>Model!BJ60</f>
        <v>-1.7429999999999963</v>
      </c>
      <c r="AP48">
        <f>Model!BK60</f>
        <v>-6.7599999999999989</v>
      </c>
      <c r="AQ48">
        <f>Model!BL60</f>
        <v>-5.7609999999999992</v>
      </c>
      <c r="AR48">
        <f>Model!BM60</f>
        <v>-2.8510000000000333</v>
      </c>
      <c r="AS48">
        <f>Model!BN60</f>
        <v>17.56699999999999</v>
      </c>
      <c r="AT48">
        <f>Model!BO60</f>
        <v>53.55299999999999</v>
      </c>
      <c r="AU48">
        <f>Model!BP60</f>
        <v>8.8930000000000042</v>
      </c>
      <c r="AV48">
        <f>Model!BQ60</f>
        <v>82.974999999999952</v>
      </c>
      <c r="AW48">
        <f>Model!BR60</f>
        <v>120.042</v>
      </c>
      <c r="AX48">
        <f>Model!BS60</f>
        <v>143.67214058160374</v>
      </c>
      <c r="AY48">
        <f>Model!BT60</f>
        <v>205.30610932064508</v>
      </c>
      <c r="AZ48">
        <f>Model!BU60</f>
        <v>250.03193932005064</v>
      </c>
    </row>
    <row r="49" spans="9:52" ht="11.25" customHeight="1">
      <c r="I49">
        <f>Model!I61</f>
        <v>0</v>
      </c>
      <c r="M49">
        <f>Model!M61</f>
        <v>0</v>
      </c>
      <c r="N49">
        <f>Model!N61</f>
        <v>0</v>
      </c>
      <c r="O49">
        <f>Model!O61</f>
        <v>0</v>
      </c>
      <c r="P49">
        <f>Model!P61</f>
        <v>0</v>
      </c>
      <c r="Q49">
        <f>Model!Q61</f>
        <v>0</v>
      </c>
      <c r="R49">
        <f>Model!R61</f>
        <v>0</v>
      </c>
      <c r="S49">
        <f>Model!S61</f>
        <v>0</v>
      </c>
      <c r="T49">
        <f>Model!T61</f>
        <v>0</v>
      </c>
      <c r="U49">
        <f>Model!U61</f>
        <v>0</v>
      </c>
      <c r="V49">
        <f>Model!V61</f>
        <v>0</v>
      </c>
      <c r="W49">
        <f>Model!W61</f>
        <v>0</v>
      </c>
      <c r="X49">
        <f>Model!X61</f>
        <v>0</v>
      </c>
      <c r="Y49">
        <f>Model!Y61</f>
        <v>0</v>
      </c>
      <c r="Z49">
        <f>Model!Z61</f>
        <v>0</v>
      </c>
      <c r="AA49">
        <f>Model!AA61</f>
        <v>0</v>
      </c>
      <c r="AB49">
        <f>Model!AB61</f>
        <v>0</v>
      </c>
      <c r="AC49">
        <f>Model!AC61</f>
        <v>0</v>
      </c>
      <c r="AD49">
        <f>Model!AD61</f>
        <v>0</v>
      </c>
      <c r="AE49">
        <f>Model!AE61</f>
        <v>0</v>
      </c>
      <c r="AF49">
        <f>Model!AF61</f>
        <v>0</v>
      </c>
      <c r="AG49">
        <f>Model!AG61</f>
        <v>0</v>
      </c>
      <c r="AH49">
        <f>Model!AH61</f>
        <v>0</v>
      </c>
      <c r="AI49">
        <f>Model!AI61</f>
        <v>0</v>
      </c>
      <c r="AJ49">
        <f>Model!AJ61</f>
        <v>0</v>
      </c>
      <c r="AL49">
        <f>Model!BG61</f>
        <v>0</v>
      </c>
      <c r="AM49">
        <f>Model!BH61</f>
        <v>0</v>
      </c>
      <c r="AN49">
        <f>Model!BI61</f>
        <v>0</v>
      </c>
      <c r="AO49">
        <f>Model!BJ61</f>
        <v>0</v>
      </c>
      <c r="AP49">
        <f>Model!BK61</f>
        <v>0</v>
      </c>
      <c r="AQ49">
        <f>Model!BL61</f>
        <v>0</v>
      </c>
      <c r="AR49">
        <f>Model!BM61</f>
        <v>0</v>
      </c>
      <c r="AS49">
        <f>Model!BN61</f>
        <v>0</v>
      </c>
      <c r="AT49">
        <f>Model!BO61</f>
        <v>0</v>
      </c>
      <c r="AU49">
        <f>Model!BP61</f>
        <v>0</v>
      </c>
      <c r="AV49">
        <f>Model!BQ61</f>
        <v>0</v>
      </c>
      <c r="AW49">
        <f>Model!BR61</f>
        <v>0</v>
      </c>
      <c r="AX49">
        <f>Model!BS61</f>
        <v>0</v>
      </c>
      <c r="AY49">
        <f>Model!BT61</f>
        <v>0</v>
      </c>
      <c r="AZ49">
        <f>Model!BU61</f>
        <v>0</v>
      </c>
    </row>
    <row r="50" spans="9:52" ht="11.25" customHeight="1">
      <c r="I50" t="str">
        <f>Model!I62</f>
        <v>Pre-tax income (GAAP)</v>
      </c>
      <c r="M50">
        <f>Model!M62</f>
        <v>-2.9050000000000034</v>
      </c>
      <c r="N50">
        <f>Model!N62</f>
        <v>-2.661</v>
      </c>
      <c r="O50">
        <f>Model!O62</f>
        <v>-2.8429999999999991</v>
      </c>
      <c r="P50">
        <f>Model!P62</f>
        <v>-1.0820000000000012</v>
      </c>
      <c r="Q50">
        <f>Model!Q62</f>
        <v>-2.6939999999999995</v>
      </c>
      <c r="R50">
        <f>Model!R62</f>
        <v>-1.147999999999999</v>
      </c>
      <c r="S50">
        <f>Model!S62</f>
        <v>-3.7150000000000065</v>
      </c>
      <c r="T50">
        <f>Model!T62</f>
        <v>-9.0089999999999986</v>
      </c>
      <c r="U50">
        <f>Model!U62</f>
        <v>-9.770999999999999</v>
      </c>
      <c r="V50">
        <f>Model!V62</f>
        <v>-1.9160000000000024</v>
      </c>
      <c r="W50">
        <f>Model!W62</f>
        <v>-1.9659999999999982</v>
      </c>
      <c r="X50">
        <f>Model!X62</f>
        <v>-5.3390000000000102</v>
      </c>
      <c r="Y50">
        <f>Model!Y62</f>
        <v>-4.7549999999999875</v>
      </c>
      <c r="Z50">
        <f>Model!Z62</f>
        <v>-0.64599999999999835</v>
      </c>
      <c r="AA50">
        <f>Model!AA62</f>
        <v>-1.8120000000000058</v>
      </c>
      <c r="AB50">
        <f>Model!AB62</f>
        <v>-2.0170000000000012</v>
      </c>
      <c r="AC50">
        <f>Model!AC62</f>
        <v>-4.6060000000000132</v>
      </c>
      <c r="AD50">
        <f>Model!AD62</f>
        <v>3.1119999999999952</v>
      </c>
      <c r="AE50">
        <f>Model!AE62</f>
        <v>4.7439999999999971</v>
      </c>
      <c r="AF50">
        <f>Model!AF62</f>
        <v>8.0300000000000047</v>
      </c>
      <c r="AG50">
        <f>Model!AG62</f>
        <v>-10.395000000000008</v>
      </c>
      <c r="AH50">
        <f>Model!AH62</f>
        <v>-7.9340000000000197</v>
      </c>
      <c r="AI50">
        <f>Model!AI62</f>
        <v>-20.216000000000008</v>
      </c>
      <c r="AJ50">
        <f>Model!AJ62</f>
        <v>-13.403999999999989</v>
      </c>
      <c r="AL50">
        <f>Model!BG62</f>
        <v>-2.2279999999999998</v>
      </c>
      <c r="AM50">
        <f>Model!BH62</f>
        <v>-3.3140000000000001</v>
      </c>
      <c r="AN50">
        <f>Model!BI62</f>
        <v>-5.8049999999999988</v>
      </c>
      <c r="AO50">
        <f>Model!BJ62</f>
        <v>-2.2999999999999949</v>
      </c>
      <c r="AP50">
        <f>Model!BK62</f>
        <v>-9.4909999999999926</v>
      </c>
      <c r="AQ50">
        <f>Model!BL62</f>
        <v>-16.565999999999992</v>
      </c>
      <c r="AR50">
        <f>Model!BM62</f>
        <v>-18.992000000000026</v>
      </c>
      <c r="AS50">
        <f>Model!BN62</f>
        <v>-9.2300000000000075</v>
      </c>
      <c r="AT50">
        <f>Model!BO62</f>
        <v>11.279999999999969</v>
      </c>
      <c r="AU50">
        <f>Model!BP62</f>
        <v>-51.949000000000034</v>
      </c>
      <c r="AV50">
        <f>Model!BQ62</f>
        <v>-3.2850000000000419</v>
      </c>
      <c r="AW50">
        <f>Model!BR62</f>
        <v>184.34900000000002</v>
      </c>
      <c r="AX50">
        <f>Model!BS62</f>
        <v>29.409490581603738</v>
      </c>
      <c r="AY50">
        <f>Model!BT62</f>
        <v>77.331941320645015</v>
      </c>
      <c r="AZ50">
        <f>Model!BU62</f>
        <v>109.26035452005051</v>
      </c>
    </row>
    <row r="51" spans="9:52" ht="11.25" customHeight="1">
      <c r="I51">
        <f>Model!I63</f>
        <v>0</v>
      </c>
      <c r="M51">
        <f>Model!M63</f>
        <v>0</v>
      </c>
      <c r="N51">
        <f>Model!N63</f>
        <v>0</v>
      </c>
      <c r="O51">
        <f>Model!O63</f>
        <v>0</v>
      </c>
      <c r="P51">
        <f>Model!P63</f>
        <v>0</v>
      </c>
      <c r="Q51">
        <f>Model!Q63</f>
        <v>0</v>
      </c>
      <c r="R51">
        <f>Model!R63</f>
        <v>0</v>
      </c>
      <c r="S51">
        <f>Model!S63</f>
        <v>0</v>
      </c>
      <c r="T51">
        <f>Model!T63</f>
        <v>0</v>
      </c>
      <c r="U51">
        <f>Model!U63</f>
        <v>0</v>
      </c>
      <c r="V51">
        <f>Model!V63</f>
        <v>0</v>
      </c>
      <c r="W51">
        <f>Model!W63</f>
        <v>0</v>
      </c>
      <c r="X51">
        <f>Model!X63</f>
        <v>0</v>
      </c>
      <c r="Y51">
        <f>Model!Y63</f>
        <v>0</v>
      </c>
      <c r="Z51">
        <f>Model!Z63</f>
        <v>0</v>
      </c>
      <c r="AA51">
        <f>Model!AA63</f>
        <v>0</v>
      </c>
      <c r="AB51">
        <f>Model!AB63</f>
        <v>0</v>
      </c>
      <c r="AC51">
        <f>Model!AC63</f>
        <v>0</v>
      </c>
      <c r="AD51">
        <f>Model!AD63</f>
        <v>0</v>
      </c>
      <c r="AE51">
        <f>Model!AE63</f>
        <v>0</v>
      </c>
      <c r="AF51">
        <f>Model!AF63</f>
        <v>0</v>
      </c>
      <c r="AG51">
        <f>Model!AG63</f>
        <v>0</v>
      </c>
      <c r="AH51">
        <f>Model!AH63</f>
        <v>0</v>
      </c>
      <c r="AI51">
        <f>Model!AI63</f>
        <v>0</v>
      </c>
      <c r="AJ51">
        <f>Model!AJ63</f>
        <v>0</v>
      </c>
      <c r="AL51">
        <f>Model!BG63</f>
        <v>0</v>
      </c>
      <c r="AM51">
        <f>Model!BH63</f>
        <v>0</v>
      </c>
      <c r="AN51">
        <f>Model!BI63</f>
        <v>0</v>
      </c>
      <c r="AO51">
        <f>Model!BJ63</f>
        <v>0</v>
      </c>
      <c r="AP51">
        <f>Model!BK63</f>
        <v>0</v>
      </c>
      <c r="AQ51">
        <f>Model!BL63</f>
        <v>0</v>
      </c>
      <c r="AR51">
        <f>Model!BM63</f>
        <v>0</v>
      </c>
      <c r="AS51">
        <f>Model!BN63</f>
        <v>0</v>
      </c>
      <c r="AT51">
        <f>Model!BO63</f>
        <v>0</v>
      </c>
      <c r="AU51">
        <f>Model!BP63</f>
        <v>0</v>
      </c>
      <c r="AV51">
        <f>Model!BQ63</f>
        <v>0</v>
      </c>
      <c r="AW51">
        <f>Model!BR63</f>
        <v>0</v>
      </c>
      <c r="AX51">
        <f>Model!BS63</f>
        <v>0</v>
      </c>
      <c r="AY51">
        <f>Model!BT63</f>
        <v>0</v>
      </c>
      <c r="AZ51">
        <f>Model!BU63</f>
        <v>0</v>
      </c>
    </row>
    <row r="52" spans="9:52" ht="11.25" customHeight="1">
      <c r="I52" t="str">
        <f>Model!I64</f>
        <v>Income tax provision/(benefit) (adjusted)</v>
      </c>
      <c r="M52">
        <f>Model!M64</f>
        <v>1.0999999999999999E-2</v>
      </c>
      <c r="N52">
        <f>Model!N64</f>
        <v>0.01</v>
      </c>
      <c r="O52">
        <f>Model!O64</f>
        <v>2.7E-2</v>
      </c>
      <c r="P52">
        <f>Model!P64</f>
        <v>2.7E-2</v>
      </c>
      <c r="Q52">
        <f>Model!Q64</f>
        <v>1.2E-2</v>
      </c>
      <c r="R52">
        <f>Model!R64</f>
        <v>1.7000000000000001E-2</v>
      </c>
      <c r="S52">
        <f>Model!S64</f>
        <v>3.5999999999999997E-2</v>
      </c>
      <c r="T52">
        <f>Model!T64</f>
        <v>3.6999999999999998E-2</v>
      </c>
      <c r="U52">
        <f>Model!U64</f>
        <v>3.1E-2</v>
      </c>
      <c r="V52">
        <f>Model!V64</f>
        <v>6.6000000000000003E-2</v>
      </c>
      <c r="W52">
        <f>Model!W64</f>
        <v>0.147200000000002</v>
      </c>
      <c r="X52">
        <f>Model!X64</f>
        <v>-0.02</v>
      </c>
      <c r="Y52">
        <f>Model!Y64</f>
        <v>0.21000000000000246</v>
      </c>
      <c r="Z52">
        <f>Model!Z64</f>
        <v>2.026800000000001</v>
      </c>
      <c r="AA52">
        <f>Model!AA64</f>
        <v>2.0811999999999982</v>
      </c>
      <c r="AB52">
        <f>Model!AB64</f>
        <v>2.7087999999999974</v>
      </c>
      <c r="AC52">
        <f>Model!AC64</f>
        <v>1.9399999999999959</v>
      </c>
      <c r="AD52">
        <f>Model!AD64</f>
        <v>5.2779999999999978</v>
      </c>
      <c r="AE52">
        <f>Model!AE64</f>
        <v>6.264800000000001</v>
      </c>
      <c r="AF52">
        <f>Model!AF64</f>
        <v>7.9384000000000032</v>
      </c>
      <c r="AG52">
        <f>Model!AG64</f>
        <v>1.3103999999999996</v>
      </c>
      <c r="AH52">
        <f>Model!AH64</f>
        <v>3.0327999999999946</v>
      </c>
      <c r="AI52">
        <f>Model!AI64</f>
        <v>-3.1749999999999998</v>
      </c>
      <c r="AJ52">
        <f>Model!AJ64</f>
        <v>1.0271999999999968</v>
      </c>
      <c r="AL52">
        <f>Model!BG64</f>
        <v>0</v>
      </c>
      <c r="AM52">
        <f>Model!BH64</f>
        <v>2E-3</v>
      </c>
      <c r="AN52">
        <f>Model!BI64</f>
        <v>4.0000000000000001E-3</v>
      </c>
      <c r="AO52">
        <f>Model!BJ64</f>
        <v>8.0000000000000002E-3</v>
      </c>
      <c r="AP52">
        <f>Model!BK64</f>
        <v>7.4999999999999997E-2</v>
      </c>
      <c r="AQ52">
        <f>Model!BL64</f>
        <v>0.10200000000000001</v>
      </c>
      <c r="AR52">
        <f>Model!BM64</f>
        <v>0.22420000000000201</v>
      </c>
      <c r="AS52">
        <f>Model!BN64</f>
        <v>7.0267999999999988</v>
      </c>
      <c r="AT52">
        <f>Model!BO64</f>
        <v>21.421199999999999</v>
      </c>
      <c r="AU52">
        <f>Model!BP64</f>
        <v>2.1953999999999914</v>
      </c>
      <c r="AV52">
        <f>Model!BQ64</f>
        <v>33.189999999999991</v>
      </c>
      <c r="AW52">
        <f>Model!BR64</f>
        <v>48.016799999999975</v>
      </c>
      <c r="AX52">
        <f>Model!BS64</f>
        <v>57.468856232641521</v>
      </c>
      <c r="AY52">
        <f>Model!BT64</f>
        <v>82.12244372825802</v>
      </c>
      <c r="AZ52">
        <f>Model!BU64</f>
        <v>100.01277572802032</v>
      </c>
    </row>
    <row r="53" spans="9:52" ht="11.25" customHeight="1">
      <c r="I53" t="str">
        <f>Model!I65</f>
        <v>Tax rate (adjusted)</v>
      </c>
      <c r="M53">
        <f>Model!M65</f>
        <v>0.4</v>
      </c>
      <c r="N53">
        <f>Model!N65</f>
        <v>0.4</v>
      </c>
      <c r="O53">
        <f>Model!O65</f>
        <v>0.4</v>
      </c>
      <c r="P53">
        <f>Model!P65</f>
        <v>0.4</v>
      </c>
      <c r="Q53">
        <f>Model!Q65</f>
        <v>0.4</v>
      </c>
      <c r="R53">
        <f>Model!R65</f>
        <v>0.4</v>
      </c>
      <c r="S53">
        <f>Model!S65</f>
        <v>0.4</v>
      </c>
      <c r="T53">
        <f>Model!T65</f>
        <v>0.4</v>
      </c>
      <c r="U53">
        <f>Model!U65</f>
        <v>0.4</v>
      </c>
      <c r="V53">
        <f>Model!V65</f>
        <v>0.4</v>
      </c>
      <c r="W53">
        <f>Model!W65</f>
        <v>0.4</v>
      </c>
      <c r="X53">
        <f>Model!X65</f>
        <v>0.4</v>
      </c>
      <c r="Y53">
        <f>Model!Y65</f>
        <v>0.4</v>
      </c>
      <c r="Z53">
        <f>Model!Z65</f>
        <v>0.4</v>
      </c>
      <c r="AA53">
        <f>Model!AA65</f>
        <v>0.4</v>
      </c>
      <c r="AB53">
        <f>Model!AB65</f>
        <v>0.4</v>
      </c>
      <c r="AC53">
        <f>Model!AC65</f>
        <v>0.4</v>
      </c>
      <c r="AD53">
        <f>Model!AD65</f>
        <v>0.4</v>
      </c>
      <c r="AE53">
        <f>Model!AE65</f>
        <v>0.4</v>
      </c>
      <c r="AF53">
        <f>Model!AF65</f>
        <v>0.4</v>
      </c>
      <c r="AG53">
        <f>Model!AG65</f>
        <v>0.4</v>
      </c>
      <c r="AH53">
        <f>Model!AH65</f>
        <v>0.4</v>
      </c>
      <c r="AI53">
        <f>Model!AI65</f>
        <v>0.4</v>
      </c>
      <c r="AJ53">
        <f>Model!AJ65</f>
        <v>0.4</v>
      </c>
      <c r="AL53">
        <f>Model!BG65</f>
        <v>0.4</v>
      </c>
      <c r="AM53">
        <f>Model!BH65</f>
        <v>0.4</v>
      </c>
      <c r="AN53">
        <f>Model!BI65</f>
        <v>0.4</v>
      </c>
      <c r="AO53">
        <f>Model!BJ65</f>
        <v>0.4</v>
      </c>
      <c r="AP53">
        <f>Model!BK65</f>
        <v>-1.1094674556213019E-2</v>
      </c>
      <c r="AQ53">
        <f>Model!BL65</f>
        <v>-1.7705259503558415E-2</v>
      </c>
      <c r="AR53">
        <f>Model!BM65</f>
        <v>-7.8639074009119389E-2</v>
      </c>
      <c r="AS53">
        <f>Model!BN65</f>
        <v>0.40000000000000019</v>
      </c>
      <c r="AT53">
        <f>Model!BO65</f>
        <v>0.40000000000000008</v>
      </c>
      <c r="AU53">
        <f>Model!BP65</f>
        <v>0.24686832340042622</v>
      </c>
      <c r="AV53">
        <f>Model!BQ65</f>
        <v>0.40000000000000013</v>
      </c>
      <c r="AW53">
        <f>Model!BR65</f>
        <v>0.3999999999999998</v>
      </c>
      <c r="AX53">
        <f>Model!BS65</f>
        <v>0.40000000000000019</v>
      </c>
      <c r="AY53">
        <f>Model!BT65</f>
        <v>0.39999999999999997</v>
      </c>
      <c r="AZ53">
        <f>Model!BU65</f>
        <v>0.40000000000000024</v>
      </c>
    </row>
    <row r="54" spans="9:52" ht="11.25" customHeight="1">
      <c r="I54" t="str">
        <f>Model!I66</f>
        <v>Income tax provision/(benefit) (GAAP)</v>
      </c>
      <c r="M54">
        <f>Model!M66</f>
        <v>1.0999999999999999E-2</v>
      </c>
      <c r="N54">
        <f>Model!N66</f>
        <v>0.01</v>
      </c>
      <c r="O54">
        <f>Model!O66</f>
        <v>2.7E-2</v>
      </c>
      <c r="P54">
        <f>Model!P66</f>
        <v>2.7E-2</v>
      </c>
      <c r="Q54">
        <f>Model!Q66</f>
        <v>1.2E-2</v>
      </c>
      <c r="R54">
        <f>Model!R66</f>
        <v>1.7000000000000001E-2</v>
      </c>
      <c r="S54">
        <f>Model!S66</f>
        <v>3.5999999999999997E-2</v>
      </c>
      <c r="T54">
        <f>Model!T66</f>
        <v>3.6999999999999998E-2</v>
      </c>
      <c r="U54">
        <f>Model!U66</f>
        <v>3.1E-2</v>
      </c>
      <c r="V54">
        <f>Model!V66</f>
        <v>6.6000000000000003E-2</v>
      </c>
      <c r="W54">
        <f>Model!W66</f>
        <v>4.4999999999999998E-2</v>
      </c>
      <c r="X54">
        <f>Model!X66</f>
        <v>-0.02</v>
      </c>
      <c r="Y54">
        <f>Model!Y66</f>
        <v>4.3999999999999997E-2</v>
      </c>
      <c r="Z54">
        <f>Model!Z66</f>
        <v>0.23200000000000001</v>
      </c>
      <c r="AA54">
        <f>Model!AA66</f>
        <v>0.51</v>
      </c>
      <c r="AB54">
        <f>Model!AB66</f>
        <v>5.1999999999999998E-2</v>
      </c>
      <c r="AC54">
        <f>Model!AC66</f>
        <v>-1.9710000000000001</v>
      </c>
      <c r="AD54">
        <f>Model!AD66</f>
        <v>0.36899999999999999</v>
      </c>
      <c r="AE54">
        <f>Model!AE66</f>
        <v>1.107</v>
      </c>
      <c r="AF54">
        <f>Model!AF66</f>
        <v>-24.698</v>
      </c>
      <c r="AG54">
        <f>Model!AG66</f>
        <v>-2.403</v>
      </c>
      <c r="AH54">
        <f>Model!AH66</f>
        <v>1.6839999999999999</v>
      </c>
      <c r="AI54">
        <f>Model!AI66</f>
        <v>-3.1749999999999998</v>
      </c>
      <c r="AJ54">
        <f>Model!AJ66</f>
        <v>-15.856</v>
      </c>
      <c r="AL54">
        <f>Model!BG66</f>
        <v>0</v>
      </c>
      <c r="AM54">
        <f>Model!BH66</f>
        <v>2E-3</v>
      </c>
      <c r="AN54">
        <f>Model!BI66</f>
        <v>4.0000000000000001E-3</v>
      </c>
      <c r="AO54">
        <f>Model!BJ66</f>
        <v>8.0000000000000002E-3</v>
      </c>
      <c r="AP54">
        <f>Model!BK66</f>
        <v>7.4999999999999997E-2</v>
      </c>
      <c r="AQ54">
        <f>Model!BL66</f>
        <v>0.10200000000000001</v>
      </c>
      <c r="AR54">
        <f>Model!BM66</f>
        <v>0.12200000000000001</v>
      </c>
      <c r="AS54">
        <f>Model!BN66</f>
        <v>0.83800000000000008</v>
      </c>
      <c r="AT54">
        <f>Model!BO66</f>
        <v>-25.193000000000001</v>
      </c>
      <c r="AU54">
        <f>Model!BP66</f>
        <v>-19.75</v>
      </c>
      <c r="AV54">
        <f>Model!BQ66</f>
        <v>1.3850000000000002</v>
      </c>
      <c r="AW54">
        <f>Model!BR66</f>
        <v>31.491000000000003</v>
      </c>
      <c r="AX54">
        <f>Model!BS66</f>
        <v>13.38063918375833</v>
      </c>
      <c r="AY54">
        <f>Model!BT66</f>
        <v>30.932776528258017</v>
      </c>
      <c r="AZ54">
        <f>Model!BU66</f>
        <v>43.70414180802031</v>
      </c>
    </row>
    <row r="55" spans="9:52" ht="11.25" customHeight="1">
      <c r="I55" t="str">
        <f>Model!I67</f>
        <v>Tax rate (GAAP)</v>
      </c>
      <c r="M55">
        <f>Model!M67</f>
        <v>-3.7865748709122156E-3</v>
      </c>
      <c r="N55">
        <f>Model!N67</f>
        <v>-3.7579857196542651E-3</v>
      </c>
      <c r="O55">
        <f>Model!O67</f>
        <v>-9.4970102004924405E-3</v>
      </c>
      <c r="P55">
        <f>Model!P67</f>
        <v>-2.4953789279112727E-2</v>
      </c>
      <c r="Q55">
        <f>Model!Q67</f>
        <v>-4.4543429844098002E-3</v>
      </c>
      <c r="R55">
        <f>Model!R67</f>
        <v>-1.4808362369337993E-2</v>
      </c>
      <c r="S55">
        <f>Model!S67</f>
        <v>-9.6904441453566446E-3</v>
      </c>
      <c r="T55">
        <f>Model!T67</f>
        <v>-4.1070041070041079E-3</v>
      </c>
      <c r="U55">
        <f>Model!U67</f>
        <v>-3.1726537713642412E-3</v>
      </c>
      <c r="V55">
        <f>Model!V67</f>
        <v>-3.4446764091857998E-2</v>
      </c>
      <c r="W55">
        <f>Model!W67</f>
        <v>-2.288911495422179E-2</v>
      </c>
      <c r="X55">
        <f>Model!X67</f>
        <v>3.7460198539052188E-3</v>
      </c>
      <c r="Y55">
        <f>Model!Y67</f>
        <v>-9.2534174553102234E-3</v>
      </c>
      <c r="Z55">
        <f>Model!Z67</f>
        <v>-0.35913312693498545</v>
      </c>
      <c r="AA55">
        <f>Model!AA67</f>
        <v>-0.28145695364238321</v>
      </c>
      <c r="AB55">
        <f>Model!AB67</f>
        <v>-2.5780862667327698E-2</v>
      </c>
      <c r="AC55">
        <f>Model!AC67</f>
        <v>0.4279201042118963</v>
      </c>
      <c r="AD55">
        <f>Model!AD67</f>
        <v>0.11857326478149119</v>
      </c>
      <c r="AE55">
        <f>Model!AE67</f>
        <v>0.23334738617200687</v>
      </c>
      <c r="AF55">
        <f>Model!AF67</f>
        <v>-3.0757160647571591</v>
      </c>
      <c r="AG55">
        <f>Model!AG67</f>
        <v>0.231168831168831</v>
      </c>
      <c r="AH55">
        <f>Model!AH67</f>
        <v>-0.21225107133854246</v>
      </c>
      <c r="AI55">
        <f>Model!AI67</f>
        <v>-0.02</v>
      </c>
      <c r="AJ55">
        <f>Model!AJ67</f>
        <v>-0.02</v>
      </c>
      <c r="AL55">
        <f>Model!BG67</f>
        <v>0</v>
      </c>
      <c r="AM55">
        <f>Model!BH67</f>
        <v>-6.0350030175015089E-4</v>
      </c>
      <c r="AN55">
        <f>Model!BI67</f>
        <v>-6.8906115417743344E-4</v>
      </c>
      <c r="AO55">
        <f>Model!BJ67</f>
        <v>-3.4782608695652253E-3</v>
      </c>
      <c r="AP55">
        <f>Model!BK67</f>
        <v>-7.90222315878201E-3</v>
      </c>
      <c r="AQ55">
        <f>Model!BL67</f>
        <v>-6.1571894241216982E-3</v>
      </c>
      <c r="AR55">
        <f>Model!BM67</f>
        <v>-6.4237573715248443E-3</v>
      </c>
      <c r="AS55">
        <f>Model!BN67</f>
        <v>-9.0790899241603398E-2</v>
      </c>
      <c r="AT55">
        <f>Model!BO67</f>
        <v>-2.233421985815609</v>
      </c>
      <c r="AU55">
        <f>Model!BP67</f>
        <v>0.38018056170474862</v>
      </c>
      <c r="AV55">
        <f>Model!BQ67</f>
        <v>-0.42161339421612865</v>
      </c>
      <c r="AW55">
        <f>Model!BR67</f>
        <v>0.17082273296844572</v>
      </c>
      <c r="AX55">
        <f>Model!BS67</f>
        <v>0.4549769111651395</v>
      </c>
      <c r="AY55">
        <f>Model!BT67</f>
        <v>0.40000000000000013</v>
      </c>
      <c r="AZ55">
        <f>Model!BU67</f>
        <v>0.40000000000000097</v>
      </c>
    </row>
    <row r="56" spans="9:52" ht="11.25" customHeight="1">
      <c r="I56" t="str">
        <f>Model!I68</f>
        <v>Accretion of redeemable convertible preferred stock/Other</v>
      </c>
      <c r="M56">
        <f>Model!M68</f>
        <v>3.3000000000000002E-2</v>
      </c>
      <c r="N56">
        <f>Model!N68</f>
        <v>4.8000000000000001E-2</v>
      </c>
      <c r="O56">
        <f>Model!O68</f>
        <v>4.7E-2</v>
      </c>
      <c r="P56">
        <f>Model!P68</f>
        <v>4.7E-2</v>
      </c>
      <c r="Q56">
        <f>Model!Q68</f>
        <v>4.7E-2</v>
      </c>
      <c r="R56">
        <f>Model!R68</f>
        <v>4.7E-2</v>
      </c>
      <c r="S56">
        <f>Model!S68</f>
        <v>4.7E-2</v>
      </c>
      <c r="T56">
        <f>Model!T68</f>
        <v>4.8000000000000001E-2</v>
      </c>
      <c r="U56">
        <f>Model!U68</f>
        <v>3.1E-2</v>
      </c>
      <c r="V56">
        <f>Model!V68</f>
        <v>0</v>
      </c>
      <c r="W56">
        <f>Model!W68</f>
        <v>0</v>
      </c>
      <c r="X56">
        <f>Model!X68</f>
        <v>0</v>
      </c>
      <c r="Y56">
        <f>Model!Y68</f>
        <v>0</v>
      </c>
      <c r="Z56">
        <f>Model!Z68</f>
        <v>0</v>
      </c>
      <c r="AA56">
        <f>Model!AA68</f>
        <v>0</v>
      </c>
      <c r="AB56">
        <f>Model!AB68</f>
        <v>0</v>
      </c>
      <c r="AC56">
        <f>Model!AC68</f>
        <v>0</v>
      </c>
      <c r="AD56">
        <f>Model!AD68</f>
        <v>0</v>
      </c>
      <c r="AE56">
        <f>Model!AE68</f>
        <v>0</v>
      </c>
      <c r="AF56">
        <f>Model!AF68</f>
        <v>0</v>
      </c>
      <c r="AG56">
        <f>Model!AG68</f>
        <v>0</v>
      </c>
      <c r="AH56">
        <f>Model!AH68</f>
        <v>0</v>
      </c>
      <c r="AI56">
        <f>Model!AI68</f>
        <v>0</v>
      </c>
      <c r="AJ56">
        <f>Model!AJ68</f>
        <v>0</v>
      </c>
      <c r="AL56">
        <f>Model!BG68</f>
        <v>0</v>
      </c>
      <c r="AM56">
        <f>Model!BH68</f>
        <v>1.7000000000000001E-2</v>
      </c>
      <c r="AN56">
        <f>Model!BI68</f>
        <v>0.03</v>
      </c>
      <c r="AO56">
        <f>Model!BJ68</f>
        <v>3.2000000000000001E-2</v>
      </c>
      <c r="AP56">
        <f>Model!BK68</f>
        <v>0.17499999999999999</v>
      </c>
      <c r="AQ56">
        <f>Model!BL68</f>
        <v>0.189</v>
      </c>
      <c r="AR56">
        <f>Model!BM68</f>
        <v>3.1E-2</v>
      </c>
      <c r="AS56">
        <f>Model!BN68</f>
        <v>0</v>
      </c>
      <c r="AT56">
        <f>Model!BO68</f>
        <v>0</v>
      </c>
      <c r="AU56">
        <f>Model!BP68</f>
        <v>0</v>
      </c>
      <c r="AV56">
        <f>Model!BQ68</f>
        <v>0</v>
      </c>
      <c r="AW56">
        <f>Model!BR68</f>
        <v>0</v>
      </c>
      <c r="AX56">
        <f>Model!BS68</f>
        <v>0</v>
      </c>
      <c r="AY56">
        <f>Model!BT68</f>
        <v>0</v>
      </c>
      <c r="AZ56">
        <f>Model!BU68</f>
        <v>0</v>
      </c>
    </row>
    <row r="57" spans="9:52" ht="11.25" customHeight="1">
      <c r="I57">
        <f>Model!I70</f>
        <v>0</v>
      </c>
      <c r="M57">
        <f>Model!M70</f>
        <v>0</v>
      </c>
      <c r="N57">
        <f>Model!N70</f>
        <v>0</v>
      </c>
      <c r="O57">
        <f>Model!O70</f>
        <v>0</v>
      </c>
      <c r="P57">
        <f>Model!P70</f>
        <v>0</v>
      </c>
      <c r="Q57">
        <f>Model!Q70</f>
        <v>0</v>
      </c>
      <c r="R57">
        <f>Model!R70</f>
        <v>0</v>
      </c>
      <c r="S57">
        <f>Model!S70</f>
        <v>0</v>
      </c>
      <c r="T57">
        <f>Model!T70</f>
        <v>0</v>
      </c>
      <c r="U57">
        <f>Model!U70</f>
        <v>0</v>
      </c>
      <c r="V57">
        <f>Model!V70</f>
        <v>0</v>
      </c>
      <c r="W57">
        <f>Model!W70</f>
        <v>0</v>
      </c>
      <c r="X57">
        <f>Model!X70</f>
        <v>0</v>
      </c>
      <c r="Y57">
        <f>Model!Y70</f>
        <v>0</v>
      </c>
      <c r="Z57">
        <f>Model!Z70</f>
        <v>0</v>
      </c>
      <c r="AA57">
        <f>Model!AA70</f>
        <v>0</v>
      </c>
      <c r="AB57">
        <f>Model!AB70</f>
        <v>0</v>
      </c>
      <c r="AC57">
        <f>Model!AC70</f>
        <v>0</v>
      </c>
      <c r="AD57">
        <f>Model!AD70</f>
        <v>0</v>
      </c>
      <c r="AE57">
        <f>Model!AE70</f>
        <v>0</v>
      </c>
      <c r="AF57">
        <f>Model!AF70</f>
        <v>0</v>
      </c>
      <c r="AG57">
        <f>Model!AG70</f>
        <v>0</v>
      </c>
      <c r="AH57">
        <f>Model!AH70</f>
        <v>0</v>
      </c>
      <c r="AI57">
        <f>Model!AI70</f>
        <v>0</v>
      </c>
      <c r="AJ57">
        <f>Model!AJ70</f>
        <v>0</v>
      </c>
      <c r="AL57">
        <f>Model!BG70</f>
        <v>0</v>
      </c>
      <c r="AM57">
        <f>Model!BH70</f>
        <v>0</v>
      </c>
      <c r="AN57">
        <f>Model!BI70</f>
        <v>0</v>
      </c>
      <c r="AO57">
        <f>Model!BJ70</f>
        <v>0</v>
      </c>
      <c r="AP57">
        <f>Model!BK70</f>
        <v>0</v>
      </c>
      <c r="AQ57">
        <f>Model!BL70</f>
        <v>0</v>
      </c>
      <c r="AR57">
        <f>Model!BM70</f>
        <v>0</v>
      </c>
      <c r="AS57">
        <f>Model!BN70</f>
        <v>0</v>
      </c>
      <c r="AT57">
        <f>Model!BO70</f>
        <v>0</v>
      </c>
      <c r="AU57">
        <f>Model!BP70</f>
        <v>0</v>
      </c>
      <c r="AV57">
        <f>Model!BQ70</f>
        <v>0</v>
      </c>
      <c r="AW57">
        <f>Model!BR70</f>
        <v>0</v>
      </c>
      <c r="AX57">
        <f>Model!BS70</f>
        <v>0</v>
      </c>
      <c r="AY57">
        <f>Model!BT70</f>
        <v>0</v>
      </c>
      <c r="AZ57">
        <f>Model!BU70</f>
        <v>0</v>
      </c>
    </row>
    <row r="58" spans="9:52" ht="11.25" customHeight="1">
      <c r="I58" t="str">
        <f>Model!I71</f>
        <v>Net income (adjusted)</v>
      </c>
      <c r="M58">
        <f>Model!M71</f>
        <v>-1.3630000000000022</v>
      </c>
      <c r="N58">
        <f>Model!N71</f>
        <v>-2.4140000000000001</v>
      </c>
      <c r="O58">
        <f>Model!O71</f>
        <v>-2.5029999999999983</v>
      </c>
      <c r="P58">
        <f>Model!P71</f>
        <v>-0.55499999999999916</v>
      </c>
      <c r="Q58">
        <f>Model!Q71</f>
        <v>-1.602999999999998</v>
      </c>
      <c r="R58">
        <f>Model!R71</f>
        <v>-0.21699999999999858</v>
      </c>
      <c r="S58">
        <f>Model!S71</f>
        <v>-2.2910000000000057</v>
      </c>
      <c r="T58">
        <f>Model!T71</f>
        <v>-1.7519999999999973</v>
      </c>
      <c r="U58">
        <f>Model!U71</f>
        <v>-2.3730000000000011</v>
      </c>
      <c r="V58">
        <f>Model!V71</f>
        <v>-0.12400000000000186</v>
      </c>
      <c r="W58">
        <f>Model!W71</f>
        <v>0.22080000000000299</v>
      </c>
      <c r="X58">
        <f>Model!X71</f>
        <v>-0.79900000000000682</v>
      </c>
      <c r="Y58">
        <f>Model!Y71</f>
        <v>0.31500000000000367</v>
      </c>
      <c r="Z58">
        <f>Model!Z71</f>
        <v>3.0402000000000018</v>
      </c>
      <c r="AA58">
        <f>Model!AA71</f>
        <v>3.1217999999999968</v>
      </c>
      <c r="AB58">
        <f>Model!AB71</f>
        <v>4.0631999999999957</v>
      </c>
      <c r="AC58">
        <f>Model!AC71</f>
        <v>5.5449999999999937</v>
      </c>
      <c r="AD58">
        <f>Model!AD71</f>
        <v>9.415999999999995</v>
      </c>
      <c r="AE58">
        <f>Model!AE71</f>
        <v>10.865200000000002</v>
      </c>
      <c r="AF58">
        <f>Model!AF71</f>
        <v>14.474600000000004</v>
      </c>
      <c r="AG58">
        <f>Model!AG71</f>
        <v>3.8775999999999993</v>
      </c>
      <c r="AH58">
        <f>Model!AH71</f>
        <v>4.3661999999999912</v>
      </c>
      <c r="AI58">
        <f>Model!AI71</f>
        <v>-1.3399999999999996</v>
      </c>
      <c r="AJ58">
        <f>Model!AJ71</f>
        <v>4.7567999999999948</v>
      </c>
      <c r="AL58">
        <f>Model!BG71</f>
        <v>-2.2279999999999998</v>
      </c>
      <c r="AM58">
        <f>Model!BH71</f>
        <v>-3.2219999999999995</v>
      </c>
      <c r="AN58">
        <f>Model!BI71</f>
        <v>-5.444</v>
      </c>
      <c r="AO58">
        <f>Model!BJ71</f>
        <v>-1.7509999999999963</v>
      </c>
      <c r="AP58">
        <f>Model!BK71</f>
        <v>-6.8349999999999991</v>
      </c>
      <c r="AQ58">
        <f>Model!BL71</f>
        <v>-5.8629999999999995</v>
      </c>
      <c r="AR58">
        <f>Model!BM71</f>
        <v>-3.0752000000000352</v>
      </c>
      <c r="AS58">
        <f>Model!BN71</f>
        <v>10.540199999999992</v>
      </c>
      <c r="AT58">
        <f>Model!BO71</f>
        <v>32.131799999999991</v>
      </c>
      <c r="AU58">
        <f>Model!BP71</f>
        <v>11.660600000000013</v>
      </c>
      <c r="AV58">
        <f>Model!BQ71</f>
        <v>49.784999999999961</v>
      </c>
      <c r="AW58">
        <f>Model!BR71</f>
        <v>72.025200000000027</v>
      </c>
      <c r="AX58">
        <f>Model!BS71</f>
        <v>86.203284348962228</v>
      </c>
      <c r="AY58">
        <f>Model!BT71</f>
        <v>123.18366559238706</v>
      </c>
      <c r="AZ58">
        <f>Model!BU71</f>
        <v>150.01916359203034</v>
      </c>
    </row>
    <row r="59" spans="9:52" ht="11.25" customHeight="1">
      <c r="I59">
        <f>Model!I72</f>
        <v>0</v>
      </c>
      <c r="M59">
        <f>Model!M72</f>
        <v>0</v>
      </c>
      <c r="N59">
        <f>Model!N72</f>
        <v>0</v>
      </c>
      <c r="O59">
        <f>Model!O72</f>
        <v>0</v>
      </c>
      <c r="P59">
        <f>Model!P72</f>
        <v>0</v>
      </c>
      <c r="Q59">
        <f>Model!Q72</f>
        <v>0</v>
      </c>
      <c r="R59">
        <f>Model!R72</f>
        <v>0</v>
      </c>
      <c r="S59">
        <f>Model!S72</f>
        <v>0</v>
      </c>
      <c r="T59">
        <f>Model!T72</f>
        <v>0</v>
      </c>
      <c r="U59">
        <f>Model!U72</f>
        <v>0</v>
      </c>
      <c r="V59">
        <f>Model!V72</f>
        <v>0</v>
      </c>
      <c r="W59">
        <f>Model!W72</f>
        <v>0</v>
      </c>
      <c r="X59">
        <f>Model!X72</f>
        <v>0</v>
      </c>
      <c r="Y59">
        <f>Model!Y72</f>
        <v>0</v>
      </c>
      <c r="Z59">
        <f>Model!Z72</f>
        <v>0</v>
      </c>
      <c r="AA59">
        <f>Model!AA72</f>
        <v>0</v>
      </c>
      <c r="AB59">
        <f>Model!AB72</f>
        <v>0</v>
      </c>
      <c r="AC59">
        <f>Model!AC72</f>
        <v>0</v>
      </c>
      <c r="AD59">
        <f>Model!AD72</f>
        <v>0</v>
      </c>
      <c r="AE59">
        <f>Model!AE72</f>
        <v>0</v>
      </c>
      <c r="AF59">
        <f>Model!AF72</f>
        <v>0</v>
      </c>
      <c r="AG59">
        <f>Model!AG72</f>
        <v>0</v>
      </c>
      <c r="AH59">
        <f>Model!AH72</f>
        <v>0</v>
      </c>
      <c r="AI59">
        <f>Model!AI72</f>
        <v>0</v>
      </c>
      <c r="AJ59">
        <f>Model!AJ72</f>
        <v>0</v>
      </c>
      <c r="AL59">
        <f>Model!BG72</f>
        <v>0</v>
      </c>
      <c r="AM59">
        <f>Model!BH72</f>
        <v>0</v>
      </c>
      <c r="AN59">
        <f>Model!BI72</f>
        <v>0</v>
      </c>
      <c r="AO59">
        <f>Model!BJ72</f>
        <v>0</v>
      </c>
      <c r="AP59">
        <f>Model!BK72</f>
        <v>0</v>
      </c>
      <c r="AQ59">
        <f>Model!BL72</f>
        <v>0</v>
      </c>
      <c r="AR59">
        <f>Model!BM72</f>
        <v>0</v>
      </c>
      <c r="AS59">
        <f>Model!BN72</f>
        <v>0</v>
      </c>
      <c r="AT59">
        <f>Model!BO72</f>
        <v>0</v>
      </c>
      <c r="AU59">
        <f>Model!BP72</f>
        <v>0</v>
      </c>
      <c r="AV59">
        <f>Model!BQ72</f>
        <v>0</v>
      </c>
      <c r="AW59">
        <f>Model!BR72</f>
        <v>0</v>
      </c>
      <c r="AX59">
        <f>Model!BS72</f>
        <v>0</v>
      </c>
      <c r="AY59">
        <f>Model!BT72</f>
        <v>0</v>
      </c>
      <c r="AZ59">
        <f>Model!BU72</f>
        <v>0</v>
      </c>
    </row>
    <row r="60" spans="9:52" ht="11.25" customHeight="1">
      <c r="I60" t="str">
        <f>Model!I73</f>
        <v>Net income (GAAP)</v>
      </c>
      <c r="M60">
        <f>Model!M73</f>
        <v>-2.9490000000000034</v>
      </c>
      <c r="N60">
        <f>Model!N73</f>
        <v>-2.7189999999999999</v>
      </c>
      <c r="O60">
        <f>Model!O73</f>
        <v>-2.9169999999999994</v>
      </c>
      <c r="P60">
        <f>Model!P73</f>
        <v>-1.156000000000001</v>
      </c>
      <c r="Q60">
        <f>Model!Q73</f>
        <v>-2.7529999999999997</v>
      </c>
      <c r="R60">
        <f>Model!R73</f>
        <v>-1.2119999999999989</v>
      </c>
      <c r="S60">
        <f>Model!S73</f>
        <v>-3.7980000000000067</v>
      </c>
      <c r="T60">
        <f>Model!T73</f>
        <v>-9.0939999999999994</v>
      </c>
      <c r="U60">
        <f>Model!U73</f>
        <v>-9.8330000000000002</v>
      </c>
      <c r="V60">
        <f>Model!V73</f>
        <v>-1.9820000000000024</v>
      </c>
      <c r="W60">
        <f>Model!W73</f>
        <v>-2.0109999999999983</v>
      </c>
      <c r="X60">
        <f>Model!X73</f>
        <v>-5.3190000000000106</v>
      </c>
      <c r="Y60">
        <f>Model!Y73</f>
        <v>-4.7989999999999871</v>
      </c>
      <c r="Z60">
        <f>Model!Z73</f>
        <v>-0.87799999999999834</v>
      </c>
      <c r="AA60">
        <f>Model!AA73</f>
        <v>-2.3220000000000058</v>
      </c>
      <c r="AB60">
        <f>Model!AB73</f>
        <v>-2.0690000000000013</v>
      </c>
      <c r="AC60">
        <f>Model!AC73</f>
        <v>-2.6350000000000131</v>
      </c>
      <c r="AD60">
        <f>Model!AD73</f>
        <v>2.742999999999995</v>
      </c>
      <c r="AE60">
        <f>Model!AE73</f>
        <v>3.6369999999999969</v>
      </c>
      <c r="AF60">
        <f>Model!AF73</f>
        <v>32.728000000000009</v>
      </c>
      <c r="AG60">
        <f>Model!AG73</f>
        <v>-7.992000000000008</v>
      </c>
      <c r="AH60">
        <f>Model!AH73</f>
        <v>-9.6180000000000199</v>
      </c>
      <c r="AI60">
        <f>Model!AI73</f>
        <v>-17.041000000000007</v>
      </c>
      <c r="AJ60">
        <f>Model!AJ73</f>
        <v>2.4520000000000106</v>
      </c>
      <c r="AL60">
        <f>Model!BG73</f>
        <v>-2.2279999999999998</v>
      </c>
      <c r="AM60">
        <f>Model!BH73</f>
        <v>-3.3329999999999997</v>
      </c>
      <c r="AN60">
        <f>Model!BI73</f>
        <v>-5.8389999999999986</v>
      </c>
      <c r="AO60">
        <f>Model!BJ73</f>
        <v>-2.339999999999995</v>
      </c>
      <c r="AP60">
        <f>Model!BK73</f>
        <v>-9.7409999999999926</v>
      </c>
      <c r="AQ60">
        <f>Model!BL73</f>
        <v>-16.856999999999992</v>
      </c>
      <c r="AR60">
        <f>Model!BM73</f>
        <v>-19.145000000000024</v>
      </c>
      <c r="AS60">
        <f>Model!BN73</f>
        <v>-10.068000000000008</v>
      </c>
      <c r="AT60">
        <f>Model!BO73</f>
        <v>36.472999999999971</v>
      </c>
      <c r="AU60">
        <f>Model!BP73</f>
        <v>-32.199000000000034</v>
      </c>
      <c r="AV60">
        <f>Model!BQ73</f>
        <v>-4.6700000000000426</v>
      </c>
      <c r="AW60">
        <f>Model!BR73</f>
        <v>152.858</v>
      </c>
      <c r="AX60">
        <f>Model!BS73</f>
        <v>16.028851397845408</v>
      </c>
      <c r="AY60">
        <f>Model!BT73</f>
        <v>46.399164792386998</v>
      </c>
      <c r="AZ60">
        <f>Model!BU73</f>
        <v>65.556212712030202</v>
      </c>
    </row>
    <row r="61" spans="9:52" ht="11.25" customHeight="1">
      <c r="I61">
        <f>Model!I74</f>
        <v>0</v>
      </c>
      <c r="M61">
        <f>Model!M74</f>
        <v>0</v>
      </c>
      <c r="N61">
        <f>Model!N74</f>
        <v>0</v>
      </c>
      <c r="O61">
        <f>Model!O74</f>
        <v>0</v>
      </c>
      <c r="P61">
        <f>Model!P74</f>
        <v>0</v>
      </c>
      <c r="Q61">
        <f>Model!Q74</f>
        <v>0</v>
      </c>
      <c r="R61">
        <f>Model!R74</f>
        <v>0</v>
      </c>
      <c r="S61">
        <f>Model!S74</f>
        <v>0</v>
      </c>
      <c r="T61">
        <f>Model!T74</f>
        <v>0</v>
      </c>
      <c r="U61">
        <f>Model!U74</f>
        <v>0</v>
      </c>
      <c r="V61">
        <f>Model!V74</f>
        <v>0</v>
      </c>
      <c r="W61">
        <f>Model!W74</f>
        <v>0</v>
      </c>
      <c r="X61">
        <f>Model!X74</f>
        <v>0</v>
      </c>
      <c r="Y61">
        <f>Model!Y74</f>
        <v>0</v>
      </c>
      <c r="Z61">
        <f>Model!Z74</f>
        <v>0</v>
      </c>
      <c r="AA61">
        <f>Model!AA74</f>
        <v>0</v>
      </c>
      <c r="AB61">
        <f>Model!AB74</f>
        <v>0</v>
      </c>
      <c r="AC61">
        <f>Model!AC74</f>
        <v>0</v>
      </c>
      <c r="AD61">
        <f>Model!AD74</f>
        <v>0</v>
      </c>
      <c r="AE61">
        <f>Model!AE74</f>
        <v>0</v>
      </c>
      <c r="AF61">
        <f>Model!AF74</f>
        <v>0</v>
      </c>
      <c r="AG61">
        <f>Model!AG74</f>
        <v>0</v>
      </c>
      <c r="AH61">
        <f>Model!AH74</f>
        <v>0</v>
      </c>
      <c r="AI61">
        <f>Model!AI74</f>
        <v>0</v>
      </c>
      <c r="AJ61">
        <f>Model!AJ74</f>
        <v>0</v>
      </c>
      <c r="AL61">
        <f>Model!BG74</f>
        <v>0</v>
      </c>
      <c r="AM61">
        <f>Model!BH74</f>
        <v>0</v>
      </c>
      <c r="AN61">
        <f>Model!BI74</f>
        <v>0</v>
      </c>
      <c r="AO61">
        <f>Model!BJ74</f>
        <v>0</v>
      </c>
      <c r="AP61">
        <f>Model!BK74</f>
        <v>0</v>
      </c>
      <c r="AQ61">
        <f>Model!BL74</f>
        <v>0</v>
      </c>
      <c r="AR61">
        <f>Model!BM74</f>
        <v>0</v>
      </c>
      <c r="AS61">
        <f>Model!BN74</f>
        <v>0</v>
      </c>
      <c r="AT61">
        <f>Model!BO74</f>
        <v>0</v>
      </c>
      <c r="AU61">
        <f>Model!BP74</f>
        <v>0</v>
      </c>
      <c r="AV61">
        <f>Model!BQ74</f>
        <v>0</v>
      </c>
      <c r="AW61">
        <f>Model!BR74</f>
        <v>0</v>
      </c>
      <c r="AX61">
        <f>Model!BS74</f>
        <v>0</v>
      </c>
      <c r="AY61">
        <f>Model!BT74</f>
        <v>0</v>
      </c>
      <c r="AZ61">
        <f>Model!BU74</f>
        <v>0</v>
      </c>
    </row>
    <row r="62" spans="9:52" ht="11.25" customHeight="1">
      <c r="I62" t="str">
        <f>Model!I75</f>
        <v>EPS (adjusted non-GAAP) - diluted</v>
      </c>
      <c r="M62">
        <f>Model!M75</f>
        <v>-0.10425271531283481</v>
      </c>
      <c r="N62">
        <f>Model!N75</f>
        <v>-0.17870891323660054</v>
      </c>
      <c r="O62">
        <f>Model!O75</f>
        <v>-0.17687795915482993</v>
      </c>
      <c r="P62">
        <f>Model!P75</f>
        <v>-3.868404544504072E-2</v>
      </c>
      <c r="Q62">
        <f>Model!Q75</f>
        <v>-0.11014911014911001</v>
      </c>
      <c r="R62">
        <f>Model!R75</f>
        <v>-1.4481147814481054E-2</v>
      </c>
      <c r="S62">
        <f>Model!S75</f>
        <v>-0.14770163110050968</v>
      </c>
      <c r="T62">
        <f>Model!T75</f>
        <v>-0.10884015655090994</v>
      </c>
      <c r="U62">
        <f>Model!U75</f>
        <v>-7.5904423759715983E-2</v>
      </c>
      <c r="V62">
        <f>Model!V75</f>
        <v>-2.0365595283065654E-3</v>
      </c>
      <c r="W62">
        <f>Model!W75</f>
        <v>3.6038976937013889E-3</v>
      </c>
      <c r="X62">
        <f>Model!X75</f>
        <v>-1.2681935780835941E-2</v>
      </c>
      <c r="Y62">
        <f>Model!Y75</f>
        <v>4.9424712042213988E-3</v>
      </c>
      <c r="Z62">
        <f>Model!Z75</f>
        <v>4.707941030723492E-2</v>
      </c>
      <c r="AA62">
        <f>Model!AA75</f>
        <v>4.7639249198840175E-2</v>
      </c>
      <c r="AB62">
        <f>Model!AB75</f>
        <v>5.9017822127325752E-2</v>
      </c>
      <c r="AC62">
        <f>Model!AC75</f>
        <v>7.7910946874429093E-2</v>
      </c>
      <c r="AD62">
        <f>Model!AD75</f>
        <v>0.12219684385382054</v>
      </c>
      <c r="AE62">
        <f>Model!AE75</f>
        <v>0.14056613537569862</v>
      </c>
      <c r="AF62">
        <f>Model!AF75</f>
        <v>0.18746810687596333</v>
      </c>
      <c r="AG62">
        <f>Model!AG75</f>
        <v>4.9777275703154072E-2</v>
      </c>
      <c r="AH62">
        <f>Model!AH75</f>
        <v>5.5444513581124732E-2</v>
      </c>
      <c r="AI62">
        <f>Model!AI75</f>
        <v>-1.7244929475960052E-2</v>
      </c>
      <c r="AJ62">
        <f>Model!AJ75</f>
        <v>6.0855103241818628E-2</v>
      </c>
      <c r="AL62">
        <f>Model!BG75</f>
        <v>-0.15540210643788796</v>
      </c>
      <c r="AM62">
        <f>Model!BH75</f>
        <v>-0.64763819095477382</v>
      </c>
      <c r="AN62">
        <f>Model!BI75</f>
        <v>-0.58879515466147525</v>
      </c>
      <c r="AO62">
        <f>Model!BJ75</f>
        <v>-0.1418502916396627</v>
      </c>
      <c r="AP62">
        <f>Model!BK75</f>
        <v>-0.49622477130826192</v>
      </c>
      <c r="AQ62">
        <f>Model!BL75</f>
        <v>-0.38342816035576477</v>
      </c>
      <c r="AR62">
        <f>Model!BM75</f>
        <v>-5.6791445825408321E-2</v>
      </c>
      <c r="AS62">
        <f>Model!BN75</f>
        <v>0.16051473387649418</v>
      </c>
      <c r="AT62">
        <f>Model!BO75</f>
        <v>0.41615572910595627</v>
      </c>
      <c r="AU62">
        <f>Model!BP75</f>
        <v>0.14917739170483346</v>
      </c>
      <c r="AV62">
        <f>Model!BQ75</f>
        <v>0.61379229569537808</v>
      </c>
      <c r="AW62">
        <f>Model!BR75</f>
        <v>0.83153893444397331</v>
      </c>
      <c r="AX62">
        <f>Model!BS75</f>
        <v>0.94248321032277427</v>
      </c>
      <c r="AY62">
        <f>Model!BT75</f>
        <v>1.2796441618090568</v>
      </c>
      <c r="AZ62">
        <f>Model!BU75</f>
        <v>1.4843976449777398</v>
      </c>
    </row>
    <row r="63" spans="9:52" ht="11.25" customHeight="1">
      <c r="I63">
        <f>Model!I76</f>
        <v>0</v>
      </c>
      <c r="M63">
        <f>Model!M76</f>
        <v>0</v>
      </c>
      <c r="N63">
        <f>Model!N76</f>
        <v>0</v>
      </c>
      <c r="O63">
        <f>Model!O76</f>
        <v>0</v>
      </c>
      <c r="P63">
        <f>Model!P76</f>
        <v>0</v>
      </c>
      <c r="Q63">
        <f>Model!Q76</f>
        <v>0</v>
      </c>
      <c r="R63">
        <f>Model!R76</f>
        <v>0</v>
      </c>
      <c r="S63">
        <f>Model!S76</f>
        <v>0</v>
      </c>
      <c r="T63">
        <f>Model!T76</f>
        <v>0</v>
      </c>
      <c r="U63">
        <f>Model!U76</f>
        <v>0</v>
      </c>
      <c r="V63">
        <f>Model!V76</f>
        <v>0</v>
      </c>
      <c r="W63">
        <f>Model!W76</f>
        <v>0</v>
      </c>
      <c r="X63">
        <f>Model!X76</f>
        <v>0</v>
      </c>
      <c r="Y63">
        <f>Model!Y76</f>
        <v>0</v>
      </c>
      <c r="Z63">
        <f>Model!Z76</f>
        <v>0</v>
      </c>
      <c r="AA63">
        <f>Model!AA76</f>
        <v>0</v>
      </c>
      <c r="AB63">
        <f>Model!AB76</f>
        <v>0</v>
      </c>
      <c r="AC63">
        <f>Model!AC76</f>
        <v>0</v>
      </c>
      <c r="AD63">
        <f>Model!AD76</f>
        <v>0</v>
      </c>
      <c r="AE63">
        <f>Model!AE76</f>
        <v>0</v>
      </c>
      <c r="AF63">
        <f>Model!AF76</f>
        <v>0</v>
      </c>
      <c r="AG63">
        <f>Model!AG76</f>
        <v>0</v>
      </c>
      <c r="AH63">
        <f>Model!AH76</f>
        <v>0</v>
      </c>
      <c r="AI63">
        <f>Model!AI76</f>
        <v>0</v>
      </c>
      <c r="AJ63">
        <f>Model!AJ76</f>
        <v>0</v>
      </c>
      <c r="AL63">
        <f>Model!BG76</f>
        <v>0</v>
      </c>
      <c r="AM63">
        <f>Model!BH76</f>
        <v>0</v>
      </c>
      <c r="AN63">
        <f>Model!BI76</f>
        <v>0</v>
      </c>
      <c r="AO63">
        <f>Model!BJ76</f>
        <v>0</v>
      </c>
      <c r="AP63">
        <f>Model!BK76</f>
        <v>0</v>
      </c>
      <c r="AQ63">
        <f>Model!BL76</f>
        <v>0</v>
      </c>
      <c r="AR63">
        <f>Model!BM76</f>
        <v>0</v>
      </c>
      <c r="AS63">
        <f>Model!BN76</f>
        <v>0</v>
      </c>
      <c r="AT63">
        <f>Model!BO76</f>
        <v>0</v>
      </c>
      <c r="AU63">
        <f>Model!BP76</f>
        <v>0</v>
      </c>
      <c r="AV63">
        <f>Model!BQ76</f>
        <v>0</v>
      </c>
      <c r="AW63">
        <f>Model!BR76</f>
        <v>0</v>
      </c>
      <c r="AX63">
        <f>Model!BS76</f>
        <v>0</v>
      </c>
      <c r="AY63">
        <f>Model!BT76</f>
        <v>0</v>
      </c>
      <c r="AZ63">
        <f>Model!BU76</f>
        <v>0</v>
      </c>
    </row>
    <row r="64" spans="9:52" ht="11.25" customHeight="1">
      <c r="I64" t="str">
        <f>Model!I77</f>
        <v>EPS (GAAP) - basic</v>
      </c>
      <c r="M64">
        <f>Model!M77</f>
        <v>-0.22556218448829765</v>
      </c>
      <c r="N64">
        <f>Model!N77</f>
        <v>-0.20128812555522654</v>
      </c>
      <c r="O64">
        <f>Model!O77</f>
        <v>-0.2061338421312981</v>
      </c>
      <c r="P64">
        <f>Model!P77</f>
        <v>-8.0574336098139063E-2</v>
      </c>
      <c r="Q64">
        <f>Model!Q77</f>
        <v>-0.18917061774204627</v>
      </c>
      <c r="R64">
        <f>Model!R77</f>
        <v>-8.0880880880880801E-2</v>
      </c>
      <c r="S64">
        <f>Model!S77</f>
        <v>-0.24485848752498271</v>
      </c>
      <c r="T64">
        <f>Model!T77</f>
        <v>-0.56494999068149332</v>
      </c>
      <c r="U64">
        <f>Model!U77</f>
        <v>-0.31452515753446564</v>
      </c>
      <c r="V64">
        <f>Model!V77</f>
        <v>-3.2552104718577078E-2</v>
      </c>
      <c r="W64">
        <f>Model!W77</f>
        <v>-3.2823542853412088E-2</v>
      </c>
      <c r="X64">
        <f>Model!X77</f>
        <v>-8.4424551211847221E-2</v>
      </c>
      <c r="Y64">
        <f>Model!Y77</f>
        <v>-7.5298156536692543E-2</v>
      </c>
      <c r="Z64">
        <f>Model!Z77</f>
        <v>-1.3596382556987091E-2</v>
      </c>
      <c r="AA64">
        <f>Model!AA77</f>
        <v>-3.5434152296658104E-2</v>
      </c>
      <c r="AB64">
        <f>Model!AB77</f>
        <v>-3.0052144610513188E-2</v>
      </c>
      <c r="AC64">
        <f>Model!AC77</f>
        <v>-3.7023506765396196E-2</v>
      </c>
      <c r="AD64">
        <f>Model!AD77</f>
        <v>3.8249156371140854E-2</v>
      </c>
      <c r="AE64">
        <f>Model!AE77</f>
        <v>5.0377449961908682E-2</v>
      </c>
      <c r="AF64">
        <f>Model!AF77</f>
        <v>0.45051965035446362</v>
      </c>
      <c r="AG64">
        <f>Model!AG77</f>
        <v>-0.10846316703762023</v>
      </c>
      <c r="AH64">
        <f>Model!AH77</f>
        <v>-0.12887406037705537</v>
      </c>
      <c r="AI64">
        <f>Model!AI77</f>
        <v>-0.22715578720057594</v>
      </c>
      <c r="AJ64">
        <f>Model!AJ77</f>
        <v>3.2531974738629871E-2</v>
      </c>
      <c r="AL64">
        <f>Model!BG77</f>
        <v>-0.15540210643788796</v>
      </c>
      <c r="AM64">
        <f>Model!BH77</f>
        <v>-0.6699497487437186</v>
      </c>
      <c r="AN64">
        <f>Model!BI77</f>
        <v>-0.63151633138654539</v>
      </c>
      <c r="AO64">
        <f>Model!BJ77</f>
        <v>-0.1895657809462083</v>
      </c>
      <c r="AP64">
        <f>Model!BK77</f>
        <v>-0.70720197473500745</v>
      </c>
      <c r="AQ64">
        <f>Model!BL77</f>
        <v>-1.1024131842260148</v>
      </c>
      <c r="AR64">
        <f>Model!BM77</f>
        <v>-0.3535614692792115</v>
      </c>
      <c r="AS64">
        <f>Model!BN77</f>
        <v>-0.1533236884184879</v>
      </c>
      <c r="AT64">
        <f>Model!BO77</f>
        <v>0.47238087837225229</v>
      </c>
      <c r="AU64">
        <f>Model!BP77</f>
        <v>-0.43117982230018859</v>
      </c>
      <c r="AV64">
        <f>Model!BQ77</f>
        <v>-6.0507315619504114E-2</v>
      </c>
      <c r="AW64">
        <f>Model!BR77</f>
        <v>1.8734779171594731</v>
      </c>
      <c r="AX64">
        <f>Model!BS77</f>
        <v>0.18711303929124729</v>
      </c>
      <c r="AY64">
        <f>Model!BT77</f>
        <v>0.51290198081432381</v>
      </c>
      <c r="AZ64">
        <f>Model!BU77</f>
        <v>0.68815305584512709</v>
      </c>
    </row>
    <row r="65" spans="9:52" ht="11.25" customHeight="1">
      <c r="I65" t="str">
        <f>Model!I78</f>
        <v>EPS (GAAP) - diluted</v>
      </c>
      <c r="M65">
        <f>Model!M78</f>
        <v>-0.22556218448829765</v>
      </c>
      <c r="N65">
        <f>Model!N78</f>
        <v>-0.20128812555522654</v>
      </c>
      <c r="O65">
        <f>Model!O78</f>
        <v>-0.2061338421312981</v>
      </c>
      <c r="P65">
        <f>Model!P78</f>
        <v>-8.0574336098139063E-2</v>
      </c>
      <c r="Q65">
        <f>Model!Q78</f>
        <v>-0.18917061774204627</v>
      </c>
      <c r="R65">
        <f>Model!R78</f>
        <v>-8.0880880880880801E-2</v>
      </c>
      <c r="S65">
        <f>Model!S78</f>
        <v>-0.24485848752498271</v>
      </c>
      <c r="T65">
        <f>Model!T78</f>
        <v>-0.56494999068149332</v>
      </c>
      <c r="U65">
        <f>Model!U78</f>
        <v>-0.31452515753446564</v>
      </c>
      <c r="V65">
        <f>Model!V78</f>
        <v>-3.2552104718577078E-2</v>
      </c>
      <c r="W65">
        <f>Model!W78</f>
        <v>-3.2823542853412088E-2</v>
      </c>
      <c r="X65">
        <f>Model!X78</f>
        <v>-8.4424551211847221E-2</v>
      </c>
      <c r="Y65">
        <f>Model!Y78</f>
        <v>-7.5298156536692543E-2</v>
      </c>
      <c r="Z65">
        <f>Model!Z78</f>
        <v>-1.3596382556987091E-2</v>
      </c>
      <c r="AA65">
        <f>Model!AA78</f>
        <v>-3.5434152296658104E-2</v>
      </c>
      <c r="AB65">
        <f>Model!AB78</f>
        <v>-3.0052144610513188E-2</v>
      </c>
      <c r="AC65">
        <f>Model!AC78</f>
        <v>-3.7023506765396196E-2</v>
      </c>
      <c r="AD65">
        <f>Model!AD78</f>
        <v>3.5597487541528174E-2</v>
      </c>
      <c r="AE65">
        <f>Model!AE78</f>
        <v>4.7052887600910739E-2</v>
      </c>
      <c r="AF65">
        <f>Model!AF78</f>
        <v>0.42387742679151946</v>
      </c>
      <c r="AG65">
        <f>Model!AG78</f>
        <v>-0.10846316703762023</v>
      </c>
      <c r="AH65">
        <f>Model!AH78</f>
        <v>-0.1221348842524987</v>
      </c>
      <c r="AI65">
        <f>Model!AI78</f>
        <v>-0.21930659940286226</v>
      </c>
      <c r="AJ65">
        <f>Model!AJ78</f>
        <v>3.1369137476652389E-2</v>
      </c>
      <c r="AL65">
        <f>Model!BG78</f>
        <v>-0.15540210643788796</v>
      </c>
      <c r="AM65">
        <f>Model!BH78</f>
        <v>-0.6699497487437186</v>
      </c>
      <c r="AN65">
        <f>Model!BI78</f>
        <v>-0.63151633138654539</v>
      </c>
      <c r="AO65">
        <f>Model!BJ78</f>
        <v>-0.1895657809462083</v>
      </c>
      <c r="AP65">
        <f>Model!BK78</f>
        <v>-0.70720197473500745</v>
      </c>
      <c r="AQ65">
        <f>Model!BL78</f>
        <v>-1.1024131842260148</v>
      </c>
      <c r="AR65">
        <f>Model!BM78</f>
        <v>-0.3535614692792115</v>
      </c>
      <c r="AS65">
        <f>Model!BN78</f>
        <v>-0.1533236884184879</v>
      </c>
      <c r="AT65">
        <f>Model!BO78</f>
        <v>0.47238087837225229</v>
      </c>
      <c r="AU65">
        <f>Model!BP78</f>
        <v>-0.41193101860143844</v>
      </c>
      <c r="AV65">
        <f>Model!BQ78</f>
        <v>-5.7575776255849025E-2</v>
      </c>
      <c r="AW65">
        <f>Model!BR78</f>
        <v>1.7647625892220618</v>
      </c>
      <c r="AX65">
        <f>Model!BS78</f>
        <v>0.17524765369812612</v>
      </c>
      <c r="AY65">
        <f>Model!BT78</f>
        <v>0.48199913563104579</v>
      </c>
      <c r="AZ65">
        <f>Model!BU78</f>
        <v>0.64866038066997334</v>
      </c>
    </row>
    <row r="66" spans="9:52" ht="11.25" customHeight="1">
      <c r="I66">
        <f>Model!I79</f>
        <v>0</v>
      </c>
      <c r="M66">
        <f>Model!M79</f>
        <v>0</v>
      </c>
      <c r="N66">
        <f>Model!N79</f>
        <v>0</v>
      </c>
      <c r="O66">
        <f>Model!O79</f>
        <v>0</v>
      </c>
      <c r="P66">
        <f>Model!P79</f>
        <v>0</v>
      </c>
      <c r="Q66">
        <f>Model!Q79</f>
        <v>0</v>
      </c>
      <c r="R66">
        <f>Model!R79</f>
        <v>0</v>
      </c>
      <c r="S66">
        <f>Model!S79</f>
        <v>0</v>
      </c>
      <c r="T66">
        <f>Model!T79</f>
        <v>0</v>
      </c>
      <c r="U66">
        <f>Model!U79</f>
        <v>0</v>
      </c>
      <c r="V66">
        <f>Model!V79</f>
        <v>0</v>
      </c>
      <c r="W66">
        <f>Model!W79</f>
        <v>0</v>
      </c>
      <c r="X66">
        <f>Model!X79</f>
        <v>0</v>
      </c>
      <c r="Y66">
        <f>Model!Y79</f>
        <v>0</v>
      </c>
      <c r="Z66">
        <f>Model!Z79</f>
        <v>0</v>
      </c>
      <c r="AA66">
        <f>Model!AA79</f>
        <v>0</v>
      </c>
      <c r="AB66">
        <f>Model!AB79</f>
        <v>0</v>
      </c>
      <c r="AC66">
        <f>Model!AC79</f>
        <v>0</v>
      </c>
      <c r="AD66">
        <f>Model!AD79</f>
        <v>0</v>
      </c>
      <c r="AE66">
        <f>Model!AE79</f>
        <v>0</v>
      </c>
      <c r="AF66">
        <f>Model!AF79</f>
        <v>0</v>
      </c>
      <c r="AG66">
        <f>Model!AG79</f>
        <v>0</v>
      </c>
      <c r="AH66">
        <f>Model!AH79</f>
        <v>0</v>
      </c>
      <c r="AI66">
        <f>Model!AI79</f>
        <v>0</v>
      </c>
      <c r="AJ66">
        <f>Model!AJ79</f>
        <v>0</v>
      </c>
      <c r="AL66">
        <f>Model!BG79</f>
        <v>0</v>
      </c>
      <c r="AM66">
        <f>Model!BH79</f>
        <v>0</v>
      </c>
      <c r="AN66">
        <f>Model!BI79</f>
        <v>0</v>
      </c>
      <c r="AO66">
        <f>Model!BJ79</f>
        <v>0</v>
      </c>
      <c r="AP66">
        <f>Model!BK79</f>
        <v>0</v>
      </c>
      <c r="AQ66">
        <f>Model!BL79</f>
        <v>0</v>
      </c>
      <c r="AR66">
        <f>Model!BM79</f>
        <v>0</v>
      </c>
      <c r="AS66">
        <f>Model!BN79</f>
        <v>0</v>
      </c>
      <c r="AT66">
        <f>Model!BO79</f>
        <v>0</v>
      </c>
      <c r="AU66">
        <f>Model!BP79</f>
        <v>0</v>
      </c>
      <c r="AV66">
        <f>Model!BQ79</f>
        <v>0</v>
      </c>
      <c r="AW66">
        <f>Model!BR79</f>
        <v>0</v>
      </c>
      <c r="AX66">
        <f>Model!BS79</f>
        <v>0</v>
      </c>
      <c r="AY66">
        <f>Model!BT79</f>
        <v>0</v>
      </c>
      <c r="AZ66">
        <f>Model!BU79</f>
        <v>0</v>
      </c>
    </row>
    <row r="67" spans="9:52" ht="11.25" customHeight="1">
      <c r="I67">
        <f>Model!I80</f>
        <v>0</v>
      </c>
      <c r="M67">
        <f>Model!M80</f>
        <v>0</v>
      </c>
      <c r="N67">
        <f>Model!N80</f>
        <v>0</v>
      </c>
      <c r="O67">
        <f>Model!O80</f>
        <v>0</v>
      </c>
      <c r="P67">
        <f>Model!P80</f>
        <v>0</v>
      </c>
      <c r="Q67">
        <f>Model!Q80</f>
        <v>0</v>
      </c>
      <c r="R67">
        <f>Model!R80</f>
        <v>0</v>
      </c>
      <c r="S67">
        <f>Model!S80</f>
        <v>0</v>
      </c>
      <c r="T67">
        <f>Model!T80</f>
        <v>0</v>
      </c>
      <c r="U67">
        <f>Model!U80</f>
        <v>0</v>
      </c>
      <c r="V67">
        <f>Model!V80</f>
        <v>0</v>
      </c>
      <c r="W67">
        <f>Model!W80</f>
        <v>0</v>
      </c>
      <c r="X67">
        <f>Model!X80</f>
        <v>0</v>
      </c>
      <c r="Y67">
        <f>Model!Y80</f>
        <v>0</v>
      </c>
      <c r="Z67">
        <f>Model!Z80</f>
        <v>0</v>
      </c>
      <c r="AA67">
        <f>Model!AA80</f>
        <v>0</v>
      </c>
      <c r="AB67">
        <f>Model!AB80</f>
        <v>0</v>
      </c>
      <c r="AC67">
        <f>Model!AC80</f>
        <v>0</v>
      </c>
      <c r="AD67">
        <f>Model!AD80</f>
        <v>0</v>
      </c>
      <c r="AE67">
        <f>Model!AE80</f>
        <v>0</v>
      </c>
      <c r="AF67">
        <f>Model!AF80</f>
        <v>0</v>
      </c>
      <c r="AG67">
        <f>Model!AG80</f>
        <v>0</v>
      </c>
      <c r="AH67">
        <f>Model!AH80</f>
        <v>0</v>
      </c>
      <c r="AI67">
        <f>Model!AI80</f>
        <v>0</v>
      </c>
      <c r="AJ67">
        <f>Model!AJ80</f>
        <v>0</v>
      </c>
      <c r="AL67">
        <f>Model!BG80</f>
        <v>0</v>
      </c>
      <c r="AM67">
        <f>Model!BH80</f>
        <v>0</v>
      </c>
      <c r="AN67">
        <f>Model!BI80</f>
        <v>0</v>
      </c>
      <c r="AO67">
        <f>Model!BJ80</f>
        <v>0</v>
      </c>
      <c r="AP67">
        <f>Model!BK80</f>
        <v>0</v>
      </c>
      <c r="AQ67">
        <f>Model!BL80</f>
        <v>0</v>
      </c>
      <c r="AR67">
        <f>Model!BM80</f>
        <v>0</v>
      </c>
      <c r="AS67">
        <f>Model!BN80</f>
        <v>0</v>
      </c>
      <c r="AT67">
        <f>Model!BO80</f>
        <v>0</v>
      </c>
      <c r="AU67">
        <f>Model!BP80</f>
        <v>0</v>
      </c>
      <c r="AV67">
        <f>Model!BQ80</f>
        <v>0</v>
      </c>
      <c r="AW67">
        <f>Model!BR80</f>
        <v>0</v>
      </c>
      <c r="AX67">
        <f>Model!BS80</f>
        <v>0</v>
      </c>
      <c r="AY67">
        <f>Model!BT80</f>
        <v>0</v>
      </c>
      <c r="AZ67">
        <f>Model!BU80</f>
        <v>0</v>
      </c>
    </row>
    <row r="68" spans="9:52" ht="11.25" customHeight="1">
      <c r="I68" t="str">
        <f>Model!I81</f>
        <v>Average Shares Outstanding</v>
      </c>
      <c r="M68">
        <f>Model!M81</f>
        <v>0</v>
      </c>
      <c r="N68">
        <f>Model!N81</f>
        <v>0</v>
      </c>
      <c r="O68">
        <f>Model!O81</f>
        <v>0</v>
      </c>
      <c r="P68">
        <f>Model!P81</f>
        <v>0</v>
      </c>
      <c r="Q68">
        <f>Model!Q81</f>
        <v>0</v>
      </c>
      <c r="R68">
        <f>Model!R81</f>
        <v>0</v>
      </c>
      <c r="S68">
        <f>Model!S81</f>
        <v>0</v>
      </c>
      <c r="T68">
        <f>Model!T81</f>
        <v>0</v>
      </c>
      <c r="U68">
        <f>Model!U81</f>
        <v>0</v>
      </c>
      <c r="V68">
        <f>Model!V81</f>
        <v>0</v>
      </c>
      <c r="W68">
        <f>Model!W81</f>
        <v>0</v>
      </c>
      <c r="X68">
        <f>Model!X81</f>
        <v>0</v>
      </c>
      <c r="Y68">
        <f>Model!Y81</f>
        <v>0</v>
      </c>
      <c r="Z68">
        <f>Model!Z81</f>
        <v>0</v>
      </c>
      <c r="AA68">
        <f>Model!AA81</f>
        <v>0</v>
      </c>
      <c r="AB68">
        <f>Model!AB81</f>
        <v>0</v>
      </c>
      <c r="AC68">
        <f>Model!AC81</f>
        <v>0</v>
      </c>
      <c r="AD68">
        <f>Model!AD81</f>
        <v>0</v>
      </c>
      <c r="AE68">
        <f>Model!AE81</f>
        <v>0</v>
      </c>
      <c r="AF68">
        <f>Model!AF81</f>
        <v>0</v>
      </c>
      <c r="AG68">
        <f>Model!AG81</f>
        <v>0</v>
      </c>
      <c r="AH68">
        <f>Model!AH81</f>
        <v>0</v>
      </c>
      <c r="AI68">
        <f>Model!AI81</f>
        <v>0</v>
      </c>
      <c r="AJ68">
        <f>Model!AJ81</f>
        <v>0</v>
      </c>
      <c r="AL68">
        <f>Model!BG81</f>
        <v>0</v>
      </c>
      <c r="AM68">
        <f>Model!BH81</f>
        <v>0</v>
      </c>
      <c r="AN68">
        <f>Model!BI81</f>
        <v>0</v>
      </c>
      <c r="AO68">
        <f>Model!BJ81</f>
        <v>0</v>
      </c>
      <c r="AP68">
        <f>Model!BK81</f>
        <v>0</v>
      </c>
      <c r="AQ68">
        <f>Model!BL81</f>
        <v>0</v>
      </c>
      <c r="AR68">
        <f>Model!BM81</f>
        <v>0</v>
      </c>
      <c r="AS68">
        <f>Model!BN81</f>
        <v>0</v>
      </c>
      <c r="AT68">
        <f>Model!BO81</f>
        <v>0</v>
      </c>
      <c r="AU68">
        <f>Model!BP81</f>
        <v>0</v>
      </c>
      <c r="AV68">
        <f>Model!BQ81</f>
        <v>0</v>
      </c>
      <c r="AW68">
        <f>Model!BR81</f>
        <v>0</v>
      </c>
      <c r="AX68">
        <f>Model!BS81</f>
        <v>0</v>
      </c>
      <c r="AY68">
        <f>Model!BT81</f>
        <v>0</v>
      </c>
      <c r="AZ68">
        <f>Model!BU81</f>
        <v>0</v>
      </c>
    </row>
    <row r="69" spans="9:52" ht="11.25" customHeight="1">
      <c r="I69">
        <f>Model!I82</f>
        <v>0</v>
      </c>
      <c r="M69">
        <f>Model!M82</f>
        <v>0</v>
      </c>
      <c r="N69">
        <f>Model!N82</f>
        <v>0</v>
      </c>
      <c r="O69">
        <f>Model!O82</f>
        <v>0</v>
      </c>
      <c r="P69">
        <f>Model!P82</f>
        <v>0</v>
      </c>
      <c r="Q69">
        <f>Model!Q82</f>
        <v>0</v>
      </c>
      <c r="R69">
        <f>Model!R82</f>
        <v>0</v>
      </c>
      <c r="S69">
        <f>Model!S82</f>
        <v>0</v>
      </c>
      <c r="T69">
        <f>Model!T82</f>
        <v>0</v>
      </c>
      <c r="U69">
        <f>Model!U82</f>
        <v>0</v>
      </c>
      <c r="V69">
        <f>Model!V82</f>
        <v>0</v>
      </c>
      <c r="W69">
        <f>Model!W82</f>
        <v>0</v>
      </c>
      <c r="X69">
        <f>Model!X82</f>
        <v>0</v>
      </c>
      <c r="Y69">
        <f>Model!Y82</f>
        <v>0</v>
      </c>
      <c r="Z69">
        <f>Model!Z82</f>
        <v>0</v>
      </c>
      <c r="AA69">
        <f>Model!AA82</f>
        <v>0</v>
      </c>
      <c r="AB69">
        <f>Model!AB82</f>
        <v>0</v>
      </c>
      <c r="AC69">
        <f>Model!AC82</f>
        <v>0</v>
      </c>
      <c r="AD69">
        <f>Model!AD82</f>
        <v>0</v>
      </c>
      <c r="AE69">
        <f>Model!AE82</f>
        <v>0</v>
      </c>
      <c r="AF69">
        <f>Model!AF82</f>
        <v>0</v>
      </c>
      <c r="AG69">
        <f>Model!AG82</f>
        <v>0</v>
      </c>
      <c r="AH69">
        <f>Model!AH82</f>
        <v>0</v>
      </c>
      <c r="AI69">
        <f>Model!AI82</f>
        <v>0</v>
      </c>
      <c r="AJ69">
        <f>Model!AJ82</f>
        <v>0</v>
      </c>
      <c r="AL69">
        <f>Model!BG82</f>
        <v>0</v>
      </c>
      <c r="AM69">
        <f>Model!BH82</f>
        <v>0</v>
      </c>
      <c r="AN69">
        <f>Model!BI82</f>
        <v>0</v>
      </c>
      <c r="AO69">
        <f>Model!BJ82</f>
        <v>0</v>
      </c>
      <c r="AP69">
        <f>Model!BK82</f>
        <v>0</v>
      </c>
      <c r="AQ69">
        <f>Model!BL82</f>
        <v>0</v>
      </c>
      <c r="AR69">
        <f>Model!BM82</f>
        <v>0</v>
      </c>
      <c r="AS69">
        <f>Model!BN82</f>
        <v>0</v>
      </c>
      <c r="AT69">
        <f>Model!BO82</f>
        <v>0</v>
      </c>
      <c r="AU69">
        <f>Model!BP82</f>
        <v>0</v>
      </c>
      <c r="AV69">
        <f>Model!BQ82</f>
        <v>0</v>
      </c>
      <c r="AW69">
        <f>Model!BR82</f>
        <v>0</v>
      </c>
      <c r="AX69">
        <f>Model!BS82</f>
        <v>0</v>
      </c>
      <c r="AY69">
        <f>Model!BT82</f>
        <v>0</v>
      </c>
      <c r="AZ69">
        <f>Model!BU82</f>
        <v>0</v>
      </c>
    </row>
    <row r="70" spans="9:52" ht="11.25" customHeight="1">
      <c r="I70" t="str">
        <f>Model!I83</f>
        <v>Basic (GAAP)</v>
      </c>
      <c r="M70">
        <f>Model!M83</f>
        <v>13.074</v>
      </c>
      <c r="N70">
        <f>Model!N83</f>
        <v>13.507999999999999</v>
      </c>
      <c r="O70">
        <f>Model!O83</f>
        <v>14.151</v>
      </c>
      <c r="P70">
        <f>Model!P83</f>
        <v>14.347</v>
      </c>
      <c r="Q70">
        <f>Model!Q83</f>
        <v>14.553000000000001</v>
      </c>
      <c r="R70">
        <f>Model!R83</f>
        <v>14.984999999999999</v>
      </c>
      <c r="S70">
        <f>Model!S83</f>
        <v>15.510999999999999</v>
      </c>
      <c r="T70">
        <f>Model!T83</f>
        <v>16.097000000000001</v>
      </c>
      <c r="U70">
        <f>Model!U83</f>
        <v>31.263000000000002</v>
      </c>
      <c r="V70">
        <f>Model!V83</f>
        <v>60.887</v>
      </c>
      <c r="W70">
        <f>Model!W83</f>
        <v>61.267000000000003</v>
      </c>
      <c r="X70">
        <f>Model!X83</f>
        <v>63.003</v>
      </c>
      <c r="Y70">
        <f>Model!Y83</f>
        <v>63.7333</v>
      </c>
      <c r="Z70">
        <f>Model!Z83</f>
        <v>64.575999999999993</v>
      </c>
      <c r="AA70">
        <f>Model!AA83</f>
        <v>65.53</v>
      </c>
      <c r="AB70">
        <f>Model!AB83</f>
        <v>68.846999999999994</v>
      </c>
      <c r="AC70">
        <f>Model!AC83</f>
        <v>71.171000000000006</v>
      </c>
      <c r="AD70">
        <f>Model!AD83</f>
        <v>71.713999999999999</v>
      </c>
      <c r="AE70">
        <f>Model!AE83</f>
        <v>72.194999999999993</v>
      </c>
      <c r="AF70">
        <f>Model!AF83</f>
        <v>72.644999999999996</v>
      </c>
      <c r="AG70">
        <f>Model!AG83</f>
        <v>73.683999999999997</v>
      </c>
      <c r="AH70">
        <f>Model!AH83</f>
        <v>74.631</v>
      </c>
      <c r="AI70">
        <f>Model!AI83</f>
        <v>75.019000000000005</v>
      </c>
      <c r="AJ70">
        <f>Model!AJ83</f>
        <v>75.372</v>
      </c>
      <c r="AL70">
        <f>Model!BG83</f>
        <v>14.337</v>
      </c>
      <c r="AM70">
        <f>Model!BH83</f>
        <v>4.9749999999999996</v>
      </c>
      <c r="AN70">
        <f>Model!BI83</f>
        <v>9.2460000000000004</v>
      </c>
      <c r="AO70">
        <f>Model!BJ83</f>
        <v>12.343999999999999</v>
      </c>
      <c r="AP70">
        <f>Model!BK83</f>
        <v>13.773999999999999</v>
      </c>
      <c r="AQ70">
        <f>Model!BL83</f>
        <v>15.291</v>
      </c>
      <c r="AR70">
        <f>Model!BM83</f>
        <v>54.149000000000001</v>
      </c>
      <c r="AS70">
        <f>Model!BN83</f>
        <v>65.665000000000006</v>
      </c>
      <c r="AT70">
        <f>Model!BO83</f>
        <v>77.210999999999999</v>
      </c>
      <c r="AU70">
        <f>Model!BP83</f>
        <v>74.676500000000004</v>
      </c>
      <c r="AV70">
        <f>Model!BQ83</f>
        <v>77.180750000000003</v>
      </c>
      <c r="AW70">
        <f>Model!BR83</f>
        <v>81.590500000000006</v>
      </c>
      <c r="AX70">
        <f>Model!BS83</f>
        <v>85.664000000000001</v>
      </c>
      <c r="AY70">
        <f>Model!BT83</f>
        <v>90.464000000000013</v>
      </c>
      <c r="AZ70">
        <f>Model!BU83</f>
        <v>95.264000000000024</v>
      </c>
    </row>
    <row r="71" spans="9:52" ht="11.25" customHeight="1">
      <c r="I71" t="str">
        <f>Model!I84</f>
        <v>Diluted (Non-GAAP)</v>
      </c>
      <c r="M71">
        <f>Model!M84</f>
        <v>13.074</v>
      </c>
      <c r="N71">
        <f>Model!N84</f>
        <v>13.507999999999999</v>
      </c>
      <c r="O71">
        <f>Model!O84</f>
        <v>14.151</v>
      </c>
      <c r="P71">
        <f>Model!P84</f>
        <v>14.347</v>
      </c>
      <c r="Q71">
        <f>Model!Q84</f>
        <v>14.553000000000001</v>
      </c>
      <c r="R71">
        <f>Model!R84</f>
        <v>14.984999999999999</v>
      </c>
      <c r="S71">
        <f>Model!S84</f>
        <v>15.510999999999999</v>
      </c>
      <c r="T71">
        <f>Model!T84</f>
        <v>16.097000000000001</v>
      </c>
      <c r="U71">
        <f>Model!U84</f>
        <v>31.263000000000002</v>
      </c>
      <c r="V71">
        <f>Model!V84</f>
        <v>60.887</v>
      </c>
      <c r="W71">
        <f>Model!W84</f>
        <v>61.267000000000003</v>
      </c>
      <c r="X71">
        <f>Model!X84</f>
        <v>63.003</v>
      </c>
      <c r="Y71">
        <f>Model!Y84</f>
        <v>63.7333</v>
      </c>
      <c r="Z71">
        <f>Model!Z84</f>
        <v>64.575999999999993</v>
      </c>
      <c r="AA71">
        <f>Model!AA84</f>
        <v>65.53</v>
      </c>
      <c r="AB71">
        <f>Model!AB84</f>
        <v>68.846999999999994</v>
      </c>
      <c r="AC71">
        <f>Model!AC84</f>
        <v>71.171000000000006</v>
      </c>
      <c r="AD71">
        <f>Model!AD84</f>
        <v>77.055999999999997</v>
      </c>
      <c r="AE71">
        <f>Model!AE84</f>
        <v>77.296000000000006</v>
      </c>
      <c r="AF71">
        <f>Model!AF84</f>
        <v>77.210999999999999</v>
      </c>
      <c r="AG71">
        <f>Model!AG84</f>
        <v>77.899000000000001</v>
      </c>
      <c r="AH71">
        <f>Model!AH84</f>
        <v>78.748999999999995</v>
      </c>
      <c r="AI71">
        <f>Model!AI84</f>
        <v>77.703999999999994</v>
      </c>
      <c r="AJ71">
        <f>Model!AJ84</f>
        <v>78.165999999999997</v>
      </c>
      <c r="AL71">
        <f>Model!BG84</f>
        <v>14.337</v>
      </c>
      <c r="AM71">
        <f>Model!BH84</f>
        <v>4.9749999999999996</v>
      </c>
      <c r="AN71">
        <f>Model!BI84</f>
        <v>9.2460000000000004</v>
      </c>
      <c r="AO71">
        <f>Model!BJ84</f>
        <v>12.343999999999999</v>
      </c>
      <c r="AP71">
        <f>Model!BK84</f>
        <v>13.773999999999999</v>
      </c>
      <c r="AQ71">
        <f>Model!BL84</f>
        <v>15.291</v>
      </c>
      <c r="AR71">
        <f>Model!BM84</f>
        <v>54.149000000000001</v>
      </c>
      <c r="AS71">
        <f>Model!BN84</f>
        <v>65.665000000000006</v>
      </c>
      <c r="AT71">
        <f>Model!BO84</f>
        <v>77.210999999999999</v>
      </c>
      <c r="AU71">
        <f>Model!BP84</f>
        <v>78.165999999999997</v>
      </c>
      <c r="AV71">
        <f>Model!BQ84</f>
        <v>81.110500000000002</v>
      </c>
      <c r="AW71">
        <f>Model!BR84</f>
        <v>86.616749999999996</v>
      </c>
      <c r="AX71">
        <f>Model!BS84</f>
        <v>91.463999999999999</v>
      </c>
      <c r="AY71">
        <f>Model!BT84</f>
        <v>96.26400000000001</v>
      </c>
      <c r="AZ71">
        <f>Model!BU84</f>
        <v>101.06400000000002</v>
      </c>
    </row>
    <row r="72" spans="9:52" ht="11.25" customHeight="1">
      <c r="I72">
        <f>Model!I85</f>
        <v>0</v>
      </c>
      <c r="M72">
        <f>Model!M85</f>
        <v>0</v>
      </c>
      <c r="N72">
        <f>Model!N85</f>
        <v>0</v>
      </c>
      <c r="O72">
        <f>Model!O85</f>
        <v>0</v>
      </c>
      <c r="P72">
        <f>Model!P85</f>
        <v>0</v>
      </c>
      <c r="Q72">
        <f>Model!Q85</f>
        <v>0</v>
      </c>
      <c r="R72">
        <f>Model!R85</f>
        <v>0</v>
      </c>
      <c r="S72">
        <f>Model!S85</f>
        <v>0</v>
      </c>
      <c r="T72">
        <f>Model!T85</f>
        <v>0</v>
      </c>
      <c r="U72">
        <f>Model!U85</f>
        <v>0</v>
      </c>
      <c r="V72">
        <f>Model!V85</f>
        <v>0</v>
      </c>
      <c r="W72">
        <f>Model!W85</f>
        <v>0</v>
      </c>
      <c r="X72">
        <f>Model!X85</f>
        <v>0</v>
      </c>
      <c r="Y72">
        <f>Model!Y85</f>
        <v>0</v>
      </c>
      <c r="Z72">
        <f>Model!Z85</f>
        <v>0</v>
      </c>
      <c r="AA72">
        <f>Model!AA85</f>
        <v>0</v>
      </c>
      <c r="AB72">
        <f>Model!AB85</f>
        <v>0</v>
      </c>
      <c r="AC72">
        <f>Model!AC85</f>
        <v>0</v>
      </c>
      <c r="AD72">
        <f>Model!AD85</f>
        <v>0</v>
      </c>
      <c r="AE72">
        <f>Model!AE85</f>
        <v>0</v>
      </c>
      <c r="AF72">
        <f>Model!AF85</f>
        <v>0</v>
      </c>
      <c r="AG72">
        <f>Model!AG85</f>
        <v>0</v>
      </c>
      <c r="AH72">
        <f>Model!AH85</f>
        <v>0</v>
      </c>
      <c r="AI72">
        <f>Model!AI85</f>
        <v>0</v>
      </c>
      <c r="AJ72">
        <f>Model!AJ85</f>
        <v>0</v>
      </c>
      <c r="AL72">
        <f>Model!BG85</f>
        <v>0</v>
      </c>
      <c r="AM72">
        <f>Model!BH85</f>
        <v>0</v>
      </c>
      <c r="AN72">
        <f>Model!BI85</f>
        <v>0</v>
      </c>
      <c r="AO72">
        <f>Model!BJ85</f>
        <v>0</v>
      </c>
      <c r="AP72">
        <f>Model!BK85</f>
        <v>0</v>
      </c>
      <c r="AQ72">
        <f>Model!BL85</f>
        <v>0</v>
      </c>
      <c r="AR72">
        <f>Model!BM85</f>
        <v>0</v>
      </c>
      <c r="AS72">
        <f>Model!BN85</f>
        <v>0</v>
      </c>
      <c r="AT72">
        <f>Model!BO85</f>
        <v>0</v>
      </c>
      <c r="AU72">
        <f>Model!BP85</f>
        <v>0</v>
      </c>
      <c r="AV72">
        <f>Model!BQ85</f>
        <v>0</v>
      </c>
      <c r="AW72">
        <f>Model!BR85</f>
        <v>0</v>
      </c>
      <c r="AX72">
        <f>Model!BS85</f>
        <v>0</v>
      </c>
      <c r="AY72">
        <f>Model!BT85</f>
        <v>0</v>
      </c>
      <c r="AZ72">
        <f>Model!BU85</f>
        <v>0</v>
      </c>
    </row>
    <row r="73" spans="9:52" ht="11.25" customHeight="1">
      <c r="I73" t="str">
        <f>Model!I86</f>
        <v>Beg Share Count</v>
      </c>
      <c r="M73">
        <f>Model!M86</f>
        <v>12.343999999999999</v>
      </c>
      <c r="N73">
        <f>Model!N86</f>
        <v>13.074</v>
      </c>
      <c r="O73">
        <f>Model!O86</f>
        <v>13.507999999999999</v>
      </c>
      <c r="P73">
        <f>Model!P86</f>
        <v>14.151</v>
      </c>
      <c r="Q73">
        <f>Model!Q86</f>
        <v>14.347</v>
      </c>
      <c r="R73">
        <f>Model!R86</f>
        <v>14.553000000000001</v>
      </c>
      <c r="S73">
        <f>Model!S86</f>
        <v>14.984999999999999</v>
      </c>
      <c r="T73">
        <f>Model!T86</f>
        <v>15.510999999999999</v>
      </c>
      <c r="U73">
        <f>Model!U86</f>
        <v>16.097000000000001</v>
      </c>
      <c r="V73">
        <f>Model!V86</f>
        <v>31.263000000000002</v>
      </c>
      <c r="W73">
        <f>Model!W86</f>
        <v>60.887</v>
      </c>
      <c r="X73">
        <f>Model!X86</f>
        <v>61.267000000000003</v>
      </c>
      <c r="Y73">
        <f>Model!Y86</f>
        <v>63.003</v>
      </c>
      <c r="Z73">
        <f>Model!Z86</f>
        <v>63.7333</v>
      </c>
      <c r="AA73">
        <f>Model!AA86</f>
        <v>64.575999999999993</v>
      </c>
      <c r="AB73">
        <f>Model!AB86</f>
        <v>65.53</v>
      </c>
      <c r="AC73">
        <f>Model!AC86</f>
        <v>68.846999999999994</v>
      </c>
      <c r="AD73">
        <f>Model!AD86</f>
        <v>71.171000000000006</v>
      </c>
      <c r="AE73">
        <f>Model!AE86</f>
        <v>77.055999999999997</v>
      </c>
      <c r="AF73">
        <f>Model!AF86</f>
        <v>77.296000000000006</v>
      </c>
      <c r="AG73">
        <f>Model!AG86</f>
        <v>77.210999999999999</v>
      </c>
      <c r="AH73">
        <f>Model!AH86</f>
        <v>77.899000000000001</v>
      </c>
      <c r="AI73">
        <f>Model!AI86</f>
        <v>78.748999999999995</v>
      </c>
      <c r="AJ73">
        <f>Model!AJ86</f>
        <v>77.703999999999994</v>
      </c>
      <c r="AL73">
        <f>Model!BG86</f>
        <v>0</v>
      </c>
      <c r="AM73">
        <f>Model!BH86</f>
        <v>14.337</v>
      </c>
      <c r="AN73">
        <f>Model!BI86</f>
        <v>4.9749999999999996</v>
      </c>
      <c r="AO73">
        <f>Model!BJ86</f>
        <v>9.2460000000000004</v>
      </c>
      <c r="AP73">
        <f>Model!BK86</f>
        <v>12.343999999999999</v>
      </c>
      <c r="AQ73">
        <f>Model!BL86</f>
        <v>13.773999999999999</v>
      </c>
      <c r="AR73">
        <f>Model!BM86</f>
        <v>15.291</v>
      </c>
      <c r="AS73">
        <f>Model!BN86</f>
        <v>54.149000000000001</v>
      </c>
      <c r="AT73">
        <f>Model!BO86</f>
        <v>68.846999999999994</v>
      </c>
      <c r="AU73">
        <f>Model!BP86</f>
        <v>77.210999999999999</v>
      </c>
      <c r="AV73">
        <f>Model!BQ86</f>
        <v>78.165999999999997</v>
      </c>
      <c r="AW73">
        <f>Model!BR86</f>
        <v>84.364000000000004</v>
      </c>
      <c r="AX73">
        <f>Model!BS86</f>
        <v>89.063999999999993</v>
      </c>
      <c r="AY73">
        <f>Model!BT86</f>
        <v>93.86399999999999</v>
      </c>
      <c r="AZ73">
        <f>Model!BU86</f>
        <v>98.663999999999987</v>
      </c>
    </row>
    <row r="74" spans="9:52" ht="11.25" customHeight="1">
      <c r="I74" t="str">
        <f>Model!I87</f>
        <v>Dilution</v>
      </c>
      <c r="M74">
        <f>Model!M87</f>
        <v>0.73000000000000043</v>
      </c>
      <c r="N74">
        <f>Model!N87</f>
        <v>0.43399999999999928</v>
      </c>
      <c r="O74">
        <f>Model!O87</f>
        <v>0.64300000000000068</v>
      </c>
      <c r="P74">
        <f>Model!P87</f>
        <v>0.19599999999999973</v>
      </c>
      <c r="Q74">
        <f>Model!Q87</f>
        <v>0.20600000000000129</v>
      </c>
      <c r="R74">
        <f>Model!R87</f>
        <v>0.43199999999999861</v>
      </c>
      <c r="S74">
        <f>Model!S87</f>
        <v>0.5259999999999998</v>
      </c>
      <c r="T74">
        <f>Model!T87</f>
        <v>0.58600000000000207</v>
      </c>
      <c r="U74">
        <f>Model!U87</f>
        <v>15.166</v>
      </c>
      <c r="V74">
        <f>Model!V87</f>
        <v>29.623999999999999</v>
      </c>
      <c r="W74">
        <f>Model!W87</f>
        <v>0.39375500000000258</v>
      </c>
      <c r="X74">
        <f>Model!X87</f>
        <v>1.7399409999999971</v>
      </c>
      <c r="Y74">
        <f>Model!Y87</f>
        <v>22.6203</v>
      </c>
      <c r="Z74">
        <f>Model!Z87</f>
        <v>0.84613899999999354</v>
      </c>
      <c r="AA74">
        <f>Model!AA87</f>
        <v>0.9575240000000077</v>
      </c>
      <c r="AB74">
        <f>Model!AB87</f>
        <v>3.3221989999999932</v>
      </c>
      <c r="AC74">
        <f>Model!AC87</f>
        <v>2.3279520000000122</v>
      </c>
      <c r="AD74">
        <f>Model!AD87</f>
        <v>5.8898919999999908</v>
      </c>
      <c r="AE74">
        <f>Model!AE87</f>
        <v>0.2448920000000091</v>
      </c>
      <c r="AF74">
        <f>Model!AF87</f>
        <v>-8.0108000000007965E-2</v>
      </c>
      <c r="AG74">
        <f>Model!AG87</f>
        <v>0.69385100000000244</v>
      </c>
      <c r="AH74">
        <f>Model!AH87</f>
        <v>0.85489199999999432</v>
      </c>
      <c r="AI74">
        <f>Model!AI87</f>
        <v>-1.0413940000000017</v>
      </c>
      <c r="AJ74">
        <f>Model!AJ87</f>
        <v>0.4620000000000033</v>
      </c>
      <c r="AL74">
        <f>Model!BG87</f>
        <v>14.337</v>
      </c>
      <c r="AM74">
        <f>Model!BH87</f>
        <v>-9.3620000000000001</v>
      </c>
      <c r="AN74">
        <f>Model!BI87</f>
        <v>4.2710000000000008</v>
      </c>
      <c r="AO74">
        <f>Model!BJ87</f>
        <v>3.097999999999999</v>
      </c>
      <c r="AP74">
        <f>Model!BK87</f>
        <v>1.4299999999999997</v>
      </c>
      <c r="AQ74">
        <f>Model!BL87</f>
        <v>1.5170000000000012</v>
      </c>
      <c r="AR74">
        <f>Model!BM87</f>
        <v>38.875696000000005</v>
      </c>
      <c r="AS74">
        <f>Model!BN87</f>
        <v>11.531850000000006</v>
      </c>
      <c r="AT74">
        <f>Model!BO87</f>
        <v>8.382628000000004</v>
      </c>
      <c r="AU74">
        <f>Model!BP87</f>
        <v>0.96934899999999846</v>
      </c>
      <c r="AV74">
        <f>Model!BQ87</f>
        <v>6.1980000000000075</v>
      </c>
      <c r="AW74">
        <f>Model!BR87</f>
        <v>4.9885454545454433</v>
      </c>
      <c r="AX74">
        <f>Model!BS87</f>
        <v>4.8</v>
      </c>
      <c r="AY74">
        <f>Model!BT87</f>
        <v>4.8</v>
      </c>
      <c r="AZ74">
        <f>Model!BU87</f>
        <v>4.8</v>
      </c>
    </row>
    <row r="75" spans="9:52" ht="11.25" customHeight="1">
      <c r="I75" t="str">
        <f>Model!I88</f>
        <v>Shares Repurchased</v>
      </c>
      <c r="M75">
        <f>Model!M88</f>
        <v>0</v>
      </c>
      <c r="N75">
        <f>Model!N88</f>
        <v>0</v>
      </c>
      <c r="O75">
        <f>Model!O88</f>
        <v>0</v>
      </c>
      <c r="P75">
        <f>Model!P88</f>
        <v>0</v>
      </c>
      <c r="Q75">
        <f>Model!Q88</f>
        <v>0</v>
      </c>
      <c r="R75">
        <f>Model!R88</f>
        <v>0</v>
      </c>
      <c r="S75">
        <f>Model!S88</f>
        <v>0</v>
      </c>
      <c r="T75">
        <f>Model!T88</f>
        <v>0</v>
      </c>
      <c r="U75">
        <f>Model!U88</f>
        <v>0</v>
      </c>
      <c r="V75">
        <f>Model!V88</f>
        <v>0</v>
      </c>
      <c r="W75">
        <f>Model!W88</f>
        <v>-1.3755E-2</v>
      </c>
      <c r="X75">
        <f>Model!X88</f>
        <v>-3.9410000000000001E-3</v>
      </c>
      <c r="Y75">
        <f>Model!Y88</f>
        <v>-21.89</v>
      </c>
      <c r="Z75">
        <f>Model!Z88</f>
        <v>-3.4390000000000002E-3</v>
      </c>
      <c r="AA75">
        <f>Model!AA88</f>
        <v>-3.5239999999999998E-3</v>
      </c>
      <c r="AB75">
        <f>Model!AB88</f>
        <v>-5.1989999999999996E-3</v>
      </c>
      <c r="AC75">
        <f>Model!AC88</f>
        <v>-3.9519999999999998E-3</v>
      </c>
      <c r="AD75">
        <f>Model!AD88</f>
        <v>-4.8919999999999996E-3</v>
      </c>
      <c r="AE75">
        <f>Model!AE88</f>
        <v>-4.8919999999999996E-3</v>
      </c>
      <c r="AF75">
        <f>Model!AF88</f>
        <v>-4.8919999999999996E-3</v>
      </c>
      <c r="AG75">
        <f>Model!AG88</f>
        <v>-5.8510000000000003E-3</v>
      </c>
      <c r="AH75">
        <f>Model!AH88</f>
        <v>-4.8919999999999996E-3</v>
      </c>
      <c r="AI75">
        <f>Model!AI88</f>
        <v>-3.6059999999999998E-3</v>
      </c>
      <c r="AJ75">
        <f>Model!AJ88</f>
        <v>0</v>
      </c>
      <c r="AL75">
        <f>Model!BG88</f>
        <v>0</v>
      </c>
      <c r="AM75">
        <f>Model!BH88</f>
        <v>0</v>
      </c>
      <c r="AN75">
        <f>Model!BI88</f>
        <v>0</v>
      </c>
      <c r="AO75">
        <f>Model!BJ88</f>
        <v>0</v>
      </c>
      <c r="AP75">
        <f>Model!BK88</f>
        <v>0</v>
      </c>
      <c r="AQ75">
        <f>Model!BL88</f>
        <v>0</v>
      </c>
      <c r="AR75">
        <f>Model!BM88</f>
        <v>-1.7696E-2</v>
      </c>
      <c r="AS75">
        <f>Model!BN88</f>
        <v>-1.585E-2</v>
      </c>
      <c r="AT75">
        <f>Model!BO88</f>
        <v>-1.8627999999999999E-2</v>
      </c>
      <c r="AU75">
        <f>Model!BP88</f>
        <v>-1.4348999999999999E-2</v>
      </c>
      <c r="AV75">
        <f>Model!BQ88</f>
        <v>0</v>
      </c>
      <c r="AW75">
        <f>Model!BR88</f>
        <v>-0.28854545454545455</v>
      </c>
      <c r="AX75">
        <f>Model!BS88</f>
        <v>0</v>
      </c>
      <c r="AY75">
        <f>Model!BT88</f>
        <v>0</v>
      </c>
      <c r="AZ75">
        <f>Model!BU88</f>
        <v>0</v>
      </c>
    </row>
    <row r="76" spans="9:52" ht="11.25" customHeight="1">
      <c r="I76">
        <f>Model!I89</f>
        <v>0</v>
      </c>
      <c r="M76">
        <f>Model!M89</f>
        <v>0</v>
      </c>
      <c r="N76">
        <f>Model!N89</f>
        <v>0</v>
      </c>
      <c r="O76">
        <f>Model!O89</f>
        <v>0</v>
      </c>
      <c r="P76">
        <f>Model!P89</f>
        <v>0</v>
      </c>
      <c r="Q76">
        <f>Model!Q89</f>
        <v>0</v>
      </c>
      <c r="R76">
        <f>Model!R89</f>
        <v>0</v>
      </c>
      <c r="S76">
        <f>Model!S89</f>
        <v>0</v>
      </c>
      <c r="T76">
        <f>Model!T89</f>
        <v>0</v>
      </c>
      <c r="U76">
        <f>Model!U89</f>
        <v>0</v>
      </c>
      <c r="V76">
        <f>Model!V89</f>
        <v>0</v>
      </c>
      <c r="W76">
        <f>Model!W89</f>
        <v>0</v>
      </c>
      <c r="X76">
        <f>Model!X89</f>
        <v>0</v>
      </c>
      <c r="Y76">
        <f>Model!Y89</f>
        <v>0</v>
      </c>
      <c r="Z76">
        <f>Model!Z89</f>
        <v>0</v>
      </c>
      <c r="AA76">
        <f>Model!AA89</f>
        <v>0</v>
      </c>
      <c r="AB76">
        <f>Model!AB89</f>
        <v>0</v>
      </c>
      <c r="AC76">
        <f>Model!AC89</f>
        <v>0</v>
      </c>
      <c r="AD76">
        <f>Model!AD89</f>
        <v>0</v>
      </c>
      <c r="AE76">
        <f>Model!AE89</f>
        <v>0</v>
      </c>
      <c r="AF76">
        <f>Model!AF89</f>
        <v>0</v>
      </c>
      <c r="AG76">
        <f>Model!AG89</f>
        <v>0</v>
      </c>
      <c r="AH76">
        <f>Model!AH89</f>
        <v>0</v>
      </c>
      <c r="AI76">
        <f>Model!AI89</f>
        <v>0</v>
      </c>
      <c r="AJ76">
        <f>Model!AJ89</f>
        <v>0</v>
      </c>
      <c r="AL76">
        <f>Model!BG89</f>
        <v>0</v>
      </c>
      <c r="AM76">
        <f>Model!BH89</f>
        <v>0</v>
      </c>
      <c r="AN76">
        <f>Model!BI89</f>
        <v>0</v>
      </c>
      <c r="AO76">
        <f>Model!BJ89</f>
        <v>0</v>
      </c>
      <c r="AP76">
        <f>Model!BK89</f>
        <v>0</v>
      </c>
      <c r="AQ76">
        <f>Model!BL89</f>
        <v>0</v>
      </c>
      <c r="AR76">
        <f>Model!BM89</f>
        <v>0</v>
      </c>
      <c r="AS76">
        <f>Model!BN89</f>
        <v>0</v>
      </c>
      <c r="AT76">
        <f>Model!BO89</f>
        <v>0</v>
      </c>
      <c r="AU76">
        <f>Model!BP89</f>
        <v>0</v>
      </c>
      <c r="AV76">
        <f>Model!BQ89</f>
        <v>0</v>
      </c>
      <c r="AW76">
        <f>Model!BR89</f>
        <v>0</v>
      </c>
      <c r="AX76">
        <f>Model!BS89</f>
        <v>0</v>
      </c>
      <c r="AY76">
        <f>Model!BT89</f>
        <v>0</v>
      </c>
      <c r="AZ76">
        <f>Model!BU89</f>
        <v>0</v>
      </c>
    </row>
    <row r="77" spans="9:52" ht="11.25" customHeight="1">
      <c r="I77" t="str">
        <f>Model!I90</f>
        <v>Ending Share Count</v>
      </c>
      <c r="M77">
        <f>Model!M90</f>
        <v>13.074</v>
      </c>
      <c r="N77">
        <f>Model!N90</f>
        <v>13.507999999999999</v>
      </c>
      <c r="O77">
        <f>Model!O90</f>
        <v>14.151</v>
      </c>
      <c r="P77">
        <f>Model!P90</f>
        <v>14.347</v>
      </c>
      <c r="Q77">
        <f>Model!Q90</f>
        <v>14.553000000000001</v>
      </c>
      <c r="R77">
        <f>Model!R90</f>
        <v>14.984999999999999</v>
      </c>
      <c r="S77">
        <f>Model!S90</f>
        <v>15.510999999999999</v>
      </c>
      <c r="T77">
        <f>Model!T90</f>
        <v>16.097000000000001</v>
      </c>
      <c r="U77">
        <f>Model!U90</f>
        <v>31.263000000000002</v>
      </c>
      <c r="V77">
        <f>Model!V90</f>
        <v>60.887</v>
      </c>
      <c r="W77">
        <f>Model!W90</f>
        <v>61.267000000000003</v>
      </c>
      <c r="X77">
        <f>Model!X90</f>
        <v>63.003</v>
      </c>
      <c r="Y77">
        <f>Model!Y90</f>
        <v>63.7333</v>
      </c>
      <c r="Z77">
        <f>Model!Z90</f>
        <v>64.575999999999993</v>
      </c>
      <c r="AA77">
        <f>Model!AA90</f>
        <v>65.53</v>
      </c>
      <c r="AB77">
        <f>Model!AB90</f>
        <v>68.846999999999994</v>
      </c>
      <c r="AC77">
        <f>Model!AC90</f>
        <v>71.171000000000006</v>
      </c>
      <c r="AD77">
        <f>Model!AD90</f>
        <v>77.055999999999997</v>
      </c>
      <c r="AE77">
        <f>Model!AE90</f>
        <v>77.296000000000006</v>
      </c>
      <c r="AF77">
        <f>Model!AF90</f>
        <v>77.210999999999999</v>
      </c>
      <c r="AG77">
        <f>Model!AG90</f>
        <v>77.899000000000001</v>
      </c>
      <c r="AH77">
        <f>Model!AH90</f>
        <v>78.748999999999995</v>
      </c>
      <c r="AI77">
        <f>Model!AI90</f>
        <v>77.703999999999994</v>
      </c>
      <c r="AJ77">
        <f>Model!AJ90</f>
        <v>78.165999999999997</v>
      </c>
      <c r="AL77">
        <f>Model!BG90</f>
        <v>14.337</v>
      </c>
      <c r="AM77">
        <f>Model!BH90</f>
        <v>4.9749999999999996</v>
      </c>
      <c r="AN77">
        <f>Model!BI90</f>
        <v>9.2460000000000004</v>
      </c>
      <c r="AO77">
        <f>Model!BJ90</f>
        <v>12.343999999999999</v>
      </c>
      <c r="AP77">
        <f>Model!BK90</f>
        <v>13.773999999999999</v>
      </c>
      <c r="AQ77">
        <f>Model!BL90</f>
        <v>15.291</v>
      </c>
      <c r="AR77">
        <f>Model!BM90</f>
        <v>54.149000000000001</v>
      </c>
      <c r="AS77">
        <f>Model!BN90</f>
        <v>65.665000000000006</v>
      </c>
      <c r="AT77">
        <f>Model!BO90</f>
        <v>77.210999999999999</v>
      </c>
      <c r="AU77">
        <f>Model!BP90</f>
        <v>78.165999999999997</v>
      </c>
      <c r="AV77">
        <f>Model!BQ90</f>
        <v>84.364000000000004</v>
      </c>
      <c r="AW77">
        <f>Model!BR90</f>
        <v>89.063999999999993</v>
      </c>
      <c r="AX77">
        <f>Model!BS90</f>
        <v>93.86399999999999</v>
      </c>
      <c r="AY77">
        <f>Model!BT90</f>
        <v>98.663999999999987</v>
      </c>
      <c r="AZ77">
        <f>Model!BU90</f>
        <v>103.46399999999998</v>
      </c>
    </row>
    <row r="78" spans="9:52" ht="11.25" customHeight="1">
      <c r="I78">
        <f>Model!I91</f>
        <v>0</v>
      </c>
      <c r="M78">
        <f>Model!M91</f>
        <v>0</v>
      </c>
      <c r="N78">
        <f>Model!N91</f>
        <v>0</v>
      </c>
      <c r="O78">
        <f>Model!O91</f>
        <v>0</v>
      </c>
      <c r="P78">
        <f>Model!P91</f>
        <v>0</v>
      </c>
      <c r="Q78">
        <f>Model!Q91</f>
        <v>0</v>
      </c>
      <c r="R78">
        <f>Model!R91</f>
        <v>0</v>
      </c>
      <c r="S78">
        <f>Model!S91</f>
        <v>0</v>
      </c>
      <c r="T78">
        <f>Model!T91</f>
        <v>0</v>
      </c>
      <c r="U78">
        <f>Model!U91</f>
        <v>0</v>
      </c>
      <c r="V78">
        <f>Model!V91</f>
        <v>0</v>
      </c>
      <c r="W78">
        <f>Model!W91</f>
        <v>0</v>
      </c>
      <c r="X78">
        <f>Model!X91</f>
        <v>0</v>
      </c>
      <c r="Y78">
        <f>Model!Y91</f>
        <v>0</v>
      </c>
      <c r="Z78">
        <f>Model!Z91</f>
        <v>0</v>
      </c>
      <c r="AA78">
        <f>Model!AA91</f>
        <v>0</v>
      </c>
      <c r="AB78">
        <f>Model!AB91</f>
        <v>0</v>
      </c>
      <c r="AC78">
        <f>Model!AC91</f>
        <v>0</v>
      </c>
      <c r="AD78">
        <f>Model!AD91</f>
        <v>0</v>
      </c>
      <c r="AE78">
        <f>Model!AE91</f>
        <v>0</v>
      </c>
      <c r="AF78">
        <f>Model!AF91</f>
        <v>0</v>
      </c>
      <c r="AG78">
        <f>Model!AG91</f>
        <v>0</v>
      </c>
      <c r="AH78">
        <f>Model!AH91</f>
        <v>0</v>
      </c>
      <c r="AI78">
        <f>Model!AI91</f>
        <v>0</v>
      </c>
      <c r="AJ78">
        <f>Model!AJ91</f>
        <v>0</v>
      </c>
      <c r="AL78">
        <f>Model!BG91</f>
        <v>0</v>
      </c>
      <c r="AM78">
        <f>Model!BH91</f>
        <v>0</v>
      </c>
      <c r="AN78">
        <f>Model!BI91</f>
        <v>0</v>
      </c>
      <c r="AO78">
        <f>Model!BJ91</f>
        <v>0</v>
      </c>
      <c r="AP78">
        <f>Model!BK91</f>
        <v>0</v>
      </c>
      <c r="AQ78">
        <f>Model!BL91</f>
        <v>0</v>
      </c>
      <c r="AR78">
        <f>Model!BM91</f>
        <v>0</v>
      </c>
      <c r="AS78">
        <f>Model!BN91</f>
        <v>0</v>
      </c>
      <c r="AT78">
        <f>Model!BO91</f>
        <v>0</v>
      </c>
      <c r="AU78">
        <f>Model!BP91</f>
        <v>0</v>
      </c>
      <c r="AV78">
        <f>Model!BQ91</f>
        <v>0</v>
      </c>
      <c r="AW78">
        <f>Model!BR91</f>
        <v>0</v>
      </c>
      <c r="AX78">
        <f>Model!BS91</f>
        <v>0</v>
      </c>
      <c r="AY78">
        <f>Model!BT91</f>
        <v>0</v>
      </c>
      <c r="AZ78">
        <f>Model!BU91</f>
        <v>0</v>
      </c>
    </row>
    <row r="79" spans="9:52" ht="11.25" customHeight="1">
      <c r="I79" t="str">
        <f>Model!I92</f>
        <v>Repurchases ($)</v>
      </c>
      <c r="M79">
        <f>Model!M92</f>
        <v>0</v>
      </c>
      <c r="N79">
        <f>Model!N92</f>
        <v>0</v>
      </c>
      <c r="O79">
        <f>Model!O92</f>
        <v>0</v>
      </c>
      <c r="P79">
        <f>Model!P92</f>
        <v>0</v>
      </c>
      <c r="Q79">
        <f>Model!Q92</f>
        <v>0</v>
      </c>
      <c r="R79">
        <f>Model!R92</f>
        <v>0</v>
      </c>
      <c r="S79">
        <f>Model!S92</f>
        <v>0</v>
      </c>
      <c r="T79">
        <f>Model!T92</f>
        <v>0</v>
      </c>
      <c r="U79">
        <f>Model!U92</f>
        <v>0</v>
      </c>
      <c r="V79">
        <f>Model!V92</f>
        <v>0</v>
      </c>
      <c r="W79">
        <f>Model!W92</f>
        <v>0.26836005000000002</v>
      </c>
      <c r="X79">
        <f>Model!X92</f>
        <v>7.3578470000000007E-2</v>
      </c>
      <c r="Y79">
        <f>Model!Y92</f>
        <v>8.0730319999999994E-2</v>
      </c>
      <c r="Z79">
        <f>Model!Z92</f>
        <v>0.10650583000000001</v>
      </c>
      <c r="AA79">
        <f>Model!AA92</f>
        <v>0.17493135999999998</v>
      </c>
      <c r="AB79">
        <f>Model!AB92</f>
        <v>0.32550938999999995</v>
      </c>
      <c r="AC79">
        <f>Model!AC92</f>
        <v>0.36109424000000001</v>
      </c>
      <c r="AD79">
        <f>Model!AD92</f>
        <v>0.28070296</v>
      </c>
      <c r="AE79">
        <f>Model!AE92</f>
        <v>0.39282759999999994</v>
      </c>
      <c r="AF79">
        <f>Model!AF92</f>
        <v>0.39282759999999994</v>
      </c>
      <c r="AG79">
        <f>Model!AG92</f>
        <v>0.27786399000000001</v>
      </c>
      <c r="AH79">
        <f>Model!AH92</f>
        <v>0.22713555999999999</v>
      </c>
      <c r="AI79">
        <f>Model!AI92</f>
        <v>8.658006E-2</v>
      </c>
      <c r="AJ79">
        <f>Model!AJ92</f>
        <v>0</v>
      </c>
      <c r="AL79">
        <f>Model!BG92</f>
        <v>0</v>
      </c>
      <c r="AM79">
        <f>Model!BH92</f>
        <v>0</v>
      </c>
      <c r="AN79">
        <f>Model!BI92</f>
        <v>0</v>
      </c>
      <c r="AO79">
        <f>Model!BJ92</f>
        <v>0</v>
      </c>
      <c r="AP79">
        <f>Model!BK92</f>
        <v>0</v>
      </c>
      <c r="AQ79">
        <f>Model!BL92</f>
        <v>0</v>
      </c>
      <c r="AR79">
        <f>Model!BM92</f>
        <v>0.34193852000000002</v>
      </c>
      <c r="AS79">
        <f>Model!BN92</f>
        <v>0.68767689999999992</v>
      </c>
      <c r="AT79">
        <f>Model!BO92</f>
        <v>1.4274524</v>
      </c>
      <c r="AU79">
        <f>Model!BP92</f>
        <v>0.59157960999999992</v>
      </c>
      <c r="AV79">
        <f>Model!BQ92</f>
        <v>0</v>
      </c>
      <c r="AW79">
        <f>Model!BR92</f>
        <v>12.555999999999999</v>
      </c>
      <c r="AX79">
        <f>Model!BS92</f>
        <v>0</v>
      </c>
      <c r="AY79">
        <f>Model!BT92</f>
        <v>0</v>
      </c>
      <c r="AZ79">
        <f>Model!BU92</f>
        <v>0</v>
      </c>
    </row>
    <row r="80" spans="9:52" ht="11.25" customHeight="1">
      <c r="I80" t="str">
        <f>Model!I93</f>
        <v>Shares Repurchased</v>
      </c>
      <c r="M80">
        <f>Model!M93</f>
        <v>0</v>
      </c>
      <c r="N80">
        <f>Model!N93</f>
        <v>0</v>
      </c>
      <c r="O80">
        <f>Model!O93</f>
        <v>0</v>
      </c>
      <c r="P80">
        <f>Model!P93</f>
        <v>0</v>
      </c>
      <c r="Q80">
        <f>Model!Q93</f>
        <v>0</v>
      </c>
      <c r="R80">
        <f>Model!R93</f>
        <v>0</v>
      </c>
      <c r="S80">
        <f>Model!S93</f>
        <v>0</v>
      </c>
      <c r="T80">
        <f>Model!T93</f>
        <v>0</v>
      </c>
      <c r="U80">
        <f>Model!U93</f>
        <v>0</v>
      </c>
      <c r="V80">
        <f>Model!V93</f>
        <v>0</v>
      </c>
      <c r="W80">
        <f>Model!W93</f>
        <v>1.3755E-2</v>
      </c>
      <c r="X80">
        <f>Model!X93</f>
        <v>3.9410000000000001E-3</v>
      </c>
      <c r="Y80">
        <f>Model!Y93</f>
        <v>3.6879999999999999E-3</v>
      </c>
      <c r="Z80">
        <f>Model!Z93</f>
        <v>3.4390000000000002E-3</v>
      </c>
      <c r="AA80">
        <f>Model!AA93</f>
        <v>3.5239999999999998E-3</v>
      </c>
      <c r="AB80">
        <f>Model!AB93</f>
        <v>5.1989999999999996E-3</v>
      </c>
      <c r="AC80">
        <f>Model!AC93</f>
        <v>3.9519999999999998E-3</v>
      </c>
      <c r="AD80">
        <f>Model!AD93</f>
        <v>4.8919999999999996E-3</v>
      </c>
      <c r="AE80">
        <f>Model!AE93</f>
        <v>4.8919999999999996E-3</v>
      </c>
      <c r="AF80">
        <f>Model!AF93</f>
        <v>4.8919999999999996E-3</v>
      </c>
      <c r="AG80">
        <f>Model!AG93</f>
        <v>5.8510000000000003E-3</v>
      </c>
      <c r="AH80">
        <f>Model!AH93</f>
        <v>4.8919999999999996E-3</v>
      </c>
      <c r="AI80">
        <f>Model!AI93</f>
        <v>3.6059999999999998E-3</v>
      </c>
      <c r="AJ80">
        <f>Model!AJ93</f>
        <v>0</v>
      </c>
      <c r="AL80">
        <f>Model!BG93</f>
        <v>0</v>
      </c>
      <c r="AM80">
        <f>Model!BH93</f>
        <v>0</v>
      </c>
      <c r="AN80">
        <f>Model!BI93</f>
        <v>0</v>
      </c>
      <c r="AO80">
        <f>Model!BJ93</f>
        <v>0</v>
      </c>
      <c r="AP80">
        <f>Model!BK93</f>
        <v>0</v>
      </c>
      <c r="AQ80">
        <f>Model!BL93</f>
        <v>0</v>
      </c>
      <c r="AR80">
        <f>Model!BM93</f>
        <v>1.7696E-2</v>
      </c>
      <c r="AS80">
        <f>Model!BN93</f>
        <v>1.585E-2</v>
      </c>
      <c r="AT80">
        <f>Model!BO93</f>
        <v>1.8627999999999999E-2</v>
      </c>
      <c r="AU80">
        <f>Model!BP93</f>
        <v>1.4348999999999999E-2</v>
      </c>
      <c r="AV80">
        <f>Model!BQ93</f>
        <v>0</v>
      </c>
      <c r="AW80">
        <f>Model!BR93</f>
        <v>0.28854545454545455</v>
      </c>
      <c r="AX80">
        <f>Model!BS93</f>
        <v>0</v>
      </c>
      <c r="AY80">
        <f>Model!BT93</f>
        <v>0</v>
      </c>
      <c r="AZ80">
        <f>Model!BU93</f>
        <v>0</v>
      </c>
    </row>
    <row r="81" spans="9:52" ht="11.25" customHeight="1">
      <c r="I81" t="str">
        <f>Model!I94</f>
        <v>Avg. Cost of Repurchase</v>
      </c>
      <c r="M81">
        <f>Model!M94</f>
        <v>0</v>
      </c>
      <c r="N81">
        <f>Model!N94</f>
        <v>0</v>
      </c>
      <c r="O81">
        <f>Model!O94</f>
        <v>0</v>
      </c>
      <c r="P81">
        <f>Model!P94</f>
        <v>0</v>
      </c>
      <c r="Q81">
        <f>Model!Q94</f>
        <v>0</v>
      </c>
      <c r="R81">
        <f>Model!R94</f>
        <v>0</v>
      </c>
      <c r="S81">
        <f>Model!S94</f>
        <v>0</v>
      </c>
      <c r="T81">
        <f>Model!T94</f>
        <v>0</v>
      </c>
      <c r="U81">
        <f>Model!U94</f>
        <v>0</v>
      </c>
      <c r="V81">
        <f>Model!V94</f>
        <v>0</v>
      </c>
      <c r="W81">
        <f>Model!W94</f>
        <v>19.510000000000002</v>
      </c>
      <c r="X81">
        <f>Model!X94</f>
        <v>18.670000000000002</v>
      </c>
      <c r="Y81">
        <f>Model!Y94</f>
        <v>21.89</v>
      </c>
      <c r="Z81">
        <f>Model!Z94</f>
        <v>30.97</v>
      </c>
      <c r="AA81">
        <f>Model!AA94</f>
        <v>49.64</v>
      </c>
      <c r="AB81">
        <f>Model!AB94</f>
        <v>62.61</v>
      </c>
      <c r="AC81">
        <f>Model!AC94</f>
        <v>91.37</v>
      </c>
      <c r="AD81">
        <f>Model!AD94</f>
        <v>57.38</v>
      </c>
      <c r="AE81">
        <f>Model!AE94</f>
        <v>80.3</v>
      </c>
      <c r="AF81">
        <f>Model!AF94</f>
        <v>80.3</v>
      </c>
      <c r="AG81">
        <f>Model!AG94</f>
        <v>47.49</v>
      </c>
      <c r="AH81">
        <f>Model!AH94</f>
        <v>46.43</v>
      </c>
      <c r="AI81">
        <f>Model!AI94</f>
        <v>24.01</v>
      </c>
      <c r="AJ81">
        <f>Model!AJ94</f>
        <v>0</v>
      </c>
      <c r="AL81" t="str">
        <f>Model!BG94</f>
        <v>NA</v>
      </c>
      <c r="AM81" t="str">
        <f>Model!BH94</f>
        <v>NA</v>
      </c>
      <c r="AN81" t="str">
        <f>Model!BI94</f>
        <v>NA</v>
      </c>
      <c r="AO81" t="str">
        <f>Model!BJ94</f>
        <v>NA</v>
      </c>
      <c r="AP81" t="str">
        <f>Model!BK94</f>
        <v>NA</v>
      </c>
      <c r="AQ81" t="str">
        <f>Model!BL94</f>
        <v>NA</v>
      </c>
      <c r="AR81">
        <f>Model!BM94</f>
        <v>19.322927215189875</v>
      </c>
      <c r="AS81">
        <f>Model!BN94</f>
        <v>43.386555205047316</v>
      </c>
      <c r="AT81">
        <f>Model!BO94</f>
        <v>76.629396607257888</v>
      </c>
      <c r="AU81">
        <f>Model!BP94</f>
        <v>41.227932957000483</v>
      </c>
      <c r="AV81" t="str">
        <f>Model!BQ94</f>
        <v>NA</v>
      </c>
      <c r="AW81">
        <f>Model!BR94</f>
        <v>43.514807813484559</v>
      </c>
      <c r="AX81" t="str">
        <f>Model!BS94</f>
        <v>NA</v>
      </c>
      <c r="AY81" t="str">
        <f>Model!BT94</f>
        <v>NA</v>
      </c>
      <c r="AZ81" t="str">
        <f>Model!BU94</f>
        <v>NA</v>
      </c>
    </row>
    <row r="83" spans="9:52" ht="11.25" customHeight="1">
      <c r="I83">
        <f>Model!I95</f>
        <v>0</v>
      </c>
      <c r="M83">
        <f>Model!M95</f>
        <v>0</v>
      </c>
      <c r="N83">
        <f>Model!N95</f>
        <v>0</v>
      </c>
      <c r="O83">
        <f>Model!O95</f>
        <v>0</v>
      </c>
      <c r="P83">
        <f>Model!P95</f>
        <v>0</v>
      </c>
      <c r="Q83">
        <f>Model!Q95</f>
        <v>0</v>
      </c>
      <c r="R83">
        <f>Model!R95</f>
        <v>0</v>
      </c>
      <c r="S83">
        <f>Model!S95</f>
        <v>0</v>
      </c>
      <c r="T83">
        <f>Model!T95</f>
        <v>0</v>
      </c>
      <c r="U83">
        <f>Model!U95</f>
        <v>0</v>
      </c>
      <c r="V83">
        <f>Model!V95</f>
        <v>0</v>
      </c>
      <c r="W83">
        <f>Model!W95</f>
        <v>0</v>
      </c>
      <c r="X83">
        <f>Model!X95</f>
        <v>0</v>
      </c>
      <c r="Y83">
        <f>Model!Y95</f>
        <v>0</v>
      </c>
      <c r="Z83">
        <f>Model!Z95</f>
        <v>0</v>
      </c>
      <c r="AA83">
        <f>Model!AA95</f>
        <v>0</v>
      </c>
      <c r="AB83">
        <f>Model!AB95</f>
        <v>0</v>
      </c>
      <c r="AC83">
        <f>Model!AC95</f>
        <v>0</v>
      </c>
      <c r="AD83">
        <f>Model!AD95</f>
        <v>0</v>
      </c>
      <c r="AE83">
        <f>Model!AE95</f>
        <v>0</v>
      </c>
      <c r="AF83">
        <f>Model!AF95</f>
        <v>0</v>
      </c>
      <c r="AG83">
        <f>Model!AG95</f>
        <v>0</v>
      </c>
      <c r="AH83">
        <f>Model!AH95</f>
        <v>0</v>
      </c>
      <c r="AI83">
        <f>Model!AI95</f>
        <v>0</v>
      </c>
      <c r="AJ83">
        <f>Model!AJ95</f>
        <v>0</v>
      </c>
      <c r="AL83">
        <f>Model!BG95</f>
        <v>0</v>
      </c>
      <c r="AM83">
        <f>Model!BH95</f>
        <v>0</v>
      </c>
      <c r="AN83">
        <f>Model!BI95</f>
        <v>0</v>
      </c>
      <c r="AO83">
        <f>Model!BJ95</f>
        <v>0</v>
      </c>
      <c r="AP83">
        <f>Model!BK95</f>
        <v>0</v>
      </c>
      <c r="AQ83">
        <f>Model!BL95</f>
        <v>0</v>
      </c>
      <c r="AR83">
        <f>Model!BM95</f>
        <v>0</v>
      </c>
      <c r="AS83">
        <f>Model!BN95</f>
        <v>0</v>
      </c>
      <c r="AT83">
        <f>Model!BO95</f>
        <v>0</v>
      </c>
      <c r="AU83">
        <f>Model!BP95</f>
        <v>0</v>
      </c>
      <c r="AV83">
        <f>Model!BQ95</f>
        <v>0</v>
      </c>
      <c r="AW83">
        <f>Model!BR95</f>
        <v>0</v>
      </c>
      <c r="AX83">
        <f>Model!BS95</f>
        <v>0</v>
      </c>
      <c r="AY83">
        <f>Model!BT95</f>
        <v>0</v>
      </c>
      <c r="AZ83">
        <f>Model!BU95</f>
        <v>0</v>
      </c>
    </row>
    <row r="84" spans="9:52" ht="11.25" customHeight="1">
      <c r="I84">
        <f>Model!I96</f>
        <v>0</v>
      </c>
      <c r="M84">
        <f>Model!M96</f>
        <v>0</v>
      </c>
      <c r="N84">
        <f>Model!N96</f>
        <v>0</v>
      </c>
      <c r="O84">
        <f>Model!O96</f>
        <v>0</v>
      </c>
      <c r="P84">
        <f>Model!P96</f>
        <v>0</v>
      </c>
      <c r="Q84">
        <f>Model!Q96</f>
        <v>0</v>
      </c>
      <c r="R84">
        <f>Model!R96</f>
        <v>0</v>
      </c>
      <c r="S84">
        <f>Model!S96</f>
        <v>0</v>
      </c>
      <c r="T84">
        <f>Model!T96</f>
        <v>0</v>
      </c>
      <c r="U84">
        <f>Model!U96</f>
        <v>0</v>
      </c>
      <c r="V84">
        <f>Model!V96</f>
        <v>0</v>
      </c>
      <c r="W84">
        <f>Model!W96</f>
        <v>0</v>
      </c>
      <c r="X84">
        <f>Model!X96</f>
        <v>0</v>
      </c>
      <c r="Y84">
        <f>Model!Y96</f>
        <v>0</v>
      </c>
      <c r="Z84">
        <f>Model!Z96</f>
        <v>0</v>
      </c>
      <c r="AA84">
        <f>Model!AA96</f>
        <v>0</v>
      </c>
      <c r="AB84">
        <f>Model!AB96</f>
        <v>0</v>
      </c>
      <c r="AC84">
        <f>Model!AC96</f>
        <v>0</v>
      </c>
      <c r="AD84">
        <f>Model!AD96</f>
        <v>0</v>
      </c>
      <c r="AE84">
        <f>Model!AE96</f>
        <v>0</v>
      </c>
      <c r="AF84">
        <f>Model!AF96</f>
        <v>0</v>
      </c>
      <c r="AG84">
        <f>Model!AG96</f>
        <v>0</v>
      </c>
      <c r="AH84">
        <f>Model!AH96</f>
        <v>0</v>
      </c>
      <c r="AI84">
        <f>Model!AI96</f>
        <v>0</v>
      </c>
      <c r="AJ84">
        <f>Model!AJ96</f>
        <v>0</v>
      </c>
      <c r="AL84">
        <f>Model!BG96</f>
        <v>0</v>
      </c>
      <c r="AM84">
        <f>Model!BH96</f>
        <v>0</v>
      </c>
      <c r="AN84">
        <f>Model!BI96</f>
        <v>0</v>
      </c>
      <c r="AO84">
        <f>Model!BJ96</f>
        <v>0</v>
      </c>
      <c r="AP84">
        <f>Model!BK96</f>
        <v>0</v>
      </c>
      <c r="AQ84">
        <f>Model!BL96</f>
        <v>0</v>
      </c>
      <c r="AR84">
        <f>Model!BM96</f>
        <v>0</v>
      </c>
      <c r="AS84">
        <f>Model!BN96</f>
        <v>0</v>
      </c>
      <c r="AT84">
        <f>Model!BO96</f>
        <v>0</v>
      </c>
      <c r="AU84">
        <f>Model!BP96</f>
        <v>0</v>
      </c>
      <c r="AV84">
        <f>Model!BQ96</f>
        <v>0</v>
      </c>
      <c r="AW84">
        <f>Model!BR96</f>
        <v>0</v>
      </c>
      <c r="AX84">
        <f>Model!BS96</f>
        <v>0</v>
      </c>
      <c r="AY84">
        <f>Model!BT96</f>
        <v>0</v>
      </c>
      <c r="AZ84">
        <f>Model!BU96</f>
        <v>0</v>
      </c>
    </row>
    <row r="85" spans="9:52" ht="11.25" customHeight="1">
      <c r="I85">
        <f>Model!I97</f>
        <v>0</v>
      </c>
      <c r="M85">
        <f>Model!M97</f>
        <v>0</v>
      </c>
      <c r="N85">
        <f>Model!N97</f>
        <v>0</v>
      </c>
      <c r="O85">
        <f>Model!O97</f>
        <v>0</v>
      </c>
      <c r="P85">
        <f>Model!P97</f>
        <v>0</v>
      </c>
      <c r="Q85">
        <f>Model!Q97</f>
        <v>0</v>
      </c>
      <c r="R85">
        <f>Model!R97</f>
        <v>0</v>
      </c>
      <c r="S85">
        <f>Model!S97</f>
        <v>0</v>
      </c>
      <c r="T85">
        <f>Model!T97</f>
        <v>0</v>
      </c>
      <c r="U85">
        <f>Model!U97</f>
        <v>0</v>
      </c>
      <c r="V85">
        <f>Model!V97</f>
        <v>0</v>
      </c>
      <c r="W85">
        <f>Model!W97</f>
        <v>0</v>
      </c>
      <c r="X85">
        <f>Model!X97</f>
        <v>0</v>
      </c>
      <c r="Y85">
        <f>Model!Y97</f>
        <v>0</v>
      </c>
      <c r="Z85">
        <f>Model!Z97</f>
        <v>0</v>
      </c>
      <c r="AA85">
        <f>Model!AA97</f>
        <v>0</v>
      </c>
      <c r="AB85">
        <f>Model!AB97</f>
        <v>0</v>
      </c>
      <c r="AC85">
        <f>Model!AC97</f>
        <v>0</v>
      </c>
      <c r="AD85">
        <f>Model!AD97</f>
        <v>0</v>
      </c>
      <c r="AE85">
        <f>Model!AE97</f>
        <v>0</v>
      </c>
      <c r="AF85">
        <f>Model!AF97</f>
        <v>0</v>
      </c>
      <c r="AG85">
        <f>Model!AG97</f>
        <v>0</v>
      </c>
      <c r="AH85">
        <f>Model!AH97</f>
        <v>0</v>
      </c>
      <c r="AI85">
        <f>Model!AI97</f>
        <v>0</v>
      </c>
      <c r="AJ85">
        <f>Model!AJ97</f>
        <v>0</v>
      </c>
      <c r="AL85">
        <f>Model!BG97</f>
        <v>0</v>
      </c>
      <c r="AM85">
        <f>Model!BH97</f>
        <v>0</v>
      </c>
      <c r="AN85">
        <f>Model!BI97</f>
        <v>0</v>
      </c>
      <c r="AO85">
        <f>Model!BJ97</f>
        <v>0</v>
      </c>
      <c r="AP85">
        <f>Model!BK97</f>
        <v>0</v>
      </c>
      <c r="AQ85">
        <f>Model!BL97</f>
        <v>0</v>
      </c>
      <c r="AR85">
        <f>Model!BM97</f>
        <v>0</v>
      </c>
      <c r="AS85">
        <f>Model!BN97</f>
        <v>0</v>
      </c>
      <c r="AT85">
        <f>Model!BO97</f>
        <v>0</v>
      </c>
      <c r="AU85">
        <f>Model!BP97</f>
        <v>0</v>
      </c>
      <c r="AV85">
        <f>Model!BQ97</f>
        <v>0</v>
      </c>
      <c r="AW85">
        <f>Model!BR97</f>
        <v>0</v>
      </c>
      <c r="AX85">
        <f>Model!BS97</f>
        <v>0</v>
      </c>
      <c r="AY85">
        <f>Model!BT97</f>
        <v>0</v>
      </c>
      <c r="AZ85">
        <f>Model!BU97</f>
        <v>0</v>
      </c>
    </row>
    <row r="86" spans="9:52" ht="11.25" customHeight="1">
      <c r="I86" t="str">
        <f>Model!I98</f>
        <v>Free Cash Flow Analysis</v>
      </c>
      <c r="M86">
        <f>Model!M98</f>
        <v>0</v>
      </c>
      <c r="N86">
        <f>Model!N98</f>
        <v>0</v>
      </c>
      <c r="O86">
        <f>Model!O98</f>
        <v>0</v>
      </c>
      <c r="P86">
        <f>Model!P98</f>
        <v>0</v>
      </c>
      <c r="Q86">
        <f>Model!Q98</f>
        <v>0</v>
      </c>
      <c r="R86">
        <f>Model!R98</f>
        <v>0</v>
      </c>
      <c r="S86">
        <f>Model!S98</f>
        <v>0</v>
      </c>
      <c r="T86">
        <f>Model!T98</f>
        <v>0</v>
      </c>
      <c r="U86">
        <f>Model!U98</f>
        <v>0</v>
      </c>
      <c r="V86">
        <f>Model!V98</f>
        <v>0</v>
      </c>
      <c r="W86">
        <f>Model!W98</f>
        <v>0</v>
      </c>
      <c r="X86">
        <f>Model!X98</f>
        <v>0</v>
      </c>
      <c r="Y86">
        <f>Model!Y98</f>
        <v>0</v>
      </c>
      <c r="Z86">
        <f>Model!Z98</f>
        <v>0</v>
      </c>
      <c r="AA86">
        <f>Model!AA98</f>
        <v>0</v>
      </c>
      <c r="AB86">
        <f>Model!AB98</f>
        <v>0</v>
      </c>
      <c r="AC86">
        <f>Model!AC98</f>
        <v>0</v>
      </c>
      <c r="AD86">
        <f>Model!AD98</f>
        <v>0</v>
      </c>
      <c r="AE86">
        <f>Model!AE98</f>
        <v>0</v>
      </c>
      <c r="AF86">
        <f>Model!AF98</f>
        <v>0</v>
      </c>
      <c r="AG86">
        <f>Model!AG98</f>
        <v>0</v>
      </c>
      <c r="AH86">
        <f>Model!AH98</f>
        <v>0</v>
      </c>
      <c r="AI86">
        <f>Model!AI98</f>
        <v>0</v>
      </c>
      <c r="AJ86">
        <f>Model!AJ98</f>
        <v>0</v>
      </c>
      <c r="AL86">
        <f>Model!BG98</f>
        <v>0</v>
      </c>
      <c r="AM86">
        <f>Model!BH98</f>
        <v>0</v>
      </c>
      <c r="AN86">
        <f>Model!BI98</f>
        <v>0</v>
      </c>
      <c r="AO86">
        <f>Model!BJ98</f>
        <v>0</v>
      </c>
      <c r="AP86">
        <f>Model!BK98</f>
        <v>0</v>
      </c>
      <c r="AQ86">
        <f>Model!BL98</f>
        <v>0</v>
      </c>
      <c r="AR86">
        <f>Model!BM98</f>
        <v>0</v>
      </c>
      <c r="AS86">
        <f>Model!BN98</f>
        <v>0</v>
      </c>
      <c r="AT86">
        <f>Model!BO98</f>
        <v>0</v>
      </c>
      <c r="AU86">
        <f>Model!BP98</f>
        <v>0</v>
      </c>
      <c r="AV86">
        <f>Model!BQ98</f>
        <v>0</v>
      </c>
      <c r="AW86">
        <f>Model!BR98</f>
        <v>0</v>
      </c>
      <c r="AX86">
        <f>Model!BS98</f>
        <v>0</v>
      </c>
      <c r="AY86">
        <f>Model!BT98</f>
        <v>0</v>
      </c>
      <c r="AZ86">
        <f>Model!BU98</f>
        <v>0</v>
      </c>
    </row>
    <row r="87" spans="9:52" ht="11.25" customHeight="1">
      <c r="I87">
        <f>Model!I99</f>
        <v>0</v>
      </c>
      <c r="M87">
        <f>Model!M99</f>
        <v>0</v>
      </c>
      <c r="N87">
        <f>Model!N99</f>
        <v>0</v>
      </c>
      <c r="O87">
        <f>Model!O99</f>
        <v>0</v>
      </c>
      <c r="P87">
        <f>Model!P99</f>
        <v>0</v>
      </c>
      <c r="Q87">
        <f>Model!Q99</f>
        <v>0</v>
      </c>
      <c r="R87">
        <f>Model!R99</f>
        <v>0</v>
      </c>
      <c r="S87">
        <f>Model!S99</f>
        <v>0</v>
      </c>
      <c r="T87">
        <f>Model!T99</f>
        <v>0</v>
      </c>
      <c r="U87">
        <f>Model!U99</f>
        <v>0</v>
      </c>
      <c r="V87">
        <f>Model!V99</f>
        <v>0</v>
      </c>
      <c r="W87">
        <f>Model!W99</f>
        <v>0</v>
      </c>
      <c r="X87">
        <f>Model!X99</f>
        <v>0</v>
      </c>
      <c r="Y87">
        <f>Model!Y99</f>
        <v>0</v>
      </c>
      <c r="Z87">
        <f>Model!Z99</f>
        <v>0</v>
      </c>
      <c r="AA87">
        <f>Model!AA99</f>
        <v>0</v>
      </c>
      <c r="AB87">
        <f>Model!AB99</f>
        <v>0</v>
      </c>
      <c r="AC87">
        <f>Model!AC99</f>
        <v>0</v>
      </c>
      <c r="AD87">
        <f>Model!AD99</f>
        <v>0</v>
      </c>
      <c r="AE87">
        <f>Model!AE99</f>
        <v>0</v>
      </c>
      <c r="AF87">
        <f>Model!AF99</f>
        <v>0</v>
      </c>
      <c r="AG87">
        <f>Model!AG99</f>
        <v>0</v>
      </c>
      <c r="AH87">
        <f>Model!AH99</f>
        <v>0</v>
      </c>
      <c r="AI87">
        <f>Model!AI99</f>
        <v>0</v>
      </c>
      <c r="AJ87">
        <f>Model!AJ99</f>
        <v>0</v>
      </c>
      <c r="AL87">
        <f>Model!BG99</f>
        <v>0</v>
      </c>
      <c r="AM87">
        <f>Model!BH99</f>
        <v>0</v>
      </c>
      <c r="AN87">
        <f>Model!BI99</f>
        <v>0</v>
      </c>
      <c r="AO87">
        <f>Model!BJ99</f>
        <v>0</v>
      </c>
      <c r="AP87">
        <f>Model!BK99</f>
        <v>0</v>
      </c>
      <c r="AQ87">
        <f>Model!BL99</f>
        <v>0</v>
      </c>
      <c r="AR87">
        <f>Model!BM99</f>
        <v>0</v>
      </c>
      <c r="AS87">
        <f>Model!BN99</f>
        <v>0</v>
      </c>
      <c r="AT87">
        <f>Model!BO99</f>
        <v>0</v>
      </c>
      <c r="AU87">
        <f>Model!BP99</f>
        <v>0</v>
      </c>
      <c r="AV87">
        <f>Model!BQ99</f>
        <v>0</v>
      </c>
      <c r="AW87">
        <f>Model!BR99</f>
        <v>0</v>
      </c>
      <c r="AX87">
        <f>Model!BS99</f>
        <v>0</v>
      </c>
      <c r="AY87">
        <f>Model!BT99</f>
        <v>0</v>
      </c>
      <c r="AZ87">
        <f>Model!BU99</f>
        <v>0</v>
      </c>
    </row>
    <row r="88" spans="9:52" ht="11.25" customHeight="1">
      <c r="I88" t="str">
        <f>Model!I100</f>
        <v>EBITDA</v>
      </c>
      <c r="M88">
        <f>Model!M100</f>
        <v>-0.86900000000000244</v>
      </c>
      <c r="N88">
        <f>Model!N100</f>
        <v>-1.9660000000000004</v>
      </c>
      <c r="O88">
        <f>Model!O100</f>
        <v>-1.9939999999999984</v>
      </c>
      <c r="P88">
        <f>Model!P100</f>
        <v>0.38800000000000079</v>
      </c>
      <c r="Q88">
        <f>Model!Q100</f>
        <v>-0.87999999999999812</v>
      </c>
      <c r="R88">
        <f>Model!R100</f>
        <v>0.64900000000000146</v>
      </c>
      <c r="S88">
        <f>Model!S100</f>
        <v>-0.88200000000000567</v>
      </c>
      <c r="T88">
        <f>Model!T100</f>
        <v>-1.499999999999746E-2</v>
      </c>
      <c r="U88">
        <f>Model!U100</f>
        <v>-0.95100000000000118</v>
      </c>
      <c r="V88">
        <f>Model!V100</f>
        <v>1.5809999999999982</v>
      </c>
      <c r="W88">
        <f>Model!W100</f>
        <v>2.1620000000000053</v>
      </c>
      <c r="X88">
        <f>Model!X100</f>
        <v>1.8049999999999931</v>
      </c>
      <c r="Y88">
        <f>Model!Y100</f>
        <v>3.2040000000000064</v>
      </c>
      <c r="Z88">
        <f>Model!Z100</f>
        <v>7.7700000000000031</v>
      </c>
      <c r="AA88">
        <f>Model!AA100</f>
        <v>8.0499999999999936</v>
      </c>
      <c r="AB88">
        <f>Model!AB100</f>
        <v>10.404999999999994</v>
      </c>
      <c r="AC88">
        <f>Model!AC100</f>
        <v>8.5129999999999892</v>
      </c>
      <c r="AD88">
        <f>Model!AD100</f>
        <v>17.243999999999993</v>
      </c>
      <c r="AE88">
        <f>Model!AE100</f>
        <v>20.066000000000003</v>
      </c>
      <c r="AF88">
        <f>Model!AF100</f>
        <v>25.099000000000007</v>
      </c>
      <c r="AG88">
        <f>Model!AG100</f>
        <v>9.6089999999999982</v>
      </c>
      <c r="AH88">
        <f>Model!AH100</f>
        <v>14.419999999999986</v>
      </c>
      <c r="AI88">
        <f>Model!AI100</f>
        <v>3.5740000000000007</v>
      </c>
      <c r="AJ88">
        <f>Model!AJ100</f>
        <v>10.507999999999992</v>
      </c>
      <c r="AL88">
        <f>Model!BG100</f>
        <v>0</v>
      </c>
      <c r="AM88">
        <f>Model!BH100</f>
        <v>0</v>
      </c>
      <c r="AN88">
        <f>Model!BI100</f>
        <v>-5.3030000000000008</v>
      </c>
      <c r="AO88">
        <f>Model!BJ100</f>
        <v>-0.57499999999999618</v>
      </c>
      <c r="AP88">
        <f>Model!BK100</f>
        <v>-4.4409999999999989</v>
      </c>
      <c r="AQ88">
        <f>Model!BL100</f>
        <v>-1.1280000000000001</v>
      </c>
      <c r="AR88">
        <f>Model!BM100</f>
        <v>4.5969999999999676</v>
      </c>
      <c r="AS88">
        <f>Model!BN100</f>
        <v>29.428999999999988</v>
      </c>
      <c r="AT88">
        <f>Model!BO100</f>
        <v>70.921999999999997</v>
      </c>
      <c r="AU88">
        <f>Model!BP100</f>
        <v>38.111000000000004</v>
      </c>
      <c r="AV88">
        <f>Model!BQ100</f>
        <v>120.08199999999995</v>
      </c>
      <c r="AW88">
        <f>Model!BR100</f>
        <v>156.607</v>
      </c>
      <c r="AX88">
        <f>Model!BS100</f>
        <v>186.58690435868911</v>
      </c>
      <c r="AY88">
        <f>Model!BT100</f>
        <v>234.7880648287065</v>
      </c>
      <c r="AZ88">
        <f>Model!BU100</f>
        <v>283.31739995723177</v>
      </c>
    </row>
    <row r="89" spans="9:52" ht="11.25" customHeight="1">
      <c r="I89" t="str">
        <f>Model!I101</f>
        <v>Estimated Non-cash Comp.</v>
      </c>
      <c r="M89">
        <f>Model!M101</f>
        <v>0.253</v>
      </c>
      <c r="N89">
        <f>Model!N101</f>
        <v>0.25700000000000001</v>
      </c>
      <c r="O89">
        <f>Model!O101</f>
        <v>0.36699999999999999</v>
      </c>
      <c r="P89">
        <f>Model!P101</f>
        <v>0.55400000000000005</v>
      </c>
      <c r="Q89">
        <f>Model!Q101</f>
        <v>1.1030000000000002</v>
      </c>
      <c r="R89">
        <f>Model!R101</f>
        <v>0.94799999999999995</v>
      </c>
      <c r="S89">
        <f>Model!S101</f>
        <v>1.46</v>
      </c>
      <c r="T89">
        <f>Model!T101</f>
        <v>1.3660000000000001</v>
      </c>
      <c r="U89">
        <f>Model!U101</f>
        <v>7.4290000000000003</v>
      </c>
      <c r="V89">
        <f>Model!V101</f>
        <v>1.8580000000000001</v>
      </c>
      <c r="W89">
        <f>Model!W101</f>
        <v>2.3339999999999996</v>
      </c>
      <c r="X89">
        <f>Model!X101</f>
        <v>3.258</v>
      </c>
      <c r="Y89">
        <f>Model!Y101</f>
        <v>5.16</v>
      </c>
      <c r="Z89">
        <f>Model!Z101</f>
        <v>5.7130000000000001</v>
      </c>
      <c r="AA89">
        <f>Model!AA101</f>
        <v>7.0150000000000006</v>
      </c>
      <c r="AB89">
        <f>Model!AB101</f>
        <v>8.7889999999999997</v>
      </c>
      <c r="AC89">
        <f>Model!AC101</f>
        <v>9.4559999999999995</v>
      </c>
      <c r="AD89">
        <f>Model!AD101</f>
        <v>10.083</v>
      </c>
      <c r="AE89">
        <f>Model!AE101</f>
        <v>10.917999999999999</v>
      </c>
      <c r="AF89">
        <f>Model!AF101</f>
        <v>11.816000000000001</v>
      </c>
      <c r="AG89">
        <f>Model!AG101</f>
        <v>13.670999999999999</v>
      </c>
      <c r="AH89">
        <f>Model!AH101</f>
        <v>15.516000000000002</v>
      </c>
      <c r="AI89">
        <f>Model!AI101</f>
        <v>15.683</v>
      </c>
      <c r="AJ89">
        <f>Model!AJ101</f>
        <v>15.972</v>
      </c>
      <c r="AL89">
        <f>Model!BG101</f>
        <v>0</v>
      </c>
      <c r="AM89">
        <f>Model!BH101</f>
        <v>0</v>
      </c>
      <c r="AN89">
        <f>Model!BI101</f>
        <v>0.36499999999999999</v>
      </c>
      <c r="AO89">
        <f>Model!BJ101</f>
        <v>0.55700000000000005</v>
      </c>
      <c r="AP89">
        <f>Model!BK101</f>
        <v>1.431</v>
      </c>
      <c r="AQ89">
        <f>Model!BL101</f>
        <v>4.8770000000000007</v>
      </c>
      <c r="AR89">
        <f>Model!BM101</f>
        <v>14.879000000000001</v>
      </c>
      <c r="AS89">
        <f>Model!BN101</f>
        <v>26.677</v>
      </c>
      <c r="AT89">
        <f>Model!BO101</f>
        <v>42.273000000000003</v>
      </c>
      <c r="AU89">
        <f>Model!BP101</f>
        <v>60.842000000000006</v>
      </c>
      <c r="AV89">
        <f>Model!BQ101</f>
        <v>86.26</v>
      </c>
      <c r="AW89">
        <f>Model!BR101</f>
        <v>100.41500000000001</v>
      </c>
      <c r="AX89">
        <f>Model!BS101</f>
        <v>114.26265000000001</v>
      </c>
      <c r="AY89">
        <f>Model!BT101</f>
        <v>127.97416800000002</v>
      </c>
      <c r="AZ89">
        <f>Model!BU101</f>
        <v>140.77158480000003</v>
      </c>
    </row>
    <row r="90" spans="9:52" ht="11.25" customHeight="1">
      <c r="I90" t="str">
        <f>Model!I102</f>
        <v>Cash Interest Exp.</v>
      </c>
      <c r="M90">
        <f>Model!M102</f>
        <v>0</v>
      </c>
      <c r="N90">
        <f>Model!N102</f>
        <v>0</v>
      </c>
      <c r="O90">
        <f>Model!O102</f>
        <v>0</v>
      </c>
      <c r="P90">
        <f>Model!P102</f>
        <v>0</v>
      </c>
      <c r="Q90">
        <f>Model!Q102</f>
        <v>0</v>
      </c>
      <c r="R90">
        <f>Model!R102</f>
        <v>0</v>
      </c>
      <c r="S90">
        <f>Model!S102</f>
        <v>0</v>
      </c>
      <c r="T90">
        <f>Model!T102</f>
        <v>0</v>
      </c>
      <c r="U90">
        <f>Model!U102</f>
        <v>0</v>
      </c>
      <c r="V90">
        <f>Model!V102</f>
        <v>0</v>
      </c>
      <c r="W90">
        <f>Model!W102</f>
        <v>0</v>
      </c>
      <c r="X90">
        <f>Model!X102</f>
        <v>0</v>
      </c>
      <c r="Y90">
        <f>Model!Y102</f>
        <v>0</v>
      </c>
      <c r="Z90">
        <f>Model!Z102</f>
        <v>0</v>
      </c>
      <c r="AA90">
        <f>Model!AA102</f>
        <v>0</v>
      </c>
      <c r="AB90">
        <f>Model!AB102</f>
        <v>0</v>
      </c>
      <c r="AC90">
        <f>Model!AC102</f>
        <v>0</v>
      </c>
      <c r="AD90">
        <f>Model!AD102</f>
        <v>0</v>
      </c>
      <c r="AE90">
        <f>Model!AE102</f>
        <v>0</v>
      </c>
      <c r="AF90">
        <f>Model!AF102</f>
        <v>0</v>
      </c>
      <c r="AG90">
        <f>Model!AG102</f>
        <v>0</v>
      </c>
      <c r="AH90">
        <f>Model!AH102</f>
        <v>0</v>
      </c>
      <c r="AI90">
        <f>Model!AI102</f>
        <v>0</v>
      </c>
      <c r="AJ90">
        <f>Model!AJ102</f>
        <v>0</v>
      </c>
      <c r="AL90">
        <f>Model!BG102</f>
        <v>0</v>
      </c>
      <c r="AM90">
        <f>Model!BH102</f>
        <v>0</v>
      </c>
      <c r="AN90">
        <f>Model!BI102</f>
        <v>0</v>
      </c>
      <c r="AO90">
        <f>Model!BJ102</f>
        <v>0</v>
      </c>
      <c r="AP90">
        <f>Model!BK102</f>
        <v>0</v>
      </c>
      <c r="AQ90">
        <f>Model!BL102</f>
        <v>0</v>
      </c>
      <c r="AR90">
        <f>Model!BM102</f>
        <v>0</v>
      </c>
      <c r="AS90">
        <f>Model!BN102</f>
        <v>0</v>
      </c>
      <c r="AT90">
        <f>Model!BO102</f>
        <v>0</v>
      </c>
      <c r="AU90">
        <f>Model!BP102</f>
        <v>0</v>
      </c>
      <c r="AV90">
        <f>Model!BQ102</f>
        <v>0</v>
      </c>
      <c r="AW90">
        <f>Model!BR102</f>
        <v>0</v>
      </c>
      <c r="AX90">
        <f>Model!BS102</f>
        <v>0</v>
      </c>
      <c r="AY90">
        <f>Model!BT102</f>
        <v>0</v>
      </c>
      <c r="AZ90">
        <f>Model!BU102</f>
        <v>0</v>
      </c>
    </row>
    <row r="91" spans="9:52" ht="11.25" customHeight="1">
      <c r="I91" t="str">
        <f>Model!I103</f>
        <v>Cash Taxes</v>
      </c>
      <c r="M91">
        <f>Model!M103</f>
        <v>0</v>
      </c>
      <c r="N91">
        <f>Model!N103</f>
        <v>0</v>
      </c>
      <c r="O91">
        <f>Model!O103</f>
        <v>0</v>
      </c>
      <c r="P91">
        <f>Model!P103</f>
        <v>0</v>
      </c>
      <c r="Q91">
        <f>Model!Q103</f>
        <v>1.2999999999999999E-2</v>
      </c>
      <c r="R91">
        <f>Model!R103</f>
        <v>2.2000000000000006E-2</v>
      </c>
      <c r="S91">
        <f>Model!S103</f>
        <v>-5.0000000000000062E-3</v>
      </c>
      <c r="T91">
        <f>Model!T103</f>
        <v>6.2E-2</v>
      </c>
      <c r="U91">
        <f>Model!U103</f>
        <v>1.7000000000000001E-2</v>
      </c>
      <c r="V91">
        <f>Model!V103</f>
        <v>3.1E-2</v>
      </c>
      <c r="W91">
        <f>Model!W103</f>
        <v>3.2000000000000001E-2</v>
      </c>
      <c r="X91">
        <f>Model!X103</f>
        <v>0.03</v>
      </c>
      <c r="Y91">
        <f>Model!Y103</f>
        <v>1.2999999999999999E-2</v>
      </c>
      <c r="Z91">
        <f>Model!Z103</f>
        <v>7.0000000000000007E-2</v>
      </c>
      <c r="AA91">
        <f>Model!AA103</f>
        <v>3.3000000000000002E-2</v>
      </c>
      <c r="AB91">
        <f>Model!AB103</f>
        <v>0.17499999999999999</v>
      </c>
      <c r="AC91">
        <f>Model!AC103</f>
        <v>0.115</v>
      </c>
      <c r="AD91">
        <f>Model!AD103</f>
        <v>0.14500000000000002</v>
      </c>
      <c r="AE91">
        <f>Model!AE103</f>
        <v>0.22599999999999998</v>
      </c>
      <c r="AF91">
        <f>Model!AF103</f>
        <v>1.486</v>
      </c>
      <c r="AG91">
        <f>Model!AG103</f>
        <v>0.42199999999999999</v>
      </c>
      <c r="AH91">
        <f>Model!AH103</f>
        <v>-0.42599999999999999</v>
      </c>
      <c r="AI91">
        <f>Model!AI103</f>
        <v>0.14099999999999996</v>
      </c>
      <c r="AJ91">
        <f>Model!AJ103</f>
        <v>0.21500000000000002</v>
      </c>
      <c r="AL91">
        <f>Model!BG103</f>
        <v>0</v>
      </c>
      <c r="AM91">
        <f>Model!BH103</f>
        <v>0</v>
      </c>
      <c r="AN91">
        <f>Model!BI103</f>
        <v>0</v>
      </c>
      <c r="AO91">
        <f>Model!BJ103</f>
        <v>0</v>
      </c>
      <c r="AP91">
        <f>Model!BK103</f>
        <v>21</v>
      </c>
      <c r="AQ91">
        <f>Model!BL103</f>
        <v>9.1999999999999998E-2</v>
      </c>
      <c r="AR91">
        <f>Model!BM103</f>
        <v>0.11</v>
      </c>
      <c r="AS91">
        <f>Model!BN103</f>
        <v>0.29099999999999998</v>
      </c>
      <c r="AT91">
        <f>Model!BO103</f>
        <v>1.972</v>
      </c>
      <c r="AU91">
        <f>Model!BP103</f>
        <v>0.35199999999999998</v>
      </c>
      <c r="AV91">
        <f>Model!BQ103</f>
        <v>0</v>
      </c>
      <c r="AW91">
        <f>Model!BR103</f>
        <v>5.3396000000000043</v>
      </c>
      <c r="AX91">
        <f>Model!BS103</f>
        <v>11.7637962326415</v>
      </c>
      <c r="AY91">
        <f>Model!BT103</f>
        <v>30.932776528258003</v>
      </c>
      <c r="AZ91">
        <f>Model!BU103</f>
        <v>43.704141808020232</v>
      </c>
    </row>
    <row r="92" spans="9:52" ht="11.25" customHeight="1">
      <c r="I92" t="str">
        <f>Model!I104</f>
        <v>Capex</v>
      </c>
      <c r="M92">
        <f>Model!M104</f>
        <v>0</v>
      </c>
      <c r="N92">
        <f>Model!N104</f>
        <v>0</v>
      </c>
      <c r="O92">
        <f>Model!O104</f>
        <v>3.05</v>
      </c>
      <c r="P92">
        <f>Model!P104</f>
        <v>0.52100000000000035</v>
      </c>
      <c r="Q92">
        <f>Model!Q104</f>
        <v>0.81299999999999994</v>
      </c>
      <c r="R92">
        <f>Model!R104</f>
        <v>0.66500000000000004</v>
      </c>
      <c r="S92">
        <f>Model!S104</f>
        <v>1.2819999999999998</v>
      </c>
      <c r="T92">
        <f>Model!T104</f>
        <v>2.0380000000000003</v>
      </c>
      <c r="U92">
        <f>Model!U104</f>
        <v>0.36699999999999999</v>
      </c>
      <c r="V92">
        <f>Model!V104</f>
        <v>1.56</v>
      </c>
      <c r="W92">
        <f>Model!W104</f>
        <v>1.5569999999999999</v>
      </c>
      <c r="X92">
        <f>Model!X104</f>
        <v>4.04</v>
      </c>
      <c r="Y92">
        <f>Model!Y104</f>
        <v>0.94699999999999995</v>
      </c>
      <c r="Z92">
        <f>Model!Z104</f>
        <v>4.0190000000000001</v>
      </c>
      <c r="AA92">
        <f>Model!AA104</f>
        <v>4.5810000000000004</v>
      </c>
      <c r="AB92">
        <f>Model!AB104</f>
        <v>6.6959999999999988</v>
      </c>
      <c r="AC92">
        <f>Model!AC104</f>
        <v>4.2460000000000004</v>
      </c>
      <c r="AD92">
        <f>Model!AD104</f>
        <v>2.9659999999999993</v>
      </c>
      <c r="AE92">
        <f>Model!AE104</f>
        <v>5.5310000000000006</v>
      </c>
      <c r="AF92">
        <f>Model!AF104</f>
        <v>16.310999999999993</v>
      </c>
      <c r="AG92">
        <f>Model!AG104</f>
        <v>10.881</v>
      </c>
      <c r="AH92">
        <f>Model!AH104</f>
        <v>80.599999999999994</v>
      </c>
      <c r="AI92">
        <f>Model!AI104</f>
        <v>7.2990000000000066</v>
      </c>
      <c r="AJ92">
        <f>Model!AJ104</f>
        <v>5.7689999999999912</v>
      </c>
      <c r="AL92">
        <f>Model!BG104</f>
        <v>0</v>
      </c>
      <c r="AM92">
        <f>Model!BH104</f>
        <v>0</v>
      </c>
      <c r="AN92">
        <f>Model!BI104</f>
        <v>1.333</v>
      </c>
      <c r="AO92">
        <f>Model!BJ104</f>
        <v>0.622</v>
      </c>
      <c r="AP92">
        <f>Model!BK104</f>
        <v>3.5710000000000002</v>
      </c>
      <c r="AQ92">
        <f>Model!BL104</f>
        <v>4.798</v>
      </c>
      <c r="AR92">
        <f>Model!BM104</f>
        <v>7.524</v>
      </c>
      <c r="AS92">
        <f>Model!BN104</f>
        <v>16.242999999999999</v>
      </c>
      <c r="AT92">
        <f>Model!BO104</f>
        <v>29.053999999999995</v>
      </c>
      <c r="AU92">
        <f>Model!BP104</f>
        <v>104.54899999999999</v>
      </c>
      <c r="AV92">
        <f>Model!BQ104</f>
        <v>22.994</v>
      </c>
      <c r="AW92">
        <f>Model!BR104</f>
        <v>15.598000000000003</v>
      </c>
      <c r="AX92">
        <f>Model!BS104</f>
        <v>24</v>
      </c>
      <c r="AY92">
        <f>Model!BT104</f>
        <v>36.30290473341244</v>
      </c>
      <c r="AZ92">
        <f>Model!BU104</f>
        <v>41.119783277907715</v>
      </c>
    </row>
    <row r="93" spans="9:52" ht="11.25" customHeight="1">
      <c r="I93" t="str">
        <f>Model!I105</f>
        <v>Chg in Wking Cap.</v>
      </c>
      <c r="M93">
        <f>Model!M105</f>
        <v>-1.1220000000000026</v>
      </c>
      <c r="N93">
        <f>Model!N105</f>
        <v>-2.2230000000000003</v>
      </c>
      <c r="O93">
        <f>Model!O105</f>
        <v>-1.5069999999999988</v>
      </c>
      <c r="P93">
        <f>Model!P105</f>
        <v>1.2040000000000017</v>
      </c>
      <c r="Q93">
        <f>Model!Q105</f>
        <v>-2.9919999999999991</v>
      </c>
      <c r="R93">
        <f>Model!R105</f>
        <v>-9.5999999999999641E-2</v>
      </c>
      <c r="S93">
        <f>Model!S105</f>
        <v>-1.2699999999999987</v>
      </c>
      <c r="T93">
        <f>Model!T105</f>
        <v>-1.988999999999999</v>
      </c>
      <c r="U93">
        <f>Model!U105</f>
        <v>-5.6240000000000023</v>
      </c>
      <c r="V93">
        <f>Model!V105</f>
        <v>-0.6409999999999989</v>
      </c>
      <c r="W93">
        <f>Model!W105</f>
        <v>-0.91599999999999615</v>
      </c>
      <c r="X93">
        <f>Model!X105</f>
        <v>-2.0879999999999965</v>
      </c>
      <c r="Y93">
        <f>Model!Y105</f>
        <v>-2.2190000000000065</v>
      </c>
      <c r="Z93">
        <f>Model!Z105</f>
        <v>-2.8769999999999989</v>
      </c>
      <c r="AA93">
        <f>Model!AA105</f>
        <v>-5.992</v>
      </c>
      <c r="AB93">
        <f>Model!AB105</f>
        <v>-7.8830000000000053</v>
      </c>
      <c r="AC93">
        <f>Model!AC105</f>
        <v>-10.380999999999998</v>
      </c>
      <c r="AD93">
        <f>Model!AD105</f>
        <v>-3.6500000000000039</v>
      </c>
      <c r="AE93">
        <f>Model!AE105</f>
        <v>-10.127999999999988</v>
      </c>
      <c r="AF93">
        <f>Model!AF105</f>
        <v>-7.0960000000000072</v>
      </c>
      <c r="AG93">
        <f>Model!AG105</f>
        <v>-30.119000000000003</v>
      </c>
      <c r="AH93">
        <f>Model!AH105</f>
        <v>-18.700000000000017</v>
      </c>
      <c r="AI93">
        <f>Model!AI105</f>
        <v>-22.111999999999995</v>
      </c>
      <c r="AJ93">
        <f>Model!AJ105</f>
        <v>-9.5140000000000171</v>
      </c>
      <c r="AL93">
        <f>Model!BG105</f>
        <v>0</v>
      </c>
      <c r="AM93">
        <f>Model!BH105</f>
        <v>0</v>
      </c>
      <c r="AN93">
        <f>Model!BI105</f>
        <v>-0.93900000000000183</v>
      </c>
      <c r="AO93">
        <f>Model!BJ105</f>
        <v>-0.49900000000000144</v>
      </c>
      <c r="AP93">
        <f>Model!BK105</f>
        <v>-19.061000000000007</v>
      </c>
      <c r="AQ93">
        <f>Model!BL105</f>
        <v>-6.3469999999999942</v>
      </c>
      <c r="AR93">
        <f>Model!BM105</f>
        <v>-9.2690000000000232</v>
      </c>
      <c r="AS93">
        <f>Model!BN105</f>
        <v>-18.971000000000021</v>
      </c>
      <c r="AT93">
        <f>Model!BO105</f>
        <v>-31.255000000000003</v>
      </c>
      <c r="AU93">
        <f>Model!BP105</f>
        <v>-80.444999999999993</v>
      </c>
      <c r="AV93">
        <f>Model!BQ105</f>
        <v>-93.078000000000031</v>
      </c>
      <c r="AW93">
        <f>Model!BR105</f>
        <v>-116.79460000000005</v>
      </c>
      <c r="AX93">
        <f>Model!BS105</f>
        <v>-112.58675389491717</v>
      </c>
      <c r="AY93">
        <f>Model!BT105</f>
        <v>-130.86280136210502</v>
      </c>
      <c r="AZ93">
        <f>Model!BU105</f>
        <v>-145.78866260294555</v>
      </c>
    </row>
    <row r="94" spans="9:52" ht="11.25" customHeight="1">
      <c r="I94" t="str">
        <f>Model!I106</f>
        <v>Free Cash Flow</v>
      </c>
      <c r="M94">
        <f>Model!M106</f>
        <v>0</v>
      </c>
      <c r="N94">
        <f>Model!N106</f>
        <v>0</v>
      </c>
      <c r="O94">
        <f>Model!O106</f>
        <v>-3.903999999999999</v>
      </c>
      <c r="P94">
        <f>Model!P106</f>
        <v>-1.8910000000000013</v>
      </c>
      <c r="Q94">
        <f>Model!Q106</f>
        <v>0.18300000000000061</v>
      </c>
      <c r="R94">
        <f>Model!R106</f>
        <v>-0.8899999999999989</v>
      </c>
      <c r="S94">
        <f>Model!S106</f>
        <v>-2.3490000000000064</v>
      </c>
      <c r="T94">
        <f>Model!T106</f>
        <v>-1.4919999999999987</v>
      </c>
      <c r="U94">
        <f>Model!U106</f>
        <v>-3.1399999999999988</v>
      </c>
      <c r="V94">
        <f>Model!V106</f>
        <v>-1.2270000000000028</v>
      </c>
      <c r="W94">
        <f>Model!W106</f>
        <v>-0.8449999999999982</v>
      </c>
      <c r="X94">
        <f>Model!X106</f>
        <v>-3.4350000000000103</v>
      </c>
      <c r="Y94">
        <f>Model!Y106</f>
        <v>-0.69699999999998707</v>
      </c>
      <c r="Z94">
        <f>Model!Z106</f>
        <v>0.84500000000000242</v>
      </c>
      <c r="AA94">
        <f>Model!AA106</f>
        <v>2.4129999999999923</v>
      </c>
      <c r="AB94">
        <f>Model!AB106</f>
        <v>2.6279999999999992</v>
      </c>
      <c r="AC94">
        <f>Model!AC106</f>
        <v>5.0769999999999875</v>
      </c>
      <c r="AD94">
        <f>Model!AD106</f>
        <v>7.6999999999999975</v>
      </c>
      <c r="AE94">
        <f>Model!AE106</f>
        <v>13.518999999999993</v>
      </c>
      <c r="AF94">
        <f>Model!AF106</f>
        <v>2.5820000000000221</v>
      </c>
      <c r="AG94">
        <f>Model!AG106</f>
        <v>14.754000000000001</v>
      </c>
      <c r="AH94">
        <f>Model!AH106</f>
        <v>-62.569999999999993</v>
      </c>
      <c r="AI94">
        <f>Model!AI106</f>
        <v>2.56299999999999</v>
      </c>
      <c r="AJ94">
        <f>Model!AJ106</f>
        <v>-1.9339999999999833</v>
      </c>
      <c r="AL94">
        <f>Model!BG106</f>
        <v>0</v>
      </c>
      <c r="AM94">
        <f>Model!BH106</f>
        <v>0</v>
      </c>
      <c r="AN94">
        <f>Model!BI106</f>
        <v>-6.0619999999999994</v>
      </c>
      <c r="AO94">
        <f>Model!BJ106</f>
        <v>-1.2549999999999948</v>
      </c>
      <c r="AP94">
        <f>Model!BK106</f>
        <v>-11.381999999999993</v>
      </c>
      <c r="AQ94">
        <f>Model!BL106</f>
        <v>-4.5480000000000054</v>
      </c>
      <c r="AR94">
        <f>Model!BM106</f>
        <v>-8.6470000000000091</v>
      </c>
      <c r="AS94">
        <f>Model!BN106</f>
        <v>5.1890000000000107</v>
      </c>
      <c r="AT94">
        <f>Model!BO106</f>
        <v>28.877999999999993</v>
      </c>
      <c r="AU94">
        <f>Model!BP106</f>
        <v>-47.186999999999991</v>
      </c>
      <c r="AV94">
        <f>Model!BQ106</f>
        <v>103.90599999999998</v>
      </c>
      <c r="AW94">
        <f>Model!BR106</f>
        <v>152.04900000000004</v>
      </c>
      <c r="AX94">
        <f>Model!BS106</f>
        <v>149.14721202096479</v>
      </c>
      <c r="AY94">
        <f>Model!BT106</f>
        <v>170.44101692914106</v>
      </c>
      <c r="AZ94">
        <f>Model!BU106</f>
        <v>203.51055267424934</v>
      </c>
    </row>
    <row r="95" spans="9:52" ht="11.25" customHeight="1">
      <c r="I95" t="str">
        <f>Model!I107</f>
        <v>YoY Growth</v>
      </c>
      <c r="M95">
        <f>Model!M107</f>
        <v>0</v>
      </c>
      <c r="N95">
        <f>Model!N107</f>
        <v>0</v>
      </c>
      <c r="O95">
        <f>Model!O107</f>
        <v>0</v>
      </c>
      <c r="P95">
        <f>Model!P107</f>
        <v>0</v>
      </c>
      <c r="Q95">
        <f>Model!Q107</f>
        <v>0</v>
      </c>
      <c r="R95" t="str">
        <f>Model!R107</f>
        <v>NM</v>
      </c>
      <c r="S95">
        <f>Model!S107</f>
        <v>0.39830942622950638</v>
      </c>
      <c r="T95">
        <f>Model!T107</f>
        <v>0.21099947117927151</v>
      </c>
      <c r="U95">
        <f>Model!U107</f>
        <v>-18.158469945355129</v>
      </c>
      <c r="V95">
        <f>Model!V107</f>
        <v>-0.37865168539326322</v>
      </c>
      <c r="W95">
        <f>Model!W107</f>
        <v>0.6402724563644121</v>
      </c>
      <c r="X95">
        <f>Model!X107</f>
        <v>-1.3022788203753441</v>
      </c>
      <c r="Y95">
        <f>Model!Y107</f>
        <v>0.77802547770701036</v>
      </c>
      <c r="Z95">
        <f>Model!Z107</f>
        <v>1.6886715566422175</v>
      </c>
      <c r="AA95">
        <f>Model!AA107</f>
        <v>3.8556213017751446</v>
      </c>
      <c r="AB95">
        <f>Model!AB107</f>
        <v>1.7650655021834036</v>
      </c>
      <c r="AC95">
        <f>Model!AC107</f>
        <v>8.2840746054520533</v>
      </c>
      <c r="AD95">
        <f>Model!AD107</f>
        <v>8.1124260355029296</v>
      </c>
      <c r="AE95">
        <f>Model!AE107</f>
        <v>4.6025694156651626</v>
      </c>
      <c r="AF95">
        <f>Model!AF107</f>
        <v>-1.750380517502937E-2</v>
      </c>
      <c r="AG95">
        <f>Model!AG107</f>
        <v>1.9060468780776123</v>
      </c>
      <c r="AH95">
        <f>Model!AH107</f>
        <v>-9.1259740259740276</v>
      </c>
      <c r="AI95">
        <f>Model!AI107</f>
        <v>-0.81041497152156294</v>
      </c>
      <c r="AJ95">
        <f>Model!AJ107</f>
        <v>-1.7490317583268655</v>
      </c>
      <c r="AL95">
        <f>Model!BG107</f>
        <v>0</v>
      </c>
      <c r="AM95">
        <f>Model!BH107</f>
        <v>0</v>
      </c>
      <c r="AN95">
        <f>Model!BI107</f>
        <v>0</v>
      </c>
      <c r="AO95">
        <f>Model!BJ107</f>
        <v>0.79297261629825233</v>
      </c>
      <c r="AP95">
        <f>Model!BK107</f>
        <v>-8.0693227091633783</v>
      </c>
      <c r="AQ95">
        <f>Model!BL107</f>
        <v>0.6004217185028986</v>
      </c>
      <c r="AR95">
        <f>Model!BM107</f>
        <v>-0.90127528583992944</v>
      </c>
      <c r="AS95">
        <f>Model!BN107</f>
        <v>1.6000925176361751</v>
      </c>
      <c r="AT95">
        <f>Model!BO107</f>
        <v>4.5652341491616752</v>
      </c>
      <c r="AU95">
        <f>Model!BP107</f>
        <v>-2.6340120506960316</v>
      </c>
      <c r="AV95">
        <f>Model!BQ107</f>
        <v>3.2020047894547226</v>
      </c>
      <c r="AW95">
        <f>Model!BR107</f>
        <v>0.46333224260389261</v>
      </c>
      <c r="AX95">
        <f>Model!BS107</f>
        <v>-1.9084558129519084E-2</v>
      </c>
      <c r="AY95">
        <f>Model!BT107</f>
        <v>0.14277038517611124</v>
      </c>
      <c r="AZ95">
        <f>Model!BU107</f>
        <v>0.19402334215628725</v>
      </c>
    </row>
    <row r="96" spans="9:52" ht="11.25" customHeight="1">
      <c r="I96">
        <f>Model!I108</f>
        <v>0</v>
      </c>
      <c r="M96">
        <f>Model!M108</f>
        <v>0</v>
      </c>
      <c r="N96">
        <f>Model!N108</f>
        <v>0</v>
      </c>
      <c r="O96">
        <f>Model!O108</f>
        <v>0</v>
      </c>
      <c r="P96">
        <f>Model!P108</f>
        <v>0</v>
      </c>
      <c r="Q96">
        <f>Model!Q108</f>
        <v>0</v>
      </c>
      <c r="R96">
        <f>Model!R108</f>
        <v>0</v>
      </c>
      <c r="S96">
        <f>Model!S108</f>
        <v>0</v>
      </c>
      <c r="T96">
        <f>Model!T108</f>
        <v>0</v>
      </c>
      <c r="U96">
        <f>Model!U108</f>
        <v>0</v>
      </c>
      <c r="V96">
        <f>Model!V108</f>
        <v>0</v>
      </c>
      <c r="W96">
        <f>Model!W108</f>
        <v>0</v>
      </c>
      <c r="X96">
        <f>Model!X108</f>
        <v>0</v>
      </c>
      <c r="Y96">
        <f>Model!Y108</f>
        <v>0</v>
      </c>
      <c r="Z96">
        <f>Model!Z108</f>
        <v>0</v>
      </c>
      <c r="AA96">
        <f>Model!AA108</f>
        <v>0</v>
      </c>
      <c r="AB96">
        <f>Model!AB108</f>
        <v>0</v>
      </c>
      <c r="AC96">
        <f>Model!AC108</f>
        <v>0</v>
      </c>
      <c r="AD96">
        <f>Model!AD108</f>
        <v>0</v>
      </c>
      <c r="AE96">
        <f>Model!AE108</f>
        <v>0</v>
      </c>
      <c r="AF96">
        <f>Model!AF108</f>
        <v>0</v>
      </c>
      <c r="AG96">
        <f>Model!AG108</f>
        <v>0</v>
      </c>
      <c r="AH96">
        <f>Model!AH108</f>
        <v>0</v>
      </c>
      <c r="AI96">
        <f>Model!AI108</f>
        <v>0</v>
      </c>
      <c r="AJ96">
        <f>Model!AJ108</f>
        <v>0</v>
      </c>
      <c r="AL96">
        <f>Model!BG108</f>
        <v>0</v>
      </c>
      <c r="AM96">
        <f>Model!BH108</f>
        <v>0</v>
      </c>
      <c r="AN96">
        <f>Model!BI108</f>
        <v>0</v>
      </c>
      <c r="AO96">
        <f>Model!BJ108</f>
        <v>0</v>
      </c>
      <c r="AP96">
        <f>Model!BK108</f>
        <v>0</v>
      </c>
      <c r="AQ96">
        <f>Model!BL108</f>
        <v>0</v>
      </c>
      <c r="AR96">
        <f>Model!BM108</f>
        <v>0</v>
      </c>
      <c r="AS96">
        <f>Model!BN108</f>
        <v>0</v>
      </c>
      <c r="AT96">
        <f>Model!BO108</f>
        <v>0</v>
      </c>
      <c r="AU96">
        <f>Model!BP108</f>
        <v>0</v>
      </c>
      <c r="AV96">
        <f>Model!BQ108</f>
        <v>0</v>
      </c>
      <c r="AW96">
        <f>Model!BR108</f>
        <v>0</v>
      </c>
      <c r="AX96">
        <f>Model!BS108</f>
        <v>0</v>
      </c>
      <c r="AY96">
        <f>Model!BT108</f>
        <v>0</v>
      </c>
      <c r="AZ96">
        <f>Model!BU108</f>
        <v>0</v>
      </c>
    </row>
    <row r="97" spans="9:52" ht="11.25" customHeight="1">
      <c r="I97" t="str">
        <f>Model!I109</f>
        <v>FCF Conversion</v>
      </c>
      <c r="M97">
        <f>Model!M109</f>
        <v>0</v>
      </c>
      <c r="N97">
        <f>Model!N109</f>
        <v>0</v>
      </c>
      <c r="O97">
        <f>Model!O109</f>
        <v>1.9578736208625889</v>
      </c>
      <c r="P97">
        <f>Model!P109</f>
        <v>-4.8737113402061789</v>
      </c>
      <c r="Q97">
        <f>Model!Q109</f>
        <v>-0.20795454545454659</v>
      </c>
      <c r="R97">
        <f>Model!R109</f>
        <v>-1.371340523882892</v>
      </c>
      <c r="S97">
        <f>Model!S109</f>
        <v>2.6632653061224389</v>
      </c>
      <c r="T97">
        <f>Model!T109</f>
        <v>99.466666666683423</v>
      </c>
      <c r="U97">
        <f>Model!U109</f>
        <v>3.3017875920084068</v>
      </c>
      <c r="V97">
        <f>Model!V109</f>
        <v>-0.77609108159393048</v>
      </c>
      <c r="W97">
        <f>Model!W109</f>
        <v>-0.39084181313598343</v>
      </c>
      <c r="X97">
        <f>Model!X109</f>
        <v>-1.9030470914127553</v>
      </c>
      <c r="Y97">
        <f>Model!Y109</f>
        <v>-0.21754057428214285</v>
      </c>
      <c r="Z97">
        <f>Model!Z109</f>
        <v>0.10875160875160902</v>
      </c>
      <c r="AA97">
        <f>Model!AA109</f>
        <v>0.29975155279503035</v>
      </c>
      <c r="AB97">
        <f>Model!AB109</f>
        <v>0.25257087938491118</v>
      </c>
      <c r="AC97">
        <f>Model!AC109</f>
        <v>0.59638200399389096</v>
      </c>
      <c r="AD97">
        <f>Model!AD109</f>
        <v>0.44653212711667833</v>
      </c>
      <c r="AE97">
        <f>Model!AE109</f>
        <v>0.67372670188378303</v>
      </c>
      <c r="AF97">
        <f>Model!AF109</f>
        <v>0.10287262440734775</v>
      </c>
      <c r="AG97">
        <f>Model!AG109</f>
        <v>1.5354355291913835</v>
      </c>
      <c r="AH97">
        <f>Model!AH109</f>
        <v>-4.3391123439667165</v>
      </c>
      <c r="AI97">
        <f>Model!AI109</f>
        <v>0.7171236709569081</v>
      </c>
      <c r="AJ97">
        <f>Model!AJ109</f>
        <v>-0.18405024743052767</v>
      </c>
      <c r="AL97">
        <f>Model!BG109</f>
        <v>0</v>
      </c>
      <c r="AM97">
        <f>Model!BH109</f>
        <v>0</v>
      </c>
      <c r="AN97">
        <f>Model!BI109</f>
        <v>1.143126532151612</v>
      </c>
      <c r="AO97">
        <f>Model!BJ109</f>
        <v>2.1826086956521795</v>
      </c>
      <c r="AP97">
        <f>Model!BK109</f>
        <v>2.5629362756135996</v>
      </c>
      <c r="AQ97">
        <f>Model!BL109</f>
        <v>4.0319148936170253</v>
      </c>
      <c r="AR97">
        <f>Model!BM109</f>
        <v>-1.8810093539264889</v>
      </c>
      <c r="AS97">
        <f>Model!BN109</f>
        <v>0.1763226749125017</v>
      </c>
      <c r="AT97">
        <f>Model!BO109</f>
        <v>0.40717971856405621</v>
      </c>
      <c r="AU97">
        <f>Model!BP109</f>
        <v>-1.2381464668993201</v>
      </c>
      <c r="AV97">
        <f>Model!BQ109</f>
        <v>0.86529205043220481</v>
      </c>
      <c r="AW97">
        <f>Model!BR109</f>
        <v>0.97089529842216526</v>
      </c>
      <c r="AX97">
        <f>Model!BS109</f>
        <v>0.79934447990116508</v>
      </c>
      <c r="AY97">
        <f>Model!BT109</f>
        <v>0.7259356094335081</v>
      </c>
      <c r="AZ97">
        <f>Model!BU109</f>
        <v>0.71831293349780245</v>
      </c>
    </row>
    <row r="98" spans="9:52" ht="11.25" customHeight="1">
      <c r="I98" t="str">
        <f>Model!I110</f>
        <v>Operating Cash Flow to EBITDA</v>
      </c>
      <c r="M98">
        <f>Model!M110</f>
        <v>0</v>
      </c>
      <c r="N98">
        <f>Model!N110</f>
        <v>0</v>
      </c>
      <c r="O98">
        <f>Model!O110</f>
        <v>0.42828485456369103</v>
      </c>
      <c r="P98">
        <f>Model!P110</f>
        <v>-3.5309278350515418</v>
      </c>
      <c r="Q98">
        <f>Model!Q110</f>
        <v>-1.1318181818181849</v>
      </c>
      <c r="R98">
        <f>Model!R110</f>
        <v>-0.3466872110939882</v>
      </c>
      <c r="S98">
        <f>Model!S110</f>
        <v>1.2097505668934241</v>
      </c>
      <c r="T98">
        <f>Model!T110</f>
        <v>-36.400000000006273</v>
      </c>
      <c r="U98">
        <f>Model!U110</f>
        <v>2.9158780231335388</v>
      </c>
      <c r="V98">
        <f>Model!V110</f>
        <v>0.2106261859582528</v>
      </c>
      <c r="W98">
        <f>Model!W110</f>
        <v>0.32932469935245146</v>
      </c>
      <c r="X98">
        <f>Model!X110</f>
        <v>0.33518005540165763</v>
      </c>
      <c r="Y98">
        <f>Model!Y110</f>
        <v>7.8027465667918974E-2</v>
      </c>
      <c r="Z98">
        <f>Model!Z110</f>
        <v>0.62599742599742603</v>
      </c>
      <c r="AA98">
        <f>Model!AA110</f>
        <v>0.8688198757763973</v>
      </c>
      <c r="AB98">
        <f>Model!AB110</f>
        <v>0.89610764055742465</v>
      </c>
      <c r="AC98">
        <f>Model!AC110</f>
        <v>1.0951485962645366</v>
      </c>
      <c r="AD98">
        <f>Model!AD110</f>
        <v>0.61853398283460925</v>
      </c>
      <c r="AE98">
        <f>Model!AE110</f>
        <v>0.94936708860759444</v>
      </c>
      <c r="AF98">
        <f>Model!AF110</f>
        <v>0.75273915295430138</v>
      </c>
      <c r="AG98">
        <f>Model!AG110</f>
        <v>2.6678114267873876</v>
      </c>
      <c r="AH98">
        <f>Model!AH110</f>
        <v>1.250346740638004</v>
      </c>
      <c r="AI98">
        <f>Model!AI110</f>
        <v>2.7593732512590918</v>
      </c>
      <c r="AJ98">
        <f>Model!AJ110</f>
        <v>0.36496003045298925</v>
      </c>
      <c r="AL98">
        <f>Model!BG110</f>
        <v>0</v>
      </c>
      <c r="AM98">
        <f>Model!BH110</f>
        <v>0</v>
      </c>
      <c r="AN98">
        <f>Model!BI110</f>
        <v>0.89175938148217959</v>
      </c>
      <c r="AO98">
        <f>Model!BJ110</f>
        <v>1.1008695652173897</v>
      </c>
      <c r="AP98">
        <f>Model!BK110</f>
        <v>1.7588380995271324</v>
      </c>
      <c r="AQ98">
        <f>Model!BL110</f>
        <v>-0.22163120567375372</v>
      </c>
      <c r="AR98">
        <f>Model!BM110</f>
        <v>-0.24428975418751711</v>
      </c>
      <c r="AS98">
        <f>Model!BN110</f>
        <v>0.72826123891399697</v>
      </c>
      <c r="AT98">
        <f>Model!BO110</f>
        <v>0.81684103663179253</v>
      </c>
      <c r="AU98">
        <f>Model!BP110</f>
        <v>1.5051297525648761</v>
      </c>
      <c r="AV98">
        <f>Model!BQ110</f>
        <v>1.056777868456555</v>
      </c>
      <c r="AW98">
        <f>Model!BR110</f>
        <v>1.0704949331766782</v>
      </c>
      <c r="AX98">
        <f>Model!BS110</f>
        <v>0.9279708702820415</v>
      </c>
      <c r="AY98">
        <f>Model!BT110</f>
        <v>0.88055549933250199</v>
      </c>
      <c r="AZ98">
        <f>Model!BU110</f>
        <v>0.86344974219403847</v>
      </c>
    </row>
    <row r="99" spans="9:52" ht="11.25" customHeight="1">
      <c r="I99">
        <f>Model!I111</f>
        <v>0</v>
      </c>
      <c r="M99">
        <f>Model!M111</f>
        <v>0</v>
      </c>
      <c r="N99">
        <f>Model!N111</f>
        <v>0</v>
      </c>
      <c r="O99">
        <f>Model!O111</f>
        <v>0</v>
      </c>
      <c r="P99">
        <f>Model!P111</f>
        <v>0</v>
      </c>
      <c r="Q99">
        <f>Model!Q111</f>
        <v>0</v>
      </c>
      <c r="R99">
        <f>Model!R111</f>
        <v>0</v>
      </c>
      <c r="S99">
        <f>Model!S111</f>
        <v>0</v>
      </c>
      <c r="T99">
        <f>Model!T111</f>
        <v>0</v>
      </c>
      <c r="U99">
        <f>Model!U111</f>
        <v>0</v>
      </c>
      <c r="V99">
        <f>Model!V111</f>
        <v>0</v>
      </c>
      <c r="W99">
        <f>Model!W111</f>
        <v>0</v>
      </c>
      <c r="X99">
        <f>Model!X111</f>
        <v>0</v>
      </c>
      <c r="Y99">
        <f>Model!Y111</f>
        <v>0</v>
      </c>
      <c r="Z99">
        <f>Model!Z111</f>
        <v>0</v>
      </c>
      <c r="AA99">
        <f>Model!AA111</f>
        <v>0</v>
      </c>
      <c r="AB99">
        <f>Model!AB111</f>
        <v>0</v>
      </c>
      <c r="AC99">
        <f>Model!AC111</f>
        <v>0</v>
      </c>
      <c r="AD99">
        <f>Model!AD111</f>
        <v>0</v>
      </c>
      <c r="AE99">
        <f>Model!AE111</f>
        <v>0</v>
      </c>
      <c r="AF99">
        <f>Model!AF111</f>
        <v>0</v>
      </c>
      <c r="AG99">
        <f>Model!AG111</f>
        <v>0</v>
      </c>
      <c r="AH99">
        <f>Model!AH111</f>
        <v>0</v>
      </c>
      <c r="AI99">
        <f>Model!AI111</f>
        <v>0</v>
      </c>
      <c r="AJ99">
        <f>Model!AJ111</f>
        <v>0</v>
      </c>
      <c r="AL99">
        <f>Model!BG111</f>
        <v>0</v>
      </c>
      <c r="AM99">
        <f>Model!BH111</f>
        <v>0</v>
      </c>
      <c r="AN99">
        <f>Model!BI111</f>
        <v>0</v>
      </c>
      <c r="AO99">
        <f>Model!BJ111</f>
        <v>0</v>
      </c>
      <c r="AP99">
        <f>Model!BK111</f>
        <v>0</v>
      </c>
      <c r="AQ99">
        <f>Model!BL111</f>
        <v>0</v>
      </c>
      <c r="AR99">
        <f>Model!BM111</f>
        <v>0</v>
      </c>
      <c r="AS99">
        <f>Model!BN111</f>
        <v>0</v>
      </c>
      <c r="AT99">
        <f>Model!BO111</f>
        <v>0</v>
      </c>
      <c r="AU99">
        <f>Model!BP111</f>
        <v>0</v>
      </c>
      <c r="AV99">
        <f>Model!BQ111</f>
        <v>0</v>
      </c>
      <c r="AW99">
        <f>Model!BR111</f>
        <v>0</v>
      </c>
      <c r="AX99">
        <f>Model!BS111</f>
        <v>0</v>
      </c>
      <c r="AY99">
        <f>Model!BT111</f>
        <v>0</v>
      </c>
      <c r="AZ99">
        <f>Model!BU111</f>
        <v>0</v>
      </c>
    </row>
    <row r="100" spans="9:52" ht="11.25" customHeight="1">
      <c r="I100">
        <f>Model!I112</f>
        <v>0</v>
      </c>
      <c r="M100">
        <f>Model!M112</f>
        <v>0</v>
      </c>
      <c r="N100">
        <f>Model!N112</f>
        <v>0</v>
      </c>
      <c r="O100">
        <f>Model!O112</f>
        <v>0</v>
      </c>
      <c r="P100">
        <f>Model!P112</f>
        <v>0</v>
      </c>
      <c r="Q100">
        <f>Model!Q112</f>
        <v>0</v>
      </c>
      <c r="R100">
        <f>Model!R112</f>
        <v>0</v>
      </c>
      <c r="S100">
        <f>Model!S112</f>
        <v>0</v>
      </c>
      <c r="T100">
        <f>Model!T112</f>
        <v>0</v>
      </c>
      <c r="U100">
        <f>Model!U112</f>
        <v>0</v>
      </c>
      <c r="V100">
        <f>Model!V112</f>
        <v>0</v>
      </c>
      <c r="W100">
        <f>Model!W112</f>
        <v>0</v>
      </c>
      <c r="X100">
        <f>Model!X112</f>
        <v>0</v>
      </c>
      <c r="Y100">
        <f>Model!Y112</f>
        <v>0</v>
      </c>
      <c r="Z100">
        <f>Model!Z112</f>
        <v>0</v>
      </c>
      <c r="AA100">
        <f>Model!AA112</f>
        <v>0</v>
      </c>
      <c r="AB100">
        <f>Model!AB112</f>
        <v>0</v>
      </c>
      <c r="AC100">
        <f>Model!AC112</f>
        <v>0</v>
      </c>
      <c r="AD100">
        <f>Model!AD112</f>
        <v>0</v>
      </c>
      <c r="AE100">
        <f>Model!AE112</f>
        <v>0</v>
      </c>
      <c r="AF100">
        <f>Model!AF112</f>
        <v>0</v>
      </c>
      <c r="AG100">
        <f>Model!AG112</f>
        <v>0</v>
      </c>
      <c r="AH100">
        <f>Model!AH112</f>
        <v>0</v>
      </c>
      <c r="AI100">
        <f>Model!AI112</f>
        <v>0</v>
      </c>
      <c r="AJ100">
        <f>Model!AJ112</f>
        <v>0</v>
      </c>
      <c r="AL100">
        <f>Model!BG112</f>
        <v>0</v>
      </c>
      <c r="AM100">
        <f>Model!BH112</f>
        <v>0</v>
      </c>
      <c r="AN100">
        <f>Model!BI112</f>
        <v>0</v>
      </c>
      <c r="AO100">
        <f>Model!BJ112</f>
        <v>0</v>
      </c>
      <c r="AP100">
        <f>Model!BK112</f>
        <v>0</v>
      </c>
      <c r="AQ100">
        <f>Model!BL112</f>
        <v>0</v>
      </c>
      <c r="AR100">
        <f>Model!BM112</f>
        <v>0</v>
      </c>
      <c r="AS100">
        <f>Model!BN112</f>
        <v>0</v>
      </c>
      <c r="AT100">
        <f>Model!BO112</f>
        <v>0</v>
      </c>
      <c r="AU100">
        <f>Model!BP112</f>
        <v>0</v>
      </c>
      <c r="AV100">
        <f>Model!BQ112</f>
        <v>0</v>
      </c>
      <c r="AW100">
        <f>Model!BR112</f>
        <v>0</v>
      </c>
      <c r="AX100">
        <f>Model!BS112</f>
        <v>0</v>
      </c>
      <c r="AY100">
        <f>Model!BT112</f>
        <v>0</v>
      </c>
      <c r="AZ100">
        <f>Model!BU112</f>
        <v>0</v>
      </c>
    </row>
    <row r="101" spans="9:52" ht="11.25" customHeight="1">
      <c r="I101" t="str">
        <f>Model!I113</f>
        <v>FCF per Share</v>
      </c>
      <c r="M101">
        <f>Model!M113</f>
        <v>0</v>
      </c>
      <c r="N101">
        <f>Model!N113</f>
        <v>0</v>
      </c>
      <c r="O101">
        <f>Model!O113</f>
        <v>-0.27588156314041407</v>
      </c>
      <c r="P101">
        <f>Model!P113</f>
        <v>-0.13180455844427416</v>
      </c>
      <c r="Q101">
        <f>Model!Q113</f>
        <v>1.2574726860441187E-2</v>
      </c>
      <c r="R101">
        <f>Model!R113</f>
        <v>-5.9392726059392657E-2</v>
      </c>
      <c r="S101">
        <f>Model!S113</f>
        <v>-0.15144091290052264</v>
      </c>
      <c r="T101">
        <f>Model!T113</f>
        <v>-9.2688078523948475E-2</v>
      </c>
      <c r="U101">
        <f>Model!U113</f>
        <v>-0.10043821770143616</v>
      </c>
      <c r="V101">
        <f>Model!V113</f>
        <v>-2.0152085009936486E-2</v>
      </c>
      <c r="W101">
        <f>Model!W113</f>
        <v>-1.3792090358594319E-2</v>
      </c>
      <c r="X101">
        <f>Model!X113</f>
        <v>-5.4521213275558471E-2</v>
      </c>
      <c r="Y101">
        <f>Model!Y113</f>
        <v>-1.0936198188387971E-2</v>
      </c>
      <c r="Z101">
        <f>Model!Z113</f>
        <v>1.308535678889994E-2</v>
      </c>
      <c r="AA101">
        <f>Model!AA113</f>
        <v>3.682282923851659E-2</v>
      </c>
      <c r="AB101">
        <f>Model!AB113</f>
        <v>3.8171597890975635E-2</v>
      </c>
      <c r="AC101">
        <f>Model!AC113</f>
        <v>7.1335234856893776E-2</v>
      </c>
      <c r="AD101">
        <f>Model!AD113</f>
        <v>9.9927325581395318E-2</v>
      </c>
      <c r="AE101">
        <f>Model!AE113</f>
        <v>0.17489908921548322</v>
      </c>
      <c r="AF101">
        <f>Model!AF113</f>
        <v>3.3440830969680771E-2</v>
      </c>
      <c r="AG101">
        <f>Model!AG113</f>
        <v>0.18939909369825031</v>
      </c>
      <c r="AH101">
        <f>Model!AH113</f>
        <v>-0.79454977206059751</v>
      </c>
      <c r="AI101">
        <f>Model!AI113</f>
        <v>3.2984144960362276E-2</v>
      </c>
      <c r="AJ101">
        <f>Model!AJ113</f>
        <v>-2.4742215285418E-2</v>
      </c>
      <c r="AL101">
        <f>Model!BG113</f>
        <v>0</v>
      </c>
      <c r="AM101">
        <f>Model!BH113</f>
        <v>0</v>
      </c>
      <c r="AN101">
        <f>Model!BI113</f>
        <v>-0.65563486913259783</v>
      </c>
      <c r="AO101">
        <f>Model!BJ113</f>
        <v>-0.10166882696046621</v>
      </c>
      <c r="AP101">
        <f>Model!BK113</f>
        <v>-0.82633948018004888</v>
      </c>
      <c r="AQ101">
        <f>Model!BL113</f>
        <v>-0.29742986070237432</v>
      </c>
      <c r="AR101">
        <f>Model!BM113</f>
        <v>-0.15968900626050359</v>
      </c>
      <c r="AS101">
        <f>Model!BN113</f>
        <v>7.9022310210919211E-2</v>
      </c>
      <c r="AT101">
        <f>Model!BO113</f>
        <v>0.37401406535338222</v>
      </c>
      <c r="AU101">
        <f>Model!BP113</f>
        <v>-0.60367679042038724</v>
      </c>
      <c r="AV101">
        <f>Model!BQ113</f>
        <v>1.281042528402611</v>
      </c>
      <c r="AW101">
        <f>Model!BR113</f>
        <v>1.7554225943596364</v>
      </c>
      <c r="AX101">
        <f>Model!BS113</f>
        <v>1.6306657485017579</v>
      </c>
      <c r="AY101">
        <f>Model!BT113</f>
        <v>1.7705582245610096</v>
      </c>
      <c r="AZ101">
        <f>Model!BU113</f>
        <v>2.0136799718420932</v>
      </c>
    </row>
    <row r="102" spans="9:52" ht="11.25" customHeight="1">
      <c r="I102">
        <f>Model!I114</f>
        <v>0</v>
      </c>
      <c r="M102">
        <f>Model!M114</f>
        <v>0</v>
      </c>
      <c r="N102">
        <f>Model!N114</f>
        <v>0</v>
      </c>
      <c r="O102">
        <f>Model!O114</f>
        <v>0</v>
      </c>
      <c r="P102">
        <f>Model!P114</f>
        <v>0</v>
      </c>
      <c r="Q102">
        <f>Model!Q114</f>
        <v>0</v>
      </c>
      <c r="R102">
        <f>Model!R114</f>
        <v>0</v>
      </c>
      <c r="S102">
        <f>Model!S114</f>
        <v>0</v>
      </c>
      <c r="T102">
        <f>Model!T114</f>
        <v>0</v>
      </c>
      <c r="U102">
        <f>Model!U114</f>
        <v>0</v>
      </c>
      <c r="V102">
        <f>Model!V114</f>
        <v>0</v>
      </c>
      <c r="W102">
        <f>Model!W114</f>
        <v>0</v>
      </c>
      <c r="X102">
        <f>Model!X114</f>
        <v>0</v>
      </c>
      <c r="Y102">
        <f>Model!Y114</f>
        <v>0</v>
      </c>
      <c r="Z102">
        <f>Model!Z114</f>
        <v>0</v>
      </c>
      <c r="AA102">
        <f>Model!AA114</f>
        <v>0</v>
      </c>
      <c r="AB102">
        <f>Model!AB114</f>
        <v>0</v>
      </c>
      <c r="AC102">
        <f>Model!AC114</f>
        <v>0</v>
      </c>
      <c r="AD102">
        <f>Model!AD114</f>
        <v>0</v>
      </c>
      <c r="AE102">
        <f>Model!AE114</f>
        <v>0</v>
      </c>
      <c r="AF102">
        <f>Model!AF114</f>
        <v>0</v>
      </c>
      <c r="AG102">
        <f>Model!AG114</f>
        <v>0</v>
      </c>
      <c r="AH102">
        <f>Model!AH114</f>
        <v>0</v>
      </c>
      <c r="AI102">
        <f>Model!AI114</f>
        <v>0</v>
      </c>
      <c r="AJ102">
        <f>Model!AJ114</f>
        <v>0</v>
      </c>
      <c r="AL102">
        <f>Model!BG114</f>
        <v>0</v>
      </c>
      <c r="AM102">
        <f>Model!BH114</f>
        <v>0</v>
      </c>
      <c r="AN102">
        <f>Model!BI114</f>
        <v>0</v>
      </c>
      <c r="AO102">
        <f>Model!BJ114</f>
        <v>0</v>
      </c>
      <c r="AP102">
        <f>Model!BK114</f>
        <v>0</v>
      </c>
      <c r="AQ102">
        <f>Model!BL114</f>
        <v>0</v>
      </c>
      <c r="AR102">
        <f>Model!BM114</f>
        <v>0</v>
      </c>
      <c r="AS102">
        <f>Model!BN114</f>
        <v>0</v>
      </c>
      <c r="AT102">
        <f>Model!BO114</f>
        <v>0</v>
      </c>
      <c r="AU102">
        <f>Model!BP114</f>
        <v>0</v>
      </c>
      <c r="AV102">
        <f>Model!BQ114</f>
        <v>0</v>
      </c>
      <c r="AW102">
        <f>Model!BR114</f>
        <v>0</v>
      </c>
      <c r="AX102">
        <f>Model!BS114</f>
        <v>0</v>
      </c>
      <c r="AY102">
        <f>Model!BT114</f>
        <v>0</v>
      </c>
      <c r="AZ102">
        <f>Model!BU114</f>
        <v>0</v>
      </c>
    </row>
    <row r="103" spans="9:52" ht="11.25" customHeight="1">
      <c r="I103" t="str">
        <f>Model!I115</f>
        <v>Free Cash Flow</v>
      </c>
      <c r="M103">
        <f>Model!M115</f>
        <v>0</v>
      </c>
      <c r="N103">
        <f>Model!N115</f>
        <v>0</v>
      </c>
      <c r="O103">
        <f>Model!O115</f>
        <v>-3.903999999999999</v>
      </c>
      <c r="P103">
        <f>Model!P115</f>
        <v>-1.8910000000000013</v>
      </c>
      <c r="Q103">
        <f>Model!Q115</f>
        <v>0.18300000000000061</v>
      </c>
      <c r="R103">
        <f>Model!R115</f>
        <v>-0.8899999999999989</v>
      </c>
      <c r="S103">
        <f>Model!S115</f>
        <v>-2.3490000000000064</v>
      </c>
      <c r="T103">
        <f>Model!T115</f>
        <v>-1.4919999999999987</v>
      </c>
      <c r="U103">
        <f>Model!U115</f>
        <v>-3.1399999999999988</v>
      </c>
      <c r="V103">
        <f>Model!V115</f>
        <v>-1.2270000000000028</v>
      </c>
      <c r="W103">
        <f>Model!W115</f>
        <v>-0.8449999999999982</v>
      </c>
      <c r="X103">
        <f>Model!X115</f>
        <v>-3.4350000000000103</v>
      </c>
      <c r="Y103">
        <f>Model!Y115</f>
        <v>-0.69699999999998707</v>
      </c>
      <c r="Z103">
        <f>Model!Z115</f>
        <v>0.84500000000000242</v>
      </c>
      <c r="AA103">
        <f>Model!AA115</f>
        <v>2.4129999999999923</v>
      </c>
      <c r="AB103">
        <f>Model!AB115</f>
        <v>2.6279999999999992</v>
      </c>
      <c r="AC103">
        <f>Model!AC115</f>
        <v>5.0769999999999875</v>
      </c>
      <c r="AD103">
        <f>Model!AD115</f>
        <v>7.6999999999999975</v>
      </c>
      <c r="AE103">
        <f>Model!AE115</f>
        <v>13.518999999999993</v>
      </c>
      <c r="AF103">
        <f>Model!AF115</f>
        <v>2.5820000000000221</v>
      </c>
      <c r="AG103">
        <f>Model!AG115</f>
        <v>14.754000000000001</v>
      </c>
      <c r="AH103">
        <f>Model!AH115</f>
        <v>-62.569999999999993</v>
      </c>
      <c r="AI103">
        <f>Model!AI115</f>
        <v>2.56299999999999</v>
      </c>
      <c r="AJ103">
        <f>Model!AJ115</f>
        <v>-1.9339999999999833</v>
      </c>
      <c r="AL103">
        <f>Model!BG115</f>
        <v>0</v>
      </c>
      <c r="AM103">
        <f>Model!BH115</f>
        <v>0</v>
      </c>
      <c r="AN103">
        <f>Model!BI115</f>
        <v>-6.0619999999999994</v>
      </c>
      <c r="AO103">
        <f>Model!BJ115</f>
        <v>-1.2549999999999948</v>
      </c>
      <c r="AP103">
        <f>Model!BK115</f>
        <v>-11.381999999999993</v>
      </c>
      <c r="AQ103">
        <f>Model!BL115</f>
        <v>-4.5480000000000054</v>
      </c>
      <c r="AR103">
        <f>Model!BM115</f>
        <v>-8.6470000000000091</v>
      </c>
      <c r="AS103">
        <f>Model!BN115</f>
        <v>5.1890000000000107</v>
      </c>
      <c r="AT103">
        <f>Model!BO115</f>
        <v>28.877999999999993</v>
      </c>
      <c r="AU103">
        <f>Model!BP115</f>
        <v>-47.186999999999991</v>
      </c>
      <c r="AV103">
        <f>Model!BQ115</f>
        <v>103.90599999999998</v>
      </c>
      <c r="AW103">
        <f>Model!BR115</f>
        <v>152.04900000000004</v>
      </c>
      <c r="AX103">
        <f>Model!BS115</f>
        <v>149.14721202096479</v>
      </c>
      <c r="AY103">
        <f>Model!BT115</f>
        <v>170.44101692914106</v>
      </c>
      <c r="AZ103">
        <f>Model!BU115</f>
        <v>203.51055267424934</v>
      </c>
    </row>
    <row r="104" spans="9:52" ht="11.25" customHeight="1">
      <c r="I104" t="str">
        <f>Model!I116</f>
        <v>Uses of Free Cash Flow:</v>
      </c>
      <c r="M104">
        <f>Model!M116</f>
        <v>0</v>
      </c>
      <c r="N104">
        <f>Model!N116</f>
        <v>0</v>
      </c>
      <c r="O104">
        <f>Model!O116</f>
        <v>0</v>
      </c>
      <c r="P104">
        <f>Model!P116</f>
        <v>0</v>
      </c>
      <c r="Q104">
        <f>Model!Q116</f>
        <v>0</v>
      </c>
      <c r="R104">
        <f>Model!R116</f>
        <v>0</v>
      </c>
      <c r="S104">
        <f>Model!S116</f>
        <v>0</v>
      </c>
      <c r="T104">
        <f>Model!T116</f>
        <v>0</v>
      </c>
      <c r="U104">
        <f>Model!U116</f>
        <v>0</v>
      </c>
      <c r="V104">
        <f>Model!V116</f>
        <v>0</v>
      </c>
      <c r="W104">
        <f>Model!W116</f>
        <v>0</v>
      </c>
      <c r="X104">
        <f>Model!X116</f>
        <v>0</v>
      </c>
      <c r="Y104">
        <f>Model!Y116</f>
        <v>0</v>
      </c>
      <c r="Z104">
        <f>Model!Z116</f>
        <v>0</v>
      </c>
      <c r="AA104">
        <f>Model!AA116</f>
        <v>0</v>
      </c>
      <c r="AB104">
        <f>Model!AB116</f>
        <v>0</v>
      </c>
      <c r="AC104">
        <f>Model!AC116</f>
        <v>0</v>
      </c>
      <c r="AD104">
        <f>Model!AD116</f>
        <v>0</v>
      </c>
      <c r="AE104">
        <f>Model!AE116</f>
        <v>0</v>
      </c>
      <c r="AF104">
        <f>Model!AF116</f>
        <v>0</v>
      </c>
      <c r="AG104">
        <f>Model!AG116</f>
        <v>0</v>
      </c>
      <c r="AH104">
        <f>Model!AH116</f>
        <v>0</v>
      </c>
      <c r="AI104">
        <f>Model!AI116</f>
        <v>0</v>
      </c>
      <c r="AJ104">
        <f>Model!AJ116</f>
        <v>0</v>
      </c>
      <c r="AL104">
        <f>Model!BG116</f>
        <v>0</v>
      </c>
      <c r="AM104">
        <f>Model!BH116</f>
        <v>0</v>
      </c>
      <c r="AN104">
        <f>Model!BI116</f>
        <v>0</v>
      </c>
      <c r="AO104">
        <f>Model!BJ116</f>
        <v>0</v>
      </c>
      <c r="AP104">
        <f>Model!BK116</f>
        <v>0</v>
      </c>
      <c r="AQ104">
        <f>Model!BL116</f>
        <v>0</v>
      </c>
      <c r="AR104">
        <f>Model!BM116</f>
        <v>0</v>
      </c>
      <c r="AS104">
        <f>Model!BN116</f>
        <v>0</v>
      </c>
      <c r="AT104">
        <f>Model!BO116</f>
        <v>0</v>
      </c>
      <c r="AU104">
        <f>Model!BP116</f>
        <v>0</v>
      </c>
      <c r="AV104">
        <f>Model!BQ116</f>
        <v>0</v>
      </c>
      <c r="AW104">
        <f>Model!BR116</f>
        <v>0</v>
      </c>
      <c r="AX104">
        <f>Model!BS116</f>
        <v>0</v>
      </c>
      <c r="AY104">
        <f>Model!BT116</f>
        <v>0</v>
      </c>
      <c r="AZ104">
        <f>Model!BU116</f>
        <v>0</v>
      </c>
    </row>
    <row r="105" spans="9:52" ht="11.25" customHeight="1">
      <c r="I105" t="str">
        <f>Model!I117</f>
        <v>Dividend</v>
      </c>
      <c r="M105">
        <f>Model!M117</f>
        <v>0</v>
      </c>
      <c r="N105">
        <f>Model!N117</f>
        <v>0</v>
      </c>
      <c r="O105">
        <f>Model!O117</f>
        <v>0</v>
      </c>
      <c r="P105">
        <f>Model!P117</f>
        <v>0</v>
      </c>
      <c r="Q105">
        <f>Model!Q117</f>
        <v>0</v>
      </c>
      <c r="R105">
        <f>Model!R117</f>
        <v>0</v>
      </c>
      <c r="S105">
        <f>Model!S117</f>
        <v>0</v>
      </c>
      <c r="T105">
        <f>Model!T117</f>
        <v>0</v>
      </c>
      <c r="U105">
        <f>Model!U117</f>
        <v>0</v>
      </c>
      <c r="V105">
        <f>Model!V117</f>
        <v>0</v>
      </c>
      <c r="W105">
        <f>Model!W117</f>
        <v>0</v>
      </c>
      <c r="X105">
        <f>Model!X117</f>
        <v>0</v>
      </c>
      <c r="Y105">
        <f>Model!Y117</f>
        <v>0</v>
      </c>
      <c r="Z105">
        <f>Model!Z117</f>
        <v>0</v>
      </c>
      <c r="AA105">
        <f>Model!AA117</f>
        <v>0</v>
      </c>
      <c r="AB105">
        <f>Model!AB117</f>
        <v>0</v>
      </c>
      <c r="AC105">
        <f>Model!AC117</f>
        <v>0</v>
      </c>
      <c r="AD105">
        <f>Model!AD117</f>
        <v>0</v>
      </c>
      <c r="AE105">
        <f>Model!AE117</f>
        <v>0</v>
      </c>
      <c r="AF105">
        <f>Model!AF117</f>
        <v>0</v>
      </c>
      <c r="AG105">
        <f>Model!AG117</f>
        <v>0</v>
      </c>
      <c r="AH105">
        <f>Model!AH117</f>
        <v>0</v>
      </c>
      <c r="AI105">
        <f>Model!AI117</f>
        <v>0</v>
      </c>
      <c r="AJ105">
        <f>Model!AJ117</f>
        <v>0</v>
      </c>
      <c r="AL105">
        <f>Model!BG117</f>
        <v>0</v>
      </c>
      <c r="AM105">
        <f>Model!BH117</f>
        <v>0</v>
      </c>
      <c r="AN105">
        <f>Model!BI117</f>
        <v>0</v>
      </c>
      <c r="AO105">
        <f>Model!BJ117</f>
        <v>0</v>
      </c>
      <c r="AP105">
        <f>Model!BK117</f>
        <v>0</v>
      </c>
      <c r="AQ105">
        <f>Model!BL117</f>
        <v>0</v>
      </c>
      <c r="AR105">
        <f>Model!BM117</f>
        <v>0</v>
      </c>
      <c r="AS105">
        <f>Model!BN117</f>
        <v>0</v>
      </c>
      <c r="AT105">
        <f>Model!BO117</f>
        <v>0</v>
      </c>
      <c r="AU105">
        <f>Model!BP117</f>
        <v>0</v>
      </c>
      <c r="AV105">
        <f>Model!BQ117</f>
        <v>0</v>
      </c>
      <c r="AW105">
        <f>Model!BR117</f>
        <v>0</v>
      </c>
      <c r="AX105">
        <f>Model!BS117</f>
        <v>0</v>
      </c>
      <c r="AY105">
        <f>Model!BT117</f>
        <v>0</v>
      </c>
      <c r="AZ105">
        <f>Model!BU117</f>
        <v>0</v>
      </c>
    </row>
    <row r="106" spans="9:52" ht="11.25" customHeight="1">
      <c r="I106" t="str">
        <f>Model!I118</f>
        <v>Debt Repayment / Issuance</v>
      </c>
      <c r="M106">
        <f>Model!M118</f>
        <v>0</v>
      </c>
      <c r="N106">
        <f>Model!N118</f>
        <v>0</v>
      </c>
      <c r="O106">
        <f>Model!O118</f>
        <v>0</v>
      </c>
      <c r="P106">
        <f>Model!P118</f>
        <v>0</v>
      </c>
      <c r="Q106">
        <f>Model!Q118</f>
        <v>0</v>
      </c>
      <c r="R106">
        <f>Model!R118</f>
        <v>0</v>
      </c>
      <c r="S106">
        <f>Model!S118</f>
        <v>0</v>
      </c>
      <c r="T106">
        <f>Model!T118</f>
        <v>0</v>
      </c>
      <c r="U106">
        <f>Model!U118</f>
        <v>0</v>
      </c>
      <c r="V106">
        <f>Model!V118</f>
        <v>0</v>
      </c>
      <c r="W106">
        <f>Model!W118</f>
        <v>0</v>
      </c>
      <c r="X106">
        <f>Model!X118</f>
        <v>0</v>
      </c>
      <c r="Y106">
        <f>Model!Y118</f>
        <v>0</v>
      </c>
      <c r="Z106">
        <f>Model!Z118</f>
        <v>0</v>
      </c>
      <c r="AA106">
        <f>Model!AA118</f>
        <v>0</v>
      </c>
      <c r="AB106">
        <f>Model!AB118</f>
        <v>0</v>
      </c>
      <c r="AC106">
        <f>Model!AC118</f>
        <v>0</v>
      </c>
      <c r="AD106">
        <f>Model!AD118</f>
        <v>0</v>
      </c>
      <c r="AE106">
        <f>Model!AE118</f>
        <v>0</v>
      </c>
      <c r="AF106">
        <f>Model!AF118</f>
        <v>0</v>
      </c>
      <c r="AG106">
        <f>Model!AG118</f>
        <v>0</v>
      </c>
      <c r="AH106">
        <f>Model!AH118</f>
        <v>0</v>
      </c>
      <c r="AI106">
        <f>Model!AI118</f>
        <v>0</v>
      </c>
      <c r="AJ106">
        <f>Model!AJ118</f>
        <v>0</v>
      </c>
      <c r="AL106">
        <f>Model!BG118</f>
        <v>0</v>
      </c>
      <c r="AM106">
        <f>Model!BH118</f>
        <v>0</v>
      </c>
      <c r="AN106">
        <f>Model!BI118</f>
        <v>0</v>
      </c>
      <c r="AO106">
        <f>Model!BJ118</f>
        <v>0</v>
      </c>
      <c r="AP106">
        <f>Model!BK118</f>
        <v>0</v>
      </c>
      <c r="AQ106">
        <f>Model!BL118</f>
        <v>0</v>
      </c>
      <c r="AR106">
        <f>Model!BM118</f>
        <v>0</v>
      </c>
      <c r="AS106">
        <f>Model!BN118</f>
        <v>0</v>
      </c>
      <c r="AT106">
        <f>Model!BO118</f>
        <v>0</v>
      </c>
      <c r="AU106">
        <f>Model!BP118</f>
        <v>0</v>
      </c>
      <c r="AV106">
        <f>Model!BQ118</f>
        <v>0</v>
      </c>
      <c r="AW106">
        <f>Model!BR118</f>
        <v>0</v>
      </c>
      <c r="AX106">
        <f>Model!BS118</f>
        <v>0</v>
      </c>
      <c r="AY106">
        <f>Model!BT118</f>
        <v>0</v>
      </c>
      <c r="AZ106">
        <f>Model!BU118</f>
        <v>0</v>
      </c>
    </row>
    <row r="107" spans="9:52" ht="11.25" customHeight="1">
      <c r="I107" t="str">
        <f>Model!I119</f>
        <v>Acquisitions / Investments (net)</v>
      </c>
      <c r="M107">
        <f>Model!M119</f>
        <v>0</v>
      </c>
      <c r="N107">
        <f>Model!N119</f>
        <v>0</v>
      </c>
      <c r="O107">
        <f>Model!O119</f>
        <v>-0.65600000000000003</v>
      </c>
      <c r="P107">
        <f>Model!P119</f>
        <v>-0.57300000000000006</v>
      </c>
      <c r="Q107">
        <f>Model!Q119</f>
        <v>-0.53700000000000003</v>
      </c>
      <c r="R107">
        <f>Model!R119</f>
        <v>-0.5179999999999999</v>
      </c>
      <c r="S107">
        <f>Model!S119</f>
        <v>-0.55300000000000027</v>
      </c>
      <c r="T107">
        <f>Model!T119</f>
        <v>-0.89799999999999969</v>
      </c>
      <c r="U107">
        <f>Model!U119</f>
        <v>-0.61199999999999999</v>
      </c>
      <c r="V107">
        <f>Model!V119</f>
        <v>-0.97800000000000009</v>
      </c>
      <c r="W107">
        <f>Model!W119</f>
        <v>-0.74399999999999988</v>
      </c>
      <c r="X107">
        <f>Model!X119</f>
        <v>-24.721</v>
      </c>
      <c r="Y107">
        <f>Model!Y119</f>
        <v>-0.96899999999999997</v>
      </c>
      <c r="Z107">
        <f>Model!Z119</f>
        <v>-1.6999999999999904E-2</v>
      </c>
      <c r="AA107">
        <f>Model!AA119</f>
        <v>-3.1830000000000003</v>
      </c>
      <c r="AB107">
        <f>Model!AB119</f>
        <v>-1.5909999999999997</v>
      </c>
      <c r="AC107">
        <f>Model!AC119</f>
        <v>-1.5920000000000001</v>
      </c>
      <c r="AD107">
        <f>Model!AD119</f>
        <v>-124.947</v>
      </c>
      <c r="AE107">
        <f>Model!AE119</f>
        <v>-10.109000000000009</v>
      </c>
      <c r="AF107">
        <f>Model!AF119</f>
        <v>-48.207999999999977</v>
      </c>
      <c r="AG107">
        <f>Model!AG119</f>
        <v>-92.829000000000008</v>
      </c>
      <c r="AH107">
        <f>Model!AH119</f>
        <v>56.567999999999998</v>
      </c>
      <c r="AI107">
        <f>Model!AI119</f>
        <v>-13.781999999999982</v>
      </c>
      <c r="AJ107">
        <f>Model!AJ119</f>
        <v>-5.627999999999993</v>
      </c>
      <c r="AL107">
        <f>Model!BG119</f>
        <v>0</v>
      </c>
      <c r="AM107">
        <f>Model!BH119</f>
        <v>0</v>
      </c>
      <c r="AN107">
        <f>Model!BI119</f>
        <v>0.53500000000000081</v>
      </c>
      <c r="AO107">
        <f>Model!BJ119</f>
        <v>1.2929999999999997</v>
      </c>
      <c r="AP107">
        <f>Model!BK119</f>
        <v>-1.2290000000000001</v>
      </c>
      <c r="AQ107">
        <f>Model!BL119</f>
        <v>-2.5059999999999998</v>
      </c>
      <c r="AR107">
        <f>Model!BM119</f>
        <v>-27.055</v>
      </c>
      <c r="AS107">
        <f>Model!BN119</f>
        <v>-5.76</v>
      </c>
      <c r="AT107">
        <f>Model!BO119</f>
        <v>-184.85599999999997</v>
      </c>
      <c r="AU107">
        <f>Model!BP119</f>
        <v>-55.670999999999985</v>
      </c>
      <c r="AV107">
        <f>Model!BQ119</f>
        <v>-31.746999999999954</v>
      </c>
      <c r="AW107">
        <f>Model!BR119</f>
        <v>96.577000000000041</v>
      </c>
      <c r="AX107">
        <f>Model!BS119</f>
        <v>0</v>
      </c>
      <c r="AY107">
        <f>Model!BT119</f>
        <v>0</v>
      </c>
      <c r="AZ107">
        <f>Model!BU119</f>
        <v>0</v>
      </c>
    </row>
    <row r="108" spans="9:52" ht="11.25" customHeight="1">
      <c r="I108" t="str">
        <f>Model!I120</f>
        <v>Share Repurchases</v>
      </c>
      <c r="M108">
        <f>Model!M120</f>
        <v>0</v>
      </c>
      <c r="N108">
        <f>Model!N120</f>
        <v>0</v>
      </c>
      <c r="O108">
        <f>Model!O120</f>
        <v>0</v>
      </c>
      <c r="P108">
        <f>Model!P120</f>
        <v>0</v>
      </c>
      <c r="Q108">
        <f>Model!Q120</f>
        <v>0</v>
      </c>
      <c r="R108">
        <f>Model!R120</f>
        <v>0</v>
      </c>
      <c r="S108">
        <f>Model!S120</f>
        <v>0</v>
      </c>
      <c r="T108">
        <f>Model!T120</f>
        <v>0</v>
      </c>
      <c r="U108">
        <f>Model!U120</f>
        <v>0</v>
      </c>
      <c r="V108">
        <f>Model!V120</f>
        <v>0</v>
      </c>
      <c r="W108">
        <f>Model!W120</f>
        <v>0.26836005000000002</v>
      </c>
      <c r="X108">
        <f>Model!X120</f>
        <v>7.3578470000000007E-2</v>
      </c>
      <c r="Y108">
        <f>Model!Y120</f>
        <v>8.0730319999999994E-2</v>
      </c>
      <c r="Z108">
        <f>Model!Z120</f>
        <v>0.10650583000000001</v>
      </c>
      <c r="AA108">
        <f>Model!AA120</f>
        <v>0.17493135999999998</v>
      </c>
      <c r="AB108">
        <f>Model!AB120</f>
        <v>0.32550938999999995</v>
      </c>
      <c r="AC108">
        <f>Model!AC120</f>
        <v>0.36109424000000001</v>
      </c>
      <c r="AD108">
        <f>Model!AD120</f>
        <v>0.28070296</v>
      </c>
      <c r="AE108">
        <f>Model!AE120</f>
        <v>0.39282759999999994</v>
      </c>
      <c r="AF108">
        <f>Model!AF120</f>
        <v>0.39282759999999994</v>
      </c>
      <c r="AG108">
        <f>Model!AG120</f>
        <v>0.27786399000000001</v>
      </c>
      <c r="AH108">
        <f>Model!AH120</f>
        <v>0.22713555999999999</v>
      </c>
      <c r="AI108">
        <f>Model!AI120</f>
        <v>8.658006E-2</v>
      </c>
      <c r="AJ108">
        <f>Model!AJ120</f>
        <v>0</v>
      </c>
      <c r="AL108">
        <f>Model!BG120</f>
        <v>0</v>
      </c>
      <c r="AM108">
        <f>Model!BH120</f>
        <v>0</v>
      </c>
      <c r="AN108">
        <f>Model!BI120</f>
        <v>0</v>
      </c>
      <c r="AO108">
        <f>Model!BJ120</f>
        <v>0</v>
      </c>
      <c r="AP108">
        <f>Model!BK120</f>
        <v>0</v>
      </c>
      <c r="AQ108">
        <f>Model!BL120</f>
        <v>0</v>
      </c>
      <c r="AR108">
        <f>Model!BM120</f>
        <v>0.34193852000000002</v>
      </c>
      <c r="AS108">
        <f>Model!BN120</f>
        <v>0.68767689999999992</v>
      </c>
      <c r="AT108">
        <f>Model!BO120</f>
        <v>1.4274524</v>
      </c>
      <c r="AU108">
        <f>Model!BP120</f>
        <v>0.59157960999999992</v>
      </c>
      <c r="AV108">
        <f>Model!BQ120</f>
        <v>0</v>
      </c>
      <c r="AW108">
        <f>Model!BR120</f>
        <v>12.555999999999999</v>
      </c>
      <c r="AX108">
        <f>Model!BS120</f>
        <v>0</v>
      </c>
      <c r="AY108">
        <f>Model!BT120</f>
        <v>0</v>
      </c>
      <c r="AZ108">
        <f>Model!BU120</f>
        <v>0</v>
      </c>
    </row>
    <row r="109" spans="9:52" ht="11.25" customHeight="1">
      <c r="I109" t="str">
        <f>Model!I121</f>
        <v>Excess Free Cash</v>
      </c>
      <c r="M109">
        <f>Model!M121</f>
        <v>0</v>
      </c>
      <c r="N109">
        <f>Model!N121</f>
        <v>0</v>
      </c>
      <c r="O109">
        <f>Model!O121</f>
        <v>-4.5599999999999987</v>
      </c>
      <c r="P109">
        <f>Model!P121</f>
        <v>-2.4640000000000013</v>
      </c>
      <c r="Q109">
        <f>Model!Q121</f>
        <v>-0.35399999999999943</v>
      </c>
      <c r="R109">
        <f>Model!R121</f>
        <v>-1.4079999999999988</v>
      </c>
      <c r="S109">
        <f>Model!S121</f>
        <v>-2.9020000000000068</v>
      </c>
      <c r="T109">
        <f>Model!T121</f>
        <v>-2.3899999999999983</v>
      </c>
      <c r="U109">
        <f>Model!U121</f>
        <v>-3.7519999999999989</v>
      </c>
      <c r="V109">
        <f>Model!V121</f>
        <v>-2.2050000000000027</v>
      </c>
      <c r="W109">
        <f>Model!W121</f>
        <v>-1.3206399499999981</v>
      </c>
      <c r="X109">
        <f>Model!X121</f>
        <v>-28.082421530000008</v>
      </c>
      <c r="Y109">
        <f>Model!Y121</f>
        <v>-1.585269679999987</v>
      </c>
      <c r="Z109">
        <f>Model!Z121</f>
        <v>0.93450583000000254</v>
      </c>
      <c r="AA109">
        <f>Model!AA121</f>
        <v>-0.59506864000000803</v>
      </c>
      <c r="AB109">
        <f>Model!AB121</f>
        <v>1.3625093899999994</v>
      </c>
      <c r="AC109">
        <f>Model!AC121</f>
        <v>3.8460942399999873</v>
      </c>
      <c r="AD109">
        <f>Model!AD121</f>
        <v>-116.96629704</v>
      </c>
      <c r="AE109">
        <f>Model!AE121</f>
        <v>3.8028275999999841</v>
      </c>
      <c r="AF109">
        <f>Model!AF121</f>
        <v>-45.233172399999958</v>
      </c>
      <c r="AG109">
        <f>Model!AG121</f>
        <v>-77.797136010000003</v>
      </c>
      <c r="AH109">
        <f>Model!AH121</f>
        <v>-5.7748644399999955</v>
      </c>
      <c r="AI109">
        <f>Model!AI121</f>
        <v>-11.132419939999993</v>
      </c>
      <c r="AJ109">
        <f>Model!AJ121</f>
        <v>-7.5619999999999763</v>
      </c>
      <c r="AL109">
        <f>Model!BG121</f>
        <v>0</v>
      </c>
      <c r="AM109">
        <f>Model!BH121</f>
        <v>0</v>
      </c>
      <c r="AN109">
        <f>Model!BI121</f>
        <v>-5.5269999999999984</v>
      </c>
      <c r="AO109">
        <f>Model!BJ121</f>
        <v>3.8000000000004919E-2</v>
      </c>
      <c r="AP109">
        <f>Model!BK121</f>
        <v>-12.610999999999994</v>
      </c>
      <c r="AQ109">
        <f>Model!BL121</f>
        <v>-7.0540000000000056</v>
      </c>
      <c r="AR109">
        <f>Model!BM121</f>
        <v>-35.360061480000013</v>
      </c>
      <c r="AS109">
        <f>Model!BN121</f>
        <v>0.11667690000001085</v>
      </c>
      <c r="AT109">
        <f>Model!BO121</f>
        <v>-154.55054759999999</v>
      </c>
      <c r="AU109">
        <f>Model!BP121</f>
        <v>-102.26642038999998</v>
      </c>
      <c r="AV109">
        <f>Model!BQ121</f>
        <v>72.15900000000002</v>
      </c>
      <c r="AW109">
        <f>Model!BR121</f>
        <v>261.18200000000007</v>
      </c>
      <c r="AX109">
        <f>Model!BS121</f>
        <v>149.14721202096479</v>
      </c>
      <c r="AY109">
        <f>Model!BT121</f>
        <v>170.44101692914106</v>
      </c>
      <c r="AZ109">
        <f>Model!BU121</f>
        <v>203.51055267424934</v>
      </c>
    </row>
    <row r="110" spans="9:52" ht="11.25" customHeight="1">
      <c r="I110">
        <f>Model!I122</f>
        <v>0</v>
      </c>
      <c r="M110">
        <f>Model!M122</f>
        <v>0</v>
      </c>
      <c r="N110">
        <f>Model!N122</f>
        <v>0</v>
      </c>
      <c r="O110">
        <f>Model!O122</f>
        <v>0</v>
      </c>
      <c r="P110">
        <f>Model!P122</f>
        <v>0</v>
      </c>
      <c r="Q110">
        <f>Model!Q122</f>
        <v>0</v>
      </c>
      <c r="R110">
        <f>Model!R122</f>
        <v>0</v>
      </c>
      <c r="S110">
        <f>Model!S122</f>
        <v>0</v>
      </c>
      <c r="T110">
        <f>Model!T122</f>
        <v>0</v>
      </c>
      <c r="U110">
        <f>Model!U122</f>
        <v>0</v>
      </c>
      <c r="V110">
        <f>Model!V122</f>
        <v>0</v>
      </c>
      <c r="W110">
        <f>Model!W122</f>
        <v>0</v>
      </c>
      <c r="X110">
        <f>Model!X122</f>
        <v>0</v>
      </c>
      <c r="Y110">
        <f>Model!Y122</f>
        <v>0</v>
      </c>
      <c r="Z110">
        <f>Model!Z122</f>
        <v>0</v>
      </c>
      <c r="AA110">
        <f>Model!AA122</f>
        <v>0</v>
      </c>
      <c r="AB110">
        <f>Model!AB122</f>
        <v>0</v>
      </c>
      <c r="AC110">
        <f>Model!AC122</f>
        <v>0</v>
      </c>
      <c r="AD110">
        <f>Model!AD122</f>
        <v>0</v>
      </c>
      <c r="AE110">
        <f>Model!AE122</f>
        <v>0</v>
      </c>
      <c r="AF110">
        <f>Model!AF122</f>
        <v>0</v>
      </c>
      <c r="AG110">
        <f>Model!AG122</f>
        <v>0</v>
      </c>
      <c r="AH110">
        <f>Model!AH122</f>
        <v>0</v>
      </c>
      <c r="AI110">
        <f>Model!AI122</f>
        <v>0</v>
      </c>
      <c r="AJ110">
        <f>Model!AJ122</f>
        <v>0</v>
      </c>
      <c r="AL110">
        <f>Model!BG122</f>
        <v>0</v>
      </c>
      <c r="AM110">
        <f>Model!BH122</f>
        <v>0</v>
      </c>
      <c r="AN110">
        <f>Model!BI122</f>
        <v>0</v>
      </c>
      <c r="AO110">
        <f>Model!BJ122</f>
        <v>0</v>
      </c>
      <c r="AP110">
        <f>Model!BK122</f>
        <v>0</v>
      </c>
      <c r="AQ110">
        <f>Model!BL122</f>
        <v>0</v>
      </c>
      <c r="AR110">
        <f>Model!BM122</f>
        <v>0</v>
      </c>
      <c r="AS110">
        <f>Model!BN122</f>
        <v>0</v>
      </c>
      <c r="AT110">
        <f>Model!BO122</f>
        <v>0</v>
      </c>
      <c r="AU110">
        <f>Model!BP122</f>
        <v>0</v>
      </c>
      <c r="AV110">
        <f>Model!BQ122</f>
        <v>0</v>
      </c>
      <c r="AW110">
        <f>Model!BR122</f>
        <v>0</v>
      </c>
      <c r="AX110">
        <f>Model!BS122</f>
        <v>0</v>
      </c>
      <c r="AY110">
        <f>Model!BT122</f>
        <v>0</v>
      </c>
      <c r="AZ110">
        <f>Model!BU122</f>
        <v>0</v>
      </c>
    </row>
    <row r="111" spans="9:52" ht="11.25" customHeight="1">
      <c r="I111" t="str">
        <f>Model!I123</f>
        <v>Change in WC % of Sales</v>
      </c>
      <c r="M111">
        <f>Model!M123</f>
        <v>-0.122810858143608</v>
      </c>
      <c r="N111">
        <f>Model!N123</f>
        <v>-0.20723408222242945</v>
      </c>
      <c r="O111">
        <f>Model!O123</f>
        <v>-0.11966015562966481</v>
      </c>
      <c r="P111">
        <f>Model!P123</f>
        <v>7.8826764436297089E-2</v>
      </c>
      <c r="Q111">
        <f>Model!Q123</f>
        <v>-0.18133333333333329</v>
      </c>
      <c r="R111">
        <f>Model!R123</f>
        <v>-4.9034630707937297E-3</v>
      </c>
      <c r="S111">
        <f>Model!S123</f>
        <v>-5.6945565420141633E-2</v>
      </c>
      <c r="T111">
        <f>Model!T123</f>
        <v>-7.9863481228668903E-2</v>
      </c>
      <c r="U111">
        <f>Model!U123</f>
        <v>-0.20536790213620607</v>
      </c>
      <c r="V111">
        <f>Model!V123</f>
        <v>-1.9630661807490856E-2</v>
      </c>
      <c r="W111">
        <f>Model!W123</f>
        <v>-2.5184900057738199E-2</v>
      </c>
      <c r="X111">
        <f>Model!X123</f>
        <v>-5.0732560682265393E-2</v>
      </c>
      <c r="Y111">
        <f>Model!Y123</f>
        <v>-4.8100058526434578E-2</v>
      </c>
      <c r="Z111">
        <f>Model!Z123</f>
        <v>-5.228722534212963E-2</v>
      </c>
      <c r="AA111">
        <f>Model!AA123</f>
        <v>-9.7938902600480549E-2</v>
      </c>
      <c r="AB111">
        <f>Model!AB123</f>
        <v>-0.11157662311927652</v>
      </c>
      <c r="AC111">
        <f>Model!AC123</f>
        <v>-0.13586451503134528</v>
      </c>
      <c r="AD111">
        <f>Model!AD123</f>
        <v>-4.1109621904107621E-2</v>
      </c>
      <c r="AE111">
        <f>Model!AE123</f>
        <v>-9.8853155043677587E-2</v>
      </c>
      <c r="AF111">
        <f>Model!AF123</f>
        <v>-6.457542748459788E-2</v>
      </c>
      <c r="AG111">
        <f>Model!AG123</f>
        <v>-0.26940071556350631</v>
      </c>
      <c r="AH111">
        <f>Model!AH123</f>
        <v>-0.14888535031847147</v>
      </c>
      <c r="AI111">
        <f>Model!AI123</f>
        <v>-0.16427934621099552</v>
      </c>
      <c r="AJ111">
        <f>Model!AJ123</f>
        <v>-6.4853442399454786E-2</v>
      </c>
      <c r="AL111">
        <f>Model!BG123</f>
        <v>0</v>
      </c>
      <c r="AM111">
        <f>Model!BH123</f>
        <v>0</v>
      </c>
      <c r="AN111">
        <f>Model!BI123</f>
        <v>-7.7353983029903761E-2</v>
      </c>
      <c r="AO111">
        <f>Model!BJ123</f>
        <v>-1.9335089894606378E-2</v>
      </c>
      <c r="AP111">
        <f>Model!BK123</f>
        <v>-0.39934214661331224</v>
      </c>
      <c r="AQ111">
        <f>Model!BL123</f>
        <v>-7.6208200756438665E-2</v>
      </c>
      <c r="AR111">
        <f>Model!BM123</f>
        <v>-6.7378567378567567E-2</v>
      </c>
      <c r="AS111">
        <f>Model!BN123</f>
        <v>-8.142479441001263E-2</v>
      </c>
      <c r="AT111">
        <f>Model!BO123</f>
        <v>-8.2786807085946781E-2</v>
      </c>
      <c r="AU111">
        <f>Model!BP123</f>
        <v>-0.15508964719491034</v>
      </c>
      <c r="AV111">
        <f>Model!BQ123</f>
        <v>-0.13053154743790579</v>
      </c>
      <c r="AW111">
        <f>Model!BR123</f>
        <v>-0.1379225401593977</v>
      </c>
      <c r="AX111">
        <f>Model!BS123</f>
        <v>-0.11727786864053871</v>
      </c>
      <c r="AY111">
        <f>Model!BT123</f>
        <v>-0.11721856087612416</v>
      </c>
      <c r="AZ111">
        <f>Model!BU123</f>
        <v>-0.11565021624856858</v>
      </c>
    </row>
    <row r="112" spans="9:52" ht="11.25" customHeight="1">
      <c r="I112" t="str">
        <f>Model!I124</f>
        <v>WC</v>
      </c>
      <c r="M112">
        <f>Model!M124</f>
        <v>0</v>
      </c>
      <c r="N112">
        <f>Model!N124</f>
        <v>0</v>
      </c>
      <c r="O112">
        <f>Model!O124</f>
        <v>29.465999999999998</v>
      </c>
      <c r="P112">
        <f>Model!P124</f>
        <v>28.741000000000003</v>
      </c>
      <c r="Q112">
        <f>Model!Q124</f>
        <v>26.765000000000001</v>
      </c>
      <c r="R112">
        <f>Model!R124</f>
        <v>25.143000000000001</v>
      </c>
      <c r="S112">
        <f>Model!S124</f>
        <v>21.743000000000006</v>
      </c>
      <c r="T112">
        <f>Model!T124</f>
        <v>18.996000000000002</v>
      </c>
      <c r="U112">
        <f>Model!U124</f>
        <v>127.95400000000001</v>
      </c>
      <c r="V112">
        <f>Model!V124</f>
        <v>122.19499999999999</v>
      </c>
      <c r="W112">
        <f>Model!W124</f>
        <v>123.127</v>
      </c>
      <c r="X112">
        <f>Model!X124</f>
        <v>90.002999999999986</v>
      </c>
      <c r="Y112">
        <f>Model!Y124</f>
        <v>92.445999999999998</v>
      </c>
      <c r="Z112">
        <f>Model!Z124</f>
        <v>95.647999999999996</v>
      </c>
      <c r="AA112">
        <f>Model!AA124</f>
        <v>98.114999999999981</v>
      </c>
      <c r="AB112">
        <f>Model!AB124</f>
        <v>388.12099999999992</v>
      </c>
      <c r="AC112">
        <f>Model!AC124</f>
        <v>402.02899999999988</v>
      </c>
      <c r="AD112">
        <f>Model!AD124</f>
        <v>358.73799999999994</v>
      </c>
      <c r="AE112">
        <f>Model!AE124</f>
        <v>372.96799999999996</v>
      </c>
      <c r="AF112">
        <f>Model!AF124</f>
        <v>386.78500000000003</v>
      </c>
      <c r="AG112">
        <f>Model!AG124</f>
        <v>345.52600000000007</v>
      </c>
      <c r="AH112">
        <f>Model!AH124</f>
        <v>390.21700000000004</v>
      </c>
      <c r="AI112">
        <f>Model!AI124</f>
        <v>392.73900000000009</v>
      </c>
      <c r="AJ112">
        <f>Model!AJ124</f>
        <v>393.50500000000011</v>
      </c>
      <c r="AL112">
        <f>Model!BG124</f>
        <v>0</v>
      </c>
      <c r="AM112">
        <f>Model!BH124</f>
        <v>0</v>
      </c>
      <c r="AN112">
        <f>Model!BI124</f>
        <v>0</v>
      </c>
      <c r="AO112">
        <f>Model!BJ124</f>
        <v>15.092000000000001</v>
      </c>
      <c r="AP112">
        <f>Model!BK124</f>
        <v>28.741000000000003</v>
      </c>
      <c r="AQ112">
        <f>Model!BL124</f>
        <v>18.996000000000002</v>
      </c>
      <c r="AR112">
        <f>Model!BM124</f>
        <v>90.002999999999986</v>
      </c>
      <c r="AS112">
        <f>Model!BN124</f>
        <v>388.12099999999992</v>
      </c>
      <c r="AT112">
        <f>Model!BO124</f>
        <v>386.78500000000003</v>
      </c>
      <c r="AU112">
        <f>Model!BP124</f>
        <v>393.50500000000011</v>
      </c>
      <c r="AV112">
        <f>Model!BQ124</f>
        <v>500.7800000000002</v>
      </c>
      <c r="AW112">
        <f>Model!BR124</f>
        <v>826.92200000000014</v>
      </c>
      <c r="AX112">
        <f>Model!BS124</f>
        <v>978.8135013978457</v>
      </c>
      <c r="AY112">
        <f>Model!BT124</f>
        <v>1149.5565437168916</v>
      </c>
      <c r="AZ112">
        <f>Model!BU124</f>
        <v>1351.7723629011311</v>
      </c>
    </row>
    <row r="113" spans="9:52" ht="11.25" customHeight="1">
      <c r="I113" t="str">
        <f>Model!I125</f>
        <v>WC % of Sales</v>
      </c>
      <c r="M113">
        <f>Model!M125</f>
        <v>0</v>
      </c>
      <c r="N113">
        <f>Model!N125</f>
        <v>0</v>
      </c>
      <c r="O113">
        <f>Model!O125</f>
        <v>2.3396855645545496</v>
      </c>
      <c r="P113">
        <f>Model!P125</f>
        <v>1.8816943826109731</v>
      </c>
      <c r="Q113">
        <f>Model!Q125</f>
        <v>1.6221212121212121</v>
      </c>
      <c r="R113">
        <f>Model!R125</f>
        <v>1.2842476248850752</v>
      </c>
      <c r="S113">
        <f>Model!S125</f>
        <v>0.97493498340955997</v>
      </c>
      <c r="T113">
        <f>Model!T125</f>
        <v>0.76273840594258191</v>
      </c>
      <c r="U113">
        <f>Model!U125</f>
        <v>4.6724119043271868</v>
      </c>
      <c r="V113">
        <f>Model!V125</f>
        <v>3.7422288916791717</v>
      </c>
      <c r="W113">
        <f>Model!W125</f>
        <v>3.3853069753374938</v>
      </c>
      <c r="X113">
        <f>Model!X125</f>
        <v>2.1868211968802389</v>
      </c>
      <c r="Y113">
        <f>Model!Y125</f>
        <v>2.0039017622959703</v>
      </c>
      <c r="Z113">
        <f>Model!Z125</f>
        <v>1.738327608454646</v>
      </c>
      <c r="AA113">
        <f>Model!AA125</f>
        <v>1.6036841503081019</v>
      </c>
      <c r="AB113">
        <f>Model!AB125</f>
        <v>5.4934961996291625</v>
      </c>
      <c r="AC113">
        <f>Model!AC125</f>
        <v>5.2616775949847518</v>
      </c>
      <c r="AD113">
        <f>Model!AD125</f>
        <v>4.0404338472974635</v>
      </c>
      <c r="AE113">
        <f>Model!AE125</f>
        <v>3.6403103801669023</v>
      </c>
      <c r="AF113">
        <f>Model!AF125</f>
        <v>3.5198431115600575</v>
      </c>
      <c r="AG113">
        <f>Model!AG125</f>
        <v>3.0905724508050096</v>
      </c>
      <c r="AH113">
        <f>Model!AH125</f>
        <v>3.1068232484076437</v>
      </c>
      <c r="AI113">
        <f>Model!AI125</f>
        <v>2.9178231797919771</v>
      </c>
      <c r="AJ113">
        <f>Model!AJ125</f>
        <v>2.6823790047716436</v>
      </c>
      <c r="AL113">
        <f>Model!BG125</f>
        <v>0</v>
      </c>
      <c r="AM113">
        <f>Model!BH125</f>
        <v>0</v>
      </c>
      <c r="AN113">
        <f>Model!BI125</f>
        <v>0</v>
      </c>
      <c r="AO113">
        <f>Model!BJ125</f>
        <v>0.58477991320520761</v>
      </c>
      <c r="AP113">
        <f>Model!BK125</f>
        <v>0.60214535626741539</v>
      </c>
      <c r="AQ113">
        <f>Model!BL125</f>
        <v>0.22808428888755483</v>
      </c>
      <c r="AR113">
        <f>Model!BM125</f>
        <v>0.65425323117630807</v>
      </c>
      <c r="AS113">
        <f>Model!BN125</f>
        <v>1.665841159201332</v>
      </c>
      <c r="AT113">
        <f>Model!BO125</f>
        <v>1.0244983259874556</v>
      </c>
      <c r="AU113">
        <f>Model!BP125</f>
        <v>0.75863697705802979</v>
      </c>
      <c r="AV113">
        <f>Model!BQ125</f>
        <v>0.70228827785249426</v>
      </c>
      <c r="AW113">
        <f>Model!BR125</f>
        <v>0.97651075266912546</v>
      </c>
      <c r="AX113">
        <f>Model!BS125</f>
        <v>1.0195973972894226</v>
      </c>
      <c r="AY113">
        <f>Model!BT125</f>
        <v>1.0296995196317551</v>
      </c>
      <c r="AZ113">
        <f>Model!BU125</f>
        <v>1.0723245779003103</v>
      </c>
    </row>
    <row r="114" spans="9:52" ht="11.25" customHeight="1">
      <c r="I114">
        <f>Model!I126</f>
        <v>0</v>
      </c>
      <c r="M114">
        <f>Model!M126</f>
        <v>0</v>
      </c>
      <c r="N114">
        <f>Model!N126</f>
        <v>0</v>
      </c>
      <c r="O114">
        <f>Model!O126</f>
        <v>0</v>
      </c>
      <c r="P114">
        <f>Model!P126</f>
        <v>0</v>
      </c>
      <c r="Q114">
        <f>Model!Q126</f>
        <v>0</v>
      </c>
      <c r="R114">
        <f>Model!R126</f>
        <v>0</v>
      </c>
      <c r="S114">
        <f>Model!S126</f>
        <v>0</v>
      </c>
      <c r="T114">
        <f>Model!T126</f>
        <v>0</v>
      </c>
      <c r="U114">
        <f>Model!U126</f>
        <v>0</v>
      </c>
      <c r="V114">
        <f>Model!V126</f>
        <v>0</v>
      </c>
      <c r="W114">
        <f>Model!W126</f>
        <v>0</v>
      </c>
      <c r="X114">
        <f>Model!X126</f>
        <v>0</v>
      </c>
      <c r="Y114">
        <f>Model!Y126</f>
        <v>0</v>
      </c>
      <c r="Z114">
        <f>Model!Z126</f>
        <v>0</v>
      </c>
      <c r="AA114">
        <f>Model!AA126</f>
        <v>0</v>
      </c>
      <c r="AB114">
        <f>Model!AB126</f>
        <v>0</v>
      </c>
      <c r="AC114">
        <f>Model!AC126</f>
        <v>0</v>
      </c>
      <c r="AD114">
        <f>Model!AD126</f>
        <v>0</v>
      </c>
      <c r="AE114">
        <f>Model!AE126</f>
        <v>0</v>
      </c>
      <c r="AF114">
        <f>Model!AF126</f>
        <v>0</v>
      </c>
      <c r="AG114">
        <f>Model!AG126</f>
        <v>0</v>
      </c>
      <c r="AH114">
        <f>Model!AH126</f>
        <v>0</v>
      </c>
      <c r="AI114">
        <f>Model!AI126</f>
        <v>0</v>
      </c>
      <c r="AJ114">
        <f>Model!AJ126</f>
        <v>0</v>
      </c>
      <c r="AL114">
        <f>Model!BG126</f>
        <v>0</v>
      </c>
      <c r="AM114">
        <f>Model!BH126</f>
        <v>0</v>
      </c>
      <c r="AN114">
        <f>Model!BI126</f>
        <v>0</v>
      </c>
      <c r="AO114">
        <f>Model!BJ126</f>
        <v>0</v>
      </c>
      <c r="AP114">
        <f>Model!BK126</f>
        <v>0</v>
      </c>
      <c r="AQ114">
        <f>Model!BL126</f>
        <v>0</v>
      </c>
      <c r="AR114">
        <f>Model!BM126</f>
        <v>0</v>
      </c>
      <c r="AS114">
        <f>Model!BN126</f>
        <v>0</v>
      </c>
      <c r="AT114">
        <f>Model!BO126</f>
        <v>0</v>
      </c>
      <c r="AU114">
        <f>Model!BP126</f>
        <v>0</v>
      </c>
      <c r="AV114">
        <f>Model!BQ126</f>
        <v>0</v>
      </c>
      <c r="AW114">
        <f>Model!BR126</f>
        <v>0</v>
      </c>
      <c r="AX114">
        <f>Model!BS126</f>
        <v>0</v>
      </c>
      <c r="AY114">
        <f>Model!BT126</f>
        <v>0</v>
      </c>
      <c r="AZ114">
        <f>Model!BU126</f>
        <v>0</v>
      </c>
    </row>
    <row r="115" spans="9:52" ht="11.25" customHeight="1">
      <c r="I115" t="str">
        <f>Model!I127</f>
        <v>Return on Invested Capital</v>
      </c>
      <c r="M115">
        <f>Model!M127</f>
        <v>0</v>
      </c>
      <c r="N115">
        <f>Model!N127</f>
        <v>0</v>
      </c>
      <c r="O115">
        <f>Model!O127</f>
        <v>0</v>
      </c>
      <c r="P115">
        <f>Model!P127</f>
        <v>0</v>
      </c>
      <c r="Q115">
        <f>Model!Q127</f>
        <v>0</v>
      </c>
      <c r="R115">
        <f>Model!R127</f>
        <v>0</v>
      </c>
      <c r="S115">
        <f>Model!S127</f>
        <v>0</v>
      </c>
      <c r="T115">
        <f>Model!T127</f>
        <v>0</v>
      </c>
      <c r="U115">
        <f>Model!U127</f>
        <v>0</v>
      </c>
      <c r="V115">
        <f>Model!V127</f>
        <v>0</v>
      </c>
      <c r="W115">
        <f>Model!W127</f>
        <v>0</v>
      </c>
      <c r="X115">
        <f>Model!X127</f>
        <v>0</v>
      </c>
      <c r="Y115">
        <f>Model!Y127</f>
        <v>0</v>
      </c>
      <c r="Z115">
        <f>Model!Z127</f>
        <v>0</v>
      </c>
      <c r="AA115">
        <f>Model!AA127</f>
        <v>0</v>
      </c>
      <c r="AB115">
        <f>Model!AB127</f>
        <v>0</v>
      </c>
      <c r="AC115">
        <f>Model!AC127</f>
        <v>0</v>
      </c>
      <c r="AD115">
        <f>Model!AD127</f>
        <v>0</v>
      </c>
      <c r="AE115">
        <f>Model!AE127</f>
        <v>0</v>
      </c>
      <c r="AF115">
        <f>Model!AF127</f>
        <v>0</v>
      </c>
      <c r="AG115">
        <f>Model!AG127</f>
        <v>0</v>
      </c>
      <c r="AH115">
        <f>Model!AH127</f>
        <v>0</v>
      </c>
      <c r="AI115">
        <f>Model!AI127</f>
        <v>0</v>
      </c>
      <c r="AJ115">
        <f>Model!AJ127</f>
        <v>0</v>
      </c>
      <c r="AL115">
        <f>Model!BG127</f>
        <v>0</v>
      </c>
      <c r="AM115">
        <f>Model!BH127</f>
        <v>0</v>
      </c>
      <c r="AN115">
        <f>Model!BI127</f>
        <v>0</v>
      </c>
      <c r="AO115">
        <f>Model!BJ127</f>
        <v>0</v>
      </c>
      <c r="AP115">
        <f>Model!BK127</f>
        <v>0</v>
      </c>
      <c r="AQ115">
        <f>Model!BL127</f>
        <v>0</v>
      </c>
      <c r="AR115">
        <f>Model!BM127</f>
        <v>0</v>
      </c>
      <c r="AS115">
        <f>Model!BN127</f>
        <v>0</v>
      </c>
      <c r="AT115">
        <f>Model!BO127</f>
        <v>0</v>
      </c>
      <c r="AU115">
        <f>Model!BP127</f>
        <v>0</v>
      </c>
      <c r="AV115">
        <f>Model!BQ127</f>
        <v>0</v>
      </c>
      <c r="AW115">
        <f>Model!BR127</f>
        <v>0</v>
      </c>
      <c r="AX115">
        <f>Model!BS127</f>
        <v>0</v>
      </c>
      <c r="AY115">
        <f>Model!BT127</f>
        <v>0</v>
      </c>
      <c r="AZ115">
        <f>Model!BU127</f>
        <v>0</v>
      </c>
    </row>
    <row r="116" spans="9:52" ht="11.25" customHeight="1">
      <c r="I116">
        <f>Model!I128</f>
        <v>0</v>
      </c>
      <c r="M116">
        <f>Model!M128</f>
        <v>0</v>
      </c>
      <c r="N116">
        <f>Model!N128</f>
        <v>0</v>
      </c>
      <c r="O116">
        <f>Model!O128</f>
        <v>0</v>
      </c>
      <c r="P116">
        <f>Model!P128</f>
        <v>0</v>
      </c>
      <c r="Q116">
        <f>Model!Q128</f>
        <v>0</v>
      </c>
      <c r="R116">
        <f>Model!R128</f>
        <v>0</v>
      </c>
      <c r="S116">
        <f>Model!S128</f>
        <v>0</v>
      </c>
      <c r="T116">
        <f>Model!T128</f>
        <v>0</v>
      </c>
      <c r="U116">
        <f>Model!U128</f>
        <v>0</v>
      </c>
      <c r="V116">
        <f>Model!V128</f>
        <v>0</v>
      </c>
      <c r="W116">
        <f>Model!W128</f>
        <v>0</v>
      </c>
      <c r="X116">
        <f>Model!X128</f>
        <v>0</v>
      </c>
      <c r="Y116">
        <f>Model!Y128</f>
        <v>0</v>
      </c>
      <c r="Z116">
        <f>Model!Z128</f>
        <v>0</v>
      </c>
      <c r="AA116">
        <f>Model!AA128</f>
        <v>0</v>
      </c>
      <c r="AB116">
        <f>Model!AB128</f>
        <v>0</v>
      </c>
      <c r="AC116">
        <f>Model!AC128</f>
        <v>0</v>
      </c>
      <c r="AD116">
        <f>Model!AD128</f>
        <v>0</v>
      </c>
      <c r="AE116">
        <f>Model!AE128</f>
        <v>0</v>
      </c>
      <c r="AF116">
        <f>Model!AF128</f>
        <v>0</v>
      </c>
      <c r="AG116">
        <f>Model!AG128</f>
        <v>0</v>
      </c>
      <c r="AH116">
        <f>Model!AH128</f>
        <v>0</v>
      </c>
      <c r="AI116">
        <f>Model!AI128</f>
        <v>0</v>
      </c>
      <c r="AJ116">
        <f>Model!AJ128</f>
        <v>0</v>
      </c>
      <c r="AL116">
        <f>Model!BG128</f>
        <v>0</v>
      </c>
      <c r="AM116">
        <f>Model!BH128</f>
        <v>0</v>
      </c>
      <c r="AN116">
        <f>Model!BI128</f>
        <v>0</v>
      </c>
      <c r="AO116">
        <f>Model!BJ128</f>
        <v>0</v>
      </c>
      <c r="AP116">
        <f>Model!BK128</f>
        <v>0</v>
      </c>
      <c r="AQ116">
        <f>Model!BL128</f>
        <v>0</v>
      </c>
      <c r="AR116">
        <f>Model!BM128</f>
        <v>0</v>
      </c>
      <c r="AS116">
        <f>Model!BN128</f>
        <v>0</v>
      </c>
      <c r="AT116">
        <f>Model!BO128</f>
        <v>0</v>
      </c>
      <c r="AU116">
        <f>Model!BP128</f>
        <v>0</v>
      </c>
      <c r="AV116">
        <f>Model!BQ128</f>
        <v>0</v>
      </c>
      <c r="AW116">
        <f>Model!BR128</f>
        <v>0</v>
      </c>
      <c r="AX116">
        <f>Model!BS128</f>
        <v>0</v>
      </c>
      <c r="AY116">
        <f>Model!BT128</f>
        <v>0</v>
      </c>
      <c r="AZ116">
        <f>Model!BU128</f>
        <v>0</v>
      </c>
    </row>
    <row r="117" spans="9:52" ht="11.25" customHeight="1">
      <c r="I117" t="str">
        <f>Model!I129</f>
        <v>Total Assets</v>
      </c>
      <c r="M117">
        <f>Model!M129</f>
        <v>0</v>
      </c>
      <c r="N117">
        <f>Model!N129</f>
        <v>0</v>
      </c>
      <c r="O117">
        <f>Model!O129</f>
        <v>29.465999999999998</v>
      </c>
      <c r="P117">
        <f>Model!P129</f>
        <v>41.015000000000001</v>
      </c>
      <c r="Q117">
        <f>Model!Q129</f>
        <v>26.765000000000001</v>
      </c>
      <c r="R117">
        <f>Model!R129</f>
        <v>25.143000000000001</v>
      </c>
      <c r="S117">
        <f>Model!S129</f>
        <v>42.155000000000008</v>
      </c>
      <c r="T117">
        <f>Model!T129</f>
        <v>43.820999999999998</v>
      </c>
      <c r="U117">
        <f>Model!U129</f>
        <v>153.08700000000002</v>
      </c>
      <c r="V117">
        <f>Model!V129</f>
        <v>153.84800000000001</v>
      </c>
      <c r="W117">
        <f>Model!W129</f>
        <v>156.53199999999998</v>
      </c>
      <c r="X117">
        <f>Model!X129</f>
        <v>187.696</v>
      </c>
      <c r="Y117">
        <f>Model!Y129</f>
        <v>187.29399999999998</v>
      </c>
      <c r="Z117">
        <f>Model!Z129</f>
        <v>197.542</v>
      </c>
      <c r="AA117">
        <f>Model!AA129</f>
        <v>224.32999999999998</v>
      </c>
      <c r="AB117">
        <f>Model!AB129</f>
        <v>515.97799999999995</v>
      </c>
      <c r="AC117">
        <f>Model!AC129</f>
        <v>533.47399999999993</v>
      </c>
      <c r="AD117">
        <f>Model!AD129</f>
        <v>553.15599999999995</v>
      </c>
      <c r="AE117">
        <f>Model!AE129</f>
        <v>577.399</v>
      </c>
      <c r="AF117">
        <f>Model!AF129</f>
        <v>629.65000000000009</v>
      </c>
      <c r="AG117">
        <f>Model!AG129</f>
        <v>715.88599999999997</v>
      </c>
      <c r="AH117">
        <f>Model!AH129</f>
        <v>741.38700000000006</v>
      </c>
      <c r="AI117">
        <f>Model!AI129</f>
        <v>764.4050000000002</v>
      </c>
      <c r="AJ117">
        <f>Model!AJ129</f>
        <v>755.42700000000013</v>
      </c>
      <c r="AL117">
        <f>Model!BG129</f>
        <v>0</v>
      </c>
      <c r="AM117">
        <f>Model!BH129</f>
        <v>0</v>
      </c>
      <c r="AN117">
        <f>Model!BI129</f>
        <v>0</v>
      </c>
      <c r="AO117">
        <f>Model!BJ129</f>
        <v>20.817000000000004</v>
      </c>
      <c r="AP117">
        <f>Model!BK129</f>
        <v>41.015000000000001</v>
      </c>
      <c r="AQ117">
        <f>Model!BL129</f>
        <v>43.820999999999998</v>
      </c>
      <c r="AR117">
        <f>Model!BM129</f>
        <v>187.696</v>
      </c>
      <c r="AS117">
        <f>Model!BN129</f>
        <v>515.97799999999995</v>
      </c>
      <c r="AT117">
        <f>Model!BO129</f>
        <v>629.65000000000009</v>
      </c>
      <c r="AU117">
        <f>Model!BP129</f>
        <v>755.42700000000013</v>
      </c>
      <c r="AV117">
        <f>Model!BQ129</f>
        <v>885.20600000000013</v>
      </c>
      <c r="AW117">
        <f>Model!BR129</f>
        <v>1216.5120000000002</v>
      </c>
      <c r="AX117">
        <f>Model!BS129</f>
        <v>1360.1418350927654</v>
      </c>
      <c r="AY117">
        <f>Model!BT129</f>
        <v>1547.2551837644608</v>
      </c>
      <c r="AZ117">
        <f>Model!BU129</f>
        <v>1767.470592782465</v>
      </c>
    </row>
    <row r="118" spans="9:52" ht="11.25" customHeight="1">
      <c r="I118" t="str">
        <f>Model!I130</f>
        <v>- Cash</v>
      </c>
      <c r="M118">
        <f>Model!M130</f>
        <v>0</v>
      </c>
      <c r="N118">
        <f>Model!N130</f>
        <v>0</v>
      </c>
      <c r="O118">
        <f>Model!O130</f>
        <v>29.465999999999998</v>
      </c>
      <c r="P118">
        <f>Model!P130</f>
        <v>27.290000000000003</v>
      </c>
      <c r="Q118">
        <f>Model!Q130</f>
        <v>26.765000000000001</v>
      </c>
      <c r="R118">
        <f>Model!R130</f>
        <v>25.143000000000001</v>
      </c>
      <c r="S118">
        <f>Model!S130</f>
        <v>23.344000000000001</v>
      </c>
      <c r="T118">
        <f>Model!T130</f>
        <v>21.736000000000001</v>
      </c>
      <c r="U118">
        <f>Model!U130</f>
        <v>130.73699999999999</v>
      </c>
      <c r="V118">
        <f>Model!V130</f>
        <v>122.613</v>
      </c>
      <c r="W118">
        <f>Model!W130</f>
        <v>123.11199999999999</v>
      </c>
      <c r="X118">
        <f>Model!X130</f>
        <v>95.123999999999981</v>
      </c>
      <c r="Y118">
        <f>Model!Y130</f>
        <v>94.498000000000005</v>
      </c>
      <c r="Z118">
        <f>Model!Z130</f>
        <v>96.794999999999987</v>
      </c>
      <c r="AA118">
        <f>Model!AA130</f>
        <v>101.21399999999998</v>
      </c>
      <c r="AB118">
        <f>Model!AB130</f>
        <v>389.76399999999995</v>
      </c>
      <c r="AC118">
        <f>Model!AC130</f>
        <v>399.31999999999994</v>
      </c>
      <c r="AD118">
        <f>Model!AD130</f>
        <v>290.38599999999997</v>
      </c>
      <c r="AE118">
        <f>Model!AE130</f>
        <v>290.56699999999995</v>
      </c>
      <c r="AF118">
        <f>Model!AF130</f>
        <v>365.81</v>
      </c>
      <c r="AG118">
        <f>Model!AG130</f>
        <v>331.23200000000003</v>
      </c>
      <c r="AH118">
        <f>Model!AH130</f>
        <v>368.13300000000004</v>
      </c>
      <c r="AI118">
        <f>Model!AI130</f>
        <v>368.93900000000008</v>
      </c>
      <c r="AJ118">
        <f>Model!AJ130</f>
        <v>370.82700000000011</v>
      </c>
      <c r="AL118">
        <f>Model!BG130</f>
        <v>0</v>
      </c>
      <c r="AM118">
        <f>Model!BH130</f>
        <v>0</v>
      </c>
      <c r="AN118">
        <f>Model!BI130</f>
        <v>0</v>
      </c>
      <c r="AO118">
        <f>Model!BJ130</f>
        <v>15.074</v>
      </c>
      <c r="AP118">
        <f>Model!BK130</f>
        <v>27.290000000000003</v>
      </c>
      <c r="AQ118">
        <f>Model!BL130</f>
        <v>21.736000000000001</v>
      </c>
      <c r="AR118">
        <f>Model!BM130</f>
        <v>95.123999999999981</v>
      </c>
      <c r="AS118">
        <f>Model!BN130</f>
        <v>389.76399999999995</v>
      </c>
      <c r="AT118">
        <f>Model!BO130</f>
        <v>365.81</v>
      </c>
      <c r="AU118">
        <f>Model!BP130</f>
        <v>370.82700000000011</v>
      </c>
      <c r="AV118">
        <f>Model!BQ130</f>
        <v>479.53300000000013</v>
      </c>
      <c r="AW118">
        <f>Model!BR130</f>
        <v>821.21600000000012</v>
      </c>
      <c r="AX118">
        <f>Model!BS130</f>
        <v>970.36321202096485</v>
      </c>
      <c r="AY118">
        <f>Model!BT130</f>
        <v>1140.8042289501059</v>
      </c>
      <c r="AZ118">
        <f>Model!BU130</f>
        <v>1344.3147816243552</v>
      </c>
    </row>
    <row r="119" spans="9:52" ht="11.25" customHeight="1">
      <c r="I119" t="str">
        <f>Model!I131</f>
        <v>- Accounts Payable</v>
      </c>
      <c r="M119">
        <f>Model!M131</f>
        <v>0</v>
      </c>
      <c r="N119">
        <f>Model!N131</f>
        <v>0</v>
      </c>
      <c r="O119">
        <f>Model!O131</f>
        <v>0</v>
      </c>
      <c r="P119">
        <f>Model!P131</f>
        <v>0.82199999999999995</v>
      </c>
      <c r="Q119">
        <f>Model!Q131</f>
        <v>0</v>
      </c>
      <c r="R119">
        <f>Model!R131</f>
        <v>0</v>
      </c>
      <c r="S119">
        <f>Model!S131</f>
        <v>1.5609999999999999</v>
      </c>
      <c r="T119">
        <f>Model!T131</f>
        <v>2.9729999999999999</v>
      </c>
      <c r="U119">
        <f>Model!U131</f>
        <v>3.4409999999999998</v>
      </c>
      <c r="V119">
        <f>Model!V131</f>
        <v>2.698</v>
      </c>
      <c r="W119">
        <f>Model!W131</f>
        <v>2.2210000000000001</v>
      </c>
      <c r="X119">
        <f>Model!X131</f>
        <v>2.2839999999999998</v>
      </c>
      <c r="Y119">
        <f>Model!Y131</f>
        <v>3.02</v>
      </c>
      <c r="Z119">
        <f>Model!Z131</f>
        <v>1.929</v>
      </c>
      <c r="AA119">
        <f>Model!AA131</f>
        <v>2.839</v>
      </c>
      <c r="AB119">
        <f>Model!AB131</f>
        <v>3.3639999999999999</v>
      </c>
      <c r="AC119">
        <f>Model!AC131</f>
        <v>1.5780000000000001</v>
      </c>
      <c r="AD119">
        <f>Model!AD131</f>
        <v>1.68</v>
      </c>
      <c r="AE119">
        <f>Model!AE131</f>
        <v>2.226</v>
      </c>
      <c r="AF119">
        <f>Model!AF131</f>
        <v>1.3979999999999999</v>
      </c>
      <c r="AG119">
        <f>Model!AG131</f>
        <v>1.8360000000000001</v>
      </c>
      <c r="AH119">
        <f>Model!AH131</f>
        <v>1.706</v>
      </c>
      <c r="AI119">
        <f>Model!AI131</f>
        <v>3.3050000000000002</v>
      </c>
      <c r="AJ119">
        <f>Model!AJ131</f>
        <v>3.3879999999999999</v>
      </c>
      <c r="AL119">
        <f>Model!BG131</f>
        <v>0</v>
      </c>
      <c r="AM119">
        <f>Model!BH131</f>
        <v>0</v>
      </c>
      <c r="AN119">
        <f>Model!BI131</f>
        <v>0</v>
      </c>
      <c r="AO119">
        <f>Model!BJ131</f>
        <v>0.27800000000000002</v>
      </c>
      <c r="AP119">
        <f>Model!BK131</f>
        <v>0.82199999999999995</v>
      </c>
      <c r="AQ119">
        <f>Model!BL131</f>
        <v>2.9729999999999999</v>
      </c>
      <c r="AR119">
        <f>Model!BM131</f>
        <v>2.2839999999999998</v>
      </c>
      <c r="AS119">
        <f>Model!BN131</f>
        <v>3.3639999999999999</v>
      </c>
      <c r="AT119">
        <f>Model!BO131</f>
        <v>1.3979999999999999</v>
      </c>
      <c r="AU119">
        <f>Model!BP131</f>
        <v>3.3879999999999999</v>
      </c>
      <c r="AV119">
        <f>Model!BQ131</f>
        <v>2.0030000000000001</v>
      </c>
      <c r="AW119">
        <f>Model!BR131</f>
        <v>9.0329999999999995</v>
      </c>
      <c r="AX119">
        <f>Model!BS131</f>
        <v>10.319740237651766</v>
      </c>
      <c r="AY119">
        <f>Model!BT131</f>
        <v>11.489106517532404</v>
      </c>
      <c r="AZ119">
        <f>Model!BU131</f>
        <v>12.52644906767374</v>
      </c>
    </row>
    <row r="120" spans="9:52" ht="11.25" customHeight="1">
      <c r="I120" t="str">
        <f>Model!I132</f>
        <v>- Accrued Expenses</v>
      </c>
      <c r="M120">
        <f>Model!M132</f>
        <v>0</v>
      </c>
      <c r="N120">
        <f>Model!N132</f>
        <v>0</v>
      </c>
      <c r="O120">
        <f>Model!O132</f>
        <v>0</v>
      </c>
      <c r="P120">
        <f>Model!P132</f>
        <v>5.8319999999999999</v>
      </c>
      <c r="Q120">
        <f>Model!Q132</f>
        <v>0</v>
      </c>
      <c r="R120">
        <f>Model!R132</f>
        <v>0</v>
      </c>
      <c r="S120">
        <f>Model!S132</f>
        <v>9.0660000000000007</v>
      </c>
      <c r="T120">
        <f>Model!T132</f>
        <v>9.7569999999999997</v>
      </c>
      <c r="U120">
        <f>Model!U132</f>
        <v>9.0289999999999999</v>
      </c>
      <c r="V120">
        <f>Model!V132</f>
        <v>10.47</v>
      </c>
      <c r="W120">
        <f>Model!W132</f>
        <v>11.353</v>
      </c>
      <c r="X120">
        <f>Model!X132</f>
        <v>19.222999999999999</v>
      </c>
      <c r="Y120">
        <f>Model!Y132</f>
        <v>18.239000000000001</v>
      </c>
      <c r="Z120">
        <f>Model!Z132</f>
        <v>20.428000000000001</v>
      </c>
      <c r="AA120">
        <f>Model!AA132</f>
        <v>24.260999999999999</v>
      </c>
      <c r="AB120">
        <f>Model!AB132</f>
        <v>25.349</v>
      </c>
      <c r="AC120">
        <f>Model!AC132</f>
        <v>26.176000000000002</v>
      </c>
      <c r="AD120">
        <f>Model!AD132</f>
        <v>23.806999999999999</v>
      </c>
      <c r="AE120">
        <f>Model!AE132</f>
        <v>29.56</v>
      </c>
      <c r="AF120">
        <f>Model!AF132</f>
        <v>32.575000000000003</v>
      </c>
      <c r="AG120">
        <f>Model!AG132</f>
        <v>45.545000000000002</v>
      </c>
      <c r="AH120">
        <f>Model!AH132</f>
        <v>40.262</v>
      </c>
      <c r="AI120">
        <f>Model!AI132</f>
        <v>51.789000000000001</v>
      </c>
      <c r="AJ120">
        <f>Model!AJ132</f>
        <v>46.388999999999996</v>
      </c>
      <c r="AL120">
        <f>Model!BG132</f>
        <v>0</v>
      </c>
      <c r="AM120">
        <f>Model!BH132</f>
        <v>0</v>
      </c>
      <c r="AN120">
        <f>Model!BI132</f>
        <v>0</v>
      </c>
      <c r="AO120">
        <f>Model!BJ132</f>
        <v>2.831</v>
      </c>
      <c r="AP120">
        <f>Model!BK132</f>
        <v>5.8319999999999999</v>
      </c>
      <c r="AQ120">
        <f>Model!BL132</f>
        <v>9.7569999999999997</v>
      </c>
      <c r="AR120">
        <f>Model!BM132</f>
        <v>19.222999999999999</v>
      </c>
      <c r="AS120">
        <f>Model!BN132</f>
        <v>25.349</v>
      </c>
      <c r="AT120">
        <f>Model!BO132</f>
        <v>32.575000000000003</v>
      </c>
      <c r="AU120">
        <f>Model!BP132</f>
        <v>46.388999999999996</v>
      </c>
      <c r="AV120">
        <f>Model!BQ132</f>
        <v>58.396000000000001</v>
      </c>
      <c r="AW120">
        <f>Model!BR132</f>
        <v>77.134</v>
      </c>
      <c r="AX120">
        <f>Model!BS132</f>
        <v>89.185593457267842</v>
      </c>
      <c r="AY120">
        <f>Model!BT132</f>
        <v>100.75624305669541</v>
      </c>
      <c r="AZ120">
        <f>Model!BU132</f>
        <v>113.60651201252806</v>
      </c>
    </row>
    <row r="121" spans="9:52" ht="11.25" customHeight="1">
      <c r="I121" t="str">
        <f>Model!I133</f>
        <v>Invested Capital</v>
      </c>
      <c r="M121">
        <f>Model!M133</f>
        <v>0</v>
      </c>
      <c r="N121">
        <f>Model!N133</f>
        <v>0</v>
      </c>
      <c r="O121">
        <f>Model!O133</f>
        <v>0</v>
      </c>
      <c r="P121">
        <f>Model!P133</f>
        <v>7.0709999999999988</v>
      </c>
      <c r="Q121">
        <f>Model!Q133</f>
        <v>0</v>
      </c>
      <c r="R121">
        <f>Model!R133</f>
        <v>0</v>
      </c>
      <c r="S121">
        <f>Model!S133</f>
        <v>8.1840000000000064</v>
      </c>
      <c r="T121">
        <f>Model!T133</f>
        <v>9.3549999999999986</v>
      </c>
      <c r="U121">
        <f>Model!U133</f>
        <v>9.8800000000000239</v>
      </c>
      <c r="V121">
        <f>Model!V133</f>
        <v>18.067000000000014</v>
      </c>
      <c r="W121">
        <f>Model!W133</f>
        <v>19.845999999999989</v>
      </c>
      <c r="X121">
        <f>Model!X133</f>
        <v>71.065000000000012</v>
      </c>
      <c r="Y121">
        <f>Model!Y133</f>
        <v>71.536999999999978</v>
      </c>
      <c r="Z121">
        <f>Model!Z133</f>
        <v>78.390000000000015</v>
      </c>
      <c r="AA121">
        <f>Model!AA133</f>
        <v>96.016000000000005</v>
      </c>
      <c r="AB121">
        <f>Model!AB133</f>
        <v>97.500999999999991</v>
      </c>
      <c r="AC121">
        <f>Model!AC133</f>
        <v>106.39999999999999</v>
      </c>
      <c r="AD121">
        <f>Model!AD133</f>
        <v>237.28299999999999</v>
      </c>
      <c r="AE121">
        <f>Model!AE133</f>
        <v>255.04600000000005</v>
      </c>
      <c r="AF121">
        <f>Model!AF133</f>
        <v>229.86700000000008</v>
      </c>
      <c r="AG121">
        <f>Model!AG133</f>
        <v>337.27299999999991</v>
      </c>
      <c r="AH121">
        <f>Model!AH133</f>
        <v>331.286</v>
      </c>
      <c r="AI121">
        <f>Model!AI133</f>
        <v>340.37200000000013</v>
      </c>
      <c r="AJ121">
        <f>Model!AJ133</f>
        <v>334.82300000000004</v>
      </c>
      <c r="AL121">
        <f>Model!BG133</f>
        <v>0</v>
      </c>
      <c r="AM121">
        <f>Model!BH133</f>
        <v>0</v>
      </c>
      <c r="AN121">
        <f>Model!BI133</f>
        <v>0</v>
      </c>
      <c r="AO121">
        <f>Model!BJ133</f>
        <v>2.6340000000000034</v>
      </c>
      <c r="AP121">
        <f>Model!BK133</f>
        <v>7.0709999999999988</v>
      </c>
      <c r="AQ121">
        <f>Model!BL133</f>
        <v>9.3549999999999986</v>
      </c>
      <c r="AR121">
        <f>Model!BM133</f>
        <v>71.065000000000012</v>
      </c>
      <c r="AS121">
        <f>Model!BN133</f>
        <v>97.500999999999991</v>
      </c>
      <c r="AT121">
        <f>Model!BO133</f>
        <v>229.86700000000008</v>
      </c>
      <c r="AU121">
        <f>Model!BP133</f>
        <v>334.82300000000004</v>
      </c>
      <c r="AV121">
        <f>Model!BQ133</f>
        <v>345.274</v>
      </c>
      <c r="AW121">
        <f>Model!BR133</f>
        <v>309.12900000000002</v>
      </c>
      <c r="AX121">
        <f>Model!BS133</f>
        <v>290.27328937688094</v>
      </c>
      <c r="AY121">
        <f>Model!BT133</f>
        <v>294.20560524012706</v>
      </c>
      <c r="AZ121">
        <f>Model!BU133</f>
        <v>297.022850077908</v>
      </c>
    </row>
    <row r="122" spans="9:52" ht="11.25" customHeight="1">
      <c r="I122">
        <f>Model!I134</f>
        <v>0</v>
      </c>
      <c r="M122">
        <f>Model!M134</f>
        <v>0</v>
      </c>
      <c r="N122">
        <f>Model!N134</f>
        <v>0</v>
      </c>
      <c r="O122">
        <f>Model!O134</f>
        <v>0</v>
      </c>
      <c r="P122">
        <f>Model!P134</f>
        <v>0</v>
      </c>
      <c r="Q122">
        <f>Model!Q134</f>
        <v>0</v>
      </c>
      <c r="R122">
        <f>Model!R134</f>
        <v>0</v>
      </c>
      <c r="S122">
        <f>Model!S134</f>
        <v>0</v>
      </c>
      <c r="T122">
        <f>Model!T134</f>
        <v>0</v>
      </c>
      <c r="U122">
        <f>Model!U134</f>
        <v>0</v>
      </c>
      <c r="V122">
        <f>Model!V134</f>
        <v>0</v>
      </c>
      <c r="W122">
        <f>Model!W134</f>
        <v>0</v>
      </c>
      <c r="X122">
        <f>Model!X134</f>
        <v>0</v>
      </c>
      <c r="Y122">
        <f>Model!Y134</f>
        <v>0</v>
      </c>
      <c r="Z122">
        <f>Model!Z134</f>
        <v>0</v>
      </c>
      <c r="AA122">
        <f>Model!AA134</f>
        <v>0</v>
      </c>
      <c r="AB122">
        <f>Model!AB134</f>
        <v>0</v>
      </c>
      <c r="AC122">
        <f>Model!AC134</f>
        <v>0</v>
      </c>
      <c r="AD122">
        <f>Model!AD134</f>
        <v>0</v>
      </c>
      <c r="AE122">
        <f>Model!AE134</f>
        <v>0</v>
      </c>
      <c r="AF122">
        <f>Model!AF134</f>
        <v>0</v>
      </c>
      <c r="AG122">
        <f>Model!AG134</f>
        <v>0</v>
      </c>
      <c r="AH122">
        <f>Model!AH134</f>
        <v>0</v>
      </c>
      <c r="AI122">
        <f>Model!AI134</f>
        <v>0</v>
      </c>
      <c r="AJ122">
        <f>Model!AJ134</f>
        <v>0</v>
      </c>
      <c r="AL122">
        <f>Model!BG134</f>
        <v>0</v>
      </c>
      <c r="AM122">
        <f>Model!BH134</f>
        <v>0</v>
      </c>
      <c r="AN122">
        <f>Model!BI134</f>
        <v>0</v>
      </c>
      <c r="AO122">
        <f>Model!BJ134</f>
        <v>0</v>
      </c>
      <c r="AP122">
        <f>Model!BK134</f>
        <v>0</v>
      </c>
      <c r="AQ122">
        <f>Model!BL134</f>
        <v>0</v>
      </c>
      <c r="AR122">
        <f>Model!BM134</f>
        <v>0</v>
      </c>
      <c r="AS122">
        <f>Model!BN134</f>
        <v>0</v>
      </c>
      <c r="AT122">
        <f>Model!BO134</f>
        <v>0</v>
      </c>
      <c r="AU122">
        <f>Model!BP134</f>
        <v>0</v>
      </c>
      <c r="AV122">
        <f>Model!BQ134</f>
        <v>0</v>
      </c>
      <c r="AW122">
        <f>Model!BR134</f>
        <v>0</v>
      </c>
      <c r="AX122">
        <f>Model!BS134</f>
        <v>0</v>
      </c>
      <c r="AY122">
        <f>Model!BT134</f>
        <v>0</v>
      </c>
      <c r="AZ122">
        <f>Model!BU134</f>
        <v>0</v>
      </c>
    </row>
    <row r="123" spans="9:52" ht="11.25" customHeight="1">
      <c r="I123" t="str">
        <f>Model!I135</f>
        <v>NOPAT</v>
      </c>
      <c r="M123">
        <f>Model!M135</f>
        <v>0</v>
      </c>
      <c r="N123">
        <f>Model!N135</f>
        <v>0</v>
      </c>
      <c r="O123">
        <f>Model!O135</f>
        <v>0</v>
      </c>
      <c r="P123">
        <f>Model!P135</f>
        <v>0</v>
      </c>
      <c r="Q123">
        <f>Model!Q135</f>
        <v>0</v>
      </c>
      <c r="R123">
        <f>Model!R135</f>
        <v>0</v>
      </c>
      <c r="S123">
        <f>Model!S135</f>
        <v>0</v>
      </c>
      <c r="T123">
        <f>Model!T135</f>
        <v>0</v>
      </c>
      <c r="U123">
        <f>Model!U135</f>
        <v>0</v>
      </c>
      <c r="V123">
        <f>Model!V135</f>
        <v>0</v>
      </c>
      <c r="W123">
        <f>Model!W135</f>
        <v>0</v>
      </c>
      <c r="X123">
        <f>Model!X135</f>
        <v>0</v>
      </c>
      <c r="Y123">
        <f>Model!Y135</f>
        <v>0</v>
      </c>
      <c r="Z123">
        <f>Model!Z135</f>
        <v>0</v>
      </c>
      <c r="AA123">
        <f>Model!AA135</f>
        <v>0</v>
      </c>
      <c r="AB123">
        <f>Model!AB135</f>
        <v>0</v>
      </c>
      <c r="AC123">
        <f>Model!AC135</f>
        <v>0</v>
      </c>
      <c r="AD123">
        <f>Model!AD135</f>
        <v>0</v>
      </c>
      <c r="AE123">
        <f>Model!AE135</f>
        <v>0</v>
      </c>
      <c r="AF123">
        <f>Model!AF135</f>
        <v>0</v>
      </c>
      <c r="AG123">
        <f>Model!AG135</f>
        <v>0</v>
      </c>
      <c r="AH123">
        <f>Model!AH135</f>
        <v>0</v>
      </c>
      <c r="AI123">
        <f>Model!AI135</f>
        <v>0</v>
      </c>
      <c r="AJ123">
        <f>Model!AJ135</f>
        <v>0</v>
      </c>
      <c r="AL123">
        <f>Model!BG135</f>
        <v>0</v>
      </c>
      <c r="AM123">
        <f>Model!BH135</f>
        <v>0</v>
      </c>
      <c r="AN123">
        <f>Model!BI135</f>
        <v>0</v>
      </c>
      <c r="AO123">
        <f>Model!BJ135</f>
        <v>0</v>
      </c>
      <c r="AP123">
        <f>Model!BK135</f>
        <v>0</v>
      </c>
      <c r="AQ123">
        <f>Model!BL135</f>
        <v>0</v>
      </c>
      <c r="AR123">
        <f>Model!BM135</f>
        <v>0</v>
      </c>
      <c r="AS123">
        <f>Model!BN135</f>
        <v>0</v>
      </c>
      <c r="AT123">
        <f>Model!BO135</f>
        <v>0</v>
      </c>
      <c r="AU123">
        <f>Model!BP135</f>
        <v>0</v>
      </c>
      <c r="AV123">
        <f>Model!BQ135</f>
        <v>0</v>
      </c>
      <c r="AW123">
        <f>Model!BR135</f>
        <v>0</v>
      </c>
      <c r="AX123">
        <f>Model!BS135</f>
        <v>0</v>
      </c>
      <c r="AY123">
        <f>Model!BT135</f>
        <v>0</v>
      </c>
      <c r="AZ123">
        <f>Model!BU135</f>
        <v>0</v>
      </c>
    </row>
    <row r="124" spans="9:52" ht="11.25" customHeight="1">
      <c r="I124" t="str">
        <f>Model!I136</f>
        <v>Adjusted EBIT</v>
      </c>
      <c r="M124">
        <f>Model!M136</f>
        <v>-1.3130000000000024</v>
      </c>
      <c r="N124">
        <f>Model!N136</f>
        <v>-2.4190000000000005</v>
      </c>
      <c r="O124">
        <f>Model!O136</f>
        <v>-2.5799999999999983</v>
      </c>
      <c r="P124">
        <f>Model!P136</f>
        <v>-0.46299999999999919</v>
      </c>
      <c r="Q124">
        <f>Model!Q136</f>
        <v>-1.6989999999999981</v>
      </c>
      <c r="R124">
        <f>Model!R136</f>
        <v>-0.27499999999999858</v>
      </c>
      <c r="S124">
        <f>Model!S136</f>
        <v>-1.9290000000000056</v>
      </c>
      <c r="T124">
        <f>Model!T136</f>
        <v>-1.4629999999999974</v>
      </c>
      <c r="U124">
        <f>Model!U136</f>
        <v>-2.3120000000000012</v>
      </c>
      <c r="V124">
        <f>Model!V136</f>
        <v>-8.0000000000001847E-2</v>
      </c>
      <c r="W124">
        <f>Model!W136</f>
        <v>0.382000000000005</v>
      </c>
      <c r="X124">
        <f>Model!X136</f>
        <v>-0.61600000000000676</v>
      </c>
      <c r="Y124">
        <f>Model!Y136</f>
        <v>0.7260000000000062</v>
      </c>
      <c r="Z124">
        <f>Model!Z136</f>
        <v>5.1330000000000027</v>
      </c>
      <c r="AA124">
        <f>Model!AA136</f>
        <v>5.2339999999999947</v>
      </c>
      <c r="AB124">
        <f>Model!AB136</f>
        <v>6.8809999999999931</v>
      </c>
      <c r="AC124">
        <f>Model!AC136</f>
        <v>4.8519999999999897</v>
      </c>
      <c r="AD124">
        <f>Model!AD136</f>
        <v>13.209999999999994</v>
      </c>
      <c r="AE124">
        <f>Model!AE136</f>
        <v>15.462000000000003</v>
      </c>
      <c r="AF124">
        <f>Model!AF136</f>
        <v>19.808000000000007</v>
      </c>
      <c r="AG124">
        <f>Model!AG136</f>
        <v>2.7139999999999986</v>
      </c>
      <c r="AH124">
        <f>Model!AH136</f>
        <v>7.2529999999999859</v>
      </c>
      <c r="AI124">
        <f>Model!AI136</f>
        <v>-3.9879999999999995</v>
      </c>
      <c r="AJ124">
        <f>Model!AJ136</f>
        <v>2.5279999999999916</v>
      </c>
      <c r="AL124">
        <f>Model!BG136</f>
        <v>0</v>
      </c>
      <c r="AM124">
        <f>Model!BH136</f>
        <v>0</v>
      </c>
      <c r="AN124">
        <f>Model!BI136</f>
        <v>0</v>
      </c>
      <c r="AO124">
        <f>Model!BJ136</f>
        <v>-1.7759999999999962</v>
      </c>
      <c r="AP124">
        <f>Model!BK136</f>
        <v>-6.7749999999999986</v>
      </c>
      <c r="AQ124">
        <f>Model!BL136</f>
        <v>-5.3659999999999997</v>
      </c>
      <c r="AR124">
        <f>Model!BM136</f>
        <v>-2.6260000000000332</v>
      </c>
      <c r="AS124">
        <f>Model!BN136</f>
        <v>17.97399999999999</v>
      </c>
      <c r="AT124">
        <f>Model!BO136</f>
        <v>53.331999999999994</v>
      </c>
      <c r="AU124">
        <f>Model!BP136</f>
        <v>8.507000000000005</v>
      </c>
      <c r="AV124">
        <f>Model!BQ136</f>
        <v>81.280999999999949</v>
      </c>
      <c r="AW124">
        <f>Model!BR136</f>
        <v>115.178</v>
      </c>
      <c r="AX124">
        <f>Model!BS136</f>
        <v>140.98690435868912</v>
      </c>
      <c r="AY124">
        <f>Model!BT136</f>
        <v>202.11545056863531</v>
      </c>
      <c r="AZ124">
        <f>Model!BU136</f>
        <v>246.30959500711481</v>
      </c>
    </row>
    <row r="125" spans="9:52" ht="11.25" customHeight="1">
      <c r="I125" t="str">
        <f>Model!I137</f>
        <v>GAAP EBIT</v>
      </c>
      <c r="M125">
        <f>Model!M137</f>
        <v>-2.8660000000000032</v>
      </c>
      <c r="N125">
        <f>Model!N137</f>
        <v>-2.6760000000000002</v>
      </c>
      <c r="O125">
        <f>Model!O137</f>
        <v>-2.9469999999999992</v>
      </c>
      <c r="P125">
        <f>Model!P137</f>
        <v>-1.0170000000000012</v>
      </c>
      <c r="Q125">
        <f>Model!Q137</f>
        <v>-2.8019999999999996</v>
      </c>
      <c r="R125">
        <f>Model!R137</f>
        <v>-1.222999999999999</v>
      </c>
      <c r="S125">
        <f>Model!S137</f>
        <v>-3.3890000000000065</v>
      </c>
      <c r="T125">
        <f>Model!T137</f>
        <v>-8.7569999999999979</v>
      </c>
      <c r="U125">
        <f>Model!U137</f>
        <v>-9.7409999999999997</v>
      </c>
      <c r="V125">
        <f>Model!V137</f>
        <v>-1.9380000000000024</v>
      </c>
      <c r="W125">
        <f>Model!W137</f>
        <v>-1.9519999999999982</v>
      </c>
      <c r="X125">
        <f>Model!X137</f>
        <v>-5.1360000000000099</v>
      </c>
      <c r="Y125">
        <f>Model!Y137</f>
        <v>-4.5539999999999878</v>
      </c>
      <c r="Z125">
        <f>Model!Z137</f>
        <v>-0.57999999999999829</v>
      </c>
      <c r="AA125">
        <f>Model!AA137</f>
        <v>-1.7810000000000059</v>
      </c>
      <c r="AB125">
        <f>Model!AB137</f>
        <v>-1.9080000000000013</v>
      </c>
      <c r="AC125">
        <f>Model!AC137</f>
        <v>-4.6040000000000134</v>
      </c>
      <c r="AD125">
        <f>Model!AD137</f>
        <v>3.1269999999999953</v>
      </c>
      <c r="AE125">
        <f>Model!AE137</f>
        <v>4.5439999999999969</v>
      </c>
      <c r="AF125">
        <f>Model!AF137</f>
        <v>7.9920000000000044</v>
      </c>
      <c r="AG125">
        <f>Model!AG137</f>
        <v>-10.957000000000008</v>
      </c>
      <c r="AH125">
        <f>Model!AH137</f>
        <v>-8.2630000000000194</v>
      </c>
      <c r="AI125">
        <f>Model!AI137</f>
        <v>-19.671000000000006</v>
      </c>
      <c r="AJ125">
        <f>Model!AJ137</f>
        <v>-13.443999999999988</v>
      </c>
      <c r="AL125">
        <f>Model!BG137</f>
        <v>0</v>
      </c>
      <c r="AM125">
        <f>Model!BH137</f>
        <v>0</v>
      </c>
      <c r="AN125">
        <f>Model!BI137</f>
        <v>0</v>
      </c>
      <c r="AO125">
        <f>Model!BJ137</f>
        <v>-2.3329999999999949</v>
      </c>
      <c r="AP125">
        <f>Model!BK137</f>
        <v>-9.5059999999999931</v>
      </c>
      <c r="AQ125">
        <f>Model!BL137</f>
        <v>-16.170999999999992</v>
      </c>
      <c r="AR125">
        <f>Model!BM137</f>
        <v>-18.767000000000024</v>
      </c>
      <c r="AS125">
        <f>Model!BN137</f>
        <v>-8.8230000000000075</v>
      </c>
      <c r="AT125">
        <f>Model!BO137</f>
        <v>11.058999999999969</v>
      </c>
      <c r="AU125">
        <f>Model!BP137</f>
        <v>-52.335000000000036</v>
      </c>
      <c r="AV125">
        <f>Model!BQ137</f>
        <v>-4.9790000000000418</v>
      </c>
      <c r="AW125">
        <f>Model!BR137</f>
        <v>179.48500000000001</v>
      </c>
      <c r="AX125">
        <f>Model!BS137</f>
        <v>26.724254358689109</v>
      </c>
      <c r="AY125">
        <f>Model!BT137</f>
        <v>74.141282568635233</v>
      </c>
      <c r="AZ125">
        <f>Model!BU137</f>
        <v>105.53801020711467</v>
      </c>
    </row>
    <row r="126" spans="9:52" ht="11.25" customHeight="1">
      <c r="I126">
        <f>Model!I138</f>
        <v>0</v>
      </c>
      <c r="M126">
        <f>Model!M138</f>
        <v>0</v>
      </c>
      <c r="N126">
        <f>Model!N138</f>
        <v>0</v>
      </c>
      <c r="O126">
        <f>Model!O138</f>
        <v>0</v>
      </c>
      <c r="P126">
        <f>Model!P138</f>
        <v>0</v>
      </c>
      <c r="Q126">
        <f>Model!Q138</f>
        <v>0</v>
      </c>
      <c r="R126">
        <f>Model!R138</f>
        <v>0</v>
      </c>
      <c r="S126">
        <f>Model!S138</f>
        <v>0</v>
      </c>
      <c r="T126">
        <f>Model!T138</f>
        <v>0</v>
      </c>
      <c r="U126">
        <f>Model!U138</f>
        <v>0</v>
      </c>
      <c r="V126">
        <f>Model!V138</f>
        <v>0</v>
      </c>
      <c r="W126">
        <f>Model!W138</f>
        <v>0</v>
      </c>
      <c r="X126">
        <f>Model!X138</f>
        <v>0</v>
      </c>
      <c r="Y126">
        <f>Model!Y138</f>
        <v>0</v>
      </c>
      <c r="Z126">
        <f>Model!Z138</f>
        <v>0</v>
      </c>
      <c r="AA126">
        <f>Model!AA138</f>
        <v>0</v>
      </c>
      <c r="AB126">
        <f>Model!AB138</f>
        <v>0</v>
      </c>
      <c r="AC126">
        <f>Model!AC138</f>
        <v>0</v>
      </c>
      <c r="AD126">
        <f>Model!AD138</f>
        <v>0</v>
      </c>
      <c r="AE126">
        <f>Model!AE138</f>
        <v>0</v>
      </c>
      <c r="AF126">
        <f>Model!AF138</f>
        <v>0</v>
      </c>
      <c r="AG126">
        <f>Model!AG138</f>
        <v>0</v>
      </c>
      <c r="AH126">
        <f>Model!AH138</f>
        <v>0</v>
      </c>
      <c r="AI126">
        <f>Model!AI138</f>
        <v>0</v>
      </c>
      <c r="AJ126">
        <f>Model!AJ138</f>
        <v>0</v>
      </c>
      <c r="AL126">
        <f>Model!BG138</f>
        <v>0</v>
      </c>
      <c r="AM126">
        <f>Model!BH138</f>
        <v>0</v>
      </c>
      <c r="AN126">
        <f>Model!BI138</f>
        <v>0</v>
      </c>
      <c r="AO126">
        <f>Model!BJ138</f>
        <v>0</v>
      </c>
      <c r="AP126">
        <f>Model!BK138</f>
        <v>0</v>
      </c>
      <c r="AQ126">
        <f>Model!BL138</f>
        <v>0</v>
      </c>
      <c r="AR126">
        <f>Model!BM138</f>
        <v>0</v>
      </c>
      <c r="AS126">
        <f>Model!BN138</f>
        <v>0</v>
      </c>
      <c r="AT126">
        <f>Model!BO138</f>
        <v>0</v>
      </c>
      <c r="AU126">
        <f>Model!BP138</f>
        <v>0</v>
      </c>
      <c r="AV126">
        <f>Model!BQ138</f>
        <v>0</v>
      </c>
      <c r="AW126">
        <f>Model!BR138</f>
        <v>0</v>
      </c>
      <c r="AX126">
        <f>Model!BS138</f>
        <v>0</v>
      </c>
      <c r="AY126">
        <f>Model!BT138</f>
        <v>0</v>
      </c>
      <c r="AZ126">
        <f>Model!BU138</f>
        <v>0</v>
      </c>
    </row>
    <row r="127" spans="9:52" ht="11.25" customHeight="1">
      <c r="I127" t="str">
        <f>Model!I139</f>
        <v>Adjusted Taxes:</v>
      </c>
      <c r="M127">
        <f>Model!M139</f>
        <v>0</v>
      </c>
      <c r="N127">
        <f>Model!N139</f>
        <v>0</v>
      </c>
      <c r="O127">
        <f>Model!O139</f>
        <v>0</v>
      </c>
      <c r="P127">
        <f>Model!P139</f>
        <v>0</v>
      </c>
      <c r="Q127">
        <f>Model!Q139</f>
        <v>0</v>
      </c>
      <c r="R127">
        <f>Model!R139</f>
        <v>0</v>
      </c>
      <c r="S127">
        <f>Model!S139</f>
        <v>0</v>
      </c>
      <c r="T127">
        <f>Model!T139</f>
        <v>0</v>
      </c>
      <c r="U127">
        <f>Model!U139</f>
        <v>0</v>
      </c>
      <c r="V127">
        <f>Model!V139</f>
        <v>0</v>
      </c>
      <c r="W127">
        <f>Model!W139</f>
        <v>0</v>
      </c>
      <c r="X127">
        <f>Model!X139</f>
        <v>0</v>
      </c>
      <c r="Y127">
        <f>Model!Y139</f>
        <v>0</v>
      </c>
      <c r="Z127">
        <f>Model!Z139</f>
        <v>0</v>
      </c>
      <c r="AA127">
        <f>Model!AA139</f>
        <v>0</v>
      </c>
      <c r="AB127">
        <f>Model!AB139</f>
        <v>0</v>
      </c>
      <c r="AC127">
        <f>Model!AC139</f>
        <v>0</v>
      </c>
      <c r="AD127">
        <f>Model!AD139</f>
        <v>0</v>
      </c>
      <c r="AE127">
        <f>Model!AE139</f>
        <v>0</v>
      </c>
      <c r="AF127">
        <f>Model!AF139</f>
        <v>0</v>
      </c>
      <c r="AG127">
        <f>Model!AG139</f>
        <v>0</v>
      </c>
      <c r="AH127">
        <f>Model!AH139</f>
        <v>0</v>
      </c>
      <c r="AI127">
        <f>Model!AI139</f>
        <v>0</v>
      </c>
      <c r="AJ127">
        <f>Model!AJ139</f>
        <v>0</v>
      </c>
      <c r="AL127">
        <f>Model!BG139</f>
        <v>0</v>
      </c>
      <c r="AM127">
        <f>Model!BH139</f>
        <v>0</v>
      </c>
      <c r="AN127">
        <f>Model!BI139</f>
        <v>0</v>
      </c>
      <c r="AO127">
        <f>Model!BJ139</f>
        <v>0</v>
      </c>
      <c r="AP127">
        <f>Model!BK139</f>
        <v>0</v>
      </c>
      <c r="AQ127">
        <f>Model!BL139</f>
        <v>0</v>
      </c>
      <c r="AR127">
        <f>Model!BM139</f>
        <v>0</v>
      </c>
      <c r="AS127">
        <f>Model!BN139</f>
        <v>0</v>
      </c>
      <c r="AT127">
        <f>Model!BO139</f>
        <v>0</v>
      </c>
      <c r="AU127">
        <f>Model!BP139</f>
        <v>0</v>
      </c>
      <c r="AV127">
        <f>Model!BQ139</f>
        <v>0</v>
      </c>
      <c r="AW127">
        <f>Model!BR139</f>
        <v>0</v>
      </c>
      <c r="AX127">
        <f>Model!BS139</f>
        <v>0</v>
      </c>
      <c r="AY127">
        <f>Model!BT139</f>
        <v>0</v>
      </c>
      <c r="AZ127">
        <f>Model!BU139</f>
        <v>0</v>
      </c>
    </row>
    <row r="128" spans="9:52" ht="11.25" customHeight="1">
      <c r="I128" t="str">
        <f>Model!I140</f>
        <v>Taxes on EBIT (at 40%)</v>
      </c>
      <c r="M128">
        <f>Model!M140</f>
        <v>-1.1464000000000014</v>
      </c>
      <c r="N128">
        <f>Model!N140</f>
        <v>-1.0704</v>
      </c>
      <c r="O128">
        <f>Model!O140</f>
        <v>-1.1787999999999996</v>
      </c>
      <c r="P128">
        <f>Model!P140</f>
        <v>-0.40680000000000049</v>
      </c>
      <c r="Q128">
        <f>Model!Q140</f>
        <v>-1.1207999999999998</v>
      </c>
      <c r="R128">
        <f>Model!R140</f>
        <v>-0.48919999999999964</v>
      </c>
      <c r="S128">
        <f>Model!S140</f>
        <v>-1.3556000000000026</v>
      </c>
      <c r="T128">
        <f>Model!T140</f>
        <v>-3.5027999999999992</v>
      </c>
      <c r="U128">
        <f>Model!U140</f>
        <v>-3.8963999999999999</v>
      </c>
      <c r="V128">
        <f>Model!V140</f>
        <v>-0.775200000000001</v>
      </c>
      <c r="W128">
        <f>Model!W140</f>
        <v>-0.78079999999999927</v>
      </c>
      <c r="X128">
        <f>Model!X140</f>
        <v>-2.0544000000000042</v>
      </c>
      <c r="Y128">
        <f>Model!Y140</f>
        <v>-1.8215999999999952</v>
      </c>
      <c r="Z128">
        <f>Model!Z140</f>
        <v>-0.23199999999999932</v>
      </c>
      <c r="AA128">
        <f>Model!AA140</f>
        <v>-0.71240000000000236</v>
      </c>
      <c r="AB128">
        <f>Model!AB140</f>
        <v>-0.76320000000000054</v>
      </c>
      <c r="AC128">
        <f>Model!AC140</f>
        <v>-1.8416000000000055</v>
      </c>
      <c r="AD128">
        <f>Model!AD140</f>
        <v>1.2507999999999981</v>
      </c>
      <c r="AE128">
        <f>Model!AE140</f>
        <v>1.8175999999999988</v>
      </c>
      <c r="AF128">
        <f>Model!AF140</f>
        <v>3.1968000000000019</v>
      </c>
      <c r="AG128">
        <f>Model!AG140</f>
        <v>-4.3828000000000031</v>
      </c>
      <c r="AH128">
        <f>Model!AH140</f>
        <v>-3.3052000000000081</v>
      </c>
      <c r="AI128">
        <f>Model!AI140</f>
        <v>-7.8684000000000029</v>
      </c>
      <c r="AJ128">
        <f>Model!AJ140</f>
        <v>-5.3775999999999957</v>
      </c>
      <c r="AL128">
        <f>Model!BG140</f>
        <v>0</v>
      </c>
      <c r="AM128">
        <f>Model!BH140</f>
        <v>0</v>
      </c>
      <c r="AN128">
        <f>Model!BI140</f>
        <v>0</v>
      </c>
      <c r="AO128">
        <f>Model!BJ140</f>
        <v>-0.93319999999999803</v>
      </c>
      <c r="AP128">
        <f>Model!BK140</f>
        <v>-3.8023999999999973</v>
      </c>
      <c r="AQ128">
        <f>Model!BL140</f>
        <v>-6.4683999999999973</v>
      </c>
      <c r="AR128">
        <f>Model!BM140</f>
        <v>-7.5068000000000099</v>
      </c>
      <c r="AS128">
        <f>Model!BN140</f>
        <v>-3.529200000000003</v>
      </c>
      <c r="AT128">
        <f>Model!BO140</f>
        <v>4.423599999999988</v>
      </c>
      <c r="AU128">
        <f>Model!BP140</f>
        <v>-20.934000000000015</v>
      </c>
      <c r="AV128">
        <f>Model!BQ140</f>
        <v>-1.9916000000000169</v>
      </c>
      <c r="AW128">
        <f>Model!BR140</f>
        <v>71.794000000000011</v>
      </c>
      <c r="AX128">
        <f>Model!BS140</f>
        <v>10.689701743475645</v>
      </c>
      <c r="AY128">
        <f>Model!BT140</f>
        <v>29.656513027454096</v>
      </c>
      <c r="AZ128">
        <f>Model!BU140</f>
        <v>42.215204082845872</v>
      </c>
    </row>
    <row r="129" spans="9:52" ht="11.25" customHeight="1">
      <c r="I129">
        <f>Model!I141</f>
        <v>0</v>
      </c>
      <c r="M129">
        <f>Model!M141</f>
        <v>0</v>
      </c>
      <c r="N129">
        <f>Model!N141</f>
        <v>0</v>
      </c>
      <c r="O129">
        <f>Model!O141</f>
        <v>0</v>
      </c>
      <c r="P129">
        <f>Model!P141</f>
        <v>0</v>
      </c>
      <c r="Q129">
        <f>Model!Q141</f>
        <v>0</v>
      </c>
      <c r="R129">
        <f>Model!R141</f>
        <v>0</v>
      </c>
      <c r="S129">
        <f>Model!S141</f>
        <v>0</v>
      </c>
      <c r="T129">
        <f>Model!T141</f>
        <v>0</v>
      </c>
      <c r="U129">
        <f>Model!U141</f>
        <v>0</v>
      </c>
      <c r="V129">
        <f>Model!V141</f>
        <v>0</v>
      </c>
      <c r="W129">
        <f>Model!W141</f>
        <v>0</v>
      </c>
      <c r="X129">
        <f>Model!X141</f>
        <v>0</v>
      </c>
      <c r="Y129">
        <f>Model!Y141</f>
        <v>0</v>
      </c>
      <c r="Z129">
        <f>Model!Z141</f>
        <v>0</v>
      </c>
      <c r="AA129">
        <f>Model!AA141</f>
        <v>0</v>
      </c>
      <c r="AB129">
        <f>Model!AB141</f>
        <v>0</v>
      </c>
      <c r="AC129">
        <f>Model!AC141</f>
        <v>0</v>
      </c>
      <c r="AD129">
        <f>Model!AD141</f>
        <v>0</v>
      </c>
      <c r="AE129">
        <f>Model!AE141</f>
        <v>0</v>
      </c>
      <c r="AF129">
        <f>Model!AF141</f>
        <v>0</v>
      </c>
      <c r="AG129">
        <f>Model!AG141</f>
        <v>0</v>
      </c>
      <c r="AH129">
        <f>Model!AH141</f>
        <v>0</v>
      </c>
      <c r="AI129">
        <f>Model!AI141</f>
        <v>0</v>
      </c>
      <c r="AJ129">
        <f>Model!AJ141</f>
        <v>0</v>
      </c>
      <c r="AL129">
        <f>Model!BG141</f>
        <v>0</v>
      </c>
      <c r="AM129">
        <f>Model!BH141</f>
        <v>0</v>
      </c>
      <c r="AN129">
        <f>Model!BI141</f>
        <v>0</v>
      </c>
      <c r="AO129">
        <f>Model!BJ141</f>
        <v>0</v>
      </c>
      <c r="AP129">
        <f>Model!BK141</f>
        <v>0</v>
      </c>
      <c r="AQ129">
        <f>Model!BL141</f>
        <v>0</v>
      </c>
      <c r="AR129">
        <f>Model!BM141</f>
        <v>0</v>
      </c>
      <c r="AS129">
        <f>Model!BN141</f>
        <v>0</v>
      </c>
      <c r="AT129">
        <f>Model!BO141</f>
        <v>0</v>
      </c>
      <c r="AU129">
        <f>Model!BP141</f>
        <v>0</v>
      </c>
      <c r="AV129">
        <f>Model!BQ141</f>
        <v>0</v>
      </c>
      <c r="AW129">
        <f>Model!BR141</f>
        <v>0</v>
      </c>
      <c r="AX129">
        <f>Model!BS141</f>
        <v>0</v>
      </c>
      <c r="AY129">
        <f>Model!BT141</f>
        <v>0</v>
      </c>
      <c r="AZ129">
        <f>Model!BU141</f>
        <v>0</v>
      </c>
    </row>
    <row r="130" spans="9:52" ht="11.25" customHeight="1">
      <c r="I130" t="str">
        <f>Model!I142</f>
        <v>NOPAT</v>
      </c>
      <c r="M130">
        <f>Model!M142</f>
        <v>-1.7196000000000018</v>
      </c>
      <c r="N130">
        <f>Model!N142</f>
        <v>-1.6056000000000001</v>
      </c>
      <c r="O130">
        <f>Model!O142</f>
        <v>-1.7681999999999995</v>
      </c>
      <c r="P130">
        <f>Model!P142</f>
        <v>-0.61020000000000074</v>
      </c>
      <c r="Q130">
        <f>Model!Q142</f>
        <v>-1.6811999999999998</v>
      </c>
      <c r="R130">
        <f>Model!R142</f>
        <v>-0.73379999999999934</v>
      </c>
      <c r="S130">
        <f>Model!S142</f>
        <v>-2.0334000000000039</v>
      </c>
      <c r="T130">
        <f>Model!T142</f>
        <v>-5.2541999999999991</v>
      </c>
      <c r="U130">
        <f>Model!U142</f>
        <v>-5.8445999999999998</v>
      </c>
      <c r="V130">
        <f>Model!V142</f>
        <v>-1.1628000000000014</v>
      </c>
      <c r="W130">
        <f>Model!W142</f>
        <v>-1.1711999999999989</v>
      </c>
      <c r="X130">
        <f>Model!X142</f>
        <v>-3.0816000000000057</v>
      </c>
      <c r="Y130">
        <f>Model!Y142</f>
        <v>-2.7323999999999926</v>
      </c>
      <c r="Z130">
        <f>Model!Z142</f>
        <v>-0.34799999999999898</v>
      </c>
      <c r="AA130">
        <f>Model!AA142</f>
        <v>-1.0686000000000035</v>
      </c>
      <c r="AB130">
        <f>Model!AB142</f>
        <v>-1.1448000000000007</v>
      </c>
      <c r="AC130">
        <f>Model!AC142</f>
        <v>-2.762400000000008</v>
      </c>
      <c r="AD130">
        <f>Model!AD142</f>
        <v>1.8761999999999972</v>
      </c>
      <c r="AE130">
        <f>Model!AE142</f>
        <v>2.7263999999999982</v>
      </c>
      <c r="AF130">
        <f>Model!AF142</f>
        <v>4.795200000000003</v>
      </c>
      <c r="AG130">
        <f>Model!AG142</f>
        <v>-6.5742000000000047</v>
      </c>
      <c r="AH130">
        <f>Model!AH142</f>
        <v>-4.9578000000000113</v>
      </c>
      <c r="AI130">
        <f>Model!AI142</f>
        <v>-11.802600000000004</v>
      </c>
      <c r="AJ130">
        <f>Model!AJ142</f>
        <v>-8.0663999999999927</v>
      </c>
      <c r="AL130">
        <f>Model!BG142</f>
        <v>0</v>
      </c>
      <c r="AM130">
        <f>Model!BH142</f>
        <v>0</v>
      </c>
      <c r="AN130">
        <f>Model!BI142</f>
        <v>0</v>
      </c>
      <c r="AO130">
        <f>Model!BJ142</f>
        <v>-1.3997999999999968</v>
      </c>
      <c r="AP130">
        <f>Model!BK142</f>
        <v>-5.7035999999999962</v>
      </c>
      <c r="AQ130">
        <f>Model!BL142</f>
        <v>-9.702599999999995</v>
      </c>
      <c r="AR130">
        <f>Model!BM142</f>
        <v>-11.260200000000015</v>
      </c>
      <c r="AS130">
        <f>Model!BN142</f>
        <v>-5.2938000000000045</v>
      </c>
      <c r="AT130">
        <f>Model!BO142</f>
        <v>6.6353999999999811</v>
      </c>
      <c r="AU130">
        <f>Model!BP142</f>
        <v>-31.401000000000021</v>
      </c>
      <c r="AV130">
        <f>Model!BQ142</f>
        <v>-2.9874000000000249</v>
      </c>
      <c r="AW130">
        <f>Model!BR142</f>
        <v>107.691</v>
      </c>
      <c r="AX130">
        <f>Model!BS142</f>
        <v>16.034552615213464</v>
      </c>
      <c r="AY130">
        <f>Model!BT142</f>
        <v>44.484769541181137</v>
      </c>
      <c r="AZ130">
        <f>Model!BU142</f>
        <v>63.322806124268794</v>
      </c>
    </row>
    <row r="131" spans="9:52" ht="11.25" customHeight="1">
      <c r="I131">
        <f>Model!I143</f>
        <v>0</v>
      </c>
      <c r="M131">
        <f>Model!M143</f>
        <v>0</v>
      </c>
      <c r="N131">
        <f>Model!N143</f>
        <v>0</v>
      </c>
      <c r="O131">
        <f>Model!O143</f>
        <v>0</v>
      </c>
      <c r="P131">
        <f>Model!P143</f>
        <v>0</v>
      </c>
      <c r="Q131">
        <f>Model!Q143</f>
        <v>0</v>
      </c>
      <c r="R131">
        <f>Model!R143</f>
        <v>0</v>
      </c>
      <c r="S131">
        <f>Model!S143</f>
        <v>0</v>
      </c>
      <c r="T131">
        <f>Model!T143</f>
        <v>0</v>
      </c>
      <c r="U131">
        <f>Model!U143</f>
        <v>0</v>
      </c>
      <c r="V131">
        <f>Model!V143</f>
        <v>0</v>
      </c>
      <c r="W131">
        <f>Model!W143</f>
        <v>0</v>
      </c>
      <c r="X131">
        <f>Model!X143</f>
        <v>0</v>
      </c>
      <c r="Y131">
        <f>Model!Y143</f>
        <v>0</v>
      </c>
      <c r="Z131">
        <f>Model!Z143</f>
        <v>0</v>
      </c>
      <c r="AA131">
        <f>Model!AA143</f>
        <v>0</v>
      </c>
      <c r="AB131">
        <f>Model!AB143</f>
        <v>0</v>
      </c>
      <c r="AC131">
        <f>Model!AC143</f>
        <v>0</v>
      </c>
      <c r="AD131">
        <f>Model!AD143</f>
        <v>0</v>
      </c>
      <c r="AE131">
        <f>Model!AE143</f>
        <v>0</v>
      </c>
      <c r="AF131">
        <f>Model!AF143</f>
        <v>0</v>
      </c>
      <c r="AG131">
        <f>Model!AG143</f>
        <v>0</v>
      </c>
      <c r="AH131">
        <f>Model!AH143</f>
        <v>0</v>
      </c>
      <c r="AI131">
        <f>Model!AI143</f>
        <v>0</v>
      </c>
      <c r="AJ131">
        <f>Model!AJ143</f>
        <v>0</v>
      </c>
      <c r="AL131">
        <f>Model!BG143</f>
        <v>0</v>
      </c>
      <c r="AM131">
        <f>Model!BH143</f>
        <v>0</v>
      </c>
      <c r="AN131">
        <f>Model!BI143</f>
        <v>0</v>
      </c>
      <c r="AO131">
        <f>Model!BJ143</f>
        <v>0</v>
      </c>
      <c r="AP131">
        <f>Model!BK143</f>
        <v>0</v>
      </c>
      <c r="AQ131">
        <f>Model!BL143</f>
        <v>0</v>
      </c>
      <c r="AR131">
        <f>Model!BM143</f>
        <v>0</v>
      </c>
      <c r="AS131">
        <f>Model!BN143</f>
        <v>0</v>
      </c>
      <c r="AT131">
        <f>Model!BO143</f>
        <v>0</v>
      </c>
      <c r="AU131">
        <f>Model!BP143</f>
        <v>0</v>
      </c>
      <c r="AV131">
        <f>Model!BQ143</f>
        <v>0</v>
      </c>
      <c r="AW131">
        <f>Model!BR143</f>
        <v>0</v>
      </c>
      <c r="AX131">
        <f>Model!BS143</f>
        <v>0</v>
      </c>
      <c r="AY131">
        <f>Model!BT143</f>
        <v>0</v>
      </c>
      <c r="AZ131">
        <f>Model!BU143</f>
        <v>0</v>
      </c>
    </row>
    <row r="132" spans="9:52" ht="11.25" customHeight="1">
      <c r="I132" t="str">
        <f>Model!I144</f>
        <v>ROIC</v>
      </c>
      <c r="M132" t="str">
        <f>Model!M144</f>
        <v>NM</v>
      </c>
      <c r="N132" t="str">
        <f>Model!N144</f>
        <v>NM</v>
      </c>
      <c r="O132" t="str">
        <f>Model!O144</f>
        <v>NM</v>
      </c>
      <c r="P132">
        <f>Model!P144</f>
        <v>-8.6296139159949201E-2</v>
      </c>
      <c r="Q132" t="str">
        <f>Model!Q144</f>
        <v>NM</v>
      </c>
      <c r="R132" t="str">
        <f>Model!R144</f>
        <v>NM</v>
      </c>
      <c r="S132">
        <f>Model!S144</f>
        <v>-0.24846041055718504</v>
      </c>
      <c r="T132">
        <f>Model!T144</f>
        <v>-0.56164617851416354</v>
      </c>
      <c r="U132">
        <f>Model!U144</f>
        <v>-0.59155870445343983</v>
      </c>
      <c r="V132">
        <f>Model!V144</f>
        <v>-6.4360436154314526E-2</v>
      </c>
      <c r="W132">
        <f>Model!W144</f>
        <v>-5.9014410964426056E-2</v>
      </c>
      <c r="X132">
        <f>Model!X144</f>
        <v>-4.3363118272004578E-2</v>
      </c>
      <c r="Y132">
        <f>Model!Y144</f>
        <v>-3.8195619050281578E-2</v>
      </c>
      <c r="Z132">
        <f>Model!Z144</f>
        <v>-4.4393417527745747E-3</v>
      </c>
      <c r="AA132">
        <f>Model!AA144</f>
        <v>-1.1129395100816567E-2</v>
      </c>
      <c r="AB132">
        <f>Model!AB144</f>
        <v>-1.1741418036738093E-2</v>
      </c>
      <c r="AC132">
        <f>Model!AC144</f>
        <v>-2.5962406015037669E-2</v>
      </c>
      <c r="AD132">
        <f>Model!AD144</f>
        <v>7.9070139875170049E-3</v>
      </c>
      <c r="AE132">
        <f>Model!AE144</f>
        <v>1.0689836343247876E-2</v>
      </c>
      <c r="AF132">
        <f>Model!AF144</f>
        <v>2.0860758612589025E-2</v>
      </c>
      <c r="AG132">
        <f>Model!AG144</f>
        <v>-1.9492221434861394E-2</v>
      </c>
      <c r="AH132">
        <f>Model!AH144</f>
        <v>-1.4965316976871982E-2</v>
      </c>
      <c r="AI132">
        <f>Model!AI144</f>
        <v>-3.4675590236564698E-2</v>
      </c>
      <c r="AJ132">
        <f>Model!AJ144</f>
        <v>-2.4091534930396036E-2</v>
      </c>
      <c r="AL132">
        <f>Model!BG144</f>
        <v>0</v>
      </c>
      <c r="AM132">
        <f>Model!BH144</f>
        <v>0</v>
      </c>
      <c r="AN132">
        <f>Model!BI144</f>
        <v>0</v>
      </c>
      <c r="AO132">
        <f>Model!BJ144</f>
        <v>-0.53143507972664961</v>
      </c>
      <c r="AP132">
        <f>Model!BK144</f>
        <v>-0.80661858294442046</v>
      </c>
      <c r="AQ132">
        <f>Model!BL144</f>
        <v>-1.0371566007482627</v>
      </c>
      <c r="AR132">
        <f>Model!BM144</f>
        <v>-0.15844930697249016</v>
      </c>
      <c r="AS132">
        <f>Model!BN144</f>
        <v>-5.429482774535651E-2</v>
      </c>
      <c r="AT132">
        <f>Model!BO144</f>
        <v>2.8866257444522175E-2</v>
      </c>
      <c r="AU132">
        <f>Model!BP144</f>
        <v>-9.3783879840990667E-2</v>
      </c>
      <c r="AV132">
        <f>Model!BQ144</f>
        <v>-8.6522587857760062E-3</v>
      </c>
      <c r="AW132">
        <f>Model!BR144</f>
        <v>0.34836912745164639</v>
      </c>
      <c r="AX132">
        <f>Model!BS144</f>
        <v>5.52395042948466E-2</v>
      </c>
      <c r="AY132">
        <f>Model!BT144</f>
        <v>0.15120299800159553</v>
      </c>
      <c r="AZ132">
        <f>Model!BU144</f>
        <v>0.2131916992502747</v>
      </c>
    </row>
    <row r="133" spans="9:52" ht="11.25" customHeight="1">
      <c r="I133">
        <f>Model!I145</f>
        <v>0</v>
      </c>
      <c r="M133">
        <f>Model!M145</f>
        <v>0</v>
      </c>
      <c r="N133">
        <f>Model!N145</f>
        <v>0</v>
      </c>
      <c r="O133">
        <f>Model!O145</f>
        <v>0</v>
      </c>
      <c r="P133">
        <f>Model!P145</f>
        <v>0</v>
      </c>
      <c r="Q133">
        <f>Model!Q145</f>
        <v>0</v>
      </c>
      <c r="R133">
        <f>Model!R145</f>
        <v>0</v>
      </c>
      <c r="S133">
        <f>Model!S145</f>
        <v>0</v>
      </c>
      <c r="T133">
        <f>Model!T145</f>
        <v>0</v>
      </c>
      <c r="U133">
        <f>Model!U145</f>
        <v>0</v>
      </c>
      <c r="V133">
        <f>Model!V145</f>
        <v>0</v>
      </c>
      <c r="W133">
        <f>Model!W145</f>
        <v>0</v>
      </c>
      <c r="X133">
        <f>Model!X145</f>
        <v>0</v>
      </c>
      <c r="Y133">
        <f>Model!Y145</f>
        <v>0</v>
      </c>
      <c r="Z133">
        <f>Model!Z145</f>
        <v>0</v>
      </c>
      <c r="AA133">
        <f>Model!AA145</f>
        <v>0</v>
      </c>
      <c r="AB133">
        <f>Model!AB145</f>
        <v>0</v>
      </c>
      <c r="AC133">
        <f>Model!AC145</f>
        <v>0</v>
      </c>
      <c r="AD133">
        <f>Model!AD145</f>
        <v>0</v>
      </c>
      <c r="AE133">
        <f>Model!AE145</f>
        <v>0</v>
      </c>
      <c r="AF133">
        <f>Model!AF145</f>
        <v>0</v>
      </c>
      <c r="AG133">
        <f>Model!AG145</f>
        <v>0</v>
      </c>
      <c r="AH133">
        <f>Model!AH145</f>
        <v>0</v>
      </c>
      <c r="AI133">
        <f>Model!AI145</f>
        <v>0</v>
      </c>
      <c r="AJ133">
        <f>Model!AJ145</f>
        <v>0</v>
      </c>
      <c r="AL133">
        <f>Model!BG145</f>
        <v>0</v>
      </c>
      <c r="AM133">
        <f>Model!BH145</f>
        <v>0</v>
      </c>
      <c r="AN133">
        <f>Model!BI145</f>
        <v>0</v>
      </c>
      <c r="AO133">
        <f>Model!BJ145</f>
        <v>0</v>
      </c>
      <c r="AP133">
        <f>Model!BK145</f>
        <v>0</v>
      </c>
      <c r="AQ133">
        <f>Model!BL145</f>
        <v>0</v>
      </c>
      <c r="AR133">
        <f>Model!BM145</f>
        <v>0</v>
      </c>
      <c r="AS133">
        <f>Model!BN145</f>
        <v>0</v>
      </c>
      <c r="AT133">
        <f>Model!BO145</f>
        <v>0</v>
      </c>
      <c r="AU133">
        <f>Model!BP145</f>
        <v>0</v>
      </c>
      <c r="AV133">
        <f>Model!BQ145</f>
        <v>0</v>
      </c>
      <c r="AW133">
        <f>Model!BR145</f>
        <v>0</v>
      </c>
      <c r="AX133">
        <f>Model!BS145</f>
        <v>0</v>
      </c>
      <c r="AY133">
        <f>Model!BT145</f>
        <v>0</v>
      </c>
      <c r="AZ133">
        <f>Model!BU145</f>
        <v>0</v>
      </c>
    </row>
    <row r="134" spans="9:52" ht="11.25" customHeight="1">
      <c r="I134">
        <f>Model!I146</f>
        <v>0</v>
      </c>
      <c r="M134">
        <f>Model!M146</f>
        <v>0</v>
      </c>
      <c r="N134">
        <f>Model!N146</f>
        <v>0</v>
      </c>
      <c r="O134">
        <f>Model!O146</f>
        <v>0</v>
      </c>
      <c r="P134">
        <f>Model!P146</f>
        <v>0</v>
      </c>
      <c r="Q134">
        <f>Model!Q146</f>
        <v>0</v>
      </c>
      <c r="R134">
        <f>Model!R146</f>
        <v>0</v>
      </c>
      <c r="S134">
        <f>Model!S146</f>
        <v>0</v>
      </c>
      <c r="T134">
        <f>Model!T146</f>
        <v>0</v>
      </c>
      <c r="U134">
        <f>Model!U146</f>
        <v>0</v>
      </c>
      <c r="V134">
        <f>Model!V146</f>
        <v>0</v>
      </c>
      <c r="W134">
        <f>Model!W146</f>
        <v>0</v>
      </c>
      <c r="X134">
        <f>Model!X146</f>
        <v>0</v>
      </c>
      <c r="Y134">
        <f>Model!Y146</f>
        <v>0</v>
      </c>
      <c r="Z134">
        <f>Model!Z146</f>
        <v>0</v>
      </c>
      <c r="AA134">
        <f>Model!AA146</f>
        <v>0</v>
      </c>
      <c r="AB134">
        <f>Model!AB146</f>
        <v>0</v>
      </c>
      <c r="AC134">
        <f>Model!AC146</f>
        <v>0</v>
      </c>
      <c r="AD134">
        <f>Model!AD146</f>
        <v>0</v>
      </c>
      <c r="AE134">
        <f>Model!AE146</f>
        <v>0</v>
      </c>
      <c r="AF134">
        <f>Model!AF146</f>
        <v>0</v>
      </c>
      <c r="AG134">
        <f>Model!AG146</f>
        <v>0</v>
      </c>
      <c r="AH134">
        <f>Model!AH146</f>
        <v>0</v>
      </c>
      <c r="AI134">
        <f>Model!AI146</f>
        <v>0</v>
      </c>
      <c r="AJ134">
        <f>Model!AJ146</f>
        <v>0</v>
      </c>
      <c r="AL134">
        <f>Model!BG146</f>
        <v>0</v>
      </c>
      <c r="AM134">
        <f>Model!BH146</f>
        <v>0</v>
      </c>
      <c r="AN134">
        <f>Model!BI146</f>
        <v>0</v>
      </c>
      <c r="AO134">
        <f>Model!BJ146</f>
        <v>0</v>
      </c>
      <c r="AP134">
        <f>Model!BK146</f>
        <v>0</v>
      </c>
      <c r="AQ134">
        <f>Model!BL146</f>
        <v>0</v>
      </c>
      <c r="AR134">
        <f>Model!BM146</f>
        <v>0</v>
      </c>
      <c r="AS134">
        <f>Model!BN146</f>
        <v>0</v>
      </c>
      <c r="AT134">
        <f>Model!BO146</f>
        <v>0</v>
      </c>
      <c r="AU134">
        <f>Model!BP146</f>
        <v>0</v>
      </c>
      <c r="AV134">
        <f>Model!BQ146</f>
        <v>0</v>
      </c>
      <c r="AW134">
        <f>Model!BR146</f>
        <v>0</v>
      </c>
      <c r="AX134">
        <f>Model!BS146</f>
        <v>0</v>
      </c>
      <c r="AY134">
        <f>Model!BT146</f>
        <v>0</v>
      </c>
      <c r="AZ134">
        <f>Model!BU146</f>
        <v>0</v>
      </c>
    </row>
    <row r="135" spans="9:52" ht="11.25" customHeight="1">
      <c r="I135" t="str">
        <f>Model!I148</f>
        <v>(USD millions)</v>
      </c>
      <c r="M135">
        <f>Model!M148</f>
        <v>1</v>
      </c>
      <c r="N135">
        <f>Model!N148</f>
        <v>2</v>
      </c>
      <c r="O135">
        <f>Model!O148</f>
        <v>3</v>
      </c>
      <c r="P135">
        <f>Model!P148</f>
        <v>4</v>
      </c>
      <c r="Q135">
        <f>Model!Q148</f>
        <v>1</v>
      </c>
      <c r="R135">
        <f>Model!R148</f>
        <v>2</v>
      </c>
      <c r="S135">
        <f>Model!S148</f>
        <v>3</v>
      </c>
      <c r="T135">
        <f>Model!T148</f>
        <v>4</v>
      </c>
      <c r="U135">
        <f>Model!U148</f>
        <v>1</v>
      </c>
      <c r="V135">
        <f>Model!V148</f>
        <v>2</v>
      </c>
      <c r="W135">
        <f>Model!W148</f>
        <v>3</v>
      </c>
      <c r="X135">
        <f>Model!X148</f>
        <v>4</v>
      </c>
      <c r="Y135">
        <f>Model!Y148</f>
        <v>1</v>
      </c>
      <c r="Z135">
        <f>Model!Z148</f>
        <v>2</v>
      </c>
      <c r="AA135">
        <f>Model!AA148</f>
        <v>3</v>
      </c>
      <c r="AB135">
        <f>Model!AB148</f>
        <v>4</v>
      </c>
      <c r="AC135">
        <f>Model!AC148</f>
        <v>1</v>
      </c>
      <c r="AD135">
        <f>Model!AD148</f>
        <v>2</v>
      </c>
      <c r="AE135">
        <f>Model!AE148</f>
        <v>3</v>
      </c>
      <c r="AF135">
        <f>Model!AF148</f>
        <v>4</v>
      </c>
      <c r="AG135">
        <f>Model!AG148</f>
        <v>1</v>
      </c>
      <c r="AH135">
        <f>Model!AH148</f>
        <v>2</v>
      </c>
      <c r="AI135">
        <f>Model!AI148</f>
        <v>3</v>
      </c>
      <c r="AJ135">
        <f>Model!AJ148</f>
        <v>4</v>
      </c>
      <c r="AL135">
        <f>Model!BG148</f>
        <v>39082</v>
      </c>
      <c r="AM135">
        <f>Model!BH148</f>
        <v>39447</v>
      </c>
      <c r="AN135">
        <f>Model!BI148</f>
        <v>39813</v>
      </c>
      <c r="AO135">
        <f>Model!BJ148</f>
        <v>40178</v>
      </c>
      <c r="AP135">
        <f>Model!BK148</f>
        <v>40543</v>
      </c>
      <c r="AQ135">
        <f>Model!BL148</f>
        <v>40908</v>
      </c>
      <c r="AR135">
        <f>Model!BM148</f>
        <v>41274</v>
      </c>
      <c r="AS135">
        <f>Model!BN148</f>
        <v>41639</v>
      </c>
      <c r="AT135">
        <f>Model!BO148</f>
        <v>42004</v>
      </c>
      <c r="AU135">
        <f>Model!BP148</f>
        <v>42369</v>
      </c>
      <c r="AV135">
        <f>Model!BQ148</f>
        <v>42735</v>
      </c>
      <c r="AW135">
        <f>Model!BR148</f>
        <v>43100</v>
      </c>
      <c r="AX135">
        <f>Model!BS148</f>
        <v>43465</v>
      </c>
      <c r="AY135">
        <f>Model!BT148</f>
        <v>43830</v>
      </c>
      <c r="AZ135">
        <f>Model!BU148</f>
        <v>44196</v>
      </c>
    </row>
    <row r="136" spans="9:52" ht="11.25" customHeight="1">
      <c r="I136" t="str">
        <f>Model!I149</f>
        <v>Balance Sheet (USD millions)</v>
      </c>
      <c r="M136">
        <f>Model!M149</f>
        <v>0</v>
      </c>
      <c r="N136">
        <f>Model!N149</f>
        <v>0</v>
      </c>
      <c r="O136">
        <f>Model!O149</f>
        <v>0</v>
      </c>
      <c r="P136">
        <f>Model!P149</f>
        <v>0</v>
      </c>
      <c r="Q136">
        <f>Model!Q149</f>
        <v>0</v>
      </c>
      <c r="R136">
        <f>Model!R149</f>
        <v>0</v>
      </c>
      <c r="S136">
        <f>Model!S149</f>
        <v>0</v>
      </c>
      <c r="T136">
        <f>Model!T149</f>
        <v>0</v>
      </c>
      <c r="U136">
        <f>Model!U149</f>
        <v>0</v>
      </c>
      <c r="V136">
        <f>Model!V149</f>
        <v>0</v>
      </c>
      <c r="W136">
        <f>Model!W149</f>
        <v>0</v>
      </c>
      <c r="X136">
        <f>Model!X149</f>
        <v>0</v>
      </c>
      <c r="Y136">
        <f>Model!Y149</f>
        <v>0</v>
      </c>
      <c r="Z136">
        <f>Model!Z149</f>
        <v>0</v>
      </c>
      <c r="AA136">
        <f>Model!AA149</f>
        <v>0</v>
      </c>
      <c r="AB136">
        <f>Model!AB149</f>
        <v>0</v>
      </c>
      <c r="AC136">
        <f>Model!AC149</f>
        <v>0</v>
      </c>
      <c r="AD136">
        <f>Model!AD149</f>
        <v>0</v>
      </c>
      <c r="AE136">
        <f>Model!AE149</f>
        <v>0</v>
      </c>
      <c r="AF136">
        <f>Model!AF149</f>
        <v>0</v>
      </c>
      <c r="AG136">
        <f>Model!AG149</f>
        <v>0</v>
      </c>
      <c r="AH136">
        <f>Model!AH149</f>
        <v>0</v>
      </c>
      <c r="AI136">
        <f>Model!AI149</f>
        <v>0</v>
      </c>
      <c r="AJ136">
        <f>Model!AJ149</f>
        <v>0</v>
      </c>
      <c r="AL136">
        <f>Model!BG149</f>
        <v>0</v>
      </c>
      <c r="AM136">
        <f>Model!BH149</f>
        <v>0</v>
      </c>
      <c r="AN136">
        <f>Model!BI149</f>
        <v>0</v>
      </c>
      <c r="AO136">
        <f>Model!BJ149</f>
        <v>0</v>
      </c>
      <c r="AP136">
        <f>Model!BK149</f>
        <v>0</v>
      </c>
      <c r="AQ136">
        <f>Model!BL149</f>
        <v>0</v>
      </c>
      <c r="AR136">
        <f>Model!BM149</f>
        <v>0</v>
      </c>
      <c r="AS136">
        <f>Model!BN149</f>
        <v>0</v>
      </c>
      <c r="AT136">
        <f>Model!BO149</f>
        <v>0</v>
      </c>
      <c r="AU136">
        <f>Model!BP149</f>
        <v>0</v>
      </c>
      <c r="AV136">
        <f>Model!BQ149</f>
        <v>0</v>
      </c>
      <c r="AW136">
        <f>Model!BR149</f>
        <v>0</v>
      </c>
      <c r="AX136">
        <f>Model!BS149</f>
        <v>0</v>
      </c>
      <c r="AY136">
        <f>Model!BT149</f>
        <v>0</v>
      </c>
      <c r="AZ136">
        <f>Model!BU149</f>
        <v>0</v>
      </c>
    </row>
    <row r="137" spans="9:52" ht="11.25" customHeight="1">
      <c r="I137">
        <f>Model!I150</f>
        <v>0</v>
      </c>
      <c r="M137">
        <f>Model!M150</f>
        <v>0</v>
      </c>
      <c r="N137">
        <f>Model!N150</f>
        <v>0</v>
      </c>
      <c r="O137">
        <f>Model!O150</f>
        <v>0</v>
      </c>
      <c r="P137">
        <f>Model!P150</f>
        <v>0</v>
      </c>
      <c r="Q137">
        <f>Model!Q150</f>
        <v>0</v>
      </c>
      <c r="R137">
        <f>Model!R150</f>
        <v>0</v>
      </c>
      <c r="S137">
        <f>Model!S150</f>
        <v>0</v>
      </c>
      <c r="T137">
        <f>Model!T150</f>
        <v>0</v>
      </c>
      <c r="U137">
        <f>Model!U150</f>
        <v>0</v>
      </c>
      <c r="V137">
        <f>Model!V150</f>
        <v>0</v>
      </c>
      <c r="W137">
        <f>Model!W150</f>
        <v>0</v>
      </c>
      <c r="X137">
        <f>Model!X150</f>
        <v>0</v>
      </c>
      <c r="Y137">
        <f>Model!Y150</f>
        <v>0</v>
      </c>
      <c r="Z137">
        <f>Model!Z150</f>
        <v>0</v>
      </c>
      <c r="AA137">
        <f>Model!AA150</f>
        <v>0</v>
      </c>
      <c r="AB137">
        <f>Model!AB150</f>
        <v>0</v>
      </c>
      <c r="AC137">
        <f>Model!AC150</f>
        <v>0</v>
      </c>
      <c r="AD137">
        <f>Model!AD150</f>
        <v>0</v>
      </c>
      <c r="AE137">
        <f>Model!AE150</f>
        <v>0</v>
      </c>
      <c r="AF137">
        <f>Model!AF150</f>
        <v>0</v>
      </c>
      <c r="AG137">
        <f>Model!AG150</f>
        <v>0</v>
      </c>
      <c r="AH137">
        <f>Model!AH150</f>
        <v>0</v>
      </c>
      <c r="AI137">
        <f>Model!AI150</f>
        <v>0</v>
      </c>
      <c r="AJ137">
        <f>Model!AJ150</f>
        <v>0</v>
      </c>
      <c r="AL137">
        <f>Model!BG150</f>
        <v>0</v>
      </c>
      <c r="AM137">
        <f>Model!BH150</f>
        <v>0</v>
      </c>
      <c r="AN137">
        <f>Model!BI150</f>
        <v>0</v>
      </c>
      <c r="AO137">
        <f>Model!BJ150</f>
        <v>0</v>
      </c>
      <c r="AP137">
        <f>Model!BK150</f>
        <v>0</v>
      </c>
      <c r="AQ137">
        <f>Model!BL150</f>
        <v>0</v>
      </c>
      <c r="AR137">
        <f>Model!BM150</f>
        <v>0</v>
      </c>
      <c r="AS137">
        <f>Model!BN150</f>
        <v>0</v>
      </c>
      <c r="AT137">
        <f>Model!BO150</f>
        <v>0</v>
      </c>
      <c r="AU137">
        <f>Model!BP150</f>
        <v>0</v>
      </c>
      <c r="AV137">
        <f>Model!BQ150</f>
        <v>0</v>
      </c>
      <c r="AW137">
        <f>Model!BR150</f>
        <v>0</v>
      </c>
      <c r="AX137">
        <f>Model!BS150</f>
        <v>0</v>
      </c>
      <c r="AY137">
        <f>Model!BT150</f>
        <v>0</v>
      </c>
      <c r="AZ137">
        <f>Model!BU150</f>
        <v>0</v>
      </c>
    </row>
    <row r="138" spans="9:52" ht="11.25" customHeight="1">
      <c r="I138" t="str">
        <f>Model!I151</f>
        <v>Assets</v>
      </c>
      <c r="M138">
        <f>Model!M151</f>
        <v>0</v>
      </c>
      <c r="N138">
        <f>Model!N151</f>
        <v>0</v>
      </c>
      <c r="O138">
        <f>Model!O151</f>
        <v>0</v>
      </c>
      <c r="P138">
        <f>Model!P151</f>
        <v>0</v>
      </c>
      <c r="Q138">
        <f>Model!Q151</f>
        <v>0</v>
      </c>
      <c r="R138">
        <f>Model!R151</f>
        <v>0</v>
      </c>
      <c r="S138">
        <f>Model!S151</f>
        <v>0</v>
      </c>
      <c r="T138">
        <f>Model!T151</f>
        <v>0</v>
      </c>
      <c r="U138">
        <f>Model!U151</f>
        <v>0</v>
      </c>
      <c r="V138">
        <f>Model!V151</f>
        <v>0</v>
      </c>
      <c r="W138">
        <f>Model!W151</f>
        <v>0</v>
      </c>
      <c r="X138">
        <f>Model!X151</f>
        <v>0</v>
      </c>
      <c r="Y138">
        <f>Model!Y151</f>
        <v>0</v>
      </c>
      <c r="Z138">
        <f>Model!Z151</f>
        <v>0</v>
      </c>
      <c r="AA138">
        <f>Model!AA151</f>
        <v>0</v>
      </c>
      <c r="AB138">
        <f>Model!AB151</f>
        <v>0</v>
      </c>
      <c r="AC138">
        <f>Model!AC151</f>
        <v>0</v>
      </c>
      <c r="AD138">
        <f>Model!AD151</f>
        <v>0</v>
      </c>
      <c r="AE138">
        <f>Model!AE151</f>
        <v>0</v>
      </c>
      <c r="AF138">
        <f>Model!AF151</f>
        <v>0</v>
      </c>
      <c r="AG138">
        <f>Model!AG151</f>
        <v>0</v>
      </c>
      <c r="AH138">
        <f>Model!AH151</f>
        <v>0</v>
      </c>
      <c r="AI138">
        <f>Model!AI151</f>
        <v>0</v>
      </c>
      <c r="AJ138">
        <f>Model!AJ151</f>
        <v>0</v>
      </c>
      <c r="AL138">
        <f>Model!BG151</f>
        <v>0</v>
      </c>
      <c r="AM138">
        <f>Model!BH151</f>
        <v>0</v>
      </c>
      <c r="AN138">
        <f>Model!BI151</f>
        <v>0</v>
      </c>
      <c r="AO138">
        <f>Model!BJ151</f>
        <v>0</v>
      </c>
      <c r="AP138">
        <f>Model!BK151</f>
        <v>0</v>
      </c>
      <c r="AQ138">
        <f>Model!BL151</f>
        <v>0</v>
      </c>
      <c r="AR138">
        <f>Model!BM151</f>
        <v>0</v>
      </c>
      <c r="AS138">
        <f>Model!BN151</f>
        <v>0</v>
      </c>
      <c r="AT138">
        <f>Model!BO151</f>
        <v>0</v>
      </c>
      <c r="AU138">
        <f>Model!BP151</f>
        <v>0</v>
      </c>
      <c r="AV138">
        <f>Model!BQ151</f>
        <v>0</v>
      </c>
      <c r="AW138">
        <f>Model!BR151</f>
        <v>0</v>
      </c>
      <c r="AX138">
        <f>Model!BS151</f>
        <v>0</v>
      </c>
      <c r="AY138">
        <f>Model!BT151</f>
        <v>0</v>
      </c>
      <c r="AZ138">
        <f>Model!BU151</f>
        <v>0</v>
      </c>
    </row>
    <row r="139" spans="9:52" ht="11.25" customHeight="1">
      <c r="I139">
        <f>Model!I152</f>
        <v>0</v>
      </c>
      <c r="M139">
        <f>Model!M152</f>
        <v>0</v>
      </c>
      <c r="N139">
        <f>Model!N152</f>
        <v>0</v>
      </c>
      <c r="O139">
        <f>Model!O152</f>
        <v>0</v>
      </c>
      <c r="P139">
        <f>Model!P152</f>
        <v>0</v>
      </c>
      <c r="Q139">
        <f>Model!Q152</f>
        <v>0</v>
      </c>
      <c r="R139">
        <f>Model!R152</f>
        <v>0</v>
      </c>
      <c r="S139">
        <f>Model!S152</f>
        <v>0</v>
      </c>
      <c r="T139">
        <f>Model!T152</f>
        <v>0</v>
      </c>
      <c r="U139">
        <f>Model!U152</f>
        <v>0</v>
      </c>
      <c r="V139">
        <f>Model!V152</f>
        <v>0</v>
      </c>
      <c r="W139">
        <f>Model!W152</f>
        <v>0</v>
      </c>
      <c r="X139">
        <f>Model!X152</f>
        <v>0</v>
      </c>
      <c r="Y139">
        <f>Model!Y152</f>
        <v>0</v>
      </c>
      <c r="Z139">
        <f>Model!Z152</f>
        <v>0</v>
      </c>
      <c r="AA139">
        <f>Model!AA152</f>
        <v>0</v>
      </c>
      <c r="AB139">
        <f>Model!AB152</f>
        <v>0</v>
      </c>
      <c r="AC139">
        <f>Model!AC152</f>
        <v>0</v>
      </c>
      <c r="AD139">
        <f>Model!AD152</f>
        <v>0</v>
      </c>
      <c r="AE139">
        <f>Model!AE152</f>
        <v>0</v>
      </c>
      <c r="AF139">
        <f>Model!AF152</f>
        <v>0</v>
      </c>
      <c r="AG139">
        <f>Model!AG152</f>
        <v>0</v>
      </c>
      <c r="AH139">
        <f>Model!AH152</f>
        <v>0</v>
      </c>
      <c r="AI139">
        <f>Model!AI152</f>
        <v>0</v>
      </c>
      <c r="AJ139">
        <f>Model!AJ152</f>
        <v>0</v>
      </c>
      <c r="AL139">
        <f>Model!BG152</f>
        <v>0</v>
      </c>
      <c r="AM139">
        <f>Model!BH152</f>
        <v>0</v>
      </c>
      <c r="AN139">
        <f>Model!BI152</f>
        <v>0</v>
      </c>
      <c r="AO139">
        <f>Model!BJ152</f>
        <v>0</v>
      </c>
      <c r="AP139">
        <f>Model!BK152</f>
        <v>0</v>
      </c>
      <c r="AQ139">
        <f>Model!BL152</f>
        <v>0</v>
      </c>
      <c r="AR139">
        <f>Model!BM152</f>
        <v>0</v>
      </c>
      <c r="AS139">
        <f>Model!BN152</f>
        <v>0</v>
      </c>
      <c r="AT139">
        <f>Model!BO152</f>
        <v>0</v>
      </c>
      <c r="AU139">
        <f>Model!BP152</f>
        <v>0</v>
      </c>
      <c r="AV139">
        <f>Model!BQ152</f>
        <v>0</v>
      </c>
      <c r="AW139">
        <f>Model!BR152</f>
        <v>0</v>
      </c>
      <c r="AX139">
        <f>Model!BS152</f>
        <v>0</v>
      </c>
      <c r="AY139">
        <f>Model!BT152</f>
        <v>0</v>
      </c>
      <c r="AZ139">
        <f>Model!BU152</f>
        <v>0</v>
      </c>
    </row>
    <row r="140" spans="9:52" ht="11.25" customHeight="1">
      <c r="I140" t="str">
        <f>Model!I153</f>
        <v>Cash &amp; cash equivalents</v>
      </c>
      <c r="M140">
        <f>Model!M153</f>
        <v>0</v>
      </c>
      <c r="N140">
        <f>Model!N153</f>
        <v>0</v>
      </c>
      <c r="O140">
        <f>Model!O153</f>
        <v>29.465999999999998</v>
      </c>
      <c r="P140">
        <f>Model!P153</f>
        <v>27.074000000000002</v>
      </c>
      <c r="Q140">
        <f>Model!Q153</f>
        <v>26.765000000000001</v>
      </c>
      <c r="R140">
        <f>Model!R153</f>
        <v>25.143000000000001</v>
      </c>
      <c r="S140">
        <f>Model!S153</f>
        <v>23.128</v>
      </c>
      <c r="T140">
        <f>Model!T153</f>
        <v>21.736000000000001</v>
      </c>
      <c r="U140">
        <f>Model!U153</f>
        <v>130.73699999999999</v>
      </c>
      <c r="V140">
        <f>Model!V153</f>
        <v>122.613</v>
      </c>
      <c r="W140">
        <f>Model!W153</f>
        <v>123.083</v>
      </c>
      <c r="X140">
        <f>Model!X153</f>
        <v>95.123999999999981</v>
      </c>
      <c r="Y140">
        <f>Model!Y153</f>
        <v>94.498000000000005</v>
      </c>
      <c r="Z140">
        <f>Model!Z153</f>
        <v>96.794999999999987</v>
      </c>
      <c r="AA140">
        <f>Model!AA153</f>
        <v>101.21399999999998</v>
      </c>
      <c r="AB140">
        <f>Model!AB153</f>
        <v>389.76399999999995</v>
      </c>
      <c r="AC140">
        <f>Model!AC153</f>
        <v>399.31999999999994</v>
      </c>
      <c r="AD140">
        <f>Model!AD153</f>
        <v>290.38599999999997</v>
      </c>
      <c r="AE140">
        <f>Model!AE153</f>
        <v>290.56699999999995</v>
      </c>
      <c r="AF140">
        <f>Model!AF153</f>
        <v>247.31200000000001</v>
      </c>
      <c r="AG140">
        <f>Model!AG153</f>
        <v>172.62900000000002</v>
      </c>
      <c r="AH140">
        <f>Model!AH153</f>
        <v>181.46000000000004</v>
      </c>
      <c r="AI140">
        <f>Model!AI153</f>
        <v>171.80700000000004</v>
      </c>
      <c r="AJ140">
        <f>Model!AJ153</f>
        <v>171.61300000000008</v>
      </c>
      <c r="AL140">
        <f>Model!BG153</f>
        <v>0</v>
      </c>
      <c r="AM140">
        <f>Model!BH153</f>
        <v>0</v>
      </c>
      <c r="AN140">
        <f>Model!BI153</f>
        <v>0</v>
      </c>
      <c r="AO140">
        <f>Model!BJ153</f>
        <v>15.074</v>
      </c>
      <c r="AP140">
        <f>Model!BK153</f>
        <v>27.074000000000002</v>
      </c>
      <c r="AQ140">
        <f>Model!BL153</f>
        <v>21.736000000000001</v>
      </c>
      <c r="AR140">
        <f>Model!BM153</f>
        <v>95.123999999999981</v>
      </c>
      <c r="AS140">
        <f>Model!BN153</f>
        <v>389.76399999999995</v>
      </c>
      <c r="AT140">
        <f>Model!BO153</f>
        <v>247.31200000000001</v>
      </c>
      <c r="AU140">
        <f>Model!BP153</f>
        <v>171.61300000000008</v>
      </c>
      <c r="AV140">
        <f>Model!BQ153</f>
        <v>272.20100000000014</v>
      </c>
      <c r="AW140">
        <f>Model!BR153</f>
        <v>547.85000000000014</v>
      </c>
      <c r="AX140">
        <f>Model!BS153</f>
        <v>696.99721202096487</v>
      </c>
      <c r="AY140">
        <f>Model!BT153</f>
        <v>867.43822895010589</v>
      </c>
      <c r="AZ140">
        <f>Model!BU153</f>
        <v>1070.9487816243552</v>
      </c>
    </row>
    <row r="141" spans="9:52" ht="11.25" customHeight="1">
      <c r="I141" t="str">
        <f>Model!I154</f>
        <v>Restricted cash</v>
      </c>
      <c r="M141">
        <f>Model!M154</f>
        <v>0</v>
      </c>
      <c r="N141">
        <f>Model!N154</f>
        <v>0</v>
      </c>
      <c r="O141">
        <f>Model!O154</f>
        <v>0</v>
      </c>
      <c r="P141">
        <f>Model!P154</f>
        <v>0.216</v>
      </c>
      <c r="Q141">
        <f>Model!Q154</f>
        <v>0</v>
      </c>
      <c r="R141">
        <f>Model!R154</f>
        <v>0</v>
      </c>
      <c r="S141">
        <f>Model!S154</f>
        <v>0.216</v>
      </c>
      <c r="T141">
        <f>Model!T154</f>
        <v>0</v>
      </c>
      <c r="U141">
        <f>Model!U154</f>
        <v>0</v>
      </c>
      <c r="V141">
        <f>Model!V154</f>
        <v>0</v>
      </c>
      <c r="W141">
        <f>Model!W154</f>
        <v>2.9000000000000001E-2</v>
      </c>
      <c r="X141">
        <f>Model!X154</f>
        <v>0</v>
      </c>
      <c r="Y141">
        <f>Model!Y154</f>
        <v>0</v>
      </c>
      <c r="Z141">
        <f>Model!Z154</f>
        <v>0</v>
      </c>
      <c r="AA141">
        <f>Model!AA154</f>
        <v>0</v>
      </c>
      <c r="AB141">
        <f>Model!AB154</f>
        <v>0</v>
      </c>
      <c r="AC141">
        <f>Model!AC154</f>
        <v>0</v>
      </c>
      <c r="AD141">
        <f>Model!AD154</f>
        <v>0</v>
      </c>
      <c r="AE141">
        <f>Model!AE154</f>
        <v>0</v>
      </c>
      <c r="AF141">
        <f>Model!AF154</f>
        <v>118.498</v>
      </c>
      <c r="AG141">
        <f>Model!AG154</f>
        <v>158.60300000000001</v>
      </c>
      <c r="AH141">
        <f>Model!AH154</f>
        <v>186.673</v>
      </c>
      <c r="AI141">
        <f>Model!AI154</f>
        <v>197.13200000000001</v>
      </c>
      <c r="AJ141">
        <f>Model!AJ154</f>
        <v>199.214</v>
      </c>
      <c r="AL141">
        <f>Model!BG154</f>
        <v>0</v>
      </c>
      <c r="AM141">
        <f>Model!BH154</f>
        <v>0</v>
      </c>
      <c r="AN141">
        <f>Model!BI154</f>
        <v>0</v>
      </c>
      <c r="AO141">
        <f>Model!BJ154</f>
        <v>0</v>
      </c>
      <c r="AP141">
        <f>Model!BK154</f>
        <v>0.216</v>
      </c>
      <c r="AQ141">
        <f>Model!BL154</f>
        <v>0</v>
      </c>
      <c r="AR141">
        <f>Model!BM154</f>
        <v>0</v>
      </c>
      <c r="AS141">
        <f>Model!BN154</f>
        <v>0</v>
      </c>
      <c r="AT141">
        <f>Model!BO154</f>
        <v>118.498</v>
      </c>
      <c r="AU141">
        <f>Model!BP154</f>
        <v>199.214</v>
      </c>
      <c r="AV141">
        <f>Model!BQ154</f>
        <v>207.33199999999999</v>
      </c>
      <c r="AW141">
        <f>Model!BR154</f>
        <v>273.36599999999999</v>
      </c>
      <c r="AX141">
        <f>Model!BS154</f>
        <v>273.36599999999999</v>
      </c>
      <c r="AY141">
        <f>Model!BT154</f>
        <v>273.36599999999999</v>
      </c>
      <c r="AZ141">
        <f>Model!BU154</f>
        <v>273.36599999999999</v>
      </c>
    </row>
    <row r="142" spans="9:52" ht="11.25" customHeight="1">
      <c r="I142" t="str">
        <f>Model!I155</f>
        <v>Accounts receivable, net</v>
      </c>
      <c r="M142">
        <f>Model!M155</f>
        <v>0</v>
      </c>
      <c r="N142">
        <f>Model!N155</f>
        <v>0</v>
      </c>
      <c r="O142">
        <f>Model!O155</f>
        <v>0</v>
      </c>
      <c r="P142">
        <f>Model!P155</f>
        <v>6.6130000000000004</v>
      </c>
      <c r="Q142">
        <f>Model!Q155</f>
        <v>0</v>
      </c>
      <c r="R142">
        <f>Model!R155</f>
        <v>0</v>
      </c>
      <c r="S142">
        <f>Model!S155</f>
        <v>7.78</v>
      </c>
      <c r="T142">
        <f>Model!T155</f>
        <v>8.2569999999999997</v>
      </c>
      <c r="U142">
        <f>Model!U155</f>
        <v>7.1790000000000003</v>
      </c>
      <c r="V142">
        <f>Model!V155</f>
        <v>10.119999999999999</v>
      </c>
      <c r="W142">
        <f>Model!W155</f>
        <v>10.722</v>
      </c>
      <c r="X142">
        <f>Model!X155</f>
        <v>11.474</v>
      </c>
      <c r="Y142">
        <f>Model!Y155</f>
        <v>12.327</v>
      </c>
      <c r="Z142">
        <f>Model!Z155</f>
        <v>14.769</v>
      </c>
      <c r="AA142">
        <f>Model!AA155</f>
        <v>17.192</v>
      </c>
      <c r="AB142">
        <f>Model!AB155</f>
        <v>21.318000000000001</v>
      </c>
      <c r="AC142">
        <f>Model!AC155</f>
        <v>21.376000000000001</v>
      </c>
      <c r="AD142">
        <f>Model!AD155</f>
        <v>25.45</v>
      </c>
      <c r="AE142">
        <f>Model!AE155</f>
        <v>31.175000000000001</v>
      </c>
      <c r="AF142">
        <f>Model!AF155</f>
        <v>35.593000000000004</v>
      </c>
      <c r="AG142">
        <f>Model!AG155</f>
        <v>38.969000000000001</v>
      </c>
      <c r="AH142">
        <f>Model!AH155</f>
        <v>41.338999999999999</v>
      </c>
      <c r="AI142">
        <f>Model!AI155</f>
        <v>46.942</v>
      </c>
      <c r="AJ142">
        <f>Model!AJ155</f>
        <v>52.755000000000003</v>
      </c>
      <c r="AL142" t="str">
        <f>Model!BG155</f>
        <v>ND</v>
      </c>
      <c r="AM142" t="str">
        <f>Model!BH155</f>
        <v>ND</v>
      </c>
      <c r="AN142" t="str">
        <f>Model!BI155</f>
        <v>ND</v>
      </c>
      <c r="AO142">
        <f>Model!BJ155</f>
        <v>2.2370000000000001</v>
      </c>
      <c r="AP142">
        <f>Model!BK155</f>
        <v>6.6130000000000004</v>
      </c>
      <c r="AQ142">
        <f>Model!BL155</f>
        <v>8.2569999999999997</v>
      </c>
      <c r="AR142">
        <f>Model!BM155</f>
        <v>11.474</v>
      </c>
      <c r="AS142">
        <f>Model!BN155</f>
        <v>21.318000000000001</v>
      </c>
      <c r="AT142">
        <f>Model!BO155</f>
        <v>35.593000000000004</v>
      </c>
      <c r="AU142">
        <f>Model!BP155</f>
        <v>52.755000000000003</v>
      </c>
      <c r="AV142">
        <f>Model!BQ155</f>
        <v>68.724999999999994</v>
      </c>
      <c r="AW142">
        <f>Model!BR155</f>
        <v>76.173000000000002</v>
      </c>
      <c r="AX142">
        <f>Model!BS155</f>
        <v>89.826517871753623</v>
      </c>
      <c r="AY142">
        <f>Model!BT155</f>
        <v>101.82759083852046</v>
      </c>
      <c r="AZ142">
        <f>Model!BU155</f>
        <v>113.14892880988941</v>
      </c>
    </row>
    <row r="143" spans="9:52" ht="11.25" customHeight="1">
      <c r="I143" t="str">
        <f>Model!I156</f>
        <v>Prepaid expenses and other current assets</v>
      </c>
      <c r="M143">
        <f>Model!M156</f>
        <v>0</v>
      </c>
      <c r="N143">
        <f>Model!N156</f>
        <v>0</v>
      </c>
      <c r="O143">
        <f>Model!O156</f>
        <v>0</v>
      </c>
      <c r="P143">
        <f>Model!P156</f>
        <v>1.492</v>
      </c>
      <c r="Q143">
        <f>Model!Q156</f>
        <v>0</v>
      </c>
      <c r="R143">
        <f>Model!R156</f>
        <v>0</v>
      </c>
      <c r="S143">
        <f>Model!S156</f>
        <v>1.246</v>
      </c>
      <c r="T143">
        <f>Model!T156</f>
        <v>1.7330000000000001</v>
      </c>
      <c r="U143">
        <f>Model!U156</f>
        <v>2.508</v>
      </c>
      <c r="V143">
        <f>Model!V156</f>
        <v>2.63</v>
      </c>
      <c r="W143">
        <f>Model!W156</f>
        <v>2.867</v>
      </c>
      <c r="X143">
        <f>Model!X156</f>
        <v>4.9119999999999999</v>
      </c>
      <c r="Y143">
        <f>Model!Y156</f>
        <v>6.88</v>
      </c>
      <c r="Z143">
        <f>Model!Z156</f>
        <v>6.4409999999999998</v>
      </c>
      <c r="AA143">
        <f>Model!AA156</f>
        <v>6.8090000000000002</v>
      </c>
      <c r="AB143">
        <f>Model!AB156</f>
        <v>5.7519999999999998</v>
      </c>
      <c r="AC143">
        <f>Model!AC156</f>
        <v>9.0869999999999997</v>
      </c>
      <c r="AD143">
        <f>Model!AD156</f>
        <v>68.388999999999996</v>
      </c>
      <c r="AE143">
        <f>Model!AE156</f>
        <v>83.012</v>
      </c>
      <c r="AF143">
        <f>Model!AF156</f>
        <v>19.355</v>
      </c>
      <c r="AG143">
        <f>Model!AG156</f>
        <v>22.706</v>
      </c>
      <c r="AH143">
        <f>Model!AH156</f>
        <v>22.713000000000001</v>
      </c>
      <c r="AI143">
        <f>Model!AI156</f>
        <v>31.952000000000002</v>
      </c>
      <c r="AJ143">
        <f>Model!AJ156</f>
        <v>19.7</v>
      </c>
      <c r="AL143">
        <f>Model!BG156</f>
        <v>0</v>
      </c>
      <c r="AM143">
        <f>Model!BH156</f>
        <v>0</v>
      </c>
      <c r="AN143">
        <f>Model!BI156</f>
        <v>0</v>
      </c>
      <c r="AO143">
        <f>Model!BJ156</f>
        <v>0.89</v>
      </c>
      <c r="AP143">
        <f>Model!BK156</f>
        <v>1.492</v>
      </c>
      <c r="AQ143">
        <f>Model!BL156</f>
        <v>1.7330000000000001</v>
      </c>
      <c r="AR143">
        <f>Model!BM156</f>
        <v>4.9119999999999999</v>
      </c>
      <c r="AS143">
        <f>Model!BN156</f>
        <v>5.7519999999999998</v>
      </c>
      <c r="AT143">
        <f>Model!BO156</f>
        <v>19.355</v>
      </c>
      <c r="AU143">
        <f>Model!BP156</f>
        <v>19.7</v>
      </c>
      <c r="AV143">
        <f>Model!BQ156</f>
        <v>12.920999999999999</v>
      </c>
      <c r="AW143">
        <f>Model!BR156</f>
        <v>15.7</v>
      </c>
      <c r="AX143">
        <f>Model!BS156</f>
        <v>18.129105200046666</v>
      </c>
      <c r="AY143">
        <f>Model!BT156</f>
        <v>19.170073502492787</v>
      </c>
      <c r="AZ143">
        <f>Model!BU156</f>
        <v>20.441613547088203</v>
      </c>
    </row>
    <row r="144" spans="9:52" ht="11.25" customHeight="1">
      <c r="I144" t="str">
        <f>Model!I157</f>
        <v>Total Current Assets</v>
      </c>
      <c r="M144">
        <f>Model!M157</f>
        <v>0</v>
      </c>
      <c r="N144">
        <f>Model!N157</f>
        <v>0</v>
      </c>
      <c r="O144">
        <f>Model!O157</f>
        <v>29.465999999999998</v>
      </c>
      <c r="P144">
        <f>Model!P157</f>
        <v>35.395000000000003</v>
      </c>
      <c r="Q144">
        <f>Model!Q157</f>
        <v>26.765000000000001</v>
      </c>
      <c r="R144">
        <f>Model!R157</f>
        <v>25.143000000000001</v>
      </c>
      <c r="S144">
        <f>Model!S157</f>
        <v>32.370000000000005</v>
      </c>
      <c r="T144">
        <f>Model!T157</f>
        <v>31.726000000000003</v>
      </c>
      <c r="U144">
        <f>Model!U157</f>
        <v>140.42400000000001</v>
      </c>
      <c r="V144">
        <f>Model!V157</f>
        <v>135.363</v>
      </c>
      <c r="W144">
        <f>Model!W157</f>
        <v>136.70099999999999</v>
      </c>
      <c r="X144">
        <f>Model!X157</f>
        <v>111.50999999999999</v>
      </c>
      <c r="Y144">
        <f>Model!Y157</f>
        <v>113.705</v>
      </c>
      <c r="Z144">
        <f>Model!Z157</f>
        <v>118.005</v>
      </c>
      <c r="AA144">
        <f>Model!AA157</f>
        <v>125.21499999999997</v>
      </c>
      <c r="AB144">
        <f>Model!AB157</f>
        <v>416.83399999999995</v>
      </c>
      <c r="AC144">
        <f>Model!AC157</f>
        <v>429.7829999999999</v>
      </c>
      <c r="AD144">
        <f>Model!AD157</f>
        <v>384.22499999999997</v>
      </c>
      <c r="AE144">
        <f>Model!AE157</f>
        <v>404.75399999999996</v>
      </c>
      <c r="AF144">
        <f>Model!AF157</f>
        <v>420.75800000000004</v>
      </c>
      <c r="AG144">
        <f>Model!AG157</f>
        <v>392.90700000000004</v>
      </c>
      <c r="AH144">
        <f>Model!AH157</f>
        <v>432.18500000000006</v>
      </c>
      <c r="AI144">
        <f>Model!AI157</f>
        <v>447.83300000000008</v>
      </c>
      <c r="AJ144">
        <f>Model!AJ157</f>
        <v>443.2820000000001</v>
      </c>
      <c r="AL144">
        <f>Model!BG157</f>
        <v>0</v>
      </c>
      <c r="AM144">
        <f>Model!BH157</f>
        <v>0</v>
      </c>
      <c r="AN144">
        <f>Model!BI157</f>
        <v>0</v>
      </c>
      <c r="AO144">
        <f>Model!BJ157</f>
        <v>18.201000000000001</v>
      </c>
      <c r="AP144">
        <f>Model!BK157</f>
        <v>35.395000000000003</v>
      </c>
      <c r="AQ144">
        <f>Model!BL157</f>
        <v>31.726000000000003</v>
      </c>
      <c r="AR144">
        <f>Model!BM157</f>
        <v>111.50999999999999</v>
      </c>
      <c r="AS144">
        <f>Model!BN157</f>
        <v>416.83399999999995</v>
      </c>
      <c r="AT144">
        <f>Model!BO157</f>
        <v>420.75800000000004</v>
      </c>
      <c r="AU144">
        <f>Model!BP157</f>
        <v>443.2820000000001</v>
      </c>
      <c r="AV144">
        <f>Model!BQ157</f>
        <v>561.1790000000002</v>
      </c>
      <c r="AW144">
        <f>Model!BR157</f>
        <v>913.08900000000017</v>
      </c>
      <c r="AX144">
        <f>Model!BS157</f>
        <v>1078.3188350927653</v>
      </c>
      <c r="AY144">
        <f>Model!BT157</f>
        <v>1261.8018932911193</v>
      </c>
      <c r="AZ144">
        <f>Model!BU157</f>
        <v>1477.9053239813329</v>
      </c>
    </row>
    <row r="145" spans="9:52" ht="11.25" customHeight="1">
      <c r="I145">
        <f>Model!I158</f>
        <v>0</v>
      </c>
      <c r="M145">
        <f>Model!M158</f>
        <v>0</v>
      </c>
      <c r="N145">
        <f>Model!N158</f>
        <v>0</v>
      </c>
      <c r="O145">
        <f>Model!O158</f>
        <v>0</v>
      </c>
      <c r="P145">
        <f>Model!P158</f>
        <v>0</v>
      </c>
      <c r="Q145">
        <f>Model!Q158</f>
        <v>0</v>
      </c>
      <c r="R145">
        <f>Model!R158</f>
        <v>0</v>
      </c>
      <c r="S145">
        <f>Model!S158</f>
        <v>0</v>
      </c>
      <c r="T145">
        <f>Model!T158</f>
        <v>0</v>
      </c>
      <c r="U145">
        <f>Model!U158</f>
        <v>0</v>
      </c>
      <c r="V145">
        <f>Model!V158</f>
        <v>0</v>
      </c>
      <c r="W145">
        <f>Model!W158</f>
        <v>0</v>
      </c>
      <c r="X145">
        <f>Model!X158</f>
        <v>0</v>
      </c>
      <c r="Y145">
        <f>Model!Y158</f>
        <v>0</v>
      </c>
      <c r="Z145">
        <f>Model!Z158</f>
        <v>0</v>
      </c>
      <c r="AA145">
        <f>Model!AA158</f>
        <v>0</v>
      </c>
      <c r="AB145">
        <f>Model!AB158</f>
        <v>0</v>
      </c>
      <c r="AC145">
        <f>Model!AC158</f>
        <v>0</v>
      </c>
      <c r="AD145">
        <f>Model!AD158</f>
        <v>0</v>
      </c>
      <c r="AE145">
        <f>Model!AE158</f>
        <v>0</v>
      </c>
      <c r="AF145">
        <f>Model!AF158</f>
        <v>0</v>
      </c>
      <c r="AG145">
        <f>Model!AG158</f>
        <v>0</v>
      </c>
      <c r="AH145">
        <f>Model!AH158</f>
        <v>0</v>
      </c>
      <c r="AI145">
        <f>Model!AI158</f>
        <v>0</v>
      </c>
      <c r="AJ145">
        <f>Model!AJ158</f>
        <v>0</v>
      </c>
      <c r="AL145">
        <f>Model!BG158</f>
        <v>0</v>
      </c>
      <c r="AM145">
        <f>Model!BH158</f>
        <v>0</v>
      </c>
      <c r="AN145">
        <f>Model!BI158</f>
        <v>0</v>
      </c>
      <c r="AO145">
        <f>Model!BJ158</f>
        <v>0</v>
      </c>
      <c r="AP145">
        <f>Model!BK158</f>
        <v>0</v>
      </c>
      <c r="AQ145">
        <f>Model!BL158</f>
        <v>0</v>
      </c>
      <c r="AR145">
        <f>Model!BM158</f>
        <v>0</v>
      </c>
      <c r="AS145">
        <f>Model!BN158</f>
        <v>0</v>
      </c>
      <c r="AT145">
        <f>Model!BO158</f>
        <v>0</v>
      </c>
      <c r="AU145">
        <f>Model!BP158</f>
        <v>0</v>
      </c>
      <c r="AV145">
        <f>Model!BQ158</f>
        <v>0</v>
      </c>
      <c r="AW145">
        <f>Model!BR158</f>
        <v>0</v>
      </c>
      <c r="AX145">
        <f>Model!BS158</f>
        <v>0</v>
      </c>
      <c r="AY145">
        <f>Model!BT158</f>
        <v>0</v>
      </c>
      <c r="AZ145">
        <f>Model!BU158</f>
        <v>0</v>
      </c>
    </row>
    <row r="148" spans="9:52" ht="11.25" customHeight="1">
      <c r="I148" t="str">
        <f>Model!I159</f>
        <v>Property, equipment and software, net</v>
      </c>
      <c r="M148">
        <f>Model!M159</f>
        <v>0</v>
      </c>
      <c r="N148">
        <f>Model!N159</f>
        <v>0</v>
      </c>
      <c r="O148">
        <f>Model!O159</f>
        <v>0</v>
      </c>
      <c r="P148">
        <f>Model!P159</f>
        <v>5.2560000000000002</v>
      </c>
      <c r="Q148">
        <f>Model!Q159</f>
        <v>0</v>
      </c>
      <c r="R148">
        <f>Model!R159</f>
        <v>0</v>
      </c>
      <c r="S148">
        <f>Model!S159</f>
        <v>8.9540000000000006</v>
      </c>
      <c r="T148">
        <f>Model!T159</f>
        <v>9.8810000000000002</v>
      </c>
      <c r="U148">
        <f>Model!U159</f>
        <v>10.648999999999999</v>
      </c>
      <c r="V148">
        <f>Model!V159</f>
        <v>11.632</v>
      </c>
      <c r="W148">
        <f>Model!W159</f>
        <v>12.622999999999999</v>
      </c>
      <c r="X148">
        <f>Model!X159</f>
        <v>14.798999999999999</v>
      </c>
      <c r="Y148">
        <f>Model!Y159</f>
        <v>15.772</v>
      </c>
      <c r="Z148">
        <f>Model!Z159</f>
        <v>19.779</v>
      </c>
      <c r="AA148">
        <f>Model!AA159</f>
        <v>25.920999999999999</v>
      </c>
      <c r="AB148">
        <f>Model!AB159</f>
        <v>30.666</v>
      </c>
      <c r="AC148">
        <f>Model!AC159</f>
        <v>33.298000000000002</v>
      </c>
      <c r="AD148">
        <f>Model!AD159</f>
        <v>37.462000000000003</v>
      </c>
      <c r="AE148">
        <f>Model!AE159</f>
        <v>43.332999999999998</v>
      </c>
      <c r="AF148">
        <f>Model!AF159</f>
        <v>62.761000000000003</v>
      </c>
      <c r="AG148">
        <f>Model!AG159</f>
        <v>68.593999999999994</v>
      </c>
      <c r="AH148">
        <f>Model!AH159</f>
        <v>72.602999999999994</v>
      </c>
      <c r="AI148">
        <f>Model!AI159</f>
        <v>78.341999999999999</v>
      </c>
      <c r="AJ148">
        <f>Model!AJ159</f>
        <v>80.466999999999999</v>
      </c>
      <c r="AL148">
        <f>Model!BG159</f>
        <v>0</v>
      </c>
      <c r="AM148">
        <f>Model!BH159</f>
        <v>0</v>
      </c>
      <c r="AN148">
        <f>Model!BI159</f>
        <v>0</v>
      </c>
      <c r="AO148">
        <f>Model!BJ159</f>
        <v>2.1840000000000002</v>
      </c>
      <c r="AP148">
        <f>Model!BK159</f>
        <v>5.2560000000000002</v>
      </c>
      <c r="AQ148">
        <f>Model!BL159</f>
        <v>9.8810000000000002</v>
      </c>
      <c r="AR148">
        <f>Model!BM159</f>
        <v>14.798999999999999</v>
      </c>
      <c r="AS148">
        <f>Model!BN159</f>
        <v>30.666</v>
      </c>
      <c r="AT148">
        <f>Model!BO159</f>
        <v>62.761000000000003</v>
      </c>
      <c r="AU148">
        <f>Model!BP159</f>
        <v>80.466999999999999</v>
      </c>
      <c r="AV148">
        <f>Model!BQ159</f>
        <v>92.44</v>
      </c>
      <c r="AW148">
        <f>Model!BR159</f>
        <v>103.651</v>
      </c>
      <c r="AX148">
        <f>Model!BS159</f>
        <v>82.050999999999988</v>
      </c>
      <c r="AY148">
        <f>Model!BT159</f>
        <v>85.681290473341235</v>
      </c>
      <c r="AZ148">
        <f>Model!BU159</f>
        <v>89.793268801132001</v>
      </c>
    </row>
    <row r="149" spans="9:52" ht="11.25" customHeight="1">
      <c r="I149" t="str">
        <f>Model!I160</f>
        <v>Restricted cash</v>
      </c>
      <c r="M149">
        <f>Model!M160</f>
        <v>0</v>
      </c>
      <c r="N149">
        <f>Model!N160</f>
        <v>0</v>
      </c>
      <c r="O149">
        <f>Model!O160</f>
        <v>0</v>
      </c>
      <c r="P149">
        <f>Model!P160</f>
        <v>0</v>
      </c>
      <c r="Q149">
        <f>Model!Q160</f>
        <v>0</v>
      </c>
      <c r="R149">
        <f>Model!R160</f>
        <v>0</v>
      </c>
      <c r="S149">
        <f>Model!S160</f>
        <v>0.36499999999999999</v>
      </c>
      <c r="T149">
        <f>Model!T160</f>
        <v>0.36499999999999999</v>
      </c>
      <c r="U149">
        <f>Model!U160</f>
        <v>1.4970000000000001</v>
      </c>
      <c r="V149">
        <f>Model!V160</f>
        <v>6.3620000000000001</v>
      </c>
      <c r="W149">
        <f>Model!W160</f>
        <v>6.4009999999999998</v>
      </c>
      <c r="X149">
        <f>Model!X160</f>
        <v>6.4</v>
      </c>
      <c r="Y149">
        <f>Model!Y160</f>
        <v>6.3319999999999999</v>
      </c>
      <c r="Z149">
        <f>Model!Z160</f>
        <v>8.1020000000000003</v>
      </c>
      <c r="AA149">
        <f>Model!AA160</f>
        <v>8.1679999999999993</v>
      </c>
      <c r="AB149">
        <f>Model!AB160</f>
        <v>3.2469999999999999</v>
      </c>
      <c r="AC149">
        <f>Model!AC160</f>
        <v>3.6549999999999998</v>
      </c>
      <c r="AD149">
        <f>Model!AD160</f>
        <v>3.6840000000000002</v>
      </c>
      <c r="AE149">
        <f>Model!AE160</f>
        <v>12.986000000000001</v>
      </c>
      <c r="AF149">
        <f>Model!AF160</f>
        <v>17.943000000000001</v>
      </c>
      <c r="AG149">
        <f>Model!AG160</f>
        <v>17.899000000000001</v>
      </c>
      <c r="AH149">
        <f>Model!AH160</f>
        <v>16.285</v>
      </c>
      <c r="AI149">
        <f>Model!AI160</f>
        <v>16.253</v>
      </c>
      <c r="AJ149">
        <f>Model!AJ160</f>
        <v>16.486000000000001</v>
      </c>
      <c r="AL149">
        <f>Model!BG160</f>
        <v>0</v>
      </c>
      <c r="AM149">
        <f>Model!BH160</f>
        <v>0</v>
      </c>
      <c r="AN149">
        <f>Model!BI160</f>
        <v>0</v>
      </c>
      <c r="AO149">
        <f>Model!BJ160</f>
        <v>0.216</v>
      </c>
      <c r="AP149">
        <f>Model!BK160</f>
        <v>0</v>
      </c>
      <c r="AQ149">
        <f>Model!BL160</f>
        <v>0.36499999999999999</v>
      </c>
      <c r="AR149">
        <f>Model!BM160</f>
        <v>6.4</v>
      </c>
      <c r="AS149">
        <f>Model!BN160</f>
        <v>3.2469999999999999</v>
      </c>
      <c r="AT149">
        <f>Model!BO160</f>
        <v>17.943000000000001</v>
      </c>
      <c r="AU149">
        <f>Model!BP160</f>
        <v>16.486000000000001</v>
      </c>
      <c r="AV149">
        <f>Model!BQ160</f>
        <v>17.317</v>
      </c>
      <c r="AW149">
        <f>Model!BR160</f>
        <v>18.553999999999998</v>
      </c>
      <c r="AX149">
        <f>Model!BS160</f>
        <v>18.553999999999998</v>
      </c>
      <c r="AY149">
        <f>Model!BT160</f>
        <v>18.553999999999998</v>
      </c>
      <c r="AZ149">
        <f>Model!BU160</f>
        <v>18.553999999999998</v>
      </c>
    </row>
    <row r="150" spans="9:52" ht="11.25" customHeight="1">
      <c r="I150" t="str">
        <f>Model!I161</f>
        <v>Other assets</v>
      </c>
      <c r="M150">
        <f>Model!M161</f>
        <v>0</v>
      </c>
      <c r="N150">
        <f>Model!N161</f>
        <v>0</v>
      </c>
      <c r="O150">
        <f>Model!O161</f>
        <v>0</v>
      </c>
      <c r="P150">
        <f>Model!P161</f>
        <v>0.36399999999999999</v>
      </c>
      <c r="Q150">
        <f>Model!Q161</f>
        <v>0</v>
      </c>
      <c r="R150">
        <f>Model!R161</f>
        <v>0</v>
      </c>
      <c r="S150">
        <f>Model!S161</f>
        <v>0.46600000000000003</v>
      </c>
      <c r="T150">
        <f>Model!T161</f>
        <v>1.849</v>
      </c>
      <c r="U150">
        <f>Model!U161</f>
        <v>0.51700000000000002</v>
      </c>
      <c r="V150">
        <f>Model!V161</f>
        <v>0.49099999999999999</v>
      </c>
      <c r="W150">
        <f>Model!W161</f>
        <v>0.80700000000000005</v>
      </c>
      <c r="X150">
        <f>Model!X161</f>
        <v>54.987000000000002</v>
      </c>
      <c r="Y150">
        <f>Model!Y161</f>
        <v>51.484999999999999</v>
      </c>
      <c r="Z150">
        <f>Model!Z161</f>
        <v>51.655999999999999</v>
      </c>
      <c r="AA150">
        <f>Model!AA161</f>
        <v>65.025999999999996</v>
      </c>
      <c r="AB150">
        <f>Model!AB161</f>
        <v>65.230999999999995</v>
      </c>
      <c r="AC150">
        <f>Model!AC161</f>
        <v>66.738</v>
      </c>
      <c r="AD150">
        <f>Model!AD161</f>
        <v>127.785</v>
      </c>
      <c r="AE150">
        <f>Model!AE161</f>
        <v>116.32599999999999</v>
      </c>
      <c r="AF150">
        <f>Model!AF161</f>
        <v>128.18800000000002</v>
      </c>
      <c r="AG150">
        <f>Model!AG161</f>
        <v>236.48599999999999</v>
      </c>
      <c r="AH150">
        <f>Model!AH161</f>
        <v>220.31399999999999</v>
      </c>
      <c r="AI150">
        <f>Model!AI161</f>
        <v>221.97700000000003</v>
      </c>
      <c r="AJ150">
        <f>Model!AJ161</f>
        <v>215.19199999999998</v>
      </c>
      <c r="AL150">
        <f>Model!BG161</f>
        <v>0</v>
      </c>
      <c r="AM150">
        <f>Model!BH161</f>
        <v>0</v>
      </c>
      <c r="AN150">
        <f>Model!BI161</f>
        <v>0</v>
      </c>
      <c r="AO150">
        <f>Model!BJ161</f>
        <v>0.216</v>
      </c>
      <c r="AP150">
        <f>Model!BK161</f>
        <v>0.36399999999999999</v>
      </c>
      <c r="AQ150">
        <f>Model!BL161</f>
        <v>1.849</v>
      </c>
      <c r="AR150">
        <f>Model!BM161</f>
        <v>54.987000000000002</v>
      </c>
      <c r="AS150">
        <f>Model!BN161</f>
        <v>65.230999999999995</v>
      </c>
      <c r="AT150">
        <f>Model!BO161</f>
        <v>128.18800000000002</v>
      </c>
      <c r="AU150">
        <f>Model!BP161</f>
        <v>215.19199999999998</v>
      </c>
      <c r="AV150">
        <f>Model!BQ161</f>
        <v>214.26999999999998</v>
      </c>
      <c r="AW150">
        <f>Model!BR161</f>
        <v>181.21799999999999</v>
      </c>
      <c r="AX150">
        <f>Model!BS161</f>
        <v>181.21799999999999</v>
      </c>
      <c r="AY150">
        <f>Model!BT161</f>
        <v>181.21799999999999</v>
      </c>
      <c r="AZ150">
        <f>Model!BU161</f>
        <v>181.21799999999999</v>
      </c>
    </row>
    <row r="151" spans="9:52" ht="11.25" customHeight="1">
      <c r="I151" t="str">
        <f>Model!I162</f>
        <v>Total Assets</v>
      </c>
      <c r="M151">
        <f>Model!M162</f>
        <v>0</v>
      </c>
      <c r="N151">
        <f>Model!N162</f>
        <v>0</v>
      </c>
      <c r="O151">
        <f>Model!O162</f>
        <v>29.465999999999998</v>
      </c>
      <c r="P151">
        <f>Model!P162</f>
        <v>41.015000000000001</v>
      </c>
      <c r="Q151">
        <f>Model!Q162</f>
        <v>26.765000000000001</v>
      </c>
      <c r="R151">
        <f>Model!R162</f>
        <v>25.143000000000001</v>
      </c>
      <c r="S151">
        <f>Model!S162</f>
        <v>42.155000000000008</v>
      </c>
      <c r="T151">
        <f>Model!T162</f>
        <v>43.820999999999998</v>
      </c>
      <c r="U151">
        <f>Model!U162</f>
        <v>153.08700000000002</v>
      </c>
      <c r="V151">
        <f>Model!V162</f>
        <v>153.84800000000001</v>
      </c>
      <c r="W151">
        <f>Model!W162</f>
        <v>156.53199999999998</v>
      </c>
      <c r="X151">
        <f>Model!X162</f>
        <v>187.696</v>
      </c>
      <c r="Y151">
        <f>Model!Y162</f>
        <v>187.29399999999998</v>
      </c>
      <c r="Z151">
        <f>Model!Z162</f>
        <v>197.542</v>
      </c>
      <c r="AA151">
        <f>Model!AA162</f>
        <v>224.32999999999998</v>
      </c>
      <c r="AB151">
        <f>Model!AB162</f>
        <v>515.97799999999995</v>
      </c>
      <c r="AC151">
        <f>Model!AC162</f>
        <v>533.47399999999993</v>
      </c>
      <c r="AD151">
        <f>Model!AD162</f>
        <v>553.15599999999995</v>
      </c>
      <c r="AE151">
        <f>Model!AE162</f>
        <v>577.399</v>
      </c>
      <c r="AF151">
        <f>Model!AF162</f>
        <v>629.65000000000009</v>
      </c>
      <c r="AG151">
        <f>Model!AG162</f>
        <v>715.88599999999997</v>
      </c>
      <c r="AH151">
        <f>Model!AH162</f>
        <v>741.38700000000006</v>
      </c>
      <c r="AI151">
        <f>Model!AI162</f>
        <v>764.4050000000002</v>
      </c>
      <c r="AJ151">
        <f>Model!AJ162</f>
        <v>755.42700000000013</v>
      </c>
      <c r="AL151">
        <f>Model!BG162</f>
        <v>0</v>
      </c>
      <c r="AM151">
        <f>Model!BH162</f>
        <v>0</v>
      </c>
      <c r="AN151">
        <f>Model!BI162</f>
        <v>0</v>
      </c>
      <c r="AO151">
        <f>Model!BJ162</f>
        <v>20.817000000000004</v>
      </c>
      <c r="AP151">
        <f>Model!BK162</f>
        <v>41.015000000000001</v>
      </c>
      <c r="AQ151">
        <f>Model!BL162</f>
        <v>43.820999999999998</v>
      </c>
      <c r="AR151">
        <f>Model!BM162</f>
        <v>187.696</v>
      </c>
      <c r="AS151">
        <f>Model!BN162</f>
        <v>515.97799999999995</v>
      </c>
      <c r="AT151">
        <f>Model!BO162</f>
        <v>629.65000000000009</v>
      </c>
      <c r="AU151">
        <f>Model!BP162</f>
        <v>755.42700000000013</v>
      </c>
      <c r="AV151">
        <f>Model!BQ162</f>
        <v>885.20600000000013</v>
      </c>
      <c r="AW151">
        <f>Model!BR162</f>
        <v>1216.5120000000002</v>
      </c>
      <c r="AX151">
        <f>Model!BS162</f>
        <v>1360.1418350927654</v>
      </c>
      <c r="AY151">
        <f>Model!BT162</f>
        <v>1547.2551837644608</v>
      </c>
      <c r="AZ151">
        <f>Model!BU162</f>
        <v>1767.470592782465</v>
      </c>
    </row>
    <row r="152" spans="9:52" ht="11.25" customHeight="1">
      <c r="I152">
        <f>Model!I163</f>
        <v>0</v>
      </c>
      <c r="M152">
        <f>Model!M163</f>
        <v>0</v>
      </c>
      <c r="N152">
        <f>Model!N163</f>
        <v>0</v>
      </c>
      <c r="O152">
        <f>Model!O163</f>
        <v>0</v>
      </c>
      <c r="P152">
        <f>Model!P163</f>
        <v>0</v>
      </c>
      <c r="Q152">
        <f>Model!Q163</f>
        <v>0</v>
      </c>
      <c r="R152">
        <f>Model!R163</f>
        <v>0</v>
      </c>
      <c r="S152">
        <f>Model!S163</f>
        <v>0</v>
      </c>
      <c r="T152">
        <f>Model!T163</f>
        <v>0</v>
      </c>
      <c r="U152">
        <f>Model!U163</f>
        <v>0</v>
      </c>
      <c r="V152">
        <f>Model!V163</f>
        <v>0</v>
      </c>
      <c r="W152">
        <f>Model!W163</f>
        <v>0</v>
      </c>
      <c r="X152">
        <f>Model!X163</f>
        <v>0</v>
      </c>
      <c r="Y152">
        <f>Model!Y163</f>
        <v>0</v>
      </c>
      <c r="Z152">
        <f>Model!Z163</f>
        <v>0</v>
      </c>
      <c r="AA152">
        <f>Model!AA163</f>
        <v>0</v>
      </c>
      <c r="AB152">
        <f>Model!AB163</f>
        <v>0</v>
      </c>
      <c r="AC152">
        <f>Model!AC163</f>
        <v>0</v>
      </c>
      <c r="AD152">
        <f>Model!AD163</f>
        <v>0</v>
      </c>
      <c r="AE152">
        <f>Model!AE163</f>
        <v>0</v>
      </c>
      <c r="AF152">
        <f>Model!AF163</f>
        <v>0</v>
      </c>
      <c r="AG152">
        <f>Model!AG163</f>
        <v>0</v>
      </c>
      <c r="AH152">
        <f>Model!AH163</f>
        <v>0</v>
      </c>
      <c r="AI152">
        <f>Model!AI163</f>
        <v>0</v>
      </c>
      <c r="AJ152">
        <f>Model!AJ163</f>
        <v>0</v>
      </c>
      <c r="AL152">
        <f>Model!BG163</f>
        <v>0</v>
      </c>
      <c r="AM152">
        <f>Model!BH163</f>
        <v>0</v>
      </c>
      <c r="AN152">
        <f>Model!BI163</f>
        <v>0</v>
      </c>
      <c r="AO152">
        <f>Model!BJ163</f>
        <v>0</v>
      </c>
      <c r="AP152">
        <f>Model!BK163</f>
        <v>0</v>
      </c>
      <c r="AQ152">
        <f>Model!BL163</f>
        <v>0</v>
      </c>
      <c r="AR152">
        <f>Model!BM163</f>
        <v>0</v>
      </c>
      <c r="AS152">
        <f>Model!BN163</f>
        <v>0</v>
      </c>
      <c r="AT152">
        <f>Model!BO163</f>
        <v>0</v>
      </c>
      <c r="AU152">
        <f>Model!BP163</f>
        <v>0</v>
      </c>
      <c r="AV152">
        <f>Model!BQ163</f>
        <v>0</v>
      </c>
      <c r="AW152">
        <f>Model!BR163</f>
        <v>0</v>
      </c>
      <c r="AX152">
        <f>Model!BS163</f>
        <v>0</v>
      </c>
      <c r="AY152">
        <f>Model!BT163</f>
        <v>0</v>
      </c>
      <c r="AZ152">
        <f>Model!BU163</f>
        <v>0</v>
      </c>
    </row>
    <row r="153" spans="9:52" ht="11.25" customHeight="1">
      <c r="I153" t="str">
        <f>Model!I164</f>
        <v>Liabilities</v>
      </c>
      <c r="M153">
        <f>Model!M164</f>
        <v>0</v>
      </c>
      <c r="N153">
        <f>Model!N164</f>
        <v>0</v>
      </c>
      <c r="O153">
        <f>Model!O164</f>
        <v>0</v>
      </c>
      <c r="P153">
        <f>Model!P164</f>
        <v>0</v>
      </c>
      <c r="Q153">
        <f>Model!Q164</f>
        <v>0</v>
      </c>
      <c r="R153">
        <f>Model!R164</f>
        <v>0</v>
      </c>
      <c r="S153">
        <f>Model!S164</f>
        <v>0</v>
      </c>
      <c r="T153">
        <f>Model!T164</f>
        <v>0</v>
      </c>
      <c r="U153">
        <f>Model!U164</f>
        <v>0</v>
      </c>
      <c r="V153">
        <f>Model!V164</f>
        <v>0</v>
      </c>
      <c r="W153">
        <f>Model!W164</f>
        <v>0</v>
      </c>
      <c r="X153">
        <f>Model!X164</f>
        <v>0</v>
      </c>
      <c r="Y153">
        <f>Model!Y164</f>
        <v>0</v>
      </c>
      <c r="Z153">
        <f>Model!Z164</f>
        <v>0</v>
      </c>
      <c r="AA153">
        <f>Model!AA164</f>
        <v>0</v>
      </c>
      <c r="AB153">
        <f>Model!AB164</f>
        <v>0</v>
      </c>
      <c r="AC153">
        <f>Model!AC164</f>
        <v>0</v>
      </c>
      <c r="AD153">
        <f>Model!AD164</f>
        <v>0</v>
      </c>
      <c r="AE153">
        <f>Model!AE164</f>
        <v>0</v>
      </c>
      <c r="AF153">
        <f>Model!AF164</f>
        <v>0</v>
      </c>
      <c r="AG153">
        <f>Model!AG164</f>
        <v>0</v>
      </c>
      <c r="AH153">
        <f>Model!AH164</f>
        <v>0</v>
      </c>
      <c r="AI153">
        <f>Model!AI164</f>
        <v>0</v>
      </c>
      <c r="AJ153">
        <f>Model!AJ164</f>
        <v>0</v>
      </c>
      <c r="AL153">
        <f>Model!BG164</f>
        <v>0</v>
      </c>
      <c r="AM153">
        <f>Model!BH164</f>
        <v>0</v>
      </c>
      <c r="AN153">
        <f>Model!BI164</f>
        <v>0</v>
      </c>
      <c r="AO153">
        <f>Model!BJ164</f>
        <v>0</v>
      </c>
      <c r="AP153">
        <f>Model!BK164</f>
        <v>0</v>
      </c>
      <c r="AQ153">
        <f>Model!BL164</f>
        <v>0</v>
      </c>
      <c r="AR153">
        <f>Model!BM164</f>
        <v>0</v>
      </c>
      <c r="AS153">
        <f>Model!BN164</f>
        <v>0</v>
      </c>
      <c r="AT153">
        <f>Model!BO164</f>
        <v>0</v>
      </c>
      <c r="AU153">
        <f>Model!BP164</f>
        <v>0</v>
      </c>
      <c r="AV153">
        <f>Model!BQ164</f>
        <v>0</v>
      </c>
      <c r="AW153">
        <f>Model!BR164</f>
        <v>0</v>
      </c>
      <c r="AX153">
        <f>Model!BS164</f>
        <v>0</v>
      </c>
      <c r="AY153">
        <f>Model!BT164</f>
        <v>0</v>
      </c>
      <c r="AZ153">
        <f>Model!BU164</f>
        <v>0</v>
      </c>
    </row>
    <row r="154" spans="9:52" ht="11.25" customHeight="1">
      <c r="I154">
        <f>Model!I165</f>
        <v>0</v>
      </c>
      <c r="M154">
        <f>Model!M165</f>
        <v>0</v>
      </c>
      <c r="N154">
        <f>Model!N165</f>
        <v>0</v>
      </c>
      <c r="O154">
        <f>Model!O165</f>
        <v>0</v>
      </c>
      <c r="P154">
        <f>Model!P165</f>
        <v>0</v>
      </c>
      <c r="Q154">
        <f>Model!Q165</f>
        <v>0</v>
      </c>
      <c r="R154">
        <f>Model!R165</f>
        <v>0</v>
      </c>
      <c r="S154">
        <f>Model!S165</f>
        <v>0</v>
      </c>
      <c r="T154">
        <f>Model!T165</f>
        <v>0</v>
      </c>
      <c r="U154">
        <f>Model!U165</f>
        <v>0</v>
      </c>
      <c r="V154">
        <f>Model!V165</f>
        <v>0</v>
      </c>
      <c r="W154">
        <f>Model!W165</f>
        <v>0</v>
      </c>
      <c r="X154">
        <f>Model!X165</f>
        <v>0</v>
      </c>
      <c r="Y154">
        <f>Model!Y165</f>
        <v>0</v>
      </c>
      <c r="Z154">
        <f>Model!Z165</f>
        <v>0</v>
      </c>
      <c r="AA154">
        <f>Model!AA165</f>
        <v>0</v>
      </c>
      <c r="AB154">
        <f>Model!AB165</f>
        <v>0</v>
      </c>
      <c r="AC154">
        <f>Model!AC165</f>
        <v>0</v>
      </c>
      <c r="AD154">
        <f>Model!AD165</f>
        <v>0</v>
      </c>
      <c r="AE154">
        <f>Model!AE165</f>
        <v>0</v>
      </c>
      <c r="AF154">
        <f>Model!AF165</f>
        <v>0</v>
      </c>
      <c r="AG154">
        <f>Model!AG165</f>
        <v>0</v>
      </c>
      <c r="AH154">
        <f>Model!AH165</f>
        <v>0</v>
      </c>
      <c r="AI154">
        <f>Model!AI165</f>
        <v>0</v>
      </c>
      <c r="AJ154">
        <f>Model!AJ165</f>
        <v>0</v>
      </c>
      <c r="AL154">
        <f>Model!BG165</f>
        <v>0</v>
      </c>
      <c r="AM154">
        <f>Model!BH165</f>
        <v>0</v>
      </c>
      <c r="AN154">
        <f>Model!BI165</f>
        <v>0</v>
      </c>
      <c r="AO154">
        <f>Model!BJ165</f>
        <v>0</v>
      </c>
      <c r="AP154">
        <f>Model!BK165</f>
        <v>0</v>
      </c>
      <c r="AQ154">
        <f>Model!BL165</f>
        <v>0</v>
      </c>
      <c r="AR154">
        <f>Model!BM165</f>
        <v>0</v>
      </c>
      <c r="AS154">
        <f>Model!BN165</f>
        <v>0</v>
      </c>
      <c r="AT154">
        <f>Model!BO165</f>
        <v>0</v>
      </c>
      <c r="AU154">
        <f>Model!BP165</f>
        <v>0</v>
      </c>
      <c r="AV154">
        <f>Model!BQ165</f>
        <v>0</v>
      </c>
      <c r="AW154">
        <f>Model!BR165</f>
        <v>0</v>
      </c>
      <c r="AX154">
        <f>Model!BS165</f>
        <v>0</v>
      </c>
      <c r="AY154">
        <f>Model!BT165</f>
        <v>0</v>
      </c>
      <c r="AZ154">
        <f>Model!BU165</f>
        <v>0</v>
      </c>
    </row>
    <row r="155" spans="9:52" ht="11.25" customHeight="1">
      <c r="I155" t="str">
        <f>Model!I166</f>
        <v>Accounts payable</v>
      </c>
      <c r="M155">
        <f>Model!M166</f>
        <v>0</v>
      </c>
      <c r="N155">
        <f>Model!N166</f>
        <v>0</v>
      </c>
      <c r="O155">
        <f>Model!O166</f>
        <v>0</v>
      </c>
      <c r="P155">
        <f>Model!P166</f>
        <v>0.82199999999999995</v>
      </c>
      <c r="Q155">
        <f>Model!Q166</f>
        <v>0</v>
      </c>
      <c r="R155">
        <f>Model!R166</f>
        <v>0</v>
      </c>
      <c r="S155">
        <f>Model!S166</f>
        <v>1.5609999999999999</v>
      </c>
      <c r="T155">
        <f>Model!T166</f>
        <v>2.9729999999999999</v>
      </c>
      <c r="U155">
        <f>Model!U166</f>
        <v>3.4409999999999998</v>
      </c>
      <c r="V155">
        <f>Model!V166</f>
        <v>2.698</v>
      </c>
      <c r="W155">
        <f>Model!W166</f>
        <v>2.2210000000000001</v>
      </c>
      <c r="X155">
        <f>Model!X166</f>
        <v>2.2839999999999998</v>
      </c>
      <c r="Y155">
        <f>Model!Y166</f>
        <v>3.02</v>
      </c>
      <c r="Z155">
        <f>Model!Z166</f>
        <v>1.929</v>
      </c>
      <c r="AA155">
        <f>Model!AA166</f>
        <v>2.839</v>
      </c>
      <c r="AB155">
        <f>Model!AB166</f>
        <v>3.3639999999999999</v>
      </c>
      <c r="AC155">
        <f>Model!AC166</f>
        <v>1.5780000000000001</v>
      </c>
      <c r="AD155">
        <f>Model!AD166</f>
        <v>1.68</v>
      </c>
      <c r="AE155">
        <f>Model!AE166</f>
        <v>2.226</v>
      </c>
      <c r="AF155">
        <f>Model!AF166</f>
        <v>1.3979999999999999</v>
      </c>
      <c r="AG155">
        <f>Model!AG166</f>
        <v>1.8360000000000001</v>
      </c>
      <c r="AH155">
        <f>Model!AH166</f>
        <v>1.706</v>
      </c>
      <c r="AI155">
        <f>Model!AI166</f>
        <v>3.3050000000000002</v>
      </c>
      <c r="AJ155">
        <f>Model!AJ166</f>
        <v>3.3879999999999999</v>
      </c>
      <c r="AL155">
        <f>Model!BG166</f>
        <v>0</v>
      </c>
      <c r="AM155">
        <f>Model!BH166</f>
        <v>0</v>
      </c>
      <c r="AN155">
        <f>Model!BI166</f>
        <v>0</v>
      </c>
      <c r="AO155">
        <f>Model!BJ166</f>
        <v>0.27800000000000002</v>
      </c>
      <c r="AP155">
        <f>Model!BK166</f>
        <v>0.82199999999999995</v>
      </c>
      <c r="AQ155">
        <f>Model!BL166</f>
        <v>2.9729999999999999</v>
      </c>
      <c r="AR155">
        <f>Model!BM166</f>
        <v>2.2839999999999998</v>
      </c>
      <c r="AS155">
        <f>Model!BN166</f>
        <v>3.3639999999999999</v>
      </c>
      <c r="AT155">
        <f>Model!BO166</f>
        <v>1.3979999999999999</v>
      </c>
      <c r="AU155">
        <f>Model!BP166</f>
        <v>3.3879999999999999</v>
      </c>
      <c r="AV155">
        <f>Model!BQ166</f>
        <v>2.0030000000000001</v>
      </c>
      <c r="AW155">
        <f>Model!BR166</f>
        <v>9.0329999999999995</v>
      </c>
      <c r="AX155">
        <f>Model!BS166</f>
        <v>10.319740237651766</v>
      </c>
      <c r="AY155">
        <f>Model!BT166</f>
        <v>11.489106517532404</v>
      </c>
      <c r="AZ155">
        <f>Model!BU166</f>
        <v>12.52644906767374</v>
      </c>
    </row>
    <row r="156" spans="9:52" ht="11.25" customHeight="1">
      <c r="I156" t="str">
        <f>Model!I167</f>
        <v>Accrued liabilities</v>
      </c>
      <c r="M156">
        <f>Model!M167</f>
        <v>0</v>
      </c>
      <c r="N156">
        <f>Model!N167</f>
        <v>0</v>
      </c>
      <c r="O156">
        <f>Model!O167</f>
        <v>0</v>
      </c>
      <c r="P156">
        <f>Model!P167</f>
        <v>4.3929999999999998</v>
      </c>
      <c r="Q156">
        <f>Model!Q167</f>
        <v>0</v>
      </c>
      <c r="R156">
        <f>Model!R167</f>
        <v>0</v>
      </c>
      <c r="S156">
        <f>Model!S167</f>
        <v>7.2380000000000004</v>
      </c>
      <c r="T156">
        <f>Model!T167</f>
        <v>7.6849999999999996</v>
      </c>
      <c r="U156">
        <f>Model!U167</f>
        <v>8.0299999999999994</v>
      </c>
      <c r="V156">
        <f>Model!V167</f>
        <v>9.1940000000000008</v>
      </c>
      <c r="W156">
        <f>Model!W167</f>
        <v>10.11</v>
      </c>
      <c r="X156">
        <f>Model!X167</f>
        <v>16.367000000000001</v>
      </c>
      <c r="Y156">
        <f>Model!Y167</f>
        <v>15.153</v>
      </c>
      <c r="Z156">
        <f>Model!Z167</f>
        <v>17.689</v>
      </c>
      <c r="AA156">
        <f>Model!AA167</f>
        <v>22.04</v>
      </c>
      <c r="AB156">
        <f>Model!AB167</f>
        <v>22.728000000000002</v>
      </c>
      <c r="AC156">
        <f>Model!AC167</f>
        <v>23.992000000000001</v>
      </c>
      <c r="AD156">
        <f>Model!AD167</f>
        <v>21.620999999999999</v>
      </c>
      <c r="AE156">
        <f>Model!AE167</f>
        <v>27.414999999999999</v>
      </c>
      <c r="AF156">
        <f>Model!AF167</f>
        <v>29.581</v>
      </c>
      <c r="AG156">
        <f>Model!AG167</f>
        <v>41.887999999999998</v>
      </c>
      <c r="AH156">
        <f>Model!AH167</f>
        <v>37.716000000000001</v>
      </c>
      <c r="AI156">
        <f>Model!AI167</f>
        <v>49.246000000000002</v>
      </c>
      <c r="AJ156">
        <f>Model!AJ167</f>
        <v>43.457999999999998</v>
      </c>
      <c r="AL156">
        <f>Model!BG167</f>
        <v>0</v>
      </c>
      <c r="AM156">
        <f>Model!BH167</f>
        <v>0</v>
      </c>
      <c r="AN156">
        <f>Model!BI167</f>
        <v>0</v>
      </c>
      <c r="AO156">
        <f>Model!BJ167</f>
        <v>1.9339999999999999</v>
      </c>
      <c r="AP156">
        <f>Model!BK167</f>
        <v>4.3929999999999998</v>
      </c>
      <c r="AQ156">
        <f>Model!BL167</f>
        <v>7.6849999999999996</v>
      </c>
      <c r="AR156">
        <f>Model!BM167</f>
        <v>16.367000000000001</v>
      </c>
      <c r="AS156">
        <f>Model!BN167</f>
        <v>22.728000000000002</v>
      </c>
      <c r="AT156">
        <f>Model!BO167</f>
        <v>29.581</v>
      </c>
      <c r="AU156">
        <f>Model!BP167</f>
        <v>43.457999999999998</v>
      </c>
      <c r="AV156">
        <f>Model!BQ167</f>
        <v>55.082000000000001</v>
      </c>
      <c r="AW156">
        <f>Model!BR167</f>
        <v>73.665000000000006</v>
      </c>
      <c r="AX156">
        <f>Model!BS167</f>
        <v>85.062454430664829</v>
      </c>
      <c r="AY156">
        <f>Model!BT167</f>
        <v>85.251260078676964</v>
      </c>
      <c r="AZ156">
        <f>Model!BU167</f>
        <v>95.284423026703465</v>
      </c>
    </row>
    <row r="157" spans="9:52" ht="11.25" customHeight="1">
      <c r="I157" t="str">
        <f>Model!I168</f>
        <v>Deferred revenue</v>
      </c>
      <c r="M157">
        <f>Model!M168</f>
        <v>0</v>
      </c>
      <c r="N157">
        <f>Model!N168</f>
        <v>0</v>
      </c>
      <c r="O157">
        <f>Model!O168</f>
        <v>0</v>
      </c>
      <c r="P157">
        <f>Model!P168</f>
        <v>1.4390000000000001</v>
      </c>
      <c r="Q157">
        <f>Model!Q168</f>
        <v>0</v>
      </c>
      <c r="R157">
        <f>Model!R168</f>
        <v>0</v>
      </c>
      <c r="S157">
        <f>Model!S168</f>
        <v>1.8280000000000001</v>
      </c>
      <c r="T157">
        <f>Model!T168</f>
        <v>2.0720000000000001</v>
      </c>
      <c r="U157">
        <f>Model!U168</f>
        <v>0.999</v>
      </c>
      <c r="V157">
        <f>Model!V168</f>
        <v>1.276</v>
      </c>
      <c r="W157">
        <f>Model!W168</f>
        <v>1.2430000000000001</v>
      </c>
      <c r="X157">
        <f>Model!X168</f>
        <v>2.8559999999999999</v>
      </c>
      <c r="Y157">
        <f>Model!Y168</f>
        <v>3.0859999999999999</v>
      </c>
      <c r="Z157">
        <f>Model!Z168</f>
        <v>2.7389999999999999</v>
      </c>
      <c r="AA157">
        <f>Model!AA168</f>
        <v>2.2210000000000001</v>
      </c>
      <c r="AB157">
        <f>Model!AB168</f>
        <v>2.621</v>
      </c>
      <c r="AC157">
        <f>Model!AC168</f>
        <v>2.1840000000000002</v>
      </c>
      <c r="AD157">
        <f>Model!AD168</f>
        <v>2.1859999999999999</v>
      </c>
      <c r="AE157">
        <f>Model!AE168</f>
        <v>2.145</v>
      </c>
      <c r="AF157">
        <f>Model!AF168</f>
        <v>2.9940000000000002</v>
      </c>
      <c r="AG157">
        <f>Model!AG168</f>
        <v>3.657</v>
      </c>
      <c r="AH157">
        <f>Model!AH168</f>
        <v>2.5459999999999998</v>
      </c>
      <c r="AI157">
        <f>Model!AI168</f>
        <v>2.5430000000000001</v>
      </c>
      <c r="AJ157">
        <f>Model!AJ168</f>
        <v>2.931</v>
      </c>
      <c r="AL157">
        <f>Model!BG168</f>
        <v>0</v>
      </c>
      <c r="AM157">
        <f>Model!BH168</f>
        <v>0</v>
      </c>
      <c r="AN157">
        <f>Model!BI168</f>
        <v>0</v>
      </c>
      <c r="AO157">
        <f>Model!BJ168</f>
        <v>0.89700000000000002</v>
      </c>
      <c r="AP157">
        <f>Model!BK168</f>
        <v>1.4390000000000001</v>
      </c>
      <c r="AQ157">
        <f>Model!BL168</f>
        <v>2.0720000000000001</v>
      </c>
      <c r="AR157">
        <f>Model!BM168</f>
        <v>2.8559999999999999</v>
      </c>
      <c r="AS157">
        <f>Model!BN168</f>
        <v>2.621</v>
      </c>
      <c r="AT157">
        <f>Model!BO168</f>
        <v>2.9940000000000002</v>
      </c>
      <c r="AU157">
        <f>Model!BP168</f>
        <v>2.931</v>
      </c>
      <c r="AV157">
        <f>Model!BQ168</f>
        <v>3.3140000000000001</v>
      </c>
      <c r="AW157">
        <f>Model!BR168</f>
        <v>3.4689999999999999</v>
      </c>
      <c r="AX157">
        <f>Model!BS168</f>
        <v>4.123139026603007</v>
      </c>
      <c r="AY157">
        <f>Model!BT168</f>
        <v>15.504982978018443</v>
      </c>
      <c r="AZ157">
        <f>Model!BU168</f>
        <v>18.322088985824593</v>
      </c>
    </row>
    <row r="158" spans="9:52" ht="11.25" customHeight="1">
      <c r="I158" t="str">
        <f>Model!I169</f>
        <v>Total Current Liabilities</v>
      </c>
      <c r="M158">
        <f>Model!M169</f>
        <v>0</v>
      </c>
      <c r="N158">
        <f>Model!N169</f>
        <v>0</v>
      </c>
      <c r="O158">
        <f>Model!O169</f>
        <v>0</v>
      </c>
      <c r="P158">
        <f>Model!P169</f>
        <v>6.6539999999999999</v>
      </c>
      <c r="Q158">
        <f>Model!Q169</f>
        <v>0</v>
      </c>
      <c r="R158">
        <f>Model!R169</f>
        <v>0</v>
      </c>
      <c r="S158">
        <f>Model!S169</f>
        <v>10.626999999999999</v>
      </c>
      <c r="T158">
        <f>Model!T169</f>
        <v>12.73</v>
      </c>
      <c r="U158">
        <f>Model!U169</f>
        <v>12.47</v>
      </c>
      <c r="V158">
        <f>Model!V169</f>
        <v>13.168000000000001</v>
      </c>
      <c r="W158">
        <f>Model!W169</f>
        <v>13.574</v>
      </c>
      <c r="X158">
        <f>Model!X169</f>
        <v>21.506999999999998</v>
      </c>
      <c r="Y158">
        <f>Model!Y169</f>
        <v>21.259</v>
      </c>
      <c r="Z158">
        <f>Model!Z169</f>
        <v>22.356999999999999</v>
      </c>
      <c r="AA158">
        <f>Model!AA169</f>
        <v>27.099999999999998</v>
      </c>
      <c r="AB158">
        <f>Model!AB169</f>
        <v>28.713000000000001</v>
      </c>
      <c r="AC158">
        <f>Model!AC169</f>
        <v>27.754000000000001</v>
      </c>
      <c r="AD158">
        <f>Model!AD169</f>
        <v>25.486999999999998</v>
      </c>
      <c r="AE158">
        <f>Model!AE169</f>
        <v>31.785999999999998</v>
      </c>
      <c r="AF158">
        <f>Model!AF169</f>
        <v>33.972999999999999</v>
      </c>
      <c r="AG158">
        <f>Model!AG169</f>
        <v>47.381</v>
      </c>
      <c r="AH158">
        <f>Model!AH169</f>
        <v>41.968000000000004</v>
      </c>
      <c r="AI158">
        <f>Model!AI169</f>
        <v>55.094000000000001</v>
      </c>
      <c r="AJ158">
        <f>Model!AJ169</f>
        <v>49.776999999999994</v>
      </c>
      <c r="AL158">
        <f>Model!BG169</f>
        <v>0</v>
      </c>
      <c r="AM158">
        <f>Model!BH169</f>
        <v>0</v>
      </c>
      <c r="AN158">
        <f>Model!BI169</f>
        <v>0</v>
      </c>
      <c r="AO158">
        <f>Model!BJ169</f>
        <v>3.109</v>
      </c>
      <c r="AP158">
        <f>Model!BK169</f>
        <v>6.6539999999999999</v>
      </c>
      <c r="AQ158">
        <f>Model!BL169</f>
        <v>12.73</v>
      </c>
      <c r="AR158">
        <f>Model!BM169</f>
        <v>21.506999999999998</v>
      </c>
      <c r="AS158">
        <f>Model!BN169</f>
        <v>28.713000000000001</v>
      </c>
      <c r="AT158">
        <f>Model!BO169</f>
        <v>33.972999999999999</v>
      </c>
      <c r="AU158">
        <f>Model!BP169</f>
        <v>49.776999999999994</v>
      </c>
      <c r="AV158">
        <f>Model!BQ169</f>
        <v>60.399000000000001</v>
      </c>
      <c r="AW158">
        <f>Model!BR169</f>
        <v>86.167000000000002</v>
      </c>
      <c r="AX158">
        <f>Model!BS169</f>
        <v>99.505333694919614</v>
      </c>
      <c r="AY158">
        <f>Model!BT169</f>
        <v>112.24534957422782</v>
      </c>
      <c r="AZ158">
        <f>Model!BU169</f>
        <v>126.1329610802018</v>
      </c>
    </row>
    <row r="159" spans="9:52" ht="11.25" customHeight="1">
      <c r="I159">
        <f>Model!I170</f>
        <v>0</v>
      </c>
      <c r="M159">
        <f>Model!M170</f>
        <v>0</v>
      </c>
      <c r="N159">
        <f>Model!N170</f>
        <v>0</v>
      </c>
      <c r="O159">
        <f>Model!O170</f>
        <v>0</v>
      </c>
      <c r="P159">
        <f>Model!P170</f>
        <v>0</v>
      </c>
      <c r="Q159">
        <f>Model!Q170</f>
        <v>0</v>
      </c>
      <c r="R159">
        <f>Model!R170</f>
        <v>0</v>
      </c>
      <c r="S159">
        <f>Model!S170</f>
        <v>0</v>
      </c>
      <c r="T159">
        <f>Model!T170</f>
        <v>0</v>
      </c>
      <c r="U159">
        <f>Model!U170</f>
        <v>0</v>
      </c>
      <c r="V159">
        <f>Model!V170</f>
        <v>0</v>
      </c>
      <c r="W159">
        <f>Model!W170</f>
        <v>0</v>
      </c>
      <c r="X159">
        <f>Model!X170</f>
        <v>0</v>
      </c>
      <c r="Y159">
        <f>Model!Y170</f>
        <v>0</v>
      </c>
      <c r="Z159">
        <f>Model!Z170</f>
        <v>0</v>
      </c>
      <c r="AA159">
        <f>Model!AA170</f>
        <v>0</v>
      </c>
      <c r="AB159">
        <f>Model!AB170</f>
        <v>0</v>
      </c>
      <c r="AC159">
        <f>Model!AC170</f>
        <v>0</v>
      </c>
      <c r="AD159">
        <f>Model!AD170</f>
        <v>0</v>
      </c>
      <c r="AE159">
        <f>Model!AE170</f>
        <v>0</v>
      </c>
      <c r="AF159">
        <f>Model!AF170</f>
        <v>0</v>
      </c>
      <c r="AG159">
        <f>Model!AG170</f>
        <v>0</v>
      </c>
      <c r="AH159">
        <f>Model!AH170</f>
        <v>0</v>
      </c>
      <c r="AI159">
        <f>Model!AI170</f>
        <v>0</v>
      </c>
      <c r="AJ159">
        <f>Model!AJ170</f>
        <v>0</v>
      </c>
      <c r="AL159">
        <f>Model!BG170</f>
        <v>0</v>
      </c>
      <c r="AM159">
        <f>Model!BH170</f>
        <v>0</v>
      </c>
      <c r="AN159">
        <f>Model!BI170</f>
        <v>0</v>
      </c>
      <c r="AO159">
        <f>Model!BJ170</f>
        <v>0</v>
      </c>
      <c r="AP159">
        <f>Model!BK170</f>
        <v>0</v>
      </c>
      <c r="AQ159">
        <f>Model!BL170</f>
        <v>0</v>
      </c>
      <c r="AR159">
        <f>Model!BM170</f>
        <v>0</v>
      </c>
      <c r="AS159">
        <f>Model!BN170</f>
        <v>0</v>
      </c>
      <c r="AT159">
        <f>Model!BO170</f>
        <v>0</v>
      </c>
      <c r="AU159">
        <f>Model!BP170</f>
        <v>0</v>
      </c>
      <c r="AV159">
        <f>Model!BQ170</f>
        <v>0</v>
      </c>
      <c r="AW159">
        <f>Model!BR170</f>
        <v>0</v>
      </c>
      <c r="AX159">
        <f>Model!BS170</f>
        <v>0</v>
      </c>
      <c r="AY159">
        <f>Model!BT170</f>
        <v>0</v>
      </c>
      <c r="AZ159">
        <f>Model!BU170</f>
        <v>0</v>
      </c>
    </row>
    <row r="160" spans="9:52" ht="11.25" customHeight="1">
      <c r="I160" t="str">
        <f>Model!I171</f>
        <v>Long-term liabilities</v>
      </c>
      <c r="M160">
        <f>Model!M171</f>
        <v>0</v>
      </c>
      <c r="N160">
        <f>Model!N171</f>
        <v>0</v>
      </c>
      <c r="O160">
        <f>Model!O171</f>
        <v>0</v>
      </c>
      <c r="P160">
        <f>Model!P171</f>
        <v>4.0000000000000001E-3</v>
      </c>
      <c r="Q160">
        <f>Model!Q171</f>
        <v>0</v>
      </c>
      <c r="R160">
        <f>Model!R171</f>
        <v>0</v>
      </c>
      <c r="S160">
        <f>Model!S171</f>
        <v>4.0000000000000001E-3</v>
      </c>
      <c r="T160">
        <f>Model!T171</f>
        <v>3.0000000000000001E-3</v>
      </c>
      <c r="U160">
        <f>Model!U171</f>
        <v>3.0000000000000001E-3</v>
      </c>
      <c r="V160">
        <f>Model!V171</f>
        <v>2E-3</v>
      </c>
      <c r="W160">
        <f>Model!W171</f>
        <v>2E-3</v>
      </c>
      <c r="X160">
        <f>Model!X171</f>
        <v>0.52700000000000002</v>
      </c>
      <c r="Y160">
        <f>Model!Y171</f>
        <v>0.60099999999999998</v>
      </c>
      <c r="Z160">
        <f>Model!Z171</f>
        <v>0.68799999999999994</v>
      </c>
      <c r="AA160">
        <f>Model!AA171</f>
        <v>0.79900000000000004</v>
      </c>
      <c r="AB160">
        <f>Model!AB171</f>
        <v>0.78200000000000003</v>
      </c>
      <c r="AC160">
        <f>Model!AC171</f>
        <v>5.7839999999999998</v>
      </c>
      <c r="AD160">
        <f>Model!AD171</f>
        <v>6.4240000000000004</v>
      </c>
      <c r="AE160">
        <f>Model!AE171</f>
        <v>6.99</v>
      </c>
      <c r="AF160">
        <f>Model!AF171</f>
        <v>7.5270000000000001</v>
      </c>
      <c r="AG160">
        <f>Model!AG171</f>
        <v>11.849</v>
      </c>
      <c r="AH160">
        <f>Model!AH171</f>
        <v>13.254</v>
      </c>
      <c r="AI160">
        <f>Model!AI171</f>
        <v>12.849</v>
      </c>
      <c r="AJ160">
        <f>Model!AJ171</f>
        <v>12.03</v>
      </c>
      <c r="AL160">
        <f>Model!BG171</f>
        <v>0</v>
      </c>
      <c r="AM160">
        <f>Model!BH171</f>
        <v>0</v>
      </c>
      <c r="AN160">
        <f>Model!BI171</f>
        <v>0</v>
      </c>
      <c r="AO160">
        <f>Model!BJ171</f>
        <v>0</v>
      </c>
      <c r="AP160">
        <f>Model!BK171</f>
        <v>4.0000000000000001E-3</v>
      </c>
      <c r="AQ160">
        <f>Model!BL171</f>
        <v>3.0000000000000001E-3</v>
      </c>
      <c r="AR160">
        <f>Model!BM171</f>
        <v>0.52700000000000002</v>
      </c>
      <c r="AS160">
        <f>Model!BN171</f>
        <v>0.78200000000000003</v>
      </c>
      <c r="AT160">
        <f>Model!BO171</f>
        <v>7.5270000000000001</v>
      </c>
      <c r="AU160">
        <f>Model!BP171</f>
        <v>12.03</v>
      </c>
      <c r="AV160">
        <f>Model!BQ171</f>
        <v>17.620999999999999</v>
      </c>
      <c r="AW160">
        <f>Model!BR171</f>
        <v>30.736999999999998</v>
      </c>
      <c r="AX160">
        <f>Model!BS171</f>
        <v>30.736999999999998</v>
      </c>
      <c r="AY160">
        <f>Model!BT171</f>
        <v>30.736999999999998</v>
      </c>
      <c r="AZ160">
        <f>Model!BU171</f>
        <v>30.736999999999998</v>
      </c>
    </row>
    <row r="161" spans="9:52" ht="11.25" customHeight="1">
      <c r="I161" t="str">
        <f>Model!I172</f>
        <v>Total Liabilities</v>
      </c>
      <c r="M161">
        <f>Model!M172</f>
        <v>0</v>
      </c>
      <c r="N161">
        <f>Model!N172</f>
        <v>0</v>
      </c>
      <c r="O161">
        <f>Model!O172</f>
        <v>0</v>
      </c>
      <c r="P161">
        <f>Model!P172</f>
        <v>6.6579999999999995</v>
      </c>
      <c r="Q161">
        <f>Model!Q172</f>
        <v>0</v>
      </c>
      <c r="R161">
        <f>Model!R172</f>
        <v>0</v>
      </c>
      <c r="S161">
        <f>Model!S172</f>
        <v>10.630999999999998</v>
      </c>
      <c r="T161">
        <f>Model!T172</f>
        <v>12.733000000000001</v>
      </c>
      <c r="U161">
        <f>Model!U172</f>
        <v>12.473000000000001</v>
      </c>
      <c r="V161">
        <f>Model!V172</f>
        <v>13.170000000000002</v>
      </c>
      <c r="W161">
        <f>Model!W172</f>
        <v>13.576000000000001</v>
      </c>
      <c r="X161">
        <f>Model!X172</f>
        <v>22.033999999999999</v>
      </c>
      <c r="Y161">
        <f>Model!Y172</f>
        <v>21.86</v>
      </c>
      <c r="Z161">
        <f>Model!Z172</f>
        <v>23.044999999999998</v>
      </c>
      <c r="AA161">
        <f>Model!AA172</f>
        <v>27.898999999999997</v>
      </c>
      <c r="AB161">
        <f>Model!AB172</f>
        <v>29.495000000000001</v>
      </c>
      <c r="AC161">
        <f>Model!AC172</f>
        <v>33.538000000000004</v>
      </c>
      <c r="AD161">
        <f>Model!AD172</f>
        <v>31.910999999999998</v>
      </c>
      <c r="AE161">
        <f>Model!AE172</f>
        <v>38.775999999999996</v>
      </c>
      <c r="AF161">
        <f>Model!AF172</f>
        <v>41.5</v>
      </c>
      <c r="AG161">
        <f>Model!AG172</f>
        <v>59.230000000000004</v>
      </c>
      <c r="AH161">
        <f>Model!AH172</f>
        <v>55.222000000000001</v>
      </c>
      <c r="AI161">
        <f>Model!AI172</f>
        <v>67.942999999999998</v>
      </c>
      <c r="AJ161">
        <f>Model!AJ172</f>
        <v>61.806999999999995</v>
      </c>
      <c r="AL161">
        <f>Model!BG172</f>
        <v>0</v>
      </c>
      <c r="AM161">
        <f>Model!BH172</f>
        <v>0</v>
      </c>
      <c r="AN161">
        <f>Model!BI172</f>
        <v>0</v>
      </c>
      <c r="AO161">
        <f>Model!BJ172</f>
        <v>3.109</v>
      </c>
      <c r="AP161">
        <f>Model!BK172</f>
        <v>6.6579999999999995</v>
      </c>
      <c r="AQ161">
        <f>Model!BL172</f>
        <v>12.733000000000001</v>
      </c>
      <c r="AR161">
        <f>Model!BM172</f>
        <v>22.033999999999999</v>
      </c>
      <c r="AS161">
        <f>Model!BN172</f>
        <v>29.495000000000001</v>
      </c>
      <c r="AT161">
        <f>Model!BO172</f>
        <v>41.5</v>
      </c>
      <c r="AU161">
        <f>Model!BP172</f>
        <v>61.806999999999995</v>
      </c>
      <c r="AV161">
        <f>Model!BQ172</f>
        <v>78.02</v>
      </c>
      <c r="AW161">
        <f>Model!BR172</f>
        <v>116.904</v>
      </c>
      <c r="AX161">
        <f>Model!BS172</f>
        <v>130.24233369491961</v>
      </c>
      <c r="AY161">
        <f>Model!BT172</f>
        <v>142.98234957422781</v>
      </c>
      <c r="AZ161">
        <f>Model!BU172</f>
        <v>156.86996108020179</v>
      </c>
    </row>
    <row r="162" spans="9:52" ht="11.25" customHeight="1">
      <c r="I162">
        <f>Model!I173</f>
        <v>0</v>
      </c>
      <c r="M162">
        <f>Model!M173</f>
        <v>0</v>
      </c>
      <c r="N162">
        <f>Model!N173</f>
        <v>0</v>
      </c>
      <c r="O162">
        <f>Model!O173</f>
        <v>0</v>
      </c>
      <c r="P162">
        <f>Model!P173</f>
        <v>0</v>
      </c>
      <c r="Q162">
        <f>Model!Q173</f>
        <v>0</v>
      </c>
      <c r="R162">
        <f>Model!R173</f>
        <v>0</v>
      </c>
      <c r="S162">
        <f>Model!S173</f>
        <v>0</v>
      </c>
      <c r="T162">
        <f>Model!T173</f>
        <v>0</v>
      </c>
      <c r="U162">
        <f>Model!U173</f>
        <v>0</v>
      </c>
      <c r="V162">
        <f>Model!V173</f>
        <v>0</v>
      </c>
      <c r="W162">
        <f>Model!W173</f>
        <v>0</v>
      </c>
      <c r="X162">
        <f>Model!X173</f>
        <v>0</v>
      </c>
      <c r="Y162">
        <f>Model!Y173</f>
        <v>0</v>
      </c>
      <c r="Z162">
        <f>Model!Z173</f>
        <v>0</v>
      </c>
      <c r="AA162">
        <f>Model!AA173</f>
        <v>0</v>
      </c>
      <c r="AB162">
        <f>Model!AB173</f>
        <v>0</v>
      </c>
      <c r="AC162">
        <f>Model!AC173</f>
        <v>0</v>
      </c>
      <c r="AD162">
        <f>Model!AD173</f>
        <v>0</v>
      </c>
      <c r="AE162">
        <f>Model!AE173</f>
        <v>0</v>
      </c>
      <c r="AF162">
        <f>Model!AF173</f>
        <v>0</v>
      </c>
      <c r="AG162">
        <f>Model!AG173</f>
        <v>0</v>
      </c>
      <c r="AH162">
        <f>Model!AH173</f>
        <v>0</v>
      </c>
      <c r="AI162">
        <f>Model!AI173</f>
        <v>0</v>
      </c>
      <c r="AJ162">
        <f>Model!AJ173</f>
        <v>0</v>
      </c>
      <c r="AL162">
        <f>Model!BG173</f>
        <v>0</v>
      </c>
      <c r="AM162">
        <f>Model!BH173</f>
        <v>0</v>
      </c>
      <c r="AN162">
        <f>Model!BI173</f>
        <v>0</v>
      </c>
      <c r="AO162">
        <f>Model!BJ173</f>
        <v>0</v>
      </c>
      <c r="AP162">
        <f>Model!BK173</f>
        <v>0</v>
      </c>
      <c r="AQ162">
        <f>Model!BL173</f>
        <v>0</v>
      </c>
      <c r="AR162">
        <f>Model!BM173</f>
        <v>0</v>
      </c>
      <c r="AS162">
        <f>Model!BN173</f>
        <v>0</v>
      </c>
      <c r="AT162">
        <f>Model!BO173</f>
        <v>0</v>
      </c>
      <c r="AU162">
        <f>Model!BP173</f>
        <v>0</v>
      </c>
      <c r="AV162">
        <f>Model!BQ173</f>
        <v>0</v>
      </c>
      <c r="AW162">
        <f>Model!BR173</f>
        <v>0</v>
      </c>
      <c r="AX162">
        <f>Model!BS173</f>
        <v>0</v>
      </c>
      <c r="AY162">
        <f>Model!BT173</f>
        <v>0</v>
      </c>
      <c r="AZ162">
        <f>Model!BU173</f>
        <v>0</v>
      </c>
    </row>
    <row r="163" spans="9:52" ht="11.25" customHeight="1">
      <c r="I163" t="str">
        <f>Model!I174</f>
        <v>Shareholders' Equity</v>
      </c>
      <c r="M163">
        <f>Model!M174</f>
        <v>0</v>
      </c>
      <c r="N163">
        <f>Model!N174</f>
        <v>0</v>
      </c>
      <c r="O163">
        <f>Model!O174</f>
        <v>0</v>
      </c>
      <c r="P163">
        <f>Model!P174</f>
        <v>0</v>
      </c>
      <c r="Q163">
        <f>Model!Q174</f>
        <v>0</v>
      </c>
      <c r="R163">
        <f>Model!R174</f>
        <v>0</v>
      </c>
      <c r="S163">
        <f>Model!S174</f>
        <v>0</v>
      </c>
      <c r="T163">
        <f>Model!T174</f>
        <v>0</v>
      </c>
      <c r="U163">
        <f>Model!U174</f>
        <v>0</v>
      </c>
      <c r="V163">
        <f>Model!V174</f>
        <v>0</v>
      </c>
      <c r="W163">
        <f>Model!W174</f>
        <v>0</v>
      </c>
      <c r="X163">
        <f>Model!X174</f>
        <v>0</v>
      </c>
      <c r="Y163">
        <f>Model!Y174</f>
        <v>0</v>
      </c>
      <c r="Z163">
        <f>Model!Z174</f>
        <v>0</v>
      </c>
      <c r="AA163">
        <f>Model!AA174</f>
        <v>0</v>
      </c>
      <c r="AB163">
        <f>Model!AB174</f>
        <v>0</v>
      </c>
      <c r="AC163">
        <f>Model!AC174</f>
        <v>0</v>
      </c>
      <c r="AD163">
        <f>Model!AD174</f>
        <v>0</v>
      </c>
      <c r="AE163">
        <f>Model!AE174</f>
        <v>0</v>
      </c>
      <c r="AF163">
        <f>Model!AF174</f>
        <v>0</v>
      </c>
      <c r="AG163">
        <f>Model!AG174</f>
        <v>0</v>
      </c>
      <c r="AH163">
        <f>Model!AH174</f>
        <v>0</v>
      </c>
      <c r="AI163">
        <f>Model!AI174</f>
        <v>0</v>
      </c>
      <c r="AJ163">
        <f>Model!AJ174</f>
        <v>0</v>
      </c>
      <c r="AL163">
        <f>Model!BG174</f>
        <v>0</v>
      </c>
      <c r="AM163">
        <f>Model!BH174</f>
        <v>0</v>
      </c>
      <c r="AN163">
        <f>Model!BI174</f>
        <v>0</v>
      </c>
      <c r="AO163">
        <f>Model!BJ174</f>
        <v>0</v>
      </c>
      <c r="AP163">
        <f>Model!BK174</f>
        <v>0</v>
      </c>
      <c r="AQ163">
        <f>Model!BL174</f>
        <v>0</v>
      </c>
      <c r="AR163">
        <f>Model!BM174</f>
        <v>0</v>
      </c>
      <c r="AS163">
        <f>Model!BN174</f>
        <v>0</v>
      </c>
      <c r="AT163">
        <f>Model!BO174</f>
        <v>0</v>
      </c>
      <c r="AU163">
        <f>Model!BP174</f>
        <v>0</v>
      </c>
      <c r="AV163">
        <f>Model!BQ174</f>
        <v>0</v>
      </c>
      <c r="AW163">
        <f>Model!BR174</f>
        <v>0</v>
      </c>
      <c r="AX163">
        <f>Model!BS174</f>
        <v>0</v>
      </c>
      <c r="AY163">
        <f>Model!BT174</f>
        <v>0</v>
      </c>
      <c r="AZ163">
        <f>Model!BU174</f>
        <v>0</v>
      </c>
    </row>
    <row r="164" spans="9:52" ht="11.25" customHeight="1">
      <c r="I164">
        <f>Model!I175</f>
        <v>0</v>
      </c>
      <c r="M164">
        <f>Model!M175</f>
        <v>0</v>
      </c>
      <c r="N164">
        <f>Model!N175</f>
        <v>0</v>
      </c>
      <c r="O164">
        <f>Model!O175</f>
        <v>0</v>
      </c>
      <c r="P164">
        <f>Model!P175</f>
        <v>0</v>
      </c>
      <c r="Q164">
        <f>Model!Q175</f>
        <v>0</v>
      </c>
      <c r="R164">
        <f>Model!R175</f>
        <v>0</v>
      </c>
      <c r="S164">
        <f>Model!S175</f>
        <v>0</v>
      </c>
      <c r="T164">
        <f>Model!T175</f>
        <v>0</v>
      </c>
      <c r="U164">
        <f>Model!U175</f>
        <v>0</v>
      </c>
      <c r="V164">
        <f>Model!V175</f>
        <v>0</v>
      </c>
      <c r="W164">
        <f>Model!W175</f>
        <v>0</v>
      </c>
      <c r="X164">
        <f>Model!X175</f>
        <v>0</v>
      </c>
      <c r="Y164">
        <f>Model!Y175</f>
        <v>0</v>
      </c>
      <c r="Z164">
        <f>Model!Z175</f>
        <v>0</v>
      </c>
      <c r="AA164">
        <f>Model!AA175</f>
        <v>0</v>
      </c>
      <c r="AB164">
        <f>Model!AB175</f>
        <v>0</v>
      </c>
      <c r="AC164">
        <f>Model!AC175</f>
        <v>0</v>
      </c>
      <c r="AD164">
        <f>Model!AD175</f>
        <v>0</v>
      </c>
      <c r="AE164">
        <f>Model!AE175</f>
        <v>0</v>
      </c>
      <c r="AF164">
        <f>Model!AF175</f>
        <v>0</v>
      </c>
      <c r="AG164">
        <f>Model!AG175</f>
        <v>0</v>
      </c>
      <c r="AH164">
        <f>Model!AH175</f>
        <v>0</v>
      </c>
      <c r="AI164">
        <f>Model!AI175</f>
        <v>0</v>
      </c>
      <c r="AJ164">
        <f>Model!AJ175</f>
        <v>0</v>
      </c>
      <c r="AL164">
        <f>Model!BG175</f>
        <v>0</v>
      </c>
      <c r="AM164">
        <f>Model!BH175</f>
        <v>0</v>
      </c>
      <c r="AN164">
        <f>Model!BI175</f>
        <v>0</v>
      </c>
      <c r="AO164">
        <f>Model!BJ175</f>
        <v>0</v>
      </c>
      <c r="AP164">
        <f>Model!BK175</f>
        <v>0</v>
      </c>
      <c r="AQ164">
        <f>Model!BL175</f>
        <v>0</v>
      </c>
      <c r="AR164">
        <f>Model!BM175</f>
        <v>0</v>
      </c>
      <c r="AS164">
        <f>Model!BN175</f>
        <v>0</v>
      </c>
      <c r="AT164">
        <f>Model!BO175</f>
        <v>0</v>
      </c>
      <c r="AU164">
        <f>Model!BP175</f>
        <v>0</v>
      </c>
      <c r="AV164">
        <f>Model!BQ175</f>
        <v>0</v>
      </c>
      <c r="AW164">
        <f>Model!BR175</f>
        <v>0</v>
      </c>
      <c r="AX164">
        <f>Model!BS175</f>
        <v>0</v>
      </c>
      <c r="AY164">
        <f>Model!BT175</f>
        <v>0</v>
      </c>
      <c r="AZ164">
        <f>Model!BU175</f>
        <v>0</v>
      </c>
    </row>
    <row r="165" spans="9:52" ht="11.25" customHeight="1">
      <c r="I165" t="str">
        <f>Model!I176</f>
        <v>Redeemable convertible preferred stock</v>
      </c>
      <c r="M165">
        <f>Model!M176</f>
        <v>0</v>
      </c>
      <c r="N165">
        <f>Model!N176</f>
        <v>0</v>
      </c>
      <c r="O165">
        <f>Model!O176</f>
        <v>55.246000000000002</v>
      </c>
      <c r="P165">
        <f>Model!P176</f>
        <v>55.246000000000002</v>
      </c>
      <c r="Q165">
        <f>Model!Q176</f>
        <v>55.246000000000002</v>
      </c>
      <c r="R165">
        <f>Model!R176</f>
        <v>55.246000000000002</v>
      </c>
      <c r="S165">
        <f>Model!S176</f>
        <v>55.387</v>
      </c>
      <c r="T165">
        <f>Model!T176</f>
        <v>55.435000000000002</v>
      </c>
      <c r="U165">
        <f>Model!U176</f>
        <v>0</v>
      </c>
      <c r="V165">
        <f>Model!V176</f>
        <v>0</v>
      </c>
      <c r="W165">
        <f>Model!W176</f>
        <v>0</v>
      </c>
      <c r="X165">
        <f>Model!X176</f>
        <v>0</v>
      </c>
      <c r="Y165">
        <f>Model!Y176</f>
        <v>0</v>
      </c>
      <c r="Z165">
        <f>Model!Z176</f>
        <v>0</v>
      </c>
      <c r="AA165">
        <f>Model!AA176</f>
        <v>0</v>
      </c>
      <c r="AB165">
        <f>Model!AB176</f>
        <v>0</v>
      </c>
      <c r="AC165">
        <f>Model!AC176</f>
        <v>0</v>
      </c>
      <c r="AD165">
        <f>Model!AD176</f>
        <v>0</v>
      </c>
      <c r="AE165">
        <f>Model!AE176</f>
        <v>0</v>
      </c>
      <c r="AF165">
        <f>Model!AF176</f>
        <v>0</v>
      </c>
      <c r="AG165">
        <f>Model!AG176</f>
        <v>0</v>
      </c>
      <c r="AH165">
        <f>Model!AH176</f>
        <v>0</v>
      </c>
      <c r="AI165">
        <f>Model!AI176</f>
        <v>0</v>
      </c>
      <c r="AJ165">
        <f>Model!AJ176</f>
        <v>0</v>
      </c>
      <c r="AL165">
        <f>Model!BG176</f>
        <v>0</v>
      </c>
      <c r="AM165">
        <f>Model!BH176</f>
        <v>0</v>
      </c>
      <c r="AN165">
        <f>Model!BI176</f>
        <v>0</v>
      </c>
      <c r="AO165">
        <f>Model!BJ176</f>
        <v>30.877000000000002</v>
      </c>
      <c r="AP165">
        <f>Model!BK176</f>
        <v>55.246000000000002</v>
      </c>
      <c r="AQ165">
        <f>Model!BL176</f>
        <v>55.435000000000002</v>
      </c>
      <c r="AR165">
        <f>Model!BM176</f>
        <v>0</v>
      </c>
      <c r="AS165">
        <f>Model!BN176</f>
        <v>0</v>
      </c>
      <c r="AT165">
        <f>Model!BO176</f>
        <v>0</v>
      </c>
      <c r="AU165">
        <f>Model!BP176</f>
        <v>0</v>
      </c>
      <c r="AV165">
        <f>Model!BQ176</f>
        <v>0</v>
      </c>
      <c r="AW165">
        <f>Model!BR176</f>
        <v>0</v>
      </c>
      <c r="AX165">
        <f>Model!BS176</f>
        <v>0</v>
      </c>
      <c r="AY165">
        <f>Model!BT176</f>
        <v>0</v>
      </c>
      <c r="AZ165">
        <f>Model!BU176</f>
        <v>0</v>
      </c>
    </row>
    <row r="166" spans="9:52" ht="11.25" customHeight="1">
      <c r="I166" t="str">
        <f>Model!I177</f>
        <v>Common equity</v>
      </c>
      <c r="M166">
        <f>Model!M177</f>
        <v>0</v>
      </c>
      <c r="N166">
        <f>Model!N177</f>
        <v>0</v>
      </c>
      <c r="O166">
        <f>Model!O177</f>
        <v>0</v>
      </c>
      <c r="P166">
        <f>Model!P177</f>
        <v>0</v>
      </c>
      <c r="Q166">
        <f>Model!Q177</f>
        <v>0</v>
      </c>
      <c r="R166">
        <f>Model!R177</f>
        <v>0</v>
      </c>
      <c r="S166">
        <f>Model!S177</f>
        <v>0</v>
      </c>
      <c r="T166">
        <f>Model!T177</f>
        <v>0</v>
      </c>
      <c r="U166">
        <f>Model!U177</f>
        <v>0</v>
      </c>
      <c r="V166">
        <f>Model!V177</f>
        <v>0</v>
      </c>
      <c r="W166">
        <f>Model!W177</f>
        <v>0</v>
      </c>
      <c r="X166">
        <f>Model!X177</f>
        <v>0</v>
      </c>
      <c r="Y166">
        <f>Model!Y177</f>
        <v>0</v>
      </c>
      <c r="Z166">
        <f>Model!Z177</f>
        <v>0</v>
      </c>
      <c r="AA166">
        <f>Model!AA177</f>
        <v>0</v>
      </c>
      <c r="AB166">
        <f>Model!AB177</f>
        <v>0</v>
      </c>
      <c r="AC166">
        <f>Model!AC177</f>
        <v>0</v>
      </c>
      <c r="AD166">
        <f>Model!AD177</f>
        <v>0</v>
      </c>
      <c r="AE166">
        <f>Model!AE177</f>
        <v>0</v>
      </c>
      <c r="AF166">
        <f>Model!AF177</f>
        <v>0</v>
      </c>
      <c r="AG166">
        <f>Model!AG177</f>
        <v>0</v>
      </c>
      <c r="AH166">
        <f>Model!AH177</f>
        <v>0</v>
      </c>
      <c r="AI166">
        <f>Model!AI177</f>
        <v>0</v>
      </c>
      <c r="AJ166">
        <f>Model!AJ177</f>
        <v>0</v>
      </c>
      <c r="AL166" t="str">
        <f>Model!BG177</f>
        <v>ND</v>
      </c>
      <c r="AM166" t="str">
        <f>Model!BH177</f>
        <v>ND</v>
      </c>
      <c r="AN166" t="str">
        <f>Model!BI177</f>
        <v>ND</v>
      </c>
      <c r="AO166">
        <f>Model!BJ177</f>
        <v>0</v>
      </c>
      <c r="AP166">
        <f>Model!BK177</f>
        <v>0</v>
      </c>
      <c r="AQ166">
        <f>Model!BL177</f>
        <v>0</v>
      </c>
      <c r="AR166">
        <f>Model!BM177</f>
        <v>0</v>
      </c>
      <c r="AS166">
        <f>Model!BN177</f>
        <v>0</v>
      </c>
      <c r="AT166">
        <f>Model!BO177</f>
        <v>0</v>
      </c>
      <c r="AU166">
        <f>Model!BP177</f>
        <v>0</v>
      </c>
      <c r="AV166">
        <f>Model!BQ177</f>
        <v>0</v>
      </c>
      <c r="AW166">
        <f>Model!BR177</f>
        <v>0</v>
      </c>
      <c r="AX166">
        <f>Model!BS177</f>
        <v>114.26265000000001</v>
      </c>
      <c r="AY166">
        <f>Model!BT177</f>
        <v>242.23681800000003</v>
      </c>
      <c r="AZ166">
        <f>Model!BU177</f>
        <v>383.00840280000011</v>
      </c>
    </row>
    <row r="167" spans="9:52" ht="11.25" customHeight="1">
      <c r="I167" t="str">
        <f>Model!I178</f>
        <v>Additional paid-in capital</v>
      </c>
      <c r="M167">
        <f>Model!M178</f>
        <v>0</v>
      </c>
      <c r="N167">
        <f>Model!N178</f>
        <v>0</v>
      </c>
      <c r="O167">
        <f>Model!O178</f>
        <v>0</v>
      </c>
      <c r="P167">
        <f>Model!P178</f>
        <v>3.524</v>
      </c>
      <c r="Q167">
        <f>Model!Q178</f>
        <v>0</v>
      </c>
      <c r="R167">
        <f>Model!R178</f>
        <v>0</v>
      </c>
      <c r="S167">
        <f>Model!S178</f>
        <v>8.2089999999999996</v>
      </c>
      <c r="T167">
        <f>Model!T178</f>
        <v>16.625</v>
      </c>
      <c r="U167">
        <f>Model!U178</f>
        <v>191.44800000000001</v>
      </c>
      <c r="V167">
        <f>Model!V178</f>
        <v>193.65700000000001</v>
      </c>
      <c r="W167">
        <f>Model!W178</f>
        <v>197.87200000000001</v>
      </c>
      <c r="X167">
        <f>Model!X178</f>
        <v>225.245</v>
      </c>
      <c r="Y167">
        <f>Model!Y178</f>
        <v>231.52500000000001</v>
      </c>
      <c r="Z167">
        <f>Model!Z178</f>
        <v>240.75200000000001</v>
      </c>
      <c r="AA167">
        <f>Model!AA178</f>
        <v>262.67500000000001</v>
      </c>
      <c r="AB167">
        <f>Model!AB178</f>
        <v>553.75300000000004</v>
      </c>
      <c r="AC167">
        <f>Model!AC178</f>
        <v>569.92499999999995</v>
      </c>
      <c r="AD167">
        <f>Model!AD178</f>
        <v>588.82899999999995</v>
      </c>
      <c r="AE167">
        <f>Model!AE178</f>
        <v>607.01199999999994</v>
      </c>
      <c r="AF167">
        <f>Model!AF178</f>
        <v>627.74199999999996</v>
      </c>
      <c r="AG167">
        <f>Model!AG178</f>
        <v>705.39700000000005</v>
      </c>
      <c r="AH167">
        <f>Model!AH178</f>
        <v>734.86699999999996</v>
      </c>
      <c r="AI167">
        <f>Model!AI178</f>
        <v>752.79499999999996</v>
      </c>
      <c r="AJ167">
        <f>Model!AJ178</f>
        <v>774.02200000000005</v>
      </c>
      <c r="AL167" t="str">
        <f>Model!BG178</f>
        <v>ND</v>
      </c>
      <c r="AM167" t="str">
        <f>Model!BH178</f>
        <v>ND</v>
      </c>
      <c r="AN167" t="str">
        <f>Model!BI178</f>
        <v>ND</v>
      </c>
      <c r="AO167">
        <f>Model!BJ178</f>
        <v>1.4830000000000001</v>
      </c>
      <c r="AP167">
        <f>Model!BK178</f>
        <v>3.524</v>
      </c>
      <c r="AQ167">
        <f>Model!BL178</f>
        <v>16.625</v>
      </c>
      <c r="AR167">
        <f>Model!BM178</f>
        <v>225.245</v>
      </c>
      <c r="AS167">
        <f>Model!BN178</f>
        <v>553.75300000000004</v>
      </c>
      <c r="AT167">
        <f>Model!BO178</f>
        <v>627.74199999999996</v>
      </c>
      <c r="AU167">
        <f>Model!BP178</f>
        <v>774.02200000000005</v>
      </c>
      <c r="AV167">
        <f>Model!BQ178</f>
        <v>892.98299999999995</v>
      </c>
      <c r="AW167">
        <f>Model!BR178</f>
        <v>1038.0170000000001</v>
      </c>
      <c r="AX167">
        <f>Model!BS178</f>
        <v>1038.0170000000001</v>
      </c>
      <c r="AY167">
        <f>Model!BT178</f>
        <v>1038.0170000000001</v>
      </c>
      <c r="AZ167">
        <f>Model!BU178</f>
        <v>1038.0170000000001</v>
      </c>
    </row>
    <row r="168" spans="9:52" ht="11.25" customHeight="1">
      <c r="I168" t="str">
        <f>Model!I179</f>
        <v>Accumulated other comprehensive income</v>
      </c>
      <c r="M168">
        <f>Model!M179</f>
        <v>0</v>
      </c>
      <c r="N168">
        <f>Model!N179</f>
        <v>0</v>
      </c>
      <c r="O168">
        <f>Model!O179</f>
        <v>0</v>
      </c>
      <c r="P168">
        <f>Model!P179</f>
        <v>-2.7E-2</v>
      </c>
      <c r="Q168">
        <f>Model!Q179</f>
        <v>0</v>
      </c>
      <c r="R168">
        <f>Model!R179</f>
        <v>0</v>
      </c>
      <c r="S168">
        <f>Model!S179</f>
        <v>7.6999999999999999E-2</v>
      </c>
      <c r="T168">
        <f>Model!T179</f>
        <v>0.27100000000000002</v>
      </c>
      <c r="U168">
        <f>Model!U179</f>
        <v>0.24199999999999999</v>
      </c>
      <c r="V168">
        <f>Model!V179</f>
        <v>7.9000000000000001E-2</v>
      </c>
      <c r="W168">
        <f>Model!W179</f>
        <v>0.152</v>
      </c>
      <c r="X168">
        <f>Model!X179</f>
        <v>0.80500000000000005</v>
      </c>
      <c r="Y168">
        <f>Model!Y179</f>
        <v>-0.90400000000000003</v>
      </c>
      <c r="Z168">
        <f>Model!Z179</f>
        <v>-0.19</v>
      </c>
      <c r="AA168">
        <f>Model!AA179</f>
        <v>2.1429999999999998</v>
      </c>
      <c r="AB168">
        <f>Model!AB179</f>
        <v>3.1880000000000002</v>
      </c>
      <c r="AC168">
        <f>Model!AC179</f>
        <v>3.1019999999999999</v>
      </c>
      <c r="AD168">
        <f>Model!AD179</f>
        <v>2.7639999999999998</v>
      </c>
      <c r="AE168">
        <f>Model!AE179</f>
        <v>-1.6779999999999999</v>
      </c>
      <c r="AF168">
        <f>Model!AF179</f>
        <v>-5.609</v>
      </c>
      <c r="AG168">
        <f>Model!AG179</f>
        <v>-13.474</v>
      </c>
      <c r="AH168">
        <f>Model!AH179</f>
        <v>-12.13</v>
      </c>
      <c r="AI168">
        <f>Model!AI179</f>
        <v>-11.679</v>
      </c>
      <c r="AJ168">
        <f>Model!AJ179</f>
        <v>-13.519</v>
      </c>
      <c r="AL168">
        <f>Model!BG179</f>
        <v>0</v>
      </c>
      <c r="AM168">
        <f>Model!BH179</f>
        <v>0</v>
      </c>
      <c r="AN168">
        <f>Model!BI179</f>
        <v>0</v>
      </c>
      <c r="AO168">
        <f>Model!BJ179</f>
        <v>-7.0000000000000001E-3</v>
      </c>
      <c r="AP168">
        <f>Model!BK179</f>
        <v>-2.7E-2</v>
      </c>
      <c r="AQ168">
        <f>Model!BL179</f>
        <v>0.27100000000000002</v>
      </c>
      <c r="AR168">
        <f>Model!BM179</f>
        <v>0.80500000000000005</v>
      </c>
      <c r="AS168">
        <f>Model!BN179</f>
        <v>3.1880000000000002</v>
      </c>
      <c r="AT168">
        <f>Model!BO179</f>
        <v>-5.609</v>
      </c>
      <c r="AU168">
        <f>Model!BP179</f>
        <v>-13.519</v>
      </c>
      <c r="AV168">
        <f>Model!BQ179</f>
        <v>-15.576000000000001</v>
      </c>
      <c r="AW168">
        <f>Model!BR179</f>
        <v>-8.4440000000000008</v>
      </c>
      <c r="AX168">
        <f>Model!BS179</f>
        <v>-8.4440000000000008</v>
      </c>
      <c r="AY168">
        <f>Model!BT179</f>
        <v>-8.4440000000000008</v>
      </c>
      <c r="AZ168">
        <f>Model!BU179</f>
        <v>-8.4440000000000008</v>
      </c>
    </row>
    <row r="169" spans="9:52" ht="11.25" customHeight="1">
      <c r="I169" t="str">
        <f>Model!I180</f>
        <v>Accumulated deficit</v>
      </c>
      <c r="M169">
        <f>Model!M180</f>
        <v>0</v>
      </c>
      <c r="N169">
        <f>Model!N180</f>
        <v>0</v>
      </c>
      <c r="O169">
        <f>Model!O180</f>
        <v>-25.780000000000005</v>
      </c>
      <c r="P169">
        <f>Model!P180</f>
        <v>-24.385999999999999</v>
      </c>
      <c r="Q169">
        <f>Model!Q180</f>
        <v>-28.481000000000002</v>
      </c>
      <c r="R169">
        <f>Model!R180</f>
        <v>-30.103000000000002</v>
      </c>
      <c r="S169">
        <f>Model!S180</f>
        <v>-32.149000000000001</v>
      </c>
      <c r="T169">
        <f>Model!T180</f>
        <v>-41.243000000000002</v>
      </c>
      <c r="U169">
        <f>Model!U180</f>
        <v>-51.076000000000001</v>
      </c>
      <c r="V169">
        <f>Model!V180</f>
        <v>-53.058</v>
      </c>
      <c r="W169">
        <f>Model!W180</f>
        <v>-55.067999999999998</v>
      </c>
      <c r="X169">
        <f>Model!X180</f>
        <v>-60.387999999999998</v>
      </c>
      <c r="Y169">
        <f>Model!Y180</f>
        <v>-65.186999999999998</v>
      </c>
      <c r="Z169">
        <f>Model!Z180</f>
        <v>-66.064999999999998</v>
      </c>
      <c r="AA169">
        <f>Model!AA180</f>
        <v>-68.387</v>
      </c>
      <c r="AB169">
        <f>Model!AB180</f>
        <v>-70.457999999999998</v>
      </c>
      <c r="AC169">
        <f>Model!AC180</f>
        <v>-73.090999999999994</v>
      </c>
      <c r="AD169">
        <f>Model!AD180</f>
        <v>-70.347999999999999</v>
      </c>
      <c r="AE169">
        <f>Model!AE180</f>
        <v>-66.710999999999999</v>
      </c>
      <c r="AF169">
        <f>Model!AF180</f>
        <v>-33.982999999999997</v>
      </c>
      <c r="AG169">
        <f>Model!AG180</f>
        <v>-35.267000000000003</v>
      </c>
      <c r="AH169">
        <f>Model!AH180</f>
        <v>-36.572000000000003</v>
      </c>
      <c r="AI169">
        <f>Model!AI180</f>
        <v>-44.654000000000003</v>
      </c>
      <c r="AJ169">
        <f>Model!AJ180</f>
        <v>-66.882999999999996</v>
      </c>
      <c r="AL169" t="str">
        <f>Model!BG180</f>
        <v>ND</v>
      </c>
      <c r="AM169" t="str">
        <f>Model!BH180</f>
        <v>ND</v>
      </c>
      <c r="AN169" t="str">
        <f>Model!BI180</f>
        <v>ND</v>
      </c>
      <c r="AO169">
        <f>Model!BJ180</f>
        <v>-14.645</v>
      </c>
      <c r="AP169">
        <f>Model!BK180</f>
        <v>-24.385999999999999</v>
      </c>
      <c r="AQ169">
        <f>Model!BL180</f>
        <v>-41.243000000000002</v>
      </c>
      <c r="AR169">
        <f>Model!BM180</f>
        <v>-60.387999999999998</v>
      </c>
      <c r="AS169">
        <f>Model!BN180</f>
        <v>-70.457999999999998</v>
      </c>
      <c r="AT169">
        <f>Model!BO180</f>
        <v>-33.982999999999997</v>
      </c>
      <c r="AU169">
        <f>Model!BP180</f>
        <v>-66.882999999999996</v>
      </c>
      <c r="AV169">
        <f>Model!BQ180</f>
        <v>-70.221000000000004</v>
      </c>
      <c r="AW169">
        <f>Model!BR180</f>
        <v>70.034999999999997</v>
      </c>
      <c r="AX169">
        <f>Model!BS180</f>
        <v>86.063851397845497</v>
      </c>
      <c r="AY169">
        <f>Model!BT180</f>
        <v>132.46301619023254</v>
      </c>
      <c r="AZ169">
        <f>Model!BU180</f>
        <v>198.019228902263</v>
      </c>
    </row>
    <row r="170" spans="9:52" ht="11.25" customHeight="1">
      <c r="I170" t="str">
        <f>Model!I181</f>
        <v>Total Shareholders' Equity</v>
      </c>
      <c r="M170">
        <f>Model!M181</f>
        <v>0</v>
      </c>
      <c r="N170">
        <f>Model!N181</f>
        <v>0</v>
      </c>
      <c r="O170">
        <f>Model!O181</f>
        <v>29.465999999999998</v>
      </c>
      <c r="P170">
        <f>Model!P181</f>
        <v>34.356999999999999</v>
      </c>
      <c r="Q170">
        <f>Model!Q181</f>
        <v>26.765000000000001</v>
      </c>
      <c r="R170">
        <f>Model!R181</f>
        <v>25.143000000000001</v>
      </c>
      <c r="S170">
        <f>Model!S181</f>
        <v>31.524000000000001</v>
      </c>
      <c r="T170">
        <f>Model!T181</f>
        <v>31.088000000000001</v>
      </c>
      <c r="U170">
        <f>Model!U181</f>
        <v>140.614</v>
      </c>
      <c r="V170">
        <f>Model!V181</f>
        <v>140.67800000000003</v>
      </c>
      <c r="W170">
        <f>Model!W181</f>
        <v>142.95600000000002</v>
      </c>
      <c r="X170">
        <f>Model!X181</f>
        <v>165.66200000000001</v>
      </c>
      <c r="Y170">
        <f>Model!Y181</f>
        <v>165.43400000000003</v>
      </c>
      <c r="Z170">
        <f>Model!Z181</f>
        <v>174.49700000000001</v>
      </c>
      <c r="AA170">
        <f>Model!AA181</f>
        <v>196.43099999999998</v>
      </c>
      <c r="AB170">
        <f>Model!AB181</f>
        <v>486.48300000000006</v>
      </c>
      <c r="AC170">
        <f>Model!AC181</f>
        <v>499.93599999999992</v>
      </c>
      <c r="AD170">
        <f>Model!AD181</f>
        <v>521.245</v>
      </c>
      <c r="AE170">
        <f>Model!AE181</f>
        <v>538.62299999999993</v>
      </c>
      <c r="AF170">
        <f>Model!AF181</f>
        <v>588.15</v>
      </c>
      <c r="AG170">
        <f>Model!AG181</f>
        <v>656.65599999999995</v>
      </c>
      <c r="AH170">
        <f>Model!AH181</f>
        <v>686.16499999999996</v>
      </c>
      <c r="AI170">
        <f>Model!AI181</f>
        <v>696.46199999999999</v>
      </c>
      <c r="AJ170">
        <f>Model!AJ181</f>
        <v>693.62</v>
      </c>
      <c r="AL170">
        <f>Model!BG181</f>
        <v>0</v>
      </c>
      <c r="AM170">
        <f>Model!BH181</f>
        <v>0</v>
      </c>
      <c r="AN170">
        <f>Model!BI181</f>
        <v>0</v>
      </c>
      <c r="AO170">
        <f>Model!BJ181</f>
        <v>17.708000000000002</v>
      </c>
      <c r="AP170">
        <f>Model!BK181</f>
        <v>34.356999999999999</v>
      </c>
      <c r="AQ170">
        <f>Model!BL181</f>
        <v>31.088000000000001</v>
      </c>
      <c r="AR170">
        <f>Model!BM181</f>
        <v>165.66200000000001</v>
      </c>
      <c r="AS170">
        <f>Model!BN181</f>
        <v>486.48300000000006</v>
      </c>
      <c r="AT170">
        <f>Model!BO181</f>
        <v>588.15</v>
      </c>
      <c r="AU170">
        <f>Model!BP181</f>
        <v>693.62</v>
      </c>
      <c r="AV170">
        <f>Model!BQ181</f>
        <v>807.18599999999992</v>
      </c>
      <c r="AW170">
        <f>Model!BR181</f>
        <v>1099.6080000000002</v>
      </c>
      <c r="AX170">
        <f>Model!BS181</f>
        <v>1229.8995013978456</v>
      </c>
      <c r="AY170">
        <f>Model!BT181</f>
        <v>1404.2728341902327</v>
      </c>
      <c r="AZ170">
        <f>Model!BU181</f>
        <v>1610.6006317022632</v>
      </c>
    </row>
    <row r="171" spans="9:52" ht="11.25" customHeight="1">
      <c r="I171" t="str">
        <f>Model!I182</f>
        <v>Total Liabilities &amp; Shareholders' Equity</v>
      </c>
      <c r="M171">
        <f>Model!M182</f>
        <v>0</v>
      </c>
      <c r="N171">
        <f>Model!N182</f>
        <v>0</v>
      </c>
      <c r="O171">
        <f>Model!O182</f>
        <v>29.465999999999998</v>
      </c>
      <c r="P171">
        <f>Model!P182</f>
        <v>41.015000000000001</v>
      </c>
      <c r="Q171">
        <f>Model!Q182</f>
        <v>26.765000000000001</v>
      </c>
      <c r="R171">
        <f>Model!R182</f>
        <v>25.143000000000001</v>
      </c>
      <c r="S171">
        <f>Model!S182</f>
        <v>42.155000000000001</v>
      </c>
      <c r="T171">
        <f>Model!T182</f>
        <v>43.820999999999998</v>
      </c>
      <c r="U171">
        <f>Model!U182</f>
        <v>153.08700000000002</v>
      </c>
      <c r="V171">
        <f>Model!V182</f>
        <v>153.84800000000001</v>
      </c>
      <c r="W171">
        <f>Model!W182</f>
        <v>156.53200000000001</v>
      </c>
      <c r="X171">
        <f>Model!X182</f>
        <v>187.696</v>
      </c>
      <c r="Y171">
        <f>Model!Y182</f>
        <v>187.29400000000004</v>
      </c>
      <c r="Z171">
        <f>Model!Z182</f>
        <v>197.542</v>
      </c>
      <c r="AA171">
        <f>Model!AA182</f>
        <v>224.32999999999998</v>
      </c>
      <c r="AB171">
        <f>Model!AB182</f>
        <v>515.97800000000007</v>
      </c>
      <c r="AC171">
        <f>Model!AC182</f>
        <v>533.47399999999993</v>
      </c>
      <c r="AD171">
        <f>Model!AD182</f>
        <v>553.15599999999995</v>
      </c>
      <c r="AE171">
        <f>Model!AE182</f>
        <v>577.39899999999989</v>
      </c>
      <c r="AF171">
        <f>Model!AF182</f>
        <v>629.65</v>
      </c>
      <c r="AG171">
        <f>Model!AG182</f>
        <v>715.88599999999997</v>
      </c>
      <c r="AH171">
        <f>Model!AH182</f>
        <v>741.38699999999994</v>
      </c>
      <c r="AI171">
        <f>Model!AI182</f>
        <v>764.40499999999997</v>
      </c>
      <c r="AJ171">
        <f>Model!AJ182</f>
        <v>755.42700000000002</v>
      </c>
      <c r="AL171">
        <f>Model!BG182</f>
        <v>0</v>
      </c>
      <c r="AM171">
        <f>Model!BH182</f>
        <v>0</v>
      </c>
      <c r="AN171">
        <f>Model!BI182</f>
        <v>0</v>
      </c>
      <c r="AO171">
        <f>Model!BJ182</f>
        <v>20.817</v>
      </c>
      <c r="AP171">
        <f>Model!BK182</f>
        <v>41.015000000000001</v>
      </c>
      <c r="AQ171">
        <f>Model!BL182</f>
        <v>43.820999999999998</v>
      </c>
      <c r="AR171">
        <f>Model!BM182</f>
        <v>187.696</v>
      </c>
      <c r="AS171">
        <f>Model!BN182</f>
        <v>515.97800000000007</v>
      </c>
      <c r="AT171">
        <f>Model!BO182</f>
        <v>629.65</v>
      </c>
      <c r="AU171">
        <f>Model!BP182</f>
        <v>755.42700000000002</v>
      </c>
      <c r="AV171">
        <f>Model!BQ182</f>
        <v>885.2059999999999</v>
      </c>
      <c r="AW171">
        <f>Model!BR182</f>
        <v>1216.5120000000002</v>
      </c>
      <c r="AX171">
        <f>Model!BS182</f>
        <v>1360.1418350927652</v>
      </c>
      <c r="AY171">
        <f>Model!BT182</f>
        <v>1547.2551837644605</v>
      </c>
      <c r="AZ171">
        <f>Model!BU182</f>
        <v>1767.470592782465</v>
      </c>
    </row>
    <row r="172" spans="9:52" ht="11.25" customHeight="1">
      <c r="I172" t="str">
        <f>Model!I183</f>
        <v>Check</v>
      </c>
      <c r="M172">
        <f>Model!M183</f>
        <v>0</v>
      </c>
      <c r="N172">
        <f>Model!N183</f>
        <v>0</v>
      </c>
      <c r="O172" t="str">
        <f>Model!O183</f>
        <v>OK</v>
      </c>
      <c r="P172" t="str">
        <f>Model!P183</f>
        <v>OK</v>
      </c>
      <c r="Q172" t="str">
        <f>Model!Q183</f>
        <v>OK</v>
      </c>
      <c r="R172" t="str">
        <f>Model!R183</f>
        <v>OK</v>
      </c>
      <c r="S172" t="str">
        <f>Model!S183</f>
        <v>OK</v>
      </c>
      <c r="T172" t="str">
        <f>Model!T183</f>
        <v>OK</v>
      </c>
      <c r="U172" t="str">
        <f>Model!U183</f>
        <v>OK</v>
      </c>
      <c r="V172" t="str">
        <f>Model!V183</f>
        <v>OK</v>
      </c>
      <c r="W172" t="str">
        <f>Model!W183</f>
        <v>OK</v>
      </c>
      <c r="X172" t="str">
        <f>Model!X183</f>
        <v>OK</v>
      </c>
      <c r="Y172" t="str">
        <f>Model!Y183</f>
        <v>OK</v>
      </c>
      <c r="Z172" t="str">
        <f>Model!Z183</f>
        <v>OK</v>
      </c>
      <c r="AA172" t="str">
        <f>Model!AA183</f>
        <v>OK</v>
      </c>
      <c r="AB172" t="str">
        <f>Model!AB183</f>
        <v>OK</v>
      </c>
      <c r="AC172" t="str">
        <f>Model!AC183</f>
        <v>OK</v>
      </c>
      <c r="AD172" t="str">
        <f>Model!AD183</f>
        <v>OK</v>
      </c>
      <c r="AE172" t="str">
        <f>Model!AE183</f>
        <v>OK</v>
      </c>
      <c r="AF172" t="str">
        <f>Model!AF183</f>
        <v>OK</v>
      </c>
      <c r="AG172" t="str">
        <f>Model!AG183</f>
        <v>OK</v>
      </c>
      <c r="AH172" t="str">
        <f>Model!AH183</f>
        <v>OK</v>
      </c>
      <c r="AI172" t="str">
        <f>Model!AI183</f>
        <v>OK</v>
      </c>
      <c r="AJ172" t="str">
        <f>Model!AJ183</f>
        <v>OK</v>
      </c>
      <c r="AL172">
        <f>Model!BG183</f>
        <v>0</v>
      </c>
      <c r="AM172">
        <f>Model!BH183</f>
        <v>0</v>
      </c>
      <c r="AN172">
        <f>Model!BI183</f>
        <v>0</v>
      </c>
      <c r="AO172" t="str">
        <f>Model!BJ183</f>
        <v>OK</v>
      </c>
      <c r="AP172" t="str">
        <f>Model!BK183</f>
        <v>OK</v>
      </c>
      <c r="AQ172" t="str">
        <f>Model!BL183</f>
        <v>OK</v>
      </c>
      <c r="AR172" t="str">
        <f>Model!BM183</f>
        <v>OK</v>
      </c>
      <c r="AS172" t="str">
        <f>Model!BN183</f>
        <v>OK</v>
      </c>
      <c r="AT172" t="str">
        <f>Model!BO183</f>
        <v>OK</v>
      </c>
      <c r="AU172" t="str">
        <f>Model!BP183</f>
        <v>OK</v>
      </c>
      <c r="AV172" t="str">
        <f>Model!BQ183</f>
        <v>OK</v>
      </c>
      <c r="AW172" t="str">
        <f>Model!BR183</f>
        <v>OK</v>
      </c>
      <c r="AX172" t="str">
        <f>Model!BS183</f>
        <v>OK</v>
      </c>
      <c r="AY172" t="str">
        <f>Model!BT183</f>
        <v>OK</v>
      </c>
      <c r="AZ172" t="str">
        <f>Model!BU183</f>
        <v>OK</v>
      </c>
    </row>
    <row r="173" spans="9:52" ht="11.25" customHeight="1">
      <c r="I173">
        <f>Model!I184</f>
        <v>0</v>
      </c>
      <c r="M173">
        <f>Model!M184</f>
        <v>0</v>
      </c>
      <c r="N173">
        <f>Model!N184</f>
        <v>0</v>
      </c>
      <c r="O173">
        <f>Model!O184</f>
        <v>0</v>
      </c>
      <c r="P173">
        <f>Model!P184</f>
        <v>0</v>
      </c>
      <c r="Q173">
        <f>Model!Q184</f>
        <v>0</v>
      </c>
      <c r="R173">
        <f>Model!R184</f>
        <v>0</v>
      </c>
      <c r="S173">
        <f>Model!S184</f>
        <v>0</v>
      </c>
      <c r="T173">
        <f>Model!T184</f>
        <v>0</v>
      </c>
      <c r="U173">
        <f>Model!U184</f>
        <v>0</v>
      </c>
      <c r="V173">
        <f>Model!V184</f>
        <v>0</v>
      </c>
      <c r="W173">
        <f>Model!W184</f>
        <v>0</v>
      </c>
      <c r="X173">
        <f>Model!X184</f>
        <v>0</v>
      </c>
      <c r="Y173">
        <f>Model!Y184</f>
        <v>0</v>
      </c>
      <c r="Z173">
        <f>Model!Z184</f>
        <v>0</v>
      </c>
      <c r="AA173">
        <f>Model!AA184</f>
        <v>0</v>
      </c>
      <c r="AB173">
        <f>Model!AB184</f>
        <v>0</v>
      </c>
      <c r="AC173">
        <f>Model!AC184</f>
        <v>0</v>
      </c>
      <c r="AD173">
        <f>Model!AD184</f>
        <v>0</v>
      </c>
      <c r="AE173">
        <f>Model!AE184</f>
        <v>0</v>
      </c>
      <c r="AF173">
        <f>Model!AF184</f>
        <v>0</v>
      </c>
      <c r="AG173">
        <f>Model!AG184</f>
        <v>0</v>
      </c>
      <c r="AH173">
        <f>Model!AH184</f>
        <v>0</v>
      </c>
      <c r="AI173">
        <f>Model!AI184</f>
        <v>0</v>
      </c>
      <c r="AJ173">
        <f>Model!AJ184</f>
        <v>0</v>
      </c>
      <c r="AL173">
        <f>Model!BG184</f>
        <v>0</v>
      </c>
      <c r="AM173">
        <f>Model!BH184</f>
        <v>0</v>
      </c>
      <c r="AN173">
        <f>Model!BI184</f>
        <v>0</v>
      </c>
      <c r="AO173">
        <f>Model!BJ184</f>
        <v>0</v>
      </c>
      <c r="AP173">
        <f>Model!BK184</f>
        <v>0</v>
      </c>
      <c r="AQ173">
        <f>Model!BL184</f>
        <v>0</v>
      </c>
      <c r="AR173">
        <f>Model!BM184</f>
        <v>0</v>
      </c>
      <c r="AS173">
        <f>Model!BN184</f>
        <v>0</v>
      </c>
      <c r="AT173">
        <f>Model!BO184</f>
        <v>0</v>
      </c>
      <c r="AU173">
        <f>Model!BP184</f>
        <v>0</v>
      </c>
      <c r="AV173">
        <f>Model!BQ184</f>
        <v>0</v>
      </c>
      <c r="AW173">
        <f>Model!BR184</f>
        <v>0</v>
      </c>
      <c r="AX173">
        <f>Model!BS184</f>
        <v>0</v>
      </c>
      <c r="AY173">
        <f>Model!BT184</f>
        <v>0</v>
      </c>
      <c r="AZ173">
        <f>Model!BU184</f>
        <v>0</v>
      </c>
    </row>
    <row r="174" spans="9:52" ht="11.25" customHeight="1">
      <c r="I174" t="str">
        <f>Model!I185</f>
        <v>Balance sheet assumptions</v>
      </c>
      <c r="M174">
        <f>Model!M185</f>
        <v>0</v>
      </c>
      <c r="N174">
        <f>Model!N185</f>
        <v>0</v>
      </c>
      <c r="O174">
        <f>Model!O185</f>
        <v>0</v>
      </c>
      <c r="P174">
        <f>Model!P185</f>
        <v>0</v>
      </c>
      <c r="Q174">
        <f>Model!Q185</f>
        <v>0</v>
      </c>
      <c r="R174">
        <f>Model!R185</f>
        <v>0</v>
      </c>
      <c r="S174">
        <f>Model!S185</f>
        <v>0</v>
      </c>
      <c r="T174">
        <f>Model!T185</f>
        <v>0</v>
      </c>
      <c r="U174">
        <f>Model!U185</f>
        <v>0</v>
      </c>
      <c r="V174">
        <f>Model!V185</f>
        <v>0</v>
      </c>
      <c r="W174">
        <f>Model!W185</f>
        <v>0</v>
      </c>
      <c r="X174">
        <f>Model!X185</f>
        <v>0</v>
      </c>
      <c r="Y174">
        <f>Model!Y185</f>
        <v>0</v>
      </c>
      <c r="Z174">
        <f>Model!Z185</f>
        <v>0</v>
      </c>
      <c r="AA174">
        <f>Model!AA185</f>
        <v>0</v>
      </c>
      <c r="AB174">
        <f>Model!AB185</f>
        <v>0</v>
      </c>
      <c r="AC174">
        <f>Model!AC185</f>
        <v>0</v>
      </c>
      <c r="AD174">
        <f>Model!AD185</f>
        <v>0</v>
      </c>
      <c r="AE174">
        <f>Model!AE185</f>
        <v>0</v>
      </c>
      <c r="AF174">
        <f>Model!AF185</f>
        <v>0</v>
      </c>
      <c r="AG174">
        <f>Model!AG185</f>
        <v>0</v>
      </c>
      <c r="AH174">
        <f>Model!AH185</f>
        <v>0</v>
      </c>
      <c r="AI174">
        <f>Model!AI185</f>
        <v>0</v>
      </c>
      <c r="AJ174">
        <f>Model!AJ185</f>
        <v>0</v>
      </c>
      <c r="AL174">
        <f>Model!BG185</f>
        <v>0</v>
      </c>
      <c r="AM174">
        <f>Model!BH185</f>
        <v>0</v>
      </c>
      <c r="AN174">
        <f>Model!BI185</f>
        <v>0</v>
      </c>
      <c r="AO174">
        <f>Model!BJ185</f>
        <v>0</v>
      </c>
      <c r="AP174">
        <f>Model!BK185</f>
        <v>0</v>
      </c>
      <c r="AQ174">
        <f>Model!BL185</f>
        <v>0</v>
      </c>
      <c r="AR174">
        <f>Model!BM185</f>
        <v>0</v>
      </c>
      <c r="AS174">
        <f>Model!BN185</f>
        <v>0</v>
      </c>
      <c r="AT174">
        <f>Model!BO185</f>
        <v>0</v>
      </c>
      <c r="AU174">
        <f>Model!BP185</f>
        <v>0</v>
      </c>
      <c r="AV174">
        <f>Model!BQ185</f>
        <v>0</v>
      </c>
      <c r="AW174">
        <f>Model!BR185</f>
        <v>0</v>
      </c>
      <c r="AX174">
        <f>Model!BS185</f>
        <v>0</v>
      </c>
      <c r="AY174">
        <f>Model!BT185</f>
        <v>0</v>
      </c>
      <c r="AZ174">
        <f>Model!BU185</f>
        <v>0</v>
      </c>
    </row>
    <row r="175" spans="9:52" ht="11.25" customHeight="1">
      <c r="I175">
        <f>Model!I186</f>
        <v>0</v>
      </c>
      <c r="M175">
        <f>Model!M186</f>
        <v>0</v>
      </c>
      <c r="N175">
        <f>Model!N186</f>
        <v>0</v>
      </c>
      <c r="O175">
        <f>Model!O186</f>
        <v>0</v>
      </c>
      <c r="P175">
        <f>Model!P186</f>
        <v>0</v>
      </c>
      <c r="Q175">
        <f>Model!Q186</f>
        <v>0</v>
      </c>
      <c r="R175">
        <f>Model!R186</f>
        <v>0</v>
      </c>
      <c r="S175">
        <f>Model!S186</f>
        <v>0</v>
      </c>
      <c r="T175">
        <f>Model!T186</f>
        <v>0</v>
      </c>
      <c r="U175">
        <f>Model!U186</f>
        <v>0</v>
      </c>
      <c r="V175">
        <f>Model!V186</f>
        <v>0</v>
      </c>
      <c r="W175">
        <f>Model!W186</f>
        <v>0</v>
      </c>
      <c r="X175">
        <f>Model!X186</f>
        <v>0</v>
      </c>
      <c r="Y175">
        <f>Model!Y186</f>
        <v>0</v>
      </c>
      <c r="Z175">
        <f>Model!Z186</f>
        <v>0</v>
      </c>
      <c r="AA175">
        <f>Model!AA186</f>
        <v>0</v>
      </c>
      <c r="AB175">
        <f>Model!AB186</f>
        <v>0</v>
      </c>
      <c r="AC175">
        <f>Model!AC186</f>
        <v>0</v>
      </c>
      <c r="AD175">
        <f>Model!AD186</f>
        <v>0</v>
      </c>
      <c r="AE175">
        <f>Model!AE186</f>
        <v>0</v>
      </c>
      <c r="AF175">
        <f>Model!AF186</f>
        <v>0</v>
      </c>
      <c r="AG175">
        <f>Model!AG186</f>
        <v>0</v>
      </c>
      <c r="AH175">
        <f>Model!AH186</f>
        <v>0</v>
      </c>
      <c r="AI175">
        <f>Model!AI186</f>
        <v>0</v>
      </c>
      <c r="AJ175">
        <f>Model!AJ186</f>
        <v>0</v>
      </c>
      <c r="AL175">
        <f>Model!BG186</f>
        <v>0</v>
      </c>
      <c r="AM175">
        <f>Model!BH186</f>
        <v>0</v>
      </c>
      <c r="AN175">
        <f>Model!BI186</f>
        <v>0</v>
      </c>
      <c r="AO175">
        <f>Model!BJ186</f>
        <v>0</v>
      </c>
      <c r="AP175">
        <f>Model!BK186</f>
        <v>0</v>
      </c>
      <c r="AQ175">
        <f>Model!BL186</f>
        <v>0</v>
      </c>
      <c r="AR175">
        <f>Model!BM186</f>
        <v>0</v>
      </c>
      <c r="AS175">
        <f>Model!BN186</f>
        <v>0</v>
      </c>
      <c r="AT175">
        <f>Model!BO186</f>
        <v>0</v>
      </c>
      <c r="AU175">
        <f>Model!BP186</f>
        <v>0</v>
      </c>
      <c r="AV175">
        <f>Model!BQ186</f>
        <v>0</v>
      </c>
      <c r="AW175">
        <f>Model!BR186</f>
        <v>0</v>
      </c>
      <c r="AX175">
        <f>Model!BS186</f>
        <v>0</v>
      </c>
      <c r="AY175">
        <f>Model!BT186</f>
        <v>0</v>
      </c>
      <c r="AZ175">
        <f>Model!BU186</f>
        <v>0</v>
      </c>
    </row>
    <row r="176" spans="9:52" ht="11.25" customHeight="1">
      <c r="I176" t="str">
        <f>Model!I187</f>
        <v>Days Sales Outstanding</v>
      </c>
      <c r="M176">
        <f>Model!M187</f>
        <v>0</v>
      </c>
      <c r="N176">
        <f>Model!N187</f>
        <v>0</v>
      </c>
      <c r="O176">
        <f>Model!O187</f>
        <v>0</v>
      </c>
      <c r="P176">
        <f>Model!P187</f>
        <v>39.534474433678142</v>
      </c>
      <c r="Q176">
        <f>Model!Q187</f>
        <v>0</v>
      </c>
      <c r="R176">
        <f>Model!R187</f>
        <v>0</v>
      </c>
      <c r="S176">
        <f>Model!S187</f>
        <v>31.85414985203121</v>
      </c>
      <c r="T176">
        <f>Model!T187</f>
        <v>30.27373268419996</v>
      </c>
      <c r="U176">
        <f>Model!U187</f>
        <v>23.937646065364255</v>
      </c>
      <c r="V176">
        <f>Model!V187</f>
        <v>28.300079625149298</v>
      </c>
      <c r="W176">
        <f>Model!W187</f>
        <v>26.918496192021109</v>
      </c>
      <c r="X176">
        <f>Model!X187</f>
        <v>25.456656826299294</v>
      </c>
      <c r="Y176">
        <f>Model!Y187</f>
        <v>24.399219376585087</v>
      </c>
      <c r="Z176">
        <f>Model!Z187</f>
        <v>24.50964710212093</v>
      </c>
      <c r="AA176">
        <f>Model!AA187</f>
        <v>25.659019957176248</v>
      </c>
      <c r="AB176">
        <f>Model!AB187</f>
        <v>27.552332946455113</v>
      </c>
      <c r="AC176">
        <f>Model!AC187</f>
        <v>25.546036357925324</v>
      </c>
      <c r="AD176">
        <f>Model!AD187</f>
        <v>26.173912002883302</v>
      </c>
      <c r="AE176">
        <f>Model!AE187</f>
        <v>27.784560904787465</v>
      </c>
      <c r="AF176">
        <f>Model!AF187</f>
        <v>29.576617912036916</v>
      </c>
      <c r="AG176">
        <f>Model!AG187</f>
        <v>31.827878466010738</v>
      </c>
      <c r="AH176">
        <f>Model!AH187</f>
        <v>30.053880871815288</v>
      </c>
      <c r="AI176">
        <f>Model!AI187</f>
        <v>31.845403974739973</v>
      </c>
      <c r="AJ176">
        <f>Model!AJ187</f>
        <v>32.837020705521482</v>
      </c>
      <c r="AL176">
        <f>Model!BG187</f>
        <v>0</v>
      </c>
      <c r="AM176">
        <f>Model!BH187</f>
        <v>0</v>
      </c>
      <c r="AN176">
        <f>Model!BI187</f>
        <v>0</v>
      </c>
      <c r="AO176">
        <f>Model!BJ187</f>
        <v>31.659340127092374</v>
      </c>
      <c r="AP176">
        <f>Model!BK187</f>
        <v>50.604392323647112</v>
      </c>
      <c r="AQ176">
        <f>Model!BL187</f>
        <v>36.211433631506274</v>
      </c>
      <c r="AR176">
        <f>Model!BM187</f>
        <v>30.464493406801108</v>
      </c>
      <c r="AS176">
        <f>Model!BN187</f>
        <v>33.419744793723282</v>
      </c>
      <c r="AT176">
        <f>Model!BO187</f>
        <v>34.434711524199024</v>
      </c>
      <c r="AU176">
        <f>Model!BP187</f>
        <v>37.148185367264311</v>
      </c>
      <c r="AV176">
        <f>Model!BQ187</f>
        <v>35.202492676024342</v>
      </c>
      <c r="AW176">
        <f>Model!BR187</f>
        <v>32.855173751465792</v>
      </c>
      <c r="AX176">
        <f>Model!BS187</f>
        <v>34.176182971518763</v>
      </c>
      <c r="AY176">
        <f>Model!BT187</f>
        <v>33.314696841427441</v>
      </c>
      <c r="AZ176">
        <f>Model!BU187</f>
        <v>32.784107764407509</v>
      </c>
    </row>
    <row r="177" spans="9:52" ht="11.25" customHeight="1">
      <c r="I177" t="str">
        <f>Model!I188</f>
        <v>Days Payable Outstanding</v>
      </c>
      <c r="M177">
        <f>Model!M188</f>
        <v>0</v>
      </c>
      <c r="N177">
        <f>Model!N188</f>
        <v>0</v>
      </c>
      <c r="O177">
        <f>Model!O188</f>
        <v>0</v>
      </c>
      <c r="P177">
        <f>Model!P188</f>
        <v>78.104968782518213</v>
      </c>
      <c r="Q177">
        <f>Model!Q188</f>
        <v>0</v>
      </c>
      <c r="R177">
        <f>Model!R188</f>
        <v>0</v>
      </c>
      <c r="S177">
        <f>Model!S188</f>
        <v>93.529404527559052</v>
      </c>
      <c r="T177">
        <f>Model!T188</f>
        <v>149.48902120044053</v>
      </c>
      <c r="U177">
        <f>Model!U188</f>
        <v>149.40861269614837</v>
      </c>
      <c r="V177">
        <f>Model!V188</f>
        <v>108.86483650022096</v>
      </c>
      <c r="W177">
        <f>Model!W188</f>
        <v>81.974560428455959</v>
      </c>
      <c r="X177">
        <f>Model!X188</f>
        <v>70.339881956155139</v>
      </c>
      <c r="Y177">
        <f>Model!Y188</f>
        <v>84.383032435740517</v>
      </c>
      <c r="Z177">
        <f>Model!Z188</f>
        <v>45.01451891132124</v>
      </c>
      <c r="AA177">
        <f>Model!AA188</f>
        <v>62.122259166067572</v>
      </c>
      <c r="AB177">
        <f>Model!AB188</f>
        <v>64.182041370664422</v>
      </c>
      <c r="AC177">
        <f>Model!AC188</f>
        <v>29.245204992896291</v>
      </c>
      <c r="AD177">
        <f>Model!AD188</f>
        <v>26.79095354523227</v>
      </c>
      <c r="AE177">
        <f>Model!AE188</f>
        <v>34.328935146090188</v>
      </c>
      <c r="AF177">
        <f>Model!AF188</f>
        <v>18.032896595564345</v>
      </c>
      <c r="AG177">
        <f>Model!AG188</f>
        <v>19.550991253644316</v>
      </c>
      <c r="AH177">
        <f>Model!AH188</f>
        <v>12.137056875730424</v>
      </c>
      <c r="AI177">
        <f>Model!AI188</f>
        <v>21.830715603298614</v>
      </c>
      <c r="AJ177">
        <f>Model!AJ188</f>
        <v>21.09702332242226</v>
      </c>
      <c r="AL177">
        <f>Model!BG188</f>
        <v>0</v>
      </c>
      <c r="AM177">
        <f>Model!BH188</f>
        <v>0</v>
      </c>
      <c r="AN177">
        <f>Model!BI188</f>
        <v>0</v>
      </c>
      <c r="AO177">
        <f>Model!BJ188</f>
        <v>90.579393398751122</v>
      </c>
      <c r="AP177">
        <f>Model!BK188</f>
        <v>96.507714561234323</v>
      </c>
      <c r="AQ177">
        <f>Model!BL188</f>
        <v>184.64347049821458</v>
      </c>
      <c r="AR177">
        <f>Model!BM188</f>
        <v>85.082202957674653</v>
      </c>
      <c r="AS177">
        <f>Model!BN188</f>
        <v>76.127695167286234</v>
      </c>
      <c r="AT177">
        <f>Model!BO188</f>
        <v>21.587938105102946</v>
      </c>
      <c r="AU177">
        <f>Model!BP188</f>
        <v>24.799931860996431</v>
      </c>
      <c r="AV177">
        <f>Model!BQ188</f>
        <v>12.631796363761937</v>
      </c>
      <c r="AW177">
        <f>Model!BR188</f>
        <v>49.607614873398681</v>
      </c>
      <c r="AX177">
        <f>Model!BS188</f>
        <v>52.612693766746553</v>
      </c>
      <c r="AY177">
        <f>Model!BT188</f>
        <v>51.717162806255885</v>
      </c>
      <c r="AZ177">
        <f>Model!BU188</f>
        <v>51.331815519979614</v>
      </c>
    </row>
    <row r="178" spans="9:52" ht="11.25" customHeight="1">
      <c r="I178" t="str">
        <f>Model!I189</f>
        <v>Prepaid expenses &amp; other current assets - % of non-GAAP opex</v>
      </c>
      <c r="M178">
        <f>Model!M189</f>
        <v>0</v>
      </c>
      <c r="N178">
        <f>Model!N189</f>
        <v>0</v>
      </c>
      <c r="O178">
        <f>Model!O189</f>
        <v>0</v>
      </c>
      <c r="P178">
        <f>Model!P189</f>
        <v>2.524363833243097E-2</v>
      </c>
      <c r="Q178">
        <f>Model!Q189</f>
        <v>0</v>
      </c>
      <c r="R178">
        <f>Model!R189</f>
        <v>0</v>
      </c>
      <c r="S178">
        <f>Model!S189</f>
        <v>1.3718236667107057E-2</v>
      </c>
      <c r="T178">
        <f>Model!T189</f>
        <v>1.7646220267188012E-2</v>
      </c>
      <c r="U178">
        <f>Model!U189</f>
        <v>2.2722330941509026E-2</v>
      </c>
      <c r="V178">
        <f>Model!V189</f>
        <v>2.1578601903511647E-2</v>
      </c>
      <c r="W178">
        <f>Model!W189</f>
        <v>2.138594659107862E-2</v>
      </c>
      <c r="X178">
        <f>Model!X189</f>
        <v>3.1642960214388782E-2</v>
      </c>
      <c r="Y178">
        <f>Model!Y189</f>
        <v>4.0817295142267264E-2</v>
      </c>
      <c r="Z178">
        <f>Model!Z189</f>
        <v>3.5022946255736563E-2</v>
      </c>
      <c r="AA178">
        <f>Model!AA189</f>
        <v>3.2878471819832347E-2</v>
      </c>
      <c r="AB178">
        <f>Model!AB189</f>
        <v>2.4379492743794924E-2</v>
      </c>
      <c r="AC178">
        <f>Model!AC189</f>
        <v>3.409602569490304E-2</v>
      </c>
      <c r="AD178">
        <f>Model!AD189</f>
        <v>0.24476743353710034</v>
      </c>
      <c r="AE178">
        <f>Model!AE189</f>
        <v>0.25598233668837578</v>
      </c>
      <c r="AF178">
        <f>Model!AF189</f>
        <v>5.8298192771084341E-2</v>
      </c>
      <c r="AG178">
        <f>Model!AG189</f>
        <v>5.647640556754982E-2</v>
      </c>
      <c r="AH178">
        <f>Model!AH189</f>
        <v>5.3816153612859206E-2</v>
      </c>
      <c r="AI178">
        <f>Model!AI189</f>
        <v>6.4024878971498195E-2</v>
      </c>
      <c r="AJ178">
        <f>Model!AJ189</f>
        <v>3.8028538777527252E-2</v>
      </c>
      <c r="AL178">
        <f>Model!BG189</f>
        <v>0</v>
      </c>
      <c r="AM178">
        <f>Model!BH189</f>
        <v>0</v>
      </c>
      <c r="AN178">
        <f>Model!BI189</f>
        <v>0</v>
      </c>
      <c r="AO178">
        <f>Model!BJ189</f>
        <v>3.3631863356384385E-2</v>
      </c>
      <c r="AP178">
        <f>Model!BK189</f>
        <v>2.9030061290008752E-2</v>
      </c>
      <c r="AQ178">
        <f>Model!BL189</f>
        <v>2.0937537755225326E-2</v>
      </c>
      <c r="AR178">
        <f>Model!BM189</f>
        <v>3.7672467347204856E-2</v>
      </c>
      <c r="AS178">
        <f>Model!BN189</f>
        <v>2.892283556422659E-2</v>
      </c>
      <c r="AT178">
        <f>Model!BO189</f>
        <v>6.4398388293500947E-2</v>
      </c>
      <c r="AU178">
        <f>Model!BP189</f>
        <v>4.2798640002607018E-2</v>
      </c>
      <c r="AV178">
        <f>Model!BQ189</f>
        <v>2.2515513068267955E-2</v>
      </c>
      <c r="AW178">
        <f>Model!BR189</f>
        <v>2.360451462652997E-2</v>
      </c>
      <c r="AX178">
        <f>Model!BS189</f>
        <v>2.4257170647234941E-2</v>
      </c>
      <c r="AY178">
        <f>Model!BT189</f>
        <v>2.3009335758248942E-2</v>
      </c>
      <c r="AZ178">
        <f>Model!BU189</f>
        <v>2.2095247719533147E-2</v>
      </c>
    </row>
    <row r="179" spans="9:52" ht="11.25" customHeight="1">
      <c r="I179" t="str">
        <f>Model!I190</f>
        <v>Accrued expenses &amp; other current liabilities - % of non-GAAP opex</v>
      </c>
      <c r="M179">
        <f>Model!M190</f>
        <v>0</v>
      </c>
      <c r="N179">
        <f>Model!N190</f>
        <v>0</v>
      </c>
      <c r="O179">
        <f>Model!O190</f>
        <v>0</v>
      </c>
      <c r="P179">
        <f>Model!P190</f>
        <v>7.4326610720086631E-2</v>
      </c>
      <c r="Q179">
        <f>Model!Q190</f>
        <v>0</v>
      </c>
      <c r="R179">
        <f>Model!R190</f>
        <v>0</v>
      </c>
      <c r="S179">
        <f>Model!S190</f>
        <v>7.9689082661734259E-2</v>
      </c>
      <c r="T179">
        <f>Model!T190</f>
        <v>7.8252280873248606E-2</v>
      </c>
      <c r="U179">
        <f>Model!U190</f>
        <v>7.2751322751322747E-2</v>
      </c>
      <c r="V179">
        <f>Model!V190</f>
        <v>7.5434853954709558E-2</v>
      </c>
      <c r="W179">
        <f>Model!W190</f>
        <v>7.5413993734148879E-2</v>
      </c>
      <c r="X179">
        <f>Model!X190</f>
        <v>0.10543573490002062</v>
      </c>
      <c r="Y179">
        <f>Model!Y190</f>
        <v>8.9898906001566262E-2</v>
      </c>
      <c r="Z179">
        <f>Model!Z190</f>
        <v>9.6183961545990376E-2</v>
      </c>
      <c r="AA179">
        <f>Model!AA190</f>
        <v>0.10642407385946613</v>
      </c>
      <c r="AB179">
        <f>Model!AB190</f>
        <v>9.6331208463312085E-2</v>
      </c>
      <c r="AC179">
        <f>Model!AC190</f>
        <v>9.0022212883472411E-2</v>
      </c>
      <c r="AD179">
        <f>Model!AD190</f>
        <v>7.7382571473565143E-2</v>
      </c>
      <c r="AE179">
        <f>Model!AE190</f>
        <v>8.4539051707124543E-2</v>
      </c>
      <c r="AF179">
        <f>Model!AF190</f>
        <v>8.9099397590361451E-2</v>
      </c>
      <c r="AG179">
        <f>Model!AG190</f>
        <v>8.6819224648743004E-2</v>
      </c>
      <c r="AH179">
        <f>Model!AH190</f>
        <v>8.9364242929714163E-2</v>
      </c>
      <c r="AI179">
        <f>Model!AI190</f>
        <v>9.8678304639158734E-2</v>
      </c>
      <c r="AJ179">
        <f>Model!AJ190</f>
        <v>8.389057046668931E-2</v>
      </c>
      <c r="AL179">
        <f>Model!BG190</f>
        <v>0</v>
      </c>
      <c r="AM179">
        <f>Model!BH190</f>
        <v>0</v>
      </c>
      <c r="AN179">
        <f>Model!BI190</f>
        <v>0</v>
      </c>
      <c r="AO179">
        <f>Model!BJ190</f>
        <v>7.3083172731738644E-2</v>
      </c>
      <c r="AP179">
        <f>Model!BK190</f>
        <v>8.5475240782177248E-2</v>
      </c>
      <c r="AQ179">
        <f>Model!BL190</f>
        <v>9.2847650114775887E-2</v>
      </c>
      <c r="AR179">
        <f>Model!BM190</f>
        <v>0.12552631780775692</v>
      </c>
      <c r="AS179">
        <f>Model!BN190</f>
        <v>0.11428341562999687</v>
      </c>
      <c r="AT179">
        <f>Model!BO190</f>
        <v>9.8422563890986886E-2</v>
      </c>
      <c r="AU179">
        <f>Model!BP190</f>
        <v>9.4413365341791664E-2</v>
      </c>
      <c r="AV179">
        <f>Model!BQ190</f>
        <v>9.5983243620953146E-2</v>
      </c>
      <c r="AW179">
        <f>Model!BR190</f>
        <v>0.11075328471104016</v>
      </c>
      <c r="AX179">
        <f>Model!BS190</f>
        <v>0.11381557170245618</v>
      </c>
      <c r="AY179">
        <f>Model!BT190</f>
        <v>0.10232484850457189</v>
      </c>
      <c r="AZ179">
        <f>Model!BU190</f>
        <v>0.10299250231583086</v>
      </c>
    </row>
    <row r="180" spans="9:52" ht="11.25" customHeight="1">
      <c r="I180" t="str">
        <f>Model!I191</f>
        <v>Deferred revenue - % of revenue</v>
      </c>
      <c r="M180">
        <f>Model!M191</f>
        <v>0</v>
      </c>
      <c r="N180">
        <f>Model!N191</f>
        <v>0</v>
      </c>
      <c r="O180">
        <f>Model!O191</f>
        <v>0</v>
      </c>
      <c r="P180">
        <f>Model!P191</f>
        <v>2.3553096765745712E-2</v>
      </c>
      <c r="Q180">
        <f>Model!Q191</f>
        <v>0</v>
      </c>
      <c r="R180">
        <f>Model!R191</f>
        <v>0</v>
      </c>
      <c r="S180">
        <f>Model!S191</f>
        <v>2.0491435745673036E-2</v>
      </c>
      <c r="T180">
        <f>Model!T191</f>
        <v>2.0799036338084723E-2</v>
      </c>
      <c r="U180">
        <f>Model!U191</f>
        <v>9.1199561803907252E-3</v>
      </c>
      <c r="V180">
        <f>Model!V191</f>
        <v>9.7693933176124705E-3</v>
      </c>
      <c r="W180">
        <f>Model!W191</f>
        <v>8.543894861290589E-3</v>
      </c>
      <c r="X180">
        <f>Model!X191</f>
        <v>1.7348203221809171E-2</v>
      </c>
      <c r="Y180">
        <f>Model!Y191</f>
        <v>1.6723386729672902E-2</v>
      </c>
      <c r="Z180">
        <f>Model!Z191</f>
        <v>1.2444795812660159E-2</v>
      </c>
      <c r="AA180">
        <f>Model!AA191</f>
        <v>9.0755299847992028E-3</v>
      </c>
      <c r="AB180">
        <f>Model!AB191</f>
        <v>9.2744617910574517E-3</v>
      </c>
      <c r="AC180">
        <f>Model!AC191</f>
        <v>7.145942125721466E-3</v>
      </c>
      <c r="AD180">
        <f>Model!AD191</f>
        <v>6.1551803755054224E-3</v>
      </c>
      <c r="AE180">
        <f>Model!AE191</f>
        <v>5.2340051730027821E-3</v>
      </c>
      <c r="AF180">
        <f>Model!AF191</f>
        <v>6.8115427666602972E-3</v>
      </c>
      <c r="AG180">
        <f>Model!AG191</f>
        <v>6.0227739698315401E-3</v>
      </c>
      <c r="AH180">
        <f>Model!AH191</f>
        <v>5.0676751592356687E-3</v>
      </c>
      <c r="AI180">
        <f>Model!AI191</f>
        <v>4.7232540861812779E-3</v>
      </c>
      <c r="AJ180">
        <f>Model!AJ191</f>
        <v>4.9948875255623731E-3</v>
      </c>
      <c r="AL180">
        <f>Model!BG191</f>
        <v>0</v>
      </c>
      <c r="AM180">
        <f>Model!BH191</f>
        <v>0</v>
      </c>
      <c r="AN180">
        <f>Model!BI191</f>
        <v>0</v>
      </c>
      <c r="AO180">
        <f>Model!BJ191</f>
        <v>3.4756664600123992E-2</v>
      </c>
      <c r="AP180">
        <f>Model!BK191</f>
        <v>3.0148121765728772E-2</v>
      </c>
      <c r="AQ180">
        <f>Model!BL191</f>
        <v>2.4878429489103682E-2</v>
      </c>
      <c r="AR180">
        <f>Model!BM191</f>
        <v>2.0760943837866919E-2</v>
      </c>
      <c r="AS180">
        <f>Model!BN191</f>
        <v>1.1249506412347418E-2</v>
      </c>
      <c r="AT180">
        <f>Model!BO191</f>
        <v>7.9303695541617231E-3</v>
      </c>
      <c r="AU180">
        <f>Model!BP191</f>
        <v>5.6506651243493347E-3</v>
      </c>
      <c r="AV180">
        <f>Model!BQ191</f>
        <v>4.6475165797419324E-3</v>
      </c>
      <c r="AW180">
        <f>Model!BR191</f>
        <v>4.0965360711278636E-3</v>
      </c>
      <c r="AX180">
        <f>Model!BS191</f>
        <v>4.2949364860447991E-3</v>
      </c>
      <c r="AY180">
        <f>Model!BT191</f>
        <v>1.388837601040706E-2</v>
      </c>
      <c r="AZ180">
        <f>Model!BU191</f>
        <v>1.4534419312886399E-2</v>
      </c>
    </row>
    <row r="181" spans="9:52" ht="11.25" customHeight="1">
      <c r="I181">
        <f>Model!I192</f>
        <v>0</v>
      </c>
      <c r="M181">
        <f>Model!M192</f>
        <v>0</v>
      </c>
      <c r="N181">
        <f>Model!N192</f>
        <v>0</v>
      </c>
      <c r="O181">
        <f>Model!O192</f>
        <v>0</v>
      </c>
      <c r="P181">
        <f>Model!P192</f>
        <v>0</v>
      </c>
      <c r="Q181">
        <f>Model!Q192</f>
        <v>0</v>
      </c>
      <c r="R181">
        <f>Model!R192</f>
        <v>0</v>
      </c>
      <c r="S181">
        <f>Model!S192</f>
        <v>0</v>
      </c>
      <c r="T181">
        <f>Model!T192</f>
        <v>0</v>
      </c>
      <c r="U181">
        <f>Model!U192</f>
        <v>0</v>
      </c>
      <c r="V181">
        <f>Model!V192</f>
        <v>0</v>
      </c>
      <c r="W181">
        <f>Model!W192</f>
        <v>0</v>
      </c>
      <c r="X181">
        <f>Model!X192</f>
        <v>0</v>
      </c>
      <c r="Y181">
        <f>Model!Y192</f>
        <v>0</v>
      </c>
      <c r="Z181">
        <f>Model!Z192</f>
        <v>0</v>
      </c>
      <c r="AA181">
        <f>Model!AA192</f>
        <v>0</v>
      </c>
      <c r="AB181">
        <f>Model!AB192</f>
        <v>0</v>
      </c>
      <c r="AC181">
        <f>Model!AC192</f>
        <v>0</v>
      </c>
      <c r="AD181">
        <f>Model!AD192</f>
        <v>0</v>
      </c>
      <c r="AE181">
        <f>Model!AE192</f>
        <v>0</v>
      </c>
      <c r="AF181">
        <f>Model!AF192</f>
        <v>0</v>
      </c>
      <c r="AG181">
        <f>Model!AG192</f>
        <v>0</v>
      </c>
      <c r="AH181">
        <f>Model!AH192</f>
        <v>0</v>
      </c>
      <c r="AI181">
        <f>Model!AI192</f>
        <v>0</v>
      </c>
      <c r="AJ181">
        <f>Model!AJ192</f>
        <v>0</v>
      </c>
      <c r="AL181">
        <f>Model!BG192</f>
        <v>0</v>
      </c>
      <c r="AM181">
        <f>Model!BH192</f>
        <v>0</v>
      </c>
      <c r="AN181">
        <f>Model!BI192</f>
        <v>0</v>
      </c>
      <c r="AO181">
        <f>Model!BJ192</f>
        <v>0</v>
      </c>
      <c r="AP181">
        <f>Model!BK192</f>
        <v>0</v>
      </c>
      <c r="AQ181">
        <f>Model!BL192</f>
        <v>0</v>
      </c>
      <c r="AR181">
        <f>Model!BM192</f>
        <v>0</v>
      </c>
      <c r="AS181">
        <f>Model!BN192</f>
        <v>0</v>
      </c>
      <c r="AT181">
        <f>Model!BO192</f>
        <v>0</v>
      </c>
      <c r="AU181">
        <f>Model!BP192</f>
        <v>0</v>
      </c>
      <c r="AV181">
        <f>Model!BQ192</f>
        <v>0</v>
      </c>
      <c r="AW181">
        <f>Model!BR192</f>
        <v>0</v>
      </c>
      <c r="AX181">
        <f>Model!BS192</f>
        <v>0</v>
      </c>
      <c r="AY181">
        <f>Model!BT192</f>
        <v>0</v>
      </c>
      <c r="AZ181">
        <f>Model!BU192</f>
        <v>0</v>
      </c>
    </row>
    <row r="182" spans="9:52" ht="11.25" customHeight="1">
      <c r="I182" t="str">
        <f>Model!I196</f>
        <v>(USD millions)</v>
      </c>
      <c r="M182">
        <f>Model!M196</f>
        <v>1</v>
      </c>
      <c r="N182">
        <f>Model!N196</f>
        <v>2</v>
      </c>
      <c r="O182">
        <f>Model!O196</f>
        <v>3</v>
      </c>
      <c r="P182">
        <f>Model!P196</f>
        <v>4</v>
      </c>
      <c r="Q182">
        <f>Model!Q196</f>
        <v>1</v>
      </c>
      <c r="R182">
        <f>Model!R196</f>
        <v>2</v>
      </c>
      <c r="S182">
        <f>Model!S196</f>
        <v>3</v>
      </c>
      <c r="T182">
        <f>Model!T196</f>
        <v>4</v>
      </c>
      <c r="U182">
        <f>Model!U196</f>
        <v>1</v>
      </c>
      <c r="V182">
        <f>Model!V196</f>
        <v>2</v>
      </c>
      <c r="W182">
        <f>Model!W196</f>
        <v>3</v>
      </c>
      <c r="X182">
        <f>Model!X196</f>
        <v>4</v>
      </c>
      <c r="Y182">
        <f>Model!Y196</f>
        <v>1</v>
      </c>
      <c r="Z182">
        <f>Model!Z196</f>
        <v>2</v>
      </c>
      <c r="AA182">
        <f>Model!AA196</f>
        <v>3</v>
      </c>
      <c r="AB182">
        <f>Model!AB196</f>
        <v>4</v>
      </c>
      <c r="AC182">
        <f>Model!AC196</f>
        <v>1</v>
      </c>
      <c r="AD182">
        <f>Model!AD196</f>
        <v>2</v>
      </c>
      <c r="AE182">
        <f>Model!AE196</f>
        <v>3</v>
      </c>
      <c r="AF182">
        <f>Model!AF196</f>
        <v>4</v>
      </c>
      <c r="AG182">
        <f>Model!AG196</f>
        <v>1</v>
      </c>
      <c r="AH182">
        <f>Model!AH196</f>
        <v>2</v>
      </c>
      <c r="AI182">
        <f>Model!AI196</f>
        <v>3</v>
      </c>
      <c r="AJ182">
        <f>Model!AJ196</f>
        <v>4</v>
      </c>
      <c r="AL182">
        <f>Model!BG196</f>
        <v>39082</v>
      </c>
      <c r="AM182">
        <f>Model!BH196</f>
        <v>39447</v>
      </c>
      <c r="AN182">
        <f>Model!BI196</f>
        <v>39813</v>
      </c>
      <c r="AO182">
        <f>Model!BJ196</f>
        <v>40178</v>
      </c>
      <c r="AP182">
        <f>Model!BK196</f>
        <v>40543</v>
      </c>
      <c r="AQ182">
        <f>Model!BL196</f>
        <v>40908</v>
      </c>
      <c r="AR182">
        <f>Model!BM196</f>
        <v>41274</v>
      </c>
      <c r="AS182">
        <f>Model!BN196</f>
        <v>41639</v>
      </c>
      <c r="AT182">
        <f>Model!BO196</f>
        <v>42004</v>
      </c>
      <c r="AU182">
        <f>Model!BP196</f>
        <v>42369</v>
      </c>
      <c r="AV182">
        <f>Model!BQ196</f>
        <v>42735</v>
      </c>
      <c r="AW182">
        <f>Model!BR196</f>
        <v>43100</v>
      </c>
      <c r="AX182">
        <f>Model!BS196</f>
        <v>43465</v>
      </c>
      <c r="AY182">
        <f>Model!BT196</f>
        <v>43830</v>
      </c>
      <c r="AZ182">
        <f>Model!BU196</f>
        <v>44196</v>
      </c>
    </row>
    <row r="183" spans="9:52" ht="11.25" customHeight="1">
      <c r="I183" t="str">
        <f>Model!I197</f>
        <v>Cash Flow Statement (USD millions)</v>
      </c>
      <c r="M183">
        <f>Model!M197</f>
        <v>0</v>
      </c>
      <c r="N183">
        <f>Model!N197</f>
        <v>0</v>
      </c>
      <c r="O183">
        <f>Model!O197</f>
        <v>0</v>
      </c>
      <c r="P183">
        <f>Model!P197</f>
        <v>0</v>
      </c>
      <c r="Q183">
        <f>Model!Q197</f>
        <v>0</v>
      </c>
      <c r="R183">
        <f>Model!R197</f>
        <v>0</v>
      </c>
      <c r="S183">
        <f>Model!S197</f>
        <v>0</v>
      </c>
      <c r="T183">
        <f>Model!T197</f>
        <v>0</v>
      </c>
      <c r="U183">
        <f>Model!U197</f>
        <v>0</v>
      </c>
      <c r="V183">
        <f>Model!V197</f>
        <v>0</v>
      </c>
      <c r="W183">
        <f>Model!W197</f>
        <v>0</v>
      </c>
      <c r="X183">
        <f>Model!X197</f>
        <v>0</v>
      </c>
      <c r="Y183">
        <f>Model!Y197</f>
        <v>0</v>
      </c>
      <c r="Z183">
        <f>Model!Z197</f>
        <v>0</v>
      </c>
      <c r="AA183">
        <f>Model!AA197</f>
        <v>0</v>
      </c>
      <c r="AB183">
        <f>Model!AB197</f>
        <v>0</v>
      </c>
      <c r="AC183">
        <f>Model!AC197</f>
        <v>0</v>
      </c>
      <c r="AD183">
        <f>Model!AD197</f>
        <v>0</v>
      </c>
      <c r="AE183">
        <f>Model!AE197</f>
        <v>0</v>
      </c>
      <c r="AF183">
        <f>Model!AF197</f>
        <v>0</v>
      </c>
      <c r="AG183">
        <f>Model!AG197</f>
        <v>0</v>
      </c>
      <c r="AH183">
        <f>Model!AH197</f>
        <v>0</v>
      </c>
      <c r="AI183">
        <f>Model!AI197</f>
        <v>0</v>
      </c>
      <c r="AJ183">
        <f>Model!AJ197</f>
        <v>0</v>
      </c>
      <c r="AL183">
        <f>Model!BG197</f>
        <v>0</v>
      </c>
      <c r="AM183">
        <f>Model!BH197</f>
        <v>0</v>
      </c>
      <c r="AN183">
        <f>Model!BI197</f>
        <v>0</v>
      </c>
      <c r="AO183">
        <f>Model!BJ197</f>
        <v>0</v>
      </c>
      <c r="AP183">
        <f>Model!BK197</f>
        <v>0</v>
      </c>
      <c r="AQ183">
        <f>Model!BL197</f>
        <v>0</v>
      </c>
      <c r="AR183">
        <f>Model!BM197</f>
        <v>0</v>
      </c>
      <c r="AS183">
        <f>Model!BN197</f>
        <v>0</v>
      </c>
      <c r="AT183">
        <f>Model!BO197</f>
        <v>0</v>
      </c>
      <c r="AU183">
        <f>Model!BP197</f>
        <v>0</v>
      </c>
      <c r="AV183">
        <f>Model!BQ197</f>
        <v>0</v>
      </c>
      <c r="AW183">
        <f>Model!BR197</f>
        <v>0</v>
      </c>
      <c r="AX183">
        <f>Model!BS197</f>
        <v>0</v>
      </c>
      <c r="AY183">
        <f>Model!BT197</f>
        <v>0</v>
      </c>
      <c r="AZ183">
        <f>Model!BU197</f>
        <v>0</v>
      </c>
    </row>
    <row r="184" spans="9:52" ht="11.25" customHeight="1">
      <c r="I184">
        <f>Model!I198</f>
        <v>0</v>
      </c>
      <c r="M184">
        <f>Model!M198</f>
        <v>0</v>
      </c>
      <c r="N184">
        <f>Model!N198</f>
        <v>0</v>
      </c>
      <c r="O184">
        <f>Model!O198</f>
        <v>0</v>
      </c>
      <c r="P184">
        <f>Model!P198</f>
        <v>0</v>
      </c>
      <c r="Q184">
        <f>Model!Q198</f>
        <v>0</v>
      </c>
      <c r="R184">
        <f>Model!R198</f>
        <v>0</v>
      </c>
      <c r="S184">
        <f>Model!S198</f>
        <v>0</v>
      </c>
      <c r="T184">
        <f>Model!T198</f>
        <v>0</v>
      </c>
      <c r="U184">
        <f>Model!U198</f>
        <v>0</v>
      </c>
      <c r="V184">
        <f>Model!V198</f>
        <v>0</v>
      </c>
      <c r="W184">
        <f>Model!W198</f>
        <v>0</v>
      </c>
      <c r="X184">
        <f>Model!X198</f>
        <v>0</v>
      </c>
      <c r="Y184">
        <f>Model!Y198</f>
        <v>0</v>
      </c>
      <c r="Z184">
        <f>Model!Z198</f>
        <v>0</v>
      </c>
      <c r="AA184">
        <f>Model!AA198</f>
        <v>0</v>
      </c>
      <c r="AB184">
        <f>Model!AB198</f>
        <v>0</v>
      </c>
      <c r="AC184">
        <f>Model!AC198</f>
        <v>0</v>
      </c>
      <c r="AD184">
        <f>Model!AD198</f>
        <v>0</v>
      </c>
      <c r="AE184">
        <f>Model!AE198</f>
        <v>0</v>
      </c>
      <c r="AF184">
        <f>Model!AF198</f>
        <v>0</v>
      </c>
      <c r="AG184">
        <f>Model!AG198</f>
        <v>0</v>
      </c>
      <c r="AH184">
        <f>Model!AH198</f>
        <v>0</v>
      </c>
      <c r="AI184">
        <f>Model!AI198</f>
        <v>0</v>
      </c>
      <c r="AJ184">
        <f>Model!AJ198</f>
        <v>0</v>
      </c>
      <c r="AL184">
        <f>Model!BG198</f>
        <v>0</v>
      </c>
      <c r="AM184">
        <f>Model!BH198</f>
        <v>0</v>
      </c>
      <c r="AN184">
        <f>Model!BI198</f>
        <v>0</v>
      </c>
      <c r="AO184">
        <f>Model!BJ198</f>
        <v>0</v>
      </c>
      <c r="AP184">
        <f>Model!BK198</f>
        <v>0</v>
      </c>
      <c r="AQ184">
        <f>Model!BL198</f>
        <v>0</v>
      </c>
      <c r="AR184">
        <f>Model!BM198</f>
        <v>0</v>
      </c>
      <c r="AS184">
        <f>Model!BN198</f>
        <v>0</v>
      </c>
      <c r="AT184">
        <f>Model!BO198</f>
        <v>0</v>
      </c>
      <c r="AU184">
        <f>Model!BP198</f>
        <v>0</v>
      </c>
      <c r="AV184">
        <f>Model!BQ198</f>
        <v>0</v>
      </c>
      <c r="AW184">
        <f>Model!BR198</f>
        <v>0</v>
      </c>
      <c r="AX184">
        <f>Model!BS198</f>
        <v>0</v>
      </c>
      <c r="AY184">
        <f>Model!BT198</f>
        <v>0</v>
      </c>
      <c r="AZ184">
        <f>Model!BU198</f>
        <v>0</v>
      </c>
    </row>
    <row r="185" spans="9:52" ht="11.25" customHeight="1">
      <c r="I185" t="str">
        <f>Model!I199</f>
        <v>Operating Cash Flow</v>
      </c>
      <c r="M185">
        <f>Model!M199</f>
        <v>0</v>
      </c>
      <c r="N185">
        <f>Model!N199</f>
        <v>0</v>
      </c>
      <c r="O185">
        <f>Model!O199</f>
        <v>0</v>
      </c>
      <c r="P185">
        <f>Model!P199</f>
        <v>0</v>
      </c>
      <c r="Q185">
        <f>Model!Q199</f>
        <v>0</v>
      </c>
      <c r="R185">
        <f>Model!R199</f>
        <v>0</v>
      </c>
      <c r="S185">
        <f>Model!S199</f>
        <v>0</v>
      </c>
      <c r="T185">
        <f>Model!T199</f>
        <v>0</v>
      </c>
      <c r="U185">
        <f>Model!U199</f>
        <v>0</v>
      </c>
      <c r="V185">
        <f>Model!V199</f>
        <v>0</v>
      </c>
      <c r="W185">
        <f>Model!W199</f>
        <v>0</v>
      </c>
      <c r="X185">
        <f>Model!X199</f>
        <v>0</v>
      </c>
      <c r="Y185">
        <f>Model!Y199</f>
        <v>0</v>
      </c>
      <c r="Z185">
        <f>Model!Z199</f>
        <v>0</v>
      </c>
      <c r="AA185">
        <f>Model!AA199</f>
        <v>0</v>
      </c>
      <c r="AB185">
        <f>Model!AB199</f>
        <v>0</v>
      </c>
      <c r="AC185">
        <f>Model!AC199</f>
        <v>0</v>
      </c>
      <c r="AD185">
        <f>Model!AD199</f>
        <v>0</v>
      </c>
      <c r="AE185">
        <f>Model!AE199</f>
        <v>0</v>
      </c>
      <c r="AF185">
        <f>Model!AF199</f>
        <v>0</v>
      </c>
      <c r="AG185">
        <f>Model!AG199</f>
        <v>0</v>
      </c>
      <c r="AH185">
        <f>Model!AH199</f>
        <v>0</v>
      </c>
      <c r="AI185">
        <f>Model!AI199</f>
        <v>0</v>
      </c>
      <c r="AJ185">
        <f>Model!AJ199</f>
        <v>0</v>
      </c>
      <c r="AL185">
        <f>Model!BG199</f>
        <v>0</v>
      </c>
      <c r="AM185">
        <f>Model!BH199</f>
        <v>0</v>
      </c>
      <c r="AN185">
        <f>Model!BI199</f>
        <v>0</v>
      </c>
      <c r="AO185">
        <f>Model!BJ199</f>
        <v>0</v>
      </c>
      <c r="AP185">
        <f>Model!BK199</f>
        <v>0</v>
      </c>
      <c r="AQ185">
        <f>Model!BL199</f>
        <v>0</v>
      </c>
      <c r="AR185">
        <f>Model!BM199</f>
        <v>0</v>
      </c>
      <c r="AS185">
        <f>Model!BN199</f>
        <v>0</v>
      </c>
      <c r="AT185">
        <f>Model!BO199</f>
        <v>0</v>
      </c>
      <c r="AU185">
        <f>Model!BP199</f>
        <v>0</v>
      </c>
      <c r="AV185">
        <f>Model!BQ199</f>
        <v>0</v>
      </c>
      <c r="AW185">
        <f>Model!BR199</f>
        <v>0</v>
      </c>
      <c r="AX185">
        <f>Model!BS199</f>
        <v>0</v>
      </c>
      <c r="AY185">
        <f>Model!BT199</f>
        <v>0</v>
      </c>
      <c r="AZ185">
        <f>Model!BU199</f>
        <v>0</v>
      </c>
    </row>
    <row r="186" spans="9:52" ht="11.25" customHeight="1">
      <c r="I186">
        <f>Model!I200</f>
        <v>0</v>
      </c>
      <c r="M186">
        <f>Model!M200</f>
        <v>0</v>
      </c>
      <c r="N186">
        <f>Model!N200</f>
        <v>0</v>
      </c>
      <c r="O186">
        <f>Model!O200</f>
        <v>0</v>
      </c>
      <c r="P186">
        <f>Model!P200</f>
        <v>0</v>
      </c>
      <c r="Q186">
        <f>Model!Q200</f>
        <v>0</v>
      </c>
      <c r="R186">
        <f>Model!R200</f>
        <v>0</v>
      </c>
      <c r="S186">
        <f>Model!S200</f>
        <v>0</v>
      </c>
      <c r="T186">
        <f>Model!T200</f>
        <v>0</v>
      </c>
      <c r="U186">
        <f>Model!U200</f>
        <v>0</v>
      </c>
      <c r="V186">
        <f>Model!V200</f>
        <v>0</v>
      </c>
      <c r="W186">
        <f>Model!W200</f>
        <v>0</v>
      </c>
      <c r="X186">
        <f>Model!X200</f>
        <v>0</v>
      </c>
      <c r="Y186">
        <f>Model!Y200</f>
        <v>0</v>
      </c>
      <c r="Z186">
        <f>Model!Z200</f>
        <v>0</v>
      </c>
      <c r="AA186">
        <f>Model!AA200</f>
        <v>0</v>
      </c>
      <c r="AB186">
        <f>Model!AB200</f>
        <v>0</v>
      </c>
      <c r="AC186">
        <f>Model!AC200</f>
        <v>0</v>
      </c>
      <c r="AD186">
        <f>Model!AD200</f>
        <v>0</v>
      </c>
      <c r="AE186">
        <f>Model!AE200</f>
        <v>0</v>
      </c>
      <c r="AF186">
        <f>Model!AF200</f>
        <v>0</v>
      </c>
      <c r="AG186">
        <f>Model!AG200</f>
        <v>0</v>
      </c>
      <c r="AH186">
        <f>Model!AH200</f>
        <v>0</v>
      </c>
      <c r="AI186">
        <f>Model!AI200</f>
        <v>0</v>
      </c>
      <c r="AJ186">
        <f>Model!AJ200</f>
        <v>0</v>
      </c>
      <c r="AL186">
        <f>Model!BG200</f>
        <v>0</v>
      </c>
      <c r="AM186">
        <f>Model!BH200</f>
        <v>0</v>
      </c>
      <c r="AN186">
        <f>Model!BI200</f>
        <v>0</v>
      </c>
      <c r="AO186">
        <f>Model!BJ200</f>
        <v>0</v>
      </c>
      <c r="AP186">
        <f>Model!BK200</f>
        <v>0</v>
      </c>
      <c r="AQ186">
        <f>Model!BL200</f>
        <v>0</v>
      </c>
      <c r="AR186">
        <f>Model!BM200</f>
        <v>0</v>
      </c>
      <c r="AS186">
        <f>Model!BN200</f>
        <v>0</v>
      </c>
      <c r="AT186">
        <f>Model!BO200</f>
        <v>0</v>
      </c>
      <c r="AU186">
        <f>Model!BP200</f>
        <v>0</v>
      </c>
      <c r="AV186">
        <f>Model!BQ200</f>
        <v>0</v>
      </c>
      <c r="AW186">
        <f>Model!BR200</f>
        <v>0</v>
      </c>
      <c r="AX186">
        <f>Model!BS200</f>
        <v>0</v>
      </c>
      <c r="AY186">
        <f>Model!BT200</f>
        <v>0</v>
      </c>
      <c r="AZ186">
        <f>Model!BU200</f>
        <v>0</v>
      </c>
    </row>
    <row r="187" spans="9:52" ht="11.25" customHeight="1">
      <c r="I187" t="str">
        <f>Model!I201</f>
        <v>Net income</v>
      </c>
      <c r="M187">
        <f>Model!M201</f>
        <v>0</v>
      </c>
      <c r="N187">
        <f>Model!N201</f>
        <v>0</v>
      </c>
      <c r="O187">
        <f>Model!O201</f>
        <v>-2.8699999999999992</v>
      </c>
      <c r="P187">
        <f>Model!P201</f>
        <v>-1.1090000000000011</v>
      </c>
      <c r="Q187">
        <f>Model!Q201</f>
        <v>-2.7059999999999995</v>
      </c>
      <c r="R187">
        <f>Model!R201</f>
        <v>-1.1649999999999989</v>
      </c>
      <c r="S187">
        <f>Model!S201</f>
        <v>-3.7510000000000066</v>
      </c>
      <c r="T187">
        <f>Model!T201</f>
        <v>-9.0459999999999994</v>
      </c>
      <c r="U187">
        <f>Model!U201</f>
        <v>-9.8019999999999996</v>
      </c>
      <c r="V187">
        <f>Model!V201</f>
        <v>-1.9820000000000024</v>
      </c>
      <c r="W187">
        <f>Model!W201</f>
        <v>-2.0109999999999983</v>
      </c>
      <c r="X187">
        <f>Model!X201</f>
        <v>-5.3190000000000106</v>
      </c>
      <c r="Y187">
        <f>Model!Y201</f>
        <v>-4.7989999999999871</v>
      </c>
      <c r="Z187">
        <f>Model!Z201</f>
        <v>-0.87799999999999834</v>
      </c>
      <c r="AA187">
        <f>Model!AA201</f>
        <v>-2.3220000000000058</v>
      </c>
      <c r="AB187">
        <f>Model!AB201</f>
        <v>-2.0690000000000013</v>
      </c>
      <c r="AC187">
        <f>Model!AC201</f>
        <v>-2.6350000000000131</v>
      </c>
      <c r="AD187">
        <f>Model!AD201</f>
        <v>2.742999999999995</v>
      </c>
      <c r="AE187">
        <f>Model!AE201</f>
        <v>3.6369999999999969</v>
      </c>
      <c r="AF187">
        <f>Model!AF201</f>
        <v>32.728000000000009</v>
      </c>
      <c r="AG187">
        <f>Model!AG201</f>
        <v>-1.284</v>
      </c>
      <c r="AH187">
        <f>Model!AH201</f>
        <v>-1.3049999999999999</v>
      </c>
      <c r="AI187">
        <f>Model!AI201</f>
        <v>-8.081999999999999</v>
      </c>
      <c r="AJ187">
        <f>Model!AJ201</f>
        <v>-22.228999999999999</v>
      </c>
      <c r="AL187">
        <f>Model!BG201</f>
        <v>0</v>
      </c>
      <c r="AM187">
        <f>Model!BH201</f>
        <v>0</v>
      </c>
      <c r="AN187">
        <f>Model!BI201</f>
        <v>-5.8089999999999984</v>
      </c>
      <c r="AO187">
        <f>Model!BJ201</f>
        <v>-2.3079999999999949</v>
      </c>
      <c r="AP187">
        <f>Model!BK201</f>
        <v>-9.5659999999999918</v>
      </c>
      <c r="AQ187">
        <f>Model!BL201</f>
        <v>-16.668000000000006</v>
      </c>
      <c r="AR187">
        <f>Model!BM201</f>
        <v>-19.114000000000011</v>
      </c>
      <c r="AS187">
        <f>Model!BN201</f>
        <v>-10.067999999999993</v>
      </c>
      <c r="AT187">
        <f>Model!BO201</f>
        <v>36.472999999999985</v>
      </c>
      <c r="AU187">
        <f>Model!BP201</f>
        <v>-32.9</v>
      </c>
      <c r="AV187">
        <f>Model!BQ201</f>
        <v>-4.67</v>
      </c>
      <c r="AW187">
        <f>Model!BR201</f>
        <v>152.858</v>
      </c>
      <c r="AX187">
        <f>Model!BS201</f>
        <v>16.028851397845493</v>
      </c>
      <c r="AY187">
        <f>Model!BT201</f>
        <v>46.399164792387026</v>
      </c>
      <c r="AZ187">
        <f>Model!BU201</f>
        <v>65.556212712030458</v>
      </c>
    </row>
    <row r="188" spans="9:52" ht="11.25" customHeight="1">
      <c r="I188" t="str">
        <f>Model!I202</f>
        <v>Depreciation &amp; amortization</v>
      </c>
      <c r="M188">
        <f>Model!M202</f>
        <v>0</v>
      </c>
      <c r="N188">
        <f>Model!N202</f>
        <v>0</v>
      </c>
      <c r="O188">
        <f>Model!O202</f>
        <v>1.4830000000000001</v>
      </c>
      <c r="P188">
        <f>Model!P202</f>
        <v>0.85099999999999998</v>
      </c>
      <c r="Q188">
        <f>Model!Q202</f>
        <v>0.81899999999999995</v>
      </c>
      <c r="R188">
        <f>Model!R202</f>
        <v>0.92400000000000004</v>
      </c>
      <c r="S188">
        <f>Model!S202</f>
        <v>1.0469999999999999</v>
      </c>
      <c r="T188">
        <f>Model!T202</f>
        <v>1.448</v>
      </c>
      <c r="U188">
        <f>Model!U202</f>
        <v>1.361</v>
      </c>
      <c r="V188">
        <f>Model!V202</f>
        <v>1.661</v>
      </c>
      <c r="W188">
        <f>Model!W202</f>
        <v>1.78</v>
      </c>
      <c r="X188">
        <f>Model!X202</f>
        <v>2.4209999999999998</v>
      </c>
      <c r="Y188">
        <f>Model!Y202</f>
        <v>2.4780000000000002</v>
      </c>
      <c r="Z188">
        <f>Model!Z202</f>
        <v>2.637</v>
      </c>
      <c r="AA188">
        <f>Model!AA202</f>
        <v>2.8159999999999998</v>
      </c>
      <c r="AB188">
        <f>Model!AB202</f>
        <v>3.524</v>
      </c>
      <c r="AC188">
        <f>Model!AC202</f>
        <v>3.661</v>
      </c>
      <c r="AD188">
        <f>Model!AD202</f>
        <v>4.0339999999999998</v>
      </c>
      <c r="AE188">
        <f>Model!AE202</f>
        <v>4.6040000000000001</v>
      </c>
      <c r="AF188">
        <f>Model!AF202</f>
        <v>5.2910000000000004</v>
      </c>
      <c r="AG188">
        <f>Model!AG202</f>
        <v>6.8949999999999996</v>
      </c>
      <c r="AH188">
        <f>Model!AH202</f>
        <v>7.1669999999999998</v>
      </c>
      <c r="AI188">
        <f>Model!AI202</f>
        <v>7.5619999999999994</v>
      </c>
      <c r="AJ188">
        <f>Model!AJ202</f>
        <v>7.98</v>
      </c>
      <c r="AL188" t="str">
        <f>Model!BG202</f>
        <v>ND</v>
      </c>
      <c r="AM188" t="str">
        <f>Model!BH202</f>
        <v>ND</v>
      </c>
      <c r="AN188">
        <f>Model!BI202</f>
        <v>0.57099999999999995</v>
      </c>
      <c r="AO188">
        <f>Model!BJ202</f>
        <v>1.2010000000000001</v>
      </c>
      <c r="AP188">
        <f>Model!BK202</f>
        <v>2.3340000000000001</v>
      </c>
      <c r="AQ188">
        <f>Model!BL202</f>
        <v>4.2379999999999995</v>
      </c>
      <c r="AR188">
        <f>Model!BM202</f>
        <v>7.2230000000000008</v>
      </c>
      <c r="AS188">
        <f>Model!BN202</f>
        <v>11.455</v>
      </c>
      <c r="AT188">
        <f>Model!BO202</f>
        <v>17.59</v>
      </c>
      <c r="AU188">
        <f>Model!BP202</f>
        <v>29.603999999999999</v>
      </c>
      <c r="AV188">
        <f>Model!BQ202</f>
        <v>35.345999999999997</v>
      </c>
      <c r="AW188">
        <f>Model!BR202</f>
        <v>41.198</v>
      </c>
      <c r="AX188">
        <f>Model!BS202</f>
        <v>45.6</v>
      </c>
      <c r="AY188">
        <f>Model!BT202</f>
        <v>32.672614260071192</v>
      </c>
      <c r="AZ188">
        <f>Model!BU202</f>
        <v>37.007804950116949</v>
      </c>
    </row>
    <row r="189" spans="9:52" ht="11.25" customHeight="1">
      <c r="I189" t="str">
        <f>Model!I203</f>
        <v>Provision for doubtful accounts</v>
      </c>
      <c r="M189">
        <f>Model!M203</f>
        <v>0</v>
      </c>
      <c r="N189">
        <f>Model!N203</f>
        <v>0</v>
      </c>
      <c r="O189">
        <f>Model!O203</f>
        <v>2.9000000000000001E-2</v>
      </c>
      <c r="P189">
        <f>Model!P203</f>
        <v>2.1000000000000001E-2</v>
      </c>
      <c r="Q189">
        <f>Model!Q203</f>
        <v>-6.5000000000000002E-2</v>
      </c>
      <c r="R189">
        <f>Model!R203</f>
        <v>6.0999999999999999E-2</v>
      </c>
      <c r="S189">
        <f>Model!S203</f>
        <v>6.0000000000000053E-3</v>
      </c>
      <c r="T189">
        <f>Model!T203</f>
        <v>3.3000000000000002E-2</v>
      </c>
      <c r="U189">
        <f>Model!U203</f>
        <v>-0.01</v>
      </c>
      <c r="V189">
        <f>Model!V203</f>
        <v>0.11799999999999999</v>
      </c>
      <c r="W189">
        <f>Model!W203</f>
        <v>8.5000000000000006E-2</v>
      </c>
      <c r="X189">
        <f>Model!X203</f>
        <v>0.40600000000000003</v>
      </c>
      <c r="Y189">
        <f>Model!Y203</f>
        <v>0.55100000000000005</v>
      </c>
      <c r="Z189">
        <f>Model!Z203</f>
        <v>0.74999999999999989</v>
      </c>
      <c r="AA189">
        <f>Model!AA203</f>
        <v>0.87699999999999989</v>
      </c>
      <c r="AB189">
        <f>Model!AB203</f>
        <v>1.1259999999999999</v>
      </c>
      <c r="AC189">
        <f>Model!AC203</f>
        <v>1.1859999999999999</v>
      </c>
      <c r="AD189">
        <f>Model!AD203</f>
        <v>1.395</v>
      </c>
      <c r="AE189">
        <f>Model!AE203</f>
        <v>1.3130000000000002</v>
      </c>
      <c r="AF189">
        <f>Model!AF203</f>
        <v>3.3440000000000012</v>
      </c>
      <c r="AG189">
        <f>Model!AG203</f>
        <v>3.4340000000000002</v>
      </c>
      <c r="AH189">
        <f>Model!AH203</f>
        <v>2.6419999999999995</v>
      </c>
      <c r="AI189">
        <f>Model!AI203</f>
        <v>4.3250000000000002</v>
      </c>
      <c r="AJ189">
        <f>Model!AJ203</f>
        <v>6.3870000000000005</v>
      </c>
      <c r="AL189">
        <f>Model!BG203</f>
        <v>0</v>
      </c>
      <c r="AM189">
        <f>Model!BH203</f>
        <v>0</v>
      </c>
      <c r="AN189">
        <f>Model!BI203</f>
        <v>3.9E-2</v>
      </c>
      <c r="AO189">
        <f>Model!BJ203</f>
        <v>6.9000000000000006E-2</v>
      </c>
      <c r="AP189">
        <f>Model!BK203</f>
        <v>0.05</v>
      </c>
      <c r="AQ189">
        <f>Model!BL203</f>
        <v>3.5000000000000003E-2</v>
      </c>
      <c r="AR189">
        <f>Model!BM203</f>
        <v>0.59899999999999998</v>
      </c>
      <c r="AS189">
        <f>Model!BN203</f>
        <v>3.3039999999999998</v>
      </c>
      <c r="AT189">
        <f>Model!BO203</f>
        <v>7.2380000000000013</v>
      </c>
      <c r="AU189">
        <f>Model!BP203</f>
        <v>16.788</v>
      </c>
      <c r="AV189">
        <f>Model!BQ203</f>
        <v>17.260999999999999</v>
      </c>
      <c r="AW189">
        <f>Model!BR203</f>
        <v>18.414000000000001</v>
      </c>
      <c r="AX189">
        <f>Model!BS203</f>
        <v>0</v>
      </c>
      <c r="AY189">
        <f>Model!BT203</f>
        <v>0</v>
      </c>
      <c r="AZ189">
        <f>Model!BU203</f>
        <v>0</v>
      </c>
    </row>
    <row r="190" spans="9:52" ht="11.25" customHeight="1">
      <c r="I190" t="str">
        <f>Model!I204</f>
        <v>Stock-based compensation</v>
      </c>
      <c r="M190">
        <f>Model!M204</f>
        <v>0</v>
      </c>
      <c r="N190">
        <f>Model!N204</f>
        <v>0</v>
      </c>
      <c r="O190">
        <f>Model!O204</f>
        <v>0.877</v>
      </c>
      <c r="P190">
        <f>Model!P204</f>
        <v>0.55400000000000005</v>
      </c>
      <c r="Q190">
        <f>Model!Q204</f>
        <v>1.1030000000000002</v>
      </c>
      <c r="R190">
        <f>Model!R204</f>
        <v>0.94799999999999995</v>
      </c>
      <c r="S190">
        <f>Model!S204</f>
        <v>1.46</v>
      </c>
      <c r="T190">
        <f>Model!T204</f>
        <v>1.3660000000000001</v>
      </c>
      <c r="U190">
        <f>Model!U204</f>
        <v>7.4290000000000003</v>
      </c>
      <c r="V190">
        <f>Model!V204</f>
        <v>1.8580000000000001</v>
      </c>
      <c r="W190">
        <f>Model!W204</f>
        <v>2.3339999999999996</v>
      </c>
      <c r="X190">
        <f>Model!X204</f>
        <v>3.258</v>
      </c>
      <c r="Y190">
        <f>Model!Y204</f>
        <v>5.16</v>
      </c>
      <c r="Z190">
        <f>Model!Z204</f>
        <v>5.7130000000000001</v>
      </c>
      <c r="AA190">
        <f>Model!AA204</f>
        <v>7.0150000000000006</v>
      </c>
      <c r="AB190">
        <f>Model!AB204</f>
        <v>8.7889999999999997</v>
      </c>
      <c r="AC190">
        <f>Model!AC204</f>
        <v>9.4559999999999995</v>
      </c>
      <c r="AD190">
        <f>Model!AD204</f>
        <v>10.083</v>
      </c>
      <c r="AE190">
        <f>Model!AE204</f>
        <v>10.917999999999999</v>
      </c>
      <c r="AF190">
        <f>Model!AF204</f>
        <v>11.816000000000001</v>
      </c>
      <c r="AG190">
        <f>Model!AG204</f>
        <v>13.670999999999999</v>
      </c>
      <c r="AH190">
        <f>Model!AH204</f>
        <v>15.516000000000002</v>
      </c>
      <c r="AI190">
        <f>Model!AI204</f>
        <v>15.682999999999996</v>
      </c>
      <c r="AJ190">
        <f>Model!AJ204</f>
        <v>15.972000000000001</v>
      </c>
      <c r="AL190">
        <f>Model!BG204</f>
        <v>0</v>
      </c>
      <c r="AM190">
        <f>Model!BH204</f>
        <v>0</v>
      </c>
      <c r="AN190">
        <f>Model!BI204</f>
        <v>0.36499999999999999</v>
      </c>
      <c r="AO190">
        <f>Model!BJ204</f>
        <v>0.55700000000000005</v>
      </c>
      <c r="AP190">
        <f>Model!BK204</f>
        <v>1.431</v>
      </c>
      <c r="AQ190">
        <f>Model!BL204</f>
        <v>4.8770000000000007</v>
      </c>
      <c r="AR190">
        <f>Model!BM204</f>
        <v>14.879000000000001</v>
      </c>
      <c r="AS190">
        <f>Model!BN204</f>
        <v>26.677</v>
      </c>
      <c r="AT190">
        <f>Model!BO204</f>
        <v>42.273000000000003</v>
      </c>
      <c r="AU190">
        <f>Model!BP204</f>
        <v>60.841999999999999</v>
      </c>
      <c r="AV190">
        <f>Model!BQ204</f>
        <v>86.260999999999996</v>
      </c>
      <c r="AW190">
        <f>Model!BR204</f>
        <v>100.41500000000001</v>
      </c>
      <c r="AX190">
        <f>Model!BS204</f>
        <v>114.26265000000001</v>
      </c>
      <c r="AY190">
        <f>Model!BT204</f>
        <v>127.97416800000002</v>
      </c>
      <c r="AZ190">
        <f>Model!BU204</f>
        <v>140.77158480000003</v>
      </c>
    </row>
    <row r="191" spans="9:52" ht="11.25" customHeight="1">
      <c r="I191" t="str">
        <f>Model!I205</f>
        <v>Loss on disposal of assets and website development costs</v>
      </c>
      <c r="M191">
        <f>Model!M205</f>
        <v>0</v>
      </c>
      <c r="N191">
        <f>Model!N205</f>
        <v>0</v>
      </c>
      <c r="O191">
        <f>Model!O205</f>
        <v>7.0000000000000001E-3</v>
      </c>
      <c r="P191">
        <f>Model!P205</f>
        <v>1.4000000000000002E-2</v>
      </c>
      <c r="Q191">
        <f>Model!Q205</f>
        <v>5.0000000000000001E-3</v>
      </c>
      <c r="R191">
        <f>Model!R205</f>
        <v>1E-3</v>
      </c>
      <c r="S191">
        <f>Model!S205</f>
        <v>3.0000000000000001E-3</v>
      </c>
      <c r="T191">
        <f>Model!T205</f>
        <v>3.9999999999999983E-3</v>
      </c>
      <c r="U191">
        <f>Model!U205</f>
        <v>1E-3</v>
      </c>
      <c r="V191">
        <f>Model!V205</f>
        <v>3.5999999999999997E-2</v>
      </c>
      <c r="W191">
        <f>Model!W205</f>
        <v>-1.1999999999999997E-2</v>
      </c>
      <c r="X191">
        <f>Model!X205</f>
        <v>3.9E-2</v>
      </c>
      <c r="Y191">
        <f>Model!Y205</f>
        <v>0.05</v>
      </c>
      <c r="Z191">
        <f>Model!Z205</f>
        <v>4.3999999999999997E-2</v>
      </c>
      <c r="AA191">
        <f>Model!AA205</f>
        <v>9.4000000000000014E-2</v>
      </c>
      <c r="AB191">
        <f>Model!AB205</f>
        <v>-2.9000000000000012E-2</v>
      </c>
      <c r="AC191">
        <f>Model!AC205</f>
        <v>0</v>
      </c>
      <c r="AD191">
        <f>Model!AD205</f>
        <v>-5.0000000000000001E-3</v>
      </c>
      <c r="AE191">
        <f>Model!AE205</f>
        <v>0</v>
      </c>
      <c r="AF191">
        <f>Model!AF205</f>
        <v>9.0000000000000011E-3</v>
      </c>
      <c r="AG191">
        <f>Model!AG205</f>
        <v>0</v>
      </c>
      <c r="AH191">
        <f>Model!AH205</f>
        <v>0.14399999999999999</v>
      </c>
      <c r="AI191">
        <f>Model!AI205</f>
        <v>-1.3999999999999985E-2</v>
      </c>
      <c r="AJ191">
        <f>Model!AJ205</f>
        <v>8.299999999999999E-2</v>
      </c>
      <c r="AL191">
        <f>Model!BG205</f>
        <v>0</v>
      </c>
      <c r="AM191">
        <f>Model!BH205</f>
        <v>0</v>
      </c>
      <c r="AN191">
        <f>Model!BI205</f>
        <v>0</v>
      </c>
      <c r="AO191">
        <f>Model!BJ205</f>
        <v>0</v>
      </c>
      <c r="AP191">
        <f>Model!BK205</f>
        <v>2.1000000000000001E-2</v>
      </c>
      <c r="AQ191">
        <f>Model!BL205</f>
        <v>1.2999999999999999E-2</v>
      </c>
      <c r="AR191">
        <f>Model!BM205</f>
        <v>6.4000000000000001E-2</v>
      </c>
      <c r="AS191">
        <f>Model!BN205</f>
        <v>0.15899999999999997</v>
      </c>
      <c r="AT191">
        <f>Model!BO205</f>
        <v>4.000000000000001E-3</v>
      </c>
      <c r="AU191">
        <f>Model!BP205</f>
        <v>0.21299999999999999</v>
      </c>
      <c r="AV191">
        <f>Model!BQ205</f>
        <v>0.27700000000000002</v>
      </c>
      <c r="AW191">
        <f>Model!BR205</f>
        <v>-164.779</v>
      </c>
      <c r="AX191">
        <f>Model!BS205</f>
        <v>0</v>
      </c>
      <c r="AY191">
        <f>Model!BT205</f>
        <v>0</v>
      </c>
      <c r="AZ191">
        <f>Model!BU205</f>
        <v>0</v>
      </c>
    </row>
    <row r="192" spans="9:52" ht="11.25" customHeight="1">
      <c r="I192" t="str">
        <f>Model!I206</f>
        <v>Other operating activities</v>
      </c>
      <c r="M192">
        <f>Model!M206</f>
        <v>0</v>
      </c>
      <c r="N192">
        <f>Model!N206</f>
        <v>0</v>
      </c>
      <c r="O192">
        <f>Model!O206</f>
        <v>0</v>
      </c>
      <c r="P192">
        <f>Model!P206</f>
        <v>0</v>
      </c>
      <c r="Q192">
        <f>Model!Q206</f>
        <v>0</v>
      </c>
      <c r="R192">
        <f>Model!R206</f>
        <v>0</v>
      </c>
      <c r="S192">
        <f>Model!S206</f>
        <v>0</v>
      </c>
      <c r="T192">
        <f>Model!T206</f>
        <v>5.9279999999999999</v>
      </c>
      <c r="U192">
        <f>Model!U206</f>
        <v>0</v>
      </c>
      <c r="V192">
        <f>Model!V206</f>
        <v>0</v>
      </c>
      <c r="W192">
        <f>Model!W206</f>
        <v>0</v>
      </c>
      <c r="X192">
        <f>Model!X206</f>
        <v>0</v>
      </c>
      <c r="Y192">
        <f>Model!Y206</f>
        <v>0</v>
      </c>
      <c r="Z192">
        <f>Model!Z206</f>
        <v>0</v>
      </c>
      <c r="AA192">
        <f>Model!AA206</f>
        <v>0</v>
      </c>
      <c r="AB192">
        <f>Model!AB206</f>
        <v>-0.35299999999999998</v>
      </c>
      <c r="AC192">
        <f>Model!AC206</f>
        <v>-3.9E-2</v>
      </c>
      <c r="AD192">
        <f>Model!AD206</f>
        <v>-0.32800000000000001</v>
      </c>
      <c r="AE192">
        <f>Model!AE206</f>
        <v>-0.32000000000000006</v>
      </c>
      <c r="AF192">
        <f>Model!AF206</f>
        <v>-28.994999999999997</v>
      </c>
      <c r="AG192">
        <f>Model!AG206</f>
        <v>-0.87999999999999989</v>
      </c>
      <c r="AH192">
        <f>Model!AH206</f>
        <v>-2.5910000000000002</v>
      </c>
      <c r="AI192">
        <f>Model!AI206</f>
        <v>-1.9999999999997797E-3</v>
      </c>
      <c r="AJ192">
        <f>Model!AJ206</f>
        <v>18.417000000000002</v>
      </c>
      <c r="AL192">
        <f>Model!BG206</f>
        <v>0</v>
      </c>
      <c r="AM192">
        <f>Model!BH206</f>
        <v>0</v>
      </c>
      <c r="AN192">
        <f>Model!BI206</f>
        <v>0</v>
      </c>
      <c r="AO192">
        <f>Model!BJ206</f>
        <v>0</v>
      </c>
      <c r="AP192">
        <f>Model!BK206</f>
        <v>0</v>
      </c>
      <c r="AQ192">
        <f>Model!BL206</f>
        <v>5.9279999999999999</v>
      </c>
      <c r="AR192">
        <f>Model!BM206</f>
        <v>0</v>
      </c>
      <c r="AS192">
        <f>Model!BN206</f>
        <v>-0.35299999999999998</v>
      </c>
      <c r="AT192">
        <f>Model!BO206</f>
        <v>-29.681999999999999</v>
      </c>
      <c r="AU192">
        <f>Model!BP206</f>
        <v>14.944000000000003</v>
      </c>
      <c r="AV192">
        <f>Model!BQ206</f>
        <v>2.6989999999999998</v>
      </c>
      <c r="AW192">
        <f>Model!BR206</f>
        <v>-1.8999999999999961E-2</v>
      </c>
      <c r="AX192">
        <f>Model!BS206</f>
        <v>0</v>
      </c>
      <c r="AY192">
        <f>Model!BT206</f>
        <v>0</v>
      </c>
      <c r="AZ192">
        <f>Model!BU206</f>
        <v>0</v>
      </c>
    </row>
    <row r="193" spans="9:52" ht="11.25" customHeight="1">
      <c r="I193" t="str">
        <f>Model!I207</f>
        <v>Funds from operations</v>
      </c>
      <c r="M193">
        <f>Model!M207</f>
        <v>0</v>
      </c>
      <c r="N193">
        <f>Model!N207</f>
        <v>0</v>
      </c>
      <c r="O193">
        <f>Model!O207</f>
        <v>-0.4739999999999992</v>
      </c>
      <c r="P193">
        <f>Model!P207</f>
        <v>0.33099999999999896</v>
      </c>
      <c r="Q193">
        <f>Model!Q207</f>
        <v>-0.84399999999999931</v>
      </c>
      <c r="R193">
        <f>Model!R207</f>
        <v>0.76900000000000113</v>
      </c>
      <c r="S193">
        <f>Model!S207</f>
        <v>-1.2350000000000068</v>
      </c>
      <c r="T193">
        <f>Model!T207</f>
        <v>-0.26699999999999857</v>
      </c>
      <c r="U193">
        <f>Model!U207</f>
        <v>-1.0209999999999986</v>
      </c>
      <c r="V193">
        <f>Model!V207</f>
        <v>1.6909999999999976</v>
      </c>
      <c r="W193">
        <f>Model!W207</f>
        <v>2.1760000000000015</v>
      </c>
      <c r="X193">
        <f>Model!X207</f>
        <v>0.80499999999998939</v>
      </c>
      <c r="Y193">
        <f>Model!Y207</f>
        <v>3.4400000000000133</v>
      </c>
      <c r="Z193">
        <f>Model!Z207</f>
        <v>8.2660000000000018</v>
      </c>
      <c r="AA193">
        <f>Model!AA207</f>
        <v>8.4799999999999933</v>
      </c>
      <c r="AB193">
        <f>Model!AB207</f>
        <v>10.987999999999998</v>
      </c>
      <c r="AC193">
        <f>Model!AC207</f>
        <v>11.628999999999987</v>
      </c>
      <c r="AD193">
        <f>Model!AD207</f>
        <v>17.921999999999997</v>
      </c>
      <c r="AE193">
        <f>Model!AE207</f>
        <v>20.151999999999994</v>
      </c>
      <c r="AF193">
        <f>Model!AF207</f>
        <v>24.193000000000012</v>
      </c>
      <c r="AG193">
        <f>Model!AG207</f>
        <v>21.836000000000002</v>
      </c>
      <c r="AH193">
        <f>Model!AH207</f>
        <v>21.573</v>
      </c>
      <c r="AI193">
        <f>Model!AI207</f>
        <v>19.471999999999998</v>
      </c>
      <c r="AJ193">
        <f>Model!AJ207</f>
        <v>26.610000000000007</v>
      </c>
      <c r="AL193">
        <f>Model!BG207</f>
        <v>0</v>
      </c>
      <c r="AM193">
        <f>Model!BH207</f>
        <v>0</v>
      </c>
      <c r="AN193">
        <f>Model!BI207</f>
        <v>-4.8339999999999987</v>
      </c>
      <c r="AO193">
        <f>Model!BJ207</f>
        <v>-0.48099999999999488</v>
      </c>
      <c r="AP193">
        <f>Model!BK207</f>
        <v>-5.7299999999999924</v>
      </c>
      <c r="AQ193">
        <f>Model!BL207</f>
        <v>-1.5770000000000062</v>
      </c>
      <c r="AR193">
        <f>Model!BM207</f>
        <v>3.6509999999999909</v>
      </c>
      <c r="AS193">
        <f>Model!BN207</f>
        <v>31.174000000000007</v>
      </c>
      <c r="AT193">
        <f>Model!BO207</f>
        <v>73.895999999999987</v>
      </c>
      <c r="AU193">
        <f>Model!BP207</f>
        <v>89.491</v>
      </c>
      <c r="AV193">
        <f>Model!BQ207</f>
        <v>137.17399999999998</v>
      </c>
      <c r="AW193">
        <f>Model!BR207</f>
        <v>148.08700000000005</v>
      </c>
      <c r="AX193">
        <f>Model!BS207</f>
        <v>175.8915013978455</v>
      </c>
      <c r="AY193">
        <f>Model!BT207</f>
        <v>207.04594705245825</v>
      </c>
      <c r="AZ193">
        <f>Model!BU207</f>
        <v>243.33560246214745</v>
      </c>
    </row>
    <row r="194" spans="9:52" ht="11.25" customHeight="1">
      <c r="I194">
        <f>Model!I208</f>
        <v>0</v>
      </c>
      <c r="M194">
        <f>Model!M208</f>
        <v>0</v>
      </c>
      <c r="N194">
        <f>Model!N208</f>
        <v>0</v>
      </c>
      <c r="O194">
        <f>Model!O208</f>
        <v>0</v>
      </c>
      <c r="P194">
        <f>Model!P208</f>
        <v>0</v>
      </c>
      <c r="Q194">
        <f>Model!Q208</f>
        <v>0</v>
      </c>
      <c r="R194">
        <f>Model!R208</f>
        <v>0</v>
      </c>
      <c r="S194">
        <f>Model!S208</f>
        <v>0</v>
      </c>
      <c r="T194">
        <f>Model!T208</f>
        <v>0</v>
      </c>
      <c r="U194">
        <f>Model!U208</f>
        <v>0</v>
      </c>
      <c r="V194">
        <f>Model!V208</f>
        <v>0</v>
      </c>
      <c r="W194">
        <f>Model!W208</f>
        <v>0</v>
      </c>
      <c r="X194">
        <f>Model!X208</f>
        <v>0</v>
      </c>
      <c r="Y194">
        <f>Model!Y208</f>
        <v>0</v>
      </c>
      <c r="Z194">
        <f>Model!Z208</f>
        <v>0</v>
      </c>
      <c r="AA194">
        <f>Model!AA208</f>
        <v>0</v>
      </c>
      <c r="AB194">
        <f>Model!AB208</f>
        <v>0</v>
      </c>
      <c r="AC194">
        <f>Model!AC208</f>
        <v>0</v>
      </c>
      <c r="AD194">
        <f>Model!AD208</f>
        <v>0</v>
      </c>
      <c r="AE194">
        <f>Model!AE208</f>
        <v>0</v>
      </c>
      <c r="AF194">
        <f>Model!AF208</f>
        <v>0</v>
      </c>
      <c r="AG194">
        <f>Model!AG208</f>
        <v>0</v>
      </c>
      <c r="AH194">
        <f>Model!AH208</f>
        <v>0</v>
      </c>
      <c r="AI194">
        <f>Model!AI208</f>
        <v>0</v>
      </c>
      <c r="AJ194">
        <f>Model!AJ208</f>
        <v>0</v>
      </c>
      <c r="AL194">
        <f>Model!BG208</f>
        <v>0</v>
      </c>
      <c r="AM194">
        <f>Model!BH208</f>
        <v>0</v>
      </c>
      <c r="AN194">
        <f>Model!BI208</f>
        <v>0</v>
      </c>
      <c r="AO194">
        <f>Model!BJ208</f>
        <v>0</v>
      </c>
      <c r="AP194">
        <f>Model!BK208</f>
        <v>0</v>
      </c>
      <c r="AQ194">
        <f>Model!BL208</f>
        <v>0</v>
      </c>
      <c r="AR194">
        <f>Model!BM208</f>
        <v>0</v>
      </c>
      <c r="AS194">
        <f>Model!BN208</f>
        <v>0</v>
      </c>
      <c r="AT194">
        <f>Model!BO208</f>
        <v>0</v>
      </c>
      <c r="AU194">
        <f>Model!BP208</f>
        <v>0</v>
      </c>
      <c r="AV194">
        <f>Model!BQ208</f>
        <v>0</v>
      </c>
      <c r="AW194">
        <f>Model!BR208</f>
        <v>0</v>
      </c>
      <c r="AX194">
        <f>Model!BS208</f>
        <v>0</v>
      </c>
      <c r="AY194">
        <f>Model!BT208</f>
        <v>0</v>
      </c>
      <c r="AZ194">
        <f>Model!BU208</f>
        <v>0</v>
      </c>
    </row>
    <row r="195" spans="9:52" ht="11.25" customHeight="1">
      <c r="I195" t="str">
        <f>Model!I209</f>
        <v>Changes in Working Capital</v>
      </c>
      <c r="M195">
        <f>Model!M209</f>
        <v>0</v>
      </c>
      <c r="N195">
        <f>Model!N209</f>
        <v>0</v>
      </c>
      <c r="O195">
        <f>Model!O209</f>
        <v>0</v>
      </c>
      <c r="P195">
        <f>Model!P209</f>
        <v>0</v>
      </c>
      <c r="Q195">
        <f>Model!Q209</f>
        <v>0</v>
      </c>
      <c r="R195">
        <f>Model!R209</f>
        <v>0</v>
      </c>
      <c r="S195">
        <f>Model!S209</f>
        <v>0</v>
      </c>
      <c r="T195">
        <f>Model!T209</f>
        <v>0</v>
      </c>
      <c r="U195">
        <f>Model!U209</f>
        <v>0</v>
      </c>
      <c r="V195">
        <f>Model!V209</f>
        <v>0</v>
      </c>
      <c r="W195">
        <f>Model!W209</f>
        <v>0</v>
      </c>
      <c r="X195">
        <f>Model!X209</f>
        <v>0</v>
      </c>
      <c r="Y195">
        <f>Model!Y209</f>
        <v>0</v>
      </c>
      <c r="Z195">
        <f>Model!Z209</f>
        <v>0</v>
      </c>
      <c r="AA195">
        <f>Model!AA209</f>
        <v>0</v>
      </c>
      <c r="AB195">
        <f>Model!AB209</f>
        <v>0</v>
      </c>
      <c r="AC195">
        <f>Model!AC209</f>
        <v>0</v>
      </c>
      <c r="AD195">
        <f>Model!AD209</f>
        <v>0</v>
      </c>
      <c r="AE195">
        <f>Model!AE209</f>
        <v>0</v>
      </c>
      <c r="AF195">
        <f>Model!AF209</f>
        <v>0</v>
      </c>
      <c r="AG195">
        <f>Model!AG209</f>
        <v>0</v>
      </c>
      <c r="AH195">
        <f>Model!AH209</f>
        <v>0</v>
      </c>
      <c r="AI195">
        <f>Model!AI209</f>
        <v>0</v>
      </c>
      <c r="AJ195">
        <f>Model!AJ209</f>
        <v>0</v>
      </c>
      <c r="AL195">
        <f>Model!BG209</f>
        <v>0</v>
      </c>
      <c r="AM195">
        <f>Model!BH209</f>
        <v>0</v>
      </c>
      <c r="AN195">
        <f>Model!BI209</f>
        <v>0</v>
      </c>
      <c r="AO195">
        <f>Model!BJ209</f>
        <v>0</v>
      </c>
      <c r="AP195">
        <f>Model!BK209</f>
        <v>0</v>
      </c>
      <c r="AQ195">
        <f>Model!BL209</f>
        <v>0</v>
      </c>
      <c r="AR195">
        <f>Model!BM209</f>
        <v>0</v>
      </c>
      <c r="AS195">
        <f>Model!BN209</f>
        <v>0</v>
      </c>
      <c r="AT195">
        <f>Model!BO209</f>
        <v>0</v>
      </c>
      <c r="AU195">
        <f>Model!BP209</f>
        <v>0</v>
      </c>
      <c r="AV195">
        <f>Model!BQ209</f>
        <v>0</v>
      </c>
      <c r="AW195">
        <f>Model!BR209</f>
        <v>0</v>
      </c>
      <c r="AX195">
        <f>Model!BS209</f>
        <v>0</v>
      </c>
      <c r="AY195">
        <f>Model!BT209</f>
        <v>0</v>
      </c>
      <c r="AZ195">
        <f>Model!BU209</f>
        <v>0</v>
      </c>
    </row>
    <row r="196" spans="9:52" ht="11.25" customHeight="1">
      <c r="I196">
        <f>Model!I210</f>
        <v>0</v>
      </c>
      <c r="M196">
        <f>Model!M210</f>
        <v>0</v>
      </c>
      <c r="N196">
        <f>Model!N210</f>
        <v>0</v>
      </c>
      <c r="O196">
        <f>Model!O210</f>
        <v>0</v>
      </c>
      <c r="P196">
        <f>Model!P210</f>
        <v>0</v>
      </c>
      <c r="Q196">
        <f>Model!Q210</f>
        <v>0</v>
      </c>
      <c r="R196">
        <f>Model!R210</f>
        <v>0</v>
      </c>
      <c r="S196">
        <f>Model!S210</f>
        <v>0</v>
      </c>
      <c r="T196">
        <f>Model!T210</f>
        <v>0</v>
      </c>
      <c r="U196">
        <f>Model!U210</f>
        <v>0</v>
      </c>
      <c r="V196">
        <f>Model!V210</f>
        <v>0</v>
      </c>
      <c r="W196">
        <f>Model!W210</f>
        <v>0</v>
      </c>
      <c r="X196">
        <f>Model!X210</f>
        <v>0</v>
      </c>
      <c r="Y196">
        <f>Model!Y210</f>
        <v>0</v>
      </c>
      <c r="Z196">
        <f>Model!Z210</f>
        <v>0</v>
      </c>
      <c r="AA196">
        <f>Model!AA210</f>
        <v>0</v>
      </c>
      <c r="AB196">
        <f>Model!AB210</f>
        <v>0</v>
      </c>
      <c r="AC196">
        <f>Model!AC210</f>
        <v>0</v>
      </c>
      <c r="AD196">
        <f>Model!AD210</f>
        <v>0</v>
      </c>
      <c r="AE196">
        <f>Model!AE210</f>
        <v>0</v>
      </c>
      <c r="AF196">
        <f>Model!AF210</f>
        <v>0</v>
      </c>
      <c r="AG196">
        <f>Model!AG210</f>
        <v>0</v>
      </c>
      <c r="AH196">
        <f>Model!AH210</f>
        <v>0</v>
      </c>
      <c r="AI196">
        <f>Model!AI210</f>
        <v>0</v>
      </c>
      <c r="AJ196">
        <f>Model!AJ210</f>
        <v>0</v>
      </c>
      <c r="AL196">
        <f>Model!BG210</f>
        <v>0</v>
      </c>
      <c r="AM196">
        <f>Model!BH210</f>
        <v>0</v>
      </c>
      <c r="AN196">
        <f>Model!BI210</f>
        <v>0</v>
      </c>
      <c r="AO196">
        <f>Model!BJ210</f>
        <v>0</v>
      </c>
      <c r="AP196">
        <f>Model!BK210</f>
        <v>0</v>
      </c>
      <c r="AQ196">
        <f>Model!BL210</f>
        <v>0</v>
      </c>
      <c r="AR196">
        <f>Model!BM210</f>
        <v>0</v>
      </c>
      <c r="AS196">
        <f>Model!BN210</f>
        <v>0</v>
      </c>
      <c r="AT196">
        <f>Model!BO210</f>
        <v>0</v>
      </c>
      <c r="AU196">
        <f>Model!BP210</f>
        <v>0</v>
      </c>
      <c r="AV196">
        <f>Model!BQ210</f>
        <v>0</v>
      </c>
      <c r="AW196">
        <f>Model!BR210</f>
        <v>0</v>
      </c>
      <c r="AX196">
        <f>Model!BS210</f>
        <v>0</v>
      </c>
      <c r="AY196">
        <f>Model!BT210</f>
        <v>0</v>
      </c>
      <c r="AZ196">
        <f>Model!BU210</f>
        <v>0</v>
      </c>
    </row>
    <row r="197" spans="9:52" ht="11.25" customHeight="1">
      <c r="I197" t="str">
        <f>Model!I211</f>
        <v>Accounts receivable</v>
      </c>
      <c r="M197">
        <f>Model!M211</f>
        <v>0</v>
      </c>
      <c r="N197">
        <f>Model!N211</f>
        <v>0</v>
      </c>
      <c r="O197">
        <f>Model!O211</f>
        <v>-2.6920000000000002</v>
      </c>
      <c r="P197">
        <f>Model!P211</f>
        <v>-1.734</v>
      </c>
      <c r="Q197">
        <f>Model!Q211</f>
        <v>0.57699999999999996</v>
      </c>
      <c r="R197">
        <f>Model!R211</f>
        <v>-0.55499999999999994</v>
      </c>
      <c r="S197">
        <f>Model!S211</f>
        <v>-1.1910000000000001</v>
      </c>
      <c r="T197">
        <f>Model!T211</f>
        <v>-0.5129999999999999</v>
      </c>
      <c r="U197">
        <f>Model!U211</f>
        <v>1.0900000000000001</v>
      </c>
      <c r="V197">
        <f>Model!V211</f>
        <v>-3.0630000000000002</v>
      </c>
      <c r="W197">
        <f>Model!W211</f>
        <v>-0.68399999999999994</v>
      </c>
      <c r="X197">
        <f>Model!X211</f>
        <v>0.64000000000000012</v>
      </c>
      <c r="Y197">
        <f>Model!Y211</f>
        <v>-1.4710000000000001</v>
      </c>
      <c r="Z197">
        <f>Model!Z211</f>
        <v>-2.9329999999999998</v>
      </c>
      <c r="AA197">
        <f>Model!AA211</f>
        <v>-3.1530000000000005</v>
      </c>
      <c r="AB197">
        <f>Model!AB211</f>
        <v>-5.2859999999999996</v>
      </c>
      <c r="AC197">
        <f>Model!AC211</f>
        <v>-1.2490000000000001</v>
      </c>
      <c r="AD197">
        <f>Model!AD211</f>
        <v>-5.4670000000000005</v>
      </c>
      <c r="AE197">
        <f>Model!AE211</f>
        <v>-7.0559999999999992</v>
      </c>
      <c r="AF197">
        <f>Model!AF211</f>
        <v>-7.5190000000000001</v>
      </c>
      <c r="AG197">
        <f>Model!AG211</f>
        <v>-2.85</v>
      </c>
      <c r="AH197">
        <f>Model!AH211</f>
        <v>-5.0050000000000008</v>
      </c>
      <c r="AI197">
        <f>Model!AI211</f>
        <v>-9.9179999999999993</v>
      </c>
      <c r="AJ197">
        <f>Model!AJ211</f>
        <v>-7.5060000000000002</v>
      </c>
      <c r="AL197">
        <f>Model!BG211</f>
        <v>0</v>
      </c>
      <c r="AM197">
        <f>Model!BH211</f>
        <v>0</v>
      </c>
      <c r="AN197">
        <f>Model!BI211</f>
        <v>-0.80700000000000005</v>
      </c>
      <c r="AO197">
        <f>Model!BJ211</f>
        <v>-0.84599999999999997</v>
      </c>
      <c r="AP197">
        <f>Model!BK211</f>
        <v>-4.4260000000000002</v>
      </c>
      <c r="AQ197">
        <f>Model!BL211</f>
        <v>-1.6819999999999999</v>
      </c>
      <c r="AR197">
        <f>Model!BM211</f>
        <v>-2.0169999999999999</v>
      </c>
      <c r="AS197">
        <f>Model!BN211</f>
        <v>-12.843</v>
      </c>
      <c r="AT197">
        <f>Model!BO211</f>
        <v>-21.291</v>
      </c>
      <c r="AU197">
        <f>Model!BP211</f>
        <v>-25.279</v>
      </c>
      <c r="AV197">
        <f>Model!BQ211</f>
        <v>-31.623999999999999</v>
      </c>
      <c r="AW197">
        <f>Model!BR211</f>
        <v>-32.112000000000009</v>
      </c>
      <c r="AX197">
        <f>Model!BS211</f>
        <v>-13.653517871753621</v>
      </c>
      <c r="AY197">
        <f>Model!BT211</f>
        <v>-12.001072966766841</v>
      </c>
      <c r="AZ197">
        <f>Model!BU211</f>
        <v>-11.321337971368948</v>
      </c>
    </row>
    <row r="198" spans="9:52" ht="11.25" customHeight="1">
      <c r="I198" t="str">
        <f>Model!I212</f>
        <v>Prepaid expenses &amp; other current assets</v>
      </c>
      <c r="M198">
        <f>Model!M212</f>
        <v>0</v>
      </c>
      <c r="N198">
        <f>Model!N212</f>
        <v>0</v>
      </c>
      <c r="O198">
        <f>Model!O212</f>
        <v>-0.95199999999999996</v>
      </c>
      <c r="P198">
        <f>Model!P212</f>
        <v>-0.16900000000000004</v>
      </c>
      <c r="Q198">
        <f>Model!Q212</f>
        <v>0.129</v>
      </c>
      <c r="R198">
        <f>Model!R212</f>
        <v>-0.54</v>
      </c>
      <c r="S198">
        <f>Model!S212</f>
        <v>0.21400000000000002</v>
      </c>
      <c r="T198">
        <f>Model!T212</f>
        <v>-0.90199999999999991</v>
      </c>
      <c r="U198">
        <f>Model!U212</f>
        <v>-0.55200000000000005</v>
      </c>
      <c r="V198">
        <f>Model!V212</f>
        <v>-0.36599999999999999</v>
      </c>
      <c r="W198">
        <f>Model!W212</f>
        <v>-0.84200000000000008</v>
      </c>
      <c r="X198">
        <f>Model!X212</f>
        <v>-0.62399999999999967</v>
      </c>
      <c r="Y198">
        <f>Model!Y212</f>
        <v>-2.4220000000000002</v>
      </c>
      <c r="Z198">
        <f>Model!Z212</f>
        <v>0.10400000000000009</v>
      </c>
      <c r="AA198">
        <f>Model!AA212</f>
        <v>-0.70199999999999996</v>
      </c>
      <c r="AB198">
        <f>Model!AB212</f>
        <v>1.448</v>
      </c>
      <c r="AC198">
        <f>Model!AC212</f>
        <v>-5.9279999999999999</v>
      </c>
      <c r="AD198">
        <f>Model!AD212</f>
        <v>-5.200000000000049E-2</v>
      </c>
      <c r="AE198">
        <f>Model!AE212</f>
        <v>-1.3579999999999997</v>
      </c>
      <c r="AF198">
        <f>Model!AF212</f>
        <v>3.327</v>
      </c>
      <c r="AG198">
        <f>Model!AG212</f>
        <v>-6.0449999999999999</v>
      </c>
      <c r="AH198">
        <f>Model!AH212</f>
        <v>-1.0339999999999998</v>
      </c>
      <c r="AI198">
        <f>Model!AI212</f>
        <v>-7.9779999999999998</v>
      </c>
      <c r="AJ198">
        <f>Model!AJ212</f>
        <v>-7.6460000000000008</v>
      </c>
      <c r="AL198">
        <f>Model!BG212</f>
        <v>0</v>
      </c>
      <c r="AM198">
        <f>Model!BH212</f>
        <v>0</v>
      </c>
      <c r="AN198">
        <f>Model!BI212</f>
        <v>-0.34200000000000003</v>
      </c>
      <c r="AO198">
        <f>Model!BJ212</f>
        <v>-0.40500000000000003</v>
      </c>
      <c r="AP198">
        <f>Model!BK212</f>
        <v>-1.121</v>
      </c>
      <c r="AQ198">
        <f>Model!BL212</f>
        <v>-1.099</v>
      </c>
      <c r="AR198">
        <f>Model!BM212</f>
        <v>-2.3839999999999999</v>
      </c>
      <c r="AS198">
        <f>Model!BN212</f>
        <v>-1.5720000000000001</v>
      </c>
      <c r="AT198">
        <f>Model!BO212</f>
        <v>-4.0110000000000001</v>
      </c>
      <c r="AU198">
        <f>Model!BP212</f>
        <v>-22.702999999999999</v>
      </c>
      <c r="AV198">
        <f>Model!BQ212</f>
        <v>5.6869999999999994</v>
      </c>
      <c r="AW198">
        <f>Model!BR212</f>
        <v>-1.3619999999999999</v>
      </c>
      <c r="AX198">
        <f>Model!BS212</f>
        <v>-2.4291052000466671</v>
      </c>
      <c r="AY198">
        <f>Model!BT212</f>
        <v>-1.0409683024461209</v>
      </c>
      <c r="AZ198">
        <f>Model!BU212</f>
        <v>-1.2715400445954153</v>
      </c>
    </row>
    <row r="199" spans="9:52" ht="11.25" customHeight="1">
      <c r="I199" t="str">
        <f>Model!I213</f>
        <v>Accounts payable and accrued expenses</v>
      </c>
      <c r="M199">
        <f>Model!M213</f>
        <v>0</v>
      </c>
      <c r="N199">
        <f>Model!N213</f>
        <v>0</v>
      </c>
      <c r="O199">
        <f>Model!O213</f>
        <v>2.9830000000000001</v>
      </c>
      <c r="P199">
        <f>Model!P213</f>
        <v>-5.9000000000000163E-2</v>
      </c>
      <c r="Q199">
        <f>Model!Q213</f>
        <v>0.75</v>
      </c>
      <c r="R199">
        <f>Model!R213</f>
        <v>0.52200000000000002</v>
      </c>
      <c r="S199">
        <f>Model!S213</f>
        <v>0.71900000000000008</v>
      </c>
      <c r="T199">
        <f>Model!T213</f>
        <v>1.984</v>
      </c>
      <c r="U199">
        <f>Model!U213</f>
        <v>-1.2170000000000001</v>
      </c>
      <c r="V199">
        <f>Model!V213</f>
        <v>1.794</v>
      </c>
      <c r="W199">
        <f>Model!W213</f>
        <v>9.5000000000000195E-2</v>
      </c>
      <c r="X199">
        <f>Model!X213</f>
        <v>-0.60200000000000009</v>
      </c>
      <c r="Y199">
        <f>Model!Y213</f>
        <v>0.50900000000000001</v>
      </c>
      <c r="Z199">
        <f>Model!Z213</f>
        <v>-0.29400000000000004</v>
      </c>
      <c r="AA199">
        <f>Model!AA213</f>
        <v>2.964</v>
      </c>
      <c r="AB199">
        <f>Model!AB213</f>
        <v>1.7920000000000003</v>
      </c>
      <c r="AC199">
        <f>Model!AC213</f>
        <v>5.3090000000000002</v>
      </c>
      <c r="AD199">
        <f>Model!AD213</f>
        <v>-1.742</v>
      </c>
      <c r="AE199">
        <f>Model!AE213</f>
        <v>7.3319999999999981</v>
      </c>
      <c r="AF199">
        <f>Model!AF213</f>
        <v>-1.9719999999999986</v>
      </c>
      <c r="AG199">
        <f>Model!AG213</f>
        <v>12.010999999999999</v>
      </c>
      <c r="AH199">
        <f>Model!AH213</f>
        <v>3.6050000000000004</v>
      </c>
      <c r="AI199">
        <f>Model!AI213</f>
        <v>8.2880000000000003</v>
      </c>
      <c r="AJ199">
        <f>Model!AJ213</f>
        <v>-8.01</v>
      </c>
      <c r="AL199">
        <f>Model!BG213</f>
        <v>0</v>
      </c>
      <c r="AM199">
        <f>Model!BH213</f>
        <v>0</v>
      </c>
      <c r="AN199">
        <f>Model!BI213</f>
        <v>1.0149999999999999</v>
      </c>
      <c r="AO199">
        <f>Model!BJ213</f>
        <v>0.61499999999999999</v>
      </c>
      <c r="AP199">
        <f>Model!BK213</f>
        <v>2.9239999999999999</v>
      </c>
      <c r="AQ199">
        <f>Model!BL213</f>
        <v>3.9750000000000001</v>
      </c>
      <c r="AR199">
        <f>Model!BM213</f>
        <v>7.0000000000000062E-2</v>
      </c>
      <c r="AS199">
        <f>Model!BN213</f>
        <v>4.9710000000000001</v>
      </c>
      <c r="AT199">
        <f>Model!BO213</f>
        <v>8.9269999999999996</v>
      </c>
      <c r="AU199">
        <f>Model!BP213</f>
        <v>15.894</v>
      </c>
      <c r="AV199">
        <f>Model!BQ213</f>
        <v>15.278</v>
      </c>
      <c r="AW199">
        <f>Model!BR213</f>
        <v>52.882000000000005</v>
      </c>
      <c r="AX199">
        <f>Model!BS213</f>
        <v>12.684194668316579</v>
      </c>
      <c r="AY199">
        <f>Model!BT213</f>
        <v>1.3581719278927835</v>
      </c>
      <c r="AZ199">
        <f>Model!BU213</f>
        <v>11.070505498167833</v>
      </c>
    </row>
    <row r="200" spans="9:52" ht="11.25" customHeight="1">
      <c r="I200" t="str">
        <f>Model!I214</f>
        <v>Deferred revenue</v>
      </c>
      <c r="M200">
        <f>Model!M214</f>
        <v>0</v>
      </c>
      <c r="N200">
        <f>Model!N214</f>
        <v>0</v>
      </c>
      <c r="O200">
        <f>Model!O214</f>
        <v>0.28100000000000003</v>
      </c>
      <c r="P200">
        <f>Model!P214</f>
        <v>0.26100000000000001</v>
      </c>
      <c r="Q200">
        <f>Model!Q214</f>
        <v>0.38400000000000001</v>
      </c>
      <c r="R200">
        <f>Model!R214</f>
        <v>-0.42099999999999999</v>
      </c>
      <c r="S200">
        <f>Model!S214</f>
        <v>0.42600000000000005</v>
      </c>
      <c r="T200">
        <f>Model!T214</f>
        <v>0.24399999999999994</v>
      </c>
      <c r="U200">
        <f>Model!U214</f>
        <v>-1.073</v>
      </c>
      <c r="V200">
        <f>Model!V214</f>
        <v>0.27699999999999991</v>
      </c>
      <c r="W200">
        <f>Model!W214</f>
        <v>-3.2999999999999918E-2</v>
      </c>
      <c r="X200">
        <f>Model!X214</f>
        <v>0.3859999999999999</v>
      </c>
      <c r="Y200">
        <f>Model!Y214</f>
        <v>0.19400000000000001</v>
      </c>
      <c r="Z200">
        <f>Model!Z214</f>
        <v>-0.27900000000000003</v>
      </c>
      <c r="AA200">
        <f>Model!AA214</f>
        <v>-0.59499999999999997</v>
      </c>
      <c r="AB200">
        <f>Model!AB214</f>
        <v>0.38200000000000006</v>
      </c>
      <c r="AC200">
        <f>Model!AC214</f>
        <v>-0.438</v>
      </c>
      <c r="AD200">
        <f>Model!AD214</f>
        <v>5.0000000000000044E-3</v>
      </c>
      <c r="AE200">
        <f>Model!AE214</f>
        <v>-2.0000000000000018E-2</v>
      </c>
      <c r="AF200">
        <f>Model!AF214</f>
        <v>0.86399999999999999</v>
      </c>
      <c r="AG200">
        <f>Model!AG214</f>
        <v>0.68300000000000005</v>
      </c>
      <c r="AH200">
        <f>Model!AH214</f>
        <v>-1.109</v>
      </c>
      <c r="AI200">
        <f>Model!AI214</f>
        <v>-2.0000000000000018E-3</v>
      </c>
      <c r="AJ200">
        <f>Model!AJ214</f>
        <v>0.38699999999999996</v>
      </c>
      <c r="AL200">
        <f>Model!BG214</f>
        <v>0</v>
      </c>
      <c r="AM200">
        <f>Model!BH214</f>
        <v>0</v>
      </c>
      <c r="AN200">
        <f>Model!BI214</f>
        <v>0.23899999999999999</v>
      </c>
      <c r="AO200">
        <f>Model!BJ214</f>
        <v>0.48399999999999999</v>
      </c>
      <c r="AP200">
        <f>Model!BK214</f>
        <v>0.54200000000000004</v>
      </c>
      <c r="AQ200">
        <f>Model!BL214</f>
        <v>0.63300000000000001</v>
      </c>
      <c r="AR200">
        <f>Model!BM214</f>
        <v>-0.44300000000000006</v>
      </c>
      <c r="AS200">
        <f>Model!BN214</f>
        <v>-0.29799999999999988</v>
      </c>
      <c r="AT200">
        <f>Model!BO214</f>
        <v>0.41099999999999998</v>
      </c>
      <c r="AU200">
        <f>Model!BP214</f>
        <v>-4.0999999999999981E-2</v>
      </c>
      <c r="AV200">
        <f>Model!BQ214</f>
        <v>0.38500000000000001</v>
      </c>
      <c r="AW200">
        <f>Model!BR214</f>
        <v>0.15200000000000002</v>
      </c>
      <c r="AX200">
        <f>Model!BS214</f>
        <v>0.65413902660300494</v>
      </c>
      <c r="AY200">
        <f>Model!BT214</f>
        <v>11.381843951415437</v>
      </c>
      <c r="AZ200">
        <f>Model!BU214</f>
        <v>2.8171060078061494</v>
      </c>
    </row>
    <row r="201" spans="9:52" ht="11.25" customHeight="1">
      <c r="I201" t="str">
        <f>Model!I215</f>
        <v>Changes in Working Capital</v>
      </c>
      <c r="M201">
        <f>Model!M215</f>
        <v>0</v>
      </c>
      <c r="N201">
        <f>Model!N215</f>
        <v>0</v>
      </c>
      <c r="O201">
        <f>Model!O215</f>
        <v>-0.38</v>
      </c>
      <c r="P201">
        <f>Model!P215</f>
        <v>-1.7010000000000001</v>
      </c>
      <c r="Q201">
        <f>Model!Q215</f>
        <v>1.8399999999999999</v>
      </c>
      <c r="R201">
        <f>Model!R215</f>
        <v>-0.99399999999999999</v>
      </c>
      <c r="S201">
        <f>Model!S215</f>
        <v>0.16800000000000004</v>
      </c>
      <c r="T201">
        <f>Model!T215</f>
        <v>0.81300000000000017</v>
      </c>
      <c r="U201">
        <f>Model!U215</f>
        <v>-1.752</v>
      </c>
      <c r="V201">
        <f>Model!V215</f>
        <v>-1.3580000000000003</v>
      </c>
      <c r="W201">
        <f>Model!W215</f>
        <v>-1.4639999999999997</v>
      </c>
      <c r="X201">
        <f>Model!X215</f>
        <v>-0.19999999999999973</v>
      </c>
      <c r="Y201">
        <f>Model!Y215</f>
        <v>-3.1900000000000004</v>
      </c>
      <c r="Z201">
        <f>Model!Z215</f>
        <v>-3.4019999999999997</v>
      </c>
      <c r="AA201">
        <f>Model!AA215</f>
        <v>-1.4860000000000004</v>
      </c>
      <c r="AB201">
        <f>Model!AB215</f>
        <v>-1.6639999999999993</v>
      </c>
      <c r="AC201">
        <f>Model!AC215</f>
        <v>-2.3059999999999996</v>
      </c>
      <c r="AD201">
        <f>Model!AD215</f>
        <v>-7.2560000000000011</v>
      </c>
      <c r="AE201">
        <f>Model!AE215</f>
        <v>-1.1019999999999999</v>
      </c>
      <c r="AF201">
        <f>Model!AF215</f>
        <v>-5.2999999999999989</v>
      </c>
      <c r="AG201">
        <f>Model!AG215</f>
        <v>3.7989999999999995</v>
      </c>
      <c r="AH201">
        <f>Model!AH215</f>
        <v>-3.5430000000000001</v>
      </c>
      <c r="AI201">
        <f>Model!AI215</f>
        <v>-9.6100000000000012</v>
      </c>
      <c r="AJ201">
        <f>Model!AJ215</f>
        <v>-22.774999999999999</v>
      </c>
      <c r="AL201">
        <f>Model!BG215</f>
        <v>0</v>
      </c>
      <c r="AM201">
        <f>Model!BH215</f>
        <v>0</v>
      </c>
      <c r="AN201">
        <f>Model!BI215</f>
        <v>0.10499999999999987</v>
      </c>
      <c r="AO201">
        <f>Model!BJ215</f>
        <v>-0.15199999999999991</v>
      </c>
      <c r="AP201">
        <f>Model!BK215</f>
        <v>-2.0810000000000004</v>
      </c>
      <c r="AQ201">
        <f>Model!BL215</f>
        <v>1.8270000000000004</v>
      </c>
      <c r="AR201">
        <f>Model!BM215</f>
        <v>-4.7739999999999991</v>
      </c>
      <c r="AS201">
        <f>Model!BN215</f>
        <v>-9.7419999999999991</v>
      </c>
      <c r="AT201">
        <f>Model!BO215</f>
        <v>-15.964</v>
      </c>
      <c r="AU201">
        <f>Model!BP215</f>
        <v>-32.128999999999998</v>
      </c>
      <c r="AV201">
        <f>Model!BQ215</f>
        <v>-10.273999999999997</v>
      </c>
      <c r="AW201">
        <f>Model!BR215</f>
        <v>19.559999999999995</v>
      </c>
      <c r="AX201">
        <f>Model!BS215</f>
        <v>-2.7442893768807046</v>
      </c>
      <c r="AY201">
        <f>Model!BT215</f>
        <v>-0.30202538990474181</v>
      </c>
      <c r="AZ201">
        <f>Model!BU215</f>
        <v>1.2947334900096195</v>
      </c>
    </row>
    <row r="202" spans="9:52" ht="11.25" customHeight="1">
      <c r="I202" t="str">
        <f>Model!I216</f>
        <v>Operating Cash Flow</v>
      </c>
      <c r="M202">
        <f>Model!M216</f>
        <v>0</v>
      </c>
      <c r="N202">
        <f>Model!N216</f>
        <v>0</v>
      </c>
      <c r="O202">
        <f>Model!O216</f>
        <v>-0.8539999999999992</v>
      </c>
      <c r="P202">
        <f>Model!P216</f>
        <v>-1.370000000000001</v>
      </c>
      <c r="Q202">
        <f>Model!Q216</f>
        <v>0.99600000000000055</v>
      </c>
      <c r="R202">
        <f>Model!R216</f>
        <v>-0.22499999999999887</v>
      </c>
      <c r="S202">
        <f>Model!S216</f>
        <v>-1.0670000000000068</v>
      </c>
      <c r="T202">
        <f>Model!T216</f>
        <v>0.5460000000000016</v>
      </c>
      <c r="U202">
        <f>Model!U216</f>
        <v>-2.7729999999999988</v>
      </c>
      <c r="V202">
        <f>Model!V216</f>
        <v>0.3329999999999973</v>
      </c>
      <c r="W202">
        <f>Model!W216</f>
        <v>0.71200000000000174</v>
      </c>
      <c r="X202">
        <f>Model!X216</f>
        <v>0.60499999999998966</v>
      </c>
      <c r="Y202">
        <f>Model!Y216</f>
        <v>0.25000000000001288</v>
      </c>
      <c r="Z202">
        <f>Model!Z216</f>
        <v>4.8640000000000025</v>
      </c>
      <c r="AA202">
        <f>Model!AA216</f>
        <v>6.9939999999999927</v>
      </c>
      <c r="AB202">
        <f>Model!AB216</f>
        <v>9.3239999999999981</v>
      </c>
      <c r="AC202">
        <f>Model!AC216</f>
        <v>9.322999999999988</v>
      </c>
      <c r="AD202">
        <f>Model!AD216</f>
        <v>10.665999999999997</v>
      </c>
      <c r="AE202">
        <f>Model!AE216</f>
        <v>19.049999999999994</v>
      </c>
      <c r="AF202">
        <f>Model!AF216</f>
        <v>18.893000000000015</v>
      </c>
      <c r="AG202">
        <f>Model!AG216</f>
        <v>25.635000000000002</v>
      </c>
      <c r="AH202">
        <f>Model!AH216</f>
        <v>18.03</v>
      </c>
      <c r="AI202">
        <f>Model!AI216</f>
        <v>9.8619999999999965</v>
      </c>
      <c r="AJ202">
        <f>Model!AJ216</f>
        <v>3.835000000000008</v>
      </c>
      <c r="AL202">
        <f>Model!BG216</f>
        <v>0</v>
      </c>
      <c r="AM202">
        <f>Model!BH216</f>
        <v>0</v>
      </c>
      <c r="AN202">
        <f>Model!BI216</f>
        <v>-4.7289999999999992</v>
      </c>
      <c r="AO202">
        <f>Model!BJ216</f>
        <v>-0.63299999999999479</v>
      </c>
      <c r="AP202">
        <f>Model!BK216</f>
        <v>-7.8109999999999928</v>
      </c>
      <c r="AQ202">
        <f>Model!BL216</f>
        <v>0.24999999999999423</v>
      </c>
      <c r="AR202">
        <f>Model!BM216</f>
        <v>-1.1230000000000082</v>
      </c>
      <c r="AS202">
        <f>Model!BN216</f>
        <v>21.432000000000009</v>
      </c>
      <c r="AT202">
        <f>Model!BO216</f>
        <v>57.931999999999988</v>
      </c>
      <c r="AU202">
        <f>Model!BP216</f>
        <v>57.362000000000002</v>
      </c>
      <c r="AV202">
        <f>Model!BQ216</f>
        <v>126.89999999999998</v>
      </c>
      <c r="AW202">
        <f>Model!BR216</f>
        <v>167.64700000000005</v>
      </c>
      <c r="AX202">
        <f>Model!BS216</f>
        <v>173.14721202096479</v>
      </c>
      <c r="AY202">
        <f>Model!BT216</f>
        <v>206.7439216625535</v>
      </c>
      <c r="AZ202">
        <f>Model!BU216</f>
        <v>244.63033595215705</v>
      </c>
    </row>
    <row r="203" spans="9:52" ht="11.25" customHeight="1">
      <c r="I203">
        <f>Model!I217</f>
        <v>0</v>
      </c>
      <c r="M203">
        <f>Model!M217</f>
        <v>0</v>
      </c>
      <c r="N203">
        <f>Model!N217</f>
        <v>0</v>
      </c>
      <c r="O203">
        <f>Model!O217</f>
        <v>0</v>
      </c>
      <c r="P203">
        <f>Model!P217</f>
        <v>0</v>
      </c>
      <c r="Q203">
        <f>Model!Q217</f>
        <v>0</v>
      </c>
      <c r="R203">
        <f>Model!R217</f>
        <v>0</v>
      </c>
      <c r="S203">
        <f>Model!S217</f>
        <v>0</v>
      </c>
      <c r="T203">
        <f>Model!T217</f>
        <v>0</v>
      </c>
      <c r="U203">
        <f>Model!U217</f>
        <v>0</v>
      </c>
      <c r="V203">
        <f>Model!V217</f>
        <v>0</v>
      </c>
      <c r="W203">
        <f>Model!W217</f>
        <v>0</v>
      </c>
      <c r="X203">
        <f>Model!X217</f>
        <v>0</v>
      </c>
      <c r="Y203">
        <f>Model!Y217</f>
        <v>0</v>
      </c>
      <c r="Z203">
        <f>Model!Z217</f>
        <v>0</v>
      </c>
      <c r="AA203">
        <f>Model!AA217</f>
        <v>0</v>
      </c>
      <c r="AB203">
        <f>Model!AB217</f>
        <v>0</v>
      </c>
      <c r="AC203">
        <f>Model!AC217</f>
        <v>0</v>
      </c>
      <c r="AD203">
        <f>Model!AD217</f>
        <v>0</v>
      </c>
      <c r="AE203">
        <f>Model!AE217</f>
        <v>0</v>
      </c>
      <c r="AF203">
        <f>Model!AF217</f>
        <v>0</v>
      </c>
      <c r="AG203">
        <f>Model!AG217</f>
        <v>0</v>
      </c>
      <c r="AH203">
        <f>Model!AH217</f>
        <v>0</v>
      </c>
      <c r="AI203">
        <f>Model!AI217</f>
        <v>0</v>
      </c>
      <c r="AJ203">
        <f>Model!AJ217</f>
        <v>0</v>
      </c>
      <c r="AL203">
        <f>Model!BG217</f>
        <v>0</v>
      </c>
      <c r="AM203">
        <f>Model!BH217</f>
        <v>0</v>
      </c>
      <c r="AN203">
        <f>Model!BI217</f>
        <v>0</v>
      </c>
      <c r="AO203">
        <f>Model!BJ217</f>
        <v>0</v>
      </c>
      <c r="AP203">
        <f>Model!BK217</f>
        <v>0</v>
      </c>
      <c r="AQ203">
        <f>Model!BL217</f>
        <v>0</v>
      </c>
      <c r="AR203">
        <f>Model!BM217</f>
        <v>0</v>
      </c>
      <c r="AS203">
        <f>Model!BN217</f>
        <v>0</v>
      </c>
      <c r="AT203">
        <f>Model!BO217</f>
        <v>0</v>
      </c>
      <c r="AU203">
        <f>Model!BP217</f>
        <v>0</v>
      </c>
      <c r="AV203">
        <f>Model!BQ217</f>
        <v>0</v>
      </c>
      <c r="AW203">
        <f>Model!BR217</f>
        <v>0</v>
      </c>
      <c r="AX203">
        <f>Model!BS217</f>
        <v>0</v>
      </c>
      <c r="AY203">
        <f>Model!BT217</f>
        <v>0</v>
      </c>
      <c r="AZ203">
        <f>Model!BU217</f>
        <v>0</v>
      </c>
    </row>
    <row r="204" spans="9:52" ht="11.25" customHeight="1">
      <c r="I204" t="str">
        <f>Model!I218</f>
        <v>Investing Cash Flow</v>
      </c>
      <c r="M204">
        <f>Model!M218</f>
        <v>0</v>
      </c>
      <c r="N204">
        <f>Model!N218</f>
        <v>0</v>
      </c>
      <c r="O204">
        <f>Model!O218</f>
        <v>0</v>
      </c>
      <c r="P204">
        <f>Model!P218</f>
        <v>0</v>
      </c>
      <c r="Q204">
        <f>Model!Q218</f>
        <v>0</v>
      </c>
      <c r="R204">
        <f>Model!R218</f>
        <v>0</v>
      </c>
      <c r="S204">
        <f>Model!S218</f>
        <v>0</v>
      </c>
      <c r="T204">
        <f>Model!T218</f>
        <v>0</v>
      </c>
      <c r="U204">
        <f>Model!U218</f>
        <v>0</v>
      </c>
      <c r="V204">
        <f>Model!V218</f>
        <v>0</v>
      </c>
      <c r="W204">
        <f>Model!W218</f>
        <v>0</v>
      </c>
      <c r="X204">
        <f>Model!X218</f>
        <v>0</v>
      </c>
      <c r="Y204">
        <f>Model!Y218</f>
        <v>0</v>
      </c>
      <c r="Z204">
        <f>Model!Z218</f>
        <v>0</v>
      </c>
      <c r="AA204">
        <f>Model!AA218</f>
        <v>0</v>
      </c>
      <c r="AB204">
        <f>Model!AB218</f>
        <v>0</v>
      </c>
      <c r="AC204">
        <f>Model!AC218</f>
        <v>0</v>
      </c>
      <c r="AD204">
        <f>Model!AD218</f>
        <v>0</v>
      </c>
      <c r="AE204">
        <f>Model!AE218</f>
        <v>0</v>
      </c>
      <c r="AF204">
        <f>Model!AF218</f>
        <v>0</v>
      </c>
      <c r="AG204">
        <f>Model!AG218</f>
        <v>0</v>
      </c>
      <c r="AH204">
        <f>Model!AH218</f>
        <v>0</v>
      </c>
      <c r="AI204">
        <f>Model!AI218</f>
        <v>0</v>
      </c>
      <c r="AJ204">
        <f>Model!AJ218</f>
        <v>0</v>
      </c>
      <c r="AL204">
        <f>Model!BG218</f>
        <v>0</v>
      </c>
      <c r="AM204">
        <f>Model!BH218</f>
        <v>0</v>
      </c>
      <c r="AN204">
        <f>Model!BI218</f>
        <v>0</v>
      </c>
      <c r="AO204">
        <f>Model!BJ218</f>
        <v>0</v>
      </c>
      <c r="AP204">
        <f>Model!BK218</f>
        <v>0</v>
      </c>
      <c r="AQ204">
        <f>Model!BL218</f>
        <v>0</v>
      </c>
      <c r="AR204">
        <f>Model!BM218</f>
        <v>0</v>
      </c>
      <c r="AS204">
        <f>Model!BN218</f>
        <v>0</v>
      </c>
      <c r="AT204">
        <f>Model!BO218</f>
        <v>0</v>
      </c>
      <c r="AU204">
        <f>Model!BP218</f>
        <v>0</v>
      </c>
      <c r="AV204">
        <f>Model!BQ218</f>
        <v>0</v>
      </c>
      <c r="AW204">
        <f>Model!BR218</f>
        <v>0</v>
      </c>
      <c r="AX204">
        <f>Model!BS218</f>
        <v>0</v>
      </c>
      <c r="AY204">
        <f>Model!BT218</f>
        <v>0</v>
      </c>
      <c r="AZ204">
        <f>Model!BU218</f>
        <v>0</v>
      </c>
    </row>
    <row r="205" spans="9:52" ht="11.25" customHeight="1">
      <c r="I205">
        <f>Model!I219</f>
        <v>0</v>
      </c>
      <c r="M205">
        <f>Model!M219</f>
        <v>0</v>
      </c>
      <c r="N205">
        <f>Model!N219</f>
        <v>0</v>
      </c>
      <c r="O205">
        <f>Model!O219</f>
        <v>0</v>
      </c>
      <c r="P205">
        <f>Model!P219</f>
        <v>0</v>
      </c>
      <c r="Q205">
        <f>Model!Q219</f>
        <v>0</v>
      </c>
      <c r="R205">
        <f>Model!R219</f>
        <v>0</v>
      </c>
      <c r="S205">
        <f>Model!S219</f>
        <v>0</v>
      </c>
      <c r="T205">
        <f>Model!T219</f>
        <v>0</v>
      </c>
      <c r="U205">
        <f>Model!U219</f>
        <v>0</v>
      </c>
      <c r="V205">
        <f>Model!V219</f>
        <v>0</v>
      </c>
      <c r="W205">
        <f>Model!W219</f>
        <v>0</v>
      </c>
      <c r="X205">
        <f>Model!X219</f>
        <v>0</v>
      </c>
      <c r="Y205">
        <f>Model!Y219</f>
        <v>0</v>
      </c>
      <c r="Z205">
        <f>Model!Z219</f>
        <v>0</v>
      </c>
      <c r="AA205">
        <f>Model!AA219</f>
        <v>0</v>
      </c>
      <c r="AB205">
        <f>Model!AB219</f>
        <v>0</v>
      </c>
      <c r="AC205">
        <f>Model!AC219</f>
        <v>0</v>
      </c>
      <c r="AD205">
        <f>Model!AD219</f>
        <v>0</v>
      </c>
      <c r="AE205">
        <f>Model!AE219</f>
        <v>0</v>
      </c>
      <c r="AF205">
        <f>Model!AF219</f>
        <v>0</v>
      </c>
      <c r="AG205">
        <f>Model!AG219</f>
        <v>0</v>
      </c>
      <c r="AH205">
        <f>Model!AH219</f>
        <v>0</v>
      </c>
      <c r="AI205">
        <f>Model!AI219</f>
        <v>0</v>
      </c>
      <c r="AJ205">
        <f>Model!AJ219</f>
        <v>0</v>
      </c>
      <c r="AL205">
        <f>Model!BG219</f>
        <v>0</v>
      </c>
      <c r="AM205">
        <f>Model!BH219</f>
        <v>0</v>
      </c>
      <c r="AN205">
        <f>Model!BI219</f>
        <v>0</v>
      </c>
      <c r="AO205">
        <f>Model!BJ219</f>
        <v>0</v>
      </c>
      <c r="AP205">
        <f>Model!BK219</f>
        <v>0</v>
      </c>
      <c r="AQ205">
        <f>Model!BL219</f>
        <v>0</v>
      </c>
      <c r="AR205">
        <f>Model!BM219</f>
        <v>0</v>
      </c>
      <c r="AS205">
        <f>Model!BN219</f>
        <v>0</v>
      </c>
      <c r="AT205">
        <f>Model!BO219</f>
        <v>0</v>
      </c>
      <c r="AU205">
        <f>Model!BP219</f>
        <v>0</v>
      </c>
      <c r="AV205">
        <f>Model!BQ219</f>
        <v>0</v>
      </c>
      <c r="AW205">
        <f>Model!BR219</f>
        <v>0</v>
      </c>
      <c r="AX205">
        <f>Model!BS219</f>
        <v>0</v>
      </c>
      <c r="AY205">
        <f>Model!BT219</f>
        <v>0</v>
      </c>
      <c r="AZ205">
        <f>Model!BU219</f>
        <v>0</v>
      </c>
    </row>
    <row r="206" spans="9:52" ht="11.25" customHeight="1">
      <c r="I206" t="str">
        <f>Model!I220</f>
        <v>Purchases of property, equipment and software (Capex)</v>
      </c>
      <c r="M206">
        <f>Model!M220</f>
        <v>0</v>
      </c>
      <c r="N206">
        <f>Model!N220</f>
        <v>0</v>
      </c>
      <c r="O206">
        <f>Model!O220</f>
        <v>-3.05</v>
      </c>
      <c r="P206">
        <f>Model!P220</f>
        <v>-0.52100000000000035</v>
      </c>
      <c r="Q206">
        <f>Model!Q220</f>
        <v>-0.81299999999999994</v>
      </c>
      <c r="R206">
        <f>Model!R220</f>
        <v>-0.66500000000000004</v>
      </c>
      <c r="S206">
        <f>Model!S220</f>
        <v>-1.2819999999999998</v>
      </c>
      <c r="T206">
        <f>Model!T220</f>
        <v>-2.0380000000000003</v>
      </c>
      <c r="U206">
        <f>Model!U220</f>
        <v>-0.36699999999999999</v>
      </c>
      <c r="V206">
        <f>Model!V220</f>
        <v>-1.56</v>
      </c>
      <c r="W206">
        <f>Model!W220</f>
        <v>-1.5569999999999999</v>
      </c>
      <c r="X206">
        <f>Model!X220</f>
        <v>-4.04</v>
      </c>
      <c r="Y206">
        <f>Model!Y220</f>
        <v>-0.94699999999999995</v>
      </c>
      <c r="Z206">
        <f>Model!Z220</f>
        <v>-4.0190000000000001</v>
      </c>
      <c r="AA206">
        <f>Model!AA220</f>
        <v>-4.5810000000000004</v>
      </c>
      <c r="AB206">
        <f>Model!AB220</f>
        <v>-6.6959999999999988</v>
      </c>
      <c r="AC206">
        <f>Model!AC220</f>
        <v>-4.2460000000000004</v>
      </c>
      <c r="AD206">
        <f>Model!AD220</f>
        <v>-2.9659999999999993</v>
      </c>
      <c r="AE206">
        <f>Model!AE220</f>
        <v>-5.5310000000000006</v>
      </c>
      <c r="AF206">
        <f>Model!AF220</f>
        <v>-16.310999999999993</v>
      </c>
      <c r="AG206">
        <f>Model!AG220</f>
        <v>-10.881</v>
      </c>
      <c r="AH206">
        <f>Model!AH220</f>
        <v>-80.599999999999994</v>
      </c>
      <c r="AI206">
        <f>Model!AI220</f>
        <v>-7.2990000000000066</v>
      </c>
      <c r="AJ206">
        <f>Model!AJ220</f>
        <v>-5.7689999999999912</v>
      </c>
      <c r="AL206" t="str">
        <f>Model!BG220</f>
        <v>ND</v>
      </c>
      <c r="AM206" t="str">
        <f>Model!BH220</f>
        <v>ND</v>
      </c>
      <c r="AN206">
        <f>Model!BI220</f>
        <v>-1.333</v>
      </c>
      <c r="AO206">
        <f>Model!BJ220</f>
        <v>-0.622</v>
      </c>
      <c r="AP206">
        <f>Model!BK220</f>
        <v>-3.5710000000000002</v>
      </c>
      <c r="AQ206">
        <f>Model!BL220</f>
        <v>-4.798</v>
      </c>
      <c r="AR206">
        <f>Model!BM220</f>
        <v>-7.524</v>
      </c>
      <c r="AS206">
        <f>Model!BN220</f>
        <v>-16.242999999999999</v>
      </c>
      <c r="AT206">
        <f>Model!BO220</f>
        <v>-29.053999999999995</v>
      </c>
      <c r="AU206">
        <f>Model!BP220</f>
        <v>-104.54899999999999</v>
      </c>
      <c r="AV206">
        <f>Model!BQ220</f>
        <v>-22.994</v>
      </c>
      <c r="AW206">
        <f>Model!BR220</f>
        <v>-15.598000000000003</v>
      </c>
      <c r="AX206">
        <f>Model!BS220</f>
        <v>-24</v>
      </c>
      <c r="AY206">
        <f>Model!BT220</f>
        <v>-36.30290473341244</v>
      </c>
      <c r="AZ206">
        <f>Model!BU220</f>
        <v>-41.119783277907715</v>
      </c>
    </row>
    <row r="207" spans="9:52" ht="11.25" customHeight="1">
      <c r="I207" t="str">
        <f>Model!I221</f>
        <v>Purchases of intangible assets and other assets</v>
      </c>
      <c r="M207">
        <f>Model!M221</f>
        <v>0</v>
      </c>
      <c r="N207">
        <f>Model!N221</f>
        <v>0</v>
      </c>
      <c r="O207">
        <f>Model!O221</f>
        <v>0</v>
      </c>
      <c r="P207">
        <f>Model!P221</f>
        <v>0</v>
      </c>
      <c r="Q207">
        <f>Model!Q221</f>
        <v>0</v>
      </c>
      <c r="R207">
        <f>Model!R221</f>
        <v>0</v>
      </c>
      <c r="S207">
        <f>Model!S221</f>
        <v>0</v>
      </c>
      <c r="T207">
        <f>Model!T221</f>
        <v>0</v>
      </c>
      <c r="U207">
        <f>Model!U221</f>
        <v>0</v>
      </c>
      <c r="V207">
        <f>Model!V221</f>
        <v>0</v>
      </c>
      <c r="W207">
        <f>Model!W221</f>
        <v>0</v>
      </c>
      <c r="X207">
        <f>Model!X221</f>
        <v>0</v>
      </c>
      <c r="Y207">
        <f>Model!Y221</f>
        <v>0</v>
      </c>
      <c r="Z207">
        <f>Model!Z221</f>
        <v>1.153</v>
      </c>
      <c r="AA207">
        <f>Model!AA221</f>
        <v>-1.153</v>
      </c>
      <c r="AB207">
        <f>Model!AB221</f>
        <v>1.153</v>
      </c>
      <c r="AC207">
        <f>Model!AC221</f>
        <v>0</v>
      </c>
      <c r="AD207">
        <f>Model!AD221</f>
        <v>0</v>
      </c>
      <c r="AE207">
        <f>Model!AE221</f>
        <v>-1.3340000000000001</v>
      </c>
      <c r="AF207">
        <f>Model!AF221</f>
        <v>-0.3899999999999999</v>
      </c>
      <c r="AG207">
        <f>Model!AG221</f>
        <v>-0.314</v>
      </c>
      <c r="AH207">
        <f>Model!AH221</f>
        <v>0</v>
      </c>
      <c r="AI207">
        <f>Model!AI221</f>
        <v>-0.33300000000000002</v>
      </c>
      <c r="AJ207">
        <f>Model!AJ221</f>
        <v>0</v>
      </c>
      <c r="AL207">
        <f>Model!BG221</f>
        <v>0</v>
      </c>
      <c r="AM207">
        <f>Model!BH221</f>
        <v>0</v>
      </c>
      <c r="AN207">
        <f>Model!BI221</f>
        <v>-1.2E-2</v>
      </c>
      <c r="AO207">
        <f>Model!BJ221</f>
        <v>-4.2999999999999997E-2</v>
      </c>
      <c r="AP207">
        <f>Model!BK221</f>
        <v>0</v>
      </c>
      <c r="AQ207">
        <f>Model!BL221</f>
        <v>0</v>
      </c>
      <c r="AR207">
        <f>Model!BM221</f>
        <v>0</v>
      </c>
      <c r="AS207">
        <f>Model!BN221</f>
        <v>1.153</v>
      </c>
      <c r="AT207">
        <f>Model!BO221</f>
        <v>-1.724</v>
      </c>
      <c r="AU207">
        <f>Model!BP221</f>
        <v>-0.64700000000000002</v>
      </c>
      <c r="AV207">
        <f>Model!BQ221</f>
        <v>0</v>
      </c>
      <c r="AW207">
        <f>Model!BR221</f>
        <v>-50.543999999999997</v>
      </c>
      <c r="AX207">
        <f>Model!BS221</f>
        <v>0</v>
      </c>
      <c r="AY207">
        <f>Model!BT221</f>
        <v>0</v>
      </c>
      <c r="AZ207">
        <f>Model!BU221</f>
        <v>0</v>
      </c>
    </row>
    <row r="208" spans="9:52" ht="11.25" customHeight="1">
      <c r="I208" t="str">
        <f>Model!I222</f>
        <v>Sale and maturities of investments</v>
      </c>
      <c r="M208">
        <f>Model!M222</f>
        <v>0</v>
      </c>
      <c r="N208">
        <f>Model!N222</f>
        <v>0</v>
      </c>
      <c r="O208">
        <f>Model!O222</f>
        <v>0</v>
      </c>
      <c r="P208">
        <f>Model!P222</f>
        <v>0</v>
      </c>
      <c r="Q208">
        <f>Model!Q222</f>
        <v>0</v>
      </c>
      <c r="R208">
        <f>Model!R222</f>
        <v>0</v>
      </c>
      <c r="S208">
        <f>Model!S222</f>
        <v>0</v>
      </c>
      <c r="T208">
        <f>Model!T222</f>
        <v>0</v>
      </c>
      <c r="U208">
        <f>Model!U222</f>
        <v>0</v>
      </c>
      <c r="V208">
        <f>Model!V222</f>
        <v>0</v>
      </c>
      <c r="W208">
        <f>Model!W222</f>
        <v>0</v>
      </c>
      <c r="X208">
        <f>Model!X222</f>
        <v>0</v>
      </c>
      <c r="Y208">
        <f>Model!Y222</f>
        <v>0</v>
      </c>
      <c r="Z208">
        <f>Model!Z222</f>
        <v>0</v>
      </c>
      <c r="AA208">
        <f>Model!AA222</f>
        <v>0</v>
      </c>
      <c r="AB208">
        <f>Model!AB222</f>
        <v>0</v>
      </c>
      <c r="AC208">
        <f>Model!AC222</f>
        <v>0</v>
      </c>
      <c r="AD208">
        <f>Model!AD222</f>
        <v>0</v>
      </c>
      <c r="AE208">
        <f>Model!AE222</f>
        <v>0</v>
      </c>
      <c r="AF208">
        <f>Model!AF222</f>
        <v>-14.34</v>
      </c>
      <c r="AG208">
        <f>Model!AG222</f>
        <v>-17.772999999999996</v>
      </c>
      <c r="AH208">
        <f>Model!AH222</f>
        <v>81.643000000000001</v>
      </c>
      <c r="AI208">
        <f>Model!AI222</f>
        <v>68</v>
      </c>
      <c r="AJ208">
        <f>Model!AJ222</f>
        <v>71</v>
      </c>
      <c r="AL208">
        <f>Model!BG222</f>
        <v>0</v>
      </c>
      <c r="AM208">
        <f>Model!BH222</f>
        <v>0</v>
      </c>
      <c r="AN208">
        <f>Model!BI222</f>
        <v>7.7210000000000001</v>
      </c>
      <c r="AO208">
        <f>Model!BJ222</f>
        <v>3.2909999999999999</v>
      </c>
      <c r="AP208">
        <f>Model!BK222</f>
        <v>0</v>
      </c>
      <c r="AQ208">
        <f>Model!BL222</f>
        <v>0</v>
      </c>
      <c r="AR208">
        <f>Model!BM222</f>
        <v>0</v>
      </c>
      <c r="AS208">
        <f>Model!BN222</f>
        <v>0</v>
      </c>
      <c r="AT208">
        <f>Model!BO222</f>
        <v>-14.34</v>
      </c>
      <c r="AU208">
        <f>Model!BP222</f>
        <v>202.87</v>
      </c>
      <c r="AV208">
        <f>Model!BQ222</f>
        <v>265.58800000000002</v>
      </c>
      <c r="AW208">
        <f>Model!BR222</f>
        <v>516.66300000000001</v>
      </c>
      <c r="AX208">
        <f>Model!BS222</f>
        <v>0</v>
      </c>
      <c r="AY208">
        <f>Model!BT222</f>
        <v>0</v>
      </c>
      <c r="AZ208">
        <f>Model!BU222</f>
        <v>0</v>
      </c>
    </row>
    <row r="209" spans="9:52" ht="11.25" customHeight="1">
      <c r="I209" t="str">
        <f>Model!I223</f>
        <v>Purchases of investments</v>
      </c>
      <c r="M209">
        <f>Model!M223</f>
        <v>0</v>
      </c>
      <c r="N209">
        <f>Model!N223</f>
        <v>0</v>
      </c>
      <c r="O209">
        <f>Model!O223</f>
        <v>0</v>
      </c>
      <c r="P209">
        <f>Model!P223</f>
        <v>0</v>
      </c>
      <c r="Q209">
        <f>Model!Q223</f>
        <v>0</v>
      </c>
      <c r="R209">
        <f>Model!R223</f>
        <v>0</v>
      </c>
      <c r="S209">
        <f>Model!S223</f>
        <v>0</v>
      </c>
      <c r="T209">
        <f>Model!T223</f>
        <v>0</v>
      </c>
      <c r="U209">
        <f>Model!U223</f>
        <v>0</v>
      </c>
      <c r="V209">
        <f>Model!V223</f>
        <v>0</v>
      </c>
      <c r="W209">
        <f>Model!W223</f>
        <v>0</v>
      </c>
      <c r="X209">
        <f>Model!X223</f>
        <v>-24.125</v>
      </c>
      <c r="Y209">
        <f>Model!Y223</f>
        <v>0</v>
      </c>
      <c r="Z209">
        <f>Model!Z223</f>
        <v>0</v>
      </c>
      <c r="AA209">
        <f>Model!AA223</f>
        <v>-0.90399999999999991</v>
      </c>
      <c r="AB209">
        <f>Model!AB223</f>
        <v>-1.153</v>
      </c>
      <c r="AC209">
        <f>Model!AC223</f>
        <v>0</v>
      </c>
      <c r="AD209">
        <f>Model!AD223</f>
        <v>-122.212</v>
      </c>
      <c r="AE209">
        <f>Model!AE223</f>
        <v>-5.1330000000000098</v>
      </c>
      <c r="AF209">
        <f>Model!AF223</f>
        <v>-30.097999999999971</v>
      </c>
      <c r="AG209">
        <f>Model!AG223</f>
        <v>-71.546000000000006</v>
      </c>
      <c r="AH209">
        <f>Model!AH223</f>
        <v>-22.259</v>
      </c>
      <c r="AI209">
        <f>Model!AI223</f>
        <v>-78.802999999999983</v>
      </c>
      <c r="AJ209">
        <f>Model!AJ223</f>
        <v>-73.551999999999992</v>
      </c>
      <c r="AL209">
        <f>Model!BG223</f>
        <v>0</v>
      </c>
      <c r="AM209">
        <f>Model!BH223</f>
        <v>0</v>
      </c>
      <c r="AN209">
        <f>Model!BI223</f>
        <v>-6.7279999999999998</v>
      </c>
      <c r="AO209">
        <f>Model!BJ223</f>
        <v>-1</v>
      </c>
      <c r="AP209">
        <f>Model!BK223</f>
        <v>0</v>
      </c>
      <c r="AQ209">
        <f>Model!BL223</f>
        <v>0</v>
      </c>
      <c r="AR209">
        <f>Model!BM223</f>
        <v>-24.125</v>
      </c>
      <c r="AS209">
        <f>Model!BN223</f>
        <v>-2.0569999999999999</v>
      </c>
      <c r="AT209">
        <f>Model!BO223</f>
        <v>-157.44299999999998</v>
      </c>
      <c r="AU209">
        <f>Model!BP223</f>
        <v>-246.16</v>
      </c>
      <c r="AV209">
        <f>Model!BQ223</f>
        <v>-282.96499999999997</v>
      </c>
      <c r="AW209">
        <f>Model!BR223</f>
        <v>-354.89499999999998</v>
      </c>
      <c r="AX209">
        <f>Model!BS223</f>
        <v>0</v>
      </c>
      <c r="AY209">
        <f>Model!BT223</f>
        <v>0</v>
      </c>
      <c r="AZ209">
        <f>Model!BU223</f>
        <v>0</v>
      </c>
    </row>
    <row r="210" spans="9:52" ht="11.25" customHeight="1">
      <c r="I210" t="str">
        <f>Model!I224</f>
        <v>Capitalized website and software development costs</v>
      </c>
      <c r="M210">
        <f>Model!M224</f>
        <v>0</v>
      </c>
      <c r="N210">
        <f>Model!N224</f>
        <v>0</v>
      </c>
      <c r="O210">
        <f>Model!O224</f>
        <v>-0.65600000000000003</v>
      </c>
      <c r="P210">
        <f>Model!P224</f>
        <v>-0.57300000000000006</v>
      </c>
      <c r="Q210">
        <f>Model!Q224</f>
        <v>-0.53700000000000003</v>
      </c>
      <c r="R210">
        <f>Model!R224</f>
        <v>-0.5179999999999999</v>
      </c>
      <c r="S210">
        <f>Model!S224</f>
        <v>-0.55300000000000027</v>
      </c>
      <c r="T210">
        <f>Model!T224</f>
        <v>-0.89799999999999969</v>
      </c>
      <c r="U210">
        <f>Model!U224</f>
        <v>-0.61199999999999999</v>
      </c>
      <c r="V210">
        <f>Model!V224</f>
        <v>-0.97800000000000009</v>
      </c>
      <c r="W210">
        <f>Model!W224</f>
        <v>-0.74399999999999988</v>
      </c>
      <c r="X210">
        <f>Model!X224</f>
        <v>-0.5960000000000002</v>
      </c>
      <c r="Y210">
        <f>Model!Y224</f>
        <v>-0.96899999999999997</v>
      </c>
      <c r="Z210">
        <f>Model!Z224</f>
        <v>-1.17</v>
      </c>
      <c r="AA210">
        <f>Model!AA224</f>
        <v>-1.1260000000000003</v>
      </c>
      <c r="AB210">
        <f>Model!AB224</f>
        <v>-1.5909999999999997</v>
      </c>
      <c r="AC210">
        <f>Model!AC224</f>
        <v>-1.5920000000000001</v>
      </c>
      <c r="AD210">
        <f>Model!AD224</f>
        <v>-2.7349999999999999</v>
      </c>
      <c r="AE210">
        <f>Model!AE224</f>
        <v>-3.6419999999999999</v>
      </c>
      <c r="AF210">
        <f>Model!AF224</f>
        <v>-3.3800000000000012</v>
      </c>
      <c r="AG210">
        <f>Model!AG224</f>
        <v>-3.1960000000000002</v>
      </c>
      <c r="AH210">
        <f>Model!AH224</f>
        <v>-2.8159999999999994</v>
      </c>
      <c r="AI210">
        <f>Model!AI224</f>
        <v>-2.6460000000000004</v>
      </c>
      <c r="AJ210">
        <f>Model!AJ224</f>
        <v>-3.0760000000000005</v>
      </c>
      <c r="AL210">
        <f>Model!BG224</f>
        <v>0</v>
      </c>
      <c r="AM210">
        <f>Model!BH224</f>
        <v>0</v>
      </c>
      <c r="AN210">
        <f>Model!BI224</f>
        <v>-0.44600000000000001</v>
      </c>
      <c r="AO210">
        <f>Model!BJ224</f>
        <v>-0.95499999999999996</v>
      </c>
      <c r="AP210">
        <f>Model!BK224</f>
        <v>-1.2290000000000001</v>
      </c>
      <c r="AQ210">
        <f>Model!BL224</f>
        <v>-2.5059999999999998</v>
      </c>
      <c r="AR210">
        <f>Model!BM224</f>
        <v>-2.93</v>
      </c>
      <c r="AS210">
        <f>Model!BN224</f>
        <v>-4.8559999999999999</v>
      </c>
      <c r="AT210">
        <f>Model!BO224</f>
        <v>-11.349</v>
      </c>
      <c r="AU210">
        <f>Model!BP224</f>
        <v>-11.734</v>
      </c>
      <c r="AV210">
        <f>Model!BQ224</f>
        <v>-14.370000000000001</v>
      </c>
      <c r="AW210">
        <f>Model!BR224</f>
        <v>-14.647</v>
      </c>
      <c r="AX210">
        <f>Model!BS224</f>
        <v>0</v>
      </c>
      <c r="AY210">
        <f>Model!BT224</f>
        <v>0</v>
      </c>
      <c r="AZ210">
        <f>Model!BU224</f>
        <v>0</v>
      </c>
    </row>
    <row r="211" spans="9:52" ht="11.25" customHeight="1">
      <c r="I211" t="str">
        <f>Model!I225</f>
        <v>Change in restricted cash</v>
      </c>
      <c r="M211">
        <f>Model!M225</f>
        <v>0</v>
      </c>
      <c r="N211">
        <f>Model!N225</f>
        <v>0</v>
      </c>
      <c r="O211">
        <f>Model!O225</f>
        <v>0</v>
      </c>
      <c r="P211">
        <f>Model!P225</f>
        <v>0</v>
      </c>
      <c r="Q211">
        <f>Model!Q225</f>
        <v>0</v>
      </c>
      <c r="R211">
        <f>Model!R225</f>
        <v>-0.36499999999999999</v>
      </c>
      <c r="S211">
        <f>Model!S225</f>
        <v>0</v>
      </c>
      <c r="T211">
        <f>Model!T225</f>
        <v>0.216</v>
      </c>
      <c r="U211">
        <f>Model!U225</f>
        <v>-1.1120000000000001</v>
      </c>
      <c r="V211">
        <f>Model!V225</f>
        <v>-4.8959999999999999</v>
      </c>
      <c r="W211">
        <f>Model!W225</f>
        <v>-4.0000000000000036E-2</v>
      </c>
      <c r="X211">
        <f>Model!X225</f>
        <v>3.5000000000000142E-2</v>
      </c>
      <c r="Y211">
        <f>Model!Y225</f>
        <v>0</v>
      </c>
      <c r="Z211">
        <f>Model!Z225</f>
        <v>-1.768</v>
      </c>
      <c r="AA211">
        <f>Model!AA225</f>
        <v>0</v>
      </c>
      <c r="AB211">
        <f>Model!AB225</f>
        <v>4.944</v>
      </c>
      <c r="AC211">
        <f>Model!AC225</f>
        <v>-0.39700000000000002</v>
      </c>
      <c r="AD211">
        <f>Model!AD225</f>
        <v>0</v>
      </c>
      <c r="AE211">
        <f>Model!AE225</f>
        <v>-9.359</v>
      </c>
      <c r="AF211">
        <f>Model!AF225</f>
        <v>-5.0079999999999991</v>
      </c>
      <c r="AG211">
        <f>Model!AG225</f>
        <v>-5.0000000000000001E-3</v>
      </c>
      <c r="AH211">
        <f>Model!AH225</f>
        <v>1.6769999999999998</v>
      </c>
      <c r="AI211">
        <f>Model!AI225</f>
        <v>-7.9999999999998996E-3</v>
      </c>
      <c r="AJ211">
        <f>Model!AJ225</f>
        <v>-0.12600000000000011</v>
      </c>
      <c r="AL211">
        <f>Model!BG225</f>
        <v>0</v>
      </c>
      <c r="AM211">
        <f>Model!BH225</f>
        <v>0</v>
      </c>
      <c r="AN211">
        <f>Model!BI225</f>
        <v>-0.32</v>
      </c>
      <c r="AO211">
        <f>Model!BJ225</f>
        <v>0.104</v>
      </c>
      <c r="AP211">
        <f>Model!BK225</f>
        <v>0</v>
      </c>
      <c r="AQ211">
        <f>Model!BL225</f>
        <v>-0.14899999999999999</v>
      </c>
      <c r="AR211">
        <f>Model!BM225</f>
        <v>-6.0129999999999999</v>
      </c>
      <c r="AS211">
        <f>Model!BN225</f>
        <v>3.1760000000000002</v>
      </c>
      <c r="AT211">
        <f>Model!BO225</f>
        <v>-14.763999999999999</v>
      </c>
      <c r="AU211">
        <f>Model!BP225</f>
        <v>1.5379999999999998</v>
      </c>
      <c r="AV211">
        <f>Model!BQ225</f>
        <v>-0.83099999999999996</v>
      </c>
      <c r="AW211">
        <f>Model!BR225</f>
        <v>-1.08</v>
      </c>
      <c r="AX211">
        <f>Model!BS225</f>
        <v>0</v>
      </c>
      <c r="AY211">
        <f>Model!BT225</f>
        <v>0</v>
      </c>
      <c r="AZ211">
        <f>Model!BU225</f>
        <v>0</v>
      </c>
    </row>
    <row r="212" spans="9:52" ht="11.25" customHeight="1">
      <c r="I212" t="str">
        <f>Model!I226</f>
        <v>Investing Cash Flow</v>
      </c>
      <c r="M212">
        <f>Model!M226</f>
        <v>0</v>
      </c>
      <c r="N212">
        <f>Model!N226</f>
        <v>0</v>
      </c>
      <c r="O212">
        <f>Model!O226</f>
        <v>-3.706</v>
      </c>
      <c r="P212">
        <f>Model!P226</f>
        <v>-1.0940000000000003</v>
      </c>
      <c r="Q212">
        <f>Model!Q226</f>
        <v>-1.35</v>
      </c>
      <c r="R212">
        <f>Model!R226</f>
        <v>-1.5479999999999998</v>
      </c>
      <c r="S212">
        <f>Model!S226</f>
        <v>-1.835</v>
      </c>
      <c r="T212">
        <f>Model!T226</f>
        <v>-2.7199999999999998</v>
      </c>
      <c r="U212">
        <f>Model!U226</f>
        <v>-2.0910000000000002</v>
      </c>
      <c r="V212">
        <f>Model!V226</f>
        <v>-7.4340000000000002</v>
      </c>
      <c r="W212">
        <f>Model!W226</f>
        <v>-2.3409999999999997</v>
      </c>
      <c r="X212">
        <f>Model!X226</f>
        <v>-28.725999999999999</v>
      </c>
      <c r="Y212">
        <f>Model!Y226</f>
        <v>-1.9159999999999999</v>
      </c>
      <c r="Z212">
        <f>Model!Z226</f>
        <v>-5.8039999999999994</v>
      </c>
      <c r="AA212">
        <f>Model!AA226</f>
        <v>-7.7640000000000002</v>
      </c>
      <c r="AB212">
        <f>Model!AB226</f>
        <v>-3.3429999999999991</v>
      </c>
      <c r="AC212">
        <f>Model!AC226</f>
        <v>-6.2350000000000012</v>
      </c>
      <c r="AD212">
        <f>Model!AD226</f>
        <v>-127.913</v>
      </c>
      <c r="AE212">
        <f>Model!AE226</f>
        <v>-24.999000000000009</v>
      </c>
      <c r="AF212">
        <f>Model!AF226</f>
        <v>-69.526999999999958</v>
      </c>
      <c r="AG212">
        <f>Model!AG226</f>
        <v>-103.715</v>
      </c>
      <c r="AH212">
        <f>Model!AH226</f>
        <v>-22.354999999999993</v>
      </c>
      <c r="AI212">
        <f>Model!AI226</f>
        <v>-21.088999999999988</v>
      </c>
      <c r="AJ212">
        <f>Model!AJ226</f>
        <v>-11.522999999999984</v>
      </c>
      <c r="AL212">
        <f>Model!BG226</f>
        <v>0</v>
      </c>
      <c r="AM212">
        <f>Model!BH226</f>
        <v>0</v>
      </c>
      <c r="AN212">
        <f>Model!BI226</f>
        <v>-1.1179999999999994</v>
      </c>
      <c r="AO212">
        <f>Model!BJ226</f>
        <v>0.77499999999999991</v>
      </c>
      <c r="AP212">
        <f>Model!BK226</f>
        <v>-4.8000000000000007</v>
      </c>
      <c r="AQ212">
        <f>Model!BL226</f>
        <v>-7.4530000000000003</v>
      </c>
      <c r="AR212">
        <f>Model!BM226</f>
        <v>-40.591999999999999</v>
      </c>
      <c r="AS212">
        <f>Model!BN226</f>
        <v>-18.826999999999998</v>
      </c>
      <c r="AT212">
        <f>Model!BO226</f>
        <v>-228.67399999999998</v>
      </c>
      <c r="AU212">
        <f>Model!BP226</f>
        <v>-158.68199999999999</v>
      </c>
      <c r="AV212">
        <f>Model!BQ226</f>
        <v>-55.57199999999996</v>
      </c>
      <c r="AW212">
        <f>Model!BR226</f>
        <v>79.899000000000029</v>
      </c>
      <c r="AX212">
        <f>Model!BS226</f>
        <v>-24</v>
      </c>
      <c r="AY212">
        <f>Model!BT226</f>
        <v>-36.30290473341244</v>
      </c>
      <c r="AZ212">
        <f>Model!BU226</f>
        <v>-41.119783277907715</v>
      </c>
    </row>
    <row r="213" spans="9:52" ht="11.25" customHeight="1">
      <c r="I213">
        <f>Model!I227</f>
        <v>0</v>
      </c>
      <c r="M213">
        <f>Model!M227</f>
        <v>0</v>
      </c>
      <c r="N213">
        <f>Model!N227</f>
        <v>0</v>
      </c>
      <c r="O213">
        <f>Model!O227</f>
        <v>0</v>
      </c>
      <c r="P213">
        <f>Model!P227</f>
        <v>0</v>
      </c>
      <c r="Q213">
        <f>Model!Q227</f>
        <v>0</v>
      </c>
      <c r="R213">
        <f>Model!R227</f>
        <v>0</v>
      </c>
      <c r="S213">
        <f>Model!S227</f>
        <v>0</v>
      </c>
      <c r="T213">
        <f>Model!T227</f>
        <v>0</v>
      </c>
      <c r="U213">
        <f>Model!U227</f>
        <v>0</v>
      </c>
      <c r="V213">
        <f>Model!V227</f>
        <v>0</v>
      </c>
      <c r="W213">
        <f>Model!W227</f>
        <v>0</v>
      </c>
      <c r="X213">
        <f>Model!X227</f>
        <v>0</v>
      </c>
      <c r="Y213">
        <f>Model!Y227</f>
        <v>0</v>
      </c>
      <c r="Z213">
        <f>Model!Z227</f>
        <v>0</v>
      </c>
      <c r="AA213">
        <f>Model!AA227</f>
        <v>0</v>
      </c>
      <c r="AB213">
        <f>Model!AB227</f>
        <v>0</v>
      </c>
      <c r="AC213">
        <f>Model!AC227</f>
        <v>0</v>
      </c>
      <c r="AD213">
        <f>Model!AD227</f>
        <v>0</v>
      </c>
      <c r="AE213">
        <f>Model!AE227</f>
        <v>0</v>
      </c>
      <c r="AF213">
        <f>Model!AF227</f>
        <v>0</v>
      </c>
      <c r="AG213">
        <f>Model!AG227</f>
        <v>0</v>
      </c>
      <c r="AH213">
        <f>Model!AH227</f>
        <v>0</v>
      </c>
      <c r="AI213">
        <f>Model!AI227</f>
        <v>0</v>
      </c>
      <c r="AJ213">
        <f>Model!AJ227</f>
        <v>0</v>
      </c>
      <c r="AL213">
        <f>Model!BG227</f>
        <v>0</v>
      </c>
      <c r="AM213">
        <f>Model!BH227</f>
        <v>0</v>
      </c>
      <c r="AN213">
        <f>Model!BI227</f>
        <v>0</v>
      </c>
      <c r="AO213">
        <f>Model!BJ227</f>
        <v>0</v>
      </c>
      <c r="AP213">
        <f>Model!BK227</f>
        <v>0</v>
      </c>
      <c r="AQ213">
        <f>Model!BL227</f>
        <v>0</v>
      </c>
      <c r="AR213">
        <f>Model!BM227</f>
        <v>0</v>
      </c>
      <c r="AS213">
        <f>Model!BN227</f>
        <v>0</v>
      </c>
      <c r="AT213">
        <f>Model!BO227</f>
        <v>0</v>
      </c>
      <c r="AU213">
        <f>Model!BP227</f>
        <v>0</v>
      </c>
      <c r="AV213">
        <f>Model!BQ227</f>
        <v>0</v>
      </c>
      <c r="AW213">
        <f>Model!BR227</f>
        <v>0</v>
      </c>
      <c r="AX213">
        <f>Model!BS227</f>
        <v>0</v>
      </c>
      <c r="AY213">
        <f>Model!BT227</f>
        <v>0</v>
      </c>
      <c r="AZ213">
        <f>Model!BU227</f>
        <v>0</v>
      </c>
    </row>
    <row r="214" spans="9:52" ht="11.25" customHeight="1">
      <c r="I214" t="str">
        <f>Model!I228</f>
        <v>Financing Cash Flow</v>
      </c>
      <c r="M214">
        <f>Model!M228</f>
        <v>0</v>
      </c>
      <c r="N214">
        <f>Model!N228</f>
        <v>0</v>
      </c>
      <c r="O214">
        <f>Model!O228</f>
        <v>0</v>
      </c>
      <c r="P214">
        <f>Model!P228</f>
        <v>0</v>
      </c>
      <c r="Q214">
        <f>Model!Q228</f>
        <v>0</v>
      </c>
      <c r="R214">
        <f>Model!R228</f>
        <v>0</v>
      </c>
      <c r="S214">
        <f>Model!S228</f>
        <v>0</v>
      </c>
      <c r="T214">
        <f>Model!T228</f>
        <v>0</v>
      </c>
      <c r="U214">
        <f>Model!U228</f>
        <v>0</v>
      </c>
      <c r="V214">
        <f>Model!V228</f>
        <v>0</v>
      </c>
      <c r="W214">
        <f>Model!W228</f>
        <v>0</v>
      </c>
      <c r="X214">
        <f>Model!X228</f>
        <v>0</v>
      </c>
      <c r="Y214">
        <f>Model!Y228</f>
        <v>0</v>
      </c>
      <c r="Z214">
        <f>Model!Z228</f>
        <v>0</v>
      </c>
      <c r="AA214">
        <f>Model!AA228</f>
        <v>0</v>
      </c>
      <c r="AB214">
        <f>Model!AB228</f>
        <v>0</v>
      </c>
      <c r="AC214">
        <f>Model!AC228</f>
        <v>0</v>
      </c>
      <c r="AD214">
        <f>Model!AD228</f>
        <v>0</v>
      </c>
      <c r="AE214">
        <f>Model!AE228</f>
        <v>0</v>
      </c>
      <c r="AF214">
        <f>Model!AF228</f>
        <v>0</v>
      </c>
      <c r="AG214">
        <f>Model!AG228</f>
        <v>0</v>
      </c>
      <c r="AH214">
        <f>Model!AH228</f>
        <v>0</v>
      </c>
      <c r="AI214">
        <f>Model!AI228</f>
        <v>0</v>
      </c>
      <c r="AJ214">
        <f>Model!AJ228</f>
        <v>0</v>
      </c>
      <c r="AL214">
        <f>Model!BG228</f>
        <v>0</v>
      </c>
      <c r="AM214">
        <f>Model!BH228</f>
        <v>0</v>
      </c>
      <c r="AN214">
        <f>Model!BI228</f>
        <v>0</v>
      </c>
      <c r="AO214">
        <f>Model!BJ228</f>
        <v>0</v>
      </c>
      <c r="AP214">
        <f>Model!BK228</f>
        <v>0</v>
      </c>
      <c r="AQ214">
        <f>Model!BL228</f>
        <v>0</v>
      </c>
      <c r="AR214">
        <f>Model!BM228</f>
        <v>0</v>
      </c>
      <c r="AS214">
        <f>Model!BN228</f>
        <v>0</v>
      </c>
      <c r="AT214">
        <f>Model!BO228</f>
        <v>0</v>
      </c>
      <c r="AU214">
        <f>Model!BP228</f>
        <v>0</v>
      </c>
      <c r="AV214">
        <f>Model!BQ228</f>
        <v>0</v>
      </c>
      <c r="AW214">
        <f>Model!BR228</f>
        <v>0</v>
      </c>
      <c r="AX214">
        <f>Model!BS228</f>
        <v>0</v>
      </c>
      <c r="AY214">
        <f>Model!BT228</f>
        <v>0</v>
      </c>
      <c r="AZ214">
        <f>Model!BU228</f>
        <v>0</v>
      </c>
    </row>
    <row r="215" spans="9:52" ht="11.25" customHeight="1">
      <c r="I215">
        <f>Model!I229</f>
        <v>0</v>
      </c>
      <c r="M215">
        <f>Model!M229</f>
        <v>0</v>
      </c>
      <c r="N215">
        <f>Model!N229</f>
        <v>0</v>
      </c>
      <c r="O215">
        <f>Model!O229</f>
        <v>0</v>
      </c>
      <c r="P215">
        <f>Model!P229</f>
        <v>0</v>
      </c>
      <c r="Q215">
        <f>Model!Q229</f>
        <v>0</v>
      </c>
      <c r="R215">
        <f>Model!R229</f>
        <v>0</v>
      </c>
      <c r="S215">
        <f>Model!S229</f>
        <v>0</v>
      </c>
      <c r="T215">
        <f>Model!T229</f>
        <v>0</v>
      </c>
      <c r="U215">
        <f>Model!U229</f>
        <v>0</v>
      </c>
      <c r="V215">
        <f>Model!V229</f>
        <v>0</v>
      </c>
      <c r="W215">
        <f>Model!W229</f>
        <v>0</v>
      </c>
      <c r="X215">
        <f>Model!X229</f>
        <v>0</v>
      </c>
      <c r="Y215">
        <f>Model!Y229</f>
        <v>0</v>
      </c>
      <c r="Z215">
        <f>Model!Z229</f>
        <v>0</v>
      </c>
      <c r="AA215">
        <f>Model!AA229</f>
        <v>0</v>
      </c>
      <c r="AB215">
        <f>Model!AB229</f>
        <v>0</v>
      </c>
      <c r="AC215">
        <f>Model!AC229</f>
        <v>0</v>
      </c>
      <c r="AD215">
        <f>Model!AD229</f>
        <v>0</v>
      </c>
      <c r="AE215">
        <f>Model!AE229</f>
        <v>0</v>
      </c>
      <c r="AF215">
        <f>Model!AF229</f>
        <v>0</v>
      </c>
      <c r="AG215">
        <f>Model!AG229</f>
        <v>0</v>
      </c>
      <c r="AH215">
        <f>Model!AH229</f>
        <v>0</v>
      </c>
      <c r="AI215">
        <f>Model!AI229</f>
        <v>0</v>
      </c>
      <c r="AJ215">
        <f>Model!AJ229</f>
        <v>0</v>
      </c>
      <c r="AL215">
        <f>Model!BG229</f>
        <v>0</v>
      </c>
      <c r="AM215">
        <f>Model!BH229</f>
        <v>0</v>
      </c>
      <c r="AN215">
        <f>Model!BI229</f>
        <v>0</v>
      </c>
      <c r="AO215">
        <f>Model!BJ229</f>
        <v>0</v>
      </c>
      <c r="AP215">
        <f>Model!BK229</f>
        <v>0</v>
      </c>
      <c r="AQ215">
        <f>Model!BL229</f>
        <v>0</v>
      </c>
      <c r="AR215">
        <f>Model!BM229</f>
        <v>0</v>
      </c>
      <c r="AS215">
        <f>Model!BN229</f>
        <v>0</v>
      </c>
      <c r="AT215">
        <f>Model!BO229</f>
        <v>0</v>
      </c>
      <c r="AU215">
        <f>Model!BP229</f>
        <v>0</v>
      </c>
      <c r="AV215">
        <f>Model!BQ229</f>
        <v>0</v>
      </c>
      <c r="AW215">
        <f>Model!BR229</f>
        <v>0</v>
      </c>
      <c r="AX215">
        <f>Model!BS229</f>
        <v>0</v>
      </c>
      <c r="AY215">
        <f>Model!BT229</f>
        <v>0</v>
      </c>
      <c r="AZ215">
        <f>Model!BU229</f>
        <v>0</v>
      </c>
    </row>
    <row r="216" spans="9:52" ht="11.25" customHeight="1">
      <c r="I216" t="str">
        <f>Model!I230</f>
        <v>Proceeds from issuance of common stock</v>
      </c>
      <c r="M216">
        <f>Model!M230</f>
        <v>0</v>
      </c>
      <c r="N216">
        <f>Model!N230</f>
        <v>0</v>
      </c>
      <c r="O216">
        <f>Model!O230</f>
        <v>24.533999999999999</v>
      </c>
      <c r="P216">
        <f>Model!P230</f>
        <v>9.9000000000000199E-2</v>
      </c>
      <c r="Q216">
        <f>Model!Q230</f>
        <v>0.161</v>
      </c>
      <c r="R216">
        <f>Model!R230</f>
        <v>0.23500000000000001</v>
      </c>
      <c r="S216">
        <f>Model!S230</f>
        <v>0.62899999999999989</v>
      </c>
      <c r="T216">
        <f>Model!T230</f>
        <v>1.0129999999999999</v>
      </c>
      <c r="U216">
        <f>Model!U230</f>
        <v>113.91799999999999</v>
      </c>
      <c r="V216">
        <f>Model!V230</f>
        <v>-0.8989999999999867</v>
      </c>
      <c r="W216">
        <f>Model!W230</f>
        <v>2.0619999999999976</v>
      </c>
      <c r="X216">
        <f>Model!X230</f>
        <v>2.5999999999999943</v>
      </c>
      <c r="Y216">
        <f>Model!Y230</f>
        <v>1.657</v>
      </c>
      <c r="Z216">
        <f>Model!Z230</f>
        <v>2.9470000000000001</v>
      </c>
      <c r="AA216">
        <f>Model!AA230</f>
        <v>5.0979999999999999</v>
      </c>
      <c r="AB216">
        <f>Model!AB230</f>
        <v>282.69199999999995</v>
      </c>
      <c r="AC216">
        <f>Model!AC230</f>
        <v>6.7350000000000003</v>
      </c>
      <c r="AD216">
        <f>Model!AD230</f>
        <v>4.105999999999999</v>
      </c>
      <c r="AE216">
        <f>Model!AE230</f>
        <v>6.4750000000000005</v>
      </c>
      <c r="AF216">
        <f>Model!AF230</f>
        <v>13.551000000000002</v>
      </c>
      <c r="AG216">
        <f>Model!AG230</f>
        <v>3.3980000000000001</v>
      </c>
      <c r="AH216">
        <f>Model!AH230</f>
        <v>5.136000000000001</v>
      </c>
      <c r="AI216">
        <f>Model!AI230</f>
        <v>1.3549999999999982</v>
      </c>
      <c r="AJ216">
        <f>Model!AJ230</f>
        <v>17.860000000000003</v>
      </c>
      <c r="AL216">
        <f>Model!BG230</f>
        <v>0</v>
      </c>
      <c r="AM216">
        <f>Model!BH230</f>
        <v>0</v>
      </c>
      <c r="AN216">
        <f>Model!BI230</f>
        <v>8.0000000000000002E-3</v>
      </c>
      <c r="AO216">
        <f>Model!BJ230</f>
        <v>4.5999999999999999E-2</v>
      </c>
      <c r="AP216">
        <f>Model!BK230</f>
        <v>24.632999999999999</v>
      </c>
      <c r="AQ216">
        <f>Model!BL230</f>
        <v>2.0379999999999998</v>
      </c>
      <c r="AR216">
        <f>Model!BM230</f>
        <v>117.681</v>
      </c>
      <c r="AS216">
        <f>Model!BN230</f>
        <v>292.39399999999995</v>
      </c>
      <c r="AT216">
        <f>Model!BO230</f>
        <v>30.867000000000001</v>
      </c>
      <c r="AU216">
        <f>Model!BP230</f>
        <v>27.749000000000002</v>
      </c>
      <c r="AV216">
        <f>Model!BQ230</f>
        <v>29.521999999999998</v>
      </c>
      <c r="AW216">
        <f>Model!BR230</f>
        <v>40.917000000000002</v>
      </c>
      <c r="AX216">
        <f>Model!BS230</f>
        <v>0</v>
      </c>
      <c r="AY216">
        <f>Model!BT230</f>
        <v>0</v>
      </c>
      <c r="AZ216">
        <f>Model!BU230</f>
        <v>0</v>
      </c>
    </row>
    <row r="217" spans="9:52" ht="11.25" customHeight="1">
      <c r="I217" t="str">
        <f>Model!I231</f>
        <v>Proceeds from early exercise of stock options</v>
      </c>
      <c r="M217">
        <f>Model!M231</f>
        <v>0</v>
      </c>
      <c r="N217">
        <f>Model!N231</f>
        <v>0</v>
      </c>
      <c r="O217">
        <f>Model!O231</f>
        <v>0</v>
      </c>
      <c r="P217">
        <f>Model!P231</f>
        <v>0</v>
      </c>
      <c r="Q217">
        <f>Model!Q231</f>
        <v>0</v>
      </c>
      <c r="R217">
        <f>Model!R231</f>
        <v>0</v>
      </c>
      <c r="S217">
        <f>Model!S231</f>
        <v>0</v>
      </c>
      <c r="T217">
        <f>Model!T231</f>
        <v>0</v>
      </c>
      <c r="U217">
        <f>Model!U231</f>
        <v>0</v>
      </c>
      <c r="V217">
        <f>Model!V231</f>
        <v>0</v>
      </c>
      <c r="W217">
        <f>Model!W231</f>
        <v>0</v>
      </c>
      <c r="X217">
        <f>Model!X231</f>
        <v>0</v>
      </c>
      <c r="Y217">
        <f>Model!Y231</f>
        <v>0</v>
      </c>
      <c r="Z217">
        <f>Model!Z231</f>
        <v>0</v>
      </c>
      <c r="AA217">
        <f>Model!AA231</f>
        <v>0</v>
      </c>
      <c r="AB217">
        <f>Model!AB231</f>
        <v>0</v>
      </c>
      <c r="AC217">
        <f>Model!AC231</f>
        <v>3.9E-2</v>
      </c>
      <c r="AD217">
        <f>Model!AD231</f>
        <v>4.508</v>
      </c>
      <c r="AE217">
        <f>Model!AE231</f>
        <v>0.43899999999999978</v>
      </c>
      <c r="AF217">
        <f>Model!AF231</f>
        <v>-4.9859999999999998</v>
      </c>
      <c r="AG217">
        <f>Model!AG231</f>
        <v>0.81499999999999995</v>
      </c>
      <c r="AH217">
        <f>Model!AH231</f>
        <v>8.1980000000000004</v>
      </c>
      <c r="AI217">
        <f>Model!AI231</f>
        <v>-3.9520000000000004</v>
      </c>
      <c r="AJ217">
        <f>Model!AJ231</f>
        <v>-5.0609999999999999</v>
      </c>
      <c r="AL217">
        <f>Model!BG231</f>
        <v>0</v>
      </c>
      <c r="AM217">
        <f>Model!BH231</f>
        <v>0</v>
      </c>
      <c r="AN217">
        <f>Model!BI231</f>
        <v>9.9000000000000005E-2</v>
      </c>
      <c r="AO217">
        <f>Model!BJ231</f>
        <v>2.7E-2</v>
      </c>
      <c r="AP217">
        <f>Model!BK231</f>
        <v>0</v>
      </c>
      <c r="AQ217">
        <f>Model!BL231</f>
        <v>0</v>
      </c>
      <c r="AR217">
        <f>Model!BM231</f>
        <v>0</v>
      </c>
      <c r="AS217">
        <f>Model!BN231</f>
        <v>0</v>
      </c>
      <c r="AT217">
        <f>Model!BO231</f>
        <v>0</v>
      </c>
      <c r="AU217">
        <f>Model!BP231</f>
        <v>0</v>
      </c>
      <c r="AV217">
        <f>Model!BQ231</f>
        <v>0</v>
      </c>
      <c r="AW217">
        <f>Model!BR231</f>
        <v>-1.1990000000000001</v>
      </c>
      <c r="AX217">
        <f>Model!BS231</f>
        <v>0</v>
      </c>
      <c r="AY217">
        <f>Model!BT231</f>
        <v>0</v>
      </c>
      <c r="AZ217">
        <f>Model!BU231</f>
        <v>0</v>
      </c>
    </row>
    <row r="218" spans="9:52" ht="11.25" customHeight="1">
      <c r="I218" t="str">
        <f>Model!I232</f>
        <v>Repurchase from early exercise of stock options</v>
      </c>
      <c r="M218">
        <f>Model!M232</f>
        <v>0</v>
      </c>
      <c r="N218">
        <f>Model!N232</f>
        <v>0</v>
      </c>
      <c r="O218">
        <f>Model!O232</f>
        <v>0</v>
      </c>
      <c r="P218">
        <f>Model!P232</f>
        <v>0</v>
      </c>
      <c r="Q218">
        <f>Model!Q232</f>
        <v>0</v>
      </c>
      <c r="R218">
        <f>Model!R232</f>
        <v>0</v>
      </c>
      <c r="S218">
        <f>Model!S232</f>
        <v>0</v>
      </c>
      <c r="T218">
        <f>Model!T232</f>
        <v>0</v>
      </c>
      <c r="U218">
        <f>Model!U232</f>
        <v>0</v>
      </c>
      <c r="V218">
        <f>Model!V232</f>
        <v>0</v>
      </c>
      <c r="W218">
        <f>Model!W232</f>
        <v>0</v>
      </c>
      <c r="X218">
        <f>Model!X232</f>
        <v>0</v>
      </c>
      <c r="Y218">
        <f>Model!Y232</f>
        <v>0</v>
      </c>
      <c r="Z218">
        <f>Model!Z232</f>
        <v>-0.193</v>
      </c>
      <c r="AA218">
        <f>Model!AA232</f>
        <v>-0.17499999999999999</v>
      </c>
      <c r="AB218">
        <f>Model!AB232</f>
        <v>-0.30600000000000005</v>
      </c>
      <c r="AC218">
        <f>Model!AC232</f>
        <v>-0.36099999999999999</v>
      </c>
      <c r="AD218">
        <f>Model!AD232</f>
        <v>-0.28100000000000003</v>
      </c>
      <c r="AE218">
        <f>Model!AE232</f>
        <v>-0.3929999999999999</v>
      </c>
      <c r="AF218">
        <f>Model!AF232</f>
        <v>-0.28300000000000014</v>
      </c>
      <c r="AG218">
        <f>Model!AG232</f>
        <v>-0.16800000000000001</v>
      </c>
      <c r="AH218">
        <f>Model!AH232</f>
        <v>-0.22800000000000001</v>
      </c>
      <c r="AI218">
        <f>Model!AI232</f>
        <v>4.694</v>
      </c>
      <c r="AJ218">
        <f>Model!AJ232</f>
        <v>-4.78</v>
      </c>
      <c r="AL218">
        <f>Model!BG232</f>
        <v>0</v>
      </c>
      <c r="AM218">
        <f>Model!BH232</f>
        <v>0</v>
      </c>
      <c r="AN218">
        <f>Model!BI232</f>
        <v>14.916</v>
      </c>
      <c r="AO218">
        <f>Model!BJ232</f>
        <v>-1E-3</v>
      </c>
      <c r="AP218">
        <f>Model!BK232</f>
        <v>0</v>
      </c>
      <c r="AQ218">
        <f>Model!BL232</f>
        <v>0</v>
      </c>
      <c r="AR218">
        <f>Model!BM232</f>
        <v>0</v>
      </c>
      <c r="AS218">
        <f>Model!BN232</f>
        <v>-0.67400000000000004</v>
      </c>
      <c r="AT218">
        <f>Model!BO232</f>
        <v>-1.3180000000000001</v>
      </c>
      <c r="AU218">
        <f>Model!BP232</f>
        <v>-0.48200000000000021</v>
      </c>
      <c r="AV218">
        <f>Model!BQ232</f>
        <v>0</v>
      </c>
      <c r="AW218">
        <f>Model!BR232</f>
        <v>-12.555999999999999</v>
      </c>
      <c r="AX218">
        <f>Model!BS232</f>
        <v>0</v>
      </c>
      <c r="AY218">
        <f>Model!BT232</f>
        <v>0</v>
      </c>
      <c r="AZ218">
        <f>Model!BU232</f>
        <v>0</v>
      </c>
    </row>
    <row r="219" spans="9:52" ht="11.25" customHeight="1">
      <c r="I219" t="str">
        <f>Model!I233</f>
        <v>Payments for deferred offering costs</v>
      </c>
      <c r="M219">
        <f>Model!M233</f>
        <v>0</v>
      </c>
      <c r="N219">
        <f>Model!N233</f>
        <v>0</v>
      </c>
      <c r="O219">
        <f>Model!O233</f>
        <v>0</v>
      </c>
      <c r="P219">
        <f>Model!P233</f>
        <v>0</v>
      </c>
      <c r="Q219">
        <f>Model!Q233</f>
        <v>0</v>
      </c>
      <c r="R219">
        <f>Model!R233</f>
        <v>0</v>
      </c>
      <c r="S219">
        <f>Model!S233</f>
        <v>0</v>
      </c>
      <c r="T219">
        <f>Model!T233</f>
        <v>-0.45600000000000002</v>
      </c>
      <c r="U219">
        <f>Model!U233</f>
        <v>0</v>
      </c>
      <c r="V219">
        <f>Model!V233</f>
        <v>0</v>
      </c>
      <c r="W219">
        <f>Model!W233</f>
        <v>0</v>
      </c>
      <c r="X219">
        <f>Model!X233</f>
        <v>-3.0570000000000004</v>
      </c>
      <c r="Y219">
        <f>Model!Y233</f>
        <v>0</v>
      </c>
      <c r="Z219">
        <f>Model!Z233</f>
        <v>0</v>
      </c>
      <c r="AA219">
        <f>Model!AA233</f>
        <v>0</v>
      </c>
      <c r="AB219">
        <f>Model!AB233</f>
        <v>0</v>
      </c>
      <c r="AC219">
        <f>Model!AC233</f>
        <v>0</v>
      </c>
      <c r="AD219">
        <f>Model!AD233</f>
        <v>0</v>
      </c>
      <c r="AE219">
        <f>Model!AE233</f>
        <v>0</v>
      </c>
      <c r="AF219">
        <f>Model!AF233</f>
        <v>0</v>
      </c>
      <c r="AG219">
        <f>Model!AG233</f>
        <v>0</v>
      </c>
      <c r="AH219">
        <f>Model!AH233</f>
        <v>0</v>
      </c>
      <c r="AI219">
        <f>Model!AI233</f>
        <v>-0.48199999999999998</v>
      </c>
      <c r="AJ219">
        <f>Model!AJ233</f>
        <v>-0.34299999999999997</v>
      </c>
      <c r="AL219">
        <f>Model!BG233</f>
        <v>0</v>
      </c>
      <c r="AM219">
        <f>Model!BH233</f>
        <v>0</v>
      </c>
      <c r="AN219">
        <f>Model!BI233</f>
        <v>0</v>
      </c>
      <c r="AO219">
        <f>Model!BJ233</f>
        <v>0</v>
      </c>
      <c r="AP219">
        <f>Model!BK233</f>
        <v>0</v>
      </c>
      <c r="AQ219">
        <f>Model!BL233</f>
        <v>-0.45600000000000002</v>
      </c>
      <c r="AR219">
        <f>Model!BM233</f>
        <v>-3.0570000000000004</v>
      </c>
      <c r="AS219">
        <f>Model!BN233</f>
        <v>0</v>
      </c>
      <c r="AT219">
        <f>Model!BO233</f>
        <v>0</v>
      </c>
      <c r="AU219">
        <f>Model!BP233</f>
        <v>-0.82499999999999996</v>
      </c>
      <c r="AV219">
        <f>Model!BQ233</f>
        <v>0</v>
      </c>
      <c r="AW219">
        <f>Model!BR233</f>
        <v>0</v>
      </c>
      <c r="AX219">
        <f>Model!BS233</f>
        <v>0</v>
      </c>
      <c r="AY219">
        <f>Model!BT233</f>
        <v>0</v>
      </c>
      <c r="AZ219">
        <f>Model!BU233</f>
        <v>0</v>
      </c>
    </row>
    <row r="220" spans="9:52" ht="11.25" customHeight="1">
      <c r="I220" t="str">
        <f>Model!I234</f>
        <v>Financing Cash Flow</v>
      </c>
      <c r="M220">
        <f>Model!M234</f>
        <v>0</v>
      </c>
      <c r="N220">
        <f>Model!N234</f>
        <v>0</v>
      </c>
      <c r="O220">
        <f>Model!O234</f>
        <v>24.533999999999999</v>
      </c>
      <c r="P220">
        <f>Model!P234</f>
        <v>9.9000000000000199E-2</v>
      </c>
      <c r="Q220">
        <f>Model!Q234</f>
        <v>0.161</v>
      </c>
      <c r="R220">
        <f>Model!R234</f>
        <v>0.23500000000000001</v>
      </c>
      <c r="S220">
        <f>Model!S234</f>
        <v>0.62899999999999989</v>
      </c>
      <c r="T220">
        <f>Model!T234</f>
        <v>0.55699999999999994</v>
      </c>
      <c r="U220">
        <f>Model!U234</f>
        <v>113.91799999999999</v>
      </c>
      <c r="V220">
        <f>Model!V234</f>
        <v>-0.8989999999999867</v>
      </c>
      <c r="W220">
        <f>Model!W234</f>
        <v>2.0619999999999976</v>
      </c>
      <c r="X220">
        <f>Model!X234</f>
        <v>-0.45700000000000607</v>
      </c>
      <c r="Y220">
        <f>Model!Y234</f>
        <v>1.657</v>
      </c>
      <c r="Z220">
        <f>Model!Z234</f>
        <v>2.754</v>
      </c>
      <c r="AA220">
        <f>Model!AA234</f>
        <v>4.923</v>
      </c>
      <c r="AB220">
        <f>Model!AB234</f>
        <v>282.38599999999997</v>
      </c>
      <c r="AC220">
        <f>Model!AC234</f>
        <v>6.4130000000000003</v>
      </c>
      <c r="AD220">
        <f>Model!AD234</f>
        <v>8.3329999999999984</v>
      </c>
      <c r="AE220">
        <f>Model!AE234</f>
        <v>6.5210000000000008</v>
      </c>
      <c r="AF220">
        <f>Model!AF234</f>
        <v>8.2820000000000018</v>
      </c>
      <c r="AG220">
        <f>Model!AG234</f>
        <v>4.0449999999999999</v>
      </c>
      <c r="AH220">
        <f>Model!AH234</f>
        <v>13.106000000000002</v>
      </c>
      <c r="AI220">
        <f>Model!AI234</f>
        <v>1.6149999999999978</v>
      </c>
      <c r="AJ220">
        <f>Model!AJ234</f>
        <v>7.6760000000000019</v>
      </c>
      <c r="AL220">
        <f>Model!BG234</f>
        <v>0</v>
      </c>
      <c r="AM220">
        <f>Model!BH234</f>
        <v>0</v>
      </c>
      <c r="AN220">
        <f>Model!BI234</f>
        <v>15.023</v>
      </c>
      <c r="AO220">
        <f>Model!BJ234</f>
        <v>7.1999999999999995E-2</v>
      </c>
      <c r="AP220">
        <f>Model!BK234</f>
        <v>24.632999999999999</v>
      </c>
      <c r="AQ220">
        <f>Model!BL234</f>
        <v>1.5819999999999999</v>
      </c>
      <c r="AR220">
        <f>Model!BM234</f>
        <v>114.624</v>
      </c>
      <c r="AS220">
        <f>Model!BN234</f>
        <v>291.71999999999997</v>
      </c>
      <c r="AT220">
        <f>Model!BO234</f>
        <v>29.548999999999999</v>
      </c>
      <c r="AU220">
        <f>Model!BP234</f>
        <v>26.442000000000004</v>
      </c>
      <c r="AV220">
        <f>Model!BQ234</f>
        <v>29.521999999999998</v>
      </c>
      <c r="AW220">
        <f>Model!BR234</f>
        <v>27.162000000000006</v>
      </c>
      <c r="AX220">
        <f>Model!BS234</f>
        <v>0</v>
      </c>
      <c r="AY220">
        <f>Model!BT234</f>
        <v>0</v>
      </c>
      <c r="AZ220">
        <f>Model!BU234</f>
        <v>0</v>
      </c>
    </row>
    <row r="221" spans="9:52" ht="11.25" customHeight="1">
      <c r="I221">
        <f>Model!I235</f>
        <v>0</v>
      </c>
      <c r="M221">
        <f>Model!M235</f>
        <v>0</v>
      </c>
      <c r="N221">
        <f>Model!N235</f>
        <v>0</v>
      </c>
      <c r="O221">
        <f>Model!O235</f>
        <v>0</v>
      </c>
      <c r="P221">
        <f>Model!P235</f>
        <v>0</v>
      </c>
      <c r="Q221">
        <f>Model!Q235</f>
        <v>0</v>
      </c>
      <c r="R221">
        <f>Model!R235</f>
        <v>0</v>
      </c>
      <c r="S221">
        <f>Model!S235</f>
        <v>0</v>
      </c>
      <c r="T221">
        <f>Model!T235</f>
        <v>0</v>
      </c>
      <c r="U221">
        <f>Model!U235</f>
        <v>0</v>
      </c>
      <c r="V221">
        <f>Model!V235</f>
        <v>0</v>
      </c>
      <c r="W221">
        <f>Model!W235</f>
        <v>0</v>
      </c>
      <c r="X221">
        <f>Model!X235</f>
        <v>0</v>
      </c>
      <c r="Y221">
        <f>Model!Y235</f>
        <v>0</v>
      </c>
      <c r="Z221">
        <f>Model!Z235</f>
        <v>0</v>
      </c>
      <c r="AA221">
        <f>Model!AA235</f>
        <v>0</v>
      </c>
      <c r="AB221">
        <f>Model!AB235</f>
        <v>0</v>
      </c>
      <c r="AC221">
        <f>Model!AC235</f>
        <v>0</v>
      </c>
      <c r="AD221">
        <f>Model!AD235</f>
        <v>0</v>
      </c>
      <c r="AE221">
        <f>Model!AE235</f>
        <v>0</v>
      </c>
      <c r="AF221">
        <f>Model!AF235</f>
        <v>0</v>
      </c>
      <c r="AG221">
        <f>Model!AG235</f>
        <v>0</v>
      </c>
      <c r="AH221">
        <f>Model!AH235</f>
        <v>0</v>
      </c>
      <c r="AI221">
        <f>Model!AI235</f>
        <v>0</v>
      </c>
      <c r="AJ221">
        <f>Model!AJ235</f>
        <v>0</v>
      </c>
      <c r="AL221">
        <f>Model!BG235</f>
        <v>0</v>
      </c>
      <c r="AM221">
        <f>Model!BH235</f>
        <v>0</v>
      </c>
      <c r="AN221">
        <f>Model!BI235</f>
        <v>0</v>
      </c>
      <c r="AO221">
        <f>Model!BJ235</f>
        <v>0</v>
      </c>
      <c r="AP221">
        <f>Model!BK235</f>
        <v>0</v>
      </c>
      <c r="AQ221">
        <f>Model!BL235</f>
        <v>0</v>
      </c>
      <c r="AR221">
        <f>Model!BM235</f>
        <v>0</v>
      </c>
      <c r="AS221">
        <f>Model!BN235</f>
        <v>0</v>
      </c>
      <c r="AT221">
        <f>Model!BO235</f>
        <v>0</v>
      </c>
      <c r="AU221">
        <f>Model!BP235</f>
        <v>0</v>
      </c>
      <c r="AV221">
        <f>Model!BQ235</f>
        <v>0</v>
      </c>
      <c r="AW221">
        <f>Model!BR235</f>
        <v>0</v>
      </c>
      <c r="AX221">
        <f>Model!BS235</f>
        <v>0</v>
      </c>
      <c r="AY221">
        <f>Model!BT235</f>
        <v>0</v>
      </c>
      <c r="AZ221">
        <f>Model!BU235</f>
        <v>0</v>
      </c>
    </row>
    <row r="222" spans="9:52" ht="11.25" customHeight="1">
      <c r="I222" t="str">
        <f>Model!I236</f>
        <v>Effects of FX</v>
      </c>
      <c r="M222">
        <f>Model!M236</f>
        <v>0</v>
      </c>
      <c r="N222">
        <f>Model!N236</f>
        <v>0</v>
      </c>
      <c r="O222">
        <f>Model!O236</f>
        <v>-7.4999999999999997E-2</v>
      </c>
      <c r="P222">
        <f>Model!P236</f>
        <v>5.2999999999999999E-2</v>
      </c>
      <c r="Q222">
        <f>Model!Q236</f>
        <v>-0.11600000000000001</v>
      </c>
      <c r="R222">
        <f>Model!R236</f>
        <v>-8.4000000000000005E-2</v>
      </c>
      <c r="S222">
        <f>Model!S236</f>
        <v>0.25800000000000001</v>
      </c>
      <c r="T222">
        <f>Model!T236</f>
        <v>0.22499999999999998</v>
      </c>
      <c r="U222">
        <f>Model!U236</f>
        <v>-5.2999999999999999E-2</v>
      </c>
      <c r="V222">
        <f>Model!V236</f>
        <v>-0.124</v>
      </c>
      <c r="W222">
        <f>Model!W236</f>
        <v>3.6999999999999984E-2</v>
      </c>
      <c r="X222">
        <f>Model!X236</f>
        <v>0.61900000000000011</v>
      </c>
      <c r="Y222">
        <f>Model!Y236</f>
        <v>-0.61699999999999999</v>
      </c>
      <c r="Z222">
        <f>Model!Z236</f>
        <v>0.48299999999999998</v>
      </c>
      <c r="AA222">
        <f>Model!AA236</f>
        <v>0.26600000000000001</v>
      </c>
      <c r="AB222">
        <f>Model!AB236</f>
        <v>0.183</v>
      </c>
      <c r="AC222">
        <f>Model!AC236</f>
        <v>5.5E-2</v>
      </c>
      <c r="AD222">
        <f>Model!AD236</f>
        <v>-1.9999999999999997E-2</v>
      </c>
      <c r="AE222">
        <f>Model!AE236</f>
        <v>-0.39099999999999996</v>
      </c>
      <c r="AF222">
        <f>Model!AF236</f>
        <v>-0.90299999999999991</v>
      </c>
      <c r="AG222">
        <f>Model!AG236</f>
        <v>-0.64800000000000002</v>
      </c>
      <c r="AH222">
        <f>Model!AH236</f>
        <v>5.0000000000000044E-2</v>
      </c>
      <c r="AI222">
        <f>Model!AI236</f>
        <v>-4.1000000000000036E-2</v>
      </c>
      <c r="AJ222">
        <f>Model!AJ236</f>
        <v>-0.18199999999999994</v>
      </c>
      <c r="AL222">
        <f>Model!BG236</f>
        <v>0</v>
      </c>
      <c r="AM222">
        <f>Model!BH236</f>
        <v>0</v>
      </c>
      <c r="AN222">
        <f>Model!BI236</f>
        <v>0</v>
      </c>
      <c r="AO222">
        <f>Model!BJ236</f>
        <v>-8.9999999999999993E-3</v>
      </c>
      <c r="AP222">
        <f>Model!BK236</f>
        <v>-2.1999999999999999E-2</v>
      </c>
      <c r="AQ222">
        <f>Model!BL236</f>
        <v>0.28299999999999997</v>
      </c>
      <c r="AR222">
        <f>Model!BM236</f>
        <v>0.47900000000000009</v>
      </c>
      <c r="AS222">
        <f>Model!BN236</f>
        <v>0.315</v>
      </c>
      <c r="AT222">
        <f>Model!BO236</f>
        <v>-1.2589999999999999</v>
      </c>
      <c r="AU222">
        <f>Model!BP236</f>
        <v>-0.82099999999999995</v>
      </c>
      <c r="AV222">
        <f>Model!BQ236</f>
        <v>-0.26200000000000001</v>
      </c>
      <c r="AW222">
        <f>Model!BR236</f>
        <v>0.94099999999999995</v>
      </c>
      <c r="AX222">
        <f>Model!BS236</f>
        <v>0</v>
      </c>
      <c r="AY222">
        <f>Model!BT236</f>
        <v>0</v>
      </c>
      <c r="AZ222">
        <f>Model!BU236</f>
        <v>0</v>
      </c>
    </row>
    <row r="223" spans="9:52" ht="11.25" customHeight="1">
      <c r="I223">
        <f>Model!I237</f>
        <v>0</v>
      </c>
      <c r="M223">
        <f>Model!M237</f>
        <v>0</v>
      </c>
      <c r="N223">
        <f>Model!N237</f>
        <v>0</v>
      </c>
      <c r="O223">
        <f>Model!O237</f>
        <v>0</v>
      </c>
      <c r="P223">
        <f>Model!P237</f>
        <v>0</v>
      </c>
      <c r="Q223">
        <f>Model!Q237</f>
        <v>0</v>
      </c>
      <c r="R223">
        <f>Model!R237</f>
        <v>0</v>
      </c>
      <c r="S223">
        <f>Model!S237</f>
        <v>0</v>
      </c>
      <c r="T223">
        <f>Model!T237</f>
        <v>0</v>
      </c>
      <c r="U223">
        <f>Model!U237</f>
        <v>0</v>
      </c>
      <c r="V223">
        <f>Model!V237</f>
        <v>0</v>
      </c>
      <c r="W223">
        <f>Model!W237</f>
        <v>0</v>
      </c>
      <c r="X223">
        <f>Model!X237</f>
        <v>0</v>
      </c>
      <c r="Y223">
        <f>Model!Y237</f>
        <v>0</v>
      </c>
      <c r="Z223">
        <f>Model!Z237</f>
        <v>0</v>
      </c>
      <c r="AA223">
        <f>Model!AA237</f>
        <v>0</v>
      </c>
      <c r="AB223">
        <f>Model!AB237</f>
        <v>0</v>
      </c>
      <c r="AC223">
        <f>Model!AC237</f>
        <v>0</v>
      </c>
      <c r="AD223">
        <f>Model!AD237</f>
        <v>0</v>
      </c>
      <c r="AE223">
        <f>Model!AE237</f>
        <v>0</v>
      </c>
      <c r="AF223">
        <f>Model!AF237</f>
        <v>0</v>
      </c>
      <c r="AG223">
        <f>Model!AG237</f>
        <v>0</v>
      </c>
      <c r="AH223">
        <f>Model!AH237</f>
        <v>0</v>
      </c>
      <c r="AI223">
        <f>Model!AI237</f>
        <v>0</v>
      </c>
      <c r="AJ223">
        <f>Model!AJ237</f>
        <v>0</v>
      </c>
      <c r="AL223">
        <f>Model!BG237</f>
        <v>0</v>
      </c>
      <c r="AM223">
        <f>Model!BH237</f>
        <v>0</v>
      </c>
      <c r="AN223">
        <f>Model!BI237</f>
        <v>0</v>
      </c>
      <c r="AO223">
        <f>Model!BJ237</f>
        <v>0</v>
      </c>
      <c r="AP223">
        <f>Model!BK237</f>
        <v>0</v>
      </c>
      <c r="AQ223">
        <f>Model!BL237</f>
        <v>0</v>
      </c>
      <c r="AR223">
        <f>Model!BM237</f>
        <v>0</v>
      </c>
      <c r="AS223">
        <f>Model!BN237</f>
        <v>0</v>
      </c>
      <c r="AT223">
        <f>Model!BO237</f>
        <v>0</v>
      </c>
      <c r="AU223">
        <f>Model!BP237</f>
        <v>0</v>
      </c>
      <c r="AV223">
        <f>Model!BQ237</f>
        <v>0</v>
      </c>
      <c r="AW223">
        <f>Model!BR237</f>
        <v>0</v>
      </c>
      <c r="AX223">
        <f>Model!BS237</f>
        <v>0</v>
      </c>
      <c r="AY223">
        <f>Model!BT237</f>
        <v>0</v>
      </c>
      <c r="AZ223">
        <f>Model!BU237</f>
        <v>0</v>
      </c>
    </row>
    <row r="224" spans="9:52" ht="11.25" customHeight="1">
      <c r="I224" t="str">
        <f>Model!I238</f>
        <v>Beginning Cash</v>
      </c>
      <c r="M224">
        <f>Model!M238</f>
        <v>0</v>
      </c>
      <c r="N224">
        <f>Model!N238</f>
        <v>0</v>
      </c>
      <c r="O224">
        <f>Model!O238</f>
        <v>9.4870000000000001</v>
      </c>
      <c r="P224">
        <f>Model!P238</f>
        <v>29.466000000000001</v>
      </c>
      <c r="Q224">
        <f>Model!Q238</f>
        <v>27.074000000000002</v>
      </c>
      <c r="R224">
        <f>Model!R238</f>
        <v>26.765000000000001</v>
      </c>
      <c r="S224">
        <f>Model!S238</f>
        <v>25.143000000000001</v>
      </c>
      <c r="T224">
        <f>Model!T238</f>
        <v>23.127999999999993</v>
      </c>
      <c r="U224">
        <f>Model!U238</f>
        <v>21.735999999999994</v>
      </c>
      <c r="V224">
        <f>Model!V238</f>
        <v>130.73699999999999</v>
      </c>
      <c r="W224">
        <f>Model!W238</f>
        <v>122.613</v>
      </c>
      <c r="X224">
        <f>Model!X238</f>
        <v>123.083</v>
      </c>
      <c r="Y224">
        <f>Model!Y238</f>
        <v>95.123999999999981</v>
      </c>
      <c r="Z224">
        <f>Model!Z238</f>
        <v>94.49799999999999</v>
      </c>
      <c r="AA224">
        <f>Model!AA238</f>
        <v>96.794999999999987</v>
      </c>
      <c r="AB224">
        <f>Model!AB238</f>
        <v>101.21399999999998</v>
      </c>
      <c r="AC224">
        <f>Model!AC238</f>
        <v>389.76399999999995</v>
      </c>
      <c r="AD224">
        <f>Model!AD238</f>
        <v>399.31999999999994</v>
      </c>
      <c r="AE224">
        <f>Model!AE238</f>
        <v>290.38599999999997</v>
      </c>
      <c r="AF224">
        <f>Model!AF238</f>
        <v>290.56699999999995</v>
      </c>
      <c r="AG224">
        <f>Model!AG238</f>
        <v>247.31200000000001</v>
      </c>
      <c r="AH224">
        <f>Model!AH238</f>
        <v>172.62900000000002</v>
      </c>
      <c r="AI224">
        <f>Model!AI238</f>
        <v>181.46000000000004</v>
      </c>
      <c r="AJ224">
        <f>Model!AJ238</f>
        <v>171.80700000000004</v>
      </c>
      <c r="AL224">
        <f>Model!BG238</f>
        <v>0</v>
      </c>
      <c r="AM224">
        <f>Model!BH238</f>
        <v>0</v>
      </c>
      <c r="AN224">
        <f>Model!BI238</f>
        <v>5.6929999999999996</v>
      </c>
      <c r="AO224">
        <f>Model!BJ238</f>
        <v>14.869000000000002</v>
      </c>
      <c r="AP224">
        <f>Model!BK238</f>
        <v>15.074000000000007</v>
      </c>
      <c r="AQ224">
        <f>Model!BL238</f>
        <v>27.074000000000012</v>
      </c>
      <c r="AR224">
        <f>Model!BM238</f>
        <v>21.736000000000004</v>
      </c>
      <c r="AS224">
        <f>Model!BN238</f>
        <v>95.123999999999995</v>
      </c>
      <c r="AT224">
        <f>Model!BO238</f>
        <v>389.76400000000001</v>
      </c>
      <c r="AU224">
        <f>Model!BP238</f>
        <v>247.31200000000004</v>
      </c>
      <c r="AV224">
        <f>Model!BQ238</f>
        <v>171.61300000000006</v>
      </c>
      <c r="AW224">
        <f>Model!BR238</f>
        <v>272.20100000000008</v>
      </c>
      <c r="AX224">
        <f>Model!BS238</f>
        <v>547.85000000000014</v>
      </c>
      <c r="AY224">
        <f>Model!BT238</f>
        <v>696.99721202096498</v>
      </c>
      <c r="AZ224">
        <f>Model!BU238</f>
        <v>867.43822895010601</v>
      </c>
    </row>
    <row r="225" spans="9:52" ht="11.25" customHeight="1">
      <c r="I225" t="str">
        <f>Model!I239</f>
        <v>(+/-) Net changes in cash</v>
      </c>
      <c r="M225">
        <f>Model!M239</f>
        <v>0</v>
      </c>
      <c r="N225">
        <f>Model!N239</f>
        <v>0</v>
      </c>
      <c r="O225">
        <f>Model!O239</f>
        <v>19.899000000000001</v>
      </c>
      <c r="P225">
        <f>Model!P239</f>
        <v>-2.3120000000000012</v>
      </c>
      <c r="Q225">
        <f>Model!Q239</f>
        <v>-0.30899999999999955</v>
      </c>
      <c r="R225">
        <f>Model!R239</f>
        <v>-1.6219999999999988</v>
      </c>
      <c r="S225">
        <f>Model!S239</f>
        <v>-2.0150000000000068</v>
      </c>
      <c r="T225">
        <f>Model!T239</f>
        <v>-1.3919999999999981</v>
      </c>
      <c r="U225">
        <f>Model!U239</f>
        <v>109.00099999999999</v>
      </c>
      <c r="V225">
        <f>Model!V239</f>
        <v>-8.1239999999999899</v>
      </c>
      <c r="W225">
        <f>Model!W239</f>
        <v>0.46999999999999958</v>
      </c>
      <c r="X225">
        <f>Model!X239</f>
        <v>-27.959000000000017</v>
      </c>
      <c r="Y225">
        <f>Model!Y239</f>
        <v>-0.62599999999998701</v>
      </c>
      <c r="Z225">
        <f>Model!Z239</f>
        <v>2.2970000000000033</v>
      </c>
      <c r="AA225">
        <f>Model!AA239</f>
        <v>4.4189999999999925</v>
      </c>
      <c r="AB225">
        <f>Model!AB239</f>
        <v>288.54999999999995</v>
      </c>
      <c r="AC225">
        <f>Model!AC239</f>
        <v>9.5559999999999867</v>
      </c>
      <c r="AD225">
        <f>Model!AD239</f>
        <v>-108.934</v>
      </c>
      <c r="AE225">
        <f>Model!AE239</f>
        <v>0.18099999999998501</v>
      </c>
      <c r="AF225">
        <f>Model!AF239</f>
        <v>-43.254999999999939</v>
      </c>
      <c r="AG225">
        <f>Model!AG239</f>
        <v>-74.682999999999993</v>
      </c>
      <c r="AH225">
        <f>Model!AH239</f>
        <v>8.8310000000000102</v>
      </c>
      <c r="AI225">
        <f>Model!AI239</f>
        <v>-9.6529999999999934</v>
      </c>
      <c r="AJ225">
        <f>Model!AJ239</f>
        <v>-0.19399999999997375</v>
      </c>
      <c r="AL225">
        <f>Model!BG239</f>
        <v>0</v>
      </c>
      <c r="AM225">
        <f>Model!BH239</f>
        <v>0</v>
      </c>
      <c r="AN225">
        <f>Model!BI239</f>
        <v>9.1760000000000019</v>
      </c>
      <c r="AO225">
        <f>Model!BJ239</f>
        <v>0.20500000000000512</v>
      </c>
      <c r="AP225">
        <f>Model!BK239</f>
        <v>12.000000000000005</v>
      </c>
      <c r="AQ225">
        <f>Model!BL239</f>
        <v>-5.3380000000000063</v>
      </c>
      <c r="AR225">
        <f>Model!BM239</f>
        <v>73.387999999999991</v>
      </c>
      <c r="AS225">
        <f>Model!BN239</f>
        <v>294.64</v>
      </c>
      <c r="AT225">
        <f>Model!BO239</f>
        <v>-142.45199999999997</v>
      </c>
      <c r="AU225">
        <f>Model!BP239</f>
        <v>-75.698999999999984</v>
      </c>
      <c r="AV225">
        <f>Model!BQ239</f>
        <v>100.58800000000002</v>
      </c>
      <c r="AW225">
        <f>Model!BR239</f>
        <v>275.64900000000006</v>
      </c>
      <c r="AX225">
        <f>Model!BS239</f>
        <v>149.14721202096479</v>
      </c>
      <c r="AY225">
        <f>Model!BT239</f>
        <v>170.44101692914106</v>
      </c>
      <c r="AZ225">
        <f>Model!BU239</f>
        <v>203.51055267424934</v>
      </c>
    </row>
    <row r="226" spans="9:52" ht="11.25" customHeight="1">
      <c r="I226" t="str">
        <f>Model!I240</f>
        <v>(+/-) Restatements / adjustments</v>
      </c>
      <c r="M226">
        <f>Model!M240</f>
        <v>0</v>
      </c>
      <c r="N226">
        <f>Model!N240</f>
        <v>0</v>
      </c>
      <c r="O226">
        <f>Model!O240</f>
        <v>0.08</v>
      </c>
      <c r="P226">
        <f>Model!P240</f>
        <v>-0.08</v>
      </c>
      <c r="Q226">
        <f>Model!Q240</f>
        <v>0</v>
      </c>
      <c r="R226">
        <f>Model!R240</f>
        <v>0</v>
      </c>
      <c r="S226">
        <f>Model!S240</f>
        <v>0</v>
      </c>
      <c r="T226">
        <f>Model!T240</f>
        <v>0</v>
      </c>
      <c r="U226">
        <f>Model!U240</f>
        <v>0</v>
      </c>
      <c r="V226">
        <f>Model!V240</f>
        <v>0</v>
      </c>
      <c r="W226">
        <f>Model!W240</f>
        <v>0</v>
      </c>
      <c r="X226">
        <f>Model!X240</f>
        <v>0</v>
      </c>
      <c r="Y226">
        <f>Model!Y240</f>
        <v>0</v>
      </c>
      <c r="Z226">
        <f>Model!Z240</f>
        <v>0</v>
      </c>
      <c r="AA226">
        <f>Model!AA240</f>
        <v>0</v>
      </c>
      <c r="AB226">
        <f>Model!AB240</f>
        <v>0</v>
      </c>
      <c r="AC226">
        <f>Model!AC240</f>
        <v>0</v>
      </c>
      <c r="AD226">
        <f>Model!AD240</f>
        <v>0</v>
      </c>
      <c r="AE226">
        <f>Model!AE240</f>
        <v>0</v>
      </c>
      <c r="AF226">
        <f>Model!AF240</f>
        <v>0</v>
      </c>
      <c r="AG226">
        <f>Model!AG240</f>
        <v>0</v>
      </c>
      <c r="AH226">
        <f>Model!AH240</f>
        <v>0</v>
      </c>
      <c r="AI226">
        <f>Model!AI240</f>
        <v>0</v>
      </c>
      <c r="AJ226">
        <f>Model!AJ240</f>
        <v>0</v>
      </c>
      <c r="AL226">
        <f>Model!BG240</f>
        <v>0</v>
      </c>
      <c r="AM226">
        <f>Model!BH240</f>
        <v>0</v>
      </c>
      <c r="AN226">
        <f>Model!BI240</f>
        <v>0</v>
      </c>
      <c r="AO226">
        <f>Model!BJ240</f>
        <v>0</v>
      </c>
      <c r="AP226">
        <f>Model!BK240</f>
        <v>0</v>
      </c>
      <c r="AQ226">
        <f>Model!BL240</f>
        <v>0</v>
      </c>
      <c r="AR226">
        <f>Model!BM240</f>
        <v>0</v>
      </c>
      <c r="AS226">
        <f>Model!BN240</f>
        <v>0</v>
      </c>
      <c r="AT226">
        <f>Model!BO240</f>
        <v>0</v>
      </c>
      <c r="AU226">
        <f>Model!BP240</f>
        <v>0</v>
      </c>
      <c r="AV226">
        <f>Model!BQ240</f>
        <v>0</v>
      </c>
      <c r="AW226">
        <f>Model!BR240</f>
        <v>0</v>
      </c>
      <c r="AX226">
        <f>Model!BS240</f>
        <v>0</v>
      </c>
      <c r="AY226">
        <f>Model!BT240</f>
        <v>0</v>
      </c>
      <c r="AZ226">
        <f>Model!BU240</f>
        <v>0</v>
      </c>
    </row>
    <row r="227" spans="9:52" ht="11.25" customHeight="1">
      <c r="I227" t="str">
        <f>Model!I241</f>
        <v>Ending Cash</v>
      </c>
      <c r="M227">
        <f>Model!M241</f>
        <v>0</v>
      </c>
      <c r="N227">
        <f>Model!N241</f>
        <v>0</v>
      </c>
      <c r="O227">
        <f>Model!O241</f>
        <v>29.466000000000001</v>
      </c>
      <c r="P227">
        <f>Model!P241</f>
        <v>27.074000000000002</v>
      </c>
      <c r="Q227">
        <f>Model!Q241</f>
        <v>26.765000000000001</v>
      </c>
      <c r="R227">
        <f>Model!R241</f>
        <v>25.143000000000001</v>
      </c>
      <c r="S227">
        <f>Model!S241</f>
        <v>23.127999999999993</v>
      </c>
      <c r="T227">
        <f>Model!T241</f>
        <v>21.735999999999994</v>
      </c>
      <c r="U227">
        <f>Model!U241</f>
        <v>130.73699999999999</v>
      </c>
      <c r="V227">
        <f>Model!V241</f>
        <v>122.613</v>
      </c>
      <c r="W227">
        <f>Model!W241</f>
        <v>123.083</v>
      </c>
      <c r="X227">
        <f>Model!X241</f>
        <v>95.123999999999981</v>
      </c>
      <c r="Y227">
        <f>Model!Y241</f>
        <v>94.49799999999999</v>
      </c>
      <c r="Z227">
        <f>Model!Z241</f>
        <v>96.794999999999987</v>
      </c>
      <c r="AA227">
        <f>Model!AA241</f>
        <v>101.21399999999998</v>
      </c>
      <c r="AB227">
        <f>Model!AB241</f>
        <v>389.76399999999995</v>
      </c>
      <c r="AC227">
        <f>Model!AC241</f>
        <v>399.31999999999994</v>
      </c>
      <c r="AD227">
        <f>Model!AD241</f>
        <v>290.38599999999997</v>
      </c>
      <c r="AE227">
        <f>Model!AE241</f>
        <v>290.56699999999995</v>
      </c>
      <c r="AF227">
        <f>Model!AF241</f>
        <v>247.31200000000001</v>
      </c>
      <c r="AG227">
        <f>Model!AG241</f>
        <v>172.62900000000002</v>
      </c>
      <c r="AH227">
        <f>Model!AH241</f>
        <v>181.46000000000004</v>
      </c>
      <c r="AI227">
        <f>Model!AI241</f>
        <v>171.80700000000004</v>
      </c>
      <c r="AJ227">
        <f>Model!AJ241</f>
        <v>171.61300000000008</v>
      </c>
      <c r="AL227">
        <f>Model!BG241</f>
        <v>0</v>
      </c>
      <c r="AM227">
        <f>Model!BH241</f>
        <v>0</v>
      </c>
      <c r="AN227">
        <f>Model!BI241</f>
        <v>14.869000000000002</v>
      </c>
      <c r="AO227">
        <f>Model!BJ241</f>
        <v>15.074000000000007</v>
      </c>
      <c r="AP227">
        <f>Model!BK241</f>
        <v>27.074000000000012</v>
      </c>
      <c r="AQ227">
        <f>Model!BL241</f>
        <v>21.736000000000004</v>
      </c>
      <c r="AR227">
        <f>Model!BM241</f>
        <v>95.123999999999995</v>
      </c>
      <c r="AS227">
        <f>Model!BN241</f>
        <v>389.76400000000001</v>
      </c>
      <c r="AT227">
        <f>Model!BO241</f>
        <v>247.31200000000004</v>
      </c>
      <c r="AU227">
        <f>Model!BP241</f>
        <v>171.61300000000006</v>
      </c>
      <c r="AV227">
        <f>Model!BQ241</f>
        <v>272.20100000000008</v>
      </c>
      <c r="AW227">
        <f>Model!BR241</f>
        <v>547.85000000000014</v>
      </c>
      <c r="AX227">
        <f>Model!BS241</f>
        <v>696.99721202096498</v>
      </c>
      <c r="AY227">
        <f>Model!BT241</f>
        <v>867.43822895010601</v>
      </c>
      <c r="AZ227">
        <f>Model!BU241</f>
        <v>1070.9487816243554</v>
      </c>
    </row>
    <row r="228" spans="9:52" ht="11.25" customHeight="1">
      <c r="I228" t="str">
        <f>Model!I242</f>
        <v>Check</v>
      </c>
      <c r="M228" t="str">
        <f>Model!M242</f>
        <v>OK</v>
      </c>
      <c r="N228" t="str">
        <f>Model!N242</f>
        <v>OK</v>
      </c>
      <c r="O228" t="str">
        <f>Model!O242</f>
        <v>OK</v>
      </c>
      <c r="P228" t="str">
        <f>Model!P242</f>
        <v>OK</v>
      </c>
      <c r="Q228" t="str">
        <f>Model!Q242</f>
        <v>OK</v>
      </c>
      <c r="R228" t="str">
        <f>Model!R242</f>
        <v>OK</v>
      </c>
      <c r="S228" t="str">
        <f>Model!S242</f>
        <v>OK</v>
      </c>
      <c r="T228" t="str">
        <f>Model!T242</f>
        <v>OK</v>
      </c>
      <c r="U228" t="str">
        <f>Model!U242</f>
        <v>OK</v>
      </c>
      <c r="V228" t="str">
        <f>Model!V242</f>
        <v>OK</v>
      </c>
      <c r="W228" t="str">
        <f>Model!W242</f>
        <v>OK</v>
      </c>
      <c r="X228" t="str">
        <f>Model!X242</f>
        <v>OK</v>
      </c>
      <c r="Y228" t="str">
        <f>Model!Y242</f>
        <v>OK</v>
      </c>
      <c r="Z228" t="str">
        <f>Model!Z242</f>
        <v>OK</v>
      </c>
      <c r="AA228" t="str">
        <f>Model!AA242</f>
        <v>OK</v>
      </c>
      <c r="AB228" t="str">
        <f>Model!AB242</f>
        <v>OK</v>
      </c>
      <c r="AC228" t="str">
        <f>Model!AC242</f>
        <v>OK</v>
      </c>
      <c r="AD228" t="str">
        <f>Model!AD242</f>
        <v>OK</v>
      </c>
      <c r="AE228" t="str">
        <f>Model!AE242</f>
        <v>OK</v>
      </c>
      <c r="AF228" t="str">
        <f>Model!AF242</f>
        <v>OK</v>
      </c>
      <c r="AG228" t="str">
        <f>Model!AG242</f>
        <v>OK</v>
      </c>
      <c r="AH228" t="str">
        <f>Model!AH242</f>
        <v>OK</v>
      </c>
      <c r="AI228" t="str">
        <f>Model!AI242</f>
        <v>OK</v>
      </c>
      <c r="AJ228" t="str">
        <f>Model!AJ242</f>
        <v>OK</v>
      </c>
      <c r="AL228">
        <f>Model!BG242</f>
        <v>0</v>
      </c>
      <c r="AM228">
        <f>Model!BH242</f>
        <v>0</v>
      </c>
      <c r="AN228">
        <f>Model!BI242</f>
        <v>-14.869000000000002</v>
      </c>
      <c r="AO228" t="str">
        <f>Model!BJ242</f>
        <v>OK</v>
      </c>
      <c r="AP228" t="str">
        <f>Model!BK242</f>
        <v>OK</v>
      </c>
      <c r="AQ228" t="str">
        <f>Model!BL242</f>
        <v>OK</v>
      </c>
      <c r="AR228" t="str">
        <f>Model!BM242</f>
        <v>OK</v>
      </c>
      <c r="AS228" t="str">
        <f>Model!BN242</f>
        <v>OK</v>
      </c>
      <c r="AT228" t="str">
        <f>Model!BO242</f>
        <v>OK</v>
      </c>
      <c r="AU228" t="str">
        <f>Model!BP242</f>
        <v>OK</v>
      </c>
      <c r="AV228" t="str">
        <f>Model!BQ242</f>
        <v>OK</v>
      </c>
      <c r="AW228" t="str">
        <f>Model!BR242</f>
        <v>OK</v>
      </c>
      <c r="AX228" t="str">
        <f>Model!BS242</f>
        <v>OK</v>
      </c>
      <c r="AY228" t="str">
        <f>Model!BT242</f>
        <v>OK</v>
      </c>
      <c r="AZ228" t="str">
        <f>Model!BU242</f>
        <v>OK</v>
      </c>
    </row>
    <row r="229" spans="9:52" ht="11.25" customHeight="1">
      <c r="I229">
        <f>Model!I243</f>
        <v>0</v>
      </c>
      <c r="M229">
        <f>Model!M243</f>
        <v>0</v>
      </c>
      <c r="N229">
        <f>Model!N243</f>
        <v>0</v>
      </c>
      <c r="O229">
        <f>Model!O243</f>
        <v>0</v>
      </c>
      <c r="P229">
        <f>Model!P243</f>
        <v>0</v>
      </c>
      <c r="Q229">
        <f>Model!Q243</f>
        <v>0</v>
      </c>
      <c r="R229">
        <f>Model!R243</f>
        <v>0</v>
      </c>
      <c r="S229">
        <f>Model!S243</f>
        <v>0</v>
      </c>
      <c r="T229">
        <f>Model!T243</f>
        <v>0</v>
      </c>
      <c r="U229">
        <f>Model!U243</f>
        <v>0</v>
      </c>
      <c r="V229">
        <f>Model!V243</f>
        <v>0</v>
      </c>
      <c r="W229">
        <f>Model!W243</f>
        <v>0</v>
      </c>
      <c r="X229">
        <f>Model!X243</f>
        <v>0</v>
      </c>
      <c r="Y229">
        <f>Model!Y243</f>
        <v>0</v>
      </c>
      <c r="Z229">
        <f>Model!Z243</f>
        <v>0</v>
      </c>
      <c r="AA229">
        <f>Model!AA243</f>
        <v>0</v>
      </c>
      <c r="AB229">
        <f>Model!AB243</f>
        <v>0</v>
      </c>
      <c r="AC229">
        <f>Model!AC243</f>
        <v>0</v>
      </c>
      <c r="AD229">
        <f>Model!AD243</f>
        <v>0</v>
      </c>
      <c r="AE229">
        <f>Model!AE243</f>
        <v>0</v>
      </c>
      <c r="AF229">
        <f>Model!AF243</f>
        <v>0</v>
      </c>
      <c r="AG229">
        <f>Model!AG243</f>
        <v>0</v>
      </c>
      <c r="AH229">
        <f>Model!AH243</f>
        <v>0</v>
      </c>
      <c r="AI229">
        <f>Model!AI243</f>
        <v>0</v>
      </c>
      <c r="AJ229">
        <f>Model!AJ243</f>
        <v>0</v>
      </c>
      <c r="AL229">
        <f>Model!BG243</f>
        <v>0</v>
      </c>
      <c r="AM229">
        <f>Model!BH243</f>
        <v>0</v>
      </c>
      <c r="AN229">
        <f>Model!BI243</f>
        <v>0</v>
      </c>
      <c r="AO229">
        <f>Model!BJ243</f>
        <v>0</v>
      </c>
      <c r="AP229">
        <f>Model!BK243</f>
        <v>0</v>
      </c>
      <c r="AQ229">
        <f>Model!BL243</f>
        <v>0</v>
      </c>
      <c r="AR229">
        <f>Model!BM243</f>
        <v>0</v>
      </c>
      <c r="AS229">
        <f>Model!BN243</f>
        <v>0</v>
      </c>
      <c r="AT229">
        <f>Model!BO243</f>
        <v>0</v>
      </c>
      <c r="AU229">
        <f>Model!BP243</f>
        <v>0</v>
      </c>
      <c r="AV229">
        <f>Model!BQ243</f>
        <v>0</v>
      </c>
      <c r="AW229">
        <f>Model!BR243</f>
        <v>0</v>
      </c>
      <c r="AX229">
        <f>Model!BS243</f>
        <v>0</v>
      </c>
      <c r="AY229">
        <f>Model!BT243</f>
        <v>0</v>
      </c>
      <c r="AZ229">
        <f>Model!BU243</f>
        <v>0</v>
      </c>
    </row>
    <row r="230" spans="9:52" ht="11.25" customHeight="1">
      <c r="I230">
        <f>Model!I244</f>
        <v>0</v>
      </c>
      <c r="M230">
        <f>Model!M244</f>
        <v>0</v>
      </c>
      <c r="N230">
        <f>Model!N244</f>
        <v>0</v>
      </c>
      <c r="O230">
        <f>Model!O244</f>
        <v>0</v>
      </c>
      <c r="P230">
        <f>Model!P244</f>
        <v>0</v>
      </c>
      <c r="Q230">
        <f>Model!Q244</f>
        <v>0</v>
      </c>
      <c r="R230">
        <f>Model!R244</f>
        <v>0</v>
      </c>
      <c r="S230">
        <f>Model!S244</f>
        <v>0</v>
      </c>
      <c r="T230">
        <f>Model!T244</f>
        <v>0</v>
      </c>
      <c r="U230">
        <f>Model!U244</f>
        <v>0</v>
      </c>
      <c r="V230">
        <f>Model!V244</f>
        <v>0</v>
      </c>
      <c r="W230">
        <f>Model!W244</f>
        <v>0</v>
      </c>
      <c r="X230">
        <f>Model!X244</f>
        <v>0</v>
      </c>
      <c r="Y230">
        <f>Model!Y244</f>
        <v>0</v>
      </c>
      <c r="Z230">
        <f>Model!Z244</f>
        <v>0</v>
      </c>
      <c r="AA230">
        <f>Model!AA244</f>
        <v>0</v>
      </c>
      <c r="AB230">
        <f>Model!AB244</f>
        <v>0</v>
      </c>
      <c r="AC230">
        <f>Model!AC244</f>
        <v>0</v>
      </c>
      <c r="AD230">
        <f>Model!AD244</f>
        <v>0</v>
      </c>
      <c r="AE230">
        <f>Model!AE244</f>
        <v>0</v>
      </c>
      <c r="AF230">
        <f>Model!AF244</f>
        <v>0</v>
      </c>
      <c r="AG230">
        <f>Model!AG244</f>
        <v>0</v>
      </c>
      <c r="AH230">
        <f>Model!AH244</f>
        <v>0</v>
      </c>
      <c r="AI230">
        <f>Model!AI244</f>
        <v>0</v>
      </c>
      <c r="AJ230">
        <f>Model!AJ244</f>
        <v>0</v>
      </c>
      <c r="AL230">
        <f>Model!BG244</f>
        <v>0</v>
      </c>
      <c r="AM230">
        <f>Model!BH244</f>
        <v>0</v>
      </c>
      <c r="AN230">
        <f>Model!BI244</f>
        <v>0</v>
      </c>
      <c r="AO230">
        <f>Model!BJ244</f>
        <v>0</v>
      </c>
      <c r="AP230">
        <f>Model!BK244</f>
        <v>0</v>
      </c>
      <c r="AQ230">
        <f>Model!BL244</f>
        <v>0</v>
      </c>
      <c r="AR230">
        <f>Model!BM244</f>
        <v>0</v>
      </c>
      <c r="AS230">
        <f>Model!BN244</f>
        <v>0</v>
      </c>
      <c r="AT230">
        <f>Model!BO244</f>
        <v>0</v>
      </c>
      <c r="AU230">
        <f>Model!BP244</f>
        <v>0</v>
      </c>
      <c r="AV230">
        <f>Model!BQ244</f>
        <v>0</v>
      </c>
      <c r="AW230">
        <f>Model!BR244</f>
        <v>0</v>
      </c>
      <c r="AX230">
        <f>Model!BS244</f>
        <v>0</v>
      </c>
      <c r="AY230">
        <f>Model!BT244</f>
        <v>0</v>
      </c>
      <c r="AZ230">
        <f>Model!BU244</f>
        <v>0</v>
      </c>
    </row>
    <row r="231" spans="9:52" ht="11.25" customHeight="1">
      <c r="I231">
        <f>Model!I245</f>
        <v>0</v>
      </c>
      <c r="M231">
        <f>Model!M245</f>
        <v>0</v>
      </c>
      <c r="N231">
        <f>Model!N245</f>
        <v>0</v>
      </c>
      <c r="O231">
        <f>Model!O245</f>
        <v>0</v>
      </c>
      <c r="P231">
        <f>Model!P245</f>
        <v>0</v>
      </c>
      <c r="Q231">
        <f>Model!Q245</f>
        <v>0</v>
      </c>
      <c r="R231">
        <f>Model!R245</f>
        <v>0</v>
      </c>
      <c r="S231">
        <f>Model!S245</f>
        <v>0</v>
      </c>
      <c r="T231">
        <f>Model!T245</f>
        <v>0</v>
      </c>
      <c r="U231">
        <f>Model!U245</f>
        <v>0</v>
      </c>
      <c r="V231">
        <f>Model!V245</f>
        <v>0</v>
      </c>
      <c r="W231">
        <f>Model!W245</f>
        <v>0</v>
      </c>
      <c r="X231">
        <f>Model!X245</f>
        <v>0</v>
      </c>
      <c r="Y231">
        <f>Model!Y245</f>
        <v>0</v>
      </c>
      <c r="Z231">
        <f>Model!Z245</f>
        <v>0</v>
      </c>
      <c r="AA231">
        <f>Model!AA245</f>
        <v>0</v>
      </c>
      <c r="AB231">
        <f>Model!AB245</f>
        <v>0</v>
      </c>
      <c r="AC231">
        <f>Model!AC245</f>
        <v>0</v>
      </c>
      <c r="AD231">
        <f>Model!AD245</f>
        <v>0</v>
      </c>
      <c r="AE231">
        <f>Model!AE245</f>
        <v>0</v>
      </c>
      <c r="AF231">
        <f>Model!AF245</f>
        <v>0</v>
      </c>
      <c r="AG231">
        <f>Model!AG245</f>
        <v>0</v>
      </c>
      <c r="AH231">
        <f>Model!AH245</f>
        <v>0</v>
      </c>
      <c r="AI231">
        <f>Model!AI245</f>
        <v>0</v>
      </c>
      <c r="AJ231">
        <f>Model!AJ245</f>
        <v>0</v>
      </c>
      <c r="AL231">
        <f>Model!BG245</f>
        <v>0</v>
      </c>
      <c r="AM231">
        <f>Model!BH245</f>
        <v>0</v>
      </c>
      <c r="AN231">
        <f>Model!BI245</f>
        <v>0</v>
      </c>
      <c r="AO231">
        <f>Model!BJ245</f>
        <v>0</v>
      </c>
      <c r="AP231">
        <f>Model!BK245</f>
        <v>0</v>
      </c>
      <c r="AQ231">
        <f>Model!BL245</f>
        <v>0</v>
      </c>
      <c r="AR231">
        <f>Model!BM245</f>
        <v>0</v>
      </c>
      <c r="AS231">
        <f>Model!BN245</f>
        <v>0</v>
      </c>
      <c r="AT231">
        <f>Model!BO245</f>
        <v>0</v>
      </c>
      <c r="AU231">
        <f>Model!BP245</f>
        <v>0</v>
      </c>
      <c r="AV231">
        <f>Model!BQ245</f>
        <v>120.08199999999995</v>
      </c>
      <c r="AW231">
        <f>Model!BR245</f>
        <v>156.607</v>
      </c>
      <c r="AX231">
        <f>Model!BS245</f>
        <v>186.58690435868911</v>
      </c>
      <c r="AY231">
        <f>Model!BT245</f>
        <v>234.7880648287065</v>
      </c>
      <c r="AZ231">
        <f>Model!BU245</f>
        <v>283.31739995723177</v>
      </c>
    </row>
    <row r="232" spans="9:52" ht="11.25" customHeight="1">
      <c r="I232" t="str">
        <f>Model!I246</f>
        <v>Free cash flow analysis</v>
      </c>
      <c r="M232">
        <f>Model!M246</f>
        <v>0</v>
      </c>
      <c r="N232">
        <f>Model!N246</f>
        <v>0</v>
      </c>
      <c r="O232">
        <f>Model!O246</f>
        <v>0</v>
      </c>
      <c r="P232">
        <f>Model!P246</f>
        <v>0</v>
      </c>
      <c r="Q232">
        <f>Model!Q246</f>
        <v>0</v>
      </c>
      <c r="R232">
        <f>Model!R246</f>
        <v>0</v>
      </c>
      <c r="S232">
        <f>Model!S246</f>
        <v>0</v>
      </c>
      <c r="T232">
        <f>Model!T246</f>
        <v>0</v>
      </c>
      <c r="U232">
        <f>Model!U246</f>
        <v>0</v>
      </c>
      <c r="V232">
        <f>Model!V246</f>
        <v>0</v>
      </c>
      <c r="W232">
        <f>Model!W246</f>
        <v>0</v>
      </c>
      <c r="X232">
        <f>Model!X246</f>
        <v>0</v>
      </c>
      <c r="Y232">
        <f>Model!Y246</f>
        <v>0</v>
      </c>
      <c r="Z232">
        <f>Model!Z246</f>
        <v>0</v>
      </c>
      <c r="AA232">
        <f>Model!AA246</f>
        <v>0</v>
      </c>
      <c r="AB232">
        <f>Model!AB246</f>
        <v>0</v>
      </c>
      <c r="AC232">
        <f>Model!AC246</f>
        <v>0</v>
      </c>
      <c r="AD232">
        <f>Model!AD246</f>
        <v>0</v>
      </c>
      <c r="AE232">
        <f>Model!AE246</f>
        <v>0</v>
      </c>
      <c r="AF232">
        <f>Model!AF246</f>
        <v>0</v>
      </c>
      <c r="AG232">
        <f>Model!AG246</f>
        <v>0</v>
      </c>
      <c r="AH232">
        <f>Model!AH246</f>
        <v>0</v>
      </c>
      <c r="AI232">
        <f>Model!AI246</f>
        <v>0</v>
      </c>
      <c r="AJ232">
        <f>Model!AJ246</f>
        <v>0</v>
      </c>
      <c r="AL232">
        <f>Model!BG246</f>
        <v>0</v>
      </c>
      <c r="AM232">
        <f>Model!BH246</f>
        <v>0</v>
      </c>
      <c r="AN232">
        <f>Model!BI246</f>
        <v>0</v>
      </c>
      <c r="AO232">
        <f>Model!BJ246</f>
        <v>0</v>
      </c>
      <c r="AP232">
        <f>Model!BK246</f>
        <v>0</v>
      </c>
      <c r="AQ232">
        <f>Model!BL246</f>
        <v>0</v>
      </c>
      <c r="AR232">
        <f>Model!BM246</f>
        <v>0</v>
      </c>
      <c r="AS232">
        <f>Model!BN246</f>
        <v>0</v>
      </c>
      <c r="AT232">
        <f>Model!BO246</f>
        <v>0</v>
      </c>
      <c r="AU232">
        <f>Model!BP246</f>
        <v>0</v>
      </c>
      <c r="AV232">
        <f>Model!BQ246</f>
        <v>0</v>
      </c>
      <c r="AW232">
        <f>Model!BR246</f>
        <v>0</v>
      </c>
      <c r="AX232">
        <f>Model!BS246</f>
        <v>0</v>
      </c>
      <c r="AY232">
        <f>Model!BT246</f>
        <v>0</v>
      </c>
      <c r="AZ232">
        <f>Model!BU246</f>
        <v>0</v>
      </c>
    </row>
    <row r="233" spans="9:52" ht="11.25" customHeight="1">
      <c r="I233" t="str">
        <f>Model!I247</f>
        <v>Cash from operations</v>
      </c>
      <c r="M233">
        <f>Model!M247</f>
        <v>0</v>
      </c>
      <c r="N233">
        <f>Model!N247</f>
        <v>0</v>
      </c>
      <c r="O233">
        <f>Model!O247</f>
        <v>-0.8539999999999992</v>
      </c>
      <c r="P233">
        <f>Model!P247</f>
        <v>-1.370000000000001</v>
      </c>
      <c r="Q233">
        <f>Model!Q247</f>
        <v>0.99600000000000055</v>
      </c>
      <c r="R233">
        <f>Model!R247</f>
        <v>-0.22499999999999887</v>
      </c>
      <c r="S233">
        <f>Model!S247</f>
        <v>-1.0670000000000068</v>
      </c>
      <c r="T233">
        <f>Model!T247</f>
        <v>0.5460000000000016</v>
      </c>
      <c r="U233">
        <f>Model!U247</f>
        <v>-2.7729999999999988</v>
      </c>
      <c r="V233">
        <f>Model!V247</f>
        <v>0.3329999999999973</v>
      </c>
      <c r="W233">
        <f>Model!W247</f>
        <v>0.71200000000000174</v>
      </c>
      <c r="X233">
        <f>Model!X247</f>
        <v>0.60499999999998966</v>
      </c>
      <c r="Y233">
        <f>Model!Y247</f>
        <v>0.25000000000001288</v>
      </c>
      <c r="Z233">
        <f>Model!Z247</f>
        <v>4.8640000000000025</v>
      </c>
      <c r="AA233">
        <f>Model!AA247</f>
        <v>6.9939999999999927</v>
      </c>
      <c r="AB233">
        <f>Model!AB247</f>
        <v>9.3239999999999981</v>
      </c>
      <c r="AC233">
        <f>Model!AC247</f>
        <v>9.322999999999988</v>
      </c>
      <c r="AD233">
        <f>Model!AD247</f>
        <v>10.665999999999997</v>
      </c>
      <c r="AE233">
        <f>Model!AE247</f>
        <v>19.049999999999994</v>
      </c>
      <c r="AF233">
        <f>Model!AF247</f>
        <v>18.893000000000015</v>
      </c>
      <c r="AG233">
        <f>Model!AG247</f>
        <v>25.635000000000002</v>
      </c>
      <c r="AH233">
        <f>Model!AH247</f>
        <v>18.03</v>
      </c>
      <c r="AI233">
        <f>Model!AI247</f>
        <v>9.8619999999999965</v>
      </c>
      <c r="AJ233">
        <f>Model!AJ247</f>
        <v>3.835000000000008</v>
      </c>
      <c r="AL233">
        <f>Model!BG247</f>
        <v>0</v>
      </c>
      <c r="AM233">
        <f>Model!BH247</f>
        <v>0</v>
      </c>
      <c r="AN233">
        <f>Model!BI247</f>
        <v>-4.7289999999999992</v>
      </c>
      <c r="AO233">
        <f>Model!BJ247</f>
        <v>-0.63299999999999479</v>
      </c>
      <c r="AP233">
        <f>Model!BK247</f>
        <v>-7.8109999999999928</v>
      </c>
      <c r="AQ233">
        <f>Model!BL247</f>
        <v>0.24999999999999423</v>
      </c>
      <c r="AR233">
        <f>Model!BM247</f>
        <v>-1.1230000000000082</v>
      </c>
      <c r="AS233">
        <f>Model!BN247</f>
        <v>21.432000000000009</v>
      </c>
      <c r="AT233">
        <f>Model!BO247</f>
        <v>57.931999999999988</v>
      </c>
      <c r="AU233">
        <f>Model!BP247</f>
        <v>57.362000000000002</v>
      </c>
      <c r="AV233">
        <f>Model!BQ247</f>
        <v>126.89999999999998</v>
      </c>
      <c r="AW233">
        <f>Model!BR247</f>
        <v>167.64700000000005</v>
      </c>
      <c r="AX233">
        <f>Model!BS247</f>
        <v>173.14721202096479</v>
      </c>
      <c r="AY233">
        <f>Model!BT247</f>
        <v>206.7439216625535</v>
      </c>
      <c r="AZ233">
        <f>Model!BU247</f>
        <v>244.63033595215705</v>
      </c>
    </row>
    <row r="234" spans="9:52" ht="11.25" customHeight="1">
      <c r="I234" t="str">
        <f>Model!I248</f>
        <v>(-) Capex</v>
      </c>
      <c r="M234">
        <f>Model!M248</f>
        <v>0</v>
      </c>
      <c r="N234">
        <f>Model!N248</f>
        <v>0</v>
      </c>
      <c r="O234">
        <f>Model!O248</f>
        <v>-3.05</v>
      </c>
      <c r="P234">
        <f>Model!P248</f>
        <v>-0.52100000000000035</v>
      </c>
      <c r="Q234">
        <f>Model!Q248</f>
        <v>-0.81299999999999994</v>
      </c>
      <c r="R234">
        <f>Model!R248</f>
        <v>-0.66500000000000004</v>
      </c>
      <c r="S234">
        <f>Model!S248</f>
        <v>-1.2819999999999998</v>
      </c>
      <c r="T234">
        <f>Model!T248</f>
        <v>-2.0380000000000003</v>
      </c>
      <c r="U234">
        <f>Model!U248</f>
        <v>-0.36699999999999999</v>
      </c>
      <c r="V234">
        <f>Model!V248</f>
        <v>-1.56</v>
      </c>
      <c r="W234">
        <f>Model!W248</f>
        <v>-1.5569999999999999</v>
      </c>
      <c r="X234">
        <f>Model!X248</f>
        <v>-4.04</v>
      </c>
      <c r="Y234">
        <f>Model!Y248</f>
        <v>-0.94699999999999995</v>
      </c>
      <c r="Z234">
        <f>Model!Z248</f>
        <v>-4.0190000000000001</v>
      </c>
      <c r="AA234">
        <f>Model!AA248</f>
        <v>-4.5810000000000004</v>
      </c>
      <c r="AB234">
        <f>Model!AB248</f>
        <v>-6.6959999999999988</v>
      </c>
      <c r="AC234">
        <f>Model!AC248</f>
        <v>-4.2460000000000004</v>
      </c>
      <c r="AD234">
        <f>Model!AD248</f>
        <v>-2.9659999999999993</v>
      </c>
      <c r="AE234">
        <f>Model!AE248</f>
        <v>-5.5310000000000006</v>
      </c>
      <c r="AF234">
        <f>Model!AF248</f>
        <v>-16.310999999999993</v>
      </c>
      <c r="AG234">
        <f>Model!AG248</f>
        <v>-10.881</v>
      </c>
      <c r="AH234">
        <f>Model!AH248</f>
        <v>-80.599999999999994</v>
      </c>
      <c r="AI234">
        <f>Model!AI248</f>
        <v>-7.2990000000000066</v>
      </c>
      <c r="AJ234">
        <f>Model!AJ248</f>
        <v>-5.7689999999999912</v>
      </c>
      <c r="AL234">
        <f>Model!BG248</f>
        <v>0</v>
      </c>
      <c r="AM234">
        <f>Model!BH248</f>
        <v>0</v>
      </c>
      <c r="AN234">
        <f>Model!BI248</f>
        <v>-1.333</v>
      </c>
      <c r="AO234">
        <f>Model!BJ248</f>
        <v>-0.622</v>
      </c>
      <c r="AP234">
        <f>Model!BK248</f>
        <v>-3.5710000000000002</v>
      </c>
      <c r="AQ234">
        <f>Model!BL248</f>
        <v>-4.798</v>
      </c>
      <c r="AR234">
        <f>Model!BM248</f>
        <v>-7.524</v>
      </c>
      <c r="AS234">
        <f>Model!BN248</f>
        <v>-16.242999999999999</v>
      </c>
      <c r="AT234">
        <f>Model!BO248</f>
        <v>-29.053999999999995</v>
      </c>
      <c r="AU234">
        <f>Model!BP248</f>
        <v>-104.54899999999999</v>
      </c>
      <c r="AV234">
        <f>Model!BQ248</f>
        <v>-22.994</v>
      </c>
      <c r="AW234">
        <f>Model!BR248</f>
        <v>-15.598000000000003</v>
      </c>
      <c r="AX234">
        <f>Model!BS248</f>
        <v>-24</v>
      </c>
      <c r="AY234">
        <f>Model!BT248</f>
        <v>-36.30290473341244</v>
      </c>
      <c r="AZ234">
        <f>Model!BU248</f>
        <v>-41.119783277907715</v>
      </c>
    </row>
    <row r="235" spans="9:52" ht="11.25" customHeight="1">
      <c r="I235" t="str">
        <f>Model!I249</f>
        <v>Free cash flow</v>
      </c>
      <c r="M235">
        <f>Model!M249</f>
        <v>0</v>
      </c>
      <c r="N235">
        <f>Model!N249</f>
        <v>0</v>
      </c>
      <c r="O235">
        <f>Model!O249</f>
        <v>-3.903999999999999</v>
      </c>
      <c r="P235">
        <f>Model!P249</f>
        <v>-1.8910000000000013</v>
      </c>
      <c r="Q235">
        <f>Model!Q249</f>
        <v>0.18300000000000061</v>
      </c>
      <c r="R235">
        <f>Model!R249</f>
        <v>-0.8899999999999989</v>
      </c>
      <c r="S235">
        <f>Model!S249</f>
        <v>-2.3490000000000064</v>
      </c>
      <c r="T235">
        <f>Model!T249</f>
        <v>-1.4919999999999987</v>
      </c>
      <c r="U235">
        <f>Model!U249</f>
        <v>-3.1399999999999988</v>
      </c>
      <c r="V235">
        <f>Model!V249</f>
        <v>-1.2270000000000028</v>
      </c>
      <c r="W235">
        <f>Model!W249</f>
        <v>-0.8449999999999982</v>
      </c>
      <c r="X235">
        <f>Model!X249</f>
        <v>-3.4350000000000103</v>
      </c>
      <c r="Y235">
        <f>Model!Y249</f>
        <v>-0.69699999999998707</v>
      </c>
      <c r="Z235">
        <f>Model!Z249</f>
        <v>0.84500000000000242</v>
      </c>
      <c r="AA235">
        <f>Model!AA249</f>
        <v>2.4129999999999923</v>
      </c>
      <c r="AB235">
        <f>Model!AB249</f>
        <v>2.6279999999999992</v>
      </c>
      <c r="AC235">
        <f>Model!AC249</f>
        <v>5.0769999999999875</v>
      </c>
      <c r="AD235">
        <f>Model!AD249</f>
        <v>7.6999999999999975</v>
      </c>
      <c r="AE235">
        <f>Model!AE249</f>
        <v>13.518999999999993</v>
      </c>
      <c r="AF235">
        <f>Model!AF249</f>
        <v>2.5820000000000221</v>
      </c>
      <c r="AG235">
        <f>Model!AG249</f>
        <v>14.754000000000001</v>
      </c>
      <c r="AH235">
        <f>Model!AH249</f>
        <v>-62.569999999999993</v>
      </c>
      <c r="AI235">
        <f>Model!AI249</f>
        <v>2.56299999999999</v>
      </c>
      <c r="AJ235">
        <f>Model!AJ249</f>
        <v>-1.9339999999999833</v>
      </c>
      <c r="AL235">
        <f>Model!BG249</f>
        <v>0</v>
      </c>
      <c r="AM235">
        <f>Model!BH249</f>
        <v>0</v>
      </c>
      <c r="AN235">
        <f>Model!BI249</f>
        <v>-6.0619999999999994</v>
      </c>
      <c r="AO235">
        <f>Model!BJ249</f>
        <v>-1.2549999999999948</v>
      </c>
      <c r="AP235">
        <f>Model!BK249</f>
        <v>-11.381999999999993</v>
      </c>
      <c r="AQ235">
        <f>Model!BL249</f>
        <v>-4.5480000000000054</v>
      </c>
      <c r="AR235">
        <f>Model!BM249</f>
        <v>-8.6470000000000091</v>
      </c>
      <c r="AS235">
        <f>Model!BN249</f>
        <v>5.1890000000000107</v>
      </c>
      <c r="AT235">
        <f>Model!BO249</f>
        <v>28.877999999999993</v>
      </c>
      <c r="AU235">
        <f>Model!BP249</f>
        <v>-47.186999999999991</v>
      </c>
      <c r="AV235">
        <f>Model!BQ249</f>
        <v>103.90599999999998</v>
      </c>
      <c r="AW235">
        <f>Model!BR249</f>
        <v>152.04900000000004</v>
      </c>
      <c r="AX235">
        <f>Model!BS249</f>
        <v>149.14721202096479</v>
      </c>
      <c r="AY235">
        <f>Model!BT249</f>
        <v>170.44101692914106</v>
      </c>
      <c r="AZ235">
        <f>Model!BU249</f>
        <v>203.51055267424934</v>
      </c>
    </row>
    <row r="236" spans="9:52" ht="11.25" customHeight="1">
      <c r="I236" t="str">
        <f>Model!I250</f>
        <v>% change Y/Y</v>
      </c>
      <c r="M236" t="str">
        <f>Model!M250</f>
        <v>NA</v>
      </c>
      <c r="N236" t="str">
        <f>Model!N250</f>
        <v>NA</v>
      </c>
      <c r="O236" t="str">
        <f>Model!O250</f>
        <v>NA</v>
      </c>
      <c r="P236" t="str">
        <f>Model!P250</f>
        <v>NA</v>
      </c>
      <c r="Q236" t="str">
        <f>Model!Q250</f>
        <v>NA</v>
      </c>
      <c r="R236" t="str">
        <f>Model!R250</f>
        <v>NA</v>
      </c>
      <c r="S236" t="str">
        <f>Model!S250</f>
        <v>NM</v>
      </c>
      <c r="T236" t="str">
        <f>Model!T250</f>
        <v>NM</v>
      </c>
      <c r="U236" t="str">
        <f>Model!U250</f>
        <v>NM</v>
      </c>
      <c r="V236" t="str">
        <f>Model!V250</f>
        <v>NM</v>
      </c>
      <c r="W236" t="str">
        <f>Model!W250</f>
        <v>NM</v>
      </c>
      <c r="X236" t="str">
        <f>Model!X250</f>
        <v>NM</v>
      </c>
      <c r="Y236" t="str">
        <f>Model!Y250</f>
        <v>NM</v>
      </c>
      <c r="Z236">
        <f>Model!Z250</f>
        <v>-1.6886715566422172</v>
      </c>
      <c r="AA236">
        <f>Model!AA250</f>
        <v>-3.8556213017751451</v>
      </c>
      <c r="AB236">
        <f>Model!AB250</f>
        <v>-1.7650655021834036</v>
      </c>
      <c r="AC236">
        <f>Model!AC250</f>
        <v>-8.2840746054520551</v>
      </c>
      <c r="AD236">
        <f>Model!AD250</f>
        <v>8.1124260355029296</v>
      </c>
      <c r="AE236">
        <f>Model!AE250</f>
        <v>4.6025694156651618</v>
      </c>
      <c r="AF236">
        <f>Model!AF250</f>
        <v>-1.7503805175029363E-2</v>
      </c>
      <c r="AG236">
        <f>Model!AG250</f>
        <v>1.9060468780776123</v>
      </c>
      <c r="AH236" t="str">
        <f>Model!AH250</f>
        <v>NM</v>
      </c>
      <c r="AI236">
        <f>Model!AI250</f>
        <v>-0.81041497152156294</v>
      </c>
      <c r="AJ236" t="str">
        <f>Model!AJ250</f>
        <v>NM</v>
      </c>
      <c r="AL236">
        <f>Model!BG250</f>
        <v>0</v>
      </c>
      <c r="AM236">
        <f>Model!BH250</f>
        <v>0</v>
      </c>
      <c r="AN236" t="str">
        <f>Model!BI250</f>
        <v>NA</v>
      </c>
      <c r="AO236" t="str">
        <f>Model!BJ250</f>
        <v>NM</v>
      </c>
      <c r="AP236" t="str">
        <f>Model!BK250</f>
        <v>NM</v>
      </c>
      <c r="AQ236" t="str">
        <f>Model!BL250</f>
        <v>NM</v>
      </c>
      <c r="AR236" t="str">
        <f>Model!BM250</f>
        <v>NM</v>
      </c>
      <c r="AS236">
        <f>Model!BN250</f>
        <v>-1.6000925176361749</v>
      </c>
      <c r="AT236">
        <f>Model!BO250</f>
        <v>4.5652341491616752</v>
      </c>
      <c r="AU236" t="str">
        <f>Model!BP250</f>
        <v>NM</v>
      </c>
      <c r="AV236">
        <f>Model!BQ250</f>
        <v>-3.2020047894547226</v>
      </c>
      <c r="AW236">
        <f>Model!BR250</f>
        <v>0.46333224260389261</v>
      </c>
      <c r="AX236">
        <f>Model!BS250</f>
        <v>-1.9084558129519036E-2</v>
      </c>
      <c r="AY236">
        <f>Model!BT250</f>
        <v>0.14277038517611129</v>
      </c>
      <c r="AZ236">
        <f>Model!BU250</f>
        <v>0.19402334215628736</v>
      </c>
    </row>
    <row r="237" spans="9:52" ht="11.25" customHeight="1">
      <c r="I237">
        <f>Model!I251</f>
        <v>0</v>
      </c>
      <c r="M237">
        <f>Model!M251</f>
        <v>0</v>
      </c>
      <c r="N237">
        <f>Model!N251</f>
        <v>0</v>
      </c>
      <c r="O237">
        <f>Model!O251</f>
        <v>0</v>
      </c>
      <c r="P237">
        <f>Model!P251</f>
        <v>0</v>
      </c>
      <c r="Q237">
        <f>Model!Q251</f>
        <v>0</v>
      </c>
      <c r="R237">
        <f>Model!R251</f>
        <v>0</v>
      </c>
      <c r="S237">
        <f>Model!S251</f>
        <v>0</v>
      </c>
      <c r="T237">
        <f>Model!T251</f>
        <v>0</v>
      </c>
      <c r="U237">
        <f>Model!U251</f>
        <v>0</v>
      </c>
      <c r="V237">
        <f>Model!V251</f>
        <v>0</v>
      </c>
      <c r="W237">
        <f>Model!W251</f>
        <v>0</v>
      </c>
      <c r="X237">
        <f>Model!X251</f>
        <v>0</v>
      </c>
      <c r="Y237">
        <f>Model!Y251</f>
        <v>0</v>
      </c>
      <c r="Z237">
        <f>Model!Z251</f>
        <v>0</v>
      </c>
      <c r="AA237">
        <f>Model!AA251</f>
        <v>0</v>
      </c>
      <c r="AB237">
        <f>Model!AB251</f>
        <v>0</v>
      </c>
      <c r="AC237">
        <f>Model!AC251</f>
        <v>0</v>
      </c>
      <c r="AD237">
        <f>Model!AD251</f>
        <v>0</v>
      </c>
      <c r="AE237">
        <f>Model!AE251</f>
        <v>0</v>
      </c>
      <c r="AF237">
        <f>Model!AF251</f>
        <v>0</v>
      </c>
      <c r="AG237">
        <f>Model!AG251</f>
        <v>0</v>
      </c>
      <c r="AH237">
        <f>Model!AH251</f>
        <v>0</v>
      </c>
      <c r="AI237">
        <f>Model!AI251</f>
        <v>0</v>
      </c>
      <c r="AJ237">
        <f>Model!AJ251</f>
        <v>0</v>
      </c>
      <c r="AL237">
        <f>Model!BG251</f>
        <v>0</v>
      </c>
      <c r="AM237">
        <f>Model!BH251</f>
        <v>0</v>
      </c>
      <c r="AN237">
        <f>Model!BI251</f>
        <v>0</v>
      </c>
      <c r="AO237">
        <f>Model!BJ251</f>
        <v>0</v>
      </c>
      <c r="AP237">
        <f>Model!BK251</f>
        <v>0</v>
      </c>
      <c r="AQ237">
        <f>Model!BL251</f>
        <v>0</v>
      </c>
      <c r="AR237">
        <f>Model!BM251</f>
        <v>0</v>
      </c>
      <c r="AS237">
        <f>Model!BN251</f>
        <v>0</v>
      </c>
      <c r="AT237">
        <f>Model!BO251</f>
        <v>0</v>
      </c>
      <c r="AU237">
        <f>Model!BP251</f>
        <v>0</v>
      </c>
      <c r="AV237">
        <f>Model!BQ251</f>
        <v>0</v>
      </c>
      <c r="AW237">
        <f>Model!BR251</f>
        <v>0</v>
      </c>
      <c r="AX237">
        <f>Model!BS251</f>
        <v>0</v>
      </c>
      <c r="AY237">
        <f>Model!BT251</f>
        <v>0</v>
      </c>
      <c r="AZ237">
        <f>Model!BU251</f>
        <v>0</v>
      </c>
    </row>
    <row r="238" spans="9:52" ht="11.25" customHeight="1">
      <c r="I238" t="str">
        <f>Model!I252</f>
        <v>Free cash flow % of EBITDA</v>
      </c>
      <c r="M238">
        <f>Model!M252</f>
        <v>0</v>
      </c>
      <c r="N238">
        <f>Model!N252</f>
        <v>0</v>
      </c>
      <c r="O238">
        <f>Model!O252</f>
        <v>1.9578736208625889</v>
      </c>
      <c r="P238">
        <f>Model!P252</f>
        <v>-4.8737113402061789</v>
      </c>
      <c r="Q238">
        <f>Model!Q252</f>
        <v>-0.20795454545454659</v>
      </c>
      <c r="R238">
        <f>Model!R252</f>
        <v>-1.371340523882892</v>
      </c>
      <c r="S238">
        <f>Model!S252</f>
        <v>2.6632653061224389</v>
      </c>
      <c r="T238">
        <f>Model!T252</f>
        <v>99.466666666683423</v>
      </c>
      <c r="U238">
        <f>Model!U252</f>
        <v>3.3017875920084068</v>
      </c>
      <c r="V238">
        <f>Model!V252</f>
        <v>-0.77609108159393048</v>
      </c>
      <c r="W238">
        <f>Model!W252</f>
        <v>-0.39084181313598343</v>
      </c>
      <c r="X238">
        <f>Model!X252</f>
        <v>-1.9030470914127553</v>
      </c>
      <c r="Y238">
        <f>Model!Y252</f>
        <v>-0.21754057428214285</v>
      </c>
      <c r="Z238">
        <f>Model!Z252</f>
        <v>0.10875160875160902</v>
      </c>
      <c r="AA238">
        <f>Model!AA252</f>
        <v>0.29975155279503035</v>
      </c>
      <c r="AB238">
        <f>Model!AB252</f>
        <v>0.25257087938491118</v>
      </c>
      <c r="AC238">
        <f>Model!AC252</f>
        <v>0.59638200399389096</v>
      </c>
      <c r="AD238">
        <f>Model!AD252</f>
        <v>0.44653212711667833</v>
      </c>
      <c r="AE238">
        <f>Model!AE252</f>
        <v>0.67372670188378303</v>
      </c>
      <c r="AF238">
        <f>Model!AF252</f>
        <v>0.10287262440734775</v>
      </c>
      <c r="AG238">
        <f>Model!AG252</f>
        <v>1.5354355291913835</v>
      </c>
      <c r="AH238">
        <f>Model!AH252</f>
        <v>-4.3391123439667165</v>
      </c>
      <c r="AI238">
        <f>Model!AI252</f>
        <v>0.7171236709569081</v>
      </c>
      <c r="AJ238">
        <f>Model!AJ252</f>
        <v>-0.18405024743052767</v>
      </c>
      <c r="AL238">
        <f>Model!BG252</f>
        <v>0</v>
      </c>
      <c r="AM238">
        <f>Model!BH252</f>
        <v>0</v>
      </c>
      <c r="AN238">
        <f>Model!BI252</f>
        <v>1.143126532151612</v>
      </c>
      <c r="AO238">
        <f>Model!BJ252</f>
        <v>2.1826086956521795</v>
      </c>
      <c r="AP238">
        <f>Model!BK252</f>
        <v>2.5629362756135996</v>
      </c>
      <c r="AQ238">
        <f>Model!BL252</f>
        <v>4.0319148936170253</v>
      </c>
      <c r="AR238">
        <f>Model!BM252</f>
        <v>-1.8810093539264889</v>
      </c>
      <c r="AS238">
        <f>Model!BN252</f>
        <v>0.1763226749125017</v>
      </c>
      <c r="AT238">
        <f>Model!BO252</f>
        <v>0.40717971856405621</v>
      </c>
      <c r="AU238">
        <f>Model!BP252</f>
        <v>-1.2381464668993201</v>
      </c>
      <c r="AV238">
        <f>Model!BQ252</f>
        <v>0.86529205043220481</v>
      </c>
      <c r="AW238">
        <f>Model!BR252</f>
        <v>0.97089529842216526</v>
      </c>
      <c r="AX238">
        <f>Model!BS252</f>
        <v>0.79934447990116508</v>
      </c>
      <c r="AY238">
        <f>Model!BT252</f>
        <v>0.7259356094335081</v>
      </c>
      <c r="AZ238">
        <f>Model!BU252</f>
        <v>0.71831293349780245</v>
      </c>
    </row>
    <row r="239" spans="9:52" ht="11.25" customHeight="1">
      <c r="I239" t="str">
        <f>Model!I253</f>
        <v>Free cash flow % of revenue</v>
      </c>
      <c r="M239">
        <f>Model!M253</f>
        <v>0</v>
      </c>
      <c r="N239">
        <f>Model!N253</f>
        <v>0</v>
      </c>
      <c r="O239">
        <f>Model!O253</f>
        <v>-0.30998888359536275</v>
      </c>
      <c r="P239">
        <f>Model!P253</f>
        <v>-0.12380515909388512</v>
      </c>
      <c r="Q239">
        <f>Model!Q253</f>
        <v>1.1090909090909127E-2</v>
      </c>
      <c r="R239">
        <f>Model!R253</f>
        <v>-4.5459188885483649E-2</v>
      </c>
      <c r="S239">
        <f>Model!S253</f>
        <v>-0.10532687651331749</v>
      </c>
      <c r="T239">
        <f>Model!T253</f>
        <v>-5.9907649066452462E-2</v>
      </c>
      <c r="U239">
        <f>Model!U253</f>
        <v>-0.11466131093664411</v>
      </c>
      <c r="V239">
        <f>Model!V253</f>
        <v>-3.7576945456772815E-2</v>
      </c>
      <c r="W239">
        <f>Model!W253</f>
        <v>-2.3232795358939764E-2</v>
      </c>
      <c r="X239">
        <f>Model!X253</f>
        <v>-8.346089365114101E-2</v>
      </c>
      <c r="Y239">
        <f>Model!Y253</f>
        <v>-1.5108490668284895E-2</v>
      </c>
      <c r="Z239">
        <f>Model!Z253</f>
        <v>1.5357214255856684E-2</v>
      </c>
      <c r="AA239">
        <f>Model!AA253</f>
        <v>3.9440349127997126E-2</v>
      </c>
      <c r="AB239">
        <f>Model!AB253</f>
        <v>3.7196925733535259E-2</v>
      </c>
      <c r="AC239">
        <f>Model!AC253</f>
        <v>6.6446791524336621E-2</v>
      </c>
      <c r="AD239">
        <f>Model!AD253</f>
        <v>8.6724407852500893E-2</v>
      </c>
      <c r="AE239">
        <f>Model!AE253</f>
        <v>0.13195061246400852</v>
      </c>
      <c r="AF239">
        <f>Model!AF253</f>
        <v>2.3496864961278605E-2</v>
      </c>
      <c r="AG239">
        <f>Model!AG253</f>
        <v>0.13196779964221828</v>
      </c>
      <c r="AH239">
        <f>Model!AH253</f>
        <v>-0.49816878980891716</v>
      </c>
      <c r="AI239">
        <f>Model!AI253</f>
        <v>1.904160475482905E-2</v>
      </c>
      <c r="AJ239">
        <f>Model!AJ253</f>
        <v>-1.3183367416496138E-2</v>
      </c>
      <c r="AL239">
        <f>Model!BG253</f>
        <v>0</v>
      </c>
      <c r="AM239">
        <f>Model!BH253</f>
        <v>0</v>
      </c>
      <c r="AN239">
        <f>Model!BI253</f>
        <v>-0.49938215668506458</v>
      </c>
      <c r="AO239">
        <f>Model!BJ253</f>
        <v>-4.8628332300061791E-2</v>
      </c>
      <c r="AP239">
        <f>Model!BK253</f>
        <v>-0.23846137730196293</v>
      </c>
      <c r="AQ239">
        <f>Model!BL253</f>
        <v>-5.4607672450021079E-2</v>
      </c>
      <c r="AR239">
        <f>Model!BM253</f>
        <v>-6.2857101318639863E-2</v>
      </c>
      <c r="AS239">
        <f>Model!BN253</f>
        <v>2.2271533297852295E-2</v>
      </c>
      <c r="AT239">
        <f>Model!BO253</f>
        <v>7.6490718765892501E-2</v>
      </c>
      <c r="AU239">
        <f>Model!BP253</f>
        <v>-9.0971659919028308E-2</v>
      </c>
      <c r="AV239">
        <f>Model!BQ253</f>
        <v>0.14571661367974206</v>
      </c>
      <c r="AW239">
        <f>Model!BR253</f>
        <v>0.1795543998497898</v>
      </c>
      <c r="AX239">
        <f>Model!BS253</f>
        <v>0.15536167918850499</v>
      </c>
      <c r="AY239">
        <f>Model!BT253</f>
        <v>0.15267020506014067</v>
      </c>
      <c r="AZ239">
        <f>Model!BU253</f>
        <v>0.1614394357244561</v>
      </c>
    </row>
    <row r="240" spans="9:52" ht="11.25" customHeight="1">
      <c r="I240">
        <f>Model!I254</f>
        <v>0</v>
      </c>
      <c r="M240">
        <f>Model!M254</f>
        <v>0</v>
      </c>
      <c r="N240">
        <f>Model!N254</f>
        <v>0</v>
      </c>
      <c r="O240">
        <f>Model!O254</f>
        <v>0</v>
      </c>
      <c r="P240">
        <f>Model!P254</f>
        <v>0</v>
      </c>
      <c r="Q240">
        <f>Model!Q254</f>
        <v>0</v>
      </c>
      <c r="R240">
        <f>Model!R254</f>
        <v>0</v>
      </c>
      <c r="S240">
        <f>Model!S254</f>
        <v>0</v>
      </c>
      <c r="T240">
        <f>Model!T254</f>
        <v>0</v>
      </c>
      <c r="U240">
        <f>Model!U254</f>
        <v>0</v>
      </c>
      <c r="V240">
        <f>Model!V254</f>
        <v>0</v>
      </c>
      <c r="W240">
        <f>Model!W254</f>
        <v>0</v>
      </c>
      <c r="X240">
        <f>Model!X254</f>
        <v>0</v>
      </c>
      <c r="Y240">
        <f>Model!Y254</f>
        <v>0</v>
      </c>
      <c r="Z240">
        <f>Model!Z254</f>
        <v>0</v>
      </c>
      <c r="AA240">
        <f>Model!AA254</f>
        <v>0</v>
      </c>
      <c r="AB240">
        <f>Model!AB254</f>
        <v>0</v>
      </c>
      <c r="AC240">
        <f>Model!AC254</f>
        <v>0</v>
      </c>
      <c r="AD240">
        <f>Model!AD254</f>
        <v>0</v>
      </c>
      <c r="AE240">
        <f>Model!AE254</f>
        <v>0</v>
      </c>
      <c r="AF240">
        <f>Model!AF254</f>
        <v>0</v>
      </c>
      <c r="AG240">
        <f>Model!AG254</f>
        <v>0</v>
      </c>
      <c r="AH240">
        <f>Model!AH254</f>
        <v>0</v>
      </c>
      <c r="AI240">
        <f>Model!AI254</f>
        <v>0</v>
      </c>
      <c r="AJ240">
        <f>Model!AJ254</f>
        <v>0</v>
      </c>
      <c r="AL240">
        <f>Model!BG254</f>
        <v>0</v>
      </c>
      <c r="AM240">
        <f>Model!BH254</f>
        <v>0</v>
      </c>
      <c r="AN240">
        <f>Model!BI254</f>
        <v>0</v>
      </c>
      <c r="AO240">
        <f>Model!BJ254</f>
        <v>0</v>
      </c>
      <c r="AP240">
        <f>Model!BK254</f>
        <v>0</v>
      </c>
      <c r="AQ240">
        <f>Model!BL254</f>
        <v>0</v>
      </c>
      <c r="AR240">
        <f>Model!BM254</f>
        <v>0</v>
      </c>
      <c r="AS240">
        <f>Model!BN254</f>
        <v>0</v>
      </c>
      <c r="AT240">
        <f>Model!BO254</f>
        <v>0</v>
      </c>
      <c r="AU240">
        <f>Model!BP254</f>
        <v>0</v>
      </c>
      <c r="AV240">
        <f>Model!BQ254</f>
        <v>0</v>
      </c>
      <c r="AW240">
        <f>Model!BR254</f>
        <v>0</v>
      </c>
      <c r="AX240">
        <f>Model!BS254</f>
        <v>0</v>
      </c>
      <c r="AY240">
        <f>Model!BT254</f>
        <v>0</v>
      </c>
      <c r="AZ240">
        <f>Model!BU254</f>
        <v>0</v>
      </c>
    </row>
    <row r="241" spans="9:52" ht="11.25" customHeight="1">
      <c r="I241">
        <f>Model!I255</f>
        <v>0</v>
      </c>
      <c r="M241">
        <f>Model!M255</f>
        <v>0</v>
      </c>
      <c r="N241">
        <f>Model!N255</f>
        <v>0</v>
      </c>
      <c r="O241">
        <f>Model!O255</f>
        <v>0</v>
      </c>
      <c r="P241">
        <f>Model!P255</f>
        <v>0</v>
      </c>
      <c r="Q241">
        <f>Model!Q255</f>
        <v>0</v>
      </c>
      <c r="R241">
        <f>Model!R255</f>
        <v>0</v>
      </c>
      <c r="S241">
        <f>Model!S255</f>
        <v>0</v>
      </c>
      <c r="T241">
        <f>Model!T255</f>
        <v>0</v>
      </c>
      <c r="U241">
        <f>Model!U255</f>
        <v>0</v>
      </c>
      <c r="V241">
        <f>Model!V255</f>
        <v>0</v>
      </c>
      <c r="W241">
        <f>Model!W255</f>
        <v>0</v>
      </c>
      <c r="X241">
        <f>Model!X255</f>
        <v>0</v>
      </c>
      <c r="Y241">
        <f>Model!Y255</f>
        <v>0</v>
      </c>
      <c r="Z241">
        <f>Model!Z255</f>
        <v>0</v>
      </c>
      <c r="AA241">
        <f>Model!AA255</f>
        <v>0</v>
      </c>
      <c r="AB241">
        <f>Model!AB255</f>
        <v>0</v>
      </c>
      <c r="AC241">
        <f>Model!AC255</f>
        <v>0</v>
      </c>
      <c r="AD241">
        <f>Model!AD255</f>
        <v>0</v>
      </c>
      <c r="AE241">
        <f>Model!AE255</f>
        <v>0</v>
      </c>
      <c r="AF241">
        <f>Model!AF255</f>
        <v>0</v>
      </c>
      <c r="AG241">
        <f>Model!AG255</f>
        <v>0</v>
      </c>
      <c r="AH241">
        <f>Model!AH255</f>
        <v>0</v>
      </c>
      <c r="AI241">
        <f>Model!AI255</f>
        <v>0</v>
      </c>
      <c r="AJ241">
        <f>Model!AJ255</f>
        <v>0</v>
      </c>
      <c r="AL241">
        <f>Model!BG255</f>
        <v>0</v>
      </c>
      <c r="AM241">
        <f>Model!BH255</f>
        <v>0</v>
      </c>
      <c r="AN241">
        <f>Model!BI255</f>
        <v>0</v>
      </c>
      <c r="AO241">
        <f>Model!BJ255</f>
        <v>0</v>
      </c>
      <c r="AP241">
        <f>Model!BK255</f>
        <v>0</v>
      </c>
      <c r="AQ241">
        <f>Model!BL255</f>
        <v>0</v>
      </c>
      <c r="AR241">
        <f>Model!BM255</f>
        <v>0</v>
      </c>
      <c r="AS241">
        <f>Model!BN255</f>
        <v>0</v>
      </c>
      <c r="AT241">
        <f>Model!BO255</f>
        <v>0</v>
      </c>
      <c r="AU241">
        <f>Model!BP255</f>
        <v>0</v>
      </c>
      <c r="AV241">
        <f>Model!BQ255</f>
        <v>0</v>
      </c>
      <c r="AW241">
        <f>Model!BR255</f>
        <v>0</v>
      </c>
      <c r="AX241">
        <f>Model!BS255</f>
        <v>0</v>
      </c>
      <c r="AY241">
        <f>Model!BT255</f>
        <v>0</v>
      </c>
      <c r="AZ241">
        <f>Model!BU255</f>
        <v>0</v>
      </c>
    </row>
    <row r="242" spans="9:52" ht="11.25" customHeight="1">
      <c r="I242" t="str">
        <f>Model!I256</f>
        <v>Cash flow statement assumptions</v>
      </c>
      <c r="M242">
        <f>Model!M256</f>
        <v>0</v>
      </c>
      <c r="N242">
        <f>Model!N256</f>
        <v>0</v>
      </c>
      <c r="O242">
        <f>Model!O256</f>
        <v>0</v>
      </c>
      <c r="P242">
        <f>Model!P256</f>
        <v>0</v>
      </c>
      <c r="Q242">
        <f>Model!Q256</f>
        <v>0</v>
      </c>
      <c r="R242">
        <f>Model!R256</f>
        <v>0</v>
      </c>
      <c r="S242">
        <f>Model!S256</f>
        <v>0</v>
      </c>
      <c r="T242">
        <f>Model!T256</f>
        <v>0</v>
      </c>
      <c r="U242">
        <f>Model!U256</f>
        <v>0</v>
      </c>
      <c r="V242">
        <f>Model!V256</f>
        <v>0</v>
      </c>
      <c r="W242">
        <f>Model!W256</f>
        <v>0</v>
      </c>
      <c r="X242">
        <f>Model!X256</f>
        <v>0</v>
      </c>
      <c r="Y242">
        <f>Model!Y256</f>
        <v>0</v>
      </c>
      <c r="Z242">
        <f>Model!Z256</f>
        <v>0</v>
      </c>
      <c r="AA242">
        <f>Model!AA256</f>
        <v>0</v>
      </c>
      <c r="AB242">
        <f>Model!AB256</f>
        <v>0</v>
      </c>
      <c r="AC242">
        <f>Model!AC256</f>
        <v>0</v>
      </c>
      <c r="AD242">
        <f>Model!AD256</f>
        <v>0</v>
      </c>
      <c r="AE242">
        <f>Model!AE256</f>
        <v>0</v>
      </c>
      <c r="AF242">
        <f>Model!AF256</f>
        <v>0</v>
      </c>
      <c r="AG242">
        <f>Model!AG256</f>
        <v>0</v>
      </c>
      <c r="AH242">
        <f>Model!AH256</f>
        <v>0</v>
      </c>
      <c r="AI242">
        <f>Model!AI256</f>
        <v>0</v>
      </c>
      <c r="AJ242">
        <f>Model!AJ256</f>
        <v>0</v>
      </c>
      <c r="AL242">
        <f>Model!BG256</f>
        <v>0</v>
      </c>
      <c r="AM242">
        <f>Model!BH256</f>
        <v>0</v>
      </c>
      <c r="AN242">
        <f>Model!BI256</f>
        <v>0</v>
      </c>
      <c r="AO242">
        <f>Model!BJ256</f>
        <v>0</v>
      </c>
      <c r="AP242">
        <f>Model!BK256</f>
        <v>0</v>
      </c>
      <c r="AQ242">
        <f>Model!BL256</f>
        <v>0</v>
      </c>
      <c r="AR242">
        <f>Model!BM256</f>
        <v>0</v>
      </c>
      <c r="AS242">
        <f>Model!BN256</f>
        <v>0</v>
      </c>
      <c r="AT242">
        <f>Model!BO256</f>
        <v>0</v>
      </c>
      <c r="AU242">
        <f>Model!BP256</f>
        <v>0</v>
      </c>
      <c r="AV242">
        <f>Model!BQ256</f>
        <v>0</v>
      </c>
      <c r="AW242">
        <f>Model!BR256</f>
        <v>0</v>
      </c>
      <c r="AX242">
        <f>Model!BS256</f>
        <v>0</v>
      </c>
      <c r="AY242">
        <f>Model!BT256</f>
        <v>0</v>
      </c>
      <c r="AZ242">
        <f>Model!BU256</f>
        <v>0</v>
      </c>
    </row>
    <row r="243" spans="9:52" ht="11.25" customHeight="1">
      <c r="I243">
        <f>Model!I257</f>
        <v>0</v>
      </c>
      <c r="M243">
        <f>Model!M257</f>
        <v>0</v>
      </c>
      <c r="N243">
        <f>Model!N257</f>
        <v>0</v>
      </c>
      <c r="O243">
        <f>Model!O257</f>
        <v>0</v>
      </c>
      <c r="P243">
        <f>Model!P257</f>
        <v>0</v>
      </c>
      <c r="Q243">
        <f>Model!Q257</f>
        <v>0</v>
      </c>
      <c r="R243">
        <f>Model!R257</f>
        <v>0</v>
      </c>
      <c r="S243">
        <f>Model!S257</f>
        <v>0</v>
      </c>
      <c r="T243">
        <f>Model!T257</f>
        <v>0</v>
      </c>
      <c r="U243">
        <f>Model!U257</f>
        <v>0</v>
      </c>
      <c r="V243">
        <f>Model!V257</f>
        <v>0</v>
      </c>
      <c r="W243">
        <f>Model!W257</f>
        <v>0</v>
      </c>
      <c r="X243">
        <f>Model!X257</f>
        <v>0</v>
      </c>
      <c r="Y243">
        <f>Model!Y257</f>
        <v>0</v>
      </c>
      <c r="Z243">
        <f>Model!Z257</f>
        <v>0</v>
      </c>
      <c r="AA243">
        <f>Model!AA257</f>
        <v>0</v>
      </c>
      <c r="AB243">
        <f>Model!AB257</f>
        <v>0</v>
      </c>
      <c r="AC243">
        <f>Model!AC257</f>
        <v>0</v>
      </c>
      <c r="AD243">
        <f>Model!AD257</f>
        <v>0</v>
      </c>
      <c r="AE243">
        <f>Model!AE257</f>
        <v>0</v>
      </c>
      <c r="AF243">
        <f>Model!AF257</f>
        <v>0</v>
      </c>
      <c r="AG243">
        <f>Model!AG257</f>
        <v>0</v>
      </c>
      <c r="AH243">
        <f>Model!AH257</f>
        <v>0</v>
      </c>
      <c r="AI243">
        <f>Model!AI257</f>
        <v>0</v>
      </c>
      <c r="AJ243">
        <f>Model!AJ257</f>
        <v>0</v>
      </c>
      <c r="AL243">
        <f>Model!BG257</f>
        <v>0</v>
      </c>
      <c r="AM243">
        <f>Model!BH257</f>
        <v>0</v>
      </c>
      <c r="AN243">
        <f>Model!BI257</f>
        <v>0</v>
      </c>
      <c r="AO243">
        <f>Model!BJ257</f>
        <v>0</v>
      </c>
      <c r="AP243">
        <f>Model!BK257</f>
        <v>0</v>
      </c>
      <c r="AQ243">
        <f>Model!BL257</f>
        <v>0</v>
      </c>
      <c r="AR243">
        <f>Model!BM257</f>
        <v>0</v>
      </c>
      <c r="AS243">
        <f>Model!BN257</f>
        <v>0</v>
      </c>
      <c r="AT243">
        <f>Model!BO257</f>
        <v>0</v>
      </c>
      <c r="AU243">
        <f>Model!BP257</f>
        <v>0</v>
      </c>
      <c r="AV243">
        <f>Model!BQ257</f>
        <v>0</v>
      </c>
      <c r="AW243">
        <f>Model!BR257</f>
        <v>0</v>
      </c>
      <c r="AX243">
        <f>Model!BS257</f>
        <v>0</v>
      </c>
      <c r="AY243">
        <f>Model!BT257</f>
        <v>0</v>
      </c>
      <c r="AZ243">
        <f>Model!BU257</f>
        <v>0</v>
      </c>
    </row>
    <row r="244" spans="9:52" ht="11.25" customHeight="1">
      <c r="I244" t="str">
        <f>Model!I258</f>
        <v>Capital expenditures</v>
      </c>
      <c r="M244">
        <f>Model!M258</f>
        <v>0</v>
      </c>
      <c r="N244">
        <f>Model!N258</f>
        <v>0</v>
      </c>
      <c r="O244">
        <f>Model!O258</f>
        <v>3.05</v>
      </c>
      <c r="P244">
        <f>Model!P258</f>
        <v>0.52100000000000035</v>
      </c>
      <c r="Q244">
        <f>Model!Q258</f>
        <v>0.81299999999999994</v>
      </c>
      <c r="R244">
        <f>Model!R258</f>
        <v>0.66500000000000004</v>
      </c>
      <c r="S244">
        <f>Model!S258</f>
        <v>1.2819999999999998</v>
      </c>
      <c r="T244">
        <f>Model!T258</f>
        <v>2.0380000000000003</v>
      </c>
      <c r="U244">
        <f>Model!U258</f>
        <v>0.36699999999999999</v>
      </c>
      <c r="V244">
        <f>Model!V258</f>
        <v>1.56</v>
      </c>
      <c r="W244">
        <f>Model!W258</f>
        <v>1.5569999999999999</v>
      </c>
      <c r="X244">
        <f>Model!X258</f>
        <v>4.04</v>
      </c>
      <c r="Y244">
        <f>Model!Y258</f>
        <v>0.94699999999999995</v>
      </c>
      <c r="Z244">
        <f>Model!Z258</f>
        <v>4.0190000000000001</v>
      </c>
      <c r="AA244">
        <f>Model!AA258</f>
        <v>4.5810000000000004</v>
      </c>
      <c r="AB244">
        <f>Model!AB258</f>
        <v>6.6959999999999988</v>
      </c>
      <c r="AC244">
        <f>Model!AC258</f>
        <v>4.2460000000000004</v>
      </c>
      <c r="AD244">
        <f>Model!AD258</f>
        <v>2.9659999999999993</v>
      </c>
      <c r="AE244">
        <f>Model!AE258</f>
        <v>5.5310000000000006</v>
      </c>
      <c r="AF244">
        <f>Model!AF258</f>
        <v>16.310999999999993</v>
      </c>
      <c r="AG244">
        <f>Model!AG258</f>
        <v>10.881</v>
      </c>
      <c r="AH244">
        <f>Model!AH258</f>
        <v>80.599999999999994</v>
      </c>
      <c r="AI244">
        <f>Model!AI258</f>
        <v>7.2990000000000066</v>
      </c>
      <c r="AJ244">
        <f>Model!AJ258</f>
        <v>5.7689999999999912</v>
      </c>
      <c r="AL244">
        <f>Model!BG258</f>
        <v>0</v>
      </c>
      <c r="AM244">
        <f>Model!BH258</f>
        <v>0</v>
      </c>
      <c r="AN244">
        <f>Model!BI258</f>
        <v>1.333</v>
      </c>
      <c r="AO244">
        <f>Model!BJ258</f>
        <v>0.622</v>
      </c>
      <c r="AP244">
        <f>Model!BK258</f>
        <v>3.5710000000000002</v>
      </c>
      <c r="AQ244">
        <f>Model!BL258</f>
        <v>4.798</v>
      </c>
      <c r="AR244">
        <f>Model!BM258</f>
        <v>7.524</v>
      </c>
      <c r="AS244">
        <f>Model!BN258</f>
        <v>16.242999999999999</v>
      </c>
      <c r="AT244">
        <f>Model!BO258</f>
        <v>29.053999999999995</v>
      </c>
      <c r="AU244">
        <f>Model!BP258</f>
        <v>104.54899999999999</v>
      </c>
      <c r="AV244">
        <f>Model!BQ258</f>
        <v>22.994</v>
      </c>
      <c r="AW244">
        <f>Model!BR258</f>
        <v>15.598000000000003</v>
      </c>
      <c r="AX244">
        <f>Model!BS258</f>
        <v>24</v>
      </c>
      <c r="AY244">
        <f>Model!BT258</f>
        <v>36.30290473341244</v>
      </c>
      <c r="AZ244">
        <f>Model!BU258</f>
        <v>41.119783277907715</v>
      </c>
    </row>
    <row r="245" spans="9:52" ht="11.25" customHeight="1">
      <c r="I245" t="str">
        <f>Model!I259</f>
        <v>Capex % of Net PPE</v>
      </c>
      <c r="M245">
        <f>Model!M259</f>
        <v>0</v>
      </c>
      <c r="N245">
        <f>Model!N259</f>
        <v>0</v>
      </c>
      <c r="O245" t="str">
        <f>Model!O259</f>
        <v>NA</v>
      </c>
      <c r="P245">
        <f>Model!P259</f>
        <v>9.9124809741248154E-2</v>
      </c>
      <c r="Q245" t="str">
        <f>Model!Q259</f>
        <v>NA</v>
      </c>
      <c r="R245" t="str">
        <f>Model!R259</f>
        <v>NA</v>
      </c>
      <c r="S245">
        <f>Model!S259</f>
        <v>0.14317623408532495</v>
      </c>
      <c r="T245">
        <f>Model!T259</f>
        <v>0.20625442768950514</v>
      </c>
      <c r="U245">
        <f>Model!U259</f>
        <v>3.4463329890130533E-2</v>
      </c>
      <c r="V245">
        <f>Model!V259</f>
        <v>0.13411279229711143</v>
      </c>
      <c r="W245">
        <f>Model!W259</f>
        <v>0.1233462726768597</v>
      </c>
      <c r="X245">
        <f>Model!X259</f>
        <v>0.27299141833907697</v>
      </c>
      <c r="Y245">
        <f>Model!Y259</f>
        <v>6.0043114379913769E-2</v>
      </c>
      <c r="Z245">
        <f>Model!Z259</f>
        <v>0.20319530815511402</v>
      </c>
      <c r="AA245">
        <f>Model!AA259</f>
        <v>0.17672929285135605</v>
      </c>
      <c r="AB245">
        <f>Model!AB259</f>
        <v>0.21835257288201915</v>
      </c>
      <c r="AC245">
        <f>Model!AC259</f>
        <v>0.1275151660760406</v>
      </c>
      <c r="AD245">
        <f>Model!AD259</f>
        <v>7.9173562543377263E-2</v>
      </c>
      <c r="AE245">
        <f>Model!AE259</f>
        <v>0.1276394433803337</v>
      </c>
      <c r="AF245">
        <f>Model!AF259</f>
        <v>0.25989069645161794</v>
      </c>
      <c r="AG245">
        <f>Model!AG259</f>
        <v>0.15862903460944108</v>
      </c>
      <c r="AH245">
        <f>Model!AH259</f>
        <v>1.1101469636240926</v>
      </c>
      <c r="AI245">
        <f>Model!AI259</f>
        <v>9.3168415409359051E-2</v>
      </c>
      <c r="AJ245">
        <f>Model!AJ259</f>
        <v>7.1693986354654599E-2</v>
      </c>
      <c r="AL245">
        <f>Model!BG259</f>
        <v>0</v>
      </c>
      <c r="AM245">
        <f>Model!BH259</f>
        <v>0</v>
      </c>
      <c r="AN245" t="str">
        <f>Model!BI259</f>
        <v>NA</v>
      </c>
      <c r="AO245">
        <f>Model!BJ259</f>
        <v>0.28479853479853479</v>
      </c>
      <c r="AP245">
        <f>Model!BK259</f>
        <v>0.67941400304414001</v>
      </c>
      <c r="AQ245">
        <f>Model!BL259</f>
        <v>0.48557838275478188</v>
      </c>
      <c r="AR245">
        <f>Model!BM259</f>
        <v>0.50841273058990477</v>
      </c>
      <c r="AS245">
        <f>Model!BN259</f>
        <v>0.52967455814256825</v>
      </c>
      <c r="AT245">
        <f>Model!BO259</f>
        <v>0.46293080097512779</v>
      </c>
      <c r="AU245">
        <f>Model!BP259</f>
        <v>1.2992779648800128</v>
      </c>
      <c r="AV245">
        <f>Model!BQ259</f>
        <v>0.24874513197749892</v>
      </c>
      <c r="AW245">
        <f>Model!BR259</f>
        <v>0.15048576472971803</v>
      </c>
      <c r="AX245">
        <f>Model!BS259</f>
        <v>0.29250100547220637</v>
      </c>
      <c r="AY245">
        <f>Model!BT259</f>
        <v>0.42369698837236441</v>
      </c>
      <c r="AZ245">
        <f>Model!BU259</f>
        <v>0.45793837140484328</v>
      </c>
    </row>
    <row r="246" spans="9:52" ht="11.25" customHeight="1">
      <c r="I246" t="str">
        <f>Model!I260</f>
        <v>% of revenue</v>
      </c>
      <c r="M246">
        <f>Model!M260</f>
        <v>0</v>
      </c>
      <c r="N246">
        <f>Model!N260</f>
        <v>0</v>
      </c>
      <c r="O246">
        <f>Model!O260</f>
        <v>0.24217881530887719</v>
      </c>
      <c r="P246">
        <f>Model!P260</f>
        <v>3.4110252717035508E-2</v>
      </c>
      <c r="Q246">
        <f>Model!Q260</f>
        <v>4.9272727272727267E-2</v>
      </c>
      <c r="R246">
        <f>Model!R260</f>
        <v>3.396669731331086E-2</v>
      </c>
      <c r="S246">
        <f>Model!S260</f>
        <v>5.7483633754820185E-2</v>
      </c>
      <c r="T246">
        <f>Model!T260</f>
        <v>8.1830957639028312E-2</v>
      </c>
      <c r="U246">
        <f>Model!U260</f>
        <v>1.3401497169983569E-2</v>
      </c>
      <c r="V246">
        <f>Model!V260</f>
        <v>4.7775089578292962E-2</v>
      </c>
      <c r="W246">
        <f>Model!W260</f>
        <v>4.2808831211679631E-2</v>
      </c>
      <c r="X246">
        <f>Model!X260</f>
        <v>9.816070170323396E-2</v>
      </c>
      <c r="Y246">
        <f>Model!Y260</f>
        <v>2.0527604968243986E-2</v>
      </c>
      <c r="Z246">
        <f>Model!Z260</f>
        <v>7.3042182360103958E-2</v>
      </c>
      <c r="AA246">
        <f>Model!AA260</f>
        <v>7.487618705153562E-2</v>
      </c>
      <c r="AB246">
        <f>Model!AB260</f>
        <v>9.4775728581336413E-2</v>
      </c>
      <c r="AC246">
        <f>Model!AC260</f>
        <v>5.5570824662661805E-2</v>
      </c>
      <c r="AD246">
        <f>Model!AD260</f>
        <v>3.3405791388378916E-2</v>
      </c>
      <c r="AE246">
        <f>Model!AE260</f>
        <v>5.3984676199307018E-2</v>
      </c>
      <c r="AF246">
        <f>Model!AF260</f>
        <v>0.14843430069070948</v>
      </c>
      <c r="AG246">
        <f>Model!AG260</f>
        <v>9.7325581395348845E-2</v>
      </c>
      <c r="AH246">
        <f>Model!AH260</f>
        <v>0.64171974522292996</v>
      </c>
      <c r="AI246">
        <f>Model!AI260</f>
        <v>5.4227340267459193E-2</v>
      </c>
      <c r="AJ246">
        <f>Model!AJ260</f>
        <v>3.932515337423307E-2</v>
      </c>
      <c r="AL246">
        <f>Model!BG260</f>
        <v>0</v>
      </c>
      <c r="AM246">
        <f>Model!BH260</f>
        <v>0</v>
      </c>
      <c r="AN246">
        <f>Model!BI260</f>
        <v>0.10981135184117306</v>
      </c>
      <c r="AO246">
        <f>Model!BJ260</f>
        <v>2.4101053936763792E-2</v>
      </c>
      <c r="AP246">
        <f>Model!BK260</f>
        <v>7.4815109677149022E-2</v>
      </c>
      <c r="AQ246">
        <f>Model!BL260</f>
        <v>5.7609413459806691E-2</v>
      </c>
      <c r="AR246">
        <f>Model!BM260</f>
        <v>5.4693747001439308E-2</v>
      </c>
      <c r="AS246">
        <f>Model!BN260</f>
        <v>6.9716036877435744E-2</v>
      </c>
      <c r="AT246">
        <f>Model!BO260</f>
        <v>7.6956899474487195E-2</v>
      </c>
      <c r="AU246">
        <f>Model!BP260</f>
        <v>0.20155966840177364</v>
      </c>
      <c r="AV246">
        <f>Model!BQ260</f>
        <v>3.2246528737050695E-2</v>
      </c>
      <c r="AW246">
        <f>Model!BR260</f>
        <v>1.841965109179949E-2</v>
      </c>
      <c r="AX246">
        <f>Model!BS260</f>
        <v>2.5000000000000001E-2</v>
      </c>
      <c r="AY246">
        <f>Model!BT260</f>
        <v>3.2517829392164493E-2</v>
      </c>
      <c r="AZ246">
        <f>Model!BU260</f>
        <v>3.2619215673415608E-2</v>
      </c>
    </row>
    <row r="247" spans="9:52" ht="11.25" customHeight="1">
      <c r="I247" t="str">
        <f>Model!I261</f>
        <v>% change Y/Y</v>
      </c>
      <c r="M247" t="str">
        <f>Model!M261</f>
        <v>NA</v>
      </c>
      <c r="N247" t="str">
        <f>Model!N261</f>
        <v>NA</v>
      </c>
      <c r="O247" t="str">
        <f>Model!O261</f>
        <v>NA</v>
      </c>
      <c r="P247" t="str">
        <f>Model!P261</f>
        <v>NA</v>
      </c>
      <c r="Q247" t="str">
        <f>Model!Q261</f>
        <v>NA</v>
      </c>
      <c r="R247" t="str">
        <f>Model!R261</f>
        <v>NA</v>
      </c>
      <c r="S247">
        <f>Model!S261</f>
        <v>-0.57967213114754101</v>
      </c>
      <c r="T247">
        <f>Model!T261</f>
        <v>2.9117082533589231</v>
      </c>
      <c r="U247">
        <f>Model!U261</f>
        <v>-0.54858548585485845</v>
      </c>
      <c r="V247">
        <f>Model!V261</f>
        <v>1.3458646616541352</v>
      </c>
      <c r="W247">
        <f>Model!W261</f>
        <v>0.21450858034321385</v>
      </c>
      <c r="X247">
        <f>Model!X261</f>
        <v>0.98233562315996048</v>
      </c>
      <c r="Y247">
        <f>Model!Y261</f>
        <v>1.5803814713896456</v>
      </c>
      <c r="Z247">
        <f>Model!Z261</f>
        <v>1.5762820512820515</v>
      </c>
      <c r="AA247">
        <f>Model!AA261</f>
        <v>1.9421965317919079</v>
      </c>
      <c r="AB247">
        <f>Model!AB261</f>
        <v>0.65742574257425712</v>
      </c>
      <c r="AC247">
        <f>Model!AC261</f>
        <v>3.4836325237592405</v>
      </c>
      <c r="AD247">
        <f>Model!AD261</f>
        <v>-0.26200547399850727</v>
      </c>
      <c r="AE247">
        <f>Model!AE261</f>
        <v>0.20737830168085569</v>
      </c>
      <c r="AF247">
        <f>Model!AF261</f>
        <v>1.4359318996415764</v>
      </c>
      <c r="AG247">
        <f>Model!AG261</f>
        <v>1.5626471973622231</v>
      </c>
      <c r="AH247">
        <f>Model!AH261</f>
        <v>26.174645987862444</v>
      </c>
      <c r="AI247">
        <f>Model!AI261</f>
        <v>0.31965286566624584</v>
      </c>
      <c r="AJ247">
        <f>Model!AJ261</f>
        <v>-0.64631230457973188</v>
      </c>
      <c r="AL247">
        <f>Model!BG261</f>
        <v>0</v>
      </c>
      <c r="AM247">
        <f>Model!BH261</f>
        <v>0</v>
      </c>
      <c r="AN247" t="str">
        <f>Model!BI261</f>
        <v>NA</v>
      </c>
      <c r="AO247">
        <f>Model!BJ261</f>
        <v>-0.53338334583645908</v>
      </c>
      <c r="AP247">
        <f>Model!BK261</f>
        <v>4.7411575562700969</v>
      </c>
      <c r="AQ247">
        <f>Model!BL261</f>
        <v>0.34360123214785765</v>
      </c>
      <c r="AR247">
        <f>Model!BM261</f>
        <v>0.56815339724885372</v>
      </c>
      <c r="AS247">
        <f>Model!BN261</f>
        <v>1.158825093035619</v>
      </c>
      <c r="AT247">
        <f>Model!BO261</f>
        <v>0.78870898233084996</v>
      </c>
      <c r="AU247">
        <f>Model!BP261</f>
        <v>2.5984373924416606</v>
      </c>
      <c r="AV247">
        <f>Model!BQ261</f>
        <v>-0.78006484997465297</v>
      </c>
      <c r="AW247">
        <f>Model!BR261</f>
        <v>-0.32164912585891958</v>
      </c>
      <c r="AX247">
        <f>Model!BS261</f>
        <v>0.53865880241056519</v>
      </c>
      <c r="AY247">
        <f>Model!BT261</f>
        <v>0.51262103055885166</v>
      </c>
      <c r="AZ247">
        <f>Model!BU261</f>
        <v>0.13268576109453623</v>
      </c>
    </row>
    <row r="248" spans="9:52" ht="11.25" customHeight="1">
      <c r="I248" t="str">
        <f>Model!I262</f>
        <v>Y/Y Abs Growth</v>
      </c>
      <c r="M248">
        <f>Model!M262</f>
        <v>0</v>
      </c>
      <c r="N248">
        <f>Model!N262</f>
        <v>0</v>
      </c>
      <c r="O248">
        <f>Model!O262</f>
        <v>0</v>
      </c>
      <c r="P248">
        <f>Model!P262</f>
        <v>0</v>
      </c>
      <c r="Q248">
        <f>Model!Q262</f>
        <v>0</v>
      </c>
      <c r="R248">
        <f>Model!R262</f>
        <v>0</v>
      </c>
      <c r="S248">
        <f>Model!S262</f>
        <v>0</v>
      </c>
      <c r="T248">
        <f>Model!T262</f>
        <v>0</v>
      </c>
      <c r="U248">
        <f>Model!U262</f>
        <v>-0.44599999999999995</v>
      </c>
      <c r="V248">
        <f>Model!V262</f>
        <v>0.89500000000000002</v>
      </c>
      <c r="W248">
        <f>Model!W262</f>
        <v>0.27500000000000013</v>
      </c>
      <c r="X248">
        <f>Model!X262</f>
        <v>2.0019999999999998</v>
      </c>
      <c r="Y248">
        <f>Model!Y262</f>
        <v>0.57999999999999996</v>
      </c>
      <c r="Z248">
        <f>Model!Z262</f>
        <v>2.4590000000000001</v>
      </c>
      <c r="AA248">
        <f>Model!AA262</f>
        <v>3.0240000000000005</v>
      </c>
      <c r="AB248">
        <f>Model!AB262</f>
        <v>2.6559999999999988</v>
      </c>
      <c r="AC248">
        <f>Model!AC262</f>
        <v>3.2990000000000004</v>
      </c>
      <c r="AD248">
        <f>Model!AD262</f>
        <v>-1.0530000000000008</v>
      </c>
      <c r="AE248">
        <f>Model!AE262</f>
        <v>0.95000000000000018</v>
      </c>
      <c r="AF248">
        <f>Model!AF262</f>
        <v>9.6149999999999949</v>
      </c>
      <c r="AG248">
        <f>Model!AG262</f>
        <v>6.6349999999999998</v>
      </c>
      <c r="AH248">
        <f>Model!AH262</f>
        <v>77.634</v>
      </c>
      <c r="AI248">
        <f>Model!AI262</f>
        <v>1.768000000000006</v>
      </c>
      <c r="AJ248">
        <f>Model!AJ262</f>
        <v>-10.542000000000002</v>
      </c>
      <c r="AL248">
        <f>Model!BG262</f>
        <v>0</v>
      </c>
      <c r="AM248">
        <f>Model!BH262</f>
        <v>0</v>
      </c>
      <c r="AN248">
        <f>Model!BI262</f>
        <v>0</v>
      </c>
      <c r="AO248">
        <f>Model!BJ262</f>
        <v>-0.71099999999999997</v>
      </c>
      <c r="AP248">
        <f>Model!BK262</f>
        <v>2.9490000000000003</v>
      </c>
      <c r="AQ248">
        <f>Model!BL262</f>
        <v>1.2269999999999999</v>
      </c>
      <c r="AR248">
        <f>Model!BM262</f>
        <v>2.726</v>
      </c>
      <c r="AS248">
        <f>Model!BN262</f>
        <v>8.7189999999999976</v>
      </c>
      <c r="AT248">
        <f>Model!BO262</f>
        <v>12.810999999999996</v>
      </c>
      <c r="AU248">
        <f>Model!BP262</f>
        <v>75.495000000000005</v>
      </c>
      <c r="AV248">
        <f>Model!BQ262</f>
        <v>-81.554999999999993</v>
      </c>
      <c r="AW248">
        <f>Model!BR262</f>
        <v>-7.3959999999999972</v>
      </c>
      <c r="AX248">
        <f>Model!BS262</f>
        <v>8.4019999999999975</v>
      </c>
      <c r="AY248">
        <f>Model!BT262</f>
        <v>12.30290473341244</v>
      </c>
      <c r="AZ248">
        <f>Model!BU262</f>
        <v>4.8168785444952746</v>
      </c>
    </row>
    <row r="249" spans="9:52" ht="11.25" customHeight="1">
      <c r="I249">
        <f>Model!I264</f>
        <v>0</v>
      </c>
      <c r="M249">
        <f>Model!M264</f>
        <v>0</v>
      </c>
      <c r="N249">
        <f>Model!N264</f>
        <v>0</v>
      </c>
      <c r="O249">
        <f>Model!O264</f>
        <v>0</v>
      </c>
      <c r="P249">
        <f>Model!P264</f>
        <v>0</v>
      </c>
      <c r="Q249">
        <f>Model!Q264</f>
        <v>0</v>
      </c>
      <c r="R249">
        <f>Model!R264</f>
        <v>0</v>
      </c>
      <c r="S249">
        <f>Model!S264</f>
        <v>0</v>
      </c>
      <c r="T249">
        <f>Model!T264</f>
        <v>0</v>
      </c>
      <c r="U249">
        <f>Model!U264</f>
        <v>0</v>
      </c>
      <c r="V249">
        <f>Model!V264</f>
        <v>0</v>
      </c>
      <c r="W249">
        <f>Model!W264</f>
        <v>0</v>
      </c>
      <c r="X249">
        <f>Model!X264</f>
        <v>0</v>
      </c>
      <c r="Y249">
        <f>Model!Y264</f>
        <v>0</v>
      </c>
      <c r="Z249">
        <f>Model!Z264</f>
        <v>0</v>
      </c>
      <c r="AA249">
        <f>Model!AA264</f>
        <v>0</v>
      </c>
      <c r="AB249">
        <f>Model!AB264</f>
        <v>0</v>
      </c>
      <c r="AC249">
        <f>Model!AC264</f>
        <v>0</v>
      </c>
      <c r="AD249">
        <f>Model!AD264</f>
        <v>0</v>
      </c>
      <c r="AE249">
        <f>Model!AE264</f>
        <v>0</v>
      </c>
      <c r="AF249">
        <f>Model!AF264</f>
        <v>0</v>
      </c>
      <c r="AG249">
        <f>Model!AG264</f>
        <v>0</v>
      </c>
      <c r="AH249">
        <f>Model!AH264</f>
        <v>0</v>
      </c>
      <c r="AI249">
        <f>Model!AI264</f>
        <v>0</v>
      </c>
      <c r="AJ249">
        <f>Model!AJ264</f>
        <v>0</v>
      </c>
      <c r="AL249">
        <f>Model!BG264</f>
        <v>0</v>
      </c>
      <c r="AM249">
        <f>Model!BH264</f>
        <v>0</v>
      </c>
      <c r="AN249">
        <f>Model!BI264</f>
        <v>0</v>
      </c>
      <c r="AO249">
        <f>Model!BJ264</f>
        <v>0</v>
      </c>
      <c r="AP249">
        <f>Model!BK264</f>
        <v>0</v>
      </c>
      <c r="AQ249">
        <f>Model!BL264</f>
        <v>0</v>
      </c>
      <c r="AR249">
        <f>Model!BM264</f>
        <v>0</v>
      </c>
      <c r="AS249">
        <f>Model!BN264</f>
        <v>0</v>
      </c>
      <c r="AT249">
        <f>Model!BO264</f>
        <v>0</v>
      </c>
      <c r="AU249">
        <f>Model!BP264</f>
        <v>0</v>
      </c>
      <c r="AV249">
        <f>Model!BQ264</f>
        <v>0</v>
      </c>
      <c r="AW249">
        <f>Model!BR264</f>
        <v>0</v>
      </c>
      <c r="AX249">
        <f>Model!BS264</f>
        <v>0</v>
      </c>
      <c r="AY249">
        <f>Model!BT264</f>
        <v>0</v>
      </c>
      <c r="AZ249">
        <f>Model!BU264</f>
        <v>0</v>
      </c>
    </row>
    <row r="250" spans="9:52" ht="11.25" customHeight="1">
      <c r="I250" t="str">
        <f>Model!I265</f>
        <v>Depreciation &amp; Amortization</v>
      </c>
      <c r="M250">
        <f>Model!M265</f>
        <v>0</v>
      </c>
      <c r="N250">
        <f>Model!N265</f>
        <v>0</v>
      </c>
      <c r="O250">
        <f>Model!O265</f>
        <v>1.4830000000000001</v>
      </c>
      <c r="P250">
        <f>Model!P265</f>
        <v>0.85099999999999998</v>
      </c>
      <c r="Q250">
        <f>Model!Q265</f>
        <v>0.81899999999999995</v>
      </c>
      <c r="R250">
        <f>Model!R265</f>
        <v>0.92400000000000004</v>
      </c>
      <c r="S250">
        <f>Model!S265</f>
        <v>1.0469999999999999</v>
      </c>
      <c r="T250">
        <f>Model!T265</f>
        <v>1.448</v>
      </c>
      <c r="U250">
        <f>Model!U265</f>
        <v>1.361</v>
      </c>
      <c r="V250">
        <f>Model!V265</f>
        <v>1.661</v>
      </c>
      <c r="W250">
        <f>Model!W265</f>
        <v>1.78</v>
      </c>
      <c r="X250">
        <f>Model!X265</f>
        <v>2.4209999999999998</v>
      </c>
      <c r="Y250">
        <f>Model!Y265</f>
        <v>2.4780000000000002</v>
      </c>
      <c r="Z250">
        <f>Model!Z265</f>
        <v>2.637</v>
      </c>
      <c r="AA250">
        <f>Model!AA265</f>
        <v>2.8159999999999998</v>
      </c>
      <c r="AB250">
        <f>Model!AB265</f>
        <v>3.524</v>
      </c>
      <c r="AC250">
        <f>Model!AC265</f>
        <v>3.661</v>
      </c>
      <c r="AD250">
        <f>Model!AD265</f>
        <v>4.0339999999999998</v>
      </c>
      <c r="AE250">
        <f>Model!AE265</f>
        <v>4.6040000000000001</v>
      </c>
      <c r="AF250">
        <f>Model!AF265</f>
        <v>5.2910000000000004</v>
      </c>
      <c r="AG250">
        <f>Model!AG265</f>
        <v>6.8949999999999996</v>
      </c>
      <c r="AH250">
        <f>Model!AH265</f>
        <v>7.1669999999999998</v>
      </c>
      <c r="AI250">
        <f>Model!AI265</f>
        <v>7.5619999999999994</v>
      </c>
      <c r="AJ250">
        <f>Model!AJ265</f>
        <v>7.98</v>
      </c>
      <c r="AL250">
        <f>Model!BG265</f>
        <v>0</v>
      </c>
      <c r="AM250">
        <f>Model!BH265</f>
        <v>0</v>
      </c>
      <c r="AN250">
        <f>Model!BI265</f>
        <v>0</v>
      </c>
      <c r="AO250">
        <f>Model!BJ265</f>
        <v>1.2010000000000001</v>
      </c>
      <c r="AP250">
        <f>Model!BK265</f>
        <v>2.3340000000000001</v>
      </c>
      <c r="AQ250">
        <f>Model!BL265</f>
        <v>4.2379999999999995</v>
      </c>
      <c r="AR250">
        <f>Model!BM265</f>
        <v>7.2230000000000008</v>
      </c>
      <c r="AS250">
        <f>Model!BN265</f>
        <v>11.455</v>
      </c>
      <c r="AT250">
        <f>Model!BO265</f>
        <v>17.59</v>
      </c>
      <c r="AU250">
        <f>Model!BP265</f>
        <v>29.603999999999999</v>
      </c>
      <c r="AV250">
        <f>Model!BQ265</f>
        <v>35.345999999999997</v>
      </c>
      <c r="AW250">
        <f>Model!BR265</f>
        <v>41.198</v>
      </c>
      <c r="AX250">
        <f>Model!BS265</f>
        <v>45.6</v>
      </c>
      <c r="AY250">
        <f>Model!BT265</f>
        <v>32.672614260071192</v>
      </c>
      <c r="AZ250">
        <f>Model!BU265</f>
        <v>37.007804950116949</v>
      </c>
    </row>
    <row r="251" spans="9:52" ht="11.25" customHeight="1">
      <c r="I251" t="str">
        <f>Model!I266</f>
        <v>% of revenue</v>
      </c>
      <c r="M251">
        <f>Model!M266</f>
        <v>0</v>
      </c>
      <c r="N251">
        <f>Model!N266</f>
        <v>0</v>
      </c>
      <c r="O251">
        <f>Model!O266</f>
        <v>0.11775448626329998</v>
      </c>
      <c r="P251">
        <f>Model!P266</f>
        <v>5.5715595128977342E-2</v>
      </c>
      <c r="Q251">
        <f>Model!Q266</f>
        <v>4.9636363636363631E-2</v>
      </c>
      <c r="R251">
        <f>Model!R266</f>
        <v>4.719583205638983E-2</v>
      </c>
      <c r="S251">
        <f>Model!S266</f>
        <v>4.6946462200699486E-2</v>
      </c>
      <c r="T251">
        <f>Model!T266</f>
        <v>5.8140935555109415E-2</v>
      </c>
      <c r="U251">
        <f>Model!U266</f>
        <v>4.9698740186233339E-2</v>
      </c>
      <c r="V251">
        <f>Model!V266</f>
        <v>5.0868220377913213E-2</v>
      </c>
      <c r="W251">
        <f>Model!W266</f>
        <v>4.8940089631849551E-2</v>
      </c>
      <c r="X251">
        <f>Model!X266</f>
        <v>5.8823529411764705E-2</v>
      </c>
      <c r="Y251">
        <f>Model!Y266</f>
        <v>5.371426094119177E-2</v>
      </c>
      <c r="Z251">
        <f>Model!Z266</f>
        <v>4.7925413009105279E-2</v>
      </c>
      <c r="AA251">
        <f>Model!AA266</f>
        <v>4.602736143573985E-2</v>
      </c>
      <c r="AB251">
        <f>Model!AB266</f>
        <v>4.9878982604634046E-2</v>
      </c>
      <c r="AC251">
        <f>Model!AC266</f>
        <v>4.7914458099388803E-2</v>
      </c>
      <c r="AD251">
        <f>Model!AD266</f>
        <v>4.5434579386621911E-2</v>
      </c>
      <c r="AE251">
        <f>Model!AE266</f>
        <v>4.4936801522619689E-2</v>
      </c>
      <c r="AF251">
        <f>Model!AF266</f>
        <v>4.8149462629792424E-2</v>
      </c>
      <c r="AG251">
        <f>Model!AG266</f>
        <v>6.1672629695885509E-2</v>
      </c>
      <c r="AH251">
        <f>Model!AH266</f>
        <v>5.7062101910828028E-2</v>
      </c>
      <c r="AI251">
        <f>Model!AI266</f>
        <v>5.6181277860326895E-2</v>
      </c>
      <c r="AJ251">
        <f>Model!AJ266</f>
        <v>5.4396728016359926E-2</v>
      </c>
      <c r="AL251">
        <f>Model!BG266</f>
        <v>0</v>
      </c>
      <c r="AM251">
        <f>Model!BH266</f>
        <v>0</v>
      </c>
      <c r="AN251">
        <f>Model!BI266</f>
        <v>0</v>
      </c>
      <c r="AO251">
        <f>Model!BJ266</f>
        <v>4.6535957842529445E-2</v>
      </c>
      <c r="AP251">
        <f>Model!BK266</f>
        <v>4.8899038360813725E-2</v>
      </c>
      <c r="AQ251">
        <f>Model!BL266</f>
        <v>5.0885513597886768E-2</v>
      </c>
      <c r="AR251">
        <f>Model!BM266</f>
        <v>5.25057063518602E-2</v>
      </c>
      <c r="AS251">
        <f>Model!BN266</f>
        <v>4.9165622263807586E-2</v>
      </c>
      <c r="AT251">
        <f>Model!BO266</f>
        <v>4.6591583319206653E-2</v>
      </c>
      <c r="AU251">
        <f>Model!BP266</f>
        <v>5.7073452862926539E-2</v>
      </c>
      <c r="AV251">
        <f>Model!BQ266</f>
        <v>4.9568835554483506E-2</v>
      </c>
      <c r="AW251">
        <f>Model!BR266</f>
        <v>4.8650646600843402E-2</v>
      </c>
      <c r="AX251">
        <f>Model!BS266</f>
        <v>4.7500000000000001E-2</v>
      </c>
      <c r="AY251">
        <f>Model!BT266</f>
        <v>2.9266046452948037E-2</v>
      </c>
      <c r="AZ251">
        <f>Model!BU266</f>
        <v>2.9357294106074055E-2</v>
      </c>
    </row>
    <row r="252" spans="9:52" ht="11.25" customHeight="1">
      <c r="I252" t="str">
        <f>Model!I267</f>
        <v>% of capex</v>
      </c>
      <c r="M252" t="str">
        <f>Model!M267</f>
        <v>NM</v>
      </c>
      <c r="N252" t="str">
        <f>Model!N267</f>
        <v>NM</v>
      </c>
      <c r="O252">
        <f>Model!O267</f>
        <v>0.48622950819672139</v>
      </c>
      <c r="P252">
        <f>Model!P267</f>
        <v>1.6333973128598838</v>
      </c>
      <c r="Q252">
        <f>Model!Q267</f>
        <v>1.0073800738007379</v>
      </c>
      <c r="R252">
        <f>Model!R267</f>
        <v>1.3894736842105264</v>
      </c>
      <c r="S252">
        <f>Model!S267</f>
        <v>0.81669266770670834</v>
      </c>
      <c r="T252">
        <f>Model!T267</f>
        <v>0.71050049067713439</v>
      </c>
      <c r="U252">
        <f>Model!U267</f>
        <v>3.7084468664850139</v>
      </c>
      <c r="V252">
        <f>Model!V267</f>
        <v>1.0647435897435897</v>
      </c>
      <c r="W252">
        <f>Model!W267</f>
        <v>1.1432241490044959</v>
      </c>
      <c r="X252">
        <f>Model!X267</f>
        <v>0.59925742574257423</v>
      </c>
      <c r="Y252">
        <f>Model!Y267</f>
        <v>2.6166842661034848</v>
      </c>
      <c r="Z252">
        <f>Model!Z267</f>
        <v>0.65613336650908183</v>
      </c>
      <c r="AA252">
        <f>Model!AA267</f>
        <v>0.61471294477188376</v>
      </c>
      <c r="AB252">
        <f>Model!AB267</f>
        <v>0.52628434886499409</v>
      </c>
      <c r="AC252">
        <f>Model!AC267</f>
        <v>0.86222326895902013</v>
      </c>
      <c r="AD252">
        <f>Model!AD267</f>
        <v>1.3600809170600137</v>
      </c>
      <c r="AE252">
        <f>Model!AE267</f>
        <v>0.83239920448381843</v>
      </c>
      <c r="AF252">
        <f>Model!AF267</f>
        <v>0.32438231868064515</v>
      </c>
      <c r="AG252">
        <f>Model!AG267</f>
        <v>0.63367337560885939</v>
      </c>
      <c r="AH252">
        <f>Model!AH267</f>
        <v>8.8920595533498764E-2</v>
      </c>
      <c r="AI252">
        <f>Model!AI267</f>
        <v>1.0360323331963273</v>
      </c>
      <c r="AJ252">
        <f>Model!AJ267</f>
        <v>1.3832553302132107</v>
      </c>
      <c r="AL252">
        <f>Model!BG267</f>
        <v>0</v>
      </c>
      <c r="AM252">
        <f>Model!BH267</f>
        <v>0</v>
      </c>
      <c r="AN252">
        <f>Model!BI267</f>
        <v>0</v>
      </c>
      <c r="AO252">
        <f>Model!BJ267</f>
        <v>1.9308681672025725</v>
      </c>
      <c r="AP252">
        <f>Model!BK267</f>
        <v>0.65359843181181743</v>
      </c>
      <c r="AQ252">
        <f>Model!BL267</f>
        <v>0.88328470195914954</v>
      </c>
      <c r="AR252">
        <f>Model!BM267</f>
        <v>0.95999468367889429</v>
      </c>
      <c r="AS252">
        <f>Model!BN267</f>
        <v>0.70522686695807435</v>
      </c>
      <c r="AT252">
        <f>Model!BO267</f>
        <v>0.60542438218489714</v>
      </c>
      <c r="AU252">
        <f>Model!BP267</f>
        <v>0.2831590928655463</v>
      </c>
      <c r="AV252">
        <f>Model!BQ267</f>
        <v>1.5371836131164651</v>
      </c>
      <c r="AW252">
        <f>Model!BR267</f>
        <v>2.6412360559046029</v>
      </c>
      <c r="AX252">
        <f>Model!BS267</f>
        <v>1.9000000000000001</v>
      </c>
      <c r="AY252">
        <f>Model!BT267</f>
        <v>0.89999999999999991</v>
      </c>
      <c r="AZ252">
        <f>Model!BU267</f>
        <v>0.90000000000000013</v>
      </c>
    </row>
    <row r="253" spans="9:52" ht="11.25" customHeight="1">
      <c r="I253" t="str">
        <f>Model!I268</f>
        <v>3-year average D&amp;A</v>
      </c>
      <c r="M253">
        <f>Model!M268</f>
        <v>0</v>
      </c>
      <c r="N253">
        <f>Model!N268</f>
        <v>0</v>
      </c>
      <c r="O253">
        <f>Model!O268</f>
        <v>0</v>
      </c>
      <c r="P253">
        <f>Model!P268</f>
        <v>0</v>
      </c>
      <c r="Q253">
        <f>Model!Q268</f>
        <v>0</v>
      </c>
      <c r="R253">
        <f>Model!R268</f>
        <v>0</v>
      </c>
      <c r="S253">
        <f>Model!S268</f>
        <v>0</v>
      </c>
      <c r="T253">
        <f>Model!T268</f>
        <v>0</v>
      </c>
      <c r="U253">
        <f>Model!U268</f>
        <v>0</v>
      </c>
      <c r="V253">
        <f>Model!V268</f>
        <v>0</v>
      </c>
      <c r="W253">
        <f>Model!W268</f>
        <v>0</v>
      </c>
      <c r="X253">
        <f>Model!X268</f>
        <v>0</v>
      </c>
      <c r="Y253">
        <f>Model!Y268</f>
        <v>0</v>
      </c>
      <c r="Z253">
        <f>Model!Z268</f>
        <v>0</v>
      </c>
      <c r="AA253">
        <f>Model!AA268</f>
        <v>0</v>
      </c>
      <c r="AB253">
        <f>Model!AB268</f>
        <v>0</v>
      </c>
      <c r="AC253">
        <f>Model!AC268</f>
        <v>0</v>
      </c>
      <c r="AD253">
        <f>Model!AD268</f>
        <v>0</v>
      </c>
      <c r="AE253">
        <f>Model!AE268</f>
        <v>0</v>
      </c>
      <c r="AF253">
        <f>Model!AF268</f>
        <v>0</v>
      </c>
      <c r="AG253">
        <f>Model!AG268</f>
        <v>0</v>
      </c>
      <c r="AH253">
        <f>Model!AH268</f>
        <v>0</v>
      </c>
      <c r="AI253">
        <f>Model!AI268</f>
        <v>0</v>
      </c>
      <c r="AJ253">
        <f>Model!AJ268</f>
        <v>0</v>
      </c>
      <c r="AL253">
        <f>Model!BG268</f>
        <v>0</v>
      </c>
      <c r="AM253">
        <f>Model!BH268</f>
        <v>0</v>
      </c>
      <c r="AN253">
        <f>Model!BI268</f>
        <v>0</v>
      </c>
      <c r="AO253">
        <f>Model!BJ268</f>
        <v>0</v>
      </c>
      <c r="AP253">
        <f>Model!BK268</f>
        <v>0</v>
      </c>
      <c r="AQ253">
        <f>Model!BL268</f>
        <v>2.5909999999999997</v>
      </c>
      <c r="AR253">
        <f>Model!BM268</f>
        <v>4.5983333333333336</v>
      </c>
      <c r="AS253">
        <f>Model!BN268</f>
        <v>7.6386666666666665</v>
      </c>
      <c r="AT253">
        <f>Model!BO268</f>
        <v>12.089333333333334</v>
      </c>
      <c r="AU253">
        <f>Model!BP268</f>
        <v>19.549666666666667</v>
      </c>
      <c r="AV253">
        <f>Model!BQ268</f>
        <v>27.513333333333332</v>
      </c>
      <c r="AW253">
        <f>Model!BR268</f>
        <v>35.382666666666665</v>
      </c>
      <c r="AX253">
        <f>Model!BS268</f>
        <v>40.714666666666666</v>
      </c>
      <c r="AY253">
        <f>Model!BT268</f>
        <v>39.823538086690398</v>
      </c>
      <c r="AZ253">
        <f>Model!BU268</f>
        <v>38.42680640339605</v>
      </c>
    </row>
    <row r="254" spans="9:52" ht="11.25" customHeight="1">
      <c r="I254">
        <f>Model!I269</f>
        <v>0</v>
      </c>
      <c r="M254">
        <f>Model!M269</f>
        <v>0</v>
      </c>
      <c r="N254">
        <f>Model!N269</f>
        <v>0</v>
      </c>
      <c r="O254">
        <f>Model!O269</f>
        <v>0</v>
      </c>
      <c r="P254">
        <f>Model!P269</f>
        <v>0</v>
      </c>
      <c r="Q254">
        <f>Model!Q269</f>
        <v>0</v>
      </c>
      <c r="R254">
        <f>Model!R269</f>
        <v>0</v>
      </c>
      <c r="S254">
        <f>Model!S269</f>
        <v>0</v>
      </c>
      <c r="T254">
        <f>Model!T269</f>
        <v>0</v>
      </c>
      <c r="U254">
        <f>Model!U269</f>
        <v>0</v>
      </c>
      <c r="V254">
        <f>Model!V269</f>
        <v>0</v>
      </c>
      <c r="W254">
        <f>Model!W269</f>
        <v>0</v>
      </c>
      <c r="X254">
        <f>Model!X269</f>
        <v>0</v>
      </c>
      <c r="Y254">
        <f>Model!Y269</f>
        <v>0</v>
      </c>
      <c r="Z254">
        <f>Model!Z269</f>
        <v>0</v>
      </c>
      <c r="AA254">
        <f>Model!AA269</f>
        <v>0</v>
      </c>
      <c r="AB254">
        <f>Model!AB269</f>
        <v>0</v>
      </c>
      <c r="AC254">
        <f>Model!AC269</f>
        <v>0</v>
      </c>
      <c r="AD254">
        <f>Model!AD269</f>
        <v>0</v>
      </c>
      <c r="AE254">
        <f>Model!AE269</f>
        <v>0</v>
      </c>
      <c r="AF254">
        <f>Model!AF269</f>
        <v>0</v>
      </c>
      <c r="AG254">
        <f>Model!AG269</f>
        <v>0</v>
      </c>
      <c r="AH254">
        <f>Model!AH269</f>
        <v>0</v>
      </c>
      <c r="AI254">
        <f>Model!AI269</f>
        <v>0</v>
      </c>
      <c r="AJ254">
        <f>Model!AJ269</f>
        <v>0</v>
      </c>
      <c r="AL254">
        <f>Model!BG269</f>
        <v>0</v>
      </c>
      <c r="AM254">
        <f>Model!BH269</f>
        <v>0</v>
      </c>
      <c r="AN254">
        <f>Model!BI269</f>
        <v>0</v>
      </c>
      <c r="AO254">
        <f>Model!BJ269</f>
        <v>0</v>
      </c>
      <c r="AP254">
        <f>Model!BK269</f>
        <v>0</v>
      </c>
      <c r="AQ254">
        <f>Model!BL269</f>
        <v>0</v>
      </c>
      <c r="AR254">
        <f>Model!BM269</f>
        <v>0</v>
      </c>
      <c r="AS254">
        <f>Model!BN269</f>
        <v>0</v>
      </c>
      <c r="AT254">
        <f>Model!BO269</f>
        <v>0</v>
      </c>
      <c r="AU254">
        <f>Model!BP269</f>
        <v>0</v>
      </c>
      <c r="AV254">
        <f>Model!BQ269</f>
        <v>0</v>
      </c>
      <c r="AW254">
        <f>Model!BR269</f>
        <v>0</v>
      </c>
      <c r="AX254">
        <f>Model!BS269</f>
        <v>0</v>
      </c>
      <c r="AY254">
        <f>Model!BT269</f>
        <v>0</v>
      </c>
      <c r="AZ254">
        <f>Model!BU269</f>
        <v>0</v>
      </c>
    </row>
    <row r="255" spans="9:52" ht="11.25" customHeight="1">
      <c r="I255" t="str">
        <f>Model!I270</f>
        <v>Total D&amp;A</v>
      </c>
      <c r="M255">
        <f>Model!M270</f>
        <v>0.44400000000000001</v>
      </c>
      <c r="N255">
        <f>Model!N270</f>
        <v>0.45300000000000001</v>
      </c>
      <c r="O255">
        <f>Model!O270</f>
        <v>0.58599999999999997</v>
      </c>
      <c r="P255">
        <f>Model!P270</f>
        <v>0.85099999999999998</v>
      </c>
      <c r="Q255">
        <f>Model!Q270</f>
        <v>0.81899999999999995</v>
      </c>
      <c r="R255">
        <f>Model!R270</f>
        <v>0.92400000000000004</v>
      </c>
      <c r="S255">
        <f>Model!S270</f>
        <v>1.0469999999999999</v>
      </c>
      <c r="T255">
        <f>Model!T270</f>
        <v>1.448</v>
      </c>
      <c r="U255">
        <f>Model!U270</f>
        <v>1.361</v>
      </c>
      <c r="V255">
        <f>Model!V270</f>
        <v>1.661</v>
      </c>
      <c r="W255">
        <f>Model!W270</f>
        <v>1.78</v>
      </c>
      <c r="X255">
        <f>Model!X270</f>
        <v>2.4209999999999998</v>
      </c>
      <c r="Y255">
        <f>Model!Y270</f>
        <v>2.4780000000000002</v>
      </c>
      <c r="Z255">
        <f>Model!Z270</f>
        <v>2.637</v>
      </c>
      <c r="AA255">
        <f>Model!AA270</f>
        <v>2.8159999999999998</v>
      </c>
      <c r="AB255">
        <f>Model!AB270</f>
        <v>3.524</v>
      </c>
      <c r="AC255">
        <f>Model!AC270</f>
        <v>3.661</v>
      </c>
      <c r="AD255">
        <f>Model!AD270</f>
        <v>4.0339999999999998</v>
      </c>
      <c r="AE255">
        <f>Model!AE270</f>
        <v>4.6040000000000001</v>
      </c>
      <c r="AF255">
        <f>Model!AF270</f>
        <v>5.2910000000000004</v>
      </c>
      <c r="AG255">
        <f>Model!AG270</f>
        <v>6.8949999999999996</v>
      </c>
      <c r="AH255">
        <f>Model!AH270</f>
        <v>7.1669999999999998</v>
      </c>
      <c r="AI255">
        <f>Model!AI270</f>
        <v>7.5620000000000003</v>
      </c>
      <c r="AJ255">
        <f>Model!AJ270</f>
        <v>7.98</v>
      </c>
      <c r="AL255">
        <f>Model!BG270</f>
        <v>0</v>
      </c>
      <c r="AM255">
        <f>Model!BH270</f>
        <v>0</v>
      </c>
      <c r="AN255">
        <f>Model!BI270</f>
        <v>0.57099999999999995</v>
      </c>
      <c r="AO255">
        <f>Model!BJ270</f>
        <v>1.2010000000000001</v>
      </c>
      <c r="AP255">
        <f>Model!BK270</f>
        <v>2.3340000000000001</v>
      </c>
      <c r="AQ255">
        <f>Model!BL270</f>
        <v>4.2379999999999995</v>
      </c>
      <c r="AR255">
        <f>Model!BM270</f>
        <v>7.2230000000000008</v>
      </c>
      <c r="AS255">
        <f>Model!BN270</f>
        <v>11.455</v>
      </c>
      <c r="AT255">
        <f>Model!BO270</f>
        <v>17.59</v>
      </c>
      <c r="AU255">
        <f>Model!BP270</f>
        <v>29.603999999999999</v>
      </c>
      <c r="AV255">
        <f>Model!BQ270</f>
        <v>38.801000000000002</v>
      </c>
      <c r="AW255">
        <f>Model!BR270</f>
        <v>41.429000000000002</v>
      </c>
      <c r="AX255">
        <f>Model!BS270</f>
        <v>45.6</v>
      </c>
      <c r="AY255">
        <f>Model!BT270</f>
        <v>32.672614260071192</v>
      </c>
      <c r="AZ255">
        <f>Model!BU270</f>
        <v>37.007804950116949</v>
      </c>
    </row>
    <row r="256" spans="9:52" ht="11.25" customHeight="1">
      <c r="I256" t="str">
        <f>Model!I271</f>
        <v>Average Net PP&amp;E</v>
      </c>
      <c r="M256">
        <f>Model!M271</f>
        <v>0</v>
      </c>
      <c r="N256">
        <f>Model!N271</f>
        <v>0</v>
      </c>
      <c r="O256" t="str">
        <f>Model!O271</f>
        <v>NA</v>
      </c>
      <c r="P256">
        <f>Model!P271</f>
        <v>5.2560000000000002</v>
      </c>
      <c r="Q256">
        <f>Model!Q271</f>
        <v>5.2560000000000002</v>
      </c>
      <c r="R256" t="str">
        <f>Model!R271</f>
        <v>NA</v>
      </c>
      <c r="S256">
        <f>Model!S271</f>
        <v>8.9540000000000006</v>
      </c>
      <c r="T256">
        <f>Model!T271</f>
        <v>9.4175000000000004</v>
      </c>
      <c r="U256">
        <f>Model!U271</f>
        <v>10.265000000000001</v>
      </c>
      <c r="V256">
        <f>Model!V271</f>
        <v>11.140499999999999</v>
      </c>
      <c r="W256">
        <f>Model!W271</f>
        <v>12.1275</v>
      </c>
      <c r="X256">
        <f>Model!X271</f>
        <v>13.710999999999999</v>
      </c>
      <c r="Y256">
        <f>Model!Y271</f>
        <v>15.285499999999999</v>
      </c>
      <c r="Z256">
        <f>Model!Z271</f>
        <v>17.775500000000001</v>
      </c>
      <c r="AA256">
        <f>Model!AA271</f>
        <v>22.85</v>
      </c>
      <c r="AB256">
        <f>Model!AB271</f>
        <v>28.293500000000002</v>
      </c>
      <c r="AC256">
        <f>Model!AC271</f>
        <v>31.981999999999999</v>
      </c>
      <c r="AD256">
        <f>Model!AD271</f>
        <v>35.380000000000003</v>
      </c>
      <c r="AE256">
        <f>Model!AE271</f>
        <v>40.397500000000001</v>
      </c>
      <c r="AF256">
        <f>Model!AF271</f>
        <v>53.046999999999997</v>
      </c>
      <c r="AG256">
        <f>Model!AG271</f>
        <v>65.677499999999995</v>
      </c>
      <c r="AH256">
        <f>Model!AH271</f>
        <v>70.598500000000001</v>
      </c>
      <c r="AI256">
        <f>Model!AI271</f>
        <v>75.472499999999997</v>
      </c>
      <c r="AJ256">
        <f>Model!AJ271</f>
        <v>79.404499999999999</v>
      </c>
      <c r="AL256">
        <f>Model!BG271</f>
        <v>0</v>
      </c>
      <c r="AM256">
        <f>Model!BH271</f>
        <v>0</v>
      </c>
      <c r="AN256">
        <f>Model!BI271</f>
        <v>0</v>
      </c>
      <c r="AO256">
        <f>Model!BJ271</f>
        <v>0</v>
      </c>
      <c r="AP256">
        <f>Model!BK271</f>
        <v>3.72</v>
      </c>
      <c r="AQ256">
        <f>Model!BL271</f>
        <v>7.5685000000000002</v>
      </c>
      <c r="AR256">
        <f>Model!BM271</f>
        <v>12.34</v>
      </c>
      <c r="AS256">
        <f>Model!BN271</f>
        <v>22.732500000000002</v>
      </c>
      <c r="AT256">
        <f>Model!BO271</f>
        <v>46.713500000000003</v>
      </c>
      <c r="AU256">
        <f>Model!BP271</f>
        <v>71.614000000000004</v>
      </c>
      <c r="AV256">
        <f>Model!BQ271</f>
        <v>86.453499999999991</v>
      </c>
      <c r="AW256">
        <f>Model!BR271</f>
        <v>98.045500000000004</v>
      </c>
      <c r="AX256">
        <f>Model!BS271</f>
        <v>92.850999999999999</v>
      </c>
      <c r="AY256">
        <f>Model!BT271</f>
        <v>83.866145236670604</v>
      </c>
      <c r="AZ256">
        <f>Model!BU271</f>
        <v>87.737279637236611</v>
      </c>
    </row>
    <row r="257" spans="1:61" ht="11.25" customHeight="1">
      <c r="I257" t="str">
        <f>Model!I272</f>
        <v>D&amp;A % of Net PP&amp;E</v>
      </c>
      <c r="M257">
        <f>Model!M272</f>
        <v>0</v>
      </c>
      <c r="N257">
        <f>Model!N272</f>
        <v>0</v>
      </c>
      <c r="O257">
        <f>Model!O272</f>
        <v>0</v>
      </c>
      <c r="P257">
        <f>Model!P272</f>
        <v>0.16191019786910196</v>
      </c>
      <c r="Q257">
        <f>Model!Q272</f>
        <v>0.15582191780821916</v>
      </c>
      <c r="R257" t="str">
        <f>Model!R272</f>
        <v>NA</v>
      </c>
      <c r="S257">
        <f>Model!S272</f>
        <v>0.11693098056734419</v>
      </c>
      <c r="T257">
        <f>Model!T272</f>
        <v>0.15375630475179186</v>
      </c>
      <c r="U257">
        <f>Model!U272</f>
        <v>0.1325864588407209</v>
      </c>
      <c r="V257">
        <f>Model!V272</f>
        <v>0.14909564202683903</v>
      </c>
      <c r="W257">
        <f>Model!W272</f>
        <v>0.14677386105957535</v>
      </c>
      <c r="X257">
        <f>Model!X272</f>
        <v>0.17657355408066516</v>
      </c>
      <c r="Y257">
        <f>Model!Y272</f>
        <v>0.16211442216479674</v>
      </c>
      <c r="Z257">
        <f>Model!Z272</f>
        <v>0.14835025737672639</v>
      </c>
      <c r="AA257">
        <f>Model!AA272</f>
        <v>0.12323851203501092</v>
      </c>
      <c r="AB257">
        <f>Model!AB272</f>
        <v>0.12455157545019173</v>
      </c>
      <c r="AC257">
        <f>Model!AC272</f>
        <v>0.11447063973485086</v>
      </c>
      <c r="AD257">
        <f>Model!AD272</f>
        <v>0.11401921989824758</v>
      </c>
      <c r="AE257">
        <f>Model!AE272</f>
        <v>0.11396744848072282</v>
      </c>
      <c r="AF257">
        <f>Model!AF272</f>
        <v>9.9741738458348272E-2</v>
      </c>
      <c r="AG257">
        <f>Model!AG272</f>
        <v>0.10498268052224886</v>
      </c>
      <c r="AH257">
        <f>Model!AH272</f>
        <v>0.10151773762898644</v>
      </c>
      <c r="AI257">
        <f>Model!AI272</f>
        <v>0.10019543542349864</v>
      </c>
      <c r="AJ257">
        <f>Model!AJ272</f>
        <v>0.10049808260237141</v>
      </c>
      <c r="AL257">
        <f>Model!BG272</f>
        <v>0</v>
      </c>
      <c r="AM257">
        <f>Model!BH272</f>
        <v>0</v>
      </c>
      <c r="AN257">
        <f>Model!BI272</f>
        <v>0</v>
      </c>
      <c r="AO257">
        <f>Model!BJ272</f>
        <v>0</v>
      </c>
      <c r="AP257">
        <f>Model!BK272</f>
        <v>0.6274193548387097</v>
      </c>
      <c r="AQ257">
        <f>Model!BL272</f>
        <v>0.55995243443218601</v>
      </c>
      <c r="AR257">
        <f>Model!BM272</f>
        <v>0.58533225283630475</v>
      </c>
      <c r="AS257">
        <f>Model!BN272</f>
        <v>0.50390410205652691</v>
      </c>
      <c r="AT257">
        <f>Model!BO272</f>
        <v>0.37655067592879998</v>
      </c>
      <c r="AU257">
        <f>Model!BP272</f>
        <v>0.4133828581003714</v>
      </c>
      <c r="AV257">
        <f>Model!BQ272</f>
        <v>0.4488077405773046</v>
      </c>
      <c r="AW257">
        <f>Model!BR272</f>
        <v>0.42254871462739241</v>
      </c>
      <c r="AX257">
        <f>Model!BS272</f>
        <v>0.49110941185339957</v>
      </c>
      <c r="AY257">
        <f>Model!BT272</f>
        <v>0.38958049362909125</v>
      </c>
      <c r="AZ257">
        <f>Model!BU272</f>
        <v>0.42180251203515151</v>
      </c>
    </row>
    <row r="258" spans="1:61" ht="11.25" customHeight="1">
      <c r="I258" t="str">
        <f>Model!I273</f>
        <v>Average Depreciable Life</v>
      </c>
      <c r="M258">
        <f>Model!M273</f>
        <v>0</v>
      </c>
      <c r="N258">
        <f>Model!N273</f>
        <v>0</v>
      </c>
      <c r="O258">
        <f>Model!O273</f>
        <v>0</v>
      </c>
      <c r="P258">
        <f>Model!P273</f>
        <v>1.5440658049353704</v>
      </c>
      <c r="Q258">
        <f>Model!Q273</f>
        <v>1.6043956043956045</v>
      </c>
      <c r="R258" t="str">
        <f>Model!R273</f>
        <v>NA</v>
      </c>
      <c r="S258">
        <f>Model!S273</f>
        <v>2.1380133715377272</v>
      </c>
      <c r="T258">
        <f>Model!T273</f>
        <v>1.6259495856353592</v>
      </c>
      <c r="U258">
        <f>Model!U273</f>
        <v>1.885562086700955</v>
      </c>
      <c r="V258">
        <f>Model!V273</f>
        <v>1.6767760385310051</v>
      </c>
      <c r="W258">
        <f>Model!W273</f>
        <v>1.7033005617977528</v>
      </c>
      <c r="X258">
        <f>Model!X273</f>
        <v>1.4158405617513423</v>
      </c>
      <c r="Y258">
        <f>Model!Y273</f>
        <v>1.5421206618240513</v>
      </c>
      <c r="Z258">
        <f>Model!Z273</f>
        <v>1.6852009859689041</v>
      </c>
      <c r="AA258">
        <f>Model!AA273</f>
        <v>2.0285866477272729</v>
      </c>
      <c r="AB258">
        <f>Model!AB273</f>
        <v>2.0072006242905789</v>
      </c>
      <c r="AC258">
        <f>Model!AC273</f>
        <v>2.1839661294728216</v>
      </c>
      <c r="AD258">
        <f>Model!AD273</f>
        <v>2.1926127912741697</v>
      </c>
      <c r="AE258">
        <f>Model!AE273</f>
        <v>2.1936088184187663</v>
      </c>
      <c r="AF258">
        <f>Model!AF273</f>
        <v>2.5064732564732561</v>
      </c>
      <c r="AG258">
        <f>Model!AG273</f>
        <v>2.3813451776649748</v>
      </c>
      <c r="AH258">
        <f>Model!AH273</f>
        <v>2.4626238314497004</v>
      </c>
      <c r="AI258">
        <f>Model!AI273</f>
        <v>2.4951236445384817</v>
      </c>
      <c r="AJ258">
        <f>Model!AJ273</f>
        <v>2.487609649122807</v>
      </c>
      <c r="AL258">
        <f>Model!BG273</f>
        <v>0</v>
      </c>
      <c r="AM258">
        <f>Model!BH273</f>
        <v>0</v>
      </c>
      <c r="AN258">
        <f>Model!BI273</f>
        <v>0</v>
      </c>
      <c r="AO258">
        <f>Model!BJ273</f>
        <v>0</v>
      </c>
      <c r="AP258">
        <f>Model!BK273</f>
        <v>0.39845758354755784</v>
      </c>
      <c r="AQ258">
        <f>Model!BL273</f>
        <v>0.44646649362907032</v>
      </c>
      <c r="AR258">
        <f>Model!BM273</f>
        <v>0.42710784992385431</v>
      </c>
      <c r="AS258">
        <f>Model!BN273</f>
        <v>0.49612614578786562</v>
      </c>
      <c r="AT258">
        <f>Model!BO273</f>
        <v>0.66392126208072777</v>
      </c>
      <c r="AU258">
        <f>Model!BP273</f>
        <v>0.60476624780435084</v>
      </c>
      <c r="AV258">
        <f>Model!BQ273</f>
        <v>0.55703139094353238</v>
      </c>
      <c r="AW258">
        <f>Model!BR273</f>
        <v>0.59164775881628806</v>
      </c>
      <c r="AX258">
        <f>Model!BS273</f>
        <v>0.50905153508771928</v>
      </c>
      <c r="AY258">
        <f>Model!BT273</f>
        <v>0.64171590746537233</v>
      </c>
      <c r="AZ258">
        <f>Model!BU273</f>
        <v>0.59269443131994881</v>
      </c>
    </row>
    <row r="259" spans="1:61" ht="11.25" customHeight="1">
      <c r="I259" t="str">
        <f>Model!I274</f>
        <v>% of revenue</v>
      </c>
      <c r="M259">
        <f>Model!M274</f>
        <v>0</v>
      </c>
      <c r="N259">
        <f>Model!N274</f>
        <v>0</v>
      </c>
      <c r="O259">
        <f>Model!O274</f>
        <v>0</v>
      </c>
      <c r="P259">
        <f>Model!P274</f>
        <v>5.5715595128977342E-2</v>
      </c>
      <c r="Q259">
        <f>Model!Q274</f>
        <v>4.9636363636363631E-2</v>
      </c>
      <c r="R259">
        <f>Model!R274</f>
        <v>4.719583205638983E-2</v>
      </c>
      <c r="S259">
        <f>Model!S274</f>
        <v>4.6946462200699486E-2</v>
      </c>
      <c r="T259">
        <f>Model!T274</f>
        <v>5.8140935555109415E-2</v>
      </c>
      <c r="U259">
        <f>Model!U274</f>
        <v>4.9698740186233339E-2</v>
      </c>
      <c r="V259">
        <f>Model!V274</f>
        <v>5.0868220377913213E-2</v>
      </c>
      <c r="W259">
        <f>Model!W274</f>
        <v>4.8940089631849551E-2</v>
      </c>
      <c r="X259">
        <f>Model!X274</f>
        <v>5.8823529411764705E-2</v>
      </c>
      <c r="Y259">
        <f>Model!Y274</f>
        <v>5.371426094119177E-2</v>
      </c>
      <c r="Z259">
        <f>Model!Z274</f>
        <v>4.7925413009105279E-2</v>
      </c>
      <c r="AA259">
        <f>Model!AA274</f>
        <v>4.602736143573985E-2</v>
      </c>
      <c r="AB259">
        <f>Model!AB274</f>
        <v>4.9878982604634046E-2</v>
      </c>
      <c r="AC259">
        <f>Model!AC274</f>
        <v>4.7914458099388803E-2</v>
      </c>
      <c r="AD259">
        <f>Model!AD274</f>
        <v>4.5434579386621911E-2</v>
      </c>
      <c r="AE259">
        <f>Model!AE274</f>
        <v>4.4936801522619689E-2</v>
      </c>
      <c r="AF259">
        <f>Model!AF274</f>
        <v>4.8149462629792424E-2</v>
      </c>
      <c r="AG259">
        <f>Model!AG274</f>
        <v>6.1672629695885509E-2</v>
      </c>
      <c r="AH259">
        <f>Model!AH274</f>
        <v>5.7062101910828028E-2</v>
      </c>
      <c r="AI259">
        <f>Model!AI274</f>
        <v>5.6181277860326895E-2</v>
      </c>
      <c r="AJ259">
        <f>Model!AJ274</f>
        <v>5.4396728016359926E-2</v>
      </c>
      <c r="AL259">
        <f>Model!BG274</f>
        <v>0</v>
      </c>
      <c r="AM259">
        <f>Model!BH274</f>
        <v>0</v>
      </c>
      <c r="AN259">
        <f>Model!BI274</f>
        <v>0</v>
      </c>
      <c r="AO259">
        <f>Model!BJ274</f>
        <v>0</v>
      </c>
      <c r="AP259">
        <f>Model!BK274</f>
        <v>4.8899038360813725E-2</v>
      </c>
      <c r="AQ259">
        <f>Model!BL274</f>
        <v>5.0885513597886768E-2</v>
      </c>
      <c r="AR259">
        <f>Model!BM274</f>
        <v>5.25057063518602E-2</v>
      </c>
      <c r="AS259">
        <f>Model!BN274</f>
        <v>4.9165622263807586E-2</v>
      </c>
      <c r="AT259">
        <f>Model!BO274</f>
        <v>4.6591583319206653E-2</v>
      </c>
      <c r="AU259">
        <f>Model!BP274</f>
        <v>5.7073452862926539E-2</v>
      </c>
      <c r="AV259">
        <f>Model!BQ274</f>
        <v>4.9568835554483506E-2</v>
      </c>
      <c r="AW259">
        <f>Model!BR274</f>
        <v>4.8650646600843402E-2</v>
      </c>
      <c r="AX259">
        <f>Model!BS274</f>
        <v>4.7500000000000001E-2</v>
      </c>
      <c r="AY259">
        <f>Model!BT274</f>
        <v>2.9266046452948037E-2</v>
      </c>
      <c r="AZ259">
        <f>Model!BU274</f>
        <v>2.9357294106074055E-2</v>
      </c>
    </row>
    <row r="260" spans="1:61" ht="11.25" customHeight="1">
      <c r="I260">
        <f>Model!I275</f>
        <v>0</v>
      </c>
      <c r="M260">
        <f>Model!M275</f>
        <v>0</v>
      </c>
      <c r="N260">
        <f>Model!N275</f>
        <v>0</v>
      </c>
      <c r="O260">
        <f>Model!O275</f>
        <v>0</v>
      </c>
      <c r="P260">
        <f>Model!P275</f>
        <v>0</v>
      </c>
      <c r="Q260">
        <f>Model!Q275</f>
        <v>0</v>
      </c>
      <c r="R260">
        <f>Model!R275</f>
        <v>0</v>
      </c>
      <c r="S260">
        <f>Model!S275</f>
        <v>0</v>
      </c>
      <c r="T260">
        <f>Model!T275</f>
        <v>0</v>
      </c>
      <c r="U260">
        <f>Model!U275</f>
        <v>0</v>
      </c>
      <c r="V260">
        <f>Model!V275</f>
        <v>0</v>
      </c>
      <c r="W260">
        <f>Model!W275</f>
        <v>0</v>
      </c>
      <c r="X260">
        <f>Model!X275</f>
        <v>0</v>
      </c>
      <c r="Y260">
        <f>Model!Y275</f>
        <v>0</v>
      </c>
      <c r="Z260">
        <f>Model!Z275</f>
        <v>0</v>
      </c>
      <c r="AA260">
        <f>Model!AA275</f>
        <v>0</v>
      </c>
      <c r="AB260">
        <f>Model!AB275</f>
        <v>0</v>
      </c>
      <c r="AC260">
        <f>Model!AC275</f>
        <v>0</v>
      </c>
      <c r="AD260">
        <f>Model!AD275</f>
        <v>0</v>
      </c>
      <c r="AE260">
        <f>Model!AE275</f>
        <v>0</v>
      </c>
      <c r="AF260">
        <f>Model!AF275</f>
        <v>0</v>
      </c>
      <c r="AG260">
        <f>Model!AG275</f>
        <v>0</v>
      </c>
      <c r="AH260">
        <f>Model!AH275</f>
        <v>0</v>
      </c>
      <c r="AI260">
        <f>Model!AI275</f>
        <v>0</v>
      </c>
      <c r="AJ260">
        <f>Model!AJ275</f>
        <v>0</v>
      </c>
      <c r="AL260">
        <f>Model!BG275</f>
        <v>0</v>
      </c>
      <c r="AM260">
        <f>Model!BH275</f>
        <v>0</v>
      </c>
      <c r="AN260">
        <f>Model!BI275</f>
        <v>0</v>
      </c>
      <c r="AO260">
        <f>Model!BJ275</f>
        <v>0</v>
      </c>
      <c r="AP260">
        <f>Model!BK275</f>
        <v>0</v>
      </c>
      <c r="AQ260">
        <f>Model!BL275</f>
        <v>0</v>
      </c>
      <c r="AR260">
        <f>Model!BM275</f>
        <v>0</v>
      </c>
      <c r="AS260">
        <f>Model!BN275</f>
        <v>0</v>
      </c>
      <c r="AT260">
        <f>Model!BO275</f>
        <v>0</v>
      </c>
      <c r="AU260">
        <f>Model!BP275</f>
        <v>0</v>
      </c>
      <c r="AV260">
        <f>Model!BQ275</f>
        <v>0</v>
      </c>
      <c r="AW260">
        <f>Model!BR275</f>
        <v>0</v>
      </c>
      <c r="AX260">
        <f>Model!BS275</f>
        <v>0</v>
      </c>
      <c r="AY260">
        <f>Model!BT275</f>
        <v>0</v>
      </c>
      <c r="AZ260">
        <f>Model!BU275</f>
        <v>0</v>
      </c>
    </row>
    <row r="261" spans="1:61" ht="11.25" customHeight="1">
      <c r="I261">
        <f>Model!I276</f>
        <v>0</v>
      </c>
      <c r="M261">
        <f>Model!M276</f>
        <v>0</v>
      </c>
      <c r="N261">
        <f>Model!N276</f>
        <v>0</v>
      </c>
      <c r="O261">
        <f>Model!O276</f>
        <v>0</v>
      </c>
      <c r="P261">
        <f>Model!P276</f>
        <v>0</v>
      </c>
      <c r="Q261">
        <f>Model!Q276</f>
        <v>0</v>
      </c>
      <c r="R261">
        <f>Model!R276</f>
        <v>0</v>
      </c>
      <c r="S261">
        <f>Model!S276</f>
        <v>0</v>
      </c>
      <c r="T261">
        <f>Model!T276</f>
        <v>0</v>
      </c>
      <c r="U261">
        <f>Model!U276</f>
        <v>0</v>
      </c>
      <c r="V261">
        <f>Model!V276</f>
        <v>0</v>
      </c>
      <c r="W261">
        <f>Model!W276</f>
        <v>0</v>
      </c>
      <c r="X261">
        <f>Model!X276</f>
        <v>0</v>
      </c>
      <c r="Y261">
        <f>Model!Y276</f>
        <v>0</v>
      </c>
      <c r="Z261">
        <f>Model!Z276</f>
        <v>0</v>
      </c>
      <c r="AA261">
        <f>Model!AA276</f>
        <v>0</v>
      </c>
      <c r="AB261">
        <f>Model!AB276</f>
        <v>0</v>
      </c>
      <c r="AC261">
        <f>Model!AC276</f>
        <v>0</v>
      </c>
      <c r="AD261">
        <f>Model!AD276</f>
        <v>0</v>
      </c>
      <c r="AE261">
        <f>Model!AE276</f>
        <v>0</v>
      </c>
      <c r="AF261">
        <f>Model!AF276</f>
        <v>0</v>
      </c>
      <c r="AG261">
        <f>Model!AG276</f>
        <v>0</v>
      </c>
      <c r="AH261">
        <f>Model!AH276</f>
        <v>0</v>
      </c>
      <c r="AI261">
        <f>Model!AI276</f>
        <v>0</v>
      </c>
      <c r="AJ261">
        <f>Model!AJ276</f>
        <v>0</v>
      </c>
      <c r="AL261">
        <f>Model!BG276</f>
        <v>0</v>
      </c>
      <c r="AM261">
        <f>Model!BH276</f>
        <v>0</v>
      </c>
      <c r="AN261">
        <f>Model!BI276</f>
        <v>0</v>
      </c>
      <c r="AO261">
        <f>Model!BJ276</f>
        <v>0</v>
      </c>
      <c r="AP261">
        <f>Model!BK276</f>
        <v>0</v>
      </c>
      <c r="AQ261">
        <f>Model!BL276</f>
        <v>0</v>
      </c>
      <c r="AR261">
        <f>Model!BM276</f>
        <v>0</v>
      </c>
      <c r="AS261">
        <f>Model!BN276</f>
        <v>0</v>
      </c>
      <c r="AT261">
        <f>Model!BO276</f>
        <v>0</v>
      </c>
      <c r="AU261">
        <f>Model!BP276</f>
        <v>0</v>
      </c>
      <c r="AV261">
        <f>Model!BQ276</f>
        <v>0</v>
      </c>
      <c r="AW261">
        <f>Model!BR276</f>
        <v>0</v>
      </c>
      <c r="AX261">
        <f>Model!BS276</f>
        <v>0</v>
      </c>
      <c r="AY261">
        <f>Model!BT276</f>
        <v>0</v>
      </c>
      <c r="AZ261">
        <f>Model!BU276</f>
        <v>0</v>
      </c>
    </row>
    <row r="262" spans="1:61" ht="11.25" customHeight="1">
      <c r="I262" t="str">
        <f>Model!I277</f>
        <v>Interest income assumptions</v>
      </c>
      <c r="M262">
        <f>Model!M277</f>
        <v>0</v>
      </c>
      <c r="N262">
        <f>Model!N277</f>
        <v>0</v>
      </c>
      <c r="O262">
        <f>Model!O277</f>
        <v>0</v>
      </c>
      <c r="P262">
        <f>Model!P277</f>
        <v>0</v>
      </c>
      <c r="Q262">
        <f>Model!Q277</f>
        <v>0</v>
      </c>
      <c r="R262">
        <f>Model!R277</f>
        <v>0</v>
      </c>
      <c r="S262">
        <f>Model!S277</f>
        <v>0</v>
      </c>
      <c r="T262">
        <f>Model!T277</f>
        <v>0</v>
      </c>
      <c r="U262">
        <f>Model!U277</f>
        <v>0</v>
      </c>
      <c r="V262">
        <f>Model!V277</f>
        <v>0</v>
      </c>
      <c r="W262">
        <f>Model!W277</f>
        <v>0</v>
      </c>
      <c r="X262">
        <f>Model!X277</f>
        <v>0</v>
      </c>
      <c r="Y262">
        <f>Model!Y277</f>
        <v>0</v>
      </c>
      <c r="Z262">
        <f>Model!Z277</f>
        <v>0</v>
      </c>
      <c r="AA262">
        <f>Model!AA277</f>
        <v>0</v>
      </c>
      <c r="AB262">
        <f>Model!AB277</f>
        <v>0</v>
      </c>
      <c r="AC262">
        <f>Model!AC277</f>
        <v>0</v>
      </c>
      <c r="AD262">
        <f>Model!AD277</f>
        <v>0</v>
      </c>
      <c r="AE262">
        <f>Model!AE277</f>
        <v>0</v>
      </c>
      <c r="AF262">
        <f>Model!AF277</f>
        <v>0</v>
      </c>
      <c r="AG262">
        <f>Model!AG277</f>
        <v>0</v>
      </c>
      <c r="AH262">
        <f>Model!AH277</f>
        <v>0</v>
      </c>
      <c r="AI262">
        <f>Model!AI277</f>
        <v>0</v>
      </c>
      <c r="AJ262">
        <f>Model!AJ277</f>
        <v>0</v>
      </c>
      <c r="AL262">
        <f>Model!BG277</f>
        <v>0</v>
      </c>
      <c r="AM262">
        <f>Model!BH277</f>
        <v>0</v>
      </c>
      <c r="AN262">
        <f>Model!BI277</f>
        <v>0</v>
      </c>
      <c r="AO262">
        <f>Model!BJ277</f>
        <v>0</v>
      </c>
      <c r="AP262">
        <f>Model!BK277</f>
        <v>0</v>
      </c>
      <c r="AQ262">
        <f>Model!BL277</f>
        <v>0</v>
      </c>
      <c r="AR262">
        <f>Model!BM277</f>
        <v>0</v>
      </c>
      <c r="AS262">
        <f>Model!BN277</f>
        <v>0</v>
      </c>
      <c r="AT262">
        <f>Model!BO277</f>
        <v>0</v>
      </c>
      <c r="AU262">
        <f>Model!BP277</f>
        <v>0</v>
      </c>
      <c r="AV262">
        <f>Model!BQ277</f>
        <v>0</v>
      </c>
      <c r="AW262">
        <f>Model!BR277</f>
        <v>0</v>
      </c>
      <c r="AX262">
        <f>Model!BS277</f>
        <v>0</v>
      </c>
      <c r="AY262">
        <f>Model!BT277</f>
        <v>0</v>
      </c>
      <c r="AZ262">
        <f>Model!BU277</f>
        <v>0</v>
      </c>
    </row>
    <row r="263" spans="1:61" ht="11.25" customHeight="1">
      <c r="I263">
        <f>Model!I278</f>
        <v>0</v>
      </c>
      <c r="M263">
        <f>Model!M278</f>
        <v>0</v>
      </c>
      <c r="N263">
        <f>Model!N278</f>
        <v>0</v>
      </c>
      <c r="O263">
        <f>Model!O278</f>
        <v>0</v>
      </c>
      <c r="P263">
        <f>Model!P278</f>
        <v>0</v>
      </c>
      <c r="Q263">
        <f>Model!Q278</f>
        <v>0</v>
      </c>
      <c r="R263">
        <f>Model!R278</f>
        <v>0</v>
      </c>
      <c r="S263">
        <f>Model!S278</f>
        <v>0</v>
      </c>
      <c r="T263">
        <f>Model!T278</f>
        <v>0</v>
      </c>
      <c r="U263">
        <f>Model!U278</f>
        <v>0</v>
      </c>
      <c r="V263">
        <f>Model!V278</f>
        <v>0</v>
      </c>
      <c r="W263">
        <f>Model!W278</f>
        <v>0</v>
      </c>
      <c r="X263">
        <f>Model!X278</f>
        <v>0</v>
      </c>
      <c r="Y263">
        <f>Model!Y278</f>
        <v>0</v>
      </c>
      <c r="Z263">
        <f>Model!Z278</f>
        <v>0</v>
      </c>
      <c r="AA263">
        <f>Model!AA278</f>
        <v>0</v>
      </c>
      <c r="AB263">
        <f>Model!AB278</f>
        <v>0</v>
      </c>
      <c r="AC263">
        <f>Model!AC278</f>
        <v>0</v>
      </c>
      <c r="AD263">
        <f>Model!AD278</f>
        <v>0</v>
      </c>
      <c r="AE263">
        <f>Model!AE278</f>
        <v>0</v>
      </c>
      <c r="AF263">
        <f>Model!AF278</f>
        <v>0</v>
      </c>
      <c r="AG263">
        <f>Model!AG278</f>
        <v>0</v>
      </c>
      <c r="AH263">
        <f>Model!AH278</f>
        <v>0</v>
      </c>
      <c r="AI263">
        <f>Model!AI278</f>
        <v>0</v>
      </c>
      <c r="AJ263">
        <f>Model!AJ278</f>
        <v>0</v>
      </c>
      <c r="AL263">
        <f>Model!BG278</f>
        <v>0</v>
      </c>
      <c r="AM263">
        <f>Model!BH278</f>
        <v>0</v>
      </c>
      <c r="AN263">
        <f>Model!BI278</f>
        <v>0</v>
      </c>
      <c r="AO263">
        <f>Model!BJ278</f>
        <v>0</v>
      </c>
      <c r="AP263">
        <f>Model!BK278</f>
        <v>0</v>
      </c>
      <c r="AQ263">
        <f>Model!BL278</f>
        <v>0</v>
      </c>
      <c r="AR263">
        <f>Model!BM278</f>
        <v>0</v>
      </c>
      <c r="AS263">
        <f>Model!BN278</f>
        <v>0</v>
      </c>
      <c r="AT263">
        <f>Model!BO278</f>
        <v>0</v>
      </c>
      <c r="AU263">
        <f>Model!BP278</f>
        <v>0</v>
      </c>
      <c r="AV263">
        <f>Model!BQ278</f>
        <v>0</v>
      </c>
      <c r="AW263">
        <f>Model!BR278</f>
        <v>0</v>
      </c>
      <c r="AX263">
        <f>Model!BS278</f>
        <v>0</v>
      </c>
      <c r="AY263">
        <f>Model!BT278</f>
        <v>0</v>
      </c>
      <c r="AZ263">
        <f>Model!BU278</f>
        <v>0</v>
      </c>
    </row>
    <row r="264" spans="1:61" ht="11.25" customHeight="1">
      <c r="I264" t="str">
        <f>Model!I279</f>
        <v>Current period cash</v>
      </c>
      <c r="M264">
        <f>Model!M279</f>
        <v>0</v>
      </c>
      <c r="N264">
        <f>Model!N279</f>
        <v>0</v>
      </c>
      <c r="O264">
        <f>Model!O279</f>
        <v>0</v>
      </c>
      <c r="P264">
        <f>Model!P279</f>
        <v>0</v>
      </c>
      <c r="Q264">
        <f>Model!Q279</f>
        <v>26.765000000000001</v>
      </c>
      <c r="R264">
        <f>Model!R279</f>
        <v>25.143000000000001</v>
      </c>
      <c r="S264">
        <f>Model!S279</f>
        <v>23.709</v>
      </c>
      <c r="T264">
        <f>Model!T279</f>
        <v>22.100999999999999</v>
      </c>
      <c r="U264">
        <f>Model!U279</f>
        <v>132.23400000000001</v>
      </c>
      <c r="V264">
        <f>Model!V279</f>
        <v>128.97499999999999</v>
      </c>
      <c r="W264">
        <f>Model!W279</f>
        <v>129.51300000000001</v>
      </c>
      <c r="X264">
        <f>Model!X279</f>
        <v>101.52399999999999</v>
      </c>
      <c r="Y264">
        <f>Model!Y279</f>
        <v>100.83</v>
      </c>
      <c r="Z264">
        <f>Model!Z279</f>
        <v>104.89699999999999</v>
      </c>
      <c r="AA264">
        <f>Model!AA279</f>
        <v>109.38199999999998</v>
      </c>
      <c r="AB264">
        <f>Model!AB279</f>
        <v>393.01099999999997</v>
      </c>
      <c r="AC264">
        <f>Model!AC279</f>
        <v>402.97499999999991</v>
      </c>
      <c r="AD264">
        <f>Model!AD279</f>
        <v>294.07</v>
      </c>
      <c r="AE264">
        <f>Model!AE279</f>
        <v>303.55299999999994</v>
      </c>
      <c r="AF264">
        <f>Model!AF279</f>
        <v>383.75299999999999</v>
      </c>
      <c r="AG264">
        <f>Model!AG279</f>
        <v>349.13100000000003</v>
      </c>
      <c r="AH264">
        <f>Model!AH279</f>
        <v>384.41800000000006</v>
      </c>
      <c r="AI264">
        <f>Model!AI279</f>
        <v>385.19200000000006</v>
      </c>
      <c r="AJ264">
        <f>Model!AJ279</f>
        <v>387.3130000000001</v>
      </c>
      <c r="AL264">
        <f>Model!BG279</f>
        <v>0</v>
      </c>
      <c r="AM264">
        <f>Model!BH279</f>
        <v>0</v>
      </c>
      <c r="AN264">
        <f>Model!BI279</f>
        <v>0</v>
      </c>
      <c r="AO264">
        <f>Model!BJ279</f>
        <v>15.29</v>
      </c>
      <c r="AP264">
        <f>Model!BK279</f>
        <v>27.290000000000003</v>
      </c>
      <c r="AQ264">
        <f>Model!BL279</f>
        <v>22.100999999999999</v>
      </c>
      <c r="AR264">
        <f>Model!BM279</f>
        <v>101.52399999999999</v>
      </c>
      <c r="AS264">
        <f>Model!BN279</f>
        <v>393.01099999999997</v>
      </c>
      <c r="AT264">
        <f>Model!BO279</f>
        <v>383.75299999999999</v>
      </c>
      <c r="AU264">
        <f>Model!BP279</f>
        <v>387.3130000000001</v>
      </c>
      <c r="AV264">
        <f>Model!BQ279</f>
        <v>496.85000000000014</v>
      </c>
      <c r="AW264">
        <f>Model!BR279</f>
        <v>839.7700000000001</v>
      </c>
      <c r="AX264">
        <f>Model!BS279</f>
        <v>988.91721202096483</v>
      </c>
      <c r="AY264">
        <f>Model!BT279</f>
        <v>1159.358228950106</v>
      </c>
      <c r="AZ264">
        <f>Model!BU279</f>
        <v>1362.8687816243553</v>
      </c>
    </row>
    <row r="265" spans="1:61" ht="11.25" customHeight="1">
      <c r="I265" t="str">
        <f>Model!I280</f>
        <v>Prior period cash</v>
      </c>
      <c r="M265">
        <f>Model!M280</f>
        <v>0</v>
      </c>
      <c r="N265">
        <f>Model!N280</f>
        <v>0</v>
      </c>
      <c r="O265">
        <f>Model!O280</f>
        <v>0</v>
      </c>
      <c r="P265">
        <f>Model!P280</f>
        <v>0</v>
      </c>
      <c r="Q265">
        <f>Model!Q280</f>
        <v>27.290000000000003</v>
      </c>
      <c r="R265">
        <f>Model!R280</f>
        <v>26.765000000000001</v>
      </c>
      <c r="S265">
        <f>Model!S280</f>
        <v>25.143000000000001</v>
      </c>
      <c r="T265">
        <f>Model!T280</f>
        <v>23.709</v>
      </c>
      <c r="U265">
        <f>Model!U280</f>
        <v>22.100999999999999</v>
      </c>
      <c r="V265">
        <f>Model!V280</f>
        <v>132.23400000000001</v>
      </c>
      <c r="W265">
        <f>Model!W280</f>
        <v>128.97499999999999</v>
      </c>
      <c r="X265">
        <f>Model!X280</f>
        <v>129.51300000000001</v>
      </c>
      <c r="Y265">
        <f>Model!Y280</f>
        <v>101.52399999999999</v>
      </c>
      <c r="Z265">
        <f>Model!Z280</f>
        <v>100.83</v>
      </c>
      <c r="AA265">
        <f>Model!AA280</f>
        <v>104.89699999999999</v>
      </c>
      <c r="AB265">
        <f>Model!AB280</f>
        <v>109.38199999999998</v>
      </c>
      <c r="AC265">
        <f>Model!AC280</f>
        <v>393.01099999999997</v>
      </c>
      <c r="AD265">
        <f>Model!AD280</f>
        <v>402.97499999999991</v>
      </c>
      <c r="AE265">
        <f>Model!AE280</f>
        <v>294.07</v>
      </c>
      <c r="AF265">
        <f>Model!AF280</f>
        <v>303.55299999999994</v>
      </c>
      <c r="AG265">
        <f>Model!AG280</f>
        <v>383.75299999999999</v>
      </c>
      <c r="AH265">
        <f>Model!AH280</f>
        <v>349.13100000000003</v>
      </c>
      <c r="AI265">
        <f>Model!AI280</f>
        <v>384.41800000000006</v>
      </c>
      <c r="AJ265">
        <f>Model!AJ280</f>
        <v>385.19200000000006</v>
      </c>
      <c r="AL265">
        <f>Model!BG280</f>
        <v>0</v>
      </c>
      <c r="AM265">
        <f>Model!BH280</f>
        <v>0</v>
      </c>
      <c r="AN265">
        <f>Model!BI280</f>
        <v>0</v>
      </c>
      <c r="AO265">
        <f>Model!BJ280</f>
        <v>0</v>
      </c>
      <c r="AP265">
        <f>Model!BK280</f>
        <v>15.29</v>
      </c>
      <c r="AQ265">
        <f>Model!BL280</f>
        <v>27.290000000000003</v>
      </c>
      <c r="AR265">
        <f>Model!BM280</f>
        <v>22.100999999999999</v>
      </c>
      <c r="AS265">
        <f>Model!BN280</f>
        <v>101.52399999999999</v>
      </c>
      <c r="AT265">
        <f>Model!BO280</f>
        <v>393.01099999999997</v>
      </c>
      <c r="AU265">
        <f>Model!BP280</f>
        <v>383.75299999999999</v>
      </c>
      <c r="AV265">
        <f>Model!BQ280</f>
        <v>387.3130000000001</v>
      </c>
      <c r="AW265">
        <f>Model!BR280</f>
        <v>496.85000000000014</v>
      </c>
      <c r="AX265">
        <f>Model!BS280</f>
        <v>839.7700000000001</v>
      </c>
      <c r="AY265">
        <f>Model!BT280</f>
        <v>988.91721202096483</v>
      </c>
      <c r="AZ265">
        <f>Model!BU280</f>
        <v>1159.358228950106</v>
      </c>
    </row>
    <row r="266" spans="1:61" ht="11.25" customHeight="1">
      <c r="I266" t="str">
        <f>Model!I281</f>
        <v>Interest income</v>
      </c>
      <c r="M266">
        <f>Model!M281</f>
        <v>0</v>
      </c>
      <c r="N266">
        <f>Model!N281</f>
        <v>0</v>
      </c>
      <c r="O266">
        <f>Model!O281</f>
        <v>0</v>
      </c>
      <c r="P266">
        <f>Model!P281</f>
        <v>0</v>
      </c>
      <c r="Q266">
        <f>Model!Q281</f>
        <v>5.0000000000000001E-3</v>
      </c>
      <c r="R266">
        <f>Model!R281</f>
        <v>2E-3</v>
      </c>
      <c r="S266">
        <f>Model!S281</f>
        <v>2E-3</v>
      </c>
      <c r="T266">
        <f>Model!T281</f>
        <v>3.9999999999999992E-3</v>
      </c>
      <c r="U266">
        <f>Model!U281</f>
        <v>4.9999999999999992E-3</v>
      </c>
      <c r="V266">
        <f>Model!V281</f>
        <v>1.2999999999999999E-2</v>
      </c>
      <c r="W266">
        <f>Model!W281</f>
        <v>1.6E-2</v>
      </c>
      <c r="X266">
        <f>Model!X281</f>
        <v>1.7000000000000001E-2</v>
      </c>
      <c r="Y266">
        <f>Model!Y281</f>
        <v>4.9999999999999958E-3</v>
      </c>
      <c r="Z266">
        <f>Model!Z281</f>
        <v>1.4E-2</v>
      </c>
      <c r="AA266">
        <f>Model!AA281</f>
        <v>3.1E-2</v>
      </c>
      <c r="AB266">
        <f>Model!AB281</f>
        <v>1.2000000000000005E-2</v>
      </c>
      <c r="AC266">
        <f>Model!AC281</f>
        <v>3.4000000000000002E-2</v>
      </c>
      <c r="AD266">
        <f>Model!AD281</f>
        <v>0.20200000000000001</v>
      </c>
      <c r="AE266">
        <f>Model!AE281</f>
        <v>0.222</v>
      </c>
      <c r="AF266">
        <f>Model!AF281</f>
        <v>0.26900000000000002</v>
      </c>
      <c r="AG266">
        <f>Model!AG281</f>
        <v>0.3</v>
      </c>
      <c r="AH266">
        <f>Model!AH281</f>
        <v>0.26981212926206166</v>
      </c>
      <c r="AI266">
        <f>Model!AI281</f>
        <v>0.29516870923067068</v>
      </c>
      <c r="AJ266">
        <f>Model!AJ281</f>
        <v>0.29672173159290205</v>
      </c>
      <c r="AL266">
        <f>Model!BG281</f>
        <v>0</v>
      </c>
      <c r="AM266">
        <f>Model!BH281</f>
        <v>0</v>
      </c>
      <c r="AN266">
        <f>Model!BI281</f>
        <v>0</v>
      </c>
      <c r="AO266">
        <f>Model!BJ281</f>
        <v>0.02</v>
      </c>
      <c r="AP266">
        <f>Model!BK281</f>
        <v>0.03</v>
      </c>
      <c r="AQ266">
        <f>Model!BL281</f>
        <v>1.3000000000000001E-2</v>
      </c>
      <c r="AR266">
        <f>Model!BM281</f>
        <v>5.1000000000000004E-2</v>
      </c>
      <c r="AS266">
        <f>Model!BN281</f>
        <v>6.2E-2</v>
      </c>
      <c r="AT266">
        <f>Model!BO281</f>
        <v>0.72700000000000009</v>
      </c>
      <c r="AU266">
        <f>Model!BP281</f>
        <v>1.1617025700856345</v>
      </c>
      <c r="AV266">
        <f>Model!BQ281</f>
        <v>1.2657838374408741</v>
      </c>
      <c r="AW266">
        <f>Model!BR281</f>
        <v>1.6213948067604393</v>
      </c>
      <c r="AX266">
        <f>Model!BS281</f>
        <v>2.6852362229146274</v>
      </c>
      <c r="AY266">
        <f>Model!BT281</f>
        <v>3.1906587520097749</v>
      </c>
      <c r="AZ266">
        <f>Model!BU281</f>
        <v>3.7223443129358409</v>
      </c>
    </row>
    <row r="267" spans="1:61" ht="11.25" customHeight="1">
      <c r="I267" t="str">
        <f>Model!I282</f>
        <v>Implied annualized interest rate</v>
      </c>
      <c r="M267">
        <f>Model!M282</f>
        <v>0</v>
      </c>
      <c r="N267">
        <f>Model!N282</f>
        <v>0</v>
      </c>
      <c r="O267">
        <f>Model!O282</f>
        <v>0</v>
      </c>
      <c r="P267">
        <f>Model!P282</f>
        <v>0</v>
      </c>
      <c r="Q267">
        <f>Model!Q282</f>
        <v>7.3998705022662093E-4</v>
      </c>
      <c r="R267">
        <f>Model!R282</f>
        <v>3.0823765122909761E-4</v>
      </c>
      <c r="S267">
        <f>Model!S282</f>
        <v>3.2751985589126337E-4</v>
      </c>
      <c r="T267">
        <f>Model!T282</f>
        <v>6.9853743724077695E-4</v>
      </c>
      <c r="U267">
        <f>Model!U282</f>
        <v>2.5917646677681659E-4</v>
      </c>
      <c r="V267">
        <f>Model!V282</f>
        <v>3.9814860896829742E-4</v>
      </c>
      <c r="W267">
        <f>Model!W282</f>
        <v>4.951873974807341E-4</v>
      </c>
      <c r="X267">
        <f>Model!X282</f>
        <v>5.8865030276535806E-4</v>
      </c>
      <c r="Y267">
        <f>Model!Y282</f>
        <v>1.976733842671752E-4</v>
      </c>
      <c r="Z267">
        <f>Model!Z282</f>
        <v>5.444107968326958E-4</v>
      </c>
      <c r="AA267">
        <f>Model!AA282</f>
        <v>1.1573695975807244E-3</v>
      </c>
      <c r="AB267">
        <f>Model!AB282</f>
        <v>1.9108546496467916E-4</v>
      </c>
      <c r="AC267">
        <f>Model!AC282</f>
        <v>3.4171455276851609E-4</v>
      </c>
      <c r="AD267">
        <f>Model!AD282</f>
        <v>2.3183582121670773E-3</v>
      </c>
      <c r="AE267">
        <f>Model!AE282</f>
        <v>2.9717731747272115E-3</v>
      </c>
      <c r="AF267">
        <f>Model!AF282</f>
        <v>3.1310653478945336E-3</v>
      </c>
      <c r="AG267">
        <f>Model!AG282</f>
        <v>3.0514192613108728E-3</v>
      </c>
      <c r="AH267">
        <f>Model!AH282</f>
        <v>3.0912423046027034E-3</v>
      </c>
      <c r="AI267">
        <f>Model!AI282</f>
        <v>3.0713307829567881E-3</v>
      </c>
      <c r="AJ267">
        <f>Model!AJ282</f>
        <v>3.081286543779746E-3</v>
      </c>
      <c r="AL267">
        <f>Model!BG282</f>
        <v>0</v>
      </c>
      <c r="AM267">
        <f>Model!BH282</f>
        <v>0</v>
      </c>
      <c r="AN267">
        <f>Model!BI282</f>
        <v>0</v>
      </c>
      <c r="AO267">
        <f>Model!BJ282</f>
        <v>2.616088947024199E-3</v>
      </c>
      <c r="AP267">
        <f>Model!BK282</f>
        <v>1.4091122592766556E-3</v>
      </c>
      <c r="AQ267">
        <f>Model!BL282</f>
        <v>5.2641169443825794E-4</v>
      </c>
      <c r="AR267">
        <f>Model!BM282</f>
        <v>8.2507583417593545E-4</v>
      </c>
      <c r="AS267">
        <f>Model!BN282</f>
        <v>2.507405947000718E-4</v>
      </c>
      <c r="AT267">
        <f>Model!BO282</f>
        <v>1.8718684182068175E-3</v>
      </c>
      <c r="AU267">
        <f>Model!BP282</f>
        <v>3.0132376997186608E-3</v>
      </c>
      <c r="AV267">
        <f>Model!BQ282</f>
        <v>2.8632363884054722E-3</v>
      </c>
      <c r="AW267">
        <f>Model!BR282</f>
        <v>2.4261118444441035E-3</v>
      </c>
      <c r="AX267">
        <f>Model!BS282</f>
        <v>2.9367911639159453E-3</v>
      </c>
      <c r="AY267">
        <f>Model!BT282</f>
        <v>2.9704373016222938E-3</v>
      </c>
      <c r="AZ267">
        <f>Model!BU282</f>
        <v>2.9516330586659145E-3</v>
      </c>
    </row>
    <row r="268" spans="1:61" ht="11.25" customHeight="1">
      <c r="I268">
        <f>Model!I283</f>
        <v>0</v>
      </c>
      <c r="M268">
        <f>Model!M283</f>
        <v>0</v>
      </c>
      <c r="N268">
        <f>Model!N283</f>
        <v>0</v>
      </c>
      <c r="O268">
        <f>Model!O283</f>
        <v>0</v>
      </c>
      <c r="P268">
        <f>Model!P283</f>
        <v>0</v>
      </c>
      <c r="Q268">
        <f>Model!Q283</f>
        <v>0</v>
      </c>
      <c r="R268">
        <f>Model!R283</f>
        <v>0</v>
      </c>
      <c r="S268">
        <f>Model!S283</f>
        <v>0</v>
      </c>
      <c r="T268">
        <f>Model!T283</f>
        <v>0</v>
      </c>
      <c r="U268">
        <f>Model!U283</f>
        <v>0</v>
      </c>
      <c r="V268">
        <f>Model!V283</f>
        <v>0</v>
      </c>
      <c r="W268">
        <f>Model!W283</f>
        <v>0</v>
      </c>
      <c r="X268">
        <f>Model!X283</f>
        <v>0</v>
      </c>
      <c r="Y268">
        <f>Model!Y283</f>
        <v>0</v>
      </c>
      <c r="Z268">
        <f>Model!Z283</f>
        <v>0</v>
      </c>
      <c r="AA268">
        <f>Model!AA283</f>
        <v>0</v>
      </c>
      <c r="AB268">
        <f>Model!AB283</f>
        <v>0</v>
      </c>
      <c r="AC268">
        <f>Model!AC283</f>
        <v>0</v>
      </c>
      <c r="AD268">
        <f>Model!AD283</f>
        <v>0</v>
      </c>
      <c r="AE268">
        <f>Model!AE283</f>
        <v>0</v>
      </c>
      <c r="AF268">
        <f>Model!AF283</f>
        <v>0</v>
      </c>
      <c r="AG268">
        <f>Model!AG283</f>
        <v>0</v>
      </c>
      <c r="AH268">
        <f>Model!AH283</f>
        <v>0</v>
      </c>
      <c r="AI268">
        <f>Model!AI283</f>
        <v>0</v>
      </c>
      <c r="AJ268">
        <f>Model!AJ283</f>
        <v>0</v>
      </c>
      <c r="AL268">
        <f>Model!BG283</f>
        <v>0</v>
      </c>
      <c r="AM268">
        <f>Model!BH283</f>
        <v>0</v>
      </c>
      <c r="AN268">
        <f>Model!BI283</f>
        <v>0</v>
      </c>
      <c r="AO268">
        <f>Model!BJ283</f>
        <v>0</v>
      </c>
      <c r="AP268">
        <f>Model!BK283</f>
        <v>0</v>
      </c>
      <c r="AQ268">
        <f>Model!BL283</f>
        <v>0</v>
      </c>
      <c r="AR268">
        <f>Model!BM283</f>
        <v>0</v>
      </c>
      <c r="AS268">
        <f>Model!BN283</f>
        <v>0</v>
      </c>
      <c r="AT268">
        <f>Model!BO283</f>
        <v>0</v>
      </c>
      <c r="AU268">
        <f>Model!BP283</f>
        <v>0</v>
      </c>
      <c r="AV268">
        <f>Model!BQ283</f>
        <v>0</v>
      </c>
      <c r="AW268">
        <f>Model!BR283</f>
        <v>0</v>
      </c>
      <c r="AX268">
        <f>Model!BS283</f>
        <v>0</v>
      </c>
      <c r="AY268">
        <f>Model!BT283</f>
        <v>0</v>
      </c>
      <c r="AZ268">
        <f>Model!BU283</f>
        <v>0</v>
      </c>
    </row>
    <row r="269" spans="1:61" ht="11.25" customHeight="1">
      <c r="I269">
        <f>Model!I284</f>
        <v>0</v>
      </c>
      <c r="M269">
        <f>Model!M284</f>
        <v>0</v>
      </c>
      <c r="N269">
        <f>Model!N284</f>
        <v>0</v>
      </c>
      <c r="O269">
        <f>Model!O284</f>
        <v>0</v>
      </c>
      <c r="P269">
        <f>Model!P284</f>
        <v>0</v>
      </c>
      <c r="Q269">
        <f>Model!Q284</f>
        <v>0</v>
      </c>
      <c r="R269">
        <f>Model!R284</f>
        <v>0</v>
      </c>
      <c r="S269">
        <f>Model!S284</f>
        <v>0</v>
      </c>
      <c r="T269">
        <f>Model!T284</f>
        <v>0</v>
      </c>
      <c r="U269">
        <f>Model!U284</f>
        <v>0</v>
      </c>
      <c r="V269">
        <f>Model!V284</f>
        <v>0</v>
      </c>
      <c r="W269">
        <f>Model!W284</f>
        <v>0</v>
      </c>
      <c r="X269">
        <f>Model!X284</f>
        <v>0</v>
      </c>
      <c r="Y269">
        <f>Model!Y284</f>
        <v>0</v>
      </c>
      <c r="Z269">
        <f>Model!Z284</f>
        <v>0</v>
      </c>
      <c r="AA269">
        <f>Model!AA284</f>
        <v>0</v>
      </c>
      <c r="AB269">
        <f>Model!AB284</f>
        <v>0</v>
      </c>
      <c r="AC269">
        <f>Model!AC284</f>
        <v>0</v>
      </c>
      <c r="AD269">
        <f>Model!AD284</f>
        <v>0</v>
      </c>
      <c r="AE269">
        <f>Model!AE284</f>
        <v>0</v>
      </c>
      <c r="AF269">
        <f>Model!AF284</f>
        <v>0</v>
      </c>
      <c r="AG269">
        <f>Model!AG284</f>
        <v>0</v>
      </c>
      <c r="AH269">
        <f>Model!AH284</f>
        <v>0</v>
      </c>
      <c r="AI269">
        <f>Model!AI284</f>
        <v>0</v>
      </c>
      <c r="AJ269">
        <f>Model!AJ284</f>
        <v>0</v>
      </c>
      <c r="AL269">
        <f>Model!BG284</f>
        <v>0</v>
      </c>
      <c r="AM269">
        <f>Model!BH284</f>
        <v>0</v>
      </c>
      <c r="AN269">
        <f>Model!BI284</f>
        <v>0</v>
      </c>
      <c r="AO269">
        <f>Model!BJ284</f>
        <v>0</v>
      </c>
      <c r="AP269">
        <f>Model!BK284</f>
        <v>0</v>
      </c>
      <c r="AQ269">
        <f>Model!BL284</f>
        <v>0</v>
      </c>
      <c r="AR269">
        <f>Model!BM284</f>
        <v>0</v>
      </c>
      <c r="AS269">
        <f>Model!BN284</f>
        <v>0</v>
      </c>
      <c r="AT269">
        <f>Model!BO284</f>
        <v>0</v>
      </c>
      <c r="AU269">
        <f>Model!BP284</f>
        <v>0</v>
      </c>
      <c r="AV269">
        <f>Model!BQ284</f>
        <v>0</v>
      </c>
      <c r="AW269">
        <f>Model!BR284</f>
        <v>0</v>
      </c>
      <c r="AX269">
        <f>Model!BS284</f>
        <v>0</v>
      </c>
      <c r="AY269">
        <f>Model!BT284</f>
        <v>0</v>
      </c>
      <c r="AZ269">
        <f>Model!BU284</f>
        <v>0</v>
      </c>
    </row>
    <row r="271" spans="1:61" ht="11.25" customHeight="1">
      <c r="A271" s="36"/>
      <c r="H271" s="1" t="s">
        <v>434</v>
      </c>
      <c r="I271" s="452" t="s">
        <v>435</v>
      </c>
      <c r="J271" s="453"/>
      <c r="K271" s="453"/>
      <c r="L271" s="453"/>
      <c r="M271" s="453"/>
      <c r="N271" s="453"/>
      <c r="O271" s="453"/>
      <c r="P271" s="454"/>
      <c r="Q271" s="453"/>
      <c r="R271" s="453"/>
      <c r="S271" s="453"/>
      <c r="T271" s="453"/>
      <c r="U271" s="452"/>
      <c r="V271" s="453"/>
      <c r="W271" s="453"/>
      <c r="X271" s="454"/>
      <c r="Y271" s="452"/>
      <c r="Z271" s="453"/>
      <c r="AA271" s="453"/>
      <c r="AB271" s="454"/>
      <c r="AC271" s="452"/>
      <c r="AD271" s="453"/>
      <c r="AE271" s="453"/>
      <c r="AF271" s="454"/>
      <c r="AG271" s="452"/>
      <c r="AH271" s="453"/>
      <c r="AI271" s="453"/>
      <c r="AJ271" s="454"/>
      <c r="AK271" s="36"/>
      <c r="AL271" s="726"/>
      <c r="AM271" s="392"/>
      <c r="AN271" s="392"/>
      <c r="AO271" s="392"/>
      <c r="AP271" s="392"/>
      <c r="AQ271" s="393"/>
      <c r="AR271" s="392"/>
      <c r="AS271" s="726"/>
      <c r="AT271" s="392"/>
      <c r="AU271" s="392"/>
      <c r="AV271" s="392"/>
      <c r="AW271" s="392"/>
      <c r="AX271" s="392"/>
      <c r="AY271" s="392"/>
      <c r="AZ271" s="727"/>
      <c r="BA271" s="36"/>
      <c r="BB271" s="36"/>
      <c r="BC271" s="36"/>
      <c r="BD271" s="36"/>
      <c r="BE271" s="36"/>
      <c r="BF271" s="36"/>
      <c r="BG271" s="36"/>
      <c r="BH271" s="36"/>
      <c r="BI271" s="36"/>
    </row>
    <row r="273" spans="9:52" ht="11.25" customHeight="1">
      <c r="I273" t="str">
        <f>'Revenue drivers'!I10</f>
        <v>REVENUE SUMMARY</v>
      </c>
      <c r="M273">
        <f>'Revenue drivers'!M10</f>
        <v>0</v>
      </c>
      <c r="N273">
        <f>'Revenue drivers'!N10</f>
        <v>0</v>
      </c>
      <c r="O273">
        <f>'Revenue drivers'!O10</f>
        <v>0</v>
      </c>
      <c r="P273">
        <f>'Revenue drivers'!P10</f>
        <v>0</v>
      </c>
      <c r="Q273">
        <f>'Revenue drivers'!Q10</f>
        <v>0</v>
      </c>
      <c r="R273">
        <f>'Revenue drivers'!R10</f>
        <v>0</v>
      </c>
      <c r="S273">
        <f>'Revenue drivers'!S10</f>
        <v>0</v>
      </c>
      <c r="T273">
        <f>'Revenue drivers'!T10</f>
        <v>0</v>
      </c>
      <c r="U273">
        <f>'Revenue drivers'!U10</f>
        <v>0</v>
      </c>
      <c r="V273">
        <f>'Revenue drivers'!V10</f>
        <v>0</v>
      </c>
      <c r="W273">
        <f>'Revenue drivers'!W10</f>
        <v>0</v>
      </c>
      <c r="X273">
        <f>'Revenue drivers'!X10</f>
        <v>0</v>
      </c>
      <c r="Y273">
        <f>'Revenue drivers'!Y10</f>
        <v>0</v>
      </c>
      <c r="Z273">
        <f>'Revenue drivers'!Z10</f>
        <v>0</v>
      </c>
      <c r="AA273">
        <f>'Revenue drivers'!AA10</f>
        <v>0</v>
      </c>
      <c r="AB273">
        <f>'Revenue drivers'!AB10</f>
        <v>0</v>
      </c>
      <c r="AC273">
        <f>'Revenue drivers'!AC10</f>
        <v>0</v>
      </c>
      <c r="AD273">
        <f>'Revenue drivers'!AD10</f>
        <v>0</v>
      </c>
      <c r="AE273">
        <f>'Revenue drivers'!AE10</f>
        <v>0</v>
      </c>
      <c r="AF273">
        <f>'Revenue drivers'!AF10</f>
        <v>0</v>
      </c>
      <c r="AG273">
        <f>'Revenue drivers'!AG10</f>
        <v>0</v>
      </c>
      <c r="AH273">
        <f>'Revenue drivers'!AH10</f>
        <v>0</v>
      </c>
      <c r="AI273">
        <f>'Revenue drivers'!AI10</f>
        <v>0</v>
      </c>
      <c r="AJ273">
        <f>'Revenue drivers'!AJ10</f>
        <v>0</v>
      </c>
      <c r="AL273">
        <f>'Revenue drivers'!BF10</f>
        <v>0</v>
      </c>
      <c r="AM273">
        <f>'Revenue drivers'!BG10</f>
        <v>0</v>
      </c>
      <c r="AN273">
        <f>'Revenue drivers'!BH10</f>
        <v>0</v>
      </c>
      <c r="AO273">
        <f>'Revenue drivers'!BI10</f>
        <v>0</v>
      </c>
      <c r="AP273">
        <f>'Revenue drivers'!BJ10</f>
        <v>0</v>
      </c>
      <c r="AQ273">
        <f>'Revenue drivers'!BK10</f>
        <v>0</v>
      </c>
      <c r="AR273">
        <f>'Revenue drivers'!BL10</f>
        <v>0</v>
      </c>
      <c r="AS273">
        <f>'Revenue drivers'!BM10</f>
        <v>0</v>
      </c>
      <c r="AT273">
        <f>'Revenue drivers'!BN10</f>
        <v>0</v>
      </c>
      <c r="AU273">
        <f>'Revenue drivers'!BO10</f>
        <v>0</v>
      </c>
      <c r="AV273">
        <f>'Revenue drivers'!BP10</f>
        <v>0</v>
      </c>
      <c r="AW273">
        <f>'Revenue drivers'!BQ10</f>
        <v>0</v>
      </c>
      <c r="AX273">
        <f>'Revenue drivers'!BR10</f>
        <v>0</v>
      </c>
      <c r="AY273">
        <f>'Revenue drivers'!BS10</f>
        <v>0</v>
      </c>
      <c r="AZ273">
        <f>'Revenue drivers'!BT10</f>
        <v>0</v>
      </c>
    </row>
    <row r="274" spans="9:52" ht="11.25" customHeight="1">
      <c r="I274">
        <f>'Revenue drivers'!I11</f>
        <v>0</v>
      </c>
      <c r="M274">
        <f>'Revenue drivers'!M11</f>
        <v>0</v>
      </c>
      <c r="N274">
        <f>'Revenue drivers'!N11</f>
        <v>0</v>
      </c>
      <c r="O274">
        <f>'Revenue drivers'!O11</f>
        <v>0</v>
      </c>
      <c r="P274">
        <f>'Revenue drivers'!P11</f>
        <v>0</v>
      </c>
      <c r="Q274">
        <f>'Revenue drivers'!Q11</f>
        <v>0</v>
      </c>
      <c r="R274">
        <f>'Revenue drivers'!R11</f>
        <v>0</v>
      </c>
      <c r="S274">
        <f>'Revenue drivers'!S11</f>
        <v>0</v>
      </c>
      <c r="T274">
        <f>'Revenue drivers'!T11</f>
        <v>0</v>
      </c>
      <c r="U274">
        <f>'Revenue drivers'!U11</f>
        <v>0</v>
      </c>
      <c r="V274">
        <f>'Revenue drivers'!V11</f>
        <v>0</v>
      </c>
      <c r="W274">
        <f>'Revenue drivers'!W11</f>
        <v>0</v>
      </c>
      <c r="X274">
        <f>'Revenue drivers'!X11</f>
        <v>0</v>
      </c>
      <c r="Y274">
        <f>'Revenue drivers'!Y11</f>
        <v>0</v>
      </c>
      <c r="Z274">
        <f>'Revenue drivers'!Z11</f>
        <v>0</v>
      </c>
      <c r="AA274">
        <f>'Revenue drivers'!AA11</f>
        <v>0</v>
      </c>
      <c r="AB274">
        <f>'Revenue drivers'!AB11</f>
        <v>0</v>
      </c>
      <c r="AC274">
        <f>'Revenue drivers'!AC11</f>
        <v>0</v>
      </c>
      <c r="AD274">
        <f>'Revenue drivers'!AD11</f>
        <v>0</v>
      </c>
      <c r="AE274">
        <f>'Revenue drivers'!AE11</f>
        <v>0</v>
      </c>
      <c r="AF274">
        <f>'Revenue drivers'!AF11</f>
        <v>0</v>
      </c>
      <c r="AG274">
        <f>'Revenue drivers'!AG11</f>
        <v>0</v>
      </c>
      <c r="AH274">
        <f>'Revenue drivers'!AH11</f>
        <v>0</v>
      </c>
      <c r="AI274">
        <f>'Revenue drivers'!AI11</f>
        <v>0</v>
      </c>
      <c r="AJ274">
        <f>'Revenue drivers'!AJ11</f>
        <v>0</v>
      </c>
      <c r="AL274">
        <f>'Revenue drivers'!BF11</f>
        <v>0</v>
      </c>
      <c r="AM274">
        <f>'Revenue drivers'!BG11</f>
        <v>0</v>
      </c>
      <c r="AN274">
        <f>'Revenue drivers'!BH11</f>
        <v>0</v>
      </c>
      <c r="AO274">
        <f>'Revenue drivers'!BI11</f>
        <v>0</v>
      </c>
      <c r="AP274">
        <f>'Revenue drivers'!BJ11</f>
        <v>0</v>
      </c>
      <c r="AQ274">
        <f>'Revenue drivers'!BK11</f>
        <v>0</v>
      </c>
      <c r="AR274">
        <f>'Revenue drivers'!BL11</f>
        <v>0</v>
      </c>
      <c r="AS274">
        <f>'Revenue drivers'!BM11</f>
        <v>0</v>
      </c>
      <c r="AT274">
        <f>'Revenue drivers'!BN11</f>
        <v>0</v>
      </c>
      <c r="AU274">
        <f>'Revenue drivers'!BO11</f>
        <v>0</v>
      </c>
      <c r="AV274">
        <f>'Revenue drivers'!BP11</f>
        <v>0</v>
      </c>
      <c r="AW274">
        <f>'Revenue drivers'!BQ11</f>
        <v>0</v>
      </c>
      <c r="AX274">
        <f>'Revenue drivers'!BR11</f>
        <v>0</v>
      </c>
      <c r="AY274">
        <f>'Revenue drivers'!BS11</f>
        <v>0</v>
      </c>
      <c r="AZ274">
        <f>'Revenue drivers'!BT11</f>
        <v>0</v>
      </c>
    </row>
    <row r="275" spans="9:52" ht="11.25" customHeight="1">
      <c r="I275" t="str">
        <f>'Revenue drivers'!I12</f>
        <v>Total revenue</v>
      </c>
      <c r="M275">
        <f>'Revenue drivers'!M12</f>
        <v>9.1359999999999992</v>
      </c>
      <c r="N275">
        <f>'Revenue drivers'!N12</f>
        <v>10.726999999999999</v>
      </c>
      <c r="O275">
        <f>'Revenue drivers'!O12</f>
        <v>12.594000000000001</v>
      </c>
      <c r="P275">
        <f>'Revenue drivers'!P12</f>
        <v>15.274000000000001</v>
      </c>
      <c r="Q275">
        <f>'Revenue drivers'!Q12</f>
        <v>16.5</v>
      </c>
      <c r="R275">
        <f>'Revenue drivers'!R12</f>
        <v>19.577999999999999</v>
      </c>
      <c r="S275">
        <f>'Revenue drivers'!S12</f>
        <v>22.302</v>
      </c>
      <c r="T275">
        <f>'Revenue drivers'!T12</f>
        <v>24.905000000000001</v>
      </c>
      <c r="U275">
        <f>'Revenue drivers'!U12</f>
        <v>27.384999999999998</v>
      </c>
      <c r="V275">
        <f>'Revenue drivers'!V12</f>
        <v>32.652999999999999</v>
      </c>
      <c r="W275">
        <f>'Revenue drivers'!W12</f>
        <v>36.371000000000002</v>
      </c>
      <c r="X275">
        <f>'Revenue drivers'!X12</f>
        <v>41.156999999999996</v>
      </c>
      <c r="Y275">
        <f>'Revenue drivers'!Y12</f>
        <v>46.133000000000003</v>
      </c>
      <c r="Z275">
        <f>'Revenue drivers'!Z12</f>
        <v>55.023000000000003</v>
      </c>
      <c r="AA275">
        <f>'Revenue drivers'!AA12</f>
        <v>61.180999999999997</v>
      </c>
      <c r="AB275">
        <f>'Revenue drivers'!AB12</f>
        <v>70.650999999999996</v>
      </c>
      <c r="AC275">
        <f>'Revenue drivers'!AC12</f>
        <v>76.406999999999996</v>
      </c>
      <c r="AD275">
        <f>'Revenue drivers'!AD12</f>
        <v>88.787000000000006</v>
      </c>
      <c r="AE275">
        <f>'Revenue drivers'!AE12</f>
        <v>102.455</v>
      </c>
      <c r="AF275">
        <f>'Revenue drivers'!AF12</f>
        <v>109.887</v>
      </c>
      <c r="AG275">
        <f>'Revenue drivers'!AG12</f>
        <v>111.8</v>
      </c>
      <c r="AH275">
        <f>'Revenue drivers'!AH12</f>
        <v>125.6</v>
      </c>
      <c r="AI275">
        <f>'Revenue drivers'!AI12</f>
        <v>134.6</v>
      </c>
      <c r="AJ275">
        <f>'Revenue drivers'!AJ12</f>
        <v>146.69999999999999</v>
      </c>
      <c r="AL275">
        <f>'Revenue drivers'!BF12</f>
        <v>0.443</v>
      </c>
      <c r="AM275">
        <f>'Revenue drivers'!BG12</f>
        <v>3.7450000000000001</v>
      </c>
      <c r="AN275">
        <f>'Revenue drivers'!BH12</f>
        <v>12.139000000000001</v>
      </c>
      <c r="AO275">
        <f>'Revenue drivers'!BI12</f>
        <v>25.808000000000003</v>
      </c>
      <c r="AP275">
        <f>'Revenue drivers'!BJ12</f>
        <v>47.731000000000002</v>
      </c>
      <c r="AQ275">
        <f>'Revenue drivers'!BK12</f>
        <v>83.284999999999997</v>
      </c>
      <c r="AR275">
        <f>'Revenue drivers'!BL12</f>
        <v>137.56599999999997</v>
      </c>
      <c r="AS275">
        <f>'Revenue drivers'!BM12</f>
        <v>232.988</v>
      </c>
      <c r="AT275">
        <f>'Revenue drivers'!BN12</f>
        <v>377.536</v>
      </c>
      <c r="AU275">
        <f>'Revenue drivers'!BO12</f>
        <v>518.70000000000005</v>
      </c>
      <c r="AV275">
        <f>'Revenue drivers'!BP12</f>
        <v>713.06899999999996</v>
      </c>
      <c r="AW275">
        <f>'Revenue drivers'!BQ12</f>
        <v>846.81299999999999</v>
      </c>
      <c r="AX275">
        <f>'Revenue drivers'!BR12</f>
        <v>960</v>
      </c>
      <c r="AY275">
        <f>'Revenue drivers'!BS12</f>
        <v>1116.4000000000001</v>
      </c>
      <c r="AZ275">
        <f>'Revenue drivers'!BT12</f>
        <v>1260.5999999999999</v>
      </c>
    </row>
    <row r="276" spans="9:52" ht="11.25" customHeight="1">
      <c r="I276" t="str">
        <f>'Revenue drivers'!I15</f>
        <v>% change Y/Y</v>
      </c>
      <c r="M276">
        <f>'Revenue drivers'!M15</f>
        <v>0</v>
      </c>
      <c r="N276" t="str">
        <f>'Revenue drivers'!N15</f>
        <v>NA</v>
      </c>
      <c r="O276" t="str">
        <f>'Revenue drivers'!O15</f>
        <v>NA</v>
      </c>
      <c r="P276" t="str">
        <f>'Revenue drivers'!P15</f>
        <v>NA</v>
      </c>
      <c r="Q276">
        <f>'Revenue drivers'!Q15</f>
        <v>0.80604203152364295</v>
      </c>
      <c r="R276">
        <f>'Revenue drivers'!R15</f>
        <v>0.82511419781858875</v>
      </c>
      <c r="S276">
        <f>'Revenue drivers'!S15</f>
        <v>0.77084325869461634</v>
      </c>
      <c r="T276">
        <f>'Revenue drivers'!T15</f>
        <v>0.6305486447557942</v>
      </c>
      <c r="U276">
        <f>'Revenue drivers'!U15</f>
        <v>0.65969696969696967</v>
      </c>
      <c r="V276">
        <f>'Revenue drivers'!V15</f>
        <v>0.66784145469404432</v>
      </c>
      <c r="W276">
        <f>'Revenue drivers'!W15</f>
        <v>0.6308402833826563</v>
      </c>
      <c r="X276">
        <f>'Revenue drivers'!X15</f>
        <v>0.65255972696245723</v>
      </c>
      <c r="Y276">
        <f>'Revenue drivers'!Y15</f>
        <v>0.68460836224210353</v>
      </c>
      <c r="Z276">
        <f>'Revenue drivers'!Z15</f>
        <v>0.68508253452975243</v>
      </c>
      <c r="AA276">
        <f>'Revenue drivers'!AA15</f>
        <v>0.68213686728437484</v>
      </c>
      <c r="AB276">
        <f>'Revenue drivers'!AB15</f>
        <v>0.71662171684039166</v>
      </c>
      <c r="AC276">
        <f>'Revenue drivers'!AC15</f>
        <v>0.65623306526781255</v>
      </c>
      <c r="AD276">
        <f>'Revenue drivers'!AD15</f>
        <v>0.61363429838431194</v>
      </c>
      <c r="AE276">
        <f>'Revenue drivers'!AE15</f>
        <v>0.67462120592994568</v>
      </c>
      <c r="AF276">
        <f>'Revenue drivers'!AF15</f>
        <v>0.55534953503842832</v>
      </c>
      <c r="AG276">
        <f>'Revenue drivers'!AG15</f>
        <v>0.46321672098106204</v>
      </c>
      <c r="AH276">
        <f>'Revenue drivers'!AH15</f>
        <v>0.41462150990572932</v>
      </c>
      <c r="AI276">
        <f>'Revenue drivers'!AI15</f>
        <v>0.31374749890195686</v>
      </c>
      <c r="AJ276">
        <f>'Revenue drivers'!AJ15</f>
        <v>0.33500778072019433</v>
      </c>
      <c r="AL276">
        <f>'Revenue drivers'!BF15</f>
        <v>0</v>
      </c>
      <c r="AM276">
        <f>'Revenue drivers'!BG15</f>
        <v>7.4537246049661405</v>
      </c>
      <c r="AN276">
        <f>'Revenue drivers'!BH15</f>
        <v>2.2413885180240323</v>
      </c>
      <c r="AO276">
        <f>'Revenue drivers'!BI15</f>
        <v>1.1260400362468079</v>
      </c>
      <c r="AP276">
        <f>'Revenue drivers'!BJ15</f>
        <v>0.84946528208307481</v>
      </c>
      <c r="AQ276">
        <f>'Revenue drivers'!BK15</f>
        <v>0.74488278058284951</v>
      </c>
      <c r="AR276">
        <f>'Revenue drivers'!BL15</f>
        <v>0.65175001500870477</v>
      </c>
      <c r="AS276">
        <f>'Revenue drivers'!BM15</f>
        <v>0.69364523210677098</v>
      </c>
      <c r="AT276">
        <f>'Revenue drivers'!BN15</f>
        <v>0.62040963483097844</v>
      </c>
      <c r="AU276">
        <f>'Revenue drivers'!BO15</f>
        <v>0.37390871334124443</v>
      </c>
      <c r="AV276">
        <f>'Revenue drivers'!BP15</f>
        <v>0.37472334682860975</v>
      </c>
      <c r="AW276">
        <f>'Revenue drivers'!BQ15</f>
        <v>0.1875610915633692</v>
      </c>
      <c r="AX276">
        <f>'Revenue drivers'!BR15</f>
        <v>0.13366233158914653</v>
      </c>
      <c r="AY276">
        <f>'Revenue drivers'!BS15</f>
        <v>0.16291666666666682</v>
      </c>
      <c r="AZ276">
        <f>'Revenue drivers'!BT15</f>
        <v>0.1291651737728412</v>
      </c>
    </row>
    <row r="277" spans="9:52" ht="11.25" customHeight="1">
      <c r="I277" t="str">
        <f>'Revenue drivers'!I16</f>
        <v>% change Q/Q</v>
      </c>
      <c r="M277">
        <f>'Revenue drivers'!M16</f>
        <v>0</v>
      </c>
      <c r="N277">
        <f>'Revenue drivers'!N16</f>
        <v>0.17414623467600698</v>
      </c>
      <c r="O277">
        <f>'Revenue drivers'!O16</f>
        <v>0.17404679779994425</v>
      </c>
      <c r="P277">
        <f>'Revenue drivers'!P16</f>
        <v>0.21279974591075113</v>
      </c>
      <c r="Q277">
        <f>'Revenue drivers'!Q16</f>
        <v>8.0267120597093067E-2</v>
      </c>
      <c r="R277">
        <f>'Revenue drivers'!R16</f>
        <v>0.18654545454545457</v>
      </c>
      <c r="S277">
        <f>'Revenue drivers'!S16</f>
        <v>0.13913576463377253</v>
      </c>
      <c r="T277">
        <f>'Revenue drivers'!T16</f>
        <v>0.11671598959734553</v>
      </c>
      <c r="U277">
        <f>'Revenue drivers'!U16</f>
        <v>9.9578397912065686E-2</v>
      </c>
      <c r="V277">
        <f>'Revenue drivers'!V16</f>
        <v>0.19236808471791123</v>
      </c>
      <c r="W277">
        <f>'Revenue drivers'!W16</f>
        <v>0.11386396349493166</v>
      </c>
      <c r="X277">
        <f>'Revenue drivers'!X16</f>
        <v>0.13158835335844477</v>
      </c>
      <c r="Y277">
        <f>'Revenue drivers'!Y16</f>
        <v>0.12090288407804284</v>
      </c>
      <c r="Z277">
        <f>'Revenue drivers'!Z16</f>
        <v>0.1927037045065354</v>
      </c>
      <c r="AA277">
        <f>'Revenue drivers'!AA16</f>
        <v>0.11191683477818359</v>
      </c>
      <c r="AB277">
        <f>'Revenue drivers'!AB16</f>
        <v>0.1547866167601053</v>
      </c>
      <c r="AC277">
        <f>'Revenue drivers'!AC16</f>
        <v>8.1470892131746186E-2</v>
      </c>
      <c r="AD277">
        <f>'Revenue drivers'!AD16</f>
        <v>0.16202703940738417</v>
      </c>
      <c r="AE277">
        <f>'Revenue drivers'!AE16</f>
        <v>0.15394145539324433</v>
      </c>
      <c r="AF277">
        <f>'Revenue drivers'!AF16</f>
        <v>7.2539163535210616E-2</v>
      </c>
      <c r="AG277">
        <f>'Revenue drivers'!AG16</f>
        <v>1.740879266883244E-2</v>
      </c>
      <c r="AH277">
        <f>'Revenue drivers'!AH16</f>
        <v>0.1234347048300537</v>
      </c>
      <c r="AI277">
        <f>'Revenue drivers'!AI16</f>
        <v>7.1656050955414052E-2</v>
      </c>
      <c r="AJ277">
        <f>'Revenue drivers'!AJ16</f>
        <v>8.9895988112927094E-2</v>
      </c>
      <c r="AL277">
        <f>'Revenue drivers'!BF16</f>
        <v>0</v>
      </c>
      <c r="AM277">
        <f>'Revenue drivers'!BG16</f>
        <v>0</v>
      </c>
      <c r="AN277">
        <f>'Revenue drivers'!BH16</f>
        <v>0</v>
      </c>
      <c r="AO277">
        <f>'Revenue drivers'!BI16</f>
        <v>0</v>
      </c>
      <c r="AP277">
        <f>'Revenue drivers'!BJ16</f>
        <v>0</v>
      </c>
      <c r="AQ277">
        <f>'Revenue drivers'!BK16</f>
        <v>0</v>
      </c>
      <c r="AR277">
        <f>'Revenue drivers'!BL16</f>
        <v>0</v>
      </c>
      <c r="AS277">
        <f>'Revenue drivers'!BM16</f>
        <v>0</v>
      </c>
      <c r="AT277">
        <f>'Revenue drivers'!BN16</f>
        <v>0</v>
      </c>
      <c r="AU277">
        <f>'Revenue drivers'!BO16</f>
        <v>0</v>
      </c>
      <c r="AV277">
        <f>'Revenue drivers'!BP16</f>
        <v>0</v>
      </c>
      <c r="AW277">
        <f>'Revenue drivers'!BQ16</f>
        <v>0</v>
      </c>
      <c r="AX277">
        <f>'Revenue drivers'!BR16</f>
        <v>0</v>
      </c>
      <c r="AY277">
        <f>'Revenue drivers'!BS16</f>
        <v>0</v>
      </c>
      <c r="AZ277">
        <f>'Revenue drivers'!BT16</f>
        <v>0</v>
      </c>
    </row>
    <row r="289" spans="9:52" ht="11.25" customHeight="1">
      <c r="I289">
        <f>'Revenue drivers'!I43</f>
        <v>0</v>
      </c>
      <c r="M289">
        <f>'Revenue drivers'!M43</f>
        <v>0</v>
      </c>
      <c r="N289">
        <f>'Revenue drivers'!N43</f>
        <v>0</v>
      </c>
      <c r="O289">
        <f>'Revenue drivers'!O43</f>
        <v>0</v>
      </c>
      <c r="P289">
        <f>'Revenue drivers'!P43</f>
        <v>0</v>
      </c>
      <c r="Q289">
        <f>'Revenue drivers'!Q43</f>
        <v>0</v>
      </c>
      <c r="R289">
        <f>'Revenue drivers'!R43</f>
        <v>0</v>
      </c>
      <c r="S289">
        <f>'Revenue drivers'!S43</f>
        <v>0</v>
      </c>
      <c r="T289">
        <f>'Revenue drivers'!T43</f>
        <v>0</v>
      </c>
      <c r="U289">
        <f>'Revenue drivers'!U43</f>
        <v>0</v>
      </c>
      <c r="V289">
        <f>'Revenue drivers'!V43</f>
        <v>0</v>
      </c>
      <c r="W289">
        <f>'Revenue drivers'!W43</f>
        <v>0</v>
      </c>
      <c r="X289">
        <f>'Revenue drivers'!X43</f>
        <v>0</v>
      </c>
      <c r="Y289">
        <f>'Revenue drivers'!Y43</f>
        <v>0</v>
      </c>
      <c r="Z289">
        <f>'Revenue drivers'!Z43</f>
        <v>0</v>
      </c>
      <c r="AA289">
        <f>'Revenue drivers'!AA43</f>
        <v>0</v>
      </c>
      <c r="AB289">
        <f>'Revenue drivers'!AB43</f>
        <v>0</v>
      </c>
      <c r="AC289">
        <f>'Revenue drivers'!AC43</f>
        <v>0</v>
      </c>
      <c r="AD289">
        <f>'Revenue drivers'!AD43</f>
        <v>0</v>
      </c>
      <c r="AE289">
        <f>'Revenue drivers'!AE43</f>
        <v>0</v>
      </c>
      <c r="AF289">
        <f>'Revenue drivers'!AF43</f>
        <v>0</v>
      </c>
      <c r="AL289">
        <f>'Revenue drivers'!BF43</f>
        <v>0</v>
      </c>
      <c r="AM289">
        <f>'Revenue drivers'!BG43</f>
        <v>0</v>
      </c>
      <c r="AN289">
        <f>'Revenue drivers'!BH43</f>
        <v>0</v>
      </c>
      <c r="AO289">
        <f>'Revenue drivers'!BI43</f>
        <v>0</v>
      </c>
      <c r="AP289">
        <f>'Revenue drivers'!BJ43</f>
        <v>0</v>
      </c>
      <c r="AQ289">
        <f>'Revenue drivers'!BK43</f>
        <v>0</v>
      </c>
      <c r="AR289">
        <f>'Revenue drivers'!BL43</f>
        <v>0</v>
      </c>
      <c r="AS289">
        <f>'Revenue drivers'!BM43</f>
        <v>0</v>
      </c>
      <c r="AT289">
        <f>'Revenue drivers'!BN43</f>
        <v>0</v>
      </c>
      <c r="AU289">
        <f>'Revenue drivers'!BO43</f>
        <v>0</v>
      </c>
      <c r="AV289">
        <f>'Revenue drivers'!BP43</f>
        <v>0</v>
      </c>
      <c r="AW289">
        <f>'Revenue drivers'!BQ43</f>
        <v>0</v>
      </c>
      <c r="AX289">
        <f>'Revenue drivers'!BR43</f>
        <v>0</v>
      </c>
      <c r="AY289">
        <f>'Revenue drivers'!BS43</f>
        <v>0</v>
      </c>
      <c r="AZ289">
        <f>'Revenue drivers'!BT43</f>
        <v>0</v>
      </c>
    </row>
    <row r="290" spans="9:52" ht="11.25" customHeight="1">
      <c r="I290">
        <f>'Revenue drivers'!I46</f>
        <v>0</v>
      </c>
      <c r="M290">
        <f>'Revenue drivers'!M46</f>
        <v>0</v>
      </c>
      <c r="N290">
        <f>'Revenue drivers'!N46</f>
        <v>0</v>
      </c>
      <c r="O290">
        <f>'Revenue drivers'!O46</f>
        <v>0</v>
      </c>
      <c r="P290">
        <f>'Revenue drivers'!P46</f>
        <v>0</v>
      </c>
      <c r="Q290">
        <f>'Revenue drivers'!Q46</f>
        <v>0</v>
      </c>
      <c r="R290">
        <f>'Revenue drivers'!R46</f>
        <v>0</v>
      </c>
      <c r="S290">
        <f>'Revenue drivers'!S46</f>
        <v>0</v>
      </c>
      <c r="T290">
        <f>'Revenue drivers'!T46</f>
        <v>0</v>
      </c>
      <c r="U290">
        <f>'Revenue drivers'!U46</f>
        <v>0</v>
      </c>
      <c r="V290">
        <f>'Revenue drivers'!V46</f>
        <v>0</v>
      </c>
      <c r="W290">
        <f>'Revenue drivers'!W46</f>
        <v>0</v>
      </c>
      <c r="X290">
        <f>'Revenue drivers'!X46</f>
        <v>0</v>
      </c>
      <c r="Y290">
        <f>'Revenue drivers'!Y46</f>
        <v>0</v>
      </c>
      <c r="Z290">
        <f>'Revenue drivers'!Z46</f>
        <v>0</v>
      </c>
      <c r="AA290">
        <f>'Revenue drivers'!AA46</f>
        <v>0</v>
      </c>
      <c r="AB290">
        <f>'Revenue drivers'!AB46</f>
        <v>0</v>
      </c>
      <c r="AC290">
        <f>'Revenue drivers'!AC46</f>
        <v>0</v>
      </c>
      <c r="AD290">
        <f>'Revenue drivers'!AD46</f>
        <v>0</v>
      </c>
      <c r="AE290">
        <f>'Revenue drivers'!AE46</f>
        <v>0</v>
      </c>
      <c r="AF290">
        <f>'Revenue drivers'!AF46</f>
        <v>0</v>
      </c>
      <c r="AG290">
        <f>'Revenue drivers'!AG46</f>
        <v>0</v>
      </c>
      <c r="AH290">
        <f>'Revenue drivers'!AH46</f>
        <v>0</v>
      </c>
      <c r="AI290">
        <f>'Revenue drivers'!AI46</f>
        <v>0</v>
      </c>
      <c r="AJ290">
        <f>'Revenue drivers'!AJ46</f>
        <v>0</v>
      </c>
      <c r="AL290">
        <f>'Revenue drivers'!BF46</f>
        <v>0</v>
      </c>
      <c r="AM290">
        <f>'Revenue drivers'!BG46</f>
        <v>0</v>
      </c>
      <c r="AN290">
        <f>'Revenue drivers'!BH46</f>
        <v>0</v>
      </c>
      <c r="AO290">
        <f>'Revenue drivers'!BI46</f>
        <v>0</v>
      </c>
      <c r="AP290">
        <f>'Revenue drivers'!BJ46</f>
        <v>0</v>
      </c>
      <c r="AQ290">
        <f>'Revenue drivers'!BK46</f>
        <v>0</v>
      </c>
      <c r="AR290">
        <f>'Revenue drivers'!BL46</f>
        <v>0</v>
      </c>
      <c r="AS290">
        <f>'Revenue drivers'!BM46</f>
        <v>0</v>
      </c>
      <c r="AT290">
        <f>'Revenue drivers'!BN46</f>
        <v>0</v>
      </c>
      <c r="AU290">
        <f>'Revenue drivers'!BO46</f>
        <v>0</v>
      </c>
      <c r="AV290">
        <f>'Revenue drivers'!BP46</f>
        <v>0</v>
      </c>
      <c r="AW290">
        <f>'Revenue drivers'!BQ46</f>
        <v>0</v>
      </c>
      <c r="AX290">
        <f>'Revenue drivers'!BR46</f>
        <v>0</v>
      </c>
      <c r="AY290">
        <f>'Revenue drivers'!BS46</f>
        <v>0</v>
      </c>
      <c r="AZ290">
        <f>'Revenue drivers'!BT46</f>
        <v>0</v>
      </c>
    </row>
    <row r="291" spans="9:52" ht="11.25" customHeight="1">
      <c r="I291" t="str">
        <f>'Revenue drivers'!I47</f>
        <v>US vs. International total revenue</v>
      </c>
      <c r="M291">
        <f>'Revenue drivers'!M47</f>
        <v>0</v>
      </c>
      <c r="N291">
        <f>'Revenue drivers'!N47</f>
        <v>0</v>
      </c>
      <c r="O291">
        <f>'Revenue drivers'!O47</f>
        <v>0</v>
      </c>
      <c r="P291">
        <f>'Revenue drivers'!P47</f>
        <v>0</v>
      </c>
      <c r="Q291">
        <f>'Revenue drivers'!Q47</f>
        <v>0</v>
      </c>
      <c r="R291">
        <f>'Revenue drivers'!R47</f>
        <v>0</v>
      </c>
      <c r="S291">
        <f>'Revenue drivers'!S47</f>
        <v>0</v>
      </c>
      <c r="T291">
        <f>'Revenue drivers'!T47</f>
        <v>0</v>
      </c>
      <c r="U291">
        <f>'Revenue drivers'!U47</f>
        <v>0</v>
      </c>
      <c r="V291">
        <f>'Revenue drivers'!V47</f>
        <v>0</v>
      </c>
      <c r="W291">
        <f>'Revenue drivers'!W47</f>
        <v>0</v>
      </c>
      <c r="X291">
        <f>'Revenue drivers'!X47</f>
        <v>0</v>
      </c>
      <c r="Y291">
        <f>'Revenue drivers'!Y47</f>
        <v>0</v>
      </c>
      <c r="Z291">
        <f>'Revenue drivers'!Z47</f>
        <v>0</v>
      </c>
      <c r="AA291">
        <f>'Revenue drivers'!AA47</f>
        <v>0</v>
      </c>
      <c r="AB291">
        <f>'Revenue drivers'!AB47</f>
        <v>0</v>
      </c>
      <c r="AC291">
        <f>'Revenue drivers'!AC47</f>
        <v>0</v>
      </c>
      <c r="AD291">
        <f>'Revenue drivers'!AD47</f>
        <v>0</v>
      </c>
      <c r="AE291">
        <f>'Revenue drivers'!AE47</f>
        <v>0</v>
      </c>
      <c r="AF291">
        <f>'Revenue drivers'!AF47</f>
        <v>0</v>
      </c>
      <c r="AG291">
        <f>'Revenue drivers'!AG47</f>
        <v>0</v>
      </c>
      <c r="AH291">
        <f>'Revenue drivers'!AH47</f>
        <v>0</v>
      </c>
      <c r="AI291">
        <f>'Revenue drivers'!AI47</f>
        <v>0</v>
      </c>
      <c r="AJ291">
        <f>'Revenue drivers'!AJ47</f>
        <v>0</v>
      </c>
      <c r="AL291">
        <f>'Revenue drivers'!BF47</f>
        <v>0</v>
      </c>
      <c r="AM291">
        <f>'Revenue drivers'!BG47</f>
        <v>0</v>
      </c>
      <c r="AN291">
        <f>'Revenue drivers'!BH47</f>
        <v>0</v>
      </c>
      <c r="AO291">
        <f>'Revenue drivers'!BI47</f>
        <v>0</v>
      </c>
      <c r="AP291">
        <f>'Revenue drivers'!BJ47</f>
        <v>0</v>
      </c>
      <c r="AQ291">
        <f>'Revenue drivers'!BK47</f>
        <v>0</v>
      </c>
      <c r="AR291">
        <f>'Revenue drivers'!BL47</f>
        <v>0</v>
      </c>
      <c r="AS291">
        <f>'Revenue drivers'!BM47</f>
        <v>0</v>
      </c>
      <c r="AT291">
        <f>'Revenue drivers'!BN47</f>
        <v>0</v>
      </c>
      <c r="AU291">
        <f>'Revenue drivers'!BO47</f>
        <v>0</v>
      </c>
      <c r="AV291">
        <f>'Revenue drivers'!BP47</f>
        <v>0</v>
      </c>
      <c r="AW291">
        <f>'Revenue drivers'!BQ47</f>
        <v>0</v>
      </c>
      <c r="AX291">
        <f>'Revenue drivers'!BR47</f>
        <v>0</v>
      </c>
      <c r="AY291">
        <f>'Revenue drivers'!BS47</f>
        <v>0</v>
      </c>
      <c r="AZ291">
        <f>'Revenue drivers'!BT47</f>
        <v>0</v>
      </c>
    </row>
    <row r="292" spans="9:52" ht="11.25" customHeight="1">
      <c r="I292">
        <f>'Revenue drivers'!I48</f>
        <v>0</v>
      </c>
      <c r="M292">
        <f>'Revenue drivers'!M48</f>
        <v>0</v>
      </c>
      <c r="N292">
        <f>'Revenue drivers'!N48</f>
        <v>0</v>
      </c>
      <c r="O292">
        <f>'Revenue drivers'!O48</f>
        <v>0</v>
      </c>
      <c r="P292">
        <f>'Revenue drivers'!P48</f>
        <v>0</v>
      </c>
      <c r="Q292">
        <f>'Revenue drivers'!Q48</f>
        <v>0</v>
      </c>
      <c r="R292">
        <f>'Revenue drivers'!R48</f>
        <v>0</v>
      </c>
      <c r="S292">
        <f>'Revenue drivers'!S48</f>
        <v>0</v>
      </c>
      <c r="T292">
        <f>'Revenue drivers'!T48</f>
        <v>0</v>
      </c>
      <c r="U292">
        <f>'Revenue drivers'!U48</f>
        <v>0</v>
      </c>
      <c r="V292">
        <f>'Revenue drivers'!V48</f>
        <v>0</v>
      </c>
      <c r="W292">
        <f>'Revenue drivers'!W48</f>
        <v>0</v>
      </c>
      <c r="X292">
        <f>'Revenue drivers'!X48</f>
        <v>0</v>
      </c>
      <c r="Y292">
        <f>'Revenue drivers'!Y48</f>
        <v>0</v>
      </c>
      <c r="Z292">
        <f>'Revenue drivers'!Z48</f>
        <v>0</v>
      </c>
      <c r="AA292">
        <f>'Revenue drivers'!AA48</f>
        <v>0</v>
      </c>
      <c r="AB292">
        <f>'Revenue drivers'!AB48</f>
        <v>0</v>
      </c>
      <c r="AC292">
        <f>'Revenue drivers'!AC48</f>
        <v>0</v>
      </c>
      <c r="AD292">
        <f>'Revenue drivers'!AD48</f>
        <v>0</v>
      </c>
      <c r="AE292">
        <f>'Revenue drivers'!AE48</f>
        <v>0</v>
      </c>
      <c r="AF292">
        <f>'Revenue drivers'!AF48</f>
        <v>0</v>
      </c>
      <c r="AG292">
        <f>'Revenue drivers'!AG48</f>
        <v>0</v>
      </c>
      <c r="AH292">
        <f>'Revenue drivers'!AH48</f>
        <v>0</v>
      </c>
      <c r="AI292">
        <f>'Revenue drivers'!AI48</f>
        <v>0</v>
      </c>
      <c r="AJ292">
        <f>'Revenue drivers'!AJ48</f>
        <v>0</v>
      </c>
      <c r="AL292">
        <f>'Revenue drivers'!BF48</f>
        <v>0</v>
      </c>
      <c r="AM292">
        <f>'Revenue drivers'!BG48</f>
        <v>0</v>
      </c>
      <c r="AN292">
        <f>'Revenue drivers'!BH48</f>
        <v>0</v>
      </c>
      <c r="AO292">
        <f>'Revenue drivers'!BI48</f>
        <v>0</v>
      </c>
      <c r="AP292">
        <f>'Revenue drivers'!BJ48</f>
        <v>0</v>
      </c>
      <c r="AQ292">
        <f>'Revenue drivers'!BK48</f>
        <v>0</v>
      </c>
      <c r="AR292">
        <f>'Revenue drivers'!BL48</f>
        <v>0</v>
      </c>
      <c r="AS292">
        <f>'Revenue drivers'!BM48</f>
        <v>0</v>
      </c>
      <c r="AT292">
        <f>'Revenue drivers'!BN48</f>
        <v>0</v>
      </c>
      <c r="AU292">
        <f>'Revenue drivers'!BO48</f>
        <v>0</v>
      </c>
      <c r="AV292">
        <f>'Revenue drivers'!BP48</f>
        <v>0</v>
      </c>
      <c r="AW292">
        <f>'Revenue drivers'!BQ48</f>
        <v>0</v>
      </c>
      <c r="AX292">
        <f>'Revenue drivers'!BR48</f>
        <v>0</v>
      </c>
      <c r="AY292">
        <f>'Revenue drivers'!BS48</f>
        <v>0</v>
      </c>
      <c r="AZ292">
        <f>'Revenue drivers'!BT48</f>
        <v>0</v>
      </c>
    </row>
    <row r="293" spans="9:52" ht="11.25" customHeight="1">
      <c r="I293" t="str">
        <f>'Revenue drivers'!I49</f>
        <v>Total US revenue</v>
      </c>
      <c r="M293">
        <f>'Revenue drivers'!M49</f>
        <v>0</v>
      </c>
      <c r="N293">
        <f>'Revenue drivers'!N49</f>
        <v>0</v>
      </c>
      <c r="O293">
        <f>'Revenue drivers'!O49</f>
        <v>0</v>
      </c>
      <c r="P293">
        <f>'Revenue drivers'!P49</f>
        <v>0</v>
      </c>
      <c r="Q293">
        <f>'Revenue drivers'!Q49</f>
        <v>0</v>
      </c>
      <c r="R293">
        <f>'Revenue drivers'!R49</f>
        <v>0</v>
      </c>
      <c r="S293">
        <f>'Revenue drivers'!S49</f>
        <v>0</v>
      </c>
      <c r="T293">
        <f>'Revenue drivers'!T49</f>
        <v>0</v>
      </c>
      <c r="U293">
        <f>'Revenue drivers'!U49</f>
        <v>0</v>
      </c>
      <c r="V293">
        <f>'Revenue drivers'!V49</f>
        <v>0</v>
      </c>
      <c r="W293">
        <f>'Revenue drivers'!W49</f>
        <v>0</v>
      </c>
      <c r="X293">
        <f>'Revenue drivers'!X49</f>
        <v>0</v>
      </c>
      <c r="Y293">
        <f>'Revenue drivers'!Y49</f>
        <v>43.826350000000005</v>
      </c>
      <c r="Z293">
        <f>'Revenue drivers'!Z49</f>
        <v>52.271850000000001</v>
      </c>
      <c r="AA293">
        <f>'Revenue drivers'!AA49</f>
        <v>58.121949999999998</v>
      </c>
      <c r="AB293">
        <f>'Revenue drivers'!AB49</f>
        <v>68.036912999999998</v>
      </c>
      <c r="AC293">
        <f>'Revenue drivers'!AC49</f>
        <v>73.88556899999999</v>
      </c>
      <c r="AD293">
        <f>'Revenue drivers'!AD49</f>
        <v>86.123390000000001</v>
      </c>
      <c r="AE293">
        <f>'Revenue drivers'!AE49</f>
        <v>99.381349999999998</v>
      </c>
      <c r="AF293">
        <f>'Revenue drivers'!AF49</f>
        <v>106.59039</v>
      </c>
      <c r="AG293">
        <f>'Revenue drivers'!AG49</f>
        <v>108.6</v>
      </c>
      <c r="AH293">
        <f>'Revenue drivers'!AH49</f>
        <v>122.6</v>
      </c>
      <c r="AI293">
        <f>'Revenue drivers'!AI49</f>
        <v>131.69999999999999</v>
      </c>
      <c r="AJ293">
        <f>'Revenue drivers'!AJ49</f>
        <v>143.69999999999999</v>
      </c>
      <c r="AL293">
        <f>'Revenue drivers'!BF49</f>
        <v>0</v>
      </c>
      <c r="AM293">
        <f>'Revenue drivers'!BG49</f>
        <v>0</v>
      </c>
      <c r="AN293">
        <f>'Revenue drivers'!BH49</f>
        <v>0</v>
      </c>
      <c r="AO293">
        <f>'Revenue drivers'!BI49</f>
        <v>0</v>
      </c>
      <c r="AP293">
        <f>'Revenue drivers'!BJ49</f>
        <v>0</v>
      </c>
      <c r="AQ293">
        <f>'Revenue drivers'!BK49</f>
        <v>0</v>
      </c>
      <c r="AR293">
        <f>'Revenue drivers'!BL49</f>
        <v>0</v>
      </c>
      <c r="AS293">
        <f>'Revenue drivers'!BM49</f>
        <v>222.25706299999999</v>
      </c>
      <c r="AT293">
        <f>'Revenue drivers'!BN49</f>
        <v>365.98069900000002</v>
      </c>
      <c r="AU293">
        <f>'Revenue drivers'!BO49</f>
        <v>506.59999999999997</v>
      </c>
      <c r="AV293">
        <f>'Revenue drivers'!BP49</f>
        <v>698.36900000000003</v>
      </c>
      <c r="AW293">
        <f>'Revenue drivers'!BQ49</f>
        <v>846.81299999999999</v>
      </c>
      <c r="AX293">
        <f>'Revenue drivers'!BR49</f>
        <v>960</v>
      </c>
      <c r="AY293">
        <f>'Revenue drivers'!BS49</f>
        <v>1116.4000000000001</v>
      </c>
      <c r="AZ293">
        <f>'Revenue drivers'!BT49</f>
        <v>1260.5999999999999</v>
      </c>
    </row>
    <row r="294" spans="9:52" ht="11.25" customHeight="1">
      <c r="I294" t="str">
        <f>'Revenue drivers'!I50</f>
        <v>% change Y/Y</v>
      </c>
      <c r="M294">
        <f>'Revenue drivers'!M50</f>
        <v>0</v>
      </c>
      <c r="N294">
        <f>'Revenue drivers'!N50</f>
        <v>0</v>
      </c>
      <c r="O294">
        <f>'Revenue drivers'!O50</f>
        <v>0</v>
      </c>
      <c r="P294">
        <f>'Revenue drivers'!P50</f>
        <v>0</v>
      </c>
      <c r="Q294">
        <f>'Revenue drivers'!Q50</f>
        <v>0</v>
      </c>
      <c r="R294">
        <f>'Revenue drivers'!R50</f>
        <v>0</v>
      </c>
      <c r="S294">
        <f>'Revenue drivers'!S50</f>
        <v>0</v>
      </c>
      <c r="T294">
        <f>'Revenue drivers'!T50</f>
        <v>0</v>
      </c>
      <c r="U294">
        <f>'Revenue drivers'!U50</f>
        <v>0</v>
      </c>
      <c r="V294">
        <f>'Revenue drivers'!V50</f>
        <v>0</v>
      </c>
      <c r="W294">
        <f>'Revenue drivers'!W50</f>
        <v>0</v>
      </c>
      <c r="X294">
        <f>'Revenue drivers'!X50</f>
        <v>0</v>
      </c>
      <c r="Y294">
        <f>'Revenue drivers'!Y50</f>
        <v>0</v>
      </c>
      <c r="Z294" t="str">
        <f>'Revenue drivers'!Z50</f>
        <v>NA</v>
      </c>
      <c r="AA294" t="str">
        <f>'Revenue drivers'!AA50</f>
        <v>NA</v>
      </c>
      <c r="AB294" t="str">
        <f>'Revenue drivers'!AB50</f>
        <v>NA</v>
      </c>
      <c r="AC294">
        <f>'Revenue drivers'!AC50</f>
        <v>0.68587092011997308</v>
      </c>
      <c r="AD294">
        <f>'Revenue drivers'!AD50</f>
        <v>0.64760554677135018</v>
      </c>
      <c r="AE294">
        <f>'Revenue drivers'!AE50</f>
        <v>0.70987638921268137</v>
      </c>
      <c r="AF294">
        <f>'Revenue drivers'!AF50</f>
        <v>0.56665529489852084</v>
      </c>
      <c r="AG294">
        <f>'Revenue drivers'!AG50</f>
        <v>0.46984047723852562</v>
      </c>
      <c r="AH294">
        <f>'Revenue drivers'!AH50</f>
        <v>0.42353894801400638</v>
      </c>
      <c r="AI294">
        <f>'Revenue drivers'!AI50</f>
        <v>0.32519833952748667</v>
      </c>
      <c r="AJ294">
        <f>'Revenue drivers'!AJ50</f>
        <v>0.34815155475085513</v>
      </c>
      <c r="AL294">
        <f>'Revenue drivers'!BF50</f>
        <v>0</v>
      </c>
      <c r="AM294">
        <f>'Revenue drivers'!BG50</f>
        <v>0</v>
      </c>
      <c r="AN294">
        <f>'Revenue drivers'!BH50</f>
        <v>0</v>
      </c>
      <c r="AO294">
        <f>'Revenue drivers'!BI50</f>
        <v>0</v>
      </c>
      <c r="AP294">
        <f>'Revenue drivers'!BJ50</f>
        <v>0</v>
      </c>
      <c r="AQ294">
        <f>'Revenue drivers'!BK50</f>
        <v>0</v>
      </c>
      <c r="AR294">
        <f>'Revenue drivers'!BL50</f>
        <v>0</v>
      </c>
      <c r="AS294">
        <f>'Revenue drivers'!BM50</f>
        <v>0</v>
      </c>
      <c r="AT294">
        <f>'Revenue drivers'!BN50</f>
        <v>0.64665497716938702</v>
      </c>
      <c r="AU294">
        <f>'Revenue drivers'!BO50</f>
        <v>0.38422600258490669</v>
      </c>
      <c r="AV294">
        <f>'Revenue drivers'!BP50</f>
        <v>0.37854125542834605</v>
      </c>
      <c r="AW294">
        <f>'Revenue drivers'!BQ50</f>
        <v>0.21255811755676435</v>
      </c>
      <c r="AX294">
        <f>'Revenue drivers'!BR50</f>
        <v>0.13366233158914653</v>
      </c>
      <c r="AY294">
        <f>'Revenue drivers'!BS50</f>
        <v>0.16291666666666682</v>
      </c>
      <c r="AZ294">
        <f>'Revenue drivers'!BT50</f>
        <v>0.1291651737728412</v>
      </c>
    </row>
    <row r="295" spans="9:52" ht="11.25" customHeight="1">
      <c r="I295" t="str">
        <f>'Revenue drivers'!I51</f>
        <v>% change Q/Q</v>
      </c>
      <c r="M295">
        <f>'Revenue drivers'!M51</f>
        <v>0</v>
      </c>
      <c r="N295">
        <f>'Revenue drivers'!N51</f>
        <v>0</v>
      </c>
      <c r="O295">
        <f>'Revenue drivers'!O51</f>
        <v>0</v>
      </c>
      <c r="P295">
        <f>'Revenue drivers'!P51</f>
        <v>0</v>
      </c>
      <c r="Q295">
        <f>'Revenue drivers'!Q51</f>
        <v>0</v>
      </c>
      <c r="R295">
        <f>'Revenue drivers'!R51</f>
        <v>0</v>
      </c>
      <c r="S295">
        <f>'Revenue drivers'!S51</f>
        <v>0</v>
      </c>
      <c r="T295">
        <f>'Revenue drivers'!T51</f>
        <v>0</v>
      </c>
      <c r="U295">
        <f>'Revenue drivers'!U51</f>
        <v>0</v>
      </c>
      <c r="V295">
        <f>'Revenue drivers'!V51</f>
        <v>0</v>
      </c>
      <c r="W295">
        <f>'Revenue drivers'!W51</f>
        <v>0</v>
      </c>
      <c r="X295">
        <f>'Revenue drivers'!X51</f>
        <v>0</v>
      </c>
      <c r="Y295">
        <f>'Revenue drivers'!Y51</f>
        <v>0</v>
      </c>
      <c r="Z295">
        <f>'Revenue drivers'!Z51</f>
        <v>0.1927037045065354</v>
      </c>
      <c r="AA295">
        <f>'Revenue drivers'!AA51</f>
        <v>0.11191683477818359</v>
      </c>
      <c r="AB295">
        <f>'Revenue drivers'!AB51</f>
        <v>0.17058895993682244</v>
      </c>
      <c r="AC295">
        <f>'Revenue drivers'!AC51</f>
        <v>8.5962983064795884E-2</v>
      </c>
      <c r="AD295">
        <f>'Revenue drivers'!AD51</f>
        <v>0.16563208709944455</v>
      </c>
      <c r="AE295">
        <f>'Revenue drivers'!AE51</f>
        <v>0.15394145539324455</v>
      </c>
      <c r="AF295">
        <f>'Revenue drivers'!AF51</f>
        <v>7.2539163535210616E-2</v>
      </c>
      <c r="AG295">
        <f>'Revenue drivers'!AG51</f>
        <v>1.8853575824236968E-2</v>
      </c>
      <c r="AH295">
        <f>'Revenue drivers'!AH51</f>
        <v>0.12891344383057102</v>
      </c>
      <c r="AI295">
        <f>'Revenue drivers'!AI51</f>
        <v>7.4225122349102834E-2</v>
      </c>
      <c r="AJ295">
        <f>'Revenue drivers'!AJ51</f>
        <v>9.1116173120728838E-2</v>
      </c>
      <c r="AL295">
        <f>'Revenue drivers'!BF51</f>
        <v>0</v>
      </c>
      <c r="AM295">
        <f>'Revenue drivers'!BG51</f>
        <v>0</v>
      </c>
      <c r="AN295">
        <f>'Revenue drivers'!BH51</f>
        <v>0</v>
      </c>
      <c r="AO295">
        <f>'Revenue drivers'!BI51</f>
        <v>0</v>
      </c>
      <c r="AP295">
        <f>'Revenue drivers'!BJ51</f>
        <v>0</v>
      </c>
      <c r="AQ295">
        <f>'Revenue drivers'!BK51</f>
        <v>0</v>
      </c>
      <c r="AR295">
        <f>'Revenue drivers'!BL51</f>
        <v>0</v>
      </c>
      <c r="AS295">
        <f>'Revenue drivers'!BM51</f>
        <v>0</v>
      </c>
      <c r="AT295">
        <f>'Revenue drivers'!BN51</f>
        <v>0</v>
      </c>
      <c r="AU295">
        <f>'Revenue drivers'!BO51</f>
        <v>0</v>
      </c>
      <c r="AV295">
        <f>'Revenue drivers'!BP51</f>
        <v>0</v>
      </c>
      <c r="AW295">
        <f>'Revenue drivers'!BQ51</f>
        <v>0</v>
      </c>
      <c r="AX295">
        <f>'Revenue drivers'!BR51</f>
        <v>0</v>
      </c>
      <c r="AY295">
        <f>'Revenue drivers'!BS51</f>
        <v>0</v>
      </c>
      <c r="AZ295">
        <f>'Revenue drivers'!BT51</f>
        <v>0</v>
      </c>
    </row>
    <row r="296" spans="9:52" ht="11.25" customHeight="1">
      <c r="I296" t="str">
        <f>'Revenue drivers'!I52</f>
        <v>% of total revenue</v>
      </c>
      <c r="M296">
        <f>'Revenue drivers'!M52</f>
        <v>0</v>
      </c>
      <c r="N296">
        <f>'Revenue drivers'!N52</f>
        <v>0</v>
      </c>
      <c r="O296">
        <f>'Revenue drivers'!O52</f>
        <v>0</v>
      </c>
      <c r="P296">
        <f>'Revenue drivers'!P52</f>
        <v>0</v>
      </c>
      <c r="Q296">
        <f>'Revenue drivers'!Q52</f>
        <v>0</v>
      </c>
      <c r="R296">
        <f>'Revenue drivers'!R52</f>
        <v>0</v>
      </c>
      <c r="S296">
        <f>'Revenue drivers'!S52</f>
        <v>0</v>
      </c>
      <c r="T296">
        <f>'Revenue drivers'!T52</f>
        <v>0</v>
      </c>
      <c r="U296">
        <f>'Revenue drivers'!U52</f>
        <v>0</v>
      </c>
      <c r="V296">
        <f>'Revenue drivers'!V52</f>
        <v>0</v>
      </c>
      <c r="W296">
        <f>'Revenue drivers'!W52</f>
        <v>0</v>
      </c>
      <c r="X296">
        <f>'Revenue drivers'!X52</f>
        <v>0</v>
      </c>
      <c r="Y296">
        <f>'Revenue drivers'!Y52</f>
        <v>0</v>
      </c>
      <c r="Z296">
        <f>'Revenue drivers'!Z52</f>
        <v>0.95</v>
      </c>
      <c r="AA296">
        <f>'Revenue drivers'!AA52</f>
        <v>0.95000000000000007</v>
      </c>
      <c r="AB296">
        <f>'Revenue drivers'!AB52</f>
        <v>0.96300000000000008</v>
      </c>
      <c r="AC296">
        <f>'Revenue drivers'!AC52</f>
        <v>0.96699999999999986</v>
      </c>
      <c r="AD296">
        <f>'Revenue drivers'!AD52</f>
        <v>0.97</v>
      </c>
      <c r="AE296">
        <f>'Revenue drivers'!AE52</f>
        <v>0.97</v>
      </c>
      <c r="AF296">
        <f>'Revenue drivers'!AF52</f>
        <v>0.97</v>
      </c>
      <c r="AG296">
        <f>'Revenue drivers'!AG52</f>
        <v>0.9713774597495527</v>
      </c>
      <c r="AH296">
        <f>'Revenue drivers'!AH52</f>
        <v>0.97611464968152861</v>
      </c>
      <c r="AI296">
        <f>'Revenue drivers'!AI52</f>
        <v>0.97845468053491824</v>
      </c>
      <c r="AJ296">
        <f>'Revenue drivers'!AJ52</f>
        <v>0.9795501022494888</v>
      </c>
      <c r="AL296">
        <f>'Revenue drivers'!BF52</f>
        <v>0</v>
      </c>
      <c r="AM296">
        <f>'Revenue drivers'!BG52</f>
        <v>0</v>
      </c>
      <c r="AN296">
        <f>'Revenue drivers'!BH52</f>
        <v>0</v>
      </c>
      <c r="AO296">
        <f>'Revenue drivers'!BI52</f>
        <v>0</v>
      </c>
      <c r="AP296">
        <f>'Revenue drivers'!BJ52</f>
        <v>0</v>
      </c>
      <c r="AQ296">
        <f>'Revenue drivers'!BK52</f>
        <v>0</v>
      </c>
      <c r="AR296">
        <f>'Revenue drivers'!BL52</f>
        <v>0</v>
      </c>
      <c r="AS296">
        <f>'Revenue drivers'!BM52</f>
        <v>0</v>
      </c>
      <c r="AT296">
        <f>'Revenue drivers'!BN52</f>
        <v>0.96939284995338193</v>
      </c>
      <c r="AU296">
        <f>'Revenue drivers'!BO52</f>
        <v>0.97667245035666073</v>
      </c>
      <c r="AV296">
        <f>'Revenue drivers'!BP52</f>
        <v>0.97938488421176639</v>
      </c>
      <c r="AW296">
        <f>'Revenue drivers'!BQ52</f>
        <v>1</v>
      </c>
      <c r="AX296">
        <f>'Revenue drivers'!BR52</f>
        <v>1</v>
      </c>
      <c r="AY296">
        <f>'Revenue drivers'!BS52</f>
        <v>1</v>
      </c>
      <c r="AZ296">
        <f>'Revenue drivers'!BT52</f>
        <v>1</v>
      </c>
    </row>
    <row r="297" spans="9:52" ht="11.25" customHeight="1">
      <c r="I297" t="str">
        <f>'Revenue drivers'!I53</f>
        <v>Y/Y Abs Growth</v>
      </c>
      <c r="M297">
        <f>'Revenue drivers'!M53</f>
        <v>0</v>
      </c>
      <c r="N297">
        <f>'Revenue drivers'!N53</f>
        <v>0</v>
      </c>
      <c r="O297">
        <f>'Revenue drivers'!O53</f>
        <v>0</v>
      </c>
      <c r="P297">
        <f>'Revenue drivers'!P53</f>
        <v>0</v>
      </c>
      <c r="Q297">
        <f>'Revenue drivers'!Q53</f>
        <v>0</v>
      </c>
      <c r="R297">
        <f>'Revenue drivers'!R53</f>
        <v>0</v>
      </c>
      <c r="S297">
        <f>'Revenue drivers'!S53</f>
        <v>0</v>
      </c>
      <c r="T297">
        <f>'Revenue drivers'!T53</f>
        <v>0</v>
      </c>
      <c r="U297">
        <f>'Revenue drivers'!U53</f>
        <v>0</v>
      </c>
      <c r="V297">
        <f>'Revenue drivers'!V53</f>
        <v>0</v>
      </c>
      <c r="W297">
        <f>'Revenue drivers'!W53</f>
        <v>0</v>
      </c>
      <c r="X297">
        <f>'Revenue drivers'!X53</f>
        <v>0</v>
      </c>
      <c r="Y297">
        <f>'Revenue drivers'!Y53</f>
        <v>43.826350000000005</v>
      </c>
      <c r="Z297">
        <f>'Revenue drivers'!Z53</f>
        <v>52.271850000000001</v>
      </c>
      <c r="AA297">
        <f>'Revenue drivers'!AA53</f>
        <v>58.121949999999998</v>
      </c>
      <c r="AB297">
        <f>'Revenue drivers'!AB53</f>
        <v>68.036912999999998</v>
      </c>
      <c r="AC297">
        <f>'Revenue drivers'!AC53</f>
        <v>30.059218999999985</v>
      </c>
      <c r="AD297">
        <f>'Revenue drivers'!AD53</f>
        <v>33.85154</v>
      </c>
      <c r="AE297">
        <f>'Revenue drivers'!AE53</f>
        <v>41.259399999999999</v>
      </c>
      <c r="AF297">
        <f>'Revenue drivers'!AF53</f>
        <v>38.553477000000001</v>
      </c>
      <c r="AG297">
        <f>'Revenue drivers'!AG53</f>
        <v>34.714431000000005</v>
      </c>
      <c r="AH297">
        <f>'Revenue drivers'!AH53</f>
        <v>36.476609999999994</v>
      </c>
      <c r="AI297">
        <f>'Revenue drivers'!AI53</f>
        <v>32.318649999999991</v>
      </c>
      <c r="AJ297">
        <f>'Revenue drivers'!AJ53</f>
        <v>37.109609999999989</v>
      </c>
      <c r="AL297">
        <f>'Revenue drivers'!BF53</f>
        <v>0</v>
      </c>
      <c r="AM297">
        <f>'Revenue drivers'!BG53</f>
        <v>0</v>
      </c>
      <c r="AN297">
        <f>'Revenue drivers'!BH53</f>
        <v>0</v>
      </c>
      <c r="AO297">
        <f>'Revenue drivers'!BI53</f>
        <v>0</v>
      </c>
      <c r="AP297">
        <f>'Revenue drivers'!BJ53</f>
        <v>0</v>
      </c>
      <c r="AQ297">
        <f>'Revenue drivers'!BK53</f>
        <v>0</v>
      </c>
      <c r="AR297">
        <f>'Revenue drivers'!BL53</f>
        <v>0</v>
      </c>
      <c r="AS297">
        <f>'Revenue drivers'!BM53</f>
        <v>0</v>
      </c>
      <c r="AT297">
        <f>'Revenue drivers'!BN53</f>
        <v>143.72363600000003</v>
      </c>
      <c r="AU297">
        <f>'Revenue drivers'!BO53</f>
        <v>140.61930099999995</v>
      </c>
      <c r="AV297">
        <f>'Revenue drivers'!BP53</f>
        <v>191.76900000000006</v>
      </c>
      <c r="AW297">
        <f>'Revenue drivers'!BQ53</f>
        <v>148.44399999999996</v>
      </c>
      <c r="AX297">
        <f>'Revenue drivers'!BR53</f>
        <v>113.18700000000001</v>
      </c>
      <c r="AY297">
        <f>'Revenue drivers'!BS53</f>
        <v>156.40000000000009</v>
      </c>
      <c r="AZ297">
        <f>'Revenue drivers'!BT53</f>
        <v>144.19999999999982</v>
      </c>
    </row>
    <row r="298" spans="9:52" ht="11.25" customHeight="1">
      <c r="I298" t="str">
        <f>'Revenue drivers'!I54</f>
        <v>Q/Q Abs Growth</v>
      </c>
      <c r="M298">
        <f>'Revenue drivers'!M54</f>
        <v>0</v>
      </c>
      <c r="N298">
        <f>'Revenue drivers'!N54</f>
        <v>0</v>
      </c>
      <c r="O298">
        <f>'Revenue drivers'!O54</f>
        <v>0</v>
      </c>
      <c r="P298">
        <f>'Revenue drivers'!P54</f>
        <v>0</v>
      </c>
      <c r="Q298">
        <f>'Revenue drivers'!Q54</f>
        <v>0</v>
      </c>
      <c r="R298">
        <f>'Revenue drivers'!R54</f>
        <v>0</v>
      </c>
      <c r="S298">
        <f>'Revenue drivers'!S54</f>
        <v>0</v>
      </c>
      <c r="T298">
        <f>'Revenue drivers'!T54</f>
        <v>0</v>
      </c>
      <c r="U298">
        <f>'Revenue drivers'!U54</f>
        <v>0</v>
      </c>
      <c r="V298">
        <f>'Revenue drivers'!V54</f>
        <v>0</v>
      </c>
      <c r="W298">
        <f>'Revenue drivers'!W54</f>
        <v>0</v>
      </c>
      <c r="X298">
        <f>'Revenue drivers'!X54</f>
        <v>0</v>
      </c>
      <c r="Y298">
        <f>'Revenue drivers'!Y54</f>
        <v>0</v>
      </c>
      <c r="Z298">
        <f>'Revenue drivers'!Z54</f>
        <v>0</v>
      </c>
      <c r="AA298">
        <f>'Revenue drivers'!AA54</f>
        <v>5.8500999999999976</v>
      </c>
      <c r="AB298">
        <f>'Revenue drivers'!AB54</f>
        <v>9.9149630000000002</v>
      </c>
      <c r="AC298">
        <f>'Revenue drivers'!AC54</f>
        <v>5.8486559999999912</v>
      </c>
      <c r="AD298">
        <f>'Revenue drivers'!AD54</f>
        <v>12.237821000000011</v>
      </c>
      <c r="AE298">
        <f>'Revenue drivers'!AE54</f>
        <v>13.257959999999997</v>
      </c>
      <c r="AF298">
        <f>'Revenue drivers'!AF54</f>
        <v>7.2090400000000017</v>
      </c>
      <c r="AG298">
        <f>'Revenue drivers'!AG54</f>
        <v>2.009609999999995</v>
      </c>
      <c r="AH298">
        <f>'Revenue drivers'!AH54</f>
        <v>14</v>
      </c>
      <c r="AI298">
        <f>'Revenue drivers'!AI54</f>
        <v>9.0999999999999943</v>
      </c>
      <c r="AJ298">
        <f>'Revenue drivers'!AJ54</f>
        <v>12</v>
      </c>
      <c r="AL298">
        <f>'Revenue drivers'!BF54</f>
        <v>0</v>
      </c>
      <c r="AM298">
        <f>'Revenue drivers'!BG54</f>
        <v>0</v>
      </c>
      <c r="AN298">
        <f>'Revenue drivers'!BH54</f>
        <v>0</v>
      </c>
      <c r="AO298">
        <f>'Revenue drivers'!BI54</f>
        <v>0</v>
      </c>
      <c r="AP298">
        <f>'Revenue drivers'!BJ54</f>
        <v>0</v>
      </c>
      <c r="AQ298">
        <f>'Revenue drivers'!BK54</f>
        <v>0</v>
      </c>
      <c r="AR298">
        <f>'Revenue drivers'!BL54</f>
        <v>0</v>
      </c>
      <c r="AS298">
        <f>'Revenue drivers'!BM54</f>
        <v>0</v>
      </c>
      <c r="AT298">
        <f>'Revenue drivers'!BN54</f>
        <v>0</v>
      </c>
      <c r="AU298">
        <f>'Revenue drivers'!BO54</f>
        <v>0</v>
      </c>
      <c r="AV298">
        <f>'Revenue drivers'!BP54</f>
        <v>0</v>
      </c>
      <c r="AW298">
        <f>'Revenue drivers'!BQ54</f>
        <v>0</v>
      </c>
      <c r="AX298">
        <f>'Revenue drivers'!BR54</f>
        <v>0</v>
      </c>
      <c r="AY298">
        <f>'Revenue drivers'!BS54</f>
        <v>0</v>
      </c>
      <c r="AZ298">
        <f>'Revenue drivers'!BT54</f>
        <v>0</v>
      </c>
    </row>
    <row r="299" spans="9:52" ht="11.25" customHeight="1">
      <c r="I299" t="str">
        <f>'Revenue drivers'!I55</f>
        <v>Dollars per Market</v>
      </c>
      <c r="M299">
        <f>'Revenue drivers'!M55</f>
        <v>0</v>
      </c>
      <c r="N299">
        <f>'Revenue drivers'!N55</f>
        <v>0</v>
      </c>
      <c r="O299">
        <f>'Revenue drivers'!O55</f>
        <v>0</v>
      </c>
      <c r="P299">
        <f>'Revenue drivers'!P55</f>
        <v>0</v>
      </c>
      <c r="Q299">
        <f>'Revenue drivers'!Q55</f>
        <v>0</v>
      </c>
      <c r="R299">
        <f>'Revenue drivers'!R55</f>
        <v>0</v>
      </c>
      <c r="S299">
        <f>'Revenue drivers'!S55</f>
        <v>0</v>
      </c>
      <c r="T299">
        <f>'Revenue drivers'!T55</f>
        <v>0</v>
      </c>
      <c r="U299">
        <f>'Revenue drivers'!U55</f>
        <v>0</v>
      </c>
      <c r="V299">
        <f>'Revenue drivers'!V55</f>
        <v>0</v>
      </c>
      <c r="W299">
        <f>'Revenue drivers'!W55</f>
        <v>0</v>
      </c>
      <c r="X299">
        <f>'Revenue drivers'!X55</f>
        <v>0</v>
      </c>
      <c r="Y299">
        <f>'Revenue drivers'!Y55</f>
        <v>0</v>
      </c>
      <c r="Z299">
        <f>'Revenue drivers'!Z55</f>
        <v>0</v>
      </c>
      <c r="AA299">
        <f>'Revenue drivers'!AA55</f>
        <v>0</v>
      </c>
      <c r="AB299">
        <f>'Revenue drivers'!AB55</f>
        <v>0</v>
      </c>
      <c r="AC299">
        <f>'Revenue drivers'!AC55</f>
        <v>0</v>
      </c>
      <c r="AD299">
        <f>'Revenue drivers'!AD55</f>
        <v>0</v>
      </c>
      <c r="AE299">
        <f>'Revenue drivers'!AE55</f>
        <v>0</v>
      </c>
      <c r="AF299">
        <f>'Revenue drivers'!AF55</f>
        <v>0</v>
      </c>
      <c r="AG299">
        <f>'Revenue drivers'!AG55</f>
        <v>0</v>
      </c>
      <c r="AH299">
        <f>'Revenue drivers'!AH55</f>
        <v>0</v>
      </c>
      <c r="AI299">
        <f>'Revenue drivers'!AI55</f>
        <v>0</v>
      </c>
      <c r="AJ299">
        <f>'Revenue drivers'!AJ55</f>
        <v>0</v>
      </c>
      <c r="AL299">
        <f>'Revenue drivers'!BF55</f>
        <v>0</v>
      </c>
      <c r="AM299">
        <f>'Revenue drivers'!BG55</f>
        <v>0</v>
      </c>
      <c r="AN299">
        <f>'Revenue drivers'!BH55</f>
        <v>0</v>
      </c>
      <c r="AO299">
        <f>'Revenue drivers'!BI55</f>
        <v>0</v>
      </c>
      <c r="AP299">
        <f>'Revenue drivers'!BJ55</f>
        <v>0</v>
      </c>
      <c r="AQ299">
        <f>'Revenue drivers'!BK55</f>
        <v>0</v>
      </c>
      <c r="AR299">
        <f>'Revenue drivers'!BL55</f>
        <v>0</v>
      </c>
      <c r="AS299">
        <f>'Revenue drivers'!BM55</f>
        <v>0</v>
      </c>
      <c r="AT299">
        <f>'Revenue drivers'!BN55</f>
        <v>0</v>
      </c>
      <c r="AU299">
        <f>'Revenue drivers'!BO55</f>
        <v>0</v>
      </c>
      <c r="AV299">
        <f>'Revenue drivers'!BP55</f>
        <v>0</v>
      </c>
      <c r="AW299">
        <f>'Revenue drivers'!BQ55</f>
        <v>0</v>
      </c>
      <c r="AX299">
        <f>'Revenue drivers'!BR55</f>
        <v>0</v>
      </c>
      <c r="AY299">
        <f>'Revenue drivers'!BS55</f>
        <v>0</v>
      </c>
      <c r="AZ299">
        <f>'Revenue drivers'!BT55</f>
        <v>0</v>
      </c>
    </row>
    <row r="300" spans="9:52" ht="11.25" customHeight="1">
      <c r="I300">
        <f>'Revenue drivers'!I56</f>
        <v>0</v>
      </c>
      <c r="M300">
        <f>'Revenue drivers'!M56</f>
        <v>0</v>
      </c>
      <c r="N300">
        <f>'Revenue drivers'!N56</f>
        <v>0</v>
      </c>
      <c r="O300">
        <f>'Revenue drivers'!O56</f>
        <v>0</v>
      </c>
      <c r="P300">
        <f>'Revenue drivers'!P56</f>
        <v>0</v>
      </c>
      <c r="Q300">
        <f>'Revenue drivers'!Q56</f>
        <v>0</v>
      </c>
      <c r="R300">
        <f>'Revenue drivers'!R56</f>
        <v>0</v>
      </c>
      <c r="S300">
        <f>'Revenue drivers'!S56</f>
        <v>0</v>
      </c>
      <c r="T300">
        <f>'Revenue drivers'!T56</f>
        <v>0</v>
      </c>
      <c r="U300">
        <f>'Revenue drivers'!U56</f>
        <v>0</v>
      </c>
      <c r="V300">
        <f>'Revenue drivers'!V56</f>
        <v>0</v>
      </c>
      <c r="W300">
        <f>'Revenue drivers'!W56</f>
        <v>0</v>
      </c>
      <c r="X300">
        <f>'Revenue drivers'!X56</f>
        <v>0</v>
      </c>
      <c r="Y300">
        <f>'Revenue drivers'!Y56</f>
        <v>0</v>
      </c>
      <c r="Z300">
        <f>'Revenue drivers'!Z56</f>
        <v>0</v>
      </c>
      <c r="AA300">
        <f>'Revenue drivers'!AA56</f>
        <v>0</v>
      </c>
      <c r="AB300">
        <f>'Revenue drivers'!AB56</f>
        <v>0</v>
      </c>
      <c r="AC300">
        <f>'Revenue drivers'!AC56</f>
        <v>0</v>
      </c>
      <c r="AD300">
        <f>'Revenue drivers'!AD56</f>
        <v>0</v>
      </c>
      <c r="AE300">
        <f>'Revenue drivers'!AE56</f>
        <v>0</v>
      </c>
      <c r="AF300">
        <f>'Revenue drivers'!AF56</f>
        <v>0</v>
      </c>
      <c r="AG300">
        <f>'Revenue drivers'!AG56</f>
        <v>0</v>
      </c>
      <c r="AH300">
        <f>'Revenue drivers'!AH56</f>
        <v>0</v>
      </c>
      <c r="AI300">
        <f>'Revenue drivers'!AI56</f>
        <v>0</v>
      </c>
      <c r="AJ300">
        <f>'Revenue drivers'!AJ56</f>
        <v>0</v>
      </c>
      <c r="AL300">
        <f>'Revenue drivers'!BF56</f>
        <v>0</v>
      </c>
      <c r="AM300">
        <f>'Revenue drivers'!BG56</f>
        <v>0</v>
      </c>
      <c r="AN300">
        <f>'Revenue drivers'!BH56</f>
        <v>0</v>
      </c>
      <c r="AO300">
        <f>'Revenue drivers'!BI56</f>
        <v>0</v>
      </c>
      <c r="AP300">
        <f>'Revenue drivers'!BJ56</f>
        <v>0</v>
      </c>
      <c r="AQ300">
        <f>'Revenue drivers'!BK56</f>
        <v>0</v>
      </c>
      <c r="AR300">
        <f>'Revenue drivers'!BL56</f>
        <v>0</v>
      </c>
      <c r="AS300">
        <f>'Revenue drivers'!BM56</f>
        <v>0</v>
      </c>
      <c r="AT300">
        <f>'Revenue drivers'!BN56</f>
        <v>0</v>
      </c>
      <c r="AU300">
        <f>'Revenue drivers'!BO56</f>
        <v>0</v>
      </c>
      <c r="AV300">
        <f>'Revenue drivers'!BP56</f>
        <v>0</v>
      </c>
      <c r="AW300">
        <f>'Revenue drivers'!BQ56</f>
        <v>0</v>
      </c>
      <c r="AX300">
        <f>'Revenue drivers'!BR56</f>
        <v>0</v>
      </c>
      <c r="AY300">
        <f>'Revenue drivers'!BS56</f>
        <v>0</v>
      </c>
      <c r="AZ300">
        <f>'Revenue drivers'!BT56</f>
        <v>0</v>
      </c>
    </row>
    <row r="301" spans="9:52" ht="11.25" customHeight="1">
      <c r="I301" t="str">
        <f>'Revenue drivers'!I57</f>
        <v>Total international revenue</v>
      </c>
      <c r="M301">
        <f>'Revenue drivers'!M57</f>
        <v>0</v>
      </c>
      <c r="N301">
        <f>'Revenue drivers'!N57</f>
        <v>0</v>
      </c>
      <c r="O301">
        <f>'Revenue drivers'!O57</f>
        <v>0</v>
      </c>
      <c r="P301">
        <f>'Revenue drivers'!P57</f>
        <v>0</v>
      </c>
      <c r="Q301">
        <f>'Revenue drivers'!Q57</f>
        <v>0</v>
      </c>
      <c r="R301">
        <f>'Revenue drivers'!R57</f>
        <v>0</v>
      </c>
      <c r="S301">
        <f>'Revenue drivers'!S57</f>
        <v>0</v>
      </c>
      <c r="T301">
        <f>'Revenue drivers'!T57</f>
        <v>0</v>
      </c>
      <c r="U301">
        <f>'Revenue drivers'!U57</f>
        <v>0</v>
      </c>
      <c r="V301">
        <f>'Revenue drivers'!V57</f>
        <v>0</v>
      </c>
      <c r="W301">
        <f>'Revenue drivers'!W57</f>
        <v>0</v>
      </c>
      <c r="X301">
        <f>'Revenue drivers'!X57</f>
        <v>0</v>
      </c>
      <c r="Y301">
        <f>'Revenue drivers'!Y57</f>
        <v>2.3066500000000003</v>
      </c>
      <c r="Z301">
        <f>'Revenue drivers'!Z57</f>
        <v>2.7511500000000004</v>
      </c>
      <c r="AA301">
        <f>'Revenue drivers'!AA57</f>
        <v>3.05905</v>
      </c>
      <c r="AB301">
        <f>'Revenue drivers'!AB57</f>
        <v>2.6140869999999996</v>
      </c>
      <c r="AC301">
        <f>'Revenue drivers'!AC57</f>
        <v>2.5214310000000002</v>
      </c>
      <c r="AD301">
        <f>'Revenue drivers'!AD57</f>
        <v>2.6636100000000003</v>
      </c>
      <c r="AE301">
        <f>'Revenue drivers'!AE57</f>
        <v>3.0736499999999998</v>
      </c>
      <c r="AF301">
        <f>'Revenue drivers'!AF57</f>
        <v>3.2966099999999998</v>
      </c>
      <c r="AG301">
        <f>'Revenue drivers'!AG57</f>
        <v>3.2</v>
      </c>
      <c r="AH301">
        <f>'Revenue drivers'!AH57</f>
        <v>3</v>
      </c>
      <c r="AI301">
        <f>'Revenue drivers'!AI57</f>
        <v>2.9</v>
      </c>
      <c r="AJ301">
        <f>'Revenue drivers'!AJ57</f>
        <v>3</v>
      </c>
      <c r="AL301">
        <f>'Revenue drivers'!BF57</f>
        <v>0</v>
      </c>
      <c r="AM301">
        <f>'Revenue drivers'!BG57</f>
        <v>0</v>
      </c>
      <c r="AN301">
        <f>'Revenue drivers'!BH57</f>
        <v>0</v>
      </c>
      <c r="AO301">
        <f>'Revenue drivers'!BI57</f>
        <v>0</v>
      </c>
      <c r="AP301">
        <f>'Revenue drivers'!BJ57</f>
        <v>0</v>
      </c>
      <c r="AQ301">
        <f>'Revenue drivers'!BK57</f>
        <v>0</v>
      </c>
      <c r="AR301">
        <f>'Revenue drivers'!BL57</f>
        <v>0</v>
      </c>
      <c r="AS301">
        <f>'Revenue drivers'!BM57</f>
        <v>10.730936999999999</v>
      </c>
      <c r="AT301">
        <f>'Revenue drivers'!BN57</f>
        <v>11.555300999999998</v>
      </c>
      <c r="AU301">
        <f>'Revenue drivers'!BO57</f>
        <v>12.1</v>
      </c>
      <c r="AV301">
        <f>'Revenue drivers'!BP57</f>
        <v>14.700000000000001</v>
      </c>
      <c r="AW301">
        <f>'Revenue drivers'!BQ57</f>
        <v>0</v>
      </c>
      <c r="AX301">
        <f>'Revenue drivers'!BR57</f>
        <v>0</v>
      </c>
      <c r="AY301">
        <f>'Revenue drivers'!BS57</f>
        <v>0</v>
      </c>
      <c r="AZ301">
        <f>'Revenue drivers'!BT57</f>
        <v>0</v>
      </c>
    </row>
    <row r="302" spans="9:52" ht="11.25" customHeight="1">
      <c r="I302" t="str">
        <f>'Revenue drivers'!I58</f>
        <v>% change Y/Y</v>
      </c>
      <c r="M302">
        <f>'Revenue drivers'!M58</f>
        <v>0</v>
      </c>
      <c r="N302">
        <f>'Revenue drivers'!N58</f>
        <v>0</v>
      </c>
      <c r="O302">
        <f>'Revenue drivers'!O58</f>
        <v>0</v>
      </c>
      <c r="P302">
        <f>'Revenue drivers'!P58</f>
        <v>0</v>
      </c>
      <c r="Q302">
        <f>'Revenue drivers'!Q58</f>
        <v>0</v>
      </c>
      <c r="R302">
        <f>'Revenue drivers'!R58</f>
        <v>0</v>
      </c>
      <c r="S302">
        <f>'Revenue drivers'!S58</f>
        <v>0</v>
      </c>
      <c r="T302">
        <f>'Revenue drivers'!T58</f>
        <v>0</v>
      </c>
      <c r="U302">
        <f>'Revenue drivers'!U58</f>
        <v>0</v>
      </c>
      <c r="V302">
        <f>'Revenue drivers'!V58</f>
        <v>0</v>
      </c>
      <c r="W302">
        <f>'Revenue drivers'!W58</f>
        <v>0</v>
      </c>
      <c r="X302">
        <f>'Revenue drivers'!X58</f>
        <v>0</v>
      </c>
      <c r="Y302">
        <f>'Revenue drivers'!Y58</f>
        <v>0</v>
      </c>
      <c r="Z302" t="str">
        <f>'Revenue drivers'!Z58</f>
        <v>NA</v>
      </c>
      <c r="AA302" t="str">
        <f>'Revenue drivers'!AA58</f>
        <v>NA</v>
      </c>
      <c r="AB302" t="str">
        <f>'Revenue drivers'!AB58</f>
        <v>NA</v>
      </c>
      <c r="AC302">
        <f>'Revenue drivers'!AC58</f>
        <v>9.3113823076756308E-2</v>
      </c>
      <c r="AD302">
        <f>'Revenue drivers'!AD58</f>
        <v>-3.1819420969412815E-2</v>
      </c>
      <c r="AE302">
        <f>'Revenue drivers'!AE58</f>
        <v>4.7727235579673177E-3</v>
      </c>
      <c r="AF302">
        <f>'Revenue drivers'!AF58</f>
        <v>0.26109421759872586</v>
      </c>
      <c r="AG302">
        <f>'Revenue drivers'!AG58</f>
        <v>0.26912059064872285</v>
      </c>
      <c r="AH302">
        <f>'Revenue drivers'!AH58</f>
        <v>0.12629101107144058</v>
      </c>
      <c r="AI302">
        <f>'Revenue drivers'!AI58</f>
        <v>-5.6496347990174556E-2</v>
      </c>
      <c r="AJ302">
        <f>'Revenue drivers'!AJ58</f>
        <v>-8.9974246271169456E-2</v>
      </c>
      <c r="AL302">
        <f>'Revenue drivers'!BF58</f>
        <v>0</v>
      </c>
      <c r="AM302">
        <f>'Revenue drivers'!BG58</f>
        <v>0</v>
      </c>
      <c r="AN302">
        <f>'Revenue drivers'!BH58</f>
        <v>0</v>
      </c>
      <c r="AO302">
        <f>'Revenue drivers'!BI58</f>
        <v>0</v>
      </c>
      <c r="AP302">
        <f>'Revenue drivers'!BJ58</f>
        <v>0</v>
      </c>
      <c r="AQ302">
        <f>'Revenue drivers'!BK58</f>
        <v>0</v>
      </c>
      <c r="AR302">
        <f>'Revenue drivers'!BL58</f>
        <v>0</v>
      </c>
      <c r="AS302">
        <f>'Revenue drivers'!BM58</f>
        <v>0</v>
      </c>
      <c r="AT302">
        <f>'Revenue drivers'!BN58</f>
        <v>7.6821250558082532E-2</v>
      </c>
      <c r="AU302">
        <f>'Revenue drivers'!BO58</f>
        <v>4.7138451867242637E-2</v>
      </c>
      <c r="AV302">
        <f>'Revenue drivers'!BP58</f>
        <v>0.21487603305785141</v>
      </c>
      <c r="AW302" t="str">
        <f>'Revenue drivers'!BQ58</f>
        <v>NM</v>
      </c>
      <c r="AX302" t="str">
        <f>'Revenue drivers'!BR58</f>
        <v>NA</v>
      </c>
      <c r="AY302" t="str">
        <f>'Revenue drivers'!BS58</f>
        <v>NA</v>
      </c>
      <c r="AZ302" t="str">
        <f>'Revenue drivers'!BT58</f>
        <v>NA</v>
      </c>
    </row>
    <row r="303" spans="9:52" ht="11.25" customHeight="1">
      <c r="I303" t="str">
        <f>'Revenue drivers'!I59</f>
        <v>% change Q/Q</v>
      </c>
      <c r="M303">
        <f>'Revenue drivers'!M59</f>
        <v>0</v>
      </c>
      <c r="N303">
        <f>'Revenue drivers'!N59</f>
        <v>0</v>
      </c>
      <c r="O303">
        <f>'Revenue drivers'!O59</f>
        <v>0</v>
      </c>
      <c r="P303">
        <f>'Revenue drivers'!P59</f>
        <v>0</v>
      </c>
      <c r="Q303">
        <f>'Revenue drivers'!Q59</f>
        <v>0</v>
      </c>
      <c r="R303">
        <f>'Revenue drivers'!R59</f>
        <v>0</v>
      </c>
      <c r="S303">
        <f>'Revenue drivers'!S59</f>
        <v>0</v>
      </c>
      <c r="T303">
        <f>'Revenue drivers'!T59</f>
        <v>0</v>
      </c>
      <c r="U303">
        <f>'Revenue drivers'!U59</f>
        <v>0</v>
      </c>
      <c r="V303">
        <f>'Revenue drivers'!V59</f>
        <v>0</v>
      </c>
      <c r="W303">
        <f>'Revenue drivers'!W59</f>
        <v>0</v>
      </c>
      <c r="X303">
        <f>'Revenue drivers'!X59</f>
        <v>0</v>
      </c>
      <c r="Y303">
        <f>'Revenue drivers'!Y59</f>
        <v>0</v>
      </c>
      <c r="Z303">
        <f>'Revenue drivers'!Z59</f>
        <v>0.1927037045065354</v>
      </c>
      <c r="AA303">
        <f>'Revenue drivers'!AA59</f>
        <v>0.11191683477818359</v>
      </c>
      <c r="AB303">
        <f>'Revenue drivers'!AB59</f>
        <v>-0.1454579035975222</v>
      </c>
      <c r="AC303">
        <f>'Revenue drivers'!AC59</f>
        <v>-3.5444879990604528E-2</v>
      </c>
      <c r="AD303">
        <f>'Revenue drivers'!AD59</f>
        <v>5.6388217643076555E-2</v>
      </c>
      <c r="AE303">
        <f>'Revenue drivers'!AE59</f>
        <v>0.15394145539324433</v>
      </c>
      <c r="AF303">
        <f>'Revenue drivers'!AF59</f>
        <v>7.2539163535210616E-2</v>
      </c>
      <c r="AG303">
        <f>'Revenue drivers'!AG59</f>
        <v>-2.9305862689247286E-2</v>
      </c>
      <c r="AH303">
        <f>'Revenue drivers'!AH59</f>
        <v>-6.25E-2</v>
      </c>
      <c r="AI303">
        <f>'Revenue drivers'!AI59</f>
        <v>-3.3333333333333326E-2</v>
      </c>
      <c r="AJ303">
        <f>'Revenue drivers'!AJ59</f>
        <v>3.4482758620689724E-2</v>
      </c>
      <c r="AL303">
        <f>'Revenue drivers'!BF59</f>
        <v>0</v>
      </c>
      <c r="AM303">
        <f>'Revenue drivers'!BG59</f>
        <v>0</v>
      </c>
      <c r="AN303">
        <f>'Revenue drivers'!BH59</f>
        <v>0</v>
      </c>
      <c r="AO303">
        <f>'Revenue drivers'!BI59</f>
        <v>0</v>
      </c>
      <c r="AP303">
        <f>'Revenue drivers'!BJ59</f>
        <v>0</v>
      </c>
      <c r="AQ303">
        <f>'Revenue drivers'!BK59</f>
        <v>0</v>
      </c>
      <c r="AR303">
        <f>'Revenue drivers'!BL59</f>
        <v>0</v>
      </c>
      <c r="AS303">
        <f>'Revenue drivers'!BM59</f>
        <v>0</v>
      </c>
      <c r="AT303">
        <f>'Revenue drivers'!BN59</f>
        <v>0</v>
      </c>
      <c r="AU303">
        <f>'Revenue drivers'!BO59</f>
        <v>0</v>
      </c>
      <c r="AV303">
        <f>'Revenue drivers'!BP59</f>
        <v>0</v>
      </c>
      <c r="AW303">
        <f>'Revenue drivers'!BQ59</f>
        <v>0</v>
      </c>
      <c r="AX303">
        <f>'Revenue drivers'!BR59</f>
        <v>0</v>
      </c>
      <c r="AY303">
        <f>'Revenue drivers'!BS59</f>
        <v>0</v>
      </c>
      <c r="AZ303">
        <f>'Revenue drivers'!BT59</f>
        <v>0</v>
      </c>
    </row>
    <row r="304" spans="9:52" ht="11.25" customHeight="1">
      <c r="I304" t="str">
        <f>'Revenue drivers'!I60</f>
        <v>% of total revenue</v>
      </c>
      <c r="M304">
        <f>'Revenue drivers'!M60</f>
        <v>0</v>
      </c>
      <c r="N304">
        <f>'Revenue drivers'!N60</f>
        <v>0</v>
      </c>
      <c r="O304">
        <f>'Revenue drivers'!O60</f>
        <v>0</v>
      </c>
      <c r="P304">
        <f>'Revenue drivers'!P60</f>
        <v>0</v>
      </c>
      <c r="Q304">
        <f>'Revenue drivers'!Q60</f>
        <v>0</v>
      </c>
      <c r="R304">
        <f>'Revenue drivers'!R60</f>
        <v>0</v>
      </c>
      <c r="S304">
        <f>'Revenue drivers'!S60</f>
        <v>0</v>
      </c>
      <c r="T304">
        <f>'Revenue drivers'!T60</f>
        <v>0</v>
      </c>
      <c r="U304">
        <f>'Revenue drivers'!U60</f>
        <v>0</v>
      </c>
      <c r="V304">
        <f>'Revenue drivers'!V60</f>
        <v>0</v>
      </c>
      <c r="W304">
        <f>'Revenue drivers'!W60</f>
        <v>0</v>
      </c>
      <c r="X304">
        <f>'Revenue drivers'!X60</f>
        <v>0</v>
      </c>
      <c r="Y304">
        <f>'Revenue drivers'!Y60</f>
        <v>0.05</v>
      </c>
      <c r="Z304">
        <f>'Revenue drivers'!Z60</f>
        <v>0.05</v>
      </c>
      <c r="AA304">
        <f>'Revenue drivers'!AA60</f>
        <v>0.05</v>
      </c>
      <c r="AB304">
        <f>'Revenue drivers'!AB60</f>
        <v>3.6999999999999998E-2</v>
      </c>
      <c r="AC304">
        <f>'Revenue drivers'!AC60</f>
        <v>3.3000000000000002E-2</v>
      </c>
      <c r="AD304">
        <f>'Revenue drivers'!AD60</f>
        <v>0.03</v>
      </c>
      <c r="AE304">
        <f>'Revenue drivers'!AE60</f>
        <v>0.03</v>
      </c>
      <c r="AF304">
        <f>'Revenue drivers'!AF60</f>
        <v>0.03</v>
      </c>
      <c r="AG304">
        <f>'Revenue drivers'!AG60</f>
        <v>2.8622540250447231E-2</v>
      </c>
      <c r="AH304">
        <f>'Revenue drivers'!AH60</f>
        <v>2.3885350318471339E-2</v>
      </c>
      <c r="AI304">
        <f>'Revenue drivers'!AI60</f>
        <v>2.1545319465081723E-2</v>
      </c>
      <c r="AJ304">
        <f>'Revenue drivers'!AJ60</f>
        <v>2.0449897750511249E-2</v>
      </c>
      <c r="AL304">
        <f>'Revenue drivers'!BF60</f>
        <v>0</v>
      </c>
      <c r="AM304">
        <f>'Revenue drivers'!BG60</f>
        <v>0</v>
      </c>
      <c r="AN304">
        <f>'Revenue drivers'!BH60</f>
        <v>0</v>
      </c>
      <c r="AO304">
        <f>'Revenue drivers'!BI60</f>
        <v>0</v>
      </c>
      <c r="AP304">
        <f>'Revenue drivers'!BJ60</f>
        <v>0</v>
      </c>
      <c r="AQ304">
        <f>'Revenue drivers'!BK60</f>
        <v>0</v>
      </c>
      <c r="AR304">
        <f>'Revenue drivers'!BL60</f>
        <v>0</v>
      </c>
      <c r="AS304">
        <f>'Revenue drivers'!BM60</f>
        <v>0</v>
      </c>
      <c r="AT304">
        <f>'Revenue drivers'!BN60</f>
        <v>3.0607150046618067E-2</v>
      </c>
      <c r="AU304">
        <f>'Revenue drivers'!BO60</f>
        <v>2.3327549643339114E-2</v>
      </c>
      <c r="AV304">
        <f>'Revenue drivers'!BP60</f>
        <v>2.061511578823368E-2</v>
      </c>
      <c r="AW304">
        <f>'Revenue drivers'!BQ60</f>
        <v>0</v>
      </c>
      <c r="AX304">
        <f>'Revenue drivers'!BR60</f>
        <v>0</v>
      </c>
      <c r="AY304">
        <f>'Revenue drivers'!BS60</f>
        <v>0</v>
      </c>
      <c r="AZ304">
        <f>'Revenue drivers'!BT60</f>
        <v>0</v>
      </c>
    </row>
    <row r="305" spans="9:52" ht="11.25" customHeight="1">
      <c r="I305" t="str">
        <f>'Revenue drivers'!I61</f>
        <v>Y/Y Abs Growth</v>
      </c>
      <c r="M305">
        <f>'Revenue drivers'!M61</f>
        <v>0</v>
      </c>
      <c r="N305">
        <f>'Revenue drivers'!N61</f>
        <v>0</v>
      </c>
      <c r="O305">
        <f>'Revenue drivers'!O61</f>
        <v>0</v>
      </c>
      <c r="P305">
        <f>'Revenue drivers'!P61</f>
        <v>0</v>
      </c>
      <c r="Q305">
        <f>'Revenue drivers'!Q61</f>
        <v>0</v>
      </c>
      <c r="R305">
        <f>'Revenue drivers'!R61</f>
        <v>0</v>
      </c>
      <c r="S305">
        <f>'Revenue drivers'!S61</f>
        <v>0</v>
      </c>
      <c r="T305">
        <f>'Revenue drivers'!T61</f>
        <v>0</v>
      </c>
      <c r="U305">
        <f>'Revenue drivers'!U61</f>
        <v>0</v>
      </c>
      <c r="V305">
        <f>'Revenue drivers'!V61</f>
        <v>0</v>
      </c>
      <c r="W305">
        <f>'Revenue drivers'!W61</f>
        <v>0</v>
      </c>
      <c r="X305">
        <f>'Revenue drivers'!X61</f>
        <v>0</v>
      </c>
      <c r="Y305">
        <f>'Revenue drivers'!Y61</f>
        <v>0</v>
      </c>
      <c r="Z305">
        <f>'Revenue drivers'!Z61</f>
        <v>0</v>
      </c>
      <c r="AA305">
        <f>'Revenue drivers'!AA61</f>
        <v>0</v>
      </c>
      <c r="AB305">
        <f>'Revenue drivers'!AB61</f>
        <v>0</v>
      </c>
      <c r="AC305">
        <f>'Revenue drivers'!AC61</f>
        <v>0</v>
      </c>
      <c r="AD305">
        <f>'Revenue drivers'!AD61</f>
        <v>-8.7540000000000173E-2</v>
      </c>
      <c r="AE305">
        <f>'Revenue drivers'!AE61</f>
        <v>1.4599999999999724E-2</v>
      </c>
      <c r="AF305">
        <f>'Revenue drivers'!AF61</f>
        <v>0.68252300000000021</v>
      </c>
      <c r="AG305">
        <f>'Revenue drivers'!AG61</f>
        <v>0.67856899999999998</v>
      </c>
      <c r="AH305">
        <f>'Revenue drivers'!AH61</f>
        <v>0.33638999999999974</v>
      </c>
      <c r="AI305">
        <f>'Revenue drivers'!AI61</f>
        <v>-0.17364999999999986</v>
      </c>
      <c r="AJ305">
        <f>'Revenue drivers'!AJ61</f>
        <v>-0.29660999999999982</v>
      </c>
      <c r="AL305">
        <f>'Revenue drivers'!BF61</f>
        <v>0</v>
      </c>
      <c r="AM305">
        <f>'Revenue drivers'!BG61</f>
        <v>0</v>
      </c>
      <c r="AN305">
        <f>'Revenue drivers'!BH61</f>
        <v>0</v>
      </c>
      <c r="AO305">
        <f>'Revenue drivers'!BI61</f>
        <v>0</v>
      </c>
      <c r="AP305">
        <f>'Revenue drivers'!BJ61</f>
        <v>0</v>
      </c>
      <c r="AQ305">
        <f>'Revenue drivers'!BK61</f>
        <v>0</v>
      </c>
      <c r="AR305">
        <f>'Revenue drivers'!BL61</f>
        <v>0</v>
      </c>
      <c r="AS305">
        <f>'Revenue drivers'!BM61</f>
        <v>0</v>
      </c>
      <c r="AT305">
        <f>'Revenue drivers'!BN61</f>
        <v>0.82436399999999921</v>
      </c>
      <c r="AU305">
        <f>'Revenue drivers'!BO61</f>
        <v>0.54469900000000138</v>
      </c>
      <c r="AV305">
        <f>'Revenue drivers'!BP61</f>
        <v>2.6000000000000014</v>
      </c>
      <c r="AW305">
        <f>'Revenue drivers'!BQ61</f>
        <v>-14.700000000000001</v>
      </c>
      <c r="AX305">
        <f>'Revenue drivers'!BR61</f>
        <v>0</v>
      </c>
      <c r="AY305">
        <f>'Revenue drivers'!BS61</f>
        <v>0</v>
      </c>
      <c r="AZ305">
        <f>'Revenue drivers'!BT61</f>
        <v>0</v>
      </c>
    </row>
    <row r="306" spans="9:52" ht="11.25" customHeight="1">
      <c r="I306" t="str">
        <f>'Revenue drivers'!I62</f>
        <v>Q/Q Abs Growth</v>
      </c>
      <c r="M306">
        <f>'Revenue drivers'!M62</f>
        <v>0</v>
      </c>
      <c r="N306">
        <f>'Revenue drivers'!N62</f>
        <v>0</v>
      </c>
      <c r="O306">
        <f>'Revenue drivers'!O62</f>
        <v>0</v>
      </c>
      <c r="P306">
        <f>'Revenue drivers'!P62</f>
        <v>0</v>
      </c>
      <c r="Q306">
        <f>'Revenue drivers'!Q62</f>
        <v>0</v>
      </c>
      <c r="R306">
        <f>'Revenue drivers'!R62</f>
        <v>0</v>
      </c>
      <c r="S306">
        <f>'Revenue drivers'!S62</f>
        <v>0</v>
      </c>
      <c r="T306">
        <f>'Revenue drivers'!T62</f>
        <v>0</v>
      </c>
      <c r="U306">
        <f>'Revenue drivers'!U62</f>
        <v>0</v>
      </c>
      <c r="V306">
        <f>'Revenue drivers'!V62</f>
        <v>0</v>
      </c>
      <c r="W306">
        <f>'Revenue drivers'!W62</f>
        <v>0</v>
      </c>
      <c r="X306">
        <f>'Revenue drivers'!X62</f>
        <v>0</v>
      </c>
      <c r="Y306">
        <f>'Revenue drivers'!Y62</f>
        <v>0</v>
      </c>
      <c r="Z306">
        <f>'Revenue drivers'!Z62</f>
        <v>0</v>
      </c>
      <c r="AA306">
        <f>'Revenue drivers'!AA62</f>
        <v>0.30789999999999962</v>
      </c>
      <c r="AB306">
        <f>'Revenue drivers'!AB62</f>
        <v>-0.44496300000000044</v>
      </c>
      <c r="AC306">
        <f>'Revenue drivers'!AC62</f>
        <v>-9.2655999999999406E-2</v>
      </c>
      <c r="AD306">
        <f>'Revenue drivers'!AD62</f>
        <v>0.14217900000000006</v>
      </c>
      <c r="AE306">
        <f>'Revenue drivers'!AE62</f>
        <v>0.41003999999999952</v>
      </c>
      <c r="AF306">
        <f>'Revenue drivers'!AF62</f>
        <v>0.22296000000000005</v>
      </c>
      <c r="AG306">
        <f>'Revenue drivers'!AG62</f>
        <v>-9.6609999999999641E-2</v>
      </c>
      <c r="AH306">
        <f>'Revenue drivers'!AH62</f>
        <v>-0.20000000000000018</v>
      </c>
      <c r="AI306">
        <f>'Revenue drivers'!AI62</f>
        <v>-0.10000000000000009</v>
      </c>
      <c r="AJ306">
        <f>'Revenue drivers'!AJ62</f>
        <v>0.10000000000000009</v>
      </c>
      <c r="AL306">
        <f>'Revenue drivers'!BF62</f>
        <v>0</v>
      </c>
      <c r="AM306">
        <f>'Revenue drivers'!BG62</f>
        <v>0</v>
      </c>
      <c r="AN306">
        <f>'Revenue drivers'!BH62</f>
        <v>0</v>
      </c>
      <c r="AO306">
        <f>'Revenue drivers'!BI62</f>
        <v>0</v>
      </c>
      <c r="AP306">
        <f>'Revenue drivers'!BJ62</f>
        <v>0</v>
      </c>
      <c r="AQ306">
        <f>'Revenue drivers'!BK62</f>
        <v>0</v>
      </c>
      <c r="AR306">
        <f>'Revenue drivers'!BL62</f>
        <v>0</v>
      </c>
      <c r="AS306">
        <f>'Revenue drivers'!BM62</f>
        <v>0</v>
      </c>
      <c r="AT306">
        <f>'Revenue drivers'!BN62</f>
        <v>0</v>
      </c>
      <c r="AU306">
        <f>'Revenue drivers'!BO62</f>
        <v>0</v>
      </c>
      <c r="AV306">
        <f>'Revenue drivers'!BP62</f>
        <v>0</v>
      </c>
      <c r="AW306">
        <f>'Revenue drivers'!BQ62</f>
        <v>0</v>
      </c>
      <c r="AX306">
        <f>'Revenue drivers'!BR62</f>
        <v>0</v>
      </c>
      <c r="AY306">
        <f>'Revenue drivers'!BS62</f>
        <v>0</v>
      </c>
      <c r="AZ306">
        <f>'Revenue drivers'!BT62</f>
        <v>0</v>
      </c>
    </row>
    <row r="307" spans="9:52" ht="11.25" customHeight="1">
      <c r="I307">
        <f>'Revenue drivers'!I63</f>
        <v>0</v>
      </c>
      <c r="M307">
        <f>'Revenue drivers'!M63</f>
        <v>0</v>
      </c>
      <c r="N307">
        <f>'Revenue drivers'!N63</f>
        <v>0</v>
      </c>
      <c r="O307">
        <f>'Revenue drivers'!O63</f>
        <v>0</v>
      </c>
      <c r="P307">
        <f>'Revenue drivers'!P63</f>
        <v>0</v>
      </c>
      <c r="Q307">
        <f>'Revenue drivers'!Q63</f>
        <v>0</v>
      </c>
      <c r="R307">
        <f>'Revenue drivers'!R63</f>
        <v>0</v>
      </c>
      <c r="S307">
        <f>'Revenue drivers'!S63</f>
        <v>0</v>
      </c>
      <c r="T307">
        <f>'Revenue drivers'!T63</f>
        <v>0</v>
      </c>
      <c r="U307">
        <f>'Revenue drivers'!U63</f>
        <v>0</v>
      </c>
      <c r="V307">
        <f>'Revenue drivers'!V63</f>
        <v>0</v>
      </c>
      <c r="W307">
        <f>'Revenue drivers'!W63</f>
        <v>0</v>
      </c>
      <c r="X307">
        <f>'Revenue drivers'!X63</f>
        <v>0</v>
      </c>
      <c r="Y307">
        <f>'Revenue drivers'!Y63</f>
        <v>0</v>
      </c>
      <c r="Z307">
        <f>'Revenue drivers'!Z63</f>
        <v>0</v>
      </c>
      <c r="AA307">
        <f>'Revenue drivers'!AA63</f>
        <v>0</v>
      </c>
      <c r="AB307">
        <f>'Revenue drivers'!AB63</f>
        <v>0</v>
      </c>
      <c r="AC307">
        <f>'Revenue drivers'!AC63</f>
        <v>0</v>
      </c>
      <c r="AD307">
        <f>'Revenue drivers'!AD63</f>
        <v>0</v>
      </c>
      <c r="AE307">
        <f>'Revenue drivers'!AE63</f>
        <v>0</v>
      </c>
      <c r="AF307">
        <f>'Revenue drivers'!AF63</f>
        <v>0</v>
      </c>
      <c r="AG307">
        <f>'Revenue drivers'!AG63</f>
        <v>0</v>
      </c>
      <c r="AH307">
        <f>'Revenue drivers'!AH63</f>
        <v>0</v>
      </c>
      <c r="AI307">
        <f>'Revenue drivers'!AI63</f>
        <v>0</v>
      </c>
      <c r="AJ307">
        <f>'Revenue drivers'!AJ63</f>
        <v>0</v>
      </c>
      <c r="AL307">
        <f>'Revenue drivers'!BF63</f>
        <v>0</v>
      </c>
      <c r="AM307">
        <f>'Revenue drivers'!BG63</f>
        <v>0</v>
      </c>
      <c r="AN307">
        <f>'Revenue drivers'!BH63</f>
        <v>0</v>
      </c>
      <c r="AO307">
        <f>'Revenue drivers'!BI63</f>
        <v>0</v>
      </c>
      <c r="AP307">
        <f>'Revenue drivers'!BJ63</f>
        <v>0</v>
      </c>
      <c r="AQ307">
        <f>'Revenue drivers'!BK63</f>
        <v>0</v>
      </c>
      <c r="AR307">
        <f>'Revenue drivers'!BL63</f>
        <v>0</v>
      </c>
      <c r="AS307">
        <f>'Revenue drivers'!BM63</f>
        <v>0</v>
      </c>
      <c r="AT307">
        <f>'Revenue drivers'!BN63</f>
        <v>0</v>
      </c>
      <c r="AU307">
        <f>'Revenue drivers'!BO63</f>
        <v>0</v>
      </c>
      <c r="AV307">
        <f>'Revenue drivers'!BP63</f>
        <v>0</v>
      </c>
      <c r="AW307">
        <f>'Revenue drivers'!BQ63</f>
        <v>0</v>
      </c>
      <c r="AX307">
        <f>'Revenue drivers'!BR63</f>
        <v>0</v>
      </c>
      <c r="AY307">
        <f>'Revenue drivers'!BS63</f>
        <v>0</v>
      </c>
      <c r="AZ307">
        <f>'Revenue drivers'!BT63</f>
        <v>0</v>
      </c>
    </row>
    <row r="308" spans="9:52" ht="11.25" customHeight="1">
      <c r="I308">
        <f>'Revenue drivers'!I301</f>
        <v>0</v>
      </c>
      <c r="M308">
        <f>'Revenue drivers'!M301</f>
        <v>0</v>
      </c>
      <c r="N308">
        <f>'Revenue drivers'!N301</f>
        <v>0</v>
      </c>
      <c r="O308">
        <f>'Revenue drivers'!O301</f>
        <v>0</v>
      </c>
      <c r="P308">
        <f>'Revenue drivers'!P301</f>
        <v>0</v>
      </c>
      <c r="Q308">
        <f>'Revenue drivers'!Q301</f>
        <v>0</v>
      </c>
      <c r="R308">
        <f>'Revenue drivers'!R301</f>
        <v>0</v>
      </c>
      <c r="S308">
        <f>'Revenue drivers'!S301</f>
        <v>0</v>
      </c>
      <c r="T308">
        <f>'Revenue drivers'!T301</f>
        <v>0</v>
      </c>
      <c r="U308">
        <f>'Revenue drivers'!U301</f>
        <v>0</v>
      </c>
      <c r="V308">
        <f>'Revenue drivers'!V301</f>
        <v>0</v>
      </c>
      <c r="W308">
        <f>'Revenue drivers'!W301</f>
        <v>0</v>
      </c>
      <c r="X308">
        <f>'Revenue drivers'!X301</f>
        <v>0</v>
      </c>
      <c r="Y308">
        <f>'Revenue drivers'!Y301</f>
        <v>0</v>
      </c>
      <c r="Z308">
        <f>'Revenue drivers'!Z301</f>
        <v>0</v>
      </c>
      <c r="AA308">
        <f>'Revenue drivers'!AA301</f>
        <v>0</v>
      </c>
      <c r="AB308">
        <f>'Revenue drivers'!AB301</f>
        <v>0</v>
      </c>
      <c r="AC308">
        <f>'Revenue drivers'!AC301</f>
        <v>0</v>
      </c>
      <c r="AD308">
        <f>'Revenue drivers'!AD301</f>
        <v>0</v>
      </c>
      <c r="AE308">
        <f>'Revenue drivers'!AE301</f>
        <v>0</v>
      </c>
      <c r="AF308">
        <f>'Revenue drivers'!AF301</f>
        <v>0</v>
      </c>
      <c r="AG308">
        <f>'Revenue drivers'!AG301</f>
        <v>0</v>
      </c>
      <c r="AH308">
        <f>'Revenue drivers'!AH301</f>
        <v>0</v>
      </c>
      <c r="AI308">
        <f>'Revenue drivers'!AI301</f>
        <v>0</v>
      </c>
      <c r="AJ308">
        <f>'Revenue drivers'!AJ301</f>
        <v>0</v>
      </c>
      <c r="AL308">
        <f>'Revenue drivers'!BF301</f>
        <v>0</v>
      </c>
      <c r="AM308">
        <f>'Revenue drivers'!BG301</f>
        <v>0</v>
      </c>
      <c r="AN308">
        <f>'Revenue drivers'!BH301</f>
        <v>0</v>
      </c>
      <c r="AO308">
        <f>'Revenue drivers'!BI301</f>
        <v>0</v>
      </c>
      <c r="AP308">
        <f>'Revenue drivers'!BJ301</f>
        <v>0</v>
      </c>
      <c r="AQ308">
        <f>'Revenue drivers'!BK301</f>
        <v>0</v>
      </c>
      <c r="AR308">
        <f>'Revenue drivers'!BL301</f>
        <v>0</v>
      </c>
      <c r="AS308">
        <f>'Revenue drivers'!BM301</f>
        <v>0</v>
      </c>
      <c r="AT308">
        <f>'Revenue drivers'!BN301</f>
        <v>0</v>
      </c>
      <c r="AU308">
        <f>'Revenue drivers'!BO301</f>
        <v>0</v>
      </c>
      <c r="AV308">
        <f>'Revenue drivers'!BP301</f>
        <v>0</v>
      </c>
      <c r="AW308">
        <f>'Revenue drivers'!BQ301</f>
        <v>0</v>
      </c>
      <c r="AX308">
        <f>'Revenue drivers'!BR301</f>
        <v>0</v>
      </c>
      <c r="AY308">
        <f>'Revenue drivers'!BS301</f>
        <v>0</v>
      </c>
      <c r="AZ308">
        <f>'Revenue drivers'!BT301</f>
        <v>0</v>
      </c>
    </row>
    <row r="309" spans="9:52" ht="11.25" customHeight="1">
      <c r="I309" t="str">
        <f>'Revenue drivers'!I488</f>
        <v>LOCAL ADVERTISING REVENUE</v>
      </c>
      <c r="M309">
        <f>'Revenue drivers'!M488</f>
        <v>0</v>
      </c>
      <c r="N309">
        <f>'Revenue drivers'!N488</f>
        <v>0</v>
      </c>
      <c r="O309">
        <f>'Revenue drivers'!O488</f>
        <v>0</v>
      </c>
      <c r="P309">
        <f>'Revenue drivers'!P488</f>
        <v>0</v>
      </c>
      <c r="Q309">
        <f>'Revenue drivers'!Q488</f>
        <v>0</v>
      </c>
      <c r="R309">
        <f>'Revenue drivers'!R488</f>
        <v>0</v>
      </c>
      <c r="S309">
        <f>'Revenue drivers'!S488</f>
        <v>0</v>
      </c>
      <c r="T309">
        <f>'Revenue drivers'!T488</f>
        <v>0</v>
      </c>
      <c r="U309">
        <f>'Revenue drivers'!U488</f>
        <v>0</v>
      </c>
      <c r="V309">
        <f>'Revenue drivers'!V488</f>
        <v>0</v>
      </c>
      <c r="W309">
        <f>'Revenue drivers'!W488</f>
        <v>0</v>
      </c>
      <c r="X309">
        <f>'Revenue drivers'!X488</f>
        <v>0</v>
      </c>
      <c r="Y309">
        <f>'Revenue drivers'!Y488</f>
        <v>0</v>
      </c>
      <c r="Z309">
        <f>'Revenue drivers'!Z488</f>
        <v>0</v>
      </c>
      <c r="AA309">
        <f>'Revenue drivers'!AA488</f>
        <v>0</v>
      </c>
      <c r="AB309">
        <f>'Revenue drivers'!AB488</f>
        <v>0</v>
      </c>
      <c r="AC309">
        <f>'Revenue drivers'!AC488</f>
        <v>0</v>
      </c>
      <c r="AD309">
        <f>'Revenue drivers'!AD488</f>
        <v>0</v>
      </c>
      <c r="AE309">
        <f>'Revenue drivers'!AE488</f>
        <v>0</v>
      </c>
      <c r="AF309">
        <f>'Revenue drivers'!AF488</f>
        <v>0</v>
      </c>
      <c r="AG309">
        <f>'Revenue drivers'!AG488</f>
        <v>0</v>
      </c>
      <c r="AH309">
        <f>'Revenue drivers'!AH488</f>
        <v>0</v>
      </c>
      <c r="AI309">
        <f>'Revenue drivers'!AI488</f>
        <v>0</v>
      </c>
      <c r="AJ309">
        <f>'Revenue drivers'!AJ488</f>
        <v>0</v>
      </c>
      <c r="AL309">
        <f>'Revenue drivers'!BF488</f>
        <v>0</v>
      </c>
      <c r="AM309">
        <f>'Revenue drivers'!BG488</f>
        <v>0</v>
      </c>
      <c r="AN309">
        <f>'Revenue drivers'!BH488</f>
        <v>0</v>
      </c>
      <c r="AO309">
        <f>'Revenue drivers'!BI488</f>
        <v>0</v>
      </c>
      <c r="AP309">
        <f>'Revenue drivers'!BJ488</f>
        <v>0</v>
      </c>
      <c r="AQ309">
        <f>'Revenue drivers'!BK488</f>
        <v>0</v>
      </c>
      <c r="AR309">
        <f>'Revenue drivers'!BL488</f>
        <v>0</v>
      </c>
      <c r="AS309">
        <f>'Revenue drivers'!BM488</f>
        <v>0</v>
      </c>
      <c r="AT309">
        <f>'Revenue drivers'!BN488</f>
        <v>0</v>
      </c>
      <c r="AU309">
        <f>'Revenue drivers'!BO488</f>
        <v>0</v>
      </c>
      <c r="AV309">
        <f>'Revenue drivers'!BP488</f>
        <v>0</v>
      </c>
      <c r="AW309">
        <f>'Revenue drivers'!BQ488</f>
        <v>0</v>
      </c>
      <c r="AX309">
        <f>'Revenue drivers'!BR488</f>
        <v>0</v>
      </c>
      <c r="AY309">
        <f>'Revenue drivers'!BS488</f>
        <v>0</v>
      </c>
      <c r="AZ309">
        <f>'Revenue drivers'!BT488</f>
        <v>0</v>
      </c>
    </row>
    <row r="310" spans="9:52" ht="11.25" customHeight="1">
      <c r="I310">
        <f>'Revenue drivers'!I489</f>
        <v>0</v>
      </c>
      <c r="M310">
        <f>'Revenue drivers'!M489</f>
        <v>0</v>
      </c>
      <c r="N310">
        <f>'Revenue drivers'!N489</f>
        <v>0</v>
      </c>
      <c r="O310">
        <f>'Revenue drivers'!O489</f>
        <v>0</v>
      </c>
      <c r="P310">
        <f>'Revenue drivers'!P489</f>
        <v>0</v>
      </c>
      <c r="Q310">
        <f>'Revenue drivers'!Q489</f>
        <v>0</v>
      </c>
      <c r="R310">
        <f>'Revenue drivers'!R489</f>
        <v>0</v>
      </c>
      <c r="S310">
        <f>'Revenue drivers'!S489</f>
        <v>0</v>
      </c>
      <c r="T310">
        <f>'Revenue drivers'!T489</f>
        <v>0</v>
      </c>
      <c r="U310">
        <f>'Revenue drivers'!U489</f>
        <v>0</v>
      </c>
      <c r="V310">
        <f>'Revenue drivers'!V489</f>
        <v>0</v>
      </c>
      <c r="W310">
        <f>'Revenue drivers'!W489</f>
        <v>0</v>
      </c>
      <c r="X310">
        <f>'Revenue drivers'!X489</f>
        <v>0</v>
      </c>
      <c r="Y310">
        <f>'Revenue drivers'!Y489</f>
        <v>0</v>
      </c>
      <c r="Z310">
        <f>'Revenue drivers'!Z489</f>
        <v>0</v>
      </c>
      <c r="AA310">
        <f>'Revenue drivers'!AA489</f>
        <v>0</v>
      </c>
      <c r="AB310">
        <f>'Revenue drivers'!AB489</f>
        <v>0</v>
      </c>
      <c r="AC310">
        <f>'Revenue drivers'!AC489</f>
        <v>0</v>
      </c>
      <c r="AD310">
        <f>'Revenue drivers'!AD489</f>
        <v>0</v>
      </c>
      <c r="AE310">
        <f>'Revenue drivers'!AE489</f>
        <v>0</v>
      </c>
      <c r="AF310">
        <f>'Revenue drivers'!AF489</f>
        <v>0</v>
      </c>
      <c r="AG310">
        <f>'Revenue drivers'!AG489</f>
        <v>0</v>
      </c>
      <c r="AH310">
        <f>'Revenue drivers'!AH489</f>
        <v>0</v>
      </c>
      <c r="AI310">
        <f>'Revenue drivers'!AI489</f>
        <v>0</v>
      </c>
      <c r="AJ310">
        <f>'Revenue drivers'!AJ489</f>
        <v>0</v>
      </c>
      <c r="AL310">
        <f>'Revenue drivers'!BF489</f>
        <v>0</v>
      </c>
      <c r="AM310">
        <f>'Revenue drivers'!BG489</f>
        <v>0</v>
      </c>
      <c r="AN310">
        <f>'Revenue drivers'!BH489</f>
        <v>0</v>
      </c>
      <c r="AO310">
        <f>'Revenue drivers'!BI489</f>
        <v>0</v>
      </c>
      <c r="AP310">
        <f>'Revenue drivers'!BJ489</f>
        <v>0</v>
      </c>
      <c r="AQ310">
        <f>'Revenue drivers'!BK489</f>
        <v>0</v>
      </c>
      <c r="AR310">
        <f>'Revenue drivers'!BL489</f>
        <v>0</v>
      </c>
      <c r="AS310">
        <f>'Revenue drivers'!BM489</f>
        <v>0</v>
      </c>
      <c r="AT310">
        <f>'Revenue drivers'!BN489</f>
        <v>0</v>
      </c>
      <c r="AU310">
        <f>'Revenue drivers'!BO489</f>
        <v>0</v>
      </c>
      <c r="AV310">
        <f>'Revenue drivers'!BP489</f>
        <v>0</v>
      </c>
      <c r="AW310">
        <f>'Revenue drivers'!BQ489</f>
        <v>0</v>
      </c>
      <c r="AX310">
        <f>'Revenue drivers'!BR489</f>
        <v>0</v>
      </c>
      <c r="AY310">
        <f>'Revenue drivers'!BS489</f>
        <v>0</v>
      </c>
      <c r="AZ310">
        <f>'Revenue drivers'!BT489</f>
        <v>0</v>
      </c>
    </row>
    <row r="311" spans="9:52" ht="11.25" customHeight="1">
      <c r="I311" t="str">
        <f>'Revenue drivers'!I490</f>
        <v>Local advertising revenue</v>
      </c>
      <c r="M311">
        <f>'Revenue drivers'!M490</f>
        <v>7.0880000000000001</v>
      </c>
      <c r="N311">
        <f>'Revenue drivers'!N490</f>
        <v>8.1519999999999992</v>
      </c>
      <c r="O311">
        <f>'Revenue drivers'!O490</f>
        <v>8.8800000000000008</v>
      </c>
      <c r="P311">
        <f>'Revenue drivers'!P490</f>
        <v>9.6389999999999993</v>
      </c>
      <c r="Q311">
        <f>'Revenue drivers'!Q490</f>
        <v>11.222</v>
      </c>
      <c r="R311">
        <f>'Revenue drivers'!R490</f>
        <v>13.356999999999999</v>
      </c>
      <c r="S311">
        <f>'Revenue drivers'!S490</f>
        <v>15.746</v>
      </c>
      <c r="T311">
        <f>'Revenue drivers'!T490</f>
        <v>18.148</v>
      </c>
      <c r="U311">
        <f>'Revenue drivers'!U490</f>
        <v>21.472999999999999</v>
      </c>
      <c r="V311">
        <f>'Revenue drivers'!V490</f>
        <v>25.254999999999999</v>
      </c>
      <c r="W311">
        <f>'Revenue drivers'!W490</f>
        <v>28.484999999999999</v>
      </c>
      <c r="X311">
        <f>'Revenue drivers'!X490</f>
        <v>33.945</v>
      </c>
      <c r="Y311">
        <f>'Revenue drivers'!Y490</f>
        <v>38.866</v>
      </c>
      <c r="Z311">
        <f>'Revenue drivers'!Z490</f>
        <v>44.8</v>
      </c>
      <c r="AA311">
        <f>'Revenue drivers'!AA490</f>
        <v>51.167000000000002</v>
      </c>
      <c r="AB311">
        <f>'Revenue drivers'!AB490</f>
        <v>58.052</v>
      </c>
      <c r="AC311">
        <f>'Revenue drivers'!AC490</f>
        <v>65.2</v>
      </c>
      <c r="AD311">
        <f>'Revenue drivers'!AD490</f>
        <v>75.685000000000002</v>
      </c>
      <c r="AE311">
        <f>'Revenue drivers'!AE490</f>
        <v>85.132000000000005</v>
      </c>
      <c r="AF311">
        <f>'Revenue drivers'!AF490</f>
        <v>93.1</v>
      </c>
      <c r="AG311">
        <f>'Revenue drivers'!AG490</f>
        <v>98.57</v>
      </c>
      <c r="AH311">
        <f>'Revenue drivers'!AH490</f>
        <v>107.88200000000001</v>
      </c>
      <c r="AI311">
        <f>'Revenue drivers'!AI490</f>
        <v>115.932</v>
      </c>
      <c r="AJ311">
        <f>'Revenue drivers'!AJ490</f>
        <v>125.851</v>
      </c>
      <c r="AL311">
        <f>'Revenue drivers'!BF490</f>
        <v>0</v>
      </c>
      <c r="AM311">
        <f>'Revenue drivers'!BG490</f>
        <v>0</v>
      </c>
      <c r="AN311">
        <f>'Revenue drivers'!BH490</f>
        <v>9.0570000000000004</v>
      </c>
      <c r="AO311">
        <f>'Revenue drivers'!BI490</f>
        <v>20.097000000000001</v>
      </c>
      <c r="AP311">
        <f>'Revenue drivers'!BJ490</f>
        <v>33.759</v>
      </c>
      <c r="AQ311">
        <f>'Revenue drivers'!BK490</f>
        <v>58.472999999999999</v>
      </c>
      <c r="AR311">
        <f>'Revenue drivers'!BL490</f>
        <v>109.15799999999999</v>
      </c>
      <c r="AS311">
        <f>'Revenue drivers'!BM490</f>
        <v>192.88499999999999</v>
      </c>
      <c r="AT311">
        <f>'Revenue drivers'!BN490</f>
        <v>319.11699999999996</v>
      </c>
      <c r="AU311">
        <f>'Revenue drivers'!BO490</f>
        <v>448.23500000000001</v>
      </c>
      <c r="AV311">
        <f>'Revenue drivers'!BP490</f>
        <v>624.69500000000005</v>
      </c>
      <c r="AW311">
        <f>'Revenue drivers'!BQ490</f>
        <v>771.57900000000006</v>
      </c>
      <c r="AX311">
        <f>'Revenue drivers'!BR490</f>
        <v>917.57900000000006</v>
      </c>
      <c r="AY311">
        <f>'Revenue drivers'!BS490</f>
        <v>1065.5790000000002</v>
      </c>
      <c r="AZ311">
        <f>'Revenue drivers'!BT490</f>
        <v>1213.5790000000002</v>
      </c>
    </row>
    <row r="312" spans="9:52" ht="11.25" customHeight="1">
      <c r="I312" t="str">
        <f>'Revenue drivers'!I491</f>
        <v>% change Y/Y</v>
      </c>
      <c r="M312" t="str">
        <f>'Revenue drivers'!M491</f>
        <v>NA</v>
      </c>
      <c r="N312" t="str">
        <f>'Revenue drivers'!N491</f>
        <v>NA</v>
      </c>
      <c r="O312" t="str">
        <f>'Revenue drivers'!O491</f>
        <v>NA</v>
      </c>
      <c r="P312" t="str">
        <f>'Revenue drivers'!P491</f>
        <v>NA</v>
      </c>
      <c r="Q312">
        <f>'Revenue drivers'!Q491</f>
        <v>0.58323927765237005</v>
      </c>
      <c r="R312">
        <f>'Revenue drivers'!R491</f>
        <v>0.63849362119725228</v>
      </c>
      <c r="S312">
        <f>'Revenue drivers'!S491</f>
        <v>0.77319819819819813</v>
      </c>
      <c r="T312">
        <f>'Revenue drivers'!T491</f>
        <v>0.88276792198360843</v>
      </c>
      <c r="U312">
        <f>'Revenue drivers'!U491</f>
        <v>0.9134735341293887</v>
      </c>
      <c r="V312">
        <f>'Revenue drivers'!V491</f>
        <v>0.890768885228719</v>
      </c>
      <c r="W312">
        <f>'Revenue drivers'!W491</f>
        <v>0.8090308649815825</v>
      </c>
      <c r="X312">
        <f>'Revenue drivers'!X491</f>
        <v>0.87045404452281239</v>
      </c>
      <c r="Y312">
        <f>'Revenue drivers'!Y491</f>
        <v>0.80999394588553075</v>
      </c>
      <c r="Z312">
        <f>'Revenue drivers'!Z491</f>
        <v>0.77390615719659461</v>
      </c>
      <c r="AA312">
        <f>'Revenue drivers'!AA491</f>
        <v>0.7962787431981746</v>
      </c>
      <c r="AB312">
        <f>'Revenue drivers'!AB491</f>
        <v>0.71017822948887899</v>
      </c>
      <c r="AC312">
        <f>'Revenue drivers'!AC491</f>
        <v>0.67755879174599909</v>
      </c>
      <c r="AD312">
        <f>'Revenue drivers'!AD491</f>
        <v>0.68939732142857157</v>
      </c>
      <c r="AE312">
        <f>'Revenue drivers'!AE491</f>
        <v>0.66380675044462256</v>
      </c>
      <c r="AF312">
        <f>'Revenue drivers'!AF491</f>
        <v>0.60373458278784531</v>
      </c>
      <c r="AG312">
        <f>'Revenue drivers'!AG491</f>
        <v>0.51180981595092012</v>
      </c>
      <c r="AH312">
        <f>'Revenue drivers'!AH491</f>
        <v>0.42540794080729349</v>
      </c>
      <c r="AI312">
        <f>'Revenue drivers'!AI491</f>
        <v>0.36179110087863542</v>
      </c>
      <c r="AJ312">
        <f>'Revenue drivers'!AJ491</f>
        <v>0.35178302900107417</v>
      </c>
      <c r="AL312">
        <f>'Revenue drivers'!BF491</f>
        <v>0</v>
      </c>
      <c r="AM312">
        <f>'Revenue drivers'!BG491</f>
        <v>0</v>
      </c>
      <c r="AN312" t="str">
        <f>'Revenue drivers'!BH491</f>
        <v>NA</v>
      </c>
      <c r="AO312">
        <f>'Revenue drivers'!BI491</f>
        <v>1.21894667108314</v>
      </c>
      <c r="AP312">
        <f>'Revenue drivers'!BJ491</f>
        <v>0.67980295566502447</v>
      </c>
      <c r="AQ312">
        <f>'Revenue drivers'!BK491</f>
        <v>0.73207144761396958</v>
      </c>
      <c r="AR312">
        <f>'Revenue drivers'!BL491</f>
        <v>0.86681032271304681</v>
      </c>
      <c r="AS312">
        <f>'Revenue drivers'!BM491</f>
        <v>0.76702577914582548</v>
      </c>
      <c r="AT312">
        <f>'Revenue drivers'!BN491</f>
        <v>0.65444176581901115</v>
      </c>
      <c r="AU312">
        <f>'Revenue drivers'!BO491</f>
        <v>0.40461022132948132</v>
      </c>
      <c r="AV312">
        <f>'Revenue drivers'!BP491</f>
        <v>0.39367742367285019</v>
      </c>
      <c r="AW312">
        <f>'Revenue drivers'!BQ491</f>
        <v>0.23512914302179455</v>
      </c>
      <c r="AX312">
        <f>'Revenue drivers'!BR491</f>
        <v>0.18922236089888389</v>
      </c>
      <c r="AY312">
        <f>'Revenue drivers'!BS491</f>
        <v>0.16129401392141718</v>
      </c>
      <c r="AZ312">
        <f>'Revenue drivers'!BT491</f>
        <v>0.13889162605494287</v>
      </c>
    </row>
    <row r="313" spans="9:52" ht="11.25" customHeight="1">
      <c r="I313" t="str">
        <f>'Revenue drivers'!I493</f>
        <v>% change Q/Q</v>
      </c>
      <c r="M313">
        <f>'Revenue drivers'!M493</f>
        <v>0</v>
      </c>
      <c r="N313">
        <f>'Revenue drivers'!N493</f>
        <v>0.15011286681715563</v>
      </c>
      <c r="O313">
        <f>'Revenue drivers'!O493</f>
        <v>8.9303238469087498E-2</v>
      </c>
      <c r="P313">
        <f>'Revenue drivers'!P493</f>
        <v>8.5472972972972849E-2</v>
      </c>
      <c r="Q313">
        <f>'Revenue drivers'!Q493</f>
        <v>0.16422865442473289</v>
      </c>
      <c r="R313">
        <f>'Revenue drivers'!R493</f>
        <v>0.19025129210479408</v>
      </c>
      <c r="S313">
        <f>'Revenue drivers'!S493</f>
        <v>0.17885752788799891</v>
      </c>
      <c r="T313">
        <f>'Revenue drivers'!T493</f>
        <v>0.15254667852152926</v>
      </c>
      <c r="U313">
        <f>'Revenue drivers'!U493</f>
        <v>0.18321578135331706</v>
      </c>
      <c r="V313">
        <f>'Revenue drivers'!V493</f>
        <v>0.17612816094630457</v>
      </c>
      <c r="W313">
        <f>'Revenue drivers'!W493</f>
        <v>0.12789546624430814</v>
      </c>
      <c r="X313">
        <f>'Revenue drivers'!X493</f>
        <v>0.19167983149025813</v>
      </c>
      <c r="Y313">
        <f>'Revenue drivers'!Y493</f>
        <v>0.14496980409485927</v>
      </c>
      <c r="Z313">
        <f>'Revenue drivers'!Z493</f>
        <v>0.15267843359234279</v>
      </c>
      <c r="AA313">
        <f>'Revenue drivers'!AA493</f>
        <v>0.14212053571428584</v>
      </c>
      <c r="AB313">
        <f>'Revenue drivers'!AB493</f>
        <v>0.13455938397795442</v>
      </c>
      <c r="AC313">
        <f>'Revenue drivers'!AC493</f>
        <v>0.12313098601254047</v>
      </c>
      <c r="AD313">
        <f>'Revenue drivers'!AD493</f>
        <v>0.16081288343558287</v>
      </c>
      <c r="AE313">
        <f>'Revenue drivers'!AE493</f>
        <v>0.12481997753848195</v>
      </c>
      <c r="AF313">
        <f>'Revenue drivers'!AF493</f>
        <v>9.3595827655875485E-2</v>
      </c>
      <c r="AG313">
        <f>'Revenue drivers'!AG493</f>
        <v>5.8754027926960273E-2</v>
      </c>
      <c r="AH313">
        <f>'Revenue drivers'!AH493</f>
        <v>9.4470934361367664E-2</v>
      </c>
      <c r="AI313">
        <f>'Revenue drivers'!AI493</f>
        <v>7.4618564728128778E-2</v>
      </c>
      <c r="AJ313">
        <f>'Revenue drivers'!AJ493</f>
        <v>8.5558775834109646E-2</v>
      </c>
      <c r="AL313">
        <f>'Revenue drivers'!BF493</f>
        <v>0</v>
      </c>
      <c r="AM313">
        <f>'Revenue drivers'!BG493</f>
        <v>0</v>
      </c>
      <c r="AN313">
        <f>'Revenue drivers'!BH493</f>
        <v>0</v>
      </c>
      <c r="AO313">
        <f>'Revenue drivers'!BI493</f>
        <v>0</v>
      </c>
      <c r="AP313">
        <f>'Revenue drivers'!BJ493</f>
        <v>0</v>
      </c>
      <c r="AQ313">
        <f>'Revenue drivers'!BK493</f>
        <v>0</v>
      </c>
      <c r="AR313">
        <f>'Revenue drivers'!BL493</f>
        <v>0</v>
      </c>
      <c r="AS313">
        <f>'Revenue drivers'!BM493</f>
        <v>0</v>
      </c>
      <c r="AT313">
        <f>'Revenue drivers'!BN493</f>
        <v>0</v>
      </c>
      <c r="AU313">
        <f>'Revenue drivers'!BO493</f>
        <v>0</v>
      </c>
      <c r="AV313">
        <f>'Revenue drivers'!BP493</f>
        <v>0</v>
      </c>
      <c r="AW313">
        <f>'Revenue drivers'!BQ493</f>
        <v>0</v>
      </c>
      <c r="AX313">
        <f>'Revenue drivers'!BR493</f>
        <v>0</v>
      </c>
      <c r="AY313">
        <f>'Revenue drivers'!BS493</f>
        <v>0</v>
      </c>
      <c r="AZ313">
        <f>'Revenue drivers'!BT493</f>
        <v>0</v>
      </c>
    </row>
    <row r="314" spans="9:52" ht="11.25" customHeight="1">
      <c r="I314" t="str">
        <f>'Revenue drivers'!I494</f>
        <v>% of total revenue</v>
      </c>
      <c r="M314">
        <f>'Revenue drivers'!M494</f>
        <v>0.77583187390542918</v>
      </c>
      <c r="N314">
        <f>'Revenue drivers'!N494</f>
        <v>0.75995152419129308</v>
      </c>
      <c r="O314">
        <f>'Revenue drivers'!O494</f>
        <v>0.70509766555502618</v>
      </c>
      <c r="P314">
        <f>'Revenue drivers'!P494</f>
        <v>0.63107241063244723</v>
      </c>
      <c r="Q314">
        <f>'Revenue drivers'!Q494</f>
        <v>0.68012121212121213</v>
      </c>
      <c r="R314">
        <f>'Revenue drivers'!R494</f>
        <v>0.68224537746450098</v>
      </c>
      <c r="S314">
        <f>'Revenue drivers'!S494</f>
        <v>0.70603533315397726</v>
      </c>
      <c r="T314">
        <f>'Revenue drivers'!T494</f>
        <v>0.72868901826942378</v>
      </c>
      <c r="U314">
        <f>'Revenue drivers'!U494</f>
        <v>0.7841153916377579</v>
      </c>
      <c r="V314">
        <f>'Revenue drivers'!V494</f>
        <v>0.77343582519217224</v>
      </c>
      <c r="W314">
        <f>'Revenue drivers'!W494</f>
        <v>0.78317890627148001</v>
      </c>
      <c r="X314">
        <f>'Revenue drivers'!X494</f>
        <v>0.82476856913769236</v>
      </c>
      <c r="Y314">
        <f>'Revenue drivers'!Y494</f>
        <v>0.84247718552879713</v>
      </c>
      <c r="Z314">
        <f>'Revenue drivers'!Z494</f>
        <v>0.81420496883121596</v>
      </c>
      <c r="AA314">
        <f>'Revenue drivers'!AA494</f>
        <v>0.83632173387162689</v>
      </c>
      <c r="AB314">
        <f>'Revenue drivers'!AB494</f>
        <v>0.82167272933150282</v>
      </c>
      <c r="AC314">
        <f>'Revenue drivers'!AC494</f>
        <v>0.85332495713743517</v>
      </c>
      <c r="AD314">
        <f>'Revenue drivers'!AD494</f>
        <v>0.85243335172941981</v>
      </c>
      <c r="AE314">
        <f>'Revenue drivers'!AE494</f>
        <v>0.83092089209897035</v>
      </c>
      <c r="AF314">
        <f>'Revenue drivers'!AF494</f>
        <v>0.84723397672154122</v>
      </c>
      <c r="AG314">
        <f>'Revenue drivers'!AG494</f>
        <v>0.88166368515205717</v>
      </c>
      <c r="AH314">
        <f>'Revenue drivers'!AH494</f>
        <v>0.85893312101910835</v>
      </c>
      <c r="AI314">
        <f>'Revenue drivers'!AI494</f>
        <v>0.86130757800891533</v>
      </c>
      <c r="AJ314">
        <f>'Revenue drivers'!AJ494</f>
        <v>0.85788002726653034</v>
      </c>
      <c r="AL314">
        <f>'Revenue drivers'!BF494</f>
        <v>0</v>
      </c>
      <c r="AM314">
        <f>'Revenue drivers'!BG494</f>
        <v>0</v>
      </c>
      <c r="AN314">
        <f>'Revenue drivers'!BH494</f>
        <v>0.74610758711590741</v>
      </c>
      <c r="AO314">
        <f>'Revenue drivers'!BI494</f>
        <v>0.77871202727836319</v>
      </c>
      <c r="AP314">
        <f>'Revenue drivers'!BJ494</f>
        <v>0.70727619366868488</v>
      </c>
      <c r="AQ314">
        <f>'Revenue drivers'!BK494</f>
        <v>0.70208320826079129</v>
      </c>
      <c r="AR314">
        <f>'Revenue drivers'!BL494</f>
        <v>0.79349548580317819</v>
      </c>
      <c r="AS314">
        <f>'Revenue drivers'!BM494</f>
        <v>0.82787525537795936</v>
      </c>
      <c r="AT314">
        <f>'Revenue drivers'!BN494</f>
        <v>0.84526243854890648</v>
      </c>
      <c r="AU314">
        <f>'Revenue drivers'!BO494</f>
        <v>0.86415076151918258</v>
      </c>
      <c r="AV314">
        <f>'Revenue drivers'!BP494</f>
        <v>0.87606528961432917</v>
      </c>
      <c r="AW314">
        <f>'Revenue drivers'!BQ494</f>
        <v>0.91115630015127314</v>
      </c>
      <c r="AX314">
        <f>'Revenue drivers'!BR494</f>
        <v>0.95581145833333336</v>
      </c>
      <c r="AY314">
        <f>'Revenue drivers'!BS494</f>
        <v>0.95447778573987829</v>
      </c>
      <c r="AZ314">
        <f>'Revenue drivers'!BT494</f>
        <v>0.96269950817071259</v>
      </c>
    </row>
    <row r="315" spans="9:52" ht="11.25" customHeight="1">
      <c r="I315" t="str">
        <f>'Revenue drivers'!I495</f>
        <v>Y/Y Abs Growth</v>
      </c>
      <c r="M315">
        <f>'Revenue drivers'!M495</f>
        <v>0</v>
      </c>
      <c r="N315">
        <f>'Revenue drivers'!N495</f>
        <v>0</v>
      </c>
      <c r="O315">
        <f>'Revenue drivers'!O495</f>
        <v>0</v>
      </c>
      <c r="P315">
        <f>'Revenue drivers'!P495</f>
        <v>0</v>
      </c>
      <c r="Q315">
        <f>'Revenue drivers'!Q495</f>
        <v>4.1339999999999995</v>
      </c>
      <c r="R315">
        <f>'Revenue drivers'!R495</f>
        <v>5.2050000000000001</v>
      </c>
      <c r="S315">
        <f>'Revenue drivers'!S495</f>
        <v>6.8659999999999997</v>
      </c>
      <c r="T315">
        <f>'Revenue drivers'!T495</f>
        <v>8.5090000000000003</v>
      </c>
      <c r="U315">
        <f>'Revenue drivers'!U495</f>
        <v>10.250999999999999</v>
      </c>
      <c r="V315">
        <f>'Revenue drivers'!V495</f>
        <v>11.898</v>
      </c>
      <c r="W315">
        <f>'Revenue drivers'!W495</f>
        <v>12.738999999999999</v>
      </c>
      <c r="X315">
        <f>'Revenue drivers'!X495</f>
        <v>15.797000000000001</v>
      </c>
      <c r="Y315">
        <f>'Revenue drivers'!Y495</f>
        <v>17.393000000000001</v>
      </c>
      <c r="Z315">
        <f>'Revenue drivers'!Z495</f>
        <v>19.544999999999998</v>
      </c>
      <c r="AA315">
        <f>'Revenue drivers'!AA495</f>
        <v>22.682000000000002</v>
      </c>
      <c r="AB315">
        <f>'Revenue drivers'!AB495</f>
        <v>24.106999999999999</v>
      </c>
      <c r="AC315">
        <f>'Revenue drivers'!AC495</f>
        <v>26.334000000000003</v>
      </c>
      <c r="AD315">
        <f>'Revenue drivers'!AD495</f>
        <v>30.885000000000005</v>
      </c>
      <c r="AE315">
        <f>'Revenue drivers'!AE495</f>
        <v>33.965000000000003</v>
      </c>
      <c r="AF315">
        <f>'Revenue drivers'!AF495</f>
        <v>35.047999999999995</v>
      </c>
      <c r="AG315">
        <f>'Revenue drivers'!AG495</f>
        <v>33.36999999999999</v>
      </c>
      <c r="AH315">
        <f>'Revenue drivers'!AH495</f>
        <v>32.197000000000003</v>
      </c>
      <c r="AI315">
        <f>'Revenue drivers'!AI495</f>
        <v>30.799999999999997</v>
      </c>
      <c r="AJ315">
        <f>'Revenue drivers'!AJ495</f>
        <v>32.751000000000005</v>
      </c>
      <c r="AL315">
        <f>'Revenue drivers'!BF495</f>
        <v>0</v>
      </c>
      <c r="AM315">
        <f>'Revenue drivers'!BG495</f>
        <v>0</v>
      </c>
      <c r="AN315">
        <f>'Revenue drivers'!BH495</f>
        <v>0</v>
      </c>
      <c r="AO315">
        <f>'Revenue drivers'!BI495</f>
        <v>11.040000000000001</v>
      </c>
      <c r="AP315">
        <f>'Revenue drivers'!BJ495</f>
        <v>13.661999999999999</v>
      </c>
      <c r="AQ315">
        <f>'Revenue drivers'!BK495</f>
        <v>24.713999999999999</v>
      </c>
      <c r="AR315">
        <f>'Revenue drivers'!BL495</f>
        <v>50.684999999999988</v>
      </c>
      <c r="AS315">
        <f>'Revenue drivers'!BM495</f>
        <v>83.727000000000004</v>
      </c>
      <c r="AT315">
        <f>'Revenue drivers'!BN495</f>
        <v>126.23199999999997</v>
      </c>
      <c r="AU315">
        <f>'Revenue drivers'!BO495</f>
        <v>129.11800000000005</v>
      </c>
      <c r="AV315">
        <f>'Revenue drivers'!BP495</f>
        <v>176.46000000000004</v>
      </c>
      <c r="AW315">
        <f>'Revenue drivers'!BQ495</f>
        <v>146.88400000000001</v>
      </c>
      <c r="AX315">
        <f>'Revenue drivers'!BR495</f>
        <v>146</v>
      </c>
      <c r="AY315">
        <f>'Revenue drivers'!BS495</f>
        <v>148.00000000000011</v>
      </c>
      <c r="AZ315">
        <f>'Revenue drivers'!BT495</f>
        <v>148</v>
      </c>
    </row>
    <row r="316" spans="9:52" ht="11.25" customHeight="1">
      <c r="I316" t="str">
        <f>'Revenue drivers'!I496</f>
        <v>Q/Q Abs Growth</v>
      </c>
      <c r="M316">
        <f>'Revenue drivers'!M496</f>
        <v>0</v>
      </c>
      <c r="N316">
        <f>'Revenue drivers'!N496</f>
        <v>1.0639999999999992</v>
      </c>
      <c r="O316">
        <f>'Revenue drivers'!O496</f>
        <v>0.72800000000000153</v>
      </c>
      <c r="P316">
        <f>'Revenue drivers'!P496</f>
        <v>0.75899999999999856</v>
      </c>
      <c r="Q316">
        <f>'Revenue drivers'!Q496</f>
        <v>1.5830000000000002</v>
      </c>
      <c r="R316">
        <f>'Revenue drivers'!R496</f>
        <v>2.1349999999999998</v>
      </c>
      <c r="S316">
        <f>'Revenue drivers'!S496</f>
        <v>2.3890000000000011</v>
      </c>
      <c r="T316">
        <f>'Revenue drivers'!T496</f>
        <v>2.4019999999999992</v>
      </c>
      <c r="U316">
        <f>'Revenue drivers'!U496</f>
        <v>3.3249999999999993</v>
      </c>
      <c r="V316">
        <f>'Revenue drivers'!V496</f>
        <v>3.782</v>
      </c>
      <c r="W316">
        <f>'Revenue drivers'!W496</f>
        <v>3.2300000000000004</v>
      </c>
      <c r="X316">
        <f>'Revenue drivers'!X496</f>
        <v>5.4600000000000009</v>
      </c>
      <c r="Y316">
        <f>'Revenue drivers'!Y496</f>
        <v>4.9209999999999994</v>
      </c>
      <c r="Z316">
        <f>'Revenue drivers'!Z496</f>
        <v>5.9339999999999975</v>
      </c>
      <c r="AA316">
        <f>'Revenue drivers'!AA496</f>
        <v>6.3670000000000044</v>
      </c>
      <c r="AB316">
        <f>'Revenue drivers'!AB496</f>
        <v>6.884999999999998</v>
      </c>
      <c r="AC316">
        <f>'Revenue drivers'!AC496</f>
        <v>7.1480000000000032</v>
      </c>
      <c r="AD316">
        <f>'Revenue drivers'!AD496</f>
        <v>10.484999999999999</v>
      </c>
      <c r="AE316">
        <f>'Revenue drivers'!AE496</f>
        <v>9.4470000000000027</v>
      </c>
      <c r="AF316">
        <f>'Revenue drivers'!AF496</f>
        <v>7.9679999999999893</v>
      </c>
      <c r="AG316">
        <f>'Revenue drivers'!AG496</f>
        <v>5.4699999999999989</v>
      </c>
      <c r="AH316">
        <f>'Revenue drivers'!AH496</f>
        <v>9.3120000000000118</v>
      </c>
      <c r="AI316">
        <f>'Revenue drivers'!AI496</f>
        <v>8.0499999999999972</v>
      </c>
      <c r="AJ316">
        <f>'Revenue drivers'!AJ496</f>
        <v>9.9189999999999969</v>
      </c>
      <c r="AL316">
        <f>'Revenue drivers'!BF496</f>
        <v>0</v>
      </c>
      <c r="AM316">
        <f>'Revenue drivers'!BG496</f>
        <v>0</v>
      </c>
      <c r="AN316">
        <f>'Revenue drivers'!BH496</f>
        <v>0</v>
      </c>
      <c r="AO316">
        <f>'Revenue drivers'!BI496</f>
        <v>0</v>
      </c>
      <c r="AP316">
        <f>'Revenue drivers'!BJ496</f>
        <v>0</v>
      </c>
      <c r="AQ316">
        <f>'Revenue drivers'!BK496</f>
        <v>0</v>
      </c>
      <c r="AR316">
        <f>'Revenue drivers'!BL496</f>
        <v>0</v>
      </c>
      <c r="AS316">
        <f>'Revenue drivers'!BM496</f>
        <v>0</v>
      </c>
      <c r="AT316">
        <f>'Revenue drivers'!BN496</f>
        <v>0</v>
      </c>
      <c r="AU316">
        <f>'Revenue drivers'!BO496</f>
        <v>0</v>
      </c>
      <c r="AV316">
        <f>'Revenue drivers'!BP496</f>
        <v>0</v>
      </c>
      <c r="AW316">
        <f>'Revenue drivers'!BQ496</f>
        <v>0</v>
      </c>
      <c r="AX316">
        <f>'Revenue drivers'!BR496</f>
        <v>0</v>
      </c>
      <c r="AY316">
        <f>'Revenue drivers'!BS496</f>
        <v>0</v>
      </c>
      <c r="AZ316">
        <f>'Revenue drivers'!BT496</f>
        <v>0</v>
      </c>
    </row>
    <row r="324" spans="9:52" ht="11.25" customHeight="1">
      <c r="I324" t="str">
        <f>'Revenue drivers'!I562</f>
        <v>Active local business accounts (000s)</v>
      </c>
      <c r="M324">
        <f>'Revenue drivers'!M562</f>
        <v>8</v>
      </c>
      <c r="N324">
        <f>'Revenue drivers'!N562</f>
        <v>9</v>
      </c>
      <c r="O324">
        <f>'Revenue drivers'!O562</f>
        <v>11</v>
      </c>
      <c r="P324">
        <f>'Revenue drivers'!P562</f>
        <v>11</v>
      </c>
      <c r="Q324">
        <f>'Revenue drivers'!Q562</f>
        <v>13</v>
      </c>
      <c r="R324">
        <f>'Revenue drivers'!R562</f>
        <v>15</v>
      </c>
      <c r="S324">
        <f>'Revenue drivers'!S562</f>
        <v>19</v>
      </c>
      <c r="T324">
        <f>'Revenue drivers'!T562</f>
        <v>23.7</v>
      </c>
      <c r="U324">
        <f>'Revenue drivers'!U562</f>
        <v>27</v>
      </c>
      <c r="V324">
        <f>'Revenue drivers'!V562</f>
        <v>31.8</v>
      </c>
      <c r="W324">
        <f>'Revenue drivers'!W562</f>
        <v>36</v>
      </c>
      <c r="X324">
        <f>'Revenue drivers'!X562</f>
        <v>39.799999999999997</v>
      </c>
      <c r="Y324">
        <f>'Revenue drivers'!Y562</f>
        <v>44.7</v>
      </c>
      <c r="Z324">
        <f>'Revenue drivers'!Z562</f>
        <v>51.4</v>
      </c>
      <c r="AA324">
        <f>'Revenue drivers'!AA562</f>
        <v>57.2</v>
      </c>
      <c r="AB324">
        <f>'Revenue drivers'!AB562</f>
        <v>67.2</v>
      </c>
      <c r="AC324">
        <f>'Revenue drivers'!AC562</f>
        <v>74</v>
      </c>
      <c r="AD324">
        <f>'Revenue drivers'!AD562</f>
        <v>79.900000000000006</v>
      </c>
      <c r="AE324">
        <f>'Revenue drivers'!AE562</f>
        <v>86.2</v>
      </c>
      <c r="AF324">
        <f>'Revenue drivers'!AF562</f>
        <v>93.7</v>
      </c>
      <c r="AG324">
        <f>'Revenue drivers'!AG562</f>
        <v>99.7</v>
      </c>
      <c r="AH324">
        <f>'Revenue drivers'!AH562</f>
        <v>105.7</v>
      </c>
      <c r="AI324">
        <f>'Revenue drivers'!AI562</f>
        <v>112.7</v>
      </c>
      <c r="AJ324">
        <f>'Revenue drivers'!AJ562</f>
        <v>121.7</v>
      </c>
      <c r="AL324">
        <f>'Revenue drivers'!BF562</f>
        <v>0</v>
      </c>
      <c r="AM324">
        <f>'Revenue drivers'!BG562</f>
        <v>0</v>
      </c>
      <c r="AN324">
        <f>'Revenue drivers'!BH562</f>
        <v>4</v>
      </c>
      <c r="AO324">
        <f>'Revenue drivers'!BI562</f>
        <v>7</v>
      </c>
      <c r="AP324">
        <f>'Revenue drivers'!BJ562</f>
        <v>11</v>
      </c>
      <c r="AQ324">
        <f>'Revenue drivers'!BK562</f>
        <v>23.7</v>
      </c>
      <c r="AR324">
        <f>'Revenue drivers'!BL562</f>
        <v>39.799999999999997</v>
      </c>
      <c r="AS324">
        <f>'Revenue drivers'!BM562</f>
        <v>67.2</v>
      </c>
      <c r="AT324">
        <f>'Revenue drivers'!BN562</f>
        <v>93.7</v>
      </c>
      <c r="AU324">
        <f>'Revenue drivers'!BO562</f>
        <v>121.7</v>
      </c>
      <c r="AV324">
        <f>'Revenue drivers'!BP562</f>
        <v>0</v>
      </c>
      <c r="AW324">
        <f>'Revenue drivers'!BQ562</f>
        <v>0</v>
      </c>
      <c r="AX324">
        <f>'Revenue drivers'!BR562</f>
        <v>0</v>
      </c>
      <c r="AY324">
        <f>'Revenue drivers'!BS562</f>
        <v>0</v>
      </c>
      <c r="AZ324">
        <f>'Revenue drivers'!BT562</f>
        <v>0</v>
      </c>
    </row>
    <row r="325" spans="9:52" ht="11.25" customHeight="1">
      <c r="I325" t="str">
        <f>'Revenue drivers'!I563</f>
        <v>DRIVER: Base case - Q/Q Abs Growth</v>
      </c>
      <c r="M325">
        <f>'Revenue drivers'!M563</f>
        <v>0</v>
      </c>
      <c r="N325">
        <f>'Revenue drivers'!N563</f>
        <v>1</v>
      </c>
      <c r="O325">
        <f>'Revenue drivers'!O563</f>
        <v>2</v>
      </c>
      <c r="P325">
        <f>'Revenue drivers'!P563</f>
        <v>0</v>
      </c>
      <c r="Q325">
        <f>'Revenue drivers'!Q563</f>
        <v>2</v>
      </c>
      <c r="R325">
        <f>'Revenue drivers'!R563</f>
        <v>2</v>
      </c>
      <c r="S325">
        <f>'Revenue drivers'!S563</f>
        <v>4</v>
      </c>
      <c r="T325">
        <f>'Revenue drivers'!T563</f>
        <v>4.6999999999999993</v>
      </c>
      <c r="U325">
        <f>'Revenue drivers'!U563</f>
        <v>3.3000000000000007</v>
      </c>
      <c r="V325">
        <f>'Revenue drivers'!V563</f>
        <v>4.8000000000000007</v>
      </c>
      <c r="W325">
        <f>'Revenue drivers'!W563</f>
        <v>4.1999999999999993</v>
      </c>
      <c r="X325">
        <f>'Revenue drivers'!X563</f>
        <v>3.7999999999999972</v>
      </c>
      <c r="Y325">
        <f>'Revenue drivers'!Y563</f>
        <v>4.9000000000000057</v>
      </c>
      <c r="Z325">
        <f>'Revenue drivers'!Z563</f>
        <v>6.6999999999999957</v>
      </c>
      <c r="AA325">
        <f>'Revenue drivers'!AA563</f>
        <v>5.8000000000000043</v>
      </c>
      <c r="AB325">
        <f>'Revenue drivers'!AB563</f>
        <v>10</v>
      </c>
      <c r="AC325">
        <f>'Revenue drivers'!AC563</f>
        <v>6.7999999999999972</v>
      </c>
      <c r="AD325">
        <f>'Revenue drivers'!AD563</f>
        <v>5.9000000000000057</v>
      </c>
      <c r="AE325">
        <f>'Revenue drivers'!AE563</f>
        <v>6.2999999999999972</v>
      </c>
      <c r="AF325">
        <f>'Revenue drivers'!AF563</f>
        <v>7.5</v>
      </c>
      <c r="AG325">
        <f>'Revenue drivers'!AG563</f>
        <v>6</v>
      </c>
      <c r="AH325">
        <f>'Revenue drivers'!AH563</f>
        <v>6</v>
      </c>
      <c r="AI325">
        <f>'Revenue drivers'!AI563</f>
        <v>7</v>
      </c>
      <c r="AJ325">
        <f>'Revenue drivers'!AJ563</f>
        <v>9</v>
      </c>
      <c r="AL325">
        <f>'Revenue drivers'!BF563</f>
        <v>0</v>
      </c>
      <c r="AM325">
        <f>'Revenue drivers'!BG563</f>
        <v>0</v>
      </c>
      <c r="AN325">
        <f>'Revenue drivers'!BH563</f>
        <v>0</v>
      </c>
      <c r="AO325">
        <f>'Revenue drivers'!BI563</f>
        <v>0</v>
      </c>
      <c r="AP325">
        <f>'Revenue drivers'!BJ563</f>
        <v>0</v>
      </c>
      <c r="AQ325">
        <f>'Revenue drivers'!BK563</f>
        <v>0</v>
      </c>
      <c r="AR325">
        <f>'Revenue drivers'!BL563</f>
        <v>0</v>
      </c>
      <c r="AS325">
        <f>'Revenue drivers'!BM563</f>
        <v>0</v>
      </c>
      <c r="AT325">
        <f>'Revenue drivers'!BN563</f>
        <v>0</v>
      </c>
      <c r="AU325">
        <f>'Revenue drivers'!BO563</f>
        <v>0</v>
      </c>
      <c r="AV325">
        <f>'Revenue drivers'!BP563</f>
        <v>0</v>
      </c>
      <c r="AW325">
        <f>'Revenue drivers'!BQ563</f>
        <v>0</v>
      </c>
      <c r="AX325">
        <f>'Revenue drivers'!BR563</f>
        <v>0</v>
      </c>
      <c r="AY325">
        <f>'Revenue drivers'!BS563</f>
        <v>0</v>
      </c>
      <c r="AZ325">
        <f>'Revenue drivers'!BT563</f>
        <v>0</v>
      </c>
    </row>
    <row r="326" spans="9:52" ht="11.25" customHeight="1">
      <c r="I326" t="str">
        <f>'Revenue drivers'!I564</f>
        <v>Y/Y Abs Growth</v>
      </c>
      <c r="M326">
        <f>'Revenue drivers'!M564</f>
        <v>0</v>
      </c>
      <c r="N326">
        <f>'Revenue drivers'!N564</f>
        <v>0</v>
      </c>
      <c r="O326">
        <f>'Revenue drivers'!O564</f>
        <v>0</v>
      </c>
      <c r="P326">
        <f>'Revenue drivers'!P564</f>
        <v>0</v>
      </c>
      <c r="Q326">
        <f>'Revenue drivers'!Q564</f>
        <v>5</v>
      </c>
      <c r="R326">
        <f>'Revenue drivers'!R564</f>
        <v>6</v>
      </c>
      <c r="S326">
        <f>'Revenue drivers'!S564</f>
        <v>8</v>
      </c>
      <c r="T326">
        <f>'Revenue drivers'!T564</f>
        <v>12.7</v>
      </c>
      <c r="U326">
        <f>'Revenue drivers'!U564</f>
        <v>14</v>
      </c>
      <c r="V326">
        <f>'Revenue drivers'!V564</f>
        <v>16.8</v>
      </c>
      <c r="W326">
        <f>'Revenue drivers'!W564</f>
        <v>17</v>
      </c>
      <c r="X326">
        <f>'Revenue drivers'!X564</f>
        <v>16.099999999999998</v>
      </c>
      <c r="Y326">
        <f>'Revenue drivers'!Y564</f>
        <v>17.700000000000003</v>
      </c>
      <c r="Z326">
        <f>'Revenue drivers'!Z564</f>
        <v>19.599999999999998</v>
      </c>
      <c r="AA326">
        <f>'Revenue drivers'!AA564</f>
        <v>21.200000000000003</v>
      </c>
      <c r="AB326">
        <f>'Revenue drivers'!AB564</f>
        <v>27.400000000000006</v>
      </c>
      <c r="AC326">
        <f>'Revenue drivers'!AC564</f>
        <v>29.299999999999997</v>
      </c>
      <c r="AD326">
        <f>'Revenue drivers'!AD564</f>
        <v>28.500000000000007</v>
      </c>
      <c r="AE326">
        <f>'Revenue drivers'!AE564</f>
        <v>29</v>
      </c>
      <c r="AF326">
        <f>'Revenue drivers'!AF564</f>
        <v>26.5</v>
      </c>
      <c r="AG326">
        <f>'Revenue drivers'!AG564</f>
        <v>25.700000000000003</v>
      </c>
      <c r="AH326">
        <f>'Revenue drivers'!AH564</f>
        <v>25.799999999999997</v>
      </c>
      <c r="AI326">
        <f>'Revenue drivers'!AI564</f>
        <v>26.5</v>
      </c>
      <c r="AJ326">
        <f>'Revenue drivers'!AJ564</f>
        <v>28</v>
      </c>
      <c r="AL326">
        <f>'Revenue drivers'!BF564</f>
        <v>0</v>
      </c>
      <c r="AM326">
        <f>'Revenue drivers'!BG564</f>
        <v>0</v>
      </c>
      <c r="AN326">
        <f>'Revenue drivers'!BH564</f>
        <v>0</v>
      </c>
      <c r="AO326">
        <f>'Revenue drivers'!BI564</f>
        <v>3</v>
      </c>
      <c r="AP326">
        <f>'Revenue drivers'!BJ564</f>
        <v>4</v>
      </c>
      <c r="AQ326">
        <f>'Revenue drivers'!BK564</f>
        <v>12.7</v>
      </c>
      <c r="AR326">
        <f>'Revenue drivers'!BL564</f>
        <v>16.099999999999998</v>
      </c>
      <c r="AS326">
        <f>'Revenue drivers'!BM564</f>
        <v>27.400000000000006</v>
      </c>
      <c r="AT326">
        <f>'Revenue drivers'!BN564</f>
        <v>26.5</v>
      </c>
      <c r="AU326">
        <f>'Revenue drivers'!BO564</f>
        <v>28</v>
      </c>
      <c r="AV326">
        <f>'Revenue drivers'!BP564</f>
        <v>0</v>
      </c>
      <c r="AW326">
        <f>'Revenue drivers'!BQ564</f>
        <v>0</v>
      </c>
      <c r="AX326">
        <f>'Revenue drivers'!BR564</f>
        <v>0</v>
      </c>
      <c r="AY326">
        <f>'Revenue drivers'!BS564</f>
        <v>0</v>
      </c>
      <c r="AZ326">
        <f>'Revenue drivers'!BT564</f>
        <v>0</v>
      </c>
    </row>
    <row r="327" spans="9:52" ht="11.25" customHeight="1">
      <c r="I327" t="str">
        <f>'Revenue drivers'!I565</f>
        <v>% change Y/Y</v>
      </c>
      <c r="M327" t="str">
        <f>'Revenue drivers'!M565</f>
        <v>NA</v>
      </c>
      <c r="N327" t="str">
        <f>'Revenue drivers'!N565</f>
        <v>NA</v>
      </c>
      <c r="O327" t="str">
        <f>'Revenue drivers'!O565</f>
        <v>NA</v>
      </c>
      <c r="P327" t="str">
        <f>'Revenue drivers'!P565</f>
        <v>NA</v>
      </c>
      <c r="Q327">
        <f>'Revenue drivers'!Q565</f>
        <v>0.625</v>
      </c>
      <c r="R327">
        <f>'Revenue drivers'!R565</f>
        <v>0.66666666666666674</v>
      </c>
      <c r="S327">
        <f>'Revenue drivers'!S565</f>
        <v>0.72727272727272729</v>
      </c>
      <c r="T327">
        <f>'Revenue drivers'!T565</f>
        <v>1.1545454545454543</v>
      </c>
      <c r="U327">
        <f>'Revenue drivers'!U565</f>
        <v>1.0769230769230771</v>
      </c>
      <c r="V327">
        <f>'Revenue drivers'!V565</f>
        <v>1.1200000000000001</v>
      </c>
      <c r="W327">
        <f>'Revenue drivers'!W565</f>
        <v>0.89473684210526305</v>
      </c>
      <c r="X327">
        <f>'Revenue drivers'!X565</f>
        <v>0.67932489451476785</v>
      </c>
      <c r="Y327">
        <f>'Revenue drivers'!Y565</f>
        <v>0.65555555555555567</v>
      </c>
      <c r="Z327">
        <f>'Revenue drivers'!Z565</f>
        <v>0.6163522012578615</v>
      </c>
      <c r="AA327">
        <f>'Revenue drivers'!AA565</f>
        <v>0.58888888888888902</v>
      </c>
      <c r="AB327">
        <f>'Revenue drivers'!AB565</f>
        <v>0.68844221105527659</v>
      </c>
      <c r="AC327">
        <f>'Revenue drivers'!AC565</f>
        <v>0.65548098434004465</v>
      </c>
      <c r="AD327">
        <f>'Revenue drivers'!AD565</f>
        <v>0.55447470817120648</v>
      </c>
      <c r="AE327">
        <f>'Revenue drivers'!AE565</f>
        <v>0.50699300699300687</v>
      </c>
      <c r="AF327">
        <f>'Revenue drivers'!AF565</f>
        <v>0.39434523809523814</v>
      </c>
      <c r="AG327">
        <f>'Revenue drivers'!AG565</f>
        <v>0.34729729729729741</v>
      </c>
      <c r="AH327">
        <f>'Revenue drivers'!AH565</f>
        <v>0.3229036295369212</v>
      </c>
      <c r="AI327">
        <f>'Revenue drivers'!AI565</f>
        <v>0.30742459396751731</v>
      </c>
      <c r="AJ327">
        <f>'Revenue drivers'!AJ565</f>
        <v>0.29882604055496254</v>
      </c>
      <c r="AL327">
        <f>'Revenue drivers'!BF565</f>
        <v>0</v>
      </c>
      <c r="AM327">
        <f>'Revenue drivers'!BG565</f>
        <v>0</v>
      </c>
      <c r="AN327" t="str">
        <f>'Revenue drivers'!BH565</f>
        <v>NA</v>
      </c>
      <c r="AO327">
        <f>'Revenue drivers'!BI565</f>
        <v>0.75</v>
      </c>
      <c r="AP327">
        <f>'Revenue drivers'!BJ565</f>
        <v>0.5714285714285714</v>
      </c>
      <c r="AQ327">
        <f>'Revenue drivers'!BK565</f>
        <v>1.1545454545454543</v>
      </c>
      <c r="AR327">
        <f>'Revenue drivers'!BL565</f>
        <v>0.67932489451476785</v>
      </c>
      <c r="AS327">
        <f>'Revenue drivers'!BM565</f>
        <v>0.68844221105527659</v>
      </c>
      <c r="AT327">
        <f>'Revenue drivers'!BN565</f>
        <v>0.39434523809523814</v>
      </c>
      <c r="AU327">
        <f>'Revenue drivers'!BO565</f>
        <v>0.29882604055496254</v>
      </c>
      <c r="AV327">
        <f>'Revenue drivers'!BP565</f>
        <v>0</v>
      </c>
      <c r="AW327">
        <f>'Revenue drivers'!BQ565</f>
        <v>0</v>
      </c>
      <c r="AX327">
        <f>'Revenue drivers'!BR565</f>
        <v>0</v>
      </c>
      <c r="AY327">
        <f>'Revenue drivers'!BS565</f>
        <v>0</v>
      </c>
      <c r="AZ327">
        <f>'Revenue drivers'!BT565</f>
        <v>0</v>
      </c>
    </row>
    <row r="328" spans="9:52" ht="11.25" customHeight="1">
      <c r="I328" t="str">
        <f>'Revenue drivers'!I566</f>
        <v>% change Q/Q</v>
      </c>
      <c r="M328" t="str">
        <f>'Revenue drivers'!M566</f>
        <v>NA</v>
      </c>
      <c r="N328">
        <f>'Revenue drivers'!N566</f>
        <v>0.125</v>
      </c>
      <c r="O328">
        <f>'Revenue drivers'!O566</f>
        <v>0.22222222222222232</v>
      </c>
      <c r="P328">
        <f>'Revenue drivers'!P566</f>
        <v>0</v>
      </c>
      <c r="Q328">
        <f>'Revenue drivers'!Q566</f>
        <v>0.18181818181818188</v>
      </c>
      <c r="R328">
        <f>'Revenue drivers'!R566</f>
        <v>0.15384615384615374</v>
      </c>
      <c r="S328">
        <f>'Revenue drivers'!S566</f>
        <v>0.26666666666666661</v>
      </c>
      <c r="T328">
        <f>'Revenue drivers'!T566</f>
        <v>0.24736842105263146</v>
      </c>
      <c r="U328">
        <f>'Revenue drivers'!U566</f>
        <v>0.139240506329114</v>
      </c>
      <c r="V328">
        <f>'Revenue drivers'!V566</f>
        <v>0.17777777777777781</v>
      </c>
      <c r="W328">
        <f>'Revenue drivers'!W566</f>
        <v>0.13207547169811318</v>
      </c>
      <c r="X328">
        <f>'Revenue drivers'!X566</f>
        <v>0.1055555555555554</v>
      </c>
      <c r="Y328">
        <f>'Revenue drivers'!Y566</f>
        <v>0.12311557788944749</v>
      </c>
      <c r="Z328">
        <f>'Revenue drivers'!Z566</f>
        <v>0.1498881431767336</v>
      </c>
      <c r="AA328">
        <f>'Revenue drivers'!AA566</f>
        <v>0.11284046692607008</v>
      </c>
      <c r="AB328">
        <f>'Revenue drivers'!AB566</f>
        <v>0.17482517482517479</v>
      </c>
      <c r="AC328">
        <f>'Revenue drivers'!AC566</f>
        <v>0.10119047619047605</v>
      </c>
      <c r="AD328">
        <f>'Revenue drivers'!AD566</f>
        <v>7.9729729729729915E-2</v>
      </c>
      <c r="AE328">
        <f>'Revenue drivers'!AE566</f>
        <v>7.884856070087598E-2</v>
      </c>
      <c r="AF328">
        <f>'Revenue drivers'!AF566</f>
        <v>8.7006960556844648E-2</v>
      </c>
      <c r="AG328">
        <f>'Revenue drivers'!AG566</f>
        <v>6.4034151547492035E-2</v>
      </c>
      <c r="AH328">
        <f>'Revenue drivers'!AH566</f>
        <v>6.0180541624874628E-2</v>
      </c>
      <c r="AI328">
        <f>'Revenue drivers'!AI566</f>
        <v>6.6225165562913801E-2</v>
      </c>
      <c r="AJ328">
        <f>'Revenue drivers'!AJ566</f>
        <v>7.9858030168589167E-2</v>
      </c>
      <c r="AL328">
        <f>'Revenue drivers'!BF566</f>
        <v>0</v>
      </c>
      <c r="AM328">
        <f>'Revenue drivers'!BG566</f>
        <v>0</v>
      </c>
      <c r="AN328">
        <f>'Revenue drivers'!BH566</f>
        <v>0</v>
      </c>
      <c r="AO328">
        <f>'Revenue drivers'!BI566</f>
        <v>0</v>
      </c>
      <c r="AP328">
        <f>'Revenue drivers'!BJ566</f>
        <v>0</v>
      </c>
      <c r="AQ328">
        <f>'Revenue drivers'!BK566</f>
        <v>0</v>
      </c>
      <c r="AR328">
        <f>'Revenue drivers'!BL566</f>
        <v>0</v>
      </c>
      <c r="AS328">
        <f>'Revenue drivers'!BM566</f>
        <v>0</v>
      </c>
      <c r="AT328">
        <f>'Revenue drivers'!BN566</f>
        <v>0</v>
      </c>
      <c r="AU328">
        <f>'Revenue drivers'!BO566</f>
        <v>0</v>
      </c>
      <c r="AV328">
        <f>'Revenue drivers'!BP566</f>
        <v>0</v>
      </c>
      <c r="AW328">
        <f>'Revenue drivers'!BQ566</f>
        <v>0</v>
      </c>
      <c r="AX328">
        <f>'Revenue drivers'!BR566</f>
        <v>0</v>
      </c>
      <c r="AY328">
        <f>'Revenue drivers'!BS566</f>
        <v>0</v>
      </c>
      <c r="AZ328">
        <f>'Revenue drivers'!BT566</f>
        <v>0</v>
      </c>
    </row>
    <row r="329" spans="9:52" ht="11.25" customHeight="1">
      <c r="I329">
        <f>'Revenue drivers'!I567</f>
        <v>0</v>
      </c>
      <c r="M329">
        <f>'Revenue drivers'!M567</f>
        <v>0</v>
      </c>
      <c r="N329">
        <f>'Revenue drivers'!N567</f>
        <v>0</v>
      </c>
      <c r="O329">
        <f>'Revenue drivers'!O567</f>
        <v>0</v>
      </c>
      <c r="P329">
        <f>'Revenue drivers'!P567</f>
        <v>0</v>
      </c>
      <c r="Q329">
        <f>'Revenue drivers'!Q567</f>
        <v>0</v>
      </c>
      <c r="R329">
        <f>'Revenue drivers'!R567</f>
        <v>0</v>
      </c>
      <c r="S329">
        <f>'Revenue drivers'!S567</f>
        <v>0</v>
      </c>
      <c r="T329">
        <f>'Revenue drivers'!T567</f>
        <v>0</v>
      </c>
      <c r="U329">
        <f>'Revenue drivers'!U567</f>
        <v>0</v>
      </c>
      <c r="V329">
        <f>'Revenue drivers'!V567</f>
        <v>0</v>
      </c>
      <c r="W329">
        <f>'Revenue drivers'!W567</f>
        <v>0</v>
      </c>
      <c r="X329">
        <f>'Revenue drivers'!X567</f>
        <v>0</v>
      </c>
      <c r="Y329">
        <f>'Revenue drivers'!Y567</f>
        <v>0</v>
      </c>
      <c r="Z329">
        <f>'Revenue drivers'!Z567</f>
        <v>0</v>
      </c>
      <c r="AA329">
        <f>'Revenue drivers'!AA567</f>
        <v>0</v>
      </c>
      <c r="AB329">
        <f>'Revenue drivers'!AB567</f>
        <v>0</v>
      </c>
      <c r="AC329">
        <f>'Revenue drivers'!AC567</f>
        <v>0</v>
      </c>
      <c r="AD329">
        <f>'Revenue drivers'!AD567</f>
        <v>0</v>
      </c>
      <c r="AE329">
        <f>'Revenue drivers'!AE567</f>
        <v>0</v>
      </c>
      <c r="AF329">
        <f>'Revenue drivers'!AF567</f>
        <v>0</v>
      </c>
      <c r="AG329">
        <f>'Revenue drivers'!AG567</f>
        <v>0</v>
      </c>
      <c r="AH329">
        <f>'Revenue drivers'!AH567</f>
        <v>0</v>
      </c>
      <c r="AI329">
        <f>'Revenue drivers'!AI567</f>
        <v>0</v>
      </c>
      <c r="AJ329">
        <f>'Revenue drivers'!AJ567</f>
        <v>0</v>
      </c>
      <c r="AL329">
        <f>'Revenue drivers'!BF567</f>
        <v>0</v>
      </c>
      <c r="AM329">
        <f>'Revenue drivers'!BG567</f>
        <v>0</v>
      </c>
      <c r="AN329">
        <f>'Revenue drivers'!BH567</f>
        <v>0</v>
      </c>
      <c r="AO329">
        <f>'Revenue drivers'!BI567</f>
        <v>0</v>
      </c>
      <c r="AP329">
        <f>'Revenue drivers'!BJ567</f>
        <v>0</v>
      </c>
      <c r="AQ329">
        <f>'Revenue drivers'!BK567</f>
        <v>0</v>
      </c>
      <c r="AR329">
        <f>'Revenue drivers'!BL567</f>
        <v>0</v>
      </c>
      <c r="AS329">
        <f>'Revenue drivers'!BM567</f>
        <v>0</v>
      </c>
      <c r="AT329">
        <f>'Revenue drivers'!BN567</f>
        <v>0</v>
      </c>
      <c r="AU329">
        <f>'Revenue drivers'!BO567</f>
        <v>0</v>
      </c>
      <c r="AV329">
        <f>'Revenue drivers'!BP567</f>
        <v>0</v>
      </c>
      <c r="AW329">
        <f>'Revenue drivers'!BQ567</f>
        <v>0</v>
      </c>
      <c r="AX329">
        <f>'Revenue drivers'!BR567</f>
        <v>0</v>
      </c>
      <c r="AY329">
        <f>'Revenue drivers'!BS567</f>
        <v>0</v>
      </c>
      <c r="AZ329">
        <f>'Revenue drivers'!BT567</f>
        <v>0</v>
      </c>
    </row>
    <row r="330" spans="9:52" ht="11.25" customHeight="1">
      <c r="I330">
        <f>'Revenue drivers'!I568</f>
        <v>0</v>
      </c>
      <c r="M330">
        <f>'Revenue drivers'!M568</f>
        <v>0</v>
      </c>
      <c r="N330">
        <f>'Revenue drivers'!N568</f>
        <v>0</v>
      </c>
      <c r="O330">
        <f>'Revenue drivers'!O568</f>
        <v>0</v>
      </c>
      <c r="P330">
        <f>'Revenue drivers'!P568</f>
        <v>0</v>
      </c>
      <c r="Q330">
        <f>'Revenue drivers'!Q568</f>
        <v>0</v>
      </c>
      <c r="R330">
        <f>'Revenue drivers'!R568</f>
        <v>0</v>
      </c>
      <c r="S330">
        <f>'Revenue drivers'!S568</f>
        <v>0</v>
      </c>
      <c r="T330">
        <f>'Revenue drivers'!T568</f>
        <v>0</v>
      </c>
      <c r="U330">
        <f>'Revenue drivers'!U568</f>
        <v>0</v>
      </c>
      <c r="V330">
        <f>'Revenue drivers'!V568</f>
        <v>0</v>
      </c>
      <c r="W330">
        <f>'Revenue drivers'!W568</f>
        <v>0</v>
      </c>
      <c r="X330">
        <f>'Revenue drivers'!X568</f>
        <v>0</v>
      </c>
      <c r="Y330">
        <f>'Revenue drivers'!Y568</f>
        <v>0</v>
      </c>
      <c r="Z330">
        <f>'Revenue drivers'!Z568</f>
        <v>0</v>
      </c>
      <c r="AA330">
        <f>'Revenue drivers'!AA568</f>
        <v>0</v>
      </c>
      <c r="AB330">
        <f>'Revenue drivers'!AB568</f>
        <v>0</v>
      </c>
      <c r="AC330">
        <f>'Revenue drivers'!AC568</f>
        <v>0</v>
      </c>
      <c r="AD330">
        <f>'Revenue drivers'!AD568</f>
        <v>0</v>
      </c>
      <c r="AE330">
        <f>'Revenue drivers'!AE568</f>
        <v>0</v>
      </c>
      <c r="AF330">
        <f>'Revenue drivers'!AF568</f>
        <v>0</v>
      </c>
      <c r="AG330">
        <f>'Revenue drivers'!AG568</f>
        <v>0</v>
      </c>
      <c r="AH330">
        <f>'Revenue drivers'!AH568</f>
        <v>0</v>
      </c>
      <c r="AI330">
        <f>'Revenue drivers'!AI568</f>
        <v>0</v>
      </c>
      <c r="AJ330">
        <f>'Revenue drivers'!AJ568</f>
        <v>0</v>
      </c>
      <c r="AL330">
        <f>'Revenue drivers'!BF568</f>
        <v>0</v>
      </c>
      <c r="AM330">
        <f>'Revenue drivers'!BG568</f>
        <v>0</v>
      </c>
      <c r="AN330">
        <f>'Revenue drivers'!BH568</f>
        <v>0</v>
      </c>
      <c r="AO330">
        <f>'Revenue drivers'!BI568</f>
        <v>0</v>
      </c>
      <c r="AP330">
        <f>'Revenue drivers'!BJ568</f>
        <v>0</v>
      </c>
      <c r="AQ330">
        <f>'Revenue drivers'!BK568</f>
        <v>0</v>
      </c>
      <c r="AR330">
        <f>'Revenue drivers'!BL568</f>
        <v>0</v>
      </c>
      <c r="AS330">
        <f>'Revenue drivers'!BM568</f>
        <v>0</v>
      </c>
      <c r="AT330">
        <f>'Revenue drivers'!BN568</f>
        <v>0</v>
      </c>
      <c r="AU330">
        <f>'Revenue drivers'!BO568</f>
        <v>0</v>
      </c>
      <c r="AV330">
        <f>'Revenue drivers'!BP568</f>
        <v>0</v>
      </c>
      <c r="AW330">
        <f>'Revenue drivers'!BQ568</f>
        <v>0</v>
      </c>
      <c r="AX330">
        <f>'Revenue drivers'!BR568</f>
        <v>0</v>
      </c>
      <c r="AY330">
        <f>'Revenue drivers'!BS568</f>
        <v>0</v>
      </c>
      <c r="AZ330">
        <f>'Revenue drivers'!BT568</f>
        <v>0</v>
      </c>
    </row>
    <row r="331" spans="9:52" ht="11.25" customHeight="1">
      <c r="I331" t="str">
        <f>'Revenue drivers'!I569</f>
        <v>Average monthly revenue per business account</v>
      </c>
      <c r="M331">
        <f>'Revenue drivers'!M569</f>
        <v>295.33333333333331</v>
      </c>
      <c r="N331">
        <f>'Revenue drivers'!N569</f>
        <v>319.68627450980387</v>
      </c>
      <c r="O331">
        <f>'Revenue drivers'!O569</f>
        <v>296.00000000000006</v>
      </c>
      <c r="P331">
        <f>'Revenue drivers'!P569</f>
        <v>292.09090909090907</v>
      </c>
      <c r="Q331">
        <f>'Revenue drivers'!Q569</f>
        <v>311.72222222222223</v>
      </c>
      <c r="R331">
        <f>'Revenue drivers'!R569</f>
        <v>318.02380952380952</v>
      </c>
      <c r="S331">
        <f>'Revenue drivers'!S569</f>
        <v>308.74509803921569</v>
      </c>
      <c r="T331">
        <f>'Revenue drivers'!T569</f>
        <v>283.34113973458233</v>
      </c>
      <c r="U331">
        <f>'Revenue drivers'!U569</f>
        <v>282.35371466140697</v>
      </c>
      <c r="V331">
        <f>'Revenue drivers'!V569</f>
        <v>286.3378684807256</v>
      </c>
      <c r="W331">
        <f>'Revenue drivers'!W569</f>
        <v>280.0884955752212</v>
      </c>
      <c r="X331">
        <f>'Revenue drivers'!X569</f>
        <v>298.54881266490764</v>
      </c>
      <c r="Y331">
        <f>'Revenue drivers'!Y569</f>
        <v>306.63510848126231</v>
      </c>
      <c r="Z331">
        <f>'Revenue drivers'!Z569</f>
        <v>310.78737426292059</v>
      </c>
      <c r="AA331">
        <f>'Revenue drivers'!AA569</f>
        <v>314.10067526089625</v>
      </c>
      <c r="AB331">
        <f>'Revenue drivers'!AB569</f>
        <v>311.10396570203642</v>
      </c>
      <c r="AC331">
        <f>'Revenue drivers'!AC569</f>
        <v>307.83758262511805</v>
      </c>
      <c r="AD331">
        <f>'Revenue drivers'!AD569</f>
        <v>327.85358457873076</v>
      </c>
      <c r="AE331">
        <f>'Revenue drivers'!AE569</f>
        <v>341.68974513345375</v>
      </c>
      <c r="AF331">
        <f>'Revenue drivers'!AF569</f>
        <v>345.00648508430601</v>
      </c>
      <c r="AG331">
        <f>'Revenue drivers'!AG569</f>
        <v>339.77938641847635</v>
      </c>
      <c r="AH331">
        <f>'Revenue drivers'!AH569</f>
        <v>350.15254787406684</v>
      </c>
      <c r="AI331">
        <f>'Revenue drivers'!AI569</f>
        <v>353.88278388278394</v>
      </c>
      <c r="AJ331">
        <f>'Revenue drivers'!AJ569</f>
        <v>357.93799772468714</v>
      </c>
      <c r="AL331">
        <f>'Revenue drivers'!BF569</f>
        <v>0</v>
      </c>
      <c r="AM331">
        <f>'Revenue drivers'!BG569</f>
        <v>0</v>
      </c>
      <c r="AN331">
        <f>'Revenue drivers'!BH569</f>
        <v>188.6875</v>
      </c>
      <c r="AO331">
        <f>'Revenue drivers'!BI569</f>
        <v>304.50000000000006</v>
      </c>
      <c r="AP331">
        <f>'Revenue drivers'!BJ569</f>
        <v>312.58333333333331</v>
      </c>
      <c r="AQ331">
        <f>'Revenue drivers'!BK569</f>
        <v>280.85014409221895</v>
      </c>
      <c r="AR331">
        <f>'Revenue drivers'!BL569</f>
        <v>286.50393700787396</v>
      </c>
      <c r="AS331">
        <f>'Revenue drivers'!BM569</f>
        <v>300.44392523364485</v>
      </c>
      <c r="AT331">
        <f>'Revenue drivers'!BN569</f>
        <v>330.55417443546713</v>
      </c>
      <c r="AU331">
        <f>'Revenue drivers'!BO569</f>
        <v>346.82373878056325</v>
      </c>
      <c r="AV331">
        <f>'Revenue drivers'!BP569</f>
        <v>0</v>
      </c>
      <c r="AW331">
        <f>'Revenue drivers'!BQ569</f>
        <v>0</v>
      </c>
      <c r="AX331">
        <f>'Revenue drivers'!BR569</f>
        <v>0</v>
      </c>
      <c r="AY331">
        <f>'Revenue drivers'!BS569</f>
        <v>0</v>
      </c>
      <c r="AZ331">
        <f>'Revenue drivers'!BT569</f>
        <v>0</v>
      </c>
    </row>
    <row r="332" spans="9:52" ht="11.25" customHeight="1">
      <c r="I332" t="str">
        <f>'Revenue drivers'!I570</f>
        <v>% change Y/Y</v>
      </c>
      <c r="M332" t="str">
        <f>'Revenue drivers'!M570</f>
        <v>NA</v>
      </c>
      <c r="N332" t="str">
        <f>'Revenue drivers'!N570</f>
        <v>NA</v>
      </c>
      <c r="O332" t="str">
        <f>'Revenue drivers'!O570</f>
        <v>NA</v>
      </c>
      <c r="P332" t="str">
        <f>'Revenue drivers'!P570</f>
        <v>NA</v>
      </c>
      <c r="Q332">
        <f>'Revenue drivers'!Q570</f>
        <v>5.549285176824692E-2</v>
      </c>
      <c r="R332">
        <f>'Revenue drivers'!R570</f>
        <v>-5.2003014159538452E-3</v>
      </c>
      <c r="S332">
        <f>'Revenue drivers'!S570</f>
        <v>4.3057763645998781E-2</v>
      </c>
      <c r="T332">
        <f>'Revenue drivers'!T570</f>
        <v>-2.995563738549456E-2</v>
      </c>
      <c r="U332">
        <f>'Revenue drivers'!U570</f>
        <v>-9.421371165472725E-2</v>
      </c>
      <c r="V332">
        <f>'Revenue drivers'!V570</f>
        <v>-9.9633864176800535E-2</v>
      </c>
      <c r="W332">
        <f>'Revenue drivers'!W570</f>
        <v>-9.281638039271678E-2</v>
      </c>
      <c r="X332">
        <f>'Revenue drivers'!X570</f>
        <v>5.3672660964697805E-2</v>
      </c>
      <c r="Y332">
        <f>'Revenue drivers'!Y570</f>
        <v>8.599636753131823E-2</v>
      </c>
      <c r="Z332">
        <f>'Revenue drivers'!Z570</f>
        <v>8.5386909918416132E-2</v>
      </c>
      <c r="AA332">
        <f>'Revenue drivers'!AA570</f>
        <v>0.1214336905049378</v>
      </c>
      <c r="AB332">
        <f>'Revenue drivers'!AB570</f>
        <v>4.2053937260908558E-2</v>
      </c>
      <c r="AC332">
        <f>'Revenue drivers'!AC570</f>
        <v>3.921514890488309E-3</v>
      </c>
      <c r="AD332">
        <f>'Revenue drivers'!AD570</f>
        <v>5.4912817344286546E-2</v>
      </c>
      <c r="AE332">
        <f>'Revenue drivers'!AE570</f>
        <v>8.783511799088517E-2</v>
      </c>
      <c r="AF332">
        <f>'Revenue drivers'!AF570</f>
        <v>0.10897488659704235</v>
      </c>
      <c r="AG332">
        <f>'Revenue drivers'!AG570</f>
        <v>0.10376187183179897</v>
      </c>
      <c r="AH332">
        <f>'Revenue drivers'!AH570</f>
        <v>6.8015005307898946E-2</v>
      </c>
      <c r="AI332">
        <f>'Revenue drivers'!AI570</f>
        <v>3.5684532307423966E-2</v>
      </c>
      <c r="AJ332">
        <f>'Revenue drivers'!AJ570</f>
        <v>3.7481940773435474E-2</v>
      </c>
      <c r="AL332">
        <f>'Revenue drivers'!BF570</f>
        <v>0</v>
      </c>
      <c r="AM332">
        <f>'Revenue drivers'!BG570</f>
        <v>0</v>
      </c>
      <c r="AN332" t="str">
        <f>'Revenue drivers'!BH570</f>
        <v>NA</v>
      </c>
      <c r="AO332">
        <f>'Revenue drivers'!BI570</f>
        <v>0.61377939715137497</v>
      </c>
      <c r="AP332">
        <f>'Revenue drivers'!BJ570</f>
        <v>2.6546250684181372E-2</v>
      </c>
      <c r="AQ332">
        <f>'Revenue drivers'!BK570</f>
        <v>-0.10151913380255195</v>
      </c>
      <c r="AR332">
        <f>'Revenue drivers'!BL570</f>
        <v>2.0130995246342209E-2</v>
      </c>
      <c r="AS332">
        <f>'Revenue drivers'!BM570</f>
        <v>4.8655485754765637E-2</v>
      </c>
      <c r="AT332">
        <f>'Revenue drivers'!BN570</f>
        <v>0.10021919790325784</v>
      </c>
      <c r="AU332">
        <f>'Revenue drivers'!BO570</f>
        <v>4.9219055765615138E-2</v>
      </c>
      <c r="AV332">
        <f>'Revenue drivers'!BP570</f>
        <v>0</v>
      </c>
      <c r="AW332">
        <f>'Revenue drivers'!BQ570</f>
        <v>0</v>
      </c>
      <c r="AX332">
        <f>'Revenue drivers'!BR570</f>
        <v>0</v>
      </c>
      <c r="AY332">
        <f>'Revenue drivers'!BS570</f>
        <v>0</v>
      </c>
      <c r="AZ332">
        <f>'Revenue drivers'!BT570</f>
        <v>0</v>
      </c>
    </row>
    <row r="333" spans="9:52" ht="11.25" customHeight="1">
      <c r="I333" t="str">
        <f>'Revenue drivers'!I571</f>
        <v>% change Q/Q</v>
      </c>
      <c r="M333" t="str">
        <f>'Revenue drivers'!M571</f>
        <v>NA</v>
      </c>
      <c r="N333">
        <f>'Revenue drivers'!N571</f>
        <v>8.2459168769087654E-2</v>
      </c>
      <c r="O333">
        <f>'Revenue drivers'!O571</f>
        <v>-7.4092247301275393E-2</v>
      </c>
      <c r="P333">
        <f>'Revenue drivers'!P571</f>
        <v>-1.3206388206388531E-2</v>
      </c>
      <c r="Q333">
        <f>'Revenue drivers'!Q571</f>
        <v>6.72095998893385E-2</v>
      </c>
      <c r="R333">
        <f>'Revenue drivers'!R571</f>
        <v>2.0215393232680734E-2</v>
      </c>
      <c r="S333">
        <f>'Revenue drivers'!S571</f>
        <v>-2.9176153504000935E-2</v>
      </c>
      <c r="T333">
        <f>'Revenue drivers'!T571</f>
        <v>-8.2281333261545853E-2</v>
      </c>
      <c r="U333">
        <f>'Revenue drivers'!U571</f>
        <v>-3.4849336531233011E-3</v>
      </c>
      <c r="V333">
        <f>'Revenue drivers'!V571</f>
        <v>1.4110506122068767E-2</v>
      </c>
      <c r="W333">
        <f>'Revenue drivers'!W571</f>
        <v>-2.1825170867768251E-2</v>
      </c>
      <c r="X333">
        <f>'Revenue drivers'!X571</f>
        <v>6.5908873021629288E-2</v>
      </c>
      <c r="Y333">
        <f>'Revenue drivers'!Y571</f>
        <v>2.7085339057873803E-2</v>
      </c>
      <c r="Z333">
        <f>'Revenue drivers'!Z571</f>
        <v>1.3541390619698168E-2</v>
      </c>
      <c r="AA333">
        <f>'Revenue drivers'!AA571</f>
        <v>1.0660989706656077E-2</v>
      </c>
      <c r="AB333">
        <f>'Revenue drivers'!AB571</f>
        <v>-9.5406020899850841E-3</v>
      </c>
      <c r="AC333">
        <f>'Revenue drivers'!AC571</f>
        <v>-1.0499329603682384E-2</v>
      </c>
      <c r="AD333">
        <f>'Revenue drivers'!AD571</f>
        <v>6.5021306959741842E-2</v>
      </c>
      <c r="AE333">
        <f>'Revenue drivers'!AE571</f>
        <v>4.220225492578189E-2</v>
      </c>
      <c r="AF333">
        <f>'Revenue drivers'!AF571</f>
        <v>9.7068758957248313E-3</v>
      </c>
      <c r="AG333">
        <f>'Revenue drivers'!AG571</f>
        <v>-1.5150725832160372E-2</v>
      </c>
      <c r="AH333">
        <f>'Revenue drivers'!AH571</f>
        <v>3.0529107621657614E-2</v>
      </c>
      <c r="AI333">
        <f>'Revenue drivers'!AI571</f>
        <v>1.0653173970502472E-2</v>
      </c>
      <c r="AJ333">
        <f>'Revenue drivers'!AJ571</f>
        <v>1.1459200691849469E-2</v>
      </c>
      <c r="AL333">
        <f>'Revenue drivers'!BF571</f>
        <v>0</v>
      </c>
      <c r="AM333">
        <f>'Revenue drivers'!BG571</f>
        <v>0</v>
      </c>
      <c r="AN333">
        <f>'Revenue drivers'!BH571</f>
        <v>0</v>
      </c>
      <c r="AO333">
        <f>'Revenue drivers'!BI571</f>
        <v>0</v>
      </c>
      <c r="AP333">
        <f>'Revenue drivers'!BJ571</f>
        <v>0</v>
      </c>
      <c r="AQ333">
        <f>'Revenue drivers'!BK571</f>
        <v>0</v>
      </c>
      <c r="AR333">
        <f>'Revenue drivers'!BL571</f>
        <v>0</v>
      </c>
      <c r="AS333">
        <f>'Revenue drivers'!BM571</f>
        <v>0</v>
      </c>
      <c r="AT333">
        <f>'Revenue drivers'!BN571</f>
        <v>0</v>
      </c>
      <c r="AU333">
        <f>'Revenue drivers'!BO571</f>
        <v>0</v>
      </c>
      <c r="AV333">
        <f>'Revenue drivers'!BP571</f>
        <v>0</v>
      </c>
      <c r="AW333">
        <f>'Revenue drivers'!BQ571</f>
        <v>0</v>
      </c>
      <c r="AX333">
        <f>'Revenue drivers'!BR571</f>
        <v>0</v>
      </c>
      <c r="AY333">
        <f>'Revenue drivers'!BS571</f>
        <v>0</v>
      </c>
      <c r="AZ333">
        <f>'Revenue drivers'!BT571</f>
        <v>0</v>
      </c>
    </row>
    <row r="334" spans="9:52" ht="11.25" customHeight="1">
      <c r="I334" t="str">
        <f>'Revenue drivers'!I572</f>
        <v>Y/Y Abs Growth</v>
      </c>
      <c r="M334">
        <f>'Revenue drivers'!M572</f>
        <v>0</v>
      </c>
      <c r="N334">
        <f>'Revenue drivers'!N572</f>
        <v>0</v>
      </c>
      <c r="O334">
        <f>'Revenue drivers'!O572</f>
        <v>0</v>
      </c>
      <c r="P334">
        <f>'Revenue drivers'!P572</f>
        <v>0</v>
      </c>
      <c r="Q334">
        <f>'Revenue drivers'!Q572</f>
        <v>16.388888888888914</v>
      </c>
      <c r="R334">
        <f>'Revenue drivers'!R572</f>
        <v>-1.6624649859943474</v>
      </c>
      <c r="S334">
        <f>'Revenue drivers'!S572</f>
        <v>12.745098039215634</v>
      </c>
      <c r="T334">
        <f>'Revenue drivers'!T572</f>
        <v>-8.7497693563267376</v>
      </c>
      <c r="U334">
        <f>'Revenue drivers'!U572</f>
        <v>-29.36850756081526</v>
      </c>
      <c r="V334">
        <f>'Revenue drivers'!V572</f>
        <v>-31.685941043083915</v>
      </c>
      <c r="W334">
        <f>'Revenue drivers'!W572</f>
        <v>-28.656602463994489</v>
      </c>
      <c r="X334">
        <f>'Revenue drivers'!X572</f>
        <v>15.207672930325316</v>
      </c>
      <c r="Y334">
        <f>'Revenue drivers'!Y572</f>
        <v>24.281393819855339</v>
      </c>
      <c r="Z334">
        <f>'Revenue drivers'!Z572</f>
        <v>24.44950578219499</v>
      </c>
      <c r="AA334">
        <f>'Revenue drivers'!AA572</f>
        <v>34.012179685675051</v>
      </c>
      <c r="AB334">
        <f>'Revenue drivers'!AB572</f>
        <v>12.555153037128775</v>
      </c>
      <c r="AC334">
        <f>'Revenue drivers'!AC572</f>
        <v>1.2024741438557385</v>
      </c>
      <c r="AD334">
        <f>'Revenue drivers'!AD572</f>
        <v>17.066210315810167</v>
      </c>
      <c r="AE334">
        <f>'Revenue drivers'!AE572</f>
        <v>27.589069872557502</v>
      </c>
      <c r="AF334">
        <f>'Revenue drivers'!AF572</f>
        <v>33.902519382269588</v>
      </c>
      <c r="AG334">
        <f>'Revenue drivers'!AG572</f>
        <v>31.941803793358304</v>
      </c>
      <c r="AH334">
        <f>'Revenue drivers'!AH572</f>
        <v>22.29896329533608</v>
      </c>
      <c r="AI334">
        <f>'Revenue drivers'!AI572</f>
        <v>12.193038749330185</v>
      </c>
      <c r="AJ334">
        <f>'Revenue drivers'!AJ572</f>
        <v>12.931512640381129</v>
      </c>
      <c r="AL334">
        <f>'Revenue drivers'!BF572</f>
        <v>0</v>
      </c>
      <c r="AM334">
        <f>'Revenue drivers'!BG572</f>
        <v>0</v>
      </c>
      <c r="AN334">
        <f>'Revenue drivers'!BH572</f>
        <v>0</v>
      </c>
      <c r="AO334">
        <f>'Revenue drivers'!BI572</f>
        <v>115.81250000000006</v>
      </c>
      <c r="AP334">
        <f>'Revenue drivers'!BJ572</f>
        <v>8.0833333333332575</v>
      </c>
      <c r="AQ334">
        <f>'Revenue drivers'!BK572</f>
        <v>-31.73318924111436</v>
      </c>
      <c r="AR334">
        <f>'Revenue drivers'!BL572</f>
        <v>5.6537929156550035</v>
      </c>
      <c r="AS334">
        <f>'Revenue drivers'!BM572</f>
        <v>13.93998822577089</v>
      </c>
      <c r="AT334">
        <f>'Revenue drivers'!BN572</f>
        <v>30.110249201822285</v>
      </c>
      <c r="AU334">
        <f>'Revenue drivers'!BO572</f>
        <v>16.269564345096114</v>
      </c>
      <c r="AV334">
        <f>'Revenue drivers'!BP572</f>
        <v>0</v>
      </c>
      <c r="AW334">
        <f>'Revenue drivers'!BQ572</f>
        <v>0</v>
      </c>
      <c r="AX334">
        <f>'Revenue drivers'!BR572</f>
        <v>0</v>
      </c>
      <c r="AY334">
        <f>'Revenue drivers'!BS572</f>
        <v>0</v>
      </c>
      <c r="AZ334">
        <f>'Revenue drivers'!BT572</f>
        <v>0</v>
      </c>
    </row>
    <row r="335" spans="9:52" ht="11.25" customHeight="1">
      <c r="I335" t="str">
        <f>'Revenue drivers'!I573</f>
        <v>Q/Q Abs Growth</v>
      </c>
      <c r="M335">
        <f>'Revenue drivers'!M573</f>
        <v>0</v>
      </c>
      <c r="N335">
        <f>'Revenue drivers'!N573</f>
        <v>24.352941176470551</v>
      </c>
      <c r="O335">
        <f>'Revenue drivers'!O573</f>
        <v>-23.686274509803809</v>
      </c>
      <c r="P335">
        <f>'Revenue drivers'!P573</f>
        <v>-3.9090909090909918</v>
      </c>
      <c r="Q335">
        <f>'Revenue drivers'!Q573</f>
        <v>19.631313131313163</v>
      </c>
      <c r="R335">
        <f>'Revenue drivers'!R573</f>
        <v>6.3015873015872899</v>
      </c>
      <c r="S335">
        <f>'Revenue drivers'!S573</f>
        <v>-9.2787114845938277</v>
      </c>
      <c r="T335">
        <f>'Revenue drivers'!T573</f>
        <v>-25.403958304633363</v>
      </c>
      <c r="U335">
        <f>'Revenue drivers'!U573</f>
        <v>-0.9874250731753591</v>
      </c>
      <c r="V335">
        <f>'Revenue drivers'!V573</f>
        <v>3.9841538193186352</v>
      </c>
      <c r="W335">
        <f>'Revenue drivers'!W573</f>
        <v>-6.2493729055044014</v>
      </c>
      <c r="X335">
        <f>'Revenue drivers'!X573</f>
        <v>18.460317089686441</v>
      </c>
      <c r="Y335">
        <f>'Revenue drivers'!Y573</f>
        <v>8.0862958163546637</v>
      </c>
      <c r="Z335">
        <f>'Revenue drivers'!Z573</f>
        <v>4.1522657816582864</v>
      </c>
      <c r="AA335">
        <f>'Revenue drivers'!AA573</f>
        <v>3.3133009979756594</v>
      </c>
      <c r="AB335">
        <f>'Revenue drivers'!AB573</f>
        <v>-2.996709558859834</v>
      </c>
      <c r="AC335">
        <f>'Revenue drivers'!AC573</f>
        <v>-3.2663830769183733</v>
      </c>
      <c r="AD335">
        <f>'Revenue drivers'!AD573</f>
        <v>20.016001953612715</v>
      </c>
      <c r="AE335">
        <f>'Revenue drivers'!AE573</f>
        <v>13.836160554722994</v>
      </c>
      <c r="AF335">
        <f>'Revenue drivers'!AF573</f>
        <v>3.3167399508522522</v>
      </c>
      <c r="AG335">
        <f>'Revenue drivers'!AG573</f>
        <v>-5.2270986658296579</v>
      </c>
      <c r="AH335">
        <f>'Revenue drivers'!AH573</f>
        <v>10.373161455590491</v>
      </c>
      <c r="AI335">
        <f>'Revenue drivers'!AI573</f>
        <v>3.7302360087170996</v>
      </c>
      <c r="AJ335">
        <f>'Revenue drivers'!AJ573</f>
        <v>4.0552138419031962</v>
      </c>
      <c r="AL335">
        <f>'Revenue drivers'!BF573</f>
        <v>0</v>
      </c>
      <c r="AM335">
        <f>'Revenue drivers'!BG573</f>
        <v>0</v>
      </c>
      <c r="AN335">
        <f>'Revenue drivers'!BH573</f>
        <v>0</v>
      </c>
      <c r="AO335">
        <f>'Revenue drivers'!BI573</f>
        <v>0</v>
      </c>
      <c r="AP335">
        <f>'Revenue drivers'!BJ573</f>
        <v>0</v>
      </c>
      <c r="AQ335">
        <f>'Revenue drivers'!BK573</f>
        <v>0</v>
      </c>
      <c r="AR335">
        <f>'Revenue drivers'!BL573</f>
        <v>0</v>
      </c>
      <c r="AS335">
        <f>'Revenue drivers'!BM573</f>
        <v>0</v>
      </c>
      <c r="AT335">
        <f>'Revenue drivers'!BN573</f>
        <v>0</v>
      </c>
      <c r="AU335">
        <f>'Revenue drivers'!BO573</f>
        <v>0</v>
      </c>
      <c r="AV335">
        <f>'Revenue drivers'!BP573</f>
        <v>0</v>
      </c>
      <c r="AW335">
        <f>'Revenue drivers'!BQ573</f>
        <v>0</v>
      </c>
      <c r="AX335">
        <f>'Revenue drivers'!BR573</f>
        <v>0</v>
      </c>
      <c r="AY335">
        <f>'Revenue drivers'!BS573</f>
        <v>0</v>
      </c>
      <c r="AZ335">
        <f>'Revenue drivers'!BT573</f>
        <v>0</v>
      </c>
    </row>
    <row r="338" spans="9:52" ht="11.25" customHeight="1">
      <c r="I338" t="str">
        <f>'Revenue drivers'!I555</f>
        <v>Customer repeat rate (LTM)</v>
      </c>
      <c r="M338">
        <f>'Revenue drivers'!M555</f>
        <v>0.72</v>
      </c>
      <c r="N338">
        <f>'Revenue drivers'!N555</f>
        <v>0</v>
      </c>
      <c r="O338">
        <f>'Revenue drivers'!O555</f>
        <v>0</v>
      </c>
      <c r="P338">
        <f>'Revenue drivers'!P555</f>
        <v>0.66</v>
      </c>
      <c r="Q338">
        <f>'Revenue drivers'!Q555</f>
        <v>0.72</v>
      </c>
      <c r="R338">
        <f>'Revenue drivers'!R555</f>
        <v>0.7</v>
      </c>
      <c r="S338">
        <f>'Revenue drivers'!S555</f>
        <v>0.7</v>
      </c>
      <c r="T338">
        <f>'Revenue drivers'!T555</f>
        <v>0.67</v>
      </c>
      <c r="U338">
        <f>'Revenue drivers'!U555</f>
        <v>0.7</v>
      </c>
      <c r="V338">
        <f>'Revenue drivers'!V555</f>
        <v>0.7</v>
      </c>
      <c r="W338">
        <f>'Revenue drivers'!W555</f>
        <v>0.72</v>
      </c>
      <c r="X338">
        <f>'Revenue drivers'!X555</f>
        <v>0.72</v>
      </c>
      <c r="Y338">
        <f>'Revenue drivers'!Y555</f>
        <v>0.72</v>
      </c>
      <c r="Z338">
        <f>'Revenue drivers'!Z555</f>
        <v>0.71</v>
      </c>
      <c r="AA338">
        <f>'Revenue drivers'!AA555</f>
        <v>0.73</v>
      </c>
      <c r="AB338">
        <f>'Revenue drivers'!AB555</f>
        <v>0.7</v>
      </c>
      <c r="AC338">
        <f>'Revenue drivers'!AC555</f>
        <v>0.75</v>
      </c>
      <c r="AD338">
        <f>'Revenue drivers'!AD555</f>
        <v>0.75</v>
      </c>
      <c r="AE338">
        <f>'Revenue drivers'!AE555</f>
        <v>0.75</v>
      </c>
      <c r="AF338">
        <f>'Revenue drivers'!AF555</f>
        <v>0.75</v>
      </c>
      <c r="AG338">
        <f>'Revenue drivers'!AG555</f>
        <v>0.76</v>
      </c>
      <c r="AH338">
        <f>'Revenue drivers'!AH555</f>
        <v>0.77</v>
      </c>
      <c r="AI338">
        <f>'Revenue drivers'!AI555</f>
        <v>0.77</v>
      </c>
      <c r="AJ338">
        <f>'Revenue drivers'!AJ555</f>
        <v>0.78</v>
      </c>
      <c r="AL338">
        <f>'Revenue drivers'!BF555</f>
        <v>0</v>
      </c>
      <c r="AM338">
        <f>'Revenue drivers'!BG555</f>
        <v>0</v>
      </c>
      <c r="AN338">
        <f>'Revenue drivers'!BH555</f>
        <v>0</v>
      </c>
      <c r="AO338">
        <f>'Revenue drivers'!BI555</f>
        <v>0</v>
      </c>
      <c r="AP338">
        <f>'Revenue drivers'!BJ555</f>
        <v>0</v>
      </c>
      <c r="AQ338">
        <f>'Revenue drivers'!BK555</f>
        <v>0.69750000000000001</v>
      </c>
      <c r="AR338">
        <f>'Revenue drivers'!BL555</f>
        <v>0.71</v>
      </c>
      <c r="AS338">
        <f>'Revenue drivers'!BM555</f>
        <v>0.71500000000000008</v>
      </c>
      <c r="AT338">
        <f>'Revenue drivers'!BN555</f>
        <v>0.75</v>
      </c>
      <c r="AU338">
        <f>'Revenue drivers'!BO555</f>
        <v>0.77</v>
      </c>
      <c r="AV338">
        <f>'Revenue drivers'!BP555</f>
        <v>0.77</v>
      </c>
      <c r="AW338">
        <f>'Revenue drivers'!BQ555</f>
        <v>0.78</v>
      </c>
      <c r="AX338">
        <f>'Revenue drivers'!BR555</f>
        <v>0.78</v>
      </c>
      <c r="AY338">
        <f>'Revenue drivers'!BS555</f>
        <v>0.78</v>
      </c>
      <c r="AZ338">
        <f>'Revenue drivers'!BT555</f>
        <v>0.78</v>
      </c>
    </row>
    <row r="339" spans="9:52" ht="11.25" customHeight="1">
      <c r="I339" t="str">
        <f>'Revenue drivers'!I556</f>
        <v>Customers repeating</v>
      </c>
      <c r="M339">
        <f>'Revenue drivers'!M556</f>
        <v>8</v>
      </c>
      <c r="N339">
        <f>'Revenue drivers'!N556</f>
        <v>9</v>
      </c>
      <c r="O339">
        <f>'Revenue drivers'!O556</f>
        <v>11</v>
      </c>
      <c r="P339">
        <f>'Revenue drivers'!P556</f>
        <v>11</v>
      </c>
      <c r="Q339">
        <f>'Revenue drivers'!Q556</f>
        <v>13</v>
      </c>
      <c r="R339">
        <f>'Revenue drivers'!R556</f>
        <v>15</v>
      </c>
      <c r="S339">
        <f>'Revenue drivers'!S556</f>
        <v>19</v>
      </c>
      <c r="T339">
        <f>'Revenue drivers'!T556</f>
        <v>23.7</v>
      </c>
      <c r="U339">
        <f>'Revenue drivers'!U556</f>
        <v>27</v>
      </c>
      <c r="V339">
        <f>'Revenue drivers'!V556</f>
        <v>31.8</v>
      </c>
      <c r="W339">
        <f>'Revenue drivers'!W556</f>
        <v>36</v>
      </c>
      <c r="X339">
        <f>'Revenue drivers'!X556</f>
        <v>39.799999999999997</v>
      </c>
      <c r="Y339">
        <f>'Revenue drivers'!Y556</f>
        <v>44.7</v>
      </c>
      <c r="Z339">
        <f>'Revenue drivers'!Z556</f>
        <v>51.4</v>
      </c>
      <c r="AA339">
        <f>'Revenue drivers'!AA556</f>
        <v>57.2</v>
      </c>
      <c r="AB339">
        <f>'Revenue drivers'!AB556</f>
        <v>67.2</v>
      </c>
      <c r="AC339">
        <f>'Revenue drivers'!AC556</f>
        <v>74</v>
      </c>
      <c r="AD339">
        <f>'Revenue drivers'!AD556</f>
        <v>79.900000000000006</v>
      </c>
      <c r="AE339">
        <f>'Revenue drivers'!AE556</f>
        <v>86.2</v>
      </c>
      <c r="AF339">
        <f>'Revenue drivers'!AF556</f>
        <v>93.7</v>
      </c>
      <c r="AG339">
        <f>'Revenue drivers'!AG556</f>
        <v>99.7</v>
      </c>
      <c r="AH339">
        <f>'Revenue drivers'!AH556</f>
        <v>105.7</v>
      </c>
      <c r="AI339">
        <f>'Revenue drivers'!AI556</f>
        <v>112.7</v>
      </c>
      <c r="AJ339">
        <f>'Revenue drivers'!AJ556</f>
        <v>121.7</v>
      </c>
      <c r="AL339">
        <f>'Revenue drivers'!BF556</f>
        <v>0</v>
      </c>
      <c r="AM339">
        <f>'Revenue drivers'!BG556</f>
        <v>0</v>
      </c>
      <c r="AN339">
        <f>'Revenue drivers'!BH556</f>
        <v>0</v>
      </c>
      <c r="AO339">
        <f>'Revenue drivers'!BI556</f>
        <v>0</v>
      </c>
      <c r="AP339">
        <f>'Revenue drivers'!BJ556</f>
        <v>11</v>
      </c>
      <c r="AQ339">
        <f>'Revenue drivers'!BK556</f>
        <v>23.7</v>
      </c>
      <c r="AR339">
        <f>'Revenue drivers'!BL556</f>
        <v>39.799999999999997</v>
      </c>
      <c r="AS339">
        <f>'Revenue drivers'!BM556</f>
        <v>67.2</v>
      </c>
      <c r="AT339">
        <f>'Revenue drivers'!BN556</f>
        <v>93.7</v>
      </c>
      <c r="AU339">
        <f>'Revenue drivers'!BO556</f>
        <v>121.7</v>
      </c>
      <c r="AV339">
        <f>'Revenue drivers'!BP556</f>
        <v>0</v>
      </c>
      <c r="AW339">
        <f>'Revenue drivers'!BQ556</f>
        <v>0</v>
      </c>
      <c r="AX339">
        <f>'Revenue drivers'!BR556</f>
        <v>0</v>
      </c>
      <c r="AY339">
        <f>'Revenue drivers'!BS556</f>
        <v>0</v>
      </c>
      <c r="AZ339">
        <f>'Revenue drivers'!BT556</f>
        <v>0</v>
      </c>
    </row>
    <row r="340" spans="9:52" ht="11.25" customHeight="1">
      <c r="I340" t="str">
        <f>'Revenue drivers'!I557</f>
        <v>Customers not repeating</v>
      </c>
      <c r="M340">
        <f>'Revenue drivers'!M557</f>
        <v>0</v>
      </c>
      <c r="N340">
        <f>'Revenue drivers'!N557</f>
        <v>0</v>
      </c>
      <c r="O340">
        <f>'Revenue drivers'!O557</f>
        <v>0</v>
      </c>
      <c r="P340">
        <f>'Revenue drivers'!P557</f>
        <v>0</v>
      </c>
      <c r="Q340">
        <f>'Revenue drivers'!Q557</f>
        <v>1.5833333333333339</v>
      </c>
      <c r="R340">
        <f>'Revenue drivers'!R557</f>
        <v>2.1428571428571423</v>
      </c>
      <c r="S340">
        <f>'Revenue drivers'!S557</f>
        <v>2.4285714285714306</v>
      </c>
      <c r="T340">
        <f>'Revenue drivers'!T557</f>
        <v>2.1955223880597039</v>
      </c>
      <c r="U340">
        <f>'Revenue drivers'!U557</f>
        <v>1.571428571428573</v>
      </c>
      <c r="V340">
        <f>'Revenue drivers'!V557</f>
        <v>1.6285714285714299</v>
      </c>
      <c r="W340">
        <f>'Revenue drivers'!W557</f>
        <v>2.1944444444444429</v>
      </c>
      <c r="X340">
        <f>'Revenue drivers'!X557</f>
        <v>4.2972222222222243</v>
      </c>
      <c r="Y340">
        <f>'Revenue drivers'!Y557</f>
        <v>5.0916666666666686</v>
      </c>
      <c r="Z340">
        <f>'Revenue drivers'!Z557</f>
        <v>7.1915492957746565</v>
      </c>
      <c r="AA340">
        <f>'Revenue drivers'!AA557</f>
        <v>6.6356164383561662</v>
      </c>
      <c r="AB340">
        <f>'Revenue drivers'!AB557</f>
        <v>9.2285714285714278</v>
      </c>
      <c r="AC340">
        <f>'Revenue drivers'!AC557</f>
        <v>5.13333333333334</v>
      </c>
      <c r="AD340">
        <f>'Revenue drivers'!AD557</f>
        <v>7.63333333333334</v>
      </c>
      <c r="AE340">
        <f>'Revenue drivers'!AE557</f>
        <v>9.4000000000000057</v>
      </c>
      <c r="AF340">
        <f>'Revenue drivers'!AF557</f>
        <v>13.566666666666663</v>
      </c>
      <c r="AG340">
        <f>'Revenue drivers'!AG557</f>
        <v>14.576315789473668</v>
      </c>
      <c r="AH340">
        <f>'Revenue drivers'!AH557</f>
        <v>14.819480519480535</v>
      </c>
      <c r="AI340">
        <f>'Revenue drivers'!AI557</f>
        <v>16.455844155844161</v>
      </c>
      <c r="AJ340">
        <f>'Revenue drivers'!AJ557</f>
        <v>16.376923076923063</v>
      </c>
      <c r="AL340">
        <f>'Revenue drivers'!BF557</f>
        <v>0</v>
      </c>
      <c r="AM340">
        <f>'Revenue drivers'!BG557</f>
        <v>0</v>
      </c>
      <c r="AN340">
        <f>'Revenue drivers'!BH557</f>
        <v>0</v>
      </c>
      <c r="AO340">
        <f>'Revenue drivers'!BI557</f>
        <v>0</v>
      </c>
      <c r="AP340" t="str">
        <f>'Revenue drivers'!BJ557</f>
        <v>NA</v>
      </c>
      <c r="AQ340">
        <f>'Revenue drivers'!BK557</f>
        <v>1.1745519713261672</v>
      </c>
      <c r="AR340">
        <f>'Revenue drivers'!BL557</f>
        <v>4.9183098591549381</v>
      </c>
      <c r="AS340">
        <f>'Revenue drivers'!BM557</f>
        <v>7.6251748251748097</v>
      </c>
      <c r="AT340">
        <f>'Revenue drivers'!BN557</f>
        <v>13.566666666666663</v>
      </c>
      <c r="AU340">
        <f>'Revenue drivers'!BO557</f>
        <v>18.170129870129855</v>
      </c>
      <c r="AV340">
        <f>'Revenue drivers'!BP557</f>
        <v>79.025974025974023</v>
      </c>
      <c r="AW340">
        <f>'Revenue drivers'!BQ557</f>
        <v>0</v>
      </c>
      <c r="AX340">
        <f>'Revenue drivers'!BR557</f>
        <v>0</v>
      </c>
      <c r="AY340">
        <f>'Revenue drivers'!BS557</f>
        <v>0</v>
      </c>
      <c r="AZ340">
        <f>'Revenue drivers'!BT557</f>
        <v>0</v>
      </c>
    </row>
    <row r="341" spans="9:52" ht="11.25" customHeight="1">
      <c r="I341" t="str">
        <f>'Revenue drivers'!I558</f>
        <v>Gross customer adds</v>
      </c>
      <c r="M341">
        <f>'Revenue drivers'!M558</f>
        <v>0</v>
      </c>
      <c r="N341">
        <f>'Revenue drivers'!N558</f>
        <v>0</v>
      </c>
      <c r="O341">
        <f>'Revenue drivers'!O558</f>
        <v>0</v>
      </c>
      <c r="P341">
        <f>'Revenue drivers'!P558</f>
        <v>0</v>
      </c>
      <c r="Q341">
        <f>'Revenue drivers'!Q558</f>
        <v>6.5833333333333339</v>
      </c>
      <c r="R341">
        <f>'Revenue drivers'!R558</f>
        <v>8.1428571428571423</v>
      </c>
      <c r="S341">
        <f>'Revenue drivers'!S558</f>
        <v>10.428571428571431</v>
      </c>
      <c r="T341">
        <f>'Revenue drivers'!T558</f>
        <v>14.895522388059703</v>
      </c>
      <c r="U341">
        <f>'Revenue drivers'!U558</f>
        <v>15.571428571428573</v>
      </c>
      <c r="V341">
        <f>'Revenue drivers'!V558</f>
        <v>18.428571428571431</v>
      </c>
      <c r="W341">
        <f>'Revenue drivers'!W558</f>
        <v>19.194444444444443</v>
      </c>
      <c r="X341">
        <f>'Revenue drivers'!X558</f>
        <v>20.397222222222222</v>
      </c>
      <c r="Y341">
        <f>'Revenue drivers'!Y558</f>
        <v>22.791666666666671</v>
      </c>
      <c r="Z341">
        <f>'Revenue drivers'!Z558</f>
        <v>26.791549295774654</v>
      </c>
      <c r="AA341">
        <f>'Revenue drivers'!AA558</f>
        <v>27.835616438356169</v>
      </c>
      <c r="AB341">
        <f>'Revenue drivers'!AB558</f>
        <v>36.628571428571433</v>
      </c>
      <c r="AC341">
        <f>'Revenue drivers'!AC558</f>
        <v>34.433333333333337</v>
      </c>
      <c r="AD341">
        <f>'Revenue drivers'!AD558</f>
        <v>36.133333333333347</v>
      </c>
      <c r="AE341">
        <f>'Revenue drivers'!AE558</f>
        <v>38.400000000000006</v>
      </c>
      <c r="AF341">
        <f>'Revenue drivers'!AF558</f>
        <v>40.066666666666663</v>
      </c>
      <c r="AG341">
        <f>'Revenue drivers'!AG558</f>
        <v>40.276315789473671</v>
      </c>
      <c r="AH341">
        <f>'Revenue drivers'!AH558</f>
        <v>40.619480519480533</v>
      </c>
      <c r="AI341">
        <f>'Revenue drivers'!AI558</f>
        <v>42.955844155844161</v>
      </c>
      <c r="AJ341">
        <f>'Revenue drivers'!AJ558</f>
        <v>44.376923076923063</v>
      </c>
      <c r="AL341">
        <f>'Revenue drivers'!BF558</f>
        <v>0</v>
      </c>
      <c r="AM341">
        <f>'Revenue drivers'!BG558</f>
        <v>0</v>
      </c>
      <c r="AN341">
        <f>'Revenue drivers'!BH558</f>
        <v>0</v>
      </c>
      <c r="AO341">
        <f>'Revenue drivers'!BI558</f>
        <v>0</v>
      </c>
      <c r="AP341" t="str">
        <f>'Revenue drivers'!BJ558</f>
        <v>NA</v>
      </c>
      <c r="AQ341">
        <f>'Revenue drivers'!BK558</f>
        <v>13.874551971326166</v>
      </c>
      <c r="AR341">
        <f>'Revenue drivers'!BL558</f>
        <v>21.018309859154936</v>
      </c>
      <c r="AS341">
        <f>'Revenue drivers'!BM558</f>
        <v>35.025174825174815</v>
      </c>
      <c r="AT341">
        <f>'Revenue drivers'!BN558</f>
        <v>40.066666666666663</v>
      </c>
      <c r="AU341">
        <f>'Revenue drivers'!BO558</f>
        <v>46.170129870129855</v>
      </c>
      <c r="AV341">
        <f>'Revenue drivers'!BP558</f>
        <v>-42.67402597402598</v>
      </c>
      <c r="AW341">
        <f>'Revenue drivers'!BQ558</f>
        <v>0</v>
      </c>
      <c r="AX341">
        <f>'Revenue drivers'!BR558</f>
        <v>0</v>
      </c>
      <c r="AY341">
        <f>'Revenue drivers'!BS558</f>
        <v>0</v>
      </c>
      <c r="AZ341">
        <f>'Revenue drivers'!BT558</f>
        <v>0</v>
      </c>
    </row>
    <row r="342" spans="9:52" ht="11.25" customHeight="1">
      <c r="I342" t="str">
        <f>'Revenue drivers'!I559</f>
        <v>Net customer adds</v>
      </c>
      <c r="M342">
        <f>'Revenue drivers'!M559</f>
        <v>0</v>
      </c>
      <c r="N342">
        <f>'Revenue drivers'!N559</f>
        <v>0</v>
      </c>
      <c r="O342">
        <f>'Revenue drivers'!O559</f>
        <v>0</v>
      </c>
      <c r="P342">
        <f>'Revenue drivers'!P559</f>
        <v>0</v>
      </c>
      <c r="Q342">
        <f>'Revenue drivers'!Q559</f>
        <v>5</v>
      </c>
      <c r="R342">
        <f>'Revenue drivers'!R559</f>
        <v>6</v>
      </c>
      <c r="S342">
        <f>'Revenue drivers'!S559</f>
        <v>8</v>
      </c>
      <c r="T342">
        <f>'Revenue drivers'!T559</f>
        <v>12.7</v>
      </c>
      <c r="U342">
        <f>'Revenue drivers'!U559</f>
        <v>14</v>
      </c>
      <c r="V342">
        <f>'Revenue drivers'!V559</f>
        <v>16.8</v>
      </c>
      <c r="W342">
        <f>'Revenue drivers'!W559</f>
        <v>17</v>
      </c>
      <c r="X342">
        <f>'Revenue drivers'!X559</f>
        <v>16.099999999999998</v>
      </c>
      <c r="Y342">
        <f>'Revenue drivers'!Y559</f>
        <v>17.700000000000003</v>
      </c>
      <c r="Z342">
        <f>'Revenue drivers'!Z559</f>
        <v>19.599999999999998</v>
      </c>
      <c r="AA342">
        <f>'Revenue drivers'!AA559</f>
        <v>21.200000000000003</v>
      </c>
      <c r="AB342">
        <f>'Revenue drivers'!AB559</f>
        <v>27.400000000000006</v>
      </c>
      <c r="AC342">
        <f>'Revenue drivers'!AC559</f>
        <v>29.299999999999997</v>
      </c>
      <c r="AD342">
        <f>'Revenue drivers'!AD559</f>
        <v>28.500000000000007</v>
      </c>
      <c r="AE342">
        <f>'Revenue drivers'!AE559</f>
        <v>29</v>
      </c>
      <c r="AF342">
        <f>'Revenue drivers'!AF559</f>
        <v>26.5</v>
      </c>
      <c r="AG342">
        <f>'Revenue drivers'!AG559</f>
        <v>25.700000000000003</v>
      </c>
      <c r="AH342">
        <f>'Revenue drivers'!AH559</f>
        <v>25.799999999999997</v>
      </c>
      <c r="AI342">
        <f>'Revenue drivers'!AI559</f>
        <v>26.5</v>
      </c>
      <c r="AJ342">
        <f>'Revenue drivers'!AJ559</f>
        <v>28</v>
      </c>
      <c r="AL342">
        <f>'Revenue drivers'!BF559</f>
        <v>0</v>
      </c>
      <c r="AM342">
        <f>'Revenue drivers'!BG559</f>
        <v>0</v>
      </c>
      <c r="AN342">
        <f>'Revenue drivers'!BH559</f>
        <v>0</v>
      </c>
      <c r="AO342">
        <f>'Revenue drivers'!BI559</f>
        <v>0</v>
      </c>
      <c r="AP342" t="str">
        <f>'Revenue drivers'!BJ559</f>
        <v>NA</v>
      </c>
      <c r="AQ342">
        <f>'Revenue drivers'!BK559</f>
        <v>12.7</v>
      </c>
      <c r="AR342">
        <f>'Revenue drivers'!BL559</f>
        <v>16.099999999999998</v>
      </c>
      <c r="AS342">
        <f>'Revenue drivers'!BM559</f>
        <v>27.400000000000006</v>
      </c>
      <c r="AT342">
        <f>'Revenue drivers'!BN559</f>
        <v>26.5</v>
      </c>
      <c r="AU342">
        <f>'Revenue drivers'!BO559</f>
        <v>28</v>
      </c>
      <c r="AV342">
        <f>'Revenue drivers'!BP559</f>
        <v>-121.7</v>
      </c>
      <c r="AW342">
        <f>'Revenue drivers'!BQ559</f>
        <v>0</v>
      </c>
      <c r="AX342">
        <f>'Revenue drivers'!BR559</f>
        <v>0</v>
      </c>
      <c r="AY342">
        <f>'Revenue drivers'!BS559</f>
        <v>0</v>
      </c>
      <c r="AZ342">
        <f>'Revenue drivers'!BT559</f>
        <v>0</v>
      </c>
    </row>
    <row r="344" spans="9:52" ht="11.25" customHeight="1">
      <c r="I344" t="str">
        <f>'Revenue drivers'!I595</f>
        <v>Cohort Sanity Check</v>
      </c>
      <c r="M344">
        <f>'Revenue drivers'!M595</f>
        <v>0</v>
      </c>
      <c r="N344">
        <f>'Revenue drivers'!N595</f>
        <v>0</v>
      </c>
      <c r="O344">
        <f>'Revenue drivers'!O595</f>
        <v>0</v>
      </c>
      <c r="P344">
        <f>'Revenue drivers'!P595</f>
        <v>0</v>
      </c>
      <c r="Q344">
        <f>'Revenue drivers'!Q595</f>
        <v>0</v>
      </c>
      <c r="R344">
        <f>'Revenue drivers'!R595</f>
        <v>0</v>
      </c>
      <c r="S344">
        <f>'Revenue drivers'!S595</f>
        <v>0</v>
      </c>
      <c r="T344">
        <f>'Revenue drivers'!T595</f>
        <v>0</v>
      </c>
      <c r="U344">
        <f>'Revenue drivers'!U595</f>
        <v>0</v>
      </c>
      <c r="V344">
        <f>'Revenue drivers'!V595</f>
        <v>0</v>
      </c>
      <c r="W344">
        <f>'Revenue drivers'!W595</f>
        <v>0</v>
      </c>
      <c r="X344">
        <f>'Revenue drivers'!X595</f>
        <v>0</v>
      </c>
      <c r="Y344">
        <f>'Revenue drivers'!Y595</f>
        <v>0</v>
      </c>
      <c r="Z344">
        <f>'Revenue drivers'!Z595</f>
        <v>0</v>
      </c>
      <c r="AA344">
        <f>'Revenue drivers'!AA595</f>
        <v>0</v>
      </c>
      <c r="AB344">
        <f>'Revenue drivers'!AB595</f>
        <v>0</v>
      </c>
      <c r="AC344">
        <f>'Revenue drivers'!AC595</f>
        <v>0</v>
      </c>
      <c r="AD344">
        <f>'Revenue drivers'!AD595</f>
        <v>0</v>
      </c>
      <c r="AE344">
        <f>'Revenue drivers'!AE595</f>
        <v>0</v>
      </c>
      <c r="AF344">
        <f>'Revenue drivers'!AF595</f>
        <v>0</v>
      </c>
      <c r="AG344">
        <f>'Revenue drivers'!AG595</f>
        <v>0</v>
      </c>
      <c r="AH344">
        <f>'Revenue drivers'!AH595</f>
        <v>0</v>
      </c>
      <c r="AI344">
        <f>'Revenue drivers'!AI595</f>
        <v>0</v>
      </c>
      <c r="AJ344">
        <f>'Revenue drivers'!AJ595</f>
        <v>0</v>
      </c>
      <c r="AL344">
        <f>'Revenue drivers'!BF595</f>
        <v>0</v>
      </c>
      <c r="AM344">
        <f>'Revenue drivers'!BG595</f>
        <v>0</v>
      </c>
      <c r="AN344">
        <f>'Revenue drivers'!BH595</f>
        <v>0</v>
      </c>
      <c r="AO344">
        <f>'Revenue drivers'!BI595</f>
        <v>0</v>
      </c>
      <c r="AP344">
        <f>'Revenue drivers'!BJ595</f>
        <v>0</v>
      </c>
      <c r="AQ344">
        <f>'Revenue drivers'!BK595</f>
        <v>0</v>
      </c>
      <c r="AR344">
        <f>'Revenue drivers'!BL595</f>
        <v>0</v>
      </c>
      <c r="AS344">
        <f>'Revenue drivers'!BM595</f>
        <v>0</v>
      </c>
      <c r="AT344">
        <f>'Revenue drivers'!BN595</f>
        <v>0</v>
      </c>
      <c r="AU344">
        <f>'Revenue drivers'!BO595</f>
        <v>0</v>
      </c>
      <c r="AV344">
        <f>'Revenue drivers'!BP595</f>
        <v>0</v>
      </c>
      <c r="AW344">
        <f>'Revenue drivers'!BQ595</f>
        <v>0</v>
      </c>
      <c r="AX344">
        <f>'Revenue drivers'!BR595</f>
        <v>0</v>
      </c>
      <c r="AY344">
        <f>'Revenue drivers'!BS595</f>
        <v>0</v>
      </c>
      <c r="AZ344">
        <f>'Revenue drivers'!BT595</f>
        <v>0</v>
      </c>
    </row>
    <row r="345" spans="9:52" ht="11.25" customHeight="1">
      <c r="I345">
        <f>'Revenue drivers'!I596</f>
        <v>0</v>
      </c>
      <c r="M345">
        <f>'Revenue drivers'!M596</f>
        <v>0</v>
      </c>
      <c r="N345">
        <f>'Revenue drivers'!N596</f>
        <v>0</v>
      </c>
      <c r="O345">
        <f>'Revenue drivers'!O596</f>
        <v>0</v>
      </c>
      <c r="P345">
        <f>'Revenue drivers'!P596</f>
        <v>0</v>
      </c>
      <c r="Q345">
        <f>'Revenue drivers'!Q596</f>
        <v>0</v>
      </c>
      <c r="R345">
        <f>'Revenue drivers'!R596</f>
        <v>0</v>
      </c>
      <c r="S345">
        <f>'Revenue drivers'!S596</f>
        <v>0</v>
      </c>
      <c r="T345">
        <f>'Revenue drivers'!T596</f>
        <v>0</v>
      </c>
      <c r="U345">
        <f>'Revenue drivers'!U596</f>
        <v>0</v>
      </c>
      <c r="V345">
        <f>'Revenue drivers'!V596</f>
        <v>0</v>
      </c>
      <c r="W345">
        <f>'Revenue drivers'!W596</f>
        <v>0</v>
      </c>
      <c r="X345">
        <f>'Revenue drivers'!X596</f>
        <v>0</v>
      </c>
      <c r="Y345">
        <f>'Revenue drivers'!Y596</f>
        <v>0</v>
      </c>
      <c r="Z345">
        <f>'Revenue drivers'!Z596</f>
        <v>0</v>
      </c>
      <c r="AA345">
        <f>'Revenue drivers'!AA596</f>
        <v>0</v>
      </c>
      <c r="AB345">
        <f>'Revenue drivers'!AB596</f>
        <v>0</v>
      </c>
      <c r="AC345">
        <f>'Revenue drivers'!AC596</f>
        <v>0</v>
      </c>
      <c r="AD345">
        <f>'Revenue drivers'!AD596</f>
        <v>0</v>
      </c>
      <c r="AE345">
        <f>'Revenue drivers'!AE596</f>
        <v>0</v>
      </c>
      <c r="AF345">
        <f>'Revenue drivers'!AF596</f>
        <v>0</v>
      </c>
      <c r="AG345">
        <f>'Revenue drivers'!AG596</f>
        <v>0</v>
      </c>
      <c r="AH345">
        <f>'Revenue drivers'!AH596</f>
        <v>0</v>
      </c>
      <c r="AI345">
        <f>'Revenue drivers'!AI596</f>
        <v>0</v>
      </c>
      <c r="AJ345">
        <f>'Revenue drivers'!AJ596</f>
        <v>0</v>
      </c>
      <c r="AL345">
        <f>'Revenue drivers'!BF596</f>
        <v>0</v>
      </c>
      <c r="AM345">
        <f>'Revenue drivers'!BG596</f>
        <v>0</v>
      </c>
      <c r="AN345">
        <f>'Revenue drivers'!BH596</f>
        <v>0</v>
      </c>
      <c r="AO345">
        <f>'Revenue drivers'!BI596</f>
        <v>0</v>
      </c>
      <c r="AP345">
        <f>'Revenue drivers'!BJ596</f>
        <v>0</v>
      </c>
      <c r="AQ345">
        <f>'Revenue drivers'!BK596</f>
        <v>0</v>
      </c>
      <c r="AR345">
        <f>'Revenue drivers'!BL596</f>
        <v>0</v>
      </c>
      <c r="AS345">
        <f>'Revenue drivers'!BM596</f>
        <v>0</v>
      </c>
      <c r="AT345">
        <f>'Revenue drivers'!BN596</f>
        <v>0</v>
      </c>
      <c r="AU345">
        <f>'Revenue drivers'!BO596</f>
        <v>0</v>
      </c>
      <c r="AV345">
        <f>'Revenue drivers'!BP596</f>
        <v>0</v>
      </c>
      <c r="AW345">
        <f>'Revenue drivers'!BQ596</f>
        <v>0</v>
      </c>
      <c r="AX345">
        <f>'Revenue drivers'!BR596</f>
        <v>0</v>
      </c>
      <c r="AY345">
        <f>'Revenue drivers'!BS596</f>
        <v>0</v>
      </c>
      <c r="AZ345">
        <f>'Revenue drivers'!BT596</f>
        <v>0</v>
      </c>
    </row>
    <row r="346" spans="9:52" ht="11.25" customHeight="1">
      <c r="I346" t="str">
        <f>'Revenue drivers'!I597</f>
        <v>2005-2006</v>
      </c>
      <c r="M346">
        <f>'Revenue drivers'!M597</f>
        <v>0</v>
      </c>
      <c r="N346">
        <f>'Revenue drivers'!N597</f>
        <v>0</v>
      </c>
      <c r="O346">
        <f>'Revenue drivers'!O597</f>
        <v>0</v>
      </c>
      <c r="P346">
        <f>'Revenue drivers'!P597</f>
        <v>0</v>
      </c>
      <c r="Q346">
        <f>'Revenue drivers'!Q597</f>
        <v>0</v>
      </c>
      <c r="R346">
        <f>'Revenue drivers'!R597</f>
        <v>0</v>
      </c>
      <c r="S346">
        <f>'Revenue drivers'!S597</f>
        <v>0</v>
      </c>
      <c r="T346">
        <f>'Revenue drivers'!T597</f>
        <v>0</v>
      </c>
      <c r="U346">
        <f>'Revenue drivers'!U597</f>
        <v>0</v>
      </c>
      <c r="V346">
        <f>'Revenue drivers'!V597</f>
        <v>0</v>
      </c>
      <c r="W346">
        <f>'Revenue drivers'!W597</f>
        <v>0</v>
      </c>
      <c r="X346">
        <f>'Revenue drivers'!X597</f>
        <v>0</v>
      </c>
      <c r="Y346">
        <f>'Revenue drivers'!Y597</f>
        <v>0</v>
      </c>
      <c r="Z346">
        <f>'Revenue drivers'!Z597</f>
        <v>0</v>
      </c>
      <c r="AA346">
        <f>'Revenue drivers'!AA597</f>
        <v>0</v>
      </c>
      <c r="AB346">
        <f>'Revenue drivers'!AB597</f>
        <v>0</v>
      </c>
      <c r="AC346">
        <f>'Revenue drivers'!AC597</f>
        <v>0</v>
      </c>
      <c r="AD346">
        <f>'Revenue drivers'!AD597</f>
        <v>0</v>
      </c>
      <c r="AE346">
        <f>'Revenue drivers'!AE597</f>
        <v>0</v>
      </c>
      <c r="AF346">
        <f>'Revenue drivers'!AF597</f>
        <v>0</v>
      </c>
      <c r="AG346">
        <f>'Revenue drivers'!AG597</f>
        <v>0</v>
      </c>
      <c r="AH346">
        <f>'Revenue drivers'!AH597</f>
        <v>0</v>
      </c>
      <c r="AI346">
        <f>'Revenue drivers'!AI597</f>
        <v>0</v>
      </c>
      <c r="AJ346">
        <f>'Revenue drivers'!AJ597</f>
        <v>0</v>
      </c>
      <c r="AL346">
        <f>'Revenue drivers'!BF597</f>
        <v>0</v>
      </c>
      <c r="AM346">
        <f>'Revenue drivers'!BG597</f>
        <v>0</v>
      </c>
      <c r="AN346">
        <f>'Revenue drivers'!BH597</f>
        <v>0</v>
      </c>
      <c r="AO346">
        <f>'Revenue drivers'!BI597</f>
        <v>0</v>
      </c>
      <c r="AP346">
        <f>'Revenue drivers'!BJ597</f>
        <v>0</v>
      </c>
      <c r="AQ346">
        <f>'Revenue drivers'!BK597</f>
        <v>0</v>
      </c>
      <c r="AR346">
        <f>'Revenue drivers'!BL597</f>
        <v>0</v>
      </c>
      <c r="AS346">
        <f>'Revenue drivers'!BM597</f>
        <v>0</v>
      </c>
      <c r="AT346">
        <f>'Revenue drivers'!BN597</f>
        <v>0</v>
      </c>
      <c r="AU346">
        <f>'Revenue drivers'!BO597</f>
        <v>0</v>
      </c>
      <c r="AV346">
        <f>'Revenue drivers'!BP597</f>
        <v>0</v>
      </c>
      <c r="AW346">
        <f>'Revenue drivers'!BQ597</f>
        <v>0</v>
      </c>
      <c r="AX346">
        <f>'Revenue drivers'!BR597</f>
        <v>0</v>
      </c>
      <c r="AY346">
        <f>'Revenue drivers'!BS597</f>
        <v>0</v>
      </c>
      <c r="AZ346">
        <f>'Revenue drivers'!BT597</f>
        <v>0</v>
      </c>
    </row>
    <row r="347" spans="9:52" ht="11.25" customHeight="1">
      <c r="I347">
        <f>'Revenue drivers'!I598</f>
        <v>0</v>
      </c>
      <c r="M347">
        <f>'Revenue drivers'!M598</f>
        <v>0</v>
      </c>
      <c r="N347">
        <f>'Revenue drivers'!N598</f>
        <v>0</v>
      </c>
      <c r="O347">
        <f>'Revenue drivers'!O598</f>
        <v>0</v>
      </c>
      <c r="P347">
        <f>'Revenue drivers'!P598</f>
        <v>0</v>
      </c>
      <c r="Q347">
        <f>'Revenue drivers'!Q598</f>
        <v>0</v>
      </c>
      <c r="R347">
        <f>'Revenue drivers'!R598</f>
        <v>0</v>
      </c>
      <c r="S347">
        <f>'Revenue drivers'!S598</f>
        <v>0</v>
      </c>
      <c r="T347">
        <f>'Revenue drivers'!T598</f>
        <v>0</v>
      </c>
      <c r="U347">
        <f>'Revenue drivers'!U598</f>
        <v>0</v>
      </c>
      <c r="V347">
        <f>'Revenue drivers'!V598</f>
        <v>0</v>
      </c>
      <c r="W347">
        <f>'Revenue drivers'!W598</f>
        <v>0</v>
      </c>
      <c r="X347">
        <f>'Revenue drivers'!X598</f>
        <v>0</v>
      </c>
      <c r="Y347">
        <f>'Revenue drivers'!Y598</f>
        <v>0</v>
      </c>
      <c r="Z347">
        <f>'Revenue drivers'!Z598</f>
        <v>0</v>
      </c>
      <c r="AA347">
        <f>'Revenue drivers'!AA598</f>
        <v>0</v>
      </c>
      <c r="AB347">
        <f>'Revenue drivers'!AB598</f>
        <v>0</v>
      </c>
      <c r="AC347">
        <f>'Revenue drivers'!AC598</f>
        <v>0</v>
      </c>
      <c r="AD347">
        <f>'Revenue drivers'!AD598</f>
        <v>0</v>
      </c>
      <c r="AE347">
        <f>'Revenue drivers'!AE598</f>
        <v>0</v>
      </c>
      <c r="AF347">
        <f>'Revenue drivers'!AF598</f>
        <v>0</v>
      </c>
      <c r="AG347">
        <f>'Revenue drivers'!AG598</f>
        <v>0</v>
      </c>
      <c r="AH347">
        <f>'Revenue drivers'!AH598</f>
        <v>0</v>
      </c>
      <c r="AI347">
        <f>'Revenue drivers'!AI598</f>
        <v>0</v>
      </c>
      <c r="AJ347">
        <f>'Revenue drivers'!AJ598</f>
        <v>0</v>
      </c>
      <c r="AL347">
        <f>'Revenue drivers'!BF598</f>
        <v>0</v>
      </c>
      <c r="AM347">
        <f>'Revenue drivers'!BG598</f>
        <v>0</v>
      </c>
      <c r="AN347">
        <f>'Revenue drivers'!BH598</f>
        <v>0</v>
      </c>
      <c r="AO347">
        <f>'Revenue drivers'!BI598</f>
        <v>0</v>
      </c>
      <c r="AP347">
        <f>'Revenue drivers'!BJ598</f>
        <v>0</v>
      </c>
      <c r="AQ347">
        <f>'Revenue drivers'!BK598</f>
        <v>0</v>
      </c>
      <c r="AR347">
        <f>'Revenue drivers'!BL598</f>
        <v>0</v>
      </c>
      <c r="AS347">
        <f>'Revenue drivers'!BM598</f>
        <v>0</v>
      </c>
      <c r="AT347">
        <f>'Revenue drivers'!BN598</f>
        <v>0</v>
      </c>
      <c r="AU347">
        <f>'Revenue drivers'!BO598</f>
        <v>0</v>
      </c>
      <c r="AV347">
        <f>'Revenue drivers'!BP598</f>
        <v>0</v>
      </c>
      <c r="AW347">
        <f>'Revenue drivers'!BQ598</f>
        <v>0</v>
      </c>
      <c r="AX347">
        <f>'Revenue drivers'!BR598</f>
        <v>0</v>
      </c>
      <c r="AY347">
        <f>'Revenue drivers'!BS598</f>
        <v>0</v>
      </c>
      <c r="AZ347">
        <f>'Revenue drivers'!BT598</f>
        <v>0</v>
      </c>
    </row>
    <row r="348" spans="9:52" ht="11.25" customHeight="1">
      <c r="I348" t="str">
        <f>'Revenue drivers'!I599</f>
        <v>Average Local Advertising Revenue per Market</v>
      </c>
      <c r="M348">
        <f>'Revenue drivers'!M599</f>
        <v>0</v>
      </c>
      <c r="N348">
        <f>'Revenue drivers'!N599</f>
        <v>0</v>
      </c>
      <c r="O348">
        <f>'Revenue drivers'!O599</f>
        <v>0</v>
      </c>
      <c r="P348">
        <f>'Revenue drivers'!P599</f>
        <v>0</v>
      </c>
      <c r="Q348">
        <f>'Revenue drivers'!Q599</f>
        <v>0</v>
      </c>
      <c r="R348">
        <f>'Revenue drivers'!R599</f>
        <v>0</v>
      </c>
      <c r="S348">
        <f>'Revenue drivers'!S599</f>
        <v>0</v>
      </c>
      <c r="T348">
        <f>'Revenue drivers'!T599</f>
        <v>0</v>
      </c>
      <c r="U348">
        <f>'Revenue drivers'!U599</f>
        <v>1.9755693581780538</v>
      </c>
      <c r="V348">
        <f>'Revenue drivers'!V599</f>
        <v>1.9770000000000001</v>
      </c>
      <c r="W348">
        <f>'Revenue drivers'!W599</f>
        <v>2.4449999999999998</v>
      </c>
      <c r="X348">
        <f>'Revenue drivers'!X599</f>
        <v>2.6493827160493826</v>
      </c>
      <c r="Y348">
        <f>'Revenue drivers'!Y599</f>
        <v>2.9633540372670808</v>
      </c>
      <c r="Z348">
        <f>'Revenue drivers'!Z599</f>
        <v>3.2122807017543864</v>
      </c>
      <c r="AA348">
        <f>'Revenue drivers'!AA599</f>
        <v>3.840127388535032</v>
      </c>
      <c r="AB348">
        <f>'Revenue drivers'!AB599</f>
        <v>4.2919999999999998</v>
      </c>
      <c r="AC348">
        <f>'Revenue drivers'!AC599</f>
        <v>4.7709999999999999</v>
      </c>
      <c r="AD348">
        <f>'Revenue drivers'!AD599</f>
        <v>5.4930000000000003</v>
      </c>
      <c r="AE348">
        <f>'Revenue drivers'!AE599</f>
        <v>6.0289999999999999</v>
      </c>
      <c r="AF348">
        <f>'Revenue drivers'!AF599</f>
        <v>6.5229999999999997</v>
      </c>
      <c r="AG348">
        <f>'Revenue drivers'!AG599</f>
        <v>6.8650000000000002</v>
      </c>
      <c r="AH348">
        <f>'Revenue drivers'!AH599</f>
        <v>7.4489999999999998</v>
      </c>
      <c r="AI348">
        <f>'Revenue drivers'!AI599</f>
        <v>8.0129999999999999</v>
      </c>
      <c r="AJ348">
        <f>'Revenue drivers'!AJ599</f>
        <v>8.4760000000000009</v>
      </c>
      <c r="AL348">
        <f>'Revenue drivers'!BF599</f>
        <v>0</v>
      </c>
      <c r="AM348">
        <f>'Revenue drivers'!BG599</f>
        <v>0</v>
      </c>
      <c r="AN348">
        <f>'Revenue drivers'!BH599</f>
        <v>0</v>
      </c>
      <c r="AO348">
        <f>'Revenue drivers'!BI599</f>
        <v>0</v>
      </c>
      <c r="AP348">
        <f>'Revenue drivers'!BJ599</f>
        <v>0</v>
      </c>
      <c r="AQ348">
        <f>'Revenue drivers'!BK599</f>
        <v>5.8591194968553468</v>
      </c>
      <c r="AR348">
        <f>'Revenue drivers'!BL599</f>
        <v>9.3160000000000007</v>
      </c>
      <c r="AS348">
        <f>'Revenue drivers'!BM599</f>
        <v>14.307762127556499</v>
      </c>
      <c r="AT348">
        <f>'Revenue drivers'!BN599</f>
        <v>22.815999999999999</v>
      </c>
      <c r="AU348">
        <f>'Revenue drivers'!BO599</f>
        <v>30.802999999999997</v>
      </c>
      <c r="AV348">
        <f>'Revenue drivers'!BP599</f>
        <v>40.410800000000009</v>
      </c>
      <c r="AW348">
        <f>'Revenue drivers'!BQ599</f>
        <v>51.491568000000001</v>
      </c>
      <c r="AX348">
        <f>'Revenue drivers'!BR599</f>
        <v>63.556060359999996</v>
      </c>
      <c r="AY348">
        <f>'Revenue drivers'!BS599</f>
        <v>75.911408344800009</v>
      </c>
      <c r="AZ348">
        <f>'Revenue drivers'!BT599</f>
        <v>87.640073593571984</v>
      </c>
    </row>
    <row r="349" spans="9:52" ht="11.25" customHeight="1">
      <c r="I349" t="str">
        <f>'Revenue drivers'!I600</f>
        <v>% change Y/Y</v>
      </c>
      <c r="M349">
        <f>'Revenue drivers'!M600</f>
        <v>0</v>
      </c>
      <c r="N349">
        <f>'Revenue drivers'!N600</f>
        <v>0</v>
      </c>
      <c r="O349">
        <f>'Revenue drivers'!O600</f>
        <v>0</v>
      </c>
      <c r="P349">
        <f>'Revenue drivers'!P600</f>
        <v>0</v>
      </c>
      <c r="Q349">
        <f>'Revenue drivers'!Q600</f>
        <v>0</v>
      </c>
      <c r="R349">
        <f>'Revenue drivers'!R600</f>
        <v>0</v>
      </c>
      <c r="S349">
        <f>'Revenue drivers'!S600</f>
        <v>0</v>
      </c>
      <c r="T349">
        <f>'Revenue drivers'!T600</f>
        <v>0</v>
      </c>
      <c r="U349">
        <f>'Revenue drivers'!U600</f>
        <v>0</v>
      </c>
      <c r="V349">
        <f>'Revenue drivers'!V600</f>
        <v>0.71</v>
      </c>
      <c r="W349">
        <f>'Revenue drivers'!W600</f>
        <v>0.56999999999999995</v>
      </c>
      <c r="X349">
        <f>'Revenue drivers'!X600</f>
        <v>0</v>
      </c>
      <c r="Y349">
        <f>'Revenue drivers'!Y600</f>
        <v>0.5</v>
      </c>
      <c r="Z349">
        <f>'Revenue drivers'!Z600</f>
        <v>0.43</v>
      </c>
      <c r="AA349">
        <f>'Revenue drivers'!AA600</f>
        <v>0.56999999999999995</v>
      </c>
      <c r="AB349">
        <f>'Revenue drivers'!AB600</f>
        <v>0.62</v>
      </c>
      <c r="AC349">
        <f>'Revenue drivers'!AC600</f>
        <v>0.61</v>
      </c>
      <c r="AD349">
        <f>'Revenue drivers'!AD600</f>
        <v>0.71</v>
      </c>
      <c r="AE349">
        <f>'Revenue drivers'!AE600</f>
        <v>0.56999999999999995</v>
      </c>
      <c r="AF349">
        <f>'Revenue drivers'!AF600</f>
        <v>0.51980428704566628</v>
      </c>
      <c r="AG349">
        <f>'Revenue drivers'!AG600</f>
        <v>0.43890169775728372</v>
      </c>
      <c r="AH349">
        <f>'Revenue drivers'!AH600</f>
        <v>0.36</v>
      </c>
      <c r="AI349">
        <f>'Revenue drivers'!AI600</f>
        <v>0.33</v>
      </c>
      <c r="AJ349">
        <f>'Revenue drivers'!AJ600</f>
        <v>0.29940211559098584</v>
      </c>
      <c r="AL349">
        <f>'Revenue drivers'!BF600</f>
        <v>0</v>
      </c>
      <c r="AM349">
        <f>'Revenue drivers'!BG600</f>
        <v>0</v>
      </c>
      <c r="AN349">
        <f>'Revenue drivers'!BH600</f>
        <v>0</v>
      </c>
      <c r="AO349">
        <f>'Revenue drivers'!BI600</f>
        <v>0</v>
      </c>
      <c r="AP349">
        <f>'Revenue drivers'!BJ600</f>
        <v>0</v>
      </c>
      <c r="AQ349">
        <f>'Revenue drivers'!BK600</f>
        <v>0</v>
      </c>
      <c r="AR349">
        <f>'Revenue drivers'!BL600</f>
        <v>0.59</v>
      </c>
      <c r="AS349">
        <f>'Revenue drivers'!BM600</f>
        <v>0.53582676337016943</v>
      </c>
      <c r="AT349">
        <f>'Revenue drivers'!BN600</f>
        <v>0.5946588849179133</v>
      </c>
      <c r="AU349">
        <f>'Revenue drivers'!BO600</f>
        <v>0.35006136044880787</v>
      </c>
      <c r="AV349">
        <f>'Revenue drivers'!BP600</f>
        <v>0.31191117748271302</v>
      </c>
      <c r="AW349">
        <f>'Revenue drivers'!BQ600</f>
        <v>0.27420313381571226</v>
      </c>
      <c r="AX349">
        <f>'Revenue drivers'!BR600</f>
        <v>0.234300349136775</v>
      </c>
      <c r="AY349">
        <f>'Revenue drivers'!BS600</f>
        <v>0.19440078435975616</v>
      </c>
      <c r="AZ349">
        <f>'Revenue drivers'!BT600</f>
        <v>0.15450464567194921</v>
      </c>
    </row>
    <row r="350" spans="9:52" ht="11.25" customHeight="1">
      <c r="I350">
        <f>'Revenue drivers'!I601</f>
        <v>0</v>
      </c>
      <c r="M350">
        <f>'Revenue drivers'!M601</f>
        <v>0</v>
      </c>
      <c r="N350">
        <f>'Revenue drivers'!N601</f>
        <v>0</v>
      </c>
      <c r="O350">
        <f>'Revenue drivers'!O601</f>
        <v>0</v>
      </c>
      <c r="P350">
        <f>'Revenue drivers'!P601</f>
        <v>0</v>
      </c>
      <c r="Q350">
        <f>'Revenue drivers'!Q601</f>
        <v>0</v>
      </c>
      <c r="R350">
        <f>'Revenue drivers'!R601</f>
        <v>0</v>
      </c>
      <c r="S350">
        <f>'Revenue drivers'!S601</f>
        <v>0</v>
      </c>
      <c r="T350">
        <f>'Revenue drivers'!T601</f>
        <v>0</v>
      </c>
      <c r="U350">
        <f>'Revenue drivers'!U601</f>
        <v>0</v>
      </c>
      <c r="V350">
        <f>'Revenue drivers'!V601</f>
        <v>0</v>
      </c>
      <c r="W350">
        <f>'Revenue drivers'!W601</f>
        <v>0</v>
      </c>
      <c r="X350">
        <f>'Revenue drivers'!X601</f>
        <v>0</v>
      </c>
      <c r="Y350">
        <f>'Revenue drivers'!Y601</f>
        <v>0</v>
      </c>
      <c r="Z350">
        <f>'Revenue drivers'!Z601</f>
        <v>0</v>
      </c>
      <c r="AA350">
        <f>'Revenue drivers'!AA601</f>
        <v>0</v>
      </c>
      <c r="AB350">
        <f>'Revenue drivers'!AB601</f>
        <v>0</v>
      </c>
      <c r="AC350">
        <f>'Revenue drivers'!AC601</f>
        <v>0</v>
      </c>
      <c r="AD350">
        <f>'Revenue drivers'!AD601</f>
        <v>0</v>
      </c>
      <c r="AE350">
        <f>'Revenue drivers'!AE601</f>
        <v>0</v>
      </c>
      <c r="AF350">
        <f>'Revenue drivers'!AF601</f>
        <v>0</v>
      </c>
      <c r="AG350">
        <f>'Revenue drivers'!AG601</f>
        <v>0</v>
      </c>
      <c r="AH350">
        <f>'Revenue drivers'!AH601</f>
        <v>0</v>
      </c>
      <c r="AI350">
        <f>'Revenue drivers'!AI601</f>
        <v>0</v>
      </c>
      <c r="AJ350">
        <f>'Revenue drivers'!AJ601</f>
        <v>0</v>
      </c>
      <c r="AL350">
        <f>'Revenue drivers'!BF601</f>
        <v>0</v>
      </c>
      <c r="AM350">
        <f>'Revenue drivers'!BG601</f>
        <v>0</v>
      </c>
      <c r="AN350">
        <f>'Revenue drivers'!BH601</f>
        <v>0</v>
      </c>
      <c r="AO350">
        <f>'Revenue drivers'!BI601</f>
        <v>0</v>
      </c>
      <c r="AP350">
        <f>'Revenue drivers'!BJ601</f>
        <v>0</v>
      </c>
      <c r="AQ350">
        <f>'Revenue drivers'!BK601</f>
        <v>0</v>
      </c>
      <c r="AR350">
        <f>'Revenue drivers'!BL601</f>
        <v>0</v>
      </c>
      <c r="AS350">
        <f>'Revenue drivers'!BM601</f>
        <v>0</v>
      </c>
      <c r="AT350">
        <f>'Revenue drivers'!BN601</f>
        <v>0</v>
      </c>
      <c r="AU350">
        <f>'Revenue drivers'!BO601</f>
        <v>0</v>
      </c>
      <c r="AV350">
        <f>'Revenue drivers'!BP601</f>
        <v>0</v>
      </c>
      <c r="AW350">
        <f>'Revenue drivers'!BQ601</f>
        <v>0</v>
      </c>
      <c r="AX350">
        <f>'Revenue drivers'!BR601</f>
        <v>0</v>
      </c>
      <c r="AY350">
        <f>'Revenue drivers'!BS601</f>
        <v>0</v>
      </c>
      <c r="AZ350">
        <f>'Revenue drivers'!BT601</f>
        <v>0</v>
      </c>
    </row>
    <row r="351" spans="9:52" ht="11.25" customHeight="1">
      <c r="I351" t="str">
        <f>'Revenue drivers'!I602</f>
        <v>Number of Yelp Markets</v>
      </c>
      <c r="M351">
        <f>'Revenue drivers'!M602</f>
        <v>0</v>
      </c>
      <c r="N351">
        <f>'Revenue drivers'!N602</f>
        <v>0</v>
      </c>
      <c r="O351">
        <f>'Revenue drivers'!O602</f>
        <v>0</v>
      </c>
      <c r="P351">
        <f>'Revenue drivers'!P602</f>
        <v>0</v>
      </c>
      <c r="Q351">
        <f>'Revenue drivers'!Q602</f>
        <v>0</v>
      </c>
      <c r="R351">
        <f>'Revenue drivers'!R602</f>
        <v>0</v>
      </c>
      <c r="S351">
        <f>'Revenue drivers'!S602</f>
        <v>0</v>
      </c>
      <c r="T351">
        <f>'Revenue drivers'!T602</f>
        <v>6</v>
      </c>
      <c r="U351">
        <f>'Revenue drivers'!U602</f>
        <v>6</v>
      </c>
      <c r="V351">
        <f>'Revenue drivers'!V602</f>
        <v>6</v>
      </c>
      <c r="W351">
        <f>'Revenue drivers'!W602</f>
        <v>6</v>
      </c>
      <c r="X351">
        <f>'Revenue drivers'!X602</f>
        <v>6</v>
      </c>
      <c r="Y351">
        <f>'Revenue drivers'!Y602</f>
        <v>6</v>
      </c>
      <c r="Z351">
        <f>'Revenue drivers'!Z602</f>
        <v>6</v>
      </c>
      <c r="AA351">
        <f>'Revenue drivers'!AA602</f>
        <v>6</v>
      </c>
      <c r="AB351">
        <f>'Revenue drivers'!AB602</f>
        <v>6</v>
      </c>
      <c r="AC351">
        <f>'Revenue drivers'!AC602</f>
        <v>6</v>
      </c>
      <c r="AD351">
        <f>'Revenue drivers'!AD602</f>
        <v>6</v>
      </c>
      <c r="AE351">
        <f>'Revenue drivers'!AE602</f>
        <v>6</v>
      </c>
      <c r="AF351">
        <f>'Revenue drivers'!AF602</f>
        <v>6</v>
      </c>
      <c r="AG351">
        <f>'Revenue drivers'!AG602</f>
        <v>6</v>
      </c>
      <c r="AH351">
        <f>'Revenue drivers'!AH602</f>
        <v>6</v>
      </c>
      <c r="AI351">
        <f>'Revenue drivers'!AI602</f>
        <v>6</v>
      </c>
      <c r="AJ351">
        <f>'Revenue drivers'!AJ602</f>
        <v>6</v>
      </c>
      <c r="AL351">
        <f>'Revenue drivers'!BF602</f>
        <v>0</v>
      </c>
      <c r="AM351">
        <f>'Revenue drivers'!BG602</f>
        <v>0</v>
      </c>
      <c r="AN351">
        <f>'Revenue drivers'!BH602</f>
        <v>0</v>
      </c>
      <c r="AO351">
        <f>'Revenue drivers'!BI602</f>
        <v>0</v>
      </c>
      <c r="AP351">
        <f>'Revenue drivers'!BJ602</f>
        <v>0</v>
      </c>
      <c r="AQ351">
        <f>'Revenue drivers'!BK602</f>
        <v>0</v>
      </c>
      <c r="AR351">
        <f>'Revenue drivers'!BL602</f>
        <v>6</v>
      </c>
      <c r="AS351">
        <f>'Revenue drivers'!BM602</f>
        <v>6</v>
      </c>
      <c r="AT351">
        <f>'Revenue drivers'!BN602</f>
        <v>6</v>
      </c>
      <c r="AU351">
        <f>'Revenue drivers'!BO602</f>
        <v>6</v>
      </c>
      <c r="AV351">
        <f>'Revenue drivers'!BP602</f>
        <v>6</v>
      </c>
      <c r="AW351">
        <f>'Revenue drivers'!BQ602</f>
        <v>6</v>
      </c>
      <c r="AX351">
        <f>'Revenue drivers'!BR602</f>
        <v>6</v>
      </c>
      <c r="AY351">
        <f>'Revenue drivers'!BS602</f>
        <v>6</v>
      </c>
      <c r="AZ351">
        <f>'Revenue drivers'!BT602</f>
        <v>6</v>
      </c>
    </row>
    <row r="352" spans="9:52" ht="11.25" customHeight="1">
      <c r="I352">
        <f>'Revenue drivers'!I603</f>
        <v>0</v>
      </c>
      <c r="M352">
        <f>'Revenue drivers'!M603</f>
        <v>0</v>
      </c>
      <c r="N352">
        <f>'Revenue drivers'!N603</f>
        <v>0</v>
      </c>
      <c r="O352">
        <f>'Revenue drivers'!O603</f>
        <v>0</v>
      </c>
      <c r="P352">
        <f>'Revenue drivers'!P603</f>
        <v>0</v>
      </c>
      <c r="Q352">
        <f>'Revenue drivers'!Q603</f>
        <v>0</v>
      </c>
      <c r="R352">
        <f>'Revenue drivers'!R603</f>
        <v>0</v>
      </c>
      <c r="S352">
        <f>'Revenue drivers'!S603</f>
        <v>0</v>
      </c>
      <c r="T352">
        <f>'Revenue drivers'!T603</f>
        <v>0</v>
      </c>
      <c r="U352">
        <f>'Revenue drivers'!U603</f>
        <v>0</v>
      </c>
      <c r="V352">
        <f>'Revenue drivers'!V603</f>
        <v>0</v>
      </c>
      <c r="W352">
        <f>'Revenue drivers'!W603</f>
        <v>0</v>
      </c>
      <c r="X352">
        <f>'Revenue drivers'!X603</f>
        <v>0</v>
      </c>
      <c r="Y352">
        <f>'Revenue drivers'!Y603</f>
        <v>0</v>
      </c>
      <c r="Z352">
        <f>'Revenue drivers'!Z603</f>
        <v>0</v>
      </c>
      <c r="AA352">
        <f>'Revenue drivers'!AA603</f>
        <v>0</v>
      </c>
      <c r="AB352">
        <f>'Revenue drivers'!AB603</f>
        <v>0</v>
      </c>
      <c r="AC352">
        <f>'Revenue drivers'!AC603</f>
        <v>136.89599999999999</v>
      </c>
      <c r="AD352">
        <f>'Revenue drivers'!AD603</f>
        <v>0</v>
      </c>
      <c r="AE352">
        <f>'Revenue drivers'!AE603</f>
        <v>0</v>
      </c>
      <c r="AF352">
        <f>'Revenue drivers'!AF603</f>
        <v>0</v>
      </c>
      <c r="AG352">
        <f>'Revenue drivers'!AG603</f>
        <v>0</v>
      </c>
      <c r="AH352">
        <f>'Revenue drivers'!AH603</f>
        <v>0</v>
      </c>
      <c r="AI352">
        <f>'Revenue drivers'!AI603</f>
        <v>0</v>
      </c>
      <c r="AJ352">
        <f>'Revenue drivers'!AJ603</f>
        <v>0</v>
      </c>
      <c r="AL352">
        <f>'Revenue drivers'!BF603</f>
        <v>0</v>
      </c>
      <c r="AM352">
        <f>'Revenue drivers'!BG603</f>
        <v>0</v>
      </c>
      <c r="AN352">
        <f>'Revenue drivers'!BH603</f>
        <v>0</v>
      </c>
      <c r="AO352">
        <f>'Revenue drivers'!BI603</f>
        <v>0</v>
      </c>
      <c r="AP352">
        <f>'Revenue drivers'!BJ603</f>
        <v>0</v>
      </c>
      <c r="AQ352">
        <f>'Revenue drivers'!BK603</f>
        <v>0</v>
      </c>
      <c r="AR352">
        <f>'Revenue drivers'!BL603</f>
        <v>0</v>
      </c>
      <c r="AS352">
        <f>'Revenue drivers'!BM603</f>
        <v>0</v>
      </c>
      <c r="AT352">
        <f>'Revenue drivers'!BN603</f>
        <v>0</v>
      </c>
      <c r="AU352">
        <f>'Revenue drivers'!BO603</f>
        <v>0</v>
      </c>
      <c r="AV352">
        <f>'Revenue drivers'!BP603</f>
        <v>0</v>
      </c>
      <c r="AW352">
        <f>'Revenue drivers'!BQ603</f>
        <v>0</v>
      </c>
      <c r="AX352">
        <f>'Revenue drivers'!BR603</f>
        <v>0</v>
      </c>
      <c r="AY352">
        <f>'Revenue drivers'!BS603</f>
        <v>0</v>
      </c>
      <c r="AZ352">
        <f>'Revenue drivers'!BT603</f>
        <v>0</v>
      </c>
    </row>
    <row r="353" spans="9:52" ht="11.25" customHeight="1">
      <c r="I353" t="str">
        <f>'Revenue drivers'!I608</f>
        <v>Cumulative Reviews</v>
      </c>
      <c r="M353">
        <f>'Revenue drivers'!M608</f>
        <v>0</v>
      </c>
      <c r="N353">
        <f>'Revenue drivers'!N608</f>
        <v>0</v>
      </c>
      <c r="O353">
        <f>'Revenue drivers'!O608</f>
        <v>0</v>
      </c>
      <c r="P353">
        <f>'Revenue drivers'!P608</f>
        <v>0</v>
      </c>
      <c r="Q353">
        <f>'Revenue drivers'!Q608</f>
        <v>0</v>
      </c>
      <c r="R353">
        <f>'Revenue drivers'!R608</f>
        <v>0</v>
      </c>
      <c r="S353">
        <f>'Revenue drivers'!S608</f>
        <v>0</v>
      </c>
      <c r="T353">
        <f>'Revenue drivers'!T608</f>
        <v>0</v>
      </c>
      <c r="U353">
        <f>'Revenue drivers'!U608</f>
        <v>2.1580530184896412</v>
      </c>
      <c r="V353">
        <f>'Revenue drivers'!V608</f>
        <v>2.2730000000000001</v>
      </c>
      <c r="W353">
        <f>'Revenue drivers'!W608</f>
        <v>2.569</v>
      </c>
      <c r="X353">
        <f>'Revenue drivers'!X608</f>
        <v>2.6807407407407409</v>
      </c>
      <c r="Y353">
        <f>'Revenue drivers'!Y608</f>
        <v>2.8917910447761193</v>
      </c>
      <c r="Z353">
        <f>'Revenue drivers'!Z608</f>
        <v>3.0932835820895517</v>
      </c>
      <c r="AA353">
        <f>'Revenue drivers'!AA608</f>
        <v>3.3984732824427479</v>
      </c>
      <c r="AB353">
        <f>'Revenue drivers'!AB608</f>
        <v>3.6190000000000002</v>
      </c>
      <c r="AC353">
        <f>'Revenue drivers'!AC608</f>
        <v>3.875</v>
      </c>
      <c r="AD353">
        <f>'Revenue drivers'!AD608</f>
        <v>4.1449999999999996</v>
      </c>
      <c r="AE353">
        <f>'Revenue drivers'!AE608</f>
        <v>4.452</v>
      </c>
      <c r="AF353">
        <f>'Revenue drivers'!AF608</f>
        <v>4.7279999999999998</v>
      </c>
      <c r="AG353">
        <f>'Revenue drivers'!AG608</f>
        <v>5.0490000000000004</v>
      </c>
      <c r="AH353">
        <f>'Revenue drivers'!AH608</f>
        <v>5.3809999999999997E-2</v>
      </c>
      <c r="AI353">
        <f>'Revenue drivers'!AI608</f>
        <v>5.7489999999999997</v>
      </c>
      <c r="AJ353">
        <f>'Revenue drivers'!AJ608</f>
        <v>6.0709999999999997</v>
      </c>
      <c r="AL353">
        <f>'Revenue drivers'!BF608</f>
        <v>0</v>
      </c>
      <c r="AM353">
        <f>'Revenue drivers'!BG608</f>
        <v>0</v>
      </c>
      <c r="AN353">
        <f>'Revenue drivers'!BH608</f>
        <v>0</v>
      </c>
      <c r="AO353">
        <f>'Revenue drivers'!BI608</f>
        <v>0</v>
      </c>
      <c r="AP353">
        <f>'Revenue drivers'!BJ608</f>
        <v>0</v>
      </c>
      <c r="AQ353">
        <f>'Revenue drivers'!BK608</f>
        <v>1.9583941605839412</v>
      </c>
      <c r="AR353">
        <f>'Revenue drivers'!BL608</f>
        <v>2.6829999999999998</v>
      </c>
      <c r="AS353">
        <f>'Revenue drivers'!BM608</f>
        <v>0</v>
      </c>
      <c r="AT353">
        <f>'Revenue drivers'!BN608</f>
        <v>0</v>
      </c>
      <c r="AU353">
        <f>'Revenue drivers'!BO608</f>
        <v>0</v>
      </c>
      <c r="AV353">
        <f>'Revenue drivers'!BP608</f>
        <v>0</v>
      </c>
      <c r="AW353">
        <f>'Revenue drivers'!BQ608</f>
        <v>0</v>
      </c>
      <c r="AX353">
        <f>'Revenue drivers'!BR608</f>
        <v>0</v>
      </c>
      <c r="AY353">
        <f>'Revenue drivers'!BS608</f>
        <v>0</v>
      </c>
      <c r="AZ353">
        <f>'Revenue drivers'!BT608</f>
        <v>0</v>
      </c>
    </row>
    <row r="354" spans="9:52" ht="11.25" customHeight="1">
      <c r="I354" t="str">
        <f>'Revenue drivers'!I609</f>
        <v>% change Y/Y</v>
      </c>
      <c r="M354">
        <f>'Revenue drivers'!M609</f>
        <v>0</v>
      </c>
      <c r="N354">
        <f>'Revenue drivers'!N609</f>
        <v>0</v>
      </c>
      <c r="O354">
        <f>'Revenue drivers'!O609</f>
        <v>0</v>
      </c>
      <c r="P354">
        <f>'Revenue drivers'!P609</f>
        <v>0</v>
      </c>
      <c r="Q354">
        <f>'Revenue drivers'!Q609</f>
        <v>0</v>
      </c>
      <c r="R354">
        <f>'Revenue drivers'!R609</f>
        <v>0</v>
      </c>
      <c r="S354">
        <f>'Revenue drivers'!S609</f>
        <v>0</v>
      </c>
      <c r="T354">
        <f>'Revenue drivers'!T609</f>
        <v>0</v>
      </c>
      <c r="U354">
        <f>'Revenue drivers'!U609</f>
        <v>0</v>
      </c>
      <c r="V354">
        <f>'Revenue drivers'!V609</f>
        <v>0.49</v>
      </c>
      <c r="W354">
        <f>'Revenue drivers'!W609</f>
        <v>0.4</v>
      </c>
      <c r="X354">
        <f>'Revenue drivers'!X609</f>
        <v>0</v>
      </c>
      <c r="Y354">
        <f>'Revenue drivers'!Y609</f>
        <v>0.34</v>
      </c>
      <c r="Z354">
        <f>'Revenue drivers'!Z609</f>
        <v>0.33</v>
      </c>
      <c r="AA354">
        <f>'Revenue drivers'!AA609</f>
        <v>0.35</v>
      </c>
      <c r="AB354">
        <f>'Revenue drivers'!AB609</f>
        <v>0.35</v>
      </c>
      <c r="AC354">
        <f>'Revenue drivers'!AC609</f>
        <v>0.34</v>
      </c>
      <c r="AD354">
        <f>'Revenue drivers'!AD609</f>
        <v>0.34</v>
      </c>
      <c r="AE354">
        <f>'Revenue drivers'!AE609</f>
        <v>0.31</v>
      </c>
      <c r="AF354">
        <f>'Revenue drivers'!AF609</f>
        <v>0.31</v>
      </c>
      <c r="AG354">
        <f>'Revenue drivers'!AG609</f>
        <v>0.3</v>
      </c>
      <c r="AH354">
        <f>'Revenue drivers'!AH609</f>
        <v>0.3</v>
      </c>
      <c r="AI354">
        <f>'Revenue drivers'!AI609</f>
        <v>0.28999999999999998</v>
      </c>
      <c r="AJ354">
        <f>'Revenue drivers'!AJ609</f>
        <v>0.28405245346869723</v>
      </c>
      <c r="AL354">
        <f>'Revenue drivers'!BF609</f>
        <v>0</v>
      </c>
      <c r="AM354">
        <f>'Revenue drivers'!BG609</f>
        <v>0</v>
      </c>
      <c r="AN354">
        <f>'Revenue drivers'!BH609</f>
        <v>0</v>
      </c>
      <c r="AO354">
        <f>'Revenue drivers'!BI609</f>
        <v>0</v>
      </c>
      <c r="AP354">
        <f>'Revenue drivers'!BJ609</f>
        <v>0</v>
      </c>
      <c r="AQ354">
        <f>'Revenue drivers'!BK609</f>
        <v>0</v>
      </c>
      <c r="AR354">
        <f>'Revenue drivers'!BL609</f>
        <v>0.37</v>
      </c>
      <c r="AS354">
        <f>'Revenue drivers'!BM609</f>
        <v>0</v>
      </c>
      <c r="AT354">
        <f>'Revenue drivers'!BN609</f>
        <v>0</v>
      </c>
      <c r="AU354">
        <f>'Revenue drivers'!BO609</f>
        <v>0</v>
      </c>
      <c r="AV354">
        <f>'Revenue drivers'!BP609</f>
        <v>0</v>
      </c>
      <c r="AW354">
        <f>'Revenue drivers'!BQ609</f>
        <v>0</v>
      </c>
      <c r="AX354">
        <f>'Revenue drivers'!BR609</f>
        <v>0</v>
      </c>
      <c r="AY354">
        <f>'Revenue drivers'!BS609</f>
        <v>0</v>
      </c>
      <c r="AZ354">
        <f>'Revenue drivers'!BT609</f>
        <v>0</v>
      </c>
    </row>
    <row r="356" spans="9:52" ht="11.25" customHeight="1">
      <c r="I356" t="str">
        <f>'Revenue drivers'!I611</f>
        <v>2007-2008</v>
      </c>
      <c r="M356">
        <f>'Revenue drivers'!M611</f>
        <v>0</v>
      </c>
      <c r="N356">
        <f>'Revenue drivers'!N611</f>
        <v>0</v>
      </c>
      <c r="O356">
        <f>'Revenue drivers'!O611</f>
        <v>0</v>
      </c>
      <c r="P356">
        <f>'Revenue drivers'!P611</f>
        <v>0</v>
      </c>
      <c r="Q356">
        <f>'Revenue drivers'!Q611</f>
        <v>0</v>
      </c>
      <c r="R356">
        <f>'Revenue drivers'!R611</f>
        <v>0</v>
      </c>
      <c r="S356">
        <f>'Revenue drivers'!S611</f>
        <v>0</v>
      </c>
      <c r="T356">
        <f>'Revenue drivers'!T611</f>
        <v>0</v>
      </c>
      <c r="U356">
        <f>'Revenue drivers'!U611</f>
        <v>0</v>
      </c>
      <c r="V356">
        <f>'Revenue drivers'!V611</f>
        <v>0</v>
      </c>
      <c r="W356">
        <f>'Revenue drivers'!W611</f>
        <v>0</v>
      </c>
      <c r="X356">
        <f>'Revenue drivers'!X611</f>
        <v>0</v>
      </c>
      <c r="Y356">
        <f>'Revenue drivers'!Y611</f>
        <v>0</v>
      </c>
      <c r="Z356">
        <f>'Revenue drivers'!Z611</f>
        <v>0</v>
      </c>
      <c r="AA356">
        <f>'Revenue drivers'!AA611</f>
        <v>0</v>
      </c>
      <c r="AB356">
        <f>'Revenue drivers'!AB611</f>
        <v>0</v>
      </c>
      <c r="AC356">
        <f>'Revenue drivers'!AC611</f>
        <v>0</v>
      </c>
      <c r="AD356">
        <f>'Revenue drivers'!AD611</f>
        <v>0</v>
      </c>
      <c r="AE356">
        <f>'Revenue drivers'!AE611</f>
        <v>0</v>
      </c>
      <c r="AF356">
        <f>'Revenue drivers'!AF611</f>
        <v>0</v>
      </c>
      <c r="AG356">
        <f>'Revenue drivers'!AG611</f>
        <v>0</v>
      </c>
      <c r="AH356">
        <f>'Revenue drivers'!AH611</f>
        <v>0</v>
      </c>
      <c r="AI356">
        <f>'Revenue drivers'!AI611</f>
        <v>0</v>
      </c>
      <c r="AJ356">
        <f>'Revenue drivers'!AJ611</f>
        <v>0</v>
      </c>
      <c r="AL356">
        <f>'Revenue drivers'!BF611</f>
        <v>0</v>
      </c>
      <c r="AM356">
        <f>'Revenue drivers'!BG611</f>
        <v>0</v>
      </c>
      <c r="AN356">
        <f>'Revenue drivers'!BH611</f>
        <v>0</v>
      </c>
      <c r="AO356">
        <f>'Revenue drivers'!BI611</f>
        <v>0</v>
      </c>
      <c r="AP356">
        <f>'Revenue drivers'!BJ611</f>
        <v>0</v>
      </c>
      <c r="AQ356">
        <f>'Revenue drivers'!BK611</f>
        <v>0</v>
      </c>
      <c r="AR356">
        <f>'Revenue drivers'!BL611</f>
        <v>0</v>
      </c>
      <c r="AS356">
        <f>'Revenue drivers'!BM611</f>
        <v>0</v>
      </c>
      <c r="AT356">
        <f>'Revenue drivers'!BN611</f>
        <v>0</v>
      </c>
      <c r="AU356">
        <f>'Revenue drivers'!BO611</f>
        <v>0</v>
      </c>
      <c r="AV356">
        <f>'Revenue drivers'!BP611</f>
        <v>0</v>
      </c>
      <c r="AW356">
        <f>'Revenue drivers'!BQ611</f>
        <v>0</v>
      </c>
      <c r="AX356">
        <f>'Revenue drivers'!BR611</f>
        <v>0</v>
      </c>
      <c r="AY356">
        <f>'Revenue drivers'!BS611</f>
        <v>0</v>
      </c>
      <c r="AZ356">
        <f>'Revenue drivers'!BT611</f>
        <v>0</v>
      </c>
    </row>
    <row r="357" spans="9:52" ht="11.25" customHeight="1">
      <c r="I357">
        <f>'Revenue drivers'!I612</f>
        <v>0</v>
      </c>
      <c r="M357">
        <f>'Revenue drivers'!M612</f>
        <v>0</v>
      </c>
      <c r="N357">
        <f>'Revenue drivers'!N612</f>
        <v>0</v>
      </c>
      <c r="O357">
        <f>'Revenue drivers'!O612</f>
        <v>0</v>
      </c>
      <c r="P357">
        <f>'Revenue drivers'!P612</f>
        <v>0</v>
      </c>
      <c r="Q357">
        <f>'Revenue drivers'!Q612</f>
        <v>0</v>
      </c>
      <c r="R357">
        <f>'Revenue drivers'!R612</f>
        <v>0</v>
      </c>
      <c r="S357">
        <f>'Revenue drivers'!S612</f>
        <v>0</v>
      </c>
      <c r="T357">
        <f>'Revenue drivers'!T612</f>
        <v>0</v>
      </c>
      <c r="U357">
        <f>'Revenue drivers'!U612</f>
        <v>0</v>
      </c>
      <c r="V357">
        <f>'Revenue drivers'!V612</f>
        <v>0</v>
      </c>
      <c r="W357">
        <f>'Revenue drivers'!W612</f>
        <v>0</v>
      </c>
      <c r="X357">
        <f>'Revenue drivers'!X612</f>
        <v>0</v>
      </c>
      <c r="Y357">
        <f>'Revenue drivers'!Y612</f>
        <v>0</v>
      </c>
      <c r="Z357">
        <f>'Revenue drivers'!Z612</f>
        <v>0</v>
      </c>
      <c r="AA357">
        <f>'Revenue drivers'!AA612</f>
        <v>0</v>
      </c>
      <c r="AB357">
        <f>'Revenue drivers'!AB612</f>
        <v>0</v>
      </c>
      <c r="AC357">
        <f>'Revenue drivers'!AC612</f>
        <v>0</v>
      </c>
      <c r="AD357">
        <f>'Revenue drivers'!AD612</f>
        <v>0</v>
      </c>
      <c r="AE357">
        <f>'Revenue drivers'!AE612</f>
        <v>0</v>
      </c>
      <c r="AF357">
        <f>'Revenue drivers'!AF612</f>
        <v>0</v>
      </c>
      <c r="AG357">
        <f>'Revenue drivers'!AG612</f>
        <v>0</v>
      </c>
      <c r="AH357">
        <f>'Revenue drivers'!AH612</f>
        <v>0</v>
      </c>
      <c r="AI357">
        <f>'Revenue drivers'!AI612</f>
        <v>0</v>
      </c>
      <c r="AJ357">
        <f>'Revenue drivers'!AJ612</f>
        <v>0</v>
      </c>
      <c r="AL357">
        <f>'Revenue drivers'!BF612</f>
        <v>0</v>
      </c>
      <c r="AM357">
        <f>'Revenue drivers'!BG612</f>
        <v>0</v>
      </c>
      <c r="AN357">
        <f>'Revenue drivers'!BH612</f>
        <v>0</v>
      </c>
      <c r="AO357">
        <f>'Revenue drivers'!BI612</f>
        <v>0</v>
      </c>
      <c r="AP357">
        <f>'Revenue drivers'!BJ612</f>
        <v>0</v>
      </c>
      <c r="AQ357">
        <f>'Revenue drivers'!BK612</f>
        <v>0</v>
      </c>
      <c r="AR357">
        <f>'Revenue drivers'!BL612</f>
        <v>0</v>
      </c>
      <c r="AS357">
        <f>'Revenue drivers'!BM612</f>
        <v>0</v>
      </c>
      <c r="AT357">
        <f>'Revenue drivers'!BN612</f>
        <v>0</v>
      </c>
      <c r="AU357">
        <f>'Revenue drivers'!BO612</f>
        <v>0</v>
      </c>
      <c r="AV357">
        <f>'Revenue drivers'!BP612</f>
        <v>0</v>
      </c>
      <c r="AW357">
        <f>'Revenue drivers'!BQ612</f>
        <v>0</v>
      </c>
      <c r="AX357">
        <f>'Revenue drivers'!BR612</f>
        <v>0</v>
      </c>
      <c r="AY357">
        <f>'Revenue drivers'!BS612</f>
        <v>0</v>
      </c>
      <c r="AZ357">
        <f>'Revenue drivers'!BT612</f>
        <v>0</v>
      </c>
    </row>
    <row r="358" spans="9:52" ht="11.25" customHeight="1">
      <c r="I358" t="str">
        <f>'Revenue drivers'!I613</f>
        <v>Average Local Advertising Revenue per Market</v>
      </c>
      <c r="M358">
        <f>'Revenue drivers'!M613</f>
        <v>0</v>
      </c>
      <c r="N358">
        <f>'Revenue drivers'!N613</f>
        <v>0</v>
      </c>
      <c r="O358">
        <f>'Revenue drivers'!O613</f>
        <v>0</v>
      </c>
      <c r="P358">
        <f>'Revenue drivers'!P613</f>
        <v>0</v>
      </c>
      <c r="Q358">
        <f>'Revenue drivers'!Q613</f>
        <v>0</v>
      </c>
      <c r="R358">
        <f>'Revenue drivers'!R613</f>
        <v>0</v>
      </c>
      <c r="S358">
        <f>'Revenue drivers'!S613</f>
        <v>0</v>
      </c>
      <c r="T358">
        <f>'Revenue drivers'!T613</f>
        <v>0</v>
      </c>
      <c r="U358">
        <f>'Revenue drivers'!U613</f>
        <v>0.41641741442339647</v>
      </c>
      <c r="V358">
        <f>'Revenue drivers'!V613</f>
        <v>0.41699999999999998</v>
      </c>
      <c r="W358">
        <f>'Revenue drivers'!W613</f>
        <v>0.54900000000000004</v>
      </c>
      <c r="X358">
        <f>'Revenue drivers'!X613</f>
        <v>0.63563218390804599</v>
      </c>
      <c r="Y358">
        <f>'Revenue drivers'!Y613</f>
        <v>0.73705882352941177</v>
      </c>
      <c r="Z358">
        <f>'Revenue drivers'!Z613</f>
        <v>0.80611111111111111</v>
      </c>
      <c r="AA358">
        <f>'Revenue drivers'!AA613</f>
        <v>0.95722543352601153</v>
      </c>
      <c r="AB358">
        <f>'Revenue drivers'!AB613</f>
        <v>1.1060000000000001</v>
      </c>
      <c r="AC358">
        <f>'Revenue drivers'!AC613</f>
        <v>1.2529999999999999</v>
      </c>
      <c r="AD358">
        <f>'Revenue drivers'!AD613</f>
        <v>1.4510000000000001</v>
      </c>
      <c r="AE358">
        <f>'Revenue drivers'!AE613</f>
        <v>1.6559999999999999</v>
      </c>
      <c r="AF358">
        <f>'Revenue drivers'!AF613</f>
        <v>1.802</v>
      </c>
      <c r="AG358">
        <f>'Revenue drivers'!AG613</f>
        <v>1.9259999999999999</v>
      </c>
      <c r="AH358">
        <f>'Revenue drivers'!AH613</f>
        <v>2.109</v>
      </c>
      <c r="AI358">
        <f>'Revenue drivers'!AI613</f>
        <v>2.234</v>
      </c>
      <c r="AJ358">
        <f>'Revenue drivers'!AJ613</f>
        <v>2.431</v>
      </c>
      <c r="AL358">
        <f>'Revenue drivers'!BF613</f>
        <v>0</v>
      </c>
      <c r="AM358">
        <f>'Revenue drivers'!BG613</f>
        <v>0</v>
      </c>
      <c r="AN358">
        <f>'Revenue drivers'!BH613</f>
        <v>0</v>
      </c>
      <c r="AO358">
        <f>'Revenue drivers'!BI613</f>
        <v>0</v>
      </c>
      <c r="AP358">
        <f>'Revenue drivers'!BJ613</f>
        <v>0</v>
      </c>
      <c r="AQ358">
        <f>'Revenue drivers'!BK613</f>
        <v>1.1193548387096774</v>
      </c>
      <c r="AR358">
        <f>'Revenue drivers'!BL613</f>
        <v>2.0819999999999999</v>
      </c>
      <c r="AS358">
        <f>'Revenue drivers'!BM613</f>
        <v>3.6063953681665346</v>
      </c>
      <c r="AT358">
        <f>'Revenue drivers'!BN613</f>
        <v>6.161999999999999</v>
      </c>
      <c r="AU358">
        <f>'Revenue drivers'!BO613</f>
        <v>8.6999999999999993</v>
      </c>
      <c r="AV358">
        <f>'Revenue drivers'!BP613</f>
        <v>12.193709999999998</v>
      </c>
      <c r="AW358">
        <f>'Revenue drivers'!BQ613</f>
        <v>16.875792699999998</v>
      </c>
      <c r="AX358">
        <f>'Revenue drivers'!BR613</f>
        <v>22.682159290999994</v>
      </c>
      <c r="AY358">
        <f>'Revenue drivers'!BS613</f>
        <v>29.581100199389986</v>
      </c>
      <c r="AZ358">
        <f>'Revenue drivers'!BT613</f>
        <v>37.397976482737477</v>
      </c>
    </row>
    <row r="359" spans="9:52" ht="11.25" customHeight="1">
      <c r="I359" t="str">
        <f>'Revenue drivers'!I614</f>
        <v>% change Y/Y</v>
      </c>
      <c r="M359">
        <f>'Revenue drivers'!M614</f>
        <v>0</v>
      </c>
      <c r="N359">
        <f>'Revenue drivers'!N614</f>
        <v>0</v>
      </c>
      <c r="O359">
        <f>'Revenue drivers'!O614</f>
        <v>0</v>
      </c>
      <c r="P359">
        <f>'Revenue drivers'!P614</f>
        <v>0</v>
      </c>
      <c r="Q359">
        <f>'Revenue drivers'!Q614</f>
        <v>0</v>
      </c>
      <c r="R359">
        <f>'Revenue drivers'!R614</f>
        <v>0</v>
      </c>
      <c r="S359">
        <f>'Revenue drivers'!S614</f>
        <v>0</v>
      </c>
      <c r="T359">
        <f>'Revenue drivers'!T614</f>
        <v>0</v>
      </c>
      <c r="U359">
        <f>'Revenue drivers'!U614</f>
        <v>0</v>
      </c>
      <c r="V359">
        <f>'Revenue drivers'!V614</f>
        <v>1.02</v>
      </c>
      <c r="W359">
        <f>'Revenue drivers'!W614</f>
        <v>0.81</v>
      </c>
      <c r="X359">
        <f>'Revenue drivers'!X614</f>
        <v>0</v>
      </c>
      <c r="Y359">
        <f>'Revenue drivers'!Y614</f>
        <v>0.77</v>
      </c>
      <c r="Z359">
        <f>'Revenue drivers'!Z614</f>
        <v>0.67</v>
      </c>
      <c r="AA359">
        <f>'Revenue drivers'!AA614</f>
        <v>0.74</v>
      </c>
      <c r="AB359">
        <f>'Revenue drivers'!AB614</f>
        <v>0.74</v>
      </c>
      <c r="AC359">
        <f>'Revenue drivers'!AC614</f>
        <v>0.7</v>
      </c>
      <c r="AD359">
        <f>'Revenue drivers'!AD614</f>
        <v>0.8</v>
      </c>
      <c r="AE359">
        <f>'Revenue drivers'!AE614</f>
        <v>0.73</v>
      </c>
      <c r="AF359">
        <f>'Revenue drivers'!AF614</f>
        <v>0.63</v>
      </c>
      <c r="AG359">
        <f>'Revenue drivers'!AG614</f>
        <v>0.53711093375897856</v>
      </c>
      <c r="AH359">
        <f>'Revenue drivers'!AH614</f>
        <v>0.45</v>
      </c>
      <c r="AI359">
        <f>'Revenue drivers'!AI614</f>
        <v>0.35</v>
      </c>
      <c r="AJ359">
        <f>'Revenue drivers'!AJ614</f>
        <v>0.34905660377358494</v>
      </c>
      <c r="AL359">
        <f>'Revenue drivers'!BF614</f>
        <v>0</v>
      </c>
      <c r="AM359">
        <f>'Revenue drivers'!BG614</f>
        <v>0</v>
      </c>
      <c r="AN359">
        <f>'Revenue drivers'!BH614</f>
        <v>0</v>
      </c>
      <c r="AO359">
        <f>'Revenue drivers'!BI614</f>
        <v>0</v>
      </c>
      <c r="AP359">
        <f>'Revenue drivers'!BJ614</f>
        <v>0</v>
      </c>
      <c r="AQ359">
        <f>'Revenue drivers'!BK614</f>
        <v>0</v>
      </c>
      <c r="AR359">
        <f>'Revenue drivers'!BL614</f>
        <v>0.86</v>
      </c>
      <c r="AS359">
        <f>'Revenue drivers'!BM614</f>
        <v>0.7321783708772982</v>
      </c>
      <c r="AT359">
        <f>'Revenue drivers'!BN614</f>
        <v>0.70863129827407567</v>
      </c>
      <c r="AU359">
        <f>'Revenue drivers'!BO614</f>
        <v>0.41187925998052588</v>
      </c>
      <c r="AV359">
        <f>'Revenue drivers'!BP614</f>
        <v>0.40157586206896534</v>
      </c>
      <c r="AW359">
        <f>'Revenue drivers'!BQ614</f>
        <v>0.38397523805306188</v>
      </c>
      <c r="AX359">
        <f>'Revenue drivers'!BR614</f>
        <v>0.34406482078912926</v>
      </c>
      <c r="AY359">
        <f>'Revenue drivers'!BS614</f>
        <v>0.30415714923258697</v>
      </c>
      <c r="AZ359">
        <f>'Revenue drivers'!BT614</f>
        <v>0.26425238516005867</v>
      </c>
    </row>
    <row r="360" spans="9:52" ht="11.25" customHeight="1">
      <c r="I360">
        <f>'Revenue drivers'!I615</f>
        <v>0</v>
      </c>
      <c r="M360">
        <f>'Revenue drivers'!M615</f>
        <v>0</v>
      </c>
      <c r="N360">
        <f>'Revenue drivers'!N615</f>
        <v>0</v>
      </c>
      <c r="O360">
        <f>'Revenue drivers'!O615</f>
        <v>0</v>
      </c>
      <c r="P360">
        <f>'Revenue drivers'!P615</f>
        <v>0</v>
      </c>
      <c r="Q360">
        <f>'Revenue drivers'!Q615</f>
        <v>0</v>
      </c>
      <c r="R360">
        <f>'Revenue drivers'!R615</f>
        <v>0</v>
      </c>
      <c r="S360">
        <f>'Revenue drivers'!S615</f>
        <v>0</v>
      </c>
      <c r="T360">
        <f>'Revenue drivers'!T615</f>
        <v>0</v>
      </c>
      <c r="U360">
        <f>'Revenue drivers'!U615</f>
        <v>0</v>
      </c>
      <c r="V360">
        <f>'Revenue drivers'!V615</f>
        <v>0</v>
      </c>
      <c r="W360">
        <f>'Revenue drivers'!W615</f>
        <v>0</v>
      </c>
      <c r="X360">
        <f>'Revenue drivers'!X615</f>
        <v>0</v>
      </c>
      <c r="Y360">
        <f>'Revenue drivers'!Y615</f>
        <v>0</v>
      </c>
      <c r="Z360">
        <f>'Revenue drivers'!Z615</f>
        <v>0</v>
      </c>
      <c r="AA360">
        <f>'Revenue drivers'!AA615</f>
        <v>0</v>
      </c>
      <c r="AB360">
        <f>'Revenue drivers'!AB615</f>
        <v>0</v>
      </c>
      <c r="AC360">
        <f>'Revenue drivers'!AC615</f>
        <v>0</v>
      </c>
      <c r="AD360">
        <f>'Revenue drivers'!AD615</f>
        <v>0</v>
      </c>
      <c r="AE360">
        <f>'Revenue drivers'!AE615</f>
        <v>0</v>
      </c>
      <c r="AF360">
        <f>'Revenue drivers'!AF615</f>
        <v>0</v>
      </c>
      <c r="AG360">
        <f>'Revenue drivers'!AG615</f>
        <v>0</v>
      </c>
      <c r="AH360">
        <f>'Revenue drivers'!AH615</f>
        <v>0</v>
      </c>
      <c r="AI360">
        <f>'Revenue drivers'!AI615</f>
        <v>0</v>
      </c>
      <c r="AJ360">
        <f>'Revenue drivers'!AJ615</f>
        <v>0</v>
      </c>
      <c r="AL360">
        <f>'Revenue drivers'!BF615</f>
        <v>0</v>
      </c>
      <c r="AM360">
        <f>'Revenue drivers'!BG615</f>
        <v>0</v>
      </c>
      <c r="AN360">
        <f>'Revenue drivers'!BH615</f>
        <v>0</v>
      </c>
      <c r="AO360">
        <f>'Revenue drivers'!BI615</f>
        <v>0</v>
      </c>
      <c r="AP360">
        <f>'Revenue drivers'!BJ615</f>
        <v>0</v>
      </c>
      <c r="AQ360">
        <f>'Revenue drivers'!BK615</f>
        <v>0</v>
      </c>
      <c r="AR360">
        <f>'Revenue drivers'!BL615</f>
        <v>0</v>
      </c>
      <c r="AS360">
        <f>'Revenue drivers'!BM615</f>
        <v>0</v>
      </c>
      <c r="AT360">
        <f>'Revenue drivers'!BN615</f>
        <v>0</v>
      </c>
      <c r="AU360">
        <f>'Revenue drivers'!BO615</f>
        <v>0</v>
      </c>
      <c r="AV360">
        <f>'Revenue drivers'!BP615</f>
        <v>0</v>
      </c>
      <c r="AW360">
        <f>'Revenue drivers'!BQ615</f>
        <v>0</v>
      </c>
      <c r="AX360">
        <f>'Revenue drivers'!BR615</f>
        <v>0</v>
      </c>
      <c r="AY360">
        <f>'Revenue drivers'!BS615</f>
        <v>0</v>
      </c>
      <c r="AZ360">
        <f>'Revenue drivers'!BT615</f>
        <v>0</v>
      </c>
    </row>
    <row r="361" spans="9:52" ht="11.25" customHeight="1">
      <c r="I361" t="str">
        <f>'Revenue drivers'!I616</f>
        <v>Number of Yelp Markets</v>
      </c>
      <c r="M361">
        <f>'Revenue drivers'!M616</f>
        <v>0</v>
      </c>
      <c r="N361">
        <f>'Revenue drivers'!N616</f>
        <v>0</v>
      </c>
      <c r="O361">
        <f>'Revenue drivers'!O616</f>
        <v>0</v>
      </c>
      <c r="P361">
        <f>'Revenue drivers'!P616</f>
        <v>0</v>
      </c>
      <c r="Q361">
        <f>'Revenue drivers'!Q616</f>
        <v>0</v>
      </c>
      <c r="R361">
        <f>'Revenue drivers'!R616</f>
        <v>0</v>
      </c>
      <c r="S361">
        <f>'Revenue drivers'!S616</f>
        <v>0</v>
      </c>
      <c r="T361">
        <f>'Revenue drivers'!T616</f>
        <v>14</v>
      </c>
      <c r="U361">
        <f>'Revenue drivers'!U616</f>
        <v>14</v>
      </c>
      <c r="V361">
        <f>'Revenue drivers'!V616</f>
        <v>14</v>
      </c>
      <c r="W361">
        <f>'Revenue drivers'!W616</f>
        <v>14</v>
      </c>
      <c r="X361">
        <f>'Revenue drivers'!X616</f>
        <v>14</v>
      </c>
      <c r="Y361">
        <f>'Revenue drivers'!Y616</f>
        <v>14</v>
      </c>
      <c r="Z361">
        <f>'Revenue drivers'!Z616</f>
        <v>14</v>
      </c>
      <c r="AA361">
        <f>'Revenue drivers'!AA616</f>
        <v>14</v>
      </c>
      <c r="AB361">
        <f>'Revenue drivers'!AB616</f>
        <v>14</v>
      </c>
      <c r="AC361">
        <f>'Revenue drivers'!AC616</f>
        <v>14</v>
      </c>
      <c r="AD361">
        <f>'Revenue drivers'!AD616</f>
        <v>14</v>
      </c>
      <c r="AE361">
        <f>'Revenue drivers'!AE616</f>
        <v>14</v>
      </c>
      <c r="AF361">
        <f>'Revenue drivers'!AF616</f>
        <v>14</v>
      </c>
      <c r="AG361">
        <f>'Revenue drivers'!AG616</f>
        <v>14</v>
      </c>
      <c r="AH361">
        <f>'Revenue drivers'!AH616</f>
        <v>14</v>
      </c>
      <c r="AI361">
        <f>'Revenue drivers'!AI616</f>
        <v>14</v>
      </c>
      <c r="AJ361">
        <f>'Revenue drivers'!AJ616</f>
        <v>14</v>
      </c>
      <c r="AL361">
        <f>'Revenue drivers'!BF616</f>
        <v>0</v>
      </c>
      <c r="AM361">
        <f>'Revenue drivers'!BG616</f>
        <v>0</v>
      </c>
      <c r="AN361">
        <f>'Revenue drivers'!BH616</f>
        <v>0</v>
      </c>
      <c r="AO361">
        <f>'Revenue drivers'!BI616</f>
        <v>0</v>
      </c>
      <c r="AP361">
        <f>'Revenue drivers'!BJ616</f>
        <v>0</v>
      </c>
      <c r="AQ361">
        <f>'Revenue drivers'!BK616</f>
        <v>0</v>
      </c>
      <c r="AR361">
        <f>'Revenue drivers'!BL616</f>
        <v>14</v>
      </c>
      <c r="AS361">
        <f>'Revenue drivers'!BM616</f>
        <v>14</v>
      </c>
      <c r="AT361">
        <f>'Revenue drivers'!BN616</f>
        <v>14</v>
      </c>
      <c r="AU361">
        <f>'Revenue drivers'!BO616</f>
        <v>14</v>
      </c>
      <c r="AV361">
        <f>'Revenue drivers'!BP616</f>
        <v>14</v>
      </c>
      <c r="AW361">
        <f>'Revenue drivers'!BQ616</f>
        <v>14</v>
      </c>
      <c r="AX361">
        <f>'Revenue drivers'!BR616</f>
        <v>14</v>
      </c>
      <c r="AY361">
        <f>'Revenue drivers'!BS616</f>
        <v>14</v>
      </c>
      <c r="AZ361">
        <f>'Revenue drivers'!BT616</f>
        <v>14</v>
      </c>
    </row>
    <row r="362" spans="9:52" ht="11.25" customHeight="1">
      <c r="I362">
        <f>'Revenue drivers'!I617</f>
        <v>0</v>
      </c>
      <c r="M362">
        <f>'Revenue drivers'!M617</f>
        <v>0</v>
      </c>
      <c r="N362">
        <f>'Revenue drivers'!N617</f>
        <v>0</v>
      </c>
      <c r="O362">
        <f>'Revenue drivers'!O617</f>
        <v>0</v>
      </c>
      <c r="P362">
        <f>'Revenue drivers'!P617</f>
        <v>0</v>
      </c>
      <c r="Q362">
        <f>'Revenue drivers'!Q617</f>
        <v>0</v>
      </c>
      <c r="R362">
        <f>'Revenue drivers'!R617</f>
        <v>0</v>
      </c>
      <c r="S362">
        <f>'Revenue drivers'!S617</f>
        <v>0</v>
      </c>
      <c r="T362">
        <f>'Revenue drivers'!T617</f>
        <v>0</v>
      </c>
      <c r="U362">
        <f>'Revenue drivers'!U617</f>
        <v>0</v>
      </c>
      <c r="V362">
        <f>'Revenue drivers'!V617</f>
        <v>0</v>
      </c>
      <c r="W362">
        <f>'Revenue drivers'!W617</f>
        <v>0</v>
      </c>
      <c r="X362">
        <f>'Revenue drivers'!X617</f>
        <v>0</v>
      </c>
      <c r="Y362">
        <f>'Revenue drivers'!Y617</f>
        <v>0</v>
      </c>
      <c r="Z362">
        <f>'Revenue drivers'!Z617</f>
        <v>0</v>
      </c>
      <c r="AA362">
        <f>'Revenue drivers'!AA617</f>
        <v>0</v>
      </c>
      <c r="AB362">
        <f>'Revenue drivers'!AB617</f>
        <v>0</v>
      </c>
      <c r="AC362">
        <f>'Revenue drivers'!AC617</f>
        <v>0</v>
      </c>
      <c r="AD362">
        <f>'Revenue drivers'!AD617</f>
        <v>0</v>
      </c>
      <c r="AE362">
        <f>'Revenue drivers'!AE617</f>
        <v>0</v>
      </c>
      <c r="AF362">
        <f>'Revenue drivers'!AF617</f>
        <v>0</v>
      </c>
      <c r="AG362">
        <f>'Revenue drivers'!AG617</f>
        <v>0</v>
      </c>
      <c r="AH362">
        <f>'Revenue drivers'!AH617</f>
        <v>0</v>
      </c>
      <c r="AI362">
        <f>'Revenue drivers'!AI617</f>
        <v>0</v>
      </c>
      <c r="AJ362">
        <f>'Revenue drivers'!AJ617</f>
        <v>0</v>
      </c>
      <c r="AL362">
        <f>'Revenue drivers'!BF617</f>
        <v>0</v>
      </c>
      <c r="AM362">
        <f>'Revenue drivers'!BG617</f>
        <v>0</v>
      </c>
      <c r="AN362">
        <f>'Revenue drivers'!BH617</f>
        <v>0</v>
      </c>
      <c r="AO362">
        <f>'Revenue drivers'!BI617</f>
        <v>0</v>
      </c>
      <c r="AP362">
        <f>'Revenue drivers'!BJ617</f>
        <v>0</v>
      </c>
      <c r="AQ362">
        <f>'Revenue drivers'!BK617</f>
        <v>0</v>
      </c>
      <c r="AR362">
        <f>'Revenue drivers'!BL617</f>
        <v>0</v>
      </c>
      <c r="AS362">
        <f>'Revenue drivers'!BM617</f>
        <v>0</v>
      </c>
      <c r="AT362">
        <f>'Revenue drivers'!BN617</f>
        <v>0</v>
      </c>
      <c r="AU362">
        <f>'Revenue drivers'!BO617</f>
        <v>0</v>
      </c>
      <c r="AV362">
        <f>'Revenue drivers'!BP617</f>
        <v>0</v>
      </c>
      <c r="AW362">
        <f>'Revenue drivers'!BQ617</f>
        <v>0</v>
      </c>
      <c r="AX362">
        <f>'Revenue drivers'!BR617</f>
        <v>0</v>
      </c>
      <c r="AY362">
        <f>'Revenue drivers'!BS617</f>
        <v>0</v>
      </c>
      <c r="AZ362">
        <f>'Revenue drivers'!BT617</f>
        <v>0</v>
      </c>
    </row>
    <row r="363" spans="9:52" ht="11.25" customHeight="1">
      <c r="I363" t="str">
        <f>'Revenue drivers'!I622</f>
        <v>Cumulative Reviews</v>
      </c>
      <c r="M363">
        <f>'Revenue drivers'!M622</f>
        <v>0</v>
      </c>
      <c r="N363">
        <f>'Revenue drivers'!N622</f>
        <v>0</v>
      </c>
      <c r="O363">
        <f>'Revenue drivers'!O622</f>
        <v>0</v>
      </c>
      <c r="P363">
        <f>'Revenue drivers'!P622</f>
        <v>0</v>
      </c>
      <c r="Q363">
        <f>'Revenue drivers'!Q622</f>
        <v>0</v>
      </c>
      <c r="R363">
        <f>'Revenue drivers'!R622</f>
        <v>0</v>
      </c>
      <c r="S363">
        <f>'Revenue drivers'!S622</f>
        <v>0</v>
      </c>
      <c r="T363">
        <f>'Revenue drivers'!T622</f>
        <v>0</v>
      </c>
      <c r="U363">
        <f>'Revenue drivers'!U622</f>
        <v>2.0799785292538915</v>
      </c>
      <c r="V363">
        <f>'Revenue drivers'!V622</f>
        <v>0.52400000000000002</v>
      </c>
      <c r="W363">
        <f>'Revenue drivers'!W622</f>
        <v>0.52100000000000002</v>
      </c>
      <c r="X363">
        <f>'Revenue drivers'!X622</f>
        <v>0.56740740740740736</v>
      </c>
      <c r="Y363">
        <f>'Revenue drivers'!Y622</f>
        <v>2.8703703703703702</v>
      </c>
      <c r="Z363">
        <f>'Revenue drivers'!Z622</f>
        <v>0.6585185185185185</v>
      </c>
      <c r="AA363">
        <f>'Revenue drivers'!AA622</f>
        <v>0.71716417910447749</v>
      </c>
      <c r="AB363">
        <f>'Revenue drivers'!AB622</f>
        <v>0.76600000000000001</v>
      </c>
      <c r="AC363">
        <f>'Revenue drivers'!AC622</f>
        <v>3.875</v>
      </c>
      <c r="AD363">
        <f>'Revenue drivers'!AD622</f>
        <v>0.88900000000000001</v>
      </c>
      <c r="AE363">
        <f>'Revenue drivers'!AE622</f>
        <v>0.96099999999999997</v>
      </c>
      <c r="AF363">
        <f>'Revenue drivers'!AF622</f>
        <v>1.026</v>
      </c>
      <c r="AG363">
        <f>'Revenue drivers'!AG622</f>
        <v>1.1040000000000001</v>
      </c>
      <c r="AH363">
        <f>'Revenue drivers'!AH622</f>
        <v>1.1839999999999999</v>
      </c>
      <c r="AI363">
        <f>'Revenue drivers'!AI622</f>
        <v>1.276</v>
      </c>
      <c r="AJ363">
        <f>'Revenue drivers'!AJ622</f>
        <v>1.353</v>
      </c>
      <c r="AL363">
        <f>'Revenue drivers'!BF622</f>
        <v>0</v>
      </c>
      <c r="AM363">
        <f>'Revenue drivers'!BG622</f>
        <v>0</v>
      </c>
      <c r="AN363">
        <f>'Revenue drivers'!BH622</f>
        <v>0</v>
      </c>
      <c r="AO363">
        <f>'Revenue drivers'!BI622</f>
        <v>0</v>
      </c>
      <c r="AP363">
        <f>'Revenue drivers'!BJ622</f>
        <v>0</v>
      </c>
      <c r="AQ363">
        <f>'Revenue drivers'!BK622</f>
        <v>0.39507042253521135</v>
      </c>
      <c r="AR363">
        <f>'Revenue drivers'!BL622</f>
        <v>0.56100000000000005</v>
      </c>
      <c r="AS363">
        <f>'Revenue drivers'!BM622</f>
        <v>0</v>
      </c>
      <c r="AT363">
        <f>'Revenue drivers'!BN622</f>
        <v>0</v>
      </c>
      <c r="AU363">
        <f>'Revenue drivers'!BO622</f>
        <v>0</v>
      </c>
      <c r="AV363">
        <f>'Revenue drivers'!BP622</f>
        <v>0</v>
      </c>
      <c r="AW363">
        <f>'Revenue drivers'!BQ622</f>
        <v>0</v>
      </c>
      <c r="AX363">
        <f>'Revenue drivers'!BR622</f>
        <v>0</v>
      </c>
      <c r="AY363">
        <f>'Revenue drivers'!BS622</f>
        <v>0</v>
      </c>
      <c r="AZ363">
        <f>'Revenue drivers'!BT622</f>
        <v>0</v>
      </c>
    </row>
    <row r="364" spans="9:52" ht="11.25" customHeight="1">
      <c r="I364" t="str">
        <f>'Revenue drivers'!I623</f>
        <v>% change Y/Y</v>
      </c>
      <c r="M364">
        <f>'Revenue drivers'!M623</f>
        <v>0</v>
      </c>
      <c r="N364">
        <f>'Revenue drivers'!N623</f>
        <v>0</v>
      </c>
      <c r="O364">
        <f>'Revenue drivers'!O623</f>
        <v>0</v>
      </c>
      <c r="P364">
        <f>'Revenue drivers'!P623</f>
        <v>0</v>
      </c>
      <c r="Q364">
        <f>'Revenue drivers'!Q623</f>
        <v>0</v>
      </c>
      <c r="R364">
        <f>'Revenue drivers'!R623</f>
        <v>0</v>
      </c>
      <c r="S364">
        <f>'Revenue drivers'!S623</f>
        <v>0</v>
      </c>
      <c r="T364">
        <f>'Revenue drivers'!T623</f>
        <v>0</v>
      </c>
      <c r="U364">
        <f>'Revenue drivers'!U623</f>
        <v>0</v>
      </c>
      <c r="V364">
        <f>'Revenue drivers'!V623</f>
        <v>0.57999999999999996</v>
      </c>
      <c r="W364">
        <f>'Revenue drivers'!W623</f>
        <v>0.45</v>
      </c>
      <c r="X364">
        <f>'Revenue drivers'!X623</f>
        <v>0</v>
      </c>
      <c r="Y364">
        <f>'Revenue drivers'!Y623</f>
        <v>0.38</v>
      </c>
      <c r="Z364">
        <f>'Revenue drivers'!Z623</f>
        <v>0.36</v>
      </c>
      <c r="AA364">
        <f>'Revenue drivers'!AA623</f>
        <v>0.35</v>
      </c>
      <c r="AB364">
        <f>'Revenue drivers'!AB623</f>
        <v>0.35</v>
      </c>
      <c r="AC364">
        <f>'Revenue drivers'!AC623</f>
        <v>0.35</v>
      </c>
      <c r="AD364">
        <f>'Revenue drivers'!AD623</f>
        <v>0.35</v>
      </c>
      <c r="AE364">
        <f>'Revenue drivers'!AE623</f>
        <v>0.34</v>
      </c>
      <c r="AF364">
        <f>'Revenue drivers'!AF623</f>
        <v>0.33942558746736284</v>
      </c>
      <c r="AG364">
        <f>'Revenue drivers'!AG623</f>
        <v>0.34</v>
      </c>
      <c r="AH364">
        <f>'Revenue drivers'!AH623</f>
        <v>0.33</v>
      </c>
      <c r="AI364">
        <f>'Revenue drivers'!AI623</f>
        <v>0.34</v>
      </c>
      <c r="AJ364">
        <f>'Revenue drivers'!AJ623</f>
        <v>0.31871345029239762</v>
      </c>
      <c r="AL364">
        <f>'Revenue drivers'!BF623</f>
        <v>0</v>
      </c>
      <c r="AM364">
        <f>'Revenue drivers'!BG623</f>
        <v>0</v>
      </c>
      <c r="AN364">
        <f>'Revenue drivers'!BH623</f>
        <v>0</v>
      </c>
      <c r="AO364">
        <f>'Revenue drivers'!BI623</f>
        <v>0</v>
      </c>
      <c r="AP364">
        <f>'Revenue drivers'!BJ623</f>
        <v>0</v>
      </c>
      <c r="AQ364">
        <f>'Revenue drivers'!BK623</f>
        <v>0</v>
      </c>
      <c r="AR364">
        <f>'Revenue drivers'!BL623</f>
        <v>0.42</v>
      </c>
      <c r="AS364">
        <f>'Revenue drivers'!BM623</f>
        <v>0</v>
      </c>
      <c r="AT364">
        <f>'Revenue drivers'!BN623</f>
        <v>0</v>
      </c>
      <c r="AU364">
        <f>'Revenue drivers'!BO623</f>
        <v>0</v>
      </c>
      <c r="AV364">
        <f>'Revenue drivers'!BP623</f>
        <v>0</v>
      </c>
      <c r="AW364">
        <f>'Revenue drivers'!BQ623</f>
        <v>0</v>
      </c>
      <c r="AX364">
        <f>'Revenue drivers'!BR623</f>
        <v>0</v>
      </c>
      <c r="AY364">
        <f>'Revenue drivers'!BS623</f>
        <v>0</v>
      </c>
      <c r="AZ364">
        <f>'Revenue drivers'!BT623</f>
        <v>0</v>
      </c>
    </row>
    <row r="366" spans="9:52" ht="11.25" customHeight="1">
      <c r="I366" t="str">
        <f>'Revenue drivers'!I625</f>
        <v>2009-2010</v>
      </c>
      <c r="M366">
        <f>'Revenue drivers'!M625</f>
        <v>0</v>
      </c>
      <c r="N366">
        <f>'Revenue drivers'!N625</f>
        <v>0</v>
      </c>
      <c r="O366">
        <f>'Revenue drivers'!O625</f>
        <v>0</v>
      </c>
      <c r="P366">
        <f>'Revenue drivers'!P625</f>
        <v>0</v>
      </c>
      <c r="Q366">
        <f>'Revenue drivers'!Q625</f>
        <v>0</v>
      </c>
      <c r="R366">
        <f>'Revenue drivers'!R625</f>
        <v>0</v>
      </c>
      <c r="S366">
        <f>'Revenue drivers'!S625</f>
        <v>0</v>
      </c>
      <c r="T366">
        <f>'Revenue drivers'!T625</f>
        <v>0</v>
      </c>
      <c r="U366">
        <f>'Revenue drivers'!U625</f>
        <v>0</v>
      </c>
      <c r="V366">
        <f>'Revenue drivers'!V625</f>
        <v>0</v>
      </c>
      <c r="W366">
        <f>'Revenue drivers'!W625</f>
        <v>0</v>
      </c>
      <c r="X366">
        <f>'Revenue drivers'!X625</f>
        <v>0</v>
      </c>
      <c r="Y366">
        <f>'Revenue drivers'!Y625</f>
        <v>0</v>
      </c>
      <c r="Z366">
        <f>'Revenue drivers'!Z625</f>
        <v>0</v>
      </c>
      <c r="AA366">
        <f>'Revenue drivers'!AA625</f>
        <v>0</v>
      </c>
      <c r="AB366">
        <f>'Revenue drivers'!AB625</f>
        <v>0</v>
      </c>
      <c r="AC366">
        <f>'Revenue drivers'!AC625</f>
        <v>0</v>
      </c>
      <c r="AD366">
        <f>'Revenue drivers'!AD625</f>
        <v>0</v>
      </c>
      <c r="AE366">
        <f>'Revenue drivers'!AE625</f>
        <v>0</v>
      </c>
      <c r="AF366">
        <f>'Revenue drivers'!AF625</f>
        <v>0</v>
      </c>
      <c r="AG366">
        <f>'Revenue drivers'!AG625</f>
        <v>0</v>
      </c>
      <c r="AH366">
        <f>'Revenue drivers'!AH625</f>
        <v>0</v>
      </c>
      <c r="AI366">
        <f>'Revenue drivers'!AI625</f>
        <v>0</v>
      </c>
      <c r="AJ366">
        <f>'Revenue drivers'!AJ625</f>
        <v>0</v>
      </c>
      <c r="AL366">
        <f>'Revenue drivers'!BF625</f>
        <v>0</v>
      </c>
      <c r="AM366">
        <f>'Revenue drivers'!BG625</f>
        <v>0</v>
      </c>
      <c r="AN366">
        <f>'Revenue drivers'!BH625</f>
        <v>0</v>
      </c>
      <c r="AO366">
        <f>'Revenue drivers'!BI625</f>
        <v>0</v>
      </c>
      <c r="AP366">
        <f>'Revenue drivers'!BJ625</f>
        <v>0</v>
      </c>
      <c r="AQ366">
        <f>'Revenue drivers'!BK625</f>
        <v>0</v>
      </c>
      <c r="AR366">
        <f>'Revenue drivers'!BL625</f>
        <v>0</v>
      </c>
      <c r="AS366">
        <f>'Revenue drivers'!BM625</f>
        <v>0</v>
      </c>
      <c r="AT366">
        <f>'Revenue drivers'!BN625</f>
        <v>0</v>
      </c>
      <c r="AU366">
        <f>'Revenue drivers'!BO625</f>
        <v>0</v>
      </c>
      <c r="AV366">
        <f>'Revenue drivers'!BP625</f>
        <v>0</v>
      </c>
      <c r="AW366">
        <f>'Revenue drivers'!BQ625</f>
        <v>0</v>
      </c>
      <c r="AX366">
        <f>'Revenue drivers'!BR625</f>
        <v>0</v>
      </c>
      <c r="AY366">
        <f>'Revenue drivers'!BS625</f>
        <v>0</v>
      </c>
      <c r="AZ366">
        <f>'Revenue drivers'!BT625</f>
        <v>0</v>
      </c>
    </row>
    <row r="367" spans="9:52" ht="11.25" customHeight="1">
      <c r="I367">
        <f>'Revenue drivers'!I626</f>
        <v>0</v>
      </c>
      <c r="M367">
        <f>'Revenue drivers'!M626</f>
        <v>0</v>
      </c>
      <c r="N367">
        <f>'Revenue drivers'!N626</f>
        <v>0</v>
      </c>
      <c r="O367">
        <f>'Revenue drivers'!O626</f>
        <v>0</v>
      </c>
      <c r="P367">
        <f>'Revenue drivers'!P626</f>
        <v>0</v>
      </c>
      <c r="Q367">
        <f>'Revenue drivers'!Q626</f>
        <v>0</v>
      </c>
      <c r="R367">
        <f>'Revenue drivers'!R626</f>
        <v>0</v>
      </c>
      <c r="S367">
        <f>'Revenue drivers'!S626</f>
        <v>0</v>
      </c>
      <c r="T367">
        <f>'Revenue drivers'!T626</f>
        <v>0</v>
      </c>
      <c r="U367">
        <f>'Revenue drivers'!U626</f>
        <v>0</v>
      </c>
      <c r="V367">
        <f>'Revenue drivers'!V626</f>
        <v>0</v>
      </c>
      <c r="W367">
        <f>'Revenue drivers'!W626</f>
        <v>0</v>
      </c>
      <c r="X367">
        <f>'Revenue drivers'!X626</f>
        <v>0</v>
      </c>
      <c r="Y367">
        <f>'Revenue drivers'!Y626</f>
        <v>0</v>
      </c>
      <c r="Z367">
        <f>'Revenue drivers'!Z626</f>
        <v>0</v>
      </c>
      <c r="AA367">
        <f>'Revenue drivers'!AA626</f>
        <v>0</v>
      </c>
      <c r="AB367">
        <f>'Revenue drivers'!AB626</f>
        <v>0</v>
      </c>
      <c r="AC367">
        <f>'Revenue drivers'!AC626</f>
        <v>0</v>
      </c>
      <c r="AD367">
        <f>'Revenue drivers'!AD626</f>
        <v>0</v>
      </c>
      <c r="AE367">
        <f>'Revenue drivers'!AE626</f>
        <v>0</v>
      </c>
      <c r="AF367">
        <f>'Revenue drivers'!AF626</f>
        <v>0</v>
      </c>
      <c r="AG367">
        <f>'Revenue drivers'!AG626</f>
        <v>0</v>
      </c>
      <c r="AH367">
        <f>'Revenue drivers'!AH626</f>
        <v>0</v>
      </c>
      <c r="AI367">
        <f>'Revenue drivers'!AI626</f>
        <v>0</v>
      </c>
      <c r="AJ367">
        <f>'Revenue drivers'!AJ626</f>
        <v>0</v>
      </c>
      <c r="AL367">
        <f>'Revenue drivers'!BF626</f>
        <v>0</v>
      </c>
      <c r="AM367">
        <f>'Revenue drivers'!BG626</f>
        <v>0</v>
      </c>
      <c r="AN367">
        <f>'Revenue drivers'!BH626</f>
        <v>0</v>
      </c>
      <c r="AO367">
        <f>'Revenue drivers'!BI626</f>
        <v>0</v>
      </c>
      <c r="AP367">
        <f>'Revenue drivers'!BJ626</f>
        <v>0</v>
      </c>
      <c r="AQ367">
        <f>'Revenue drivers'!BK626</f>
        <v>0</v>
      </c>
      <c r="AR367">
        <f>'Revenue drivers'!BL626</f>
        <v>0</v>
      </c>
      <c r="AS367">
        <f>'Revenue drivers'!BM626</f>
        <v>0</v>
      </c>
      <c r="AT367">
        <f>'Revenue drivers'!BN626</f>
        <v>0</v>
      </c>
      <c r="AU367">
        <f>'Revenue drivers'!BO626</f>
        <v>0</v>
      </c>
      <c r="AV367">
        <f>'Revenue drivers'!BP626</f>
        <v>0</v>
      </c>
      <c r="AW367">
        <f>'Revenue drivers'!BQ626</f>
        <v>0</v>
      </c>
      <c r="AX367">
        <f>'Revenue drivers'!BR626</f>
        <v>0</v>
      </c>
      <c r="AY367">
        <f>'Revenue drivers'!BS626</f>
        <v>0</v>
      </c>
      <c r="AZ367">
        <f>'Revenue drivers'!BT626</f>
        <v>0</v>
      </c>
    </row>
    <row r="368" spans="9:52" ht="11.25" customHeight="1">
      <c r="I368" t="str">
        <f>'Revenue drivers'!I627</f>
        <v>Average Local Advertising Revenue per Market</v>
      </c>
      <c r="M368">
        <f>'Revenue drivers'!M627</f>
        <v>0</v>
      </c>
      <c r="N368">
        <f>'Revenue drivers'!N627</f>
        <v>0</v>
      </c>
      <c r="O368">
        <f>'Revenue drivers'!O627</f>
        <v>0</v>
      </c>
      <c r="P368">
        <f>'Revenue drivers'!P627</f>
        <v>0</v>
      </c>
      <c r="Q368">
        <f>'Revenue drivers'!Q627</f>
        <v>0</v>
      </c>
      <c r="R368">
        <f>'Revenue drivers'!R627</f>
        <v>0</v>
      </c>
      <c r="S368">
        <f>'Revenue drivers'!S627</f>
        <v>0</v>
      </c>
      <c r="T368">
        <f>'Revenue drivers'!T627</f>
        <v>0</v>
      </c>
      <c r="U368">
        <f>'Revenue drivers'!U627</f>
        <v>6.8022803835190465E-2</v>
      </c>
      <c r="V368">
        <f>'Revenue drivers'!V627</f>
        <v>6.8000000000000005E-2</v>
      </c>
      <c r="W368">
        <f>'Revenue drivers'!W627</f>
        <v>0.107</v>
      </c>
      <c r="X368">
        <f>'Revenue drivers'!X627</f>
        <v>0.13134328358208958</v>
      </c>
      <c r="Y368">
        <f>'Revenue drivers'!Y627</f>
        <v>0.15441176470588236</v>
      </c>
      <c r="Z368">
        <f>'Revenue drivers'!Z627</f>
        <v>0.16981981981981983</v>
      </c>
      <c r="AA368">
        <f>'Revenue drivers'!AA627</f>
        <v>0.21299999999999999</v>
      </c>
      <c r="AB368">
        <f>'Revenue drivers'!AB627</f>
        <v>0.26400000000000001</v>
      </c>
      <c r="AC368">
        <f>'Revenue drivers'!AC627</f>
        <v>0.315</v>
      </c>
      <c r="AD368">
        <f>'Revenue drivers'!AD627</f>
        <v>0.377</v>
      </c>
      <c r="AE368">
        <f>'Revenue drivers'!AE627</f>
        <v>0.42599999999999999</v>
      </c>
      <c r="AF368">
        <f>'Revenue drivers'!AF627</f>
        <v>0.47</v>
      </c>
      <c r="AG368">
        <f>'Revenue drivers'!AG627</f>
        <v>0.50600000000000001</v>
      </c>
      <c r="AH368">
        <f>'Revenue drivers'!AH627</f>
        <v>0.54600000000000004</v>
      </c>
      <c r="AI368">
        <f>'Revenue drivers'!AI627</f>
        <v>0.57899999999999996</v>
      </c>
      <c r="AJ368">
        <f>'Revenue drivers'!AJ627</f>
        <v>0.65500000000000003</v>
      </c>
      <c r="AL368">
        <f>'Revenue drivers'!BF627</f>
        <v>0</v>
      </c>
      <c r="AM368">
        <f>'Revenue drivers'!BG627</f>
        <v>0</v>
      </c>
      <c r="AN368">
        <f>'Revenue drivers'!BH627</f>
        <v>0</v>
      </c>
      <c r="AO368">
        <f>'Revenue drivers'!BI627</f>
        <v>0</v>
      </c>
      <c r="AP368">
        <f>'Revenue drivers'!BJ627</f>
        <v>0</v>
      </c>
      <c r="AQ368">
        <f>'Revenue drivers'!BK627</f>
        <v>0.14332129963898918</v>
      </c>
      <c r="AR368">
        <f>'Revenue drivers'!BL627</f>
        <v>0.39700000000000002</v>
      </c>
      <c r="AS368">
        <f>'Revenue drivers'!BM627</f>
        <v>0.8012315845257022</v>
      </c>
      <c r="AT368">
        <f>'Revenue drivers'!BN627</f>
        <v>1.5879999999999999</v>
      </c>
      <c r="AU368">
        <f>'Revenue drivers'!BO627</f>
        <v>2.286</v>
      </c>
      <c r="AV368">
        <f>'Revenue drivers'!BP627</f>
        <v>3.2831999999999999</v>
      </c>
      <c r="AW368">
        <f>'Revenue drivers'!BQ627</f>
        <v>4.64215</v>
      </c>
      <c r="AX368">
        <f>'Revenue drivers'!BR627</f>
        <v>6.3783098999999988</v>
      </c>
      <c r="AY368">
        <f>'Revenue drivers'!BS627</f>
        <v>8.5092436289999984</v>
      </c>
      <c r="AZ368">
        <f>'Revenue drivers'!BT627</f>
        <v>11.012535817709995</v>
      </c>
    </row>
    <row r="369" spans="9:52" ht="11.25" customHeight="1">
      <c r="I369" t="str">
        <f>'Revenue drivers'!I628</f>
        <v>% change Y/Y</v>
      </c>
      <c r="M369">
        <f>'Revenue drivers'!M628</f>
        <v>0</v>
      </c>
      <c r="N369">
        <f>'Revenue drivers'!N628</f>
        <v>0</v>
      </c>
      <c r="O369">
        <f>'Revenue drivers'!O628</f>
        <v>0</v>
      </c>
      <c r="P369">
        <f>'Revenue drivers'!P628</f>
        <v>0</v>
      </c>
      <c r="Q369">
        <f>'Revenue drivers'!Q628</f>
        <v>0</v>
      </c>
      <c r="R369">
        <f>'Revenue drivers'!R628</f>
        <v>0</v>
      </c>
      <c r="S369">
        <f>'Revenue drivers'!S628</f>
        <v>0</v>
      </c>
      <c r="T369">
        <f>'Revenue drivers'!T628</f>
        <v>0</v>
      </c>
      <c r="U369">
        <f>'Revenue drivers'!U628</f>
        <v>0</v>
      </c>
      <c r="V369">
        <f>'Revenue drivers'!V628</f>
        <v>1.48</v>
      </c>
      <c r="W369">
        <f>'Revenue drivers'!W628</f>
        <v>1.91</v>
      </c>
      <c r="X369">
        <f>'Revenue drivers'!X628</f>
        <v>0</v>
      </c>
      <c r="Y369">
        <f>'Revenue drivers'!Y628</f>
        <v>1.27</v>
      </c>
      <c r="Z369">
        <f>'Revenue drivers'!Z628</f>
        <v>0.87</v>
      </c>
      <c r="AA369">
        <f>'Revenue drivers'!AA628</f>
        <v>0.99</v>
      </c>
      <c r="AB369">
        <f>'Revenue drivers'!AB628</f>
        <v>1.01</v>
      </c>
      <c r="AC369">
        <f>'Revenue drivers'!AC628</f>
        <v>1.04</v>
      </c>
      <c r="AD369">
        <f>'Revenue drivers'!AD628</f>
        <v>1.22</v>
      </c>
      <c r="AE369">
        <f>'Revenue drivers'!AE628</f>
        <v>1</v>
      </c>
      <c r="AF369">
        <f>'Revenue drivers'!AF628</f>
        <v>0.78</v>
      </c>
      <c r="AG369">
        <f>'Revenue drivers'!AG628</f>
        <v>0.60634920634920642</v>
      </c>
      <c r="AH369">
        <f>'Revenue drivers'!AH628</f>
        <v>0.45</v>
      </c>
      <c r="AI369">
        <f>'Revenue drivers'!AI628</f>
        <v>0.36</v>
      </c>
      <c r="AJ369">
        <f>'Revenue drivers'!AJ628</f>
        <v>0.39361702127659592</v>
      </c>
      <c r="AL369">
        <f>'Revenue drivers'!BF628</f>
        <v>0</v>
      </c>
      <c r="AM369">
        <f>'Revenue drivers'!BG628</f>
        <v>0</v>
      </c>
      <c r="AN369">
        <f>'Revenue drivers'!BH628</f>
        <v>0</v>
      </c>
      <c r="AO369">
        <f>'Revenue drivers'!BI628</f>
        <v>0</v>
      </c>
      <c r="AP369">
        <f>'Revenue drivers'!BJ628</f>
        <v>0</v>
      </c>
      <c r="AQ369">
        <f>'Revenue drivers'!BK628</f>
        <v>0</v>
      </c>
      <c r="AR369">
        <f>'Revenue drivers'!BL628</f>
        <v>1.77</v>
      </c>
      <c r="AS369">
        <f>'Revenue drivers'!BM628</f>
        <v>1.0182155781503832</v>
      </c>
      <c r="AT369">
        <f>'Revenue drivers'!BN628</f>
        <v>0.98194882811569872</v>
      </c>
      <c r="AU369">
        <f>'Revenue drivers'!BO628</f>
        <v>0.43954659949622177</v>
      </c>
      <c r="AV369">
        <f>'Revenue drivers'!BP628</f>
        <v>0.43622047244094486</v>
      </c>
      <c r="AW369">
        <f>'Revenue drivers'!BQ628</f>
        <v>0.41391020955165692</v>
      </c>
      <c r="AX369">
        <f>'Revenue drivers'!BR628</f>
        <v>0.37399909524681418</v>
      </c>
      <c r="AY369">
        <f>'Revenue drivers'!BS628</f>
        <v>0.33409065448513253</v>
      </c>
      <c r="AZ369">
        <f>'Revenue drivers'!BT628</f>
        <v>0.2941850413330076</v>
      </c>
    </row>
    <row r="370" spans="9:52" ht="11.25" customHeight="1">
      <c r="I370">
        <f>'Revenue drivers'!I629</f>
        <v>0</v>
      </c>
      <c r="M370">
        <f>'Revenue drivers'!M629</f>
        <v>0</v>
      </c>
      <c r="N370">
        <f>'Revenue drivers'!N629</f>
        <v>0</v>
      </c>
      <c r="O370">
        <f>'Revenue drivers'!O629</f>
        <v>0</v>
      </c>
      <c r="P370">
        <f>'Revenue drivers'!P629</f>
        <v>0</v>
      </c>
      <c r="Q370">
        <f>'Revenue drivers'!Q629</f>
        <v>0</v>
      </c>
      <c r="R370">
        <f>'Revenue drivers'!R629</f>
        <v>0</v>
      </c>
      <c r="S370">
        <f>'Revenue drivers'!S629</f>
        <v>0</v>
      </c>
      <c r="T370">
        <f>'Revenue drivers'!T629</f>
        <v>0</v>
      </c>
      <c r="U370">
        <f>'Revenue drivers'!U629</f>
        <v>0</v>
      </c>
      <c r="V370">
        <f>'Revenue drivers'!V629</f>
        <v>0</v>
      </c>
      <c r="W370">
        <f>'Revenue drivers'!W629</f>
        <v>0</v>
      </c>
      <c r="X370">
        <f>'Revenue drivers'!X629</f>
        <v>0</v>
      </c>
      <c r="Y370">
        <f>'Revenue drivers'!Y629</f>
        <v>0</v>
      </c>
      <c r="Z370">
        <f>'Revenue drivers'!Z629</f>
        <v>0</v>
      </c>
      <c r="AA370">
        <f>'Revenue drivers'!AA629</f>
        <v>0</v>
      </c>
      <c r="AB370">
        <f>'Revenue drivers'!AB629</f>
        <v>0</v>
      </c>
      <c r="AC370">
        <f>'Revenue drivers'!AC629</f>
        <v>0</v>
      </c>
      <c r="AD370">
        <f>'Revenue drivers'!AD629</f>
        <v>0</v>
      </c>
      <c r="AE370">
        <f>'Revenue drivers'!AE629</f>
        <v>0</v>
      </c>
      <c r="AF370">
        <f>'Revenue drivers'!AF629</f>
        <v>0</v>
      </c>
      <c r="AG370">
        <f>'Revenue drivers'!AG629</f>
        <v>0</v>
      </c>
      <c r="AH370">
        <f>'Revenue drivers'!AH629</f>
        <v>0</v>
      </c>
      <c r="AI370">
        <f>'Revenue drivers'!AI629</f>
        <v>0</v>
      </c>
      <c r="AJ370">
        <f>'Revenue drivers'!AJ629</f>
        <v>0</v>
      </c>
      <c r="AL370">
        <f>'Revenue drivers'!BF629</f>
        <v>0</v>
      </c>
      <c r="AM370">
        <f>'Revenue drivers'!BG629</f>
        <v>0</v>
      </c>
      <c r="AN370">
        <f>'Revenue drivers'!BH629</f>
        <v>0</v>
      </c>
      <c r="AO370">
        <f>'Revenue drivers'!BI629</f>
        <v>0</v>
      </c>
      <c r="AP370">
        <f>'Revenue drivers'!BJ629</f>
        <v>0</v>
      </c>
      <c r="AQ370">
        <f>'Revenue drivers'!BK629</f>
        <v>0</v>
      </c>
      <c r="AR370">
        <f>'Revenue drivers'!BL629</f>
        <v>0</v>
      </c>
      <c r="AS370">
        <f>'Revenue drivers'!BM629</f>
        <v>0</v>
      </c>
      <c r="AT370">
        <f>'Revenue drivers'!BN629</f>
        <v>0</v>
      </c>
      <c r="AU370">
        <f>'Revenue drivers'!BO629</f>
        <v>0</v>
      </c>
      <c r="AV370">
        <f>'Revenue drivers'!BP629</f>
        <v>0</v>
      </c>
      <c r="AW370">
        <f>'Revenue drivers'!BQ629</f>
        <v>0</v>
      </c>
      <c r="AX370">
        <f>'Revenue drivers'!BR629</f>
        <v>0</v>
      </c>
      <c r="AY370">
        <f>'Revenue drivers'!BS629</f>
        <v>0</v>
      </c>
      <c r="AZ370">
        <f>'Revenue drivers'!BT629</f>
        <v>0</v>
      </c>
    </row>
    <row r="371" spans="9:52" ht="11.25" customHeight="1">
      <c r="I371" t="str">
        <f>'Revenue drivers'!I630</f>
        <v>Number of Yelp Markets</v>
      </c>
      <c r="M371">
        <f>'Revenue drivers'!M630</f>
        <v>0</v>
      </c>
      <c r="N371">
        <f>'Revenue drivers'!N630</f>
        <v>0</v>
      </c>
      <c r="O371">
        <f>'Revenue drivers'!O630</f>
        <v>0</v>
      </c>
      <c r="P371">
        <f>'Revenue drivers'!P630</f>
        <v>0</v>
      </c>
      <c r="Q371">
        <f>'Revenue drivers'!Q630</f>
        <v>0</v>
      </c>
      <c r="R371">
        <f>'Revenue drivers'!R630</f>
        <v>0</v>
      </c>
      <c r="S371">
        <f>'Revenue drivers'!S630</f>
        <v>0</v>
      </c>
      <c r="T371">
        <f>'Revenue drivers'!T630</f>
        <v>18</v>
      </c>
      <c r="U371">
        <f>'Revenue drivers'!U630</f>
        <v>18</v>
      </c>
      <c r="V371">
        <f>'Revenue drivers'!V630</f>
        <v>18</v>
      </c>
      <c r="W371">
        <f>'Revenue drivers'!W630</f>
        <v>18</v>
      </c>
      <c r="X371">
        <f>'Revenue drivers'!X630</f>
        <v>18</v>
      </c>
      <c r="Y371">
        <f>'Revenue drivers'!Y630</f>
        <v>18</v>
      </c>
      <c r="Z371">
        <f>'Revenue drivers'!Z630</f>
        <v>18</v>
      </c>
      <c r="AA371">
        <f>'Revenue drivers'!AA630</f>
        <v>18</v>
      </c>
      <c r="AB371">
        <f>'Revenue drivers'!AB630</f>
        <v>18</v>
      </c>
      <c r="AC371">
        <f>'Revenue drivers'!AC630</f>
        <v>18</v>
      </c>
      <c r="AD371">
        <f>'Revenue drivers'!AD630</f>
        <v>18</v>
      </c>
      <c r="AE371">
        <f>'Revenue drivers'!AE630</f>
        <v>18</v>
      </c>
      <c r="AF371">
        <f>'Revenue drivers'!AF630</f>
        <v>18</v>
      </c>
      <c r="AG371">
        <f>'Revenue drivers'!AG630</f>
        <v>18</v>
      </c>
      <c r="AH371">
        <f>'Revenue drivers'!AH630</f>
        <v>18</v>
      </c>
      <c r="AI371">
        <f>'Revenue drivers'!AI630</f>
        <v>18</v>
      </c>
      <c r="AJ371">
        <f>'Revenue drivers'!AJ630</f>
        <v>18</v>
      </c>
      <c r="AL371">
        <f>'Revenue drivers'!BF630</f>
        <v>0</v>
      </c>
      <c r="AM371">
        <f>'Revenue drivers'!BG630</f>
        <v>0</v>
      </c>
      <c r="AN371">
        <f>'Revenue drivers'!BH630</f>
        <v>0</v>
      </c>
      <c r="AO371">
        <f>'Revenue drivers'!BI630</f>
        <v>0</v>
      </c>
      <c r="AP371">
        <f>'Revenue drivers'!BJ630</f>
        <v>0</v>
      </c>
      <c r="AQ371">
        <f>'Revenue drivers'!BK630</f>
        <v>0</v>
      </c>
      <c r="AR371">
        <f>'Revenue drivers'!BL630</f>
        <v>18</v>
      </c>
      <c r="AS371">
        <f>'Revenue drivers'!BM630</f>
        <v>18</v>
      </c>
      <c r="AT371">
        <f>'Revenue drivers'!BN630</f>
        <v>18</v>
      </c>
      <c r="AU371">
        <f>'Revenue drivers'!BO630</f>
        <v>18</v>
      </c>
      <c r="AV371">
        <f>'Revenue drivers'!BP630</f>
        <v>18</v>
      </c>
      <c r="AW371">
        <f>'Revenue drivers'!BQ630</f>
        <v>18</v>
      </c>
      <c r="AX371">
        <f>'Revenue drivers'!BR630</f>
        <v>18</v>
      </c>
      <c r="AY371">
        <f>'Revenue drivers'!BS630</f>
        <v>18</v>
      </c>
      <c r="AZ371">
        <f>'Revenue drivers'!BT630</f>
        <v>18</v>
      </c>
    </row>
    <row r="372" spans="9:52" ht="11.25" customHeight="1">
      <c r="I372">
        <f>'Revenue drivers'!I631</f>
        <v>0</v>
      </c>
      <c r="M372">
        <f>'Revenue drivers'!M631</f>
        <v>0</v>
      </c>
      <c r="N372">
        <f>'Revenue drivers'!N631</f>
        <v>0</v>
      </c>
      <c r="O372">
        <f>'Revenue drivers'!O631</f>
        <v>0</v>
      </c>
      <c r="P372">
        <f>'Revenue drivers'!P631</f>
        <v>0</v>
      </c>
      <c r="Q372">
        <f>'Revenue drivers'!Q631</f>
        <v>0</v>
      </c>
      <c r="R372">
        <f>'Revenue drivers'!R631</f>
        <v>0</v>
      </c>
      <c r="S372">
        <f>'Revenue drivers'!S631</f>
        <v>0</v>
      </c>
      <c r="T372">
        <f>'Revenue drivers'!T631</f>
        <v>0</v>
      </c>
      <c r="U372">
        <f>'Revenue drivers'!U631</f>
        <v>0</v>
      </c>
      <c r="V372">
        <f>'Revenue drivers'!V631</f>
        <v>0</v>
      </c>
      <c r="W372">
        <f>'Revenue drivers'!W631</f>
        <v>0</v>
      </c>
      <c r="X372">
        <f>'Revenue drivers'!X631</f>
        <v>0</v>
      </c>
      <c r="Y372">
        <f>'Revenue drivers'!Y631</f>
        <v>0</v>
      </c>
      <c r="Z372">
        <f>'Revenue drivers'!Z631</f>
        <v>0</v>
      </c>
      <c r="AA372">
        <f>'Revenue drivers'!AA631</f>
        <v>0</v>
      </c>
      <c r="AB372">
        <f>'Revenue drivers'!AB631</f>
        <v>0</v>
      </c>
      <c r="AC372">
        <f>'Revenue drivers'!AC631</f>
        <v>0</v>
      </c>
      <c r="AD372">
        <f>'Revenue drivers'!AD631</f>
        <v>0</v>
      </c>
      <c r="AE372">
        <f>'Revenue drivers'!AE631</f>
        <v>0</v>
      </c>
      <c r="AF372">
        <f>'Revenue drivers'!AF631</f>
        <v>0</v>
      </c>
      <c r="AG372">
        <f>'Revenue drivers'!AG631</f>
        <v>0</v>
      </c>
      <c r="AH372">
        <f>'Revenue drivers'!AH631</f>
        <v>0</v>
      </c>
      <c r="AI372">
        <f>'Revenue drivers'!AI631</f>
        <v>0</v>
      </c>
      <c r="AJ372">
        <f>'Revenue drivers'!AJ631</f>
        <v>0</v>
      </c>
      <c r="AL372">
        <f>'Revenue drivers'!BF631</f>
        <v>0</v>
      </c>
      <c r="AM372">
        <f>'Revenue drivers'!BG631</f>
        <v>0</v>
      </c>
      <c r="AN372">
        <f>'Revenue drivers'!BH631</f>
        <v>0</v>
      </c>
      <c r="AO372">
        <f>'Revenue drivers'!BI631</f>
        <v>0</v>
      </c>
      <c r="AP372">
        <f>'Revenue drivers'!BJ631</f>
        <v>0</v>
      </c>
      <c r="AQ372">
        <f>'Revenue drivers'!BK631</f>
        <v>0</v>
      </c>
      <c r="AR372">
        <f>'Revenue drivers'!BL631</f>
        <v>0</v>
      </c>
      <c r="AS372">
        <f>'Revenue drivers'!BM631</f>
        <v>0</v>
      </c>
      <c r="AT372">
        <f>'Revenue drivers'!BN631</f>
        <v>0</v>
      </c>
      <c r="AU372">
        <f>'Revenue drivers'!BO631</f>
        <v>0</v>
      </c>
      <c r="AV372">
        <f>'Revenue drivers'!BP631</f>
        <v>0</v>
      </c>
      <c r="AW372">
        <f>'Revenue drivers'!BQ631</f>
        <v>0</v>
      </c>
      <c r="AX372">
        <f>'Revenue drivers'!BR631</f>
        <v>0</v>
      </c>
      <c r="AY372">
        <f>'Revenue drivers'!BS631</f>
        <v>0</v>
      </c>
      <c r="AZ372">
        <f>'Revenue drivers'!BT631</f>
        <v>0</v>
      </c>
    </row>
    <row r="373" spans="9:52" ht="11.25" customHeight="1">
      <c r="I373" t="str">
        <f>'Revenue drivers'!I636</f>
        <v>Cumulative Reviews</v>
      </c>
      <c r="M373">
        <f>'Revenue drivers'!M636</f>
        <v>0</v>
      </c>
      <c r="N373">
        <f>'Revenue drivers'!N636</f>
        <v>0</v>
      </c>
      <c r="O373">
        <f>'Revenue drivers'!O636</f>
        <v>0</v>
      </c>
      <c r="P373">
        <f>'Revenue drivers'!P636</f>
        <v>0</v>
      </c>
      <c r="Q373">
        <f>'Revenue drivers'!Q636</f>
        <v>0</v>
      </c>
      <c r="R373">
        <f>'Revenue drivers'!R636</f>
        <v>0</v>
      </c>
      <c r="S373">
        <f>'Revenue drivers'!S636</f>
        <v>0</v>
      </c>
      <c r="T373">
        <f>'Revenue drivers'!T636</f>
        <v>0</v>
      </c>
      <c r="U373">
        <f>'Revenue drivers'!U636</f>
        <v>0</v>
      </c>
      <c r="V373">
        <f>'Revenue drivers'!V636</f>
        <v>0.14099999999999999</v>
      </c>
      <c r="W373">
        <f>'Revenue drivers'!W636</f>
        <v>0.14299999999999999</v>
      </c>
      <c r="X373">
        <f>'Revenue drivers'!X636</f>
        <v>0.16326530612244897</v>
      </c>
      <c r="Y373">
        <f>'Revenue drivers'!Y636</f>
        <v>0.18206896551724139</v>
      </c>
      <c r="Z373">
        <f>'Revenue drivers'!Z636</f>
        <v>0.20069444444444443</v>
      </c>
      <c r="AA373">
        <f>'Revenue drivers'!AA636</f>
        <v>0.22013888888888891</v>
      </c>
      <c r="AB373">
        <f>'Revenue drivers'!AB636</f>
        <v>0.24</v>
      </c>
      <c r="AC373">
        <f>'Revenue drivers'!AC636</f>
        <v>0.26400000000000001</v>
      </c>
      <c r="AD373">
        <f>'Revenue drivers'!AD636</f>
        <v>0.28899999999999998</v>
      </c>
      <c r="AE373">
        <f>'Revenue drivers'!AE636</f>
        <v>0.317</v>
      </c>
      <c r="AF373">
        <f>'Revenue drivers'!AF636</f>
        <v>0.34399999999999997</v>
      </c>
      <c r="AG373">
        <f>'Revenue drivers'!AG636</f>
        <v>0.375</v>
      </c>
      <c r="AH373">
        <f>'Revenue drivers'!AH636</f>
        <v>0.40799999999999997</v>
      </c>
      <c r="AI373">
        <f>'Revenue drivers'!AI636</f>
        <v>0.44500000000000001</v>
      </c>
      <c r="AJ373">
        <f>'Revenue drivers'!AJ636</f>
        <v>0.47899999999999998</v>
      </c>
      <c r="AL373">
        <f>'Revenue drivers'!BF636</f>
        <v>0</v>
      </c>
      <c r="AM373">
        <f>'Revenue drivers'!BG636</f>
        <v>0</v>
      </c>
      <c r="AN373">
        <f>'Revenue drivers'!BH636</f>
        <v>0</v>
      </c>
      <c r="AO373">
        <f>'Revenue drivers'!BI636</f>
        <v>0</v>
      </c>
      <c r="AP373">
        <f>'Revenue drivers'!BJ636</f>
        <v>0</v>
      </c>
      <c r="AQ373">
        <f>'Revenue drivers'!BK636</f>
        <v>9.9393939393939409E-2</v>
      </c>
      <c r="AR373">
        <f>'Revenue drivers'!BL636</f>
        <v>0.16400000000000001</v>
      </c>
      <c r="AS373">
        <f>'Revenue drivers'!BM636</f>
        <v>0</v>
      </c>
      <c r="AT373">
        <f>'Revenue drivers'!BN636</f>
        <v>0</v>
      </c>
      <c r="AU373">
        <f>'Revenue drivers'!BO636</f>
        <v>0</v>
      </c>
      <c r="AV373">
        <f>'Revenue drivers'!BP636</f>
        <v>0</v>
      </c>
      <c r="AW373">
        <f>'Revenue drivers'!BQ636</f>
        <v>0</v>
      </c>
      <c r="AX373">
        <f>'Revenue drivers'!BR636</f>
        <v>0</v>
      </c>
      <c r="AY373">
        <f>'Revenue drivers'!BS636</f>
        <v>0</v>
      </c>
      <c r="AZ373">
        <f>'Revenue drivers'!BT636</f>
        <v>0</v>
      </c>
    </row>
    <row r="374" spans="9:52" ht="11.25" customHeight="1">
      <c r="I374" t="str">
        <f>'Revenue drivers'!I637</f>
        <v>% change Y/Y</v>
      </c>
      <c r="M374">
        <f>'Revenue drivers'!M637</f>
        <v>0</v>
      </c>
      <c r="N374">
        <f>'Revenue drivers'!N637</f>
        <v>0</v>
      </c>
      <c r="O374">
        <f>'Revenue drivers'!O637</f>
        <v>0</v>
      </c>
      <c r="P374">
        <f>'Revenue drivers'!P637</f>
        <v>0</v>
      </c>
      <c r="Q374">
        <f>'Revenue drivers'!Q637</f>
        <v>0</v>
      </c>
      <c r="R374">
        <f>'Revenue drivers'!R637</f>
        <v>0</v>
      </c>
      <c r="S374">
        <f>'Revenue drivers'!S637</f>
        <v>0</v>
      </c>
      <c r="T374">
        <f>'Revenue drivers'!T637</f>
        <v>0</v>
      </c>
      <c r="U374">
        <f>'Revenue drivers'!U637</f>
        <v>0</v>
      </c>
      <c r="V374">
        <f>'Revenue drivers'!V637</f>
        <v>0.79</v>
      </c>
      <c r="W374">
        <f>'Revenue drivers'!W637</f>
        <v>0.56999999999999995</v>
      </c>
      <c r="X374">
        <f>'Revenue drivers'!X637</f>
        <v>0</v>
      </c>
      <c r="Y374">
        <f>'Revenue drivers'!Y637</f>
        <v>0.55000000000000004</v>
      </c>
      <c r="Z374">
        <f>'Revenue drivers'!Z637</f>
        <v>0.52</v>
      </c>
      <c r="AA374">
        <f>'Revenue drivers'!AA637</f>
        <v>0.54</v>
      </c>
      <c r="AB374">
        <f>'Revenue drivers'!AB637</f>
        <v>0.47</v>
      </c>
      <c r="AC374">
        <f>'Revenue drivers'!AC637</f>
        <v>0.45</v>
      </c>
      <c r="AD374">
        <f>'Revenue drivers'!AD637</f>
        <v>0.44</v>
      </c>
      <c r="AE374">
        <f>'Revenue drivers'!AE637</f>
        <v>0.44</v>
      </c>
      <c r="AF374">
        <f>'Revenue drivers'!AF637</f>
        <v>0.43</v>
      </c>
      <c r="AG374">
        <f>'Revenue drivers'!AG637</f>
        <v>0.42045454545454541</v>
      </c>
      <c r="AH374">
        <f>'Revenue drivers'!AH637</f>
        <v>0.41</v>
      </c>
      <c r="AI374">
        <f>'Revenue drivers'!AI637</f>
        <v>0.4</v>
      </c>
      <c r="AJ374">
        <f>'Revenue drivers'!AJ637</f>
        <v>0.39244186046511631</v>
      </c>
      <c r="AL374">
        <f>'Revenue drivers'!BF637</f>
        <v>0</v>
      </c>
      <c r="AM374">
        <f>'Revenue drivers'!BG637</f>
        <v>0</v>
      </c>
      <c r="AN374">
        <f>'Revenue drivers'!BH637</f>
        <v>0</v>
      </c>
      <c r="AO374">
        <f>'Revenue drivers'!BI637</f>
        <v>0</v>
      </c>
      <c r="AP374">
        <f>'Revenue drivers'!BJ637</f>
        <v>0</v>
      </c>
      <c r="AQ374">
        <f>'Revenue drivers'!BK637</f>
        <v>0</v>
      </c>
      <c r="AR374">
        <f>'Revenue drivers'!BL637</f>
        <v>0.65</v>
      </c>
      <c r="AS374">
        <f>'Revenue drivers'!BM637</f>
        <v>0</v>
      </c>
      <c r="AT374">
        <f>'Revenue drivers'!BN637</f>
        <v>0</v>
      </c>
      <c r="AU374">
        <f>'Revenue drivers'!BO637</f>
        <v>0</v>
      </c>
      <c r="AV374">
        <f>'Revenue drivers'!BP637</f>
        <v>0</v>
      </c>
      <c r="AW374">
        <f>'Revenue drivers'!BQ637</f>
        <v>0</v>
      </c>
      <c r="AX374">
        <f>'Revenue drivers'!BR637</f>
        <v>0</v>
      </c>
      <c r="AY374">
        <f>'Revenue drivers'!BS637</f>
        <v>0</v>
      </c>
      <c r="AZ374">
        <f>'Revenue drivers'!BT637</f>
        <v>0</v>
      </c>
    </row>
    <row r="375" spans="9:52" ht="11.25" customHeight="1">
      <c r="I375">
        <f>'Revenue drivers'!I638</f>
        <v>0</v>
      </c>
      <c r="M375">
        <f>'Revenue drivers'!M638</f>
        <v>0</v>
      </c>
      <c r="N375">
        <f>'Revenue drivers'!N638</f>
        <v>0</v>
      </c>
      <c r="O375">
        <f>'Revenue drivers'!O638</f>
        <v>0</v>
      </c>
      <c r="P375">
        <f>'Revenue drivers'!P638</f>
        <v>0</v>
      </c>
      <c r="Q375">
        <f>'Revenue drivers'!Q638</f>
        <v>0</v>
      </c>
      <c r="R375">
        <f>'Revenue drivers'!R638</f>
        <v>0</v>
      </c>
      <c r="S375">
        <f>'Revenue drivers'!S638</f>
        <v>0</v>
      </c>
      <c r="T375">
        <f>'Revenue drivers'!T638</f>
        <v>0</v>
      </c>
      <c r="U375">
        <f>'Revenue drivers'!U638</f>
        <v>0</v>
      </c>
      <c r="V375">
        <f>'Revenue drivers'!V638</f>
        <v>0</v>
      </c>
      <c r="W375">
        <f>'Revenue drivers'!W638</f>
        <v>0</v>
      </c>
      <c r="X375">
        <f>'Revenue drivers'!X638</f>
        <v>0</v>
      </c>
      <c r="Y375">
        <f>'Revenue drivers'!Y638</f>
        <v>0</v>
      </c>
      <c r="Z375">
        <f>'Revenue drivers'!Z638</f>
        <v>0</v>
      </c>
      <c r="AA375">
        <f>'Revenue drivers'!AA638</f>
        <v>0</v>
      </c>
      <c r="AB375">
        <f>'Revenue drivers'!AB638</f>
        <v>0</v>
      </c>
      <c r="AC375">
        <f>'Revenue drivers'!AC638</f>
        <v>0</v>
      </c>
      <c r="AD375">
        <f>'Revenue drivers'!AD638</f>
        <v>0</v>
      </c>
      <c r="AE375">
        <f>'Revenue drivers'!AE638</f>
        <v>0</v>
      </c>
      <c r="AF375">
        <f>'Revenue drivers'!AF638</f>
        <v>0</v>
      </c>
      <c r="AG375">
        <f>'Revenue drivers'!AG638</f>
        <v>0</v>
      </c>
      <c r="AH375">
        <f>'Revenue drivers'!AH638</f>
        <v>0</v>
      </c>
      <c r="AI375">
        <f>'Revenue drivers'!AI638</f>
        <v>0</v>
      </c>
      <c r="AJ375">
        <f>'Revenue drivers'!AJ638</f>
        <v>0</v>
      </c>
      <c r="AL375">
        <f>'Revenue drivers'!BF638</f>
        <v>0</v>
      </c>
      <c r="AM375">
        <f>'Revenue drivers'!BG638</f>
        <v>0</v>
      </c>
      <c r="AN375">
        <f>'Revenue drivers'!BH638</f>
        <v>0</v>
      </c>
      <c r="AO375">
        <f>'Revenue drivers'!BI638</f>
        <v>0</v>
      </c>
      <c r="AP375">
        <f>'Revenue drivers'!BJ638</f>
        <v>0</v>
      </c>
      <c r="AQ375">
        <f>'Revenue drivers'!BK638</f>
        <v>0</v>
      </c>
      <c r="AR375">
        <f>'Revenue drivers'!BL638</f>
        <v>0</v>
      </c>
      <c r="AS375">
        <f>'Revenue drivers'!BM638</f>
        <v>0</v>
      </c>
      <c r="AT375">
        <f>'Revenue drivers'!BN638</f>
        <v>0</v>
      </c>
      <c r="AU375">
        <f>'Revenue drivers'!BO638</f>
        <v>0</v>
      </c>
      <c r="AV375">
        <f>'Revenue drivers'!BP638</f>
        <v>0</v>
      </c>
      <c r="AW375">
        <f>'Revenue drivers'!BQ638</f>
        <v>0</v>
      </c>
      <c r="AX375">
        <f>'Revenue drivers'!BR638</f>
        <v>0</v>
      </c>
      <c r="AY375">
        <f>'Revenue drivers'!BS638</f>
        <v>0</v>
      </c>
      <c r="AZ375">
        <f>'Revenue drivers'!BT638</f>
        <v>0</v>
      </c>
    </row>
    <row r="377" spans="9:52" ht="11.25" customHeight="1">
      <c r="I377" t="str">
        <f>'Revenue drivers'!I639</f>
        <v>Total Reported Cohort Revenue</v>
      </c>
      <c r="M377">
        <f>'Revenue drivers'!M639</f>
        <v>0</v>
      </c>
      <c r="N377">
        <f>'Revenue drivers'!N639</f>
        <v>0</v>
      </c>
      <c r="O377">
        <f>'Revenue drivers'!O639</f>
        <v>0</v>
      </c>
      <c r="P377">
        <f>'Revenue drivers'!P639</f>
        <v>0</v>
      </c>
      <c r="Q377">
        <f>'Revenue drivers'!Q639</f>
        <v>0</v>
      </c>
      <c r="R377">
        <f>'Revenue drivers'!R639</f>
        <v>0</v>
      </c>
      <c r="S377">
        <f>'Revenue drivers'!S639</f>
        <v>0</v>
      </c>
      <c r="T377">
        <f>'Revenue drivers'!T639</f>
        <v>0</v>
      </c>
      <c r="U377">
        <f>'Revenue drivers'!U639</f>
        <v>18.907670420029302</v>
      </c>
      <c r="V377">
        <f>'Revenue drivers'!V639</f>
        <v>18.923999999999999</v>
      </c>
      <c r="W377">
        <f>'Revenue drivers'!W639</f>
        <v>24.281999999999996</v>
      </c>
      <c r="X377">
        <f>'Revenue drivers'!X639</f>
        <v>27.159325975486553</v>
      </c>
      <c r="Y377">
        <f>'Revenue drivers'!Y639</f>
        <v>30.878359517720131</v>
      </c>
      <c r="Z377">
        <f>'Revenue drivers'!Z639</f>
        <v>33.615996522838628</v>
      </c>
      <c r="AA377">
        <f>'Revenue drivers'!AA639</f>
        <v>40.27592040057435</v>
      </c>
      <c r="AB377">
        <f>'Revenue drivers'!AB639</f>
        <v>45.988</v>
      </c>
      <c r="AC377">
        <f>'Revenue drivers'!AC639</f>
        <v>51.837999999999994</v>
      </c>
      <c r="AD377">
        <f>'Revenue drivers'!AD639</f>
        <v>60.058</v>
      </c>
      <c r="AE377">
        <f>'Revenue drivers'!AE639</f>
        <v>67.025999999999996</v>
      </c>
      <c r="AF377">
        <f>'Revenue drivers'!AF639</f>
        <v>72.825999999999993</v>
      </c>
      <c r="AG377">
        <f>'Revenue drivers'!AG639</f>
        <v>77.262</v>
      </c>
      <c r="AH377">
        <f>'Revenue drivers'!AH639</f>
        <v>84.048000000000002</v>
      </c>
      <c r="AI377">
        <f>'Revenue drivers'!AI639</f>
        <v>89.77600000000001</v>
      </c>
      <c r="AJ377">
        <f>'Revenue drivers'!AJ639</f>
        <v>96.68</v>
      </c>
      <c r="AL377">
        <f>'Revenue drivers'!BF639</f>
        <v>0</v>
      </c>
      <c r="AM377">
        <f>'Revenue drivers'!BG639</f>
        <v>0</v>
      </c>
      <c r="AN377">
        <f>'Revenue drivers'!BH639</f>
        <v>0</v>
      </c>
      <c r="AO377">
        <f>'Revenue drivers'!BI639</f>
        <v>0</v>
      </c>
      <c r="AP377">
        <f>'Revenue drivers'!BJ639</f>
        <v>0</v>
      </c>
      <c r="AQ377">
        <f>'Revenue drivers'!BK639</f>
        <v>0</v>
      </c>
      <c r="AR377">
        <f>'Revenue drivers'!BL639</f>
        <v>89.272996395515861</v>
      </c>
      <c r="AS377">
        <f>'Revenue drivers'!BM639</f>
        <v>150.75827644113312</v>
      </c>
      <c r="AT377">
        <f>'Revenue drivers'!BN639</f>
        <v>251.74799999999999</v>
      </c>
      <c r="AU377">
        <f>'Revenue drivers'!BO639</f>
        <v>347.76599999999996</v>
      </c>
      <c r="AV377">
        <f>'Revenue drivers'!BP639</f>
        <v>472.27434</v>
      </c>
      <c r="AW377">
        <f>'Revenue drivers'!BQ639</f>
        <v>628.76920580000001</v>
      </c>
      <c r="AX377">
        <f>'Revenue drivers'!BR639</f>
        <v>813.6961704339999</v>
      </c>
      <c r="AY377">
        <f>'Revenue drivers'!BS639</f>
        <v>1022.7702381822596</v>
      </c>
      <c r="AZ377">
        <f>'Revenue drivers'!BT639</f>
        <v>1247.6377570385366</v>
      </c>
    </row>
    <row r="378" spans="9:52" ht="11.25" customHeight="1">
      <c r="I378" t="str">
        <f>'Revenue drivers'!I640</f>
        <v>% change Y/Y</v>
      </c>
      <c r="M378">
        <f>'Revenue drivers'!M640</f>
        <v>0</v>
      </c>
      <c r="N378">
        <f>'Revenue drivers'!N640</f>
        <v>0</v>
      </c>
      <c r="O378">
        <f>'Revenue drivers'!O640</f>
        <v>0</v>
      </c>
      <c r="P378">
        <f>'Revenue drivers'!P640</f>
        <v>0</v>
      </c>
      <c r="Q378">
        <f>'Revenue drivers'!Q640</f>
        <v>0</v>
      </c>
      <c r="R378">
        <f>'Revenue drivers'!R640</f>
        <v>0</v>
      </c>
      <c r="S378">
        <f>'Revenue drivers'!S640</f>
        <v>0</v>
      </c>
      <c r="T378">
        <f>'Revenue drivers'!T640</f>
        <v>0</v>
      </c>
      <c r="U378">
        <f>'Revenue drivers'!U640</f>
        <v>0</v>
      </c>
      <c r="V378">
        <f>'Revenue drivers'!V640</f>
        <v>0</v>
      </c>
      <c r="W378">
        <f>'Revenue drivers'!W640</f>
        <v>0</v>
      </c>
      <c r="X378">
        <f>'Revenue drivers'!X640</f>
        <v>0</v>
      </c>
      <c r="Y378">
        <f>'Revenue drivers'!Y640</f>
        <v>0</v>
      </c>
      <c r="Z378">
        <f>'Revenue drivers'!Z640</f>
        <v>0.77636844868096744</v>
      </c>
      <c r="AA378">
        <f>'Revenue drivers'!AA640</f>
        <v>0.65867393133079455</v>
      </c>
      <c r="AB378">
        <f>'Revenue drivers'!AB640</f>
        <v>0.69326735286095897</v>
      </c>
      <c r="AC378">
        <f>'Revenue drivers'!AC640</f>
        <v>0.67878089411621034</v>
      </c>
      <c r="AD378">
        <f>'Revenue drivers'!AD640</f>
        <v>0.78658990398207407</v>
      </c>
      <c r="AE378">
        <f>'Revenue drivers'!AE640</f>
        <v>0.66417053498407896</v>
      </c>
      <c r="AF378">
        <f>'Revenue drivers'!AF640</f>
        <v>0.58358702270157425</v>
      </c>
      <c r="AG378">
        <f>'Revenue drivers'!AG640</f>
        <v>0.4904510204869017</v>
      </c>
      <c r="AH378">
        <f>'Revenue drivers'!AH640</f>
        <v>0.39944720103899578</v>
      </c>
      <c r="AI378">
        <f>'Revenue drivers'!AI640</f>
        <v>0.33942052337898754</v>
      </c>
      <c r="AJ378">
        <f>'Revenue drivers'!AJ640</f>
        <v>0.32754785378848239</v>
      </c>
      <c r="AL378">
        <f>'Revenue drivers'!BF640</f>
        <v>0</v>
      </c>
      <c r="AM378">
        <f>'Revenue drivers'!BG640</f>
        <v>0</v>
      </c>
      <c r="AN378">
        <f>'Revenue drivers'!BH640</f>
        <v>0</v>
      </c>
      <c r="AO378">
        <f>'Revenue drivers'!BI640</f>
        <v>0</v>
      </c>
      <c r="AP378">
        <f>'Revenue drivers'!BJ640</f>
        <v>0</v>
      </c>
      <c r="AQ378">
        <f>'Revenue drivers'!BK640</f>
        <v>0</v>
      </c>
      <c r="AR378">
        <f>'Revenue drivers'!BL640</f>
        <v>0</v>
      </c>
      <c r="AS378">
        <f>'Revenue drivers'!BM640</f>
        <v>0.68873323992859325</v>
      </c>
      <c r="AT378">
        <f>'Revenue drivers'!BN640</f>
        <v>0.66987846997773626</v>
      </c>
      <c r="AU378">
        <f>'Revenue drivers'!BO640</f>
        <v>0.38140521473854805</v>
      </c>
      <c r="AV378">
        <f>'Revenue drivers'!BP640</f>
        <v>0.35802332602957176</v>
      </c>
      <c r="AW378">
        <f>'Revenue drivers'!BQ640</f>
        <v>0.33136432057689191</v>
      </c>
      <c r="AX378">
        <f>'Revenue drivers'!BR640</f>
        <v>0.29410944894909785</v>
      </c>
      <c r="AY378">
        <f>'Revenue drivers'!BS640</f>
        <v>0.25694365457901336</v>
      </c>
      <c r="AZ378">
        <f>'Revenue drivers'!BT640</f>
        <v>0.21986122636490446</v>
      </c>
    </row>
    <row r="380" spans="9:52" ht="11.25" customHeight="1">
      <c r="I380" t="str">
        <f>'Revenue drivers'!I642</f>
        <v>2011-Present</v>
      </c>
      <c r="M380">
        <f>'Revenue drivers'!M642</f>
        <v>0</v>
      </c>
      <c r="N380">
        <f>'Revenue drivers'!N642</f>
        <v>0</v>
      </c>
      <c r="O380">
        <f>'Revenue drivers'!O642</f>
        <v>0</v>
      </c>
      <c r="P380">
        <f>'Revenue drivers'!P642</f>
        <v>0</v>
      </c>
      <c r="Q380">
        <f>'Revenue drivers'!Q642</f>
        <v>0</v>
      </c>
      <c r="R380">
        <f>'Revenue drivers'!R642</f>
        <v>0</v>
      </c>
      <c r="S380">
        <f>'Revenue drivers'!S642</f>
        <v>0</v>
      </c>
      <c r="T380">
        <f>'Revenue drivers'!T642</f>
        <v>0</v>
      </c>
      <c r="U380">
        <f>'Revenue drivers'!U642</f>
        <v>0</v>
      </c>
      <c r="V380">
        <f>'Revenue drivers'!V642</f>
        <v>0</v>
      </c>
      <c r="W380">
        <f>'Revenue drivers'!W642</f>
        <v>0</v>
      </c>
      <c r="X380">
        <f>'Revenue drivers'!X642</f>
        <v>0</v>
      </c>
      <c r="Y380">
        <f>'Revenue drivers'!Y642</f>
        <v>0</v>
      </c>
      <c r="Z380">
        <f>'Revenue drivers'!Z642</f>
        <v>0</v>
      </c>
      <c r="AA380">
        <f>'Revenue drivers'!AA642</f>
        <v>0</v>
      </c>
      <c r="AB380">
        <f>'Revenue drivers'!AB642</f>
        <v>0</v>
      </c>
      <c r="AC380">
        <f>'Revenue drivers'!AC642</f>
        <v>0</v>
      </c>
      <c r="AD380">
        <f>'Revenue drivers'!AD642</f>
        <v>0</v>
      </c>
      <c r="AE380">
        <f>'Revenue drivers'!AE642</f>
        <v>0</v>
      </c>
      <c r="AF380">
        <f>'Revenue drivers'!AF642</f>
        <v>0</v>
      </c>
      <c r="AG380">
        <f>'Revenue drivers'!AG642</f>
        <v>0</v>
      </c>
      <c r="AH380">
        <f>'Revenue drivers'!AH642</f>
        <v>0</v>
      </c>
      <c r="AI380">
        <f>'Revenue drivers'!AI642</f>
        <v>0</v>
      </c>
      <c r="AJ380">
        <f>'Revenue drivers'!AJ642</f>
        <v>0</v>
      </c>
      <c r="AL380">
        <f>'Revenue drivers'!BF642</f>
        <v>0</v>
      </c>
      <c r="AM380">
        <f>'Revenue drivers'!BG642</f>
        <v>0</v>
      </c>
      <c r="AN380">
        <f>'Revenue drivers'!BH642</f>
        <v>0</v>
      </c>
      <c r="AO380">
        <f>'Revenue drivers'!BI642</f>
        <v>0</v>
      </c>
      <c r="AP380">
        <f>'Revenue drivers'!BJ642</f>
        <v>0</v>
      </c>
      <c r="AQ380">
        <f>'Revenue drivers'!BK642</f>
        <v>0</v>
      </c>
      <c r="AR380">
        <f>'Revenue drivers'!BL642</f>
        <v>0</v>
      </c>
      <c r="AS380">
        <f>'Revenue drivers'!BM642</f>
        <v>0</v>
      </c>
      <c r="AT380">
        <f>'Revenue drivers'!BN642</f>
        <v>0</v>
      </c>
      <c r="AU380">
        <f>'Revenue drivers'!BO642</f>
        <v>0</v>
      </c>
      <c r="AV380">
        <f>'Revenue drivers'!BP642</f>
        <v>0</v>
      </c>
      <c r="AW380">
        <f>'Revenue drivers'!BQ642</f>
        <v>0</v>
      </c>
      <c r="AX380">
        <f>'Revenue drivers'!BR642</f>
        <v>0</v>
      </c>
      <c r="AY380">
        <f>'Revenue drivers'!BS642</f>
        <v>0</v>
      </c>
      <c r="AZ380">
        <f>'Revenue drivers'!BT642</f>
        <v>0</v>
      </c>
    </row>
    <row r="381" spans="9:52" ht="11.25" customHeight="1">
      <c r="I381">
        <f>'Revenue drivers'!I643</f>
        <v>0</v>
      </c>
      <c r="M381">
        <f>'Revenue drivers'!M643</f>
        <v>0</v>
      </c>
      <c r="N381">
        <f>'Revenue drivers'!N643</f>
        <v>0</v>
      </c>
      <c r="O381">
        <f>'Revenue drivers'!O643</f>
        <v>0</v>
      </c>
      <c r="P381">
        <f>'Revenue drivers'!P643</f>
        <v>0</v>
      </c>
      <c r="Q381">
        <f>'Revenue drivers'!Q643</f>
        <v>0</v>
      </c>
      <c r="R381">
        <f>'Revenue drivers'!R643</f>
        <v>0</v>
      </c>
      <c r="S381">
        <f>'Revenue drivers'!S643</f>
        <v>0</v>
      </c>
      <c r="T381">
        <f>'Revenue drivers'!T643</f>
        <v>0</v>
      </c>
      <c r="U381">
        <f>'Revenue drivers'!U643</f>
        <v>0</v>
      </c>
      <c r="V381">
        <f>'Revenue drivers'!V643</f>
        <v>0</v>
      </c>
      <c r="W381">
        <f>'Revenue drivers'!W643</f>
        <v>0</v>
      </c>
      <c r="X381">
        <f>'Revenue drivers'!X643</f>
        <v>0</v>
      </c>
      <c r="Y381">
        <f>'Revenue drivers'!Y643</f>
        <v>0</v>
      </c>
      <c r="Z381">
        <f>'Revenue drivers'!Z643</f>
        <v>0</v>
      </c>
      <c r="AA381">
        <f>'Revenue drivers'!AA643</f>
        <v>0</v>
      </c>
      <c r="AB381">
        <f>'Revenue drivers'!AB643</f>
        <v>0</v>
      </c>
      <c r="AC381">
        <f>'Revenue drivers'!AC643</f>
        <v>0</v>
      </c>
      <c r="AD381">
        <f>'Revenue drivers'!AD643</f>
        <v>0</v>
      </c>
      <c r="AE381">
        <f>'Revenue drivers'!AE643</f>
        <v>0</v>
      </c>
      <c r="AF381">
        <f>'Revenue drivers'!AF643</f>
        <v>0</v>
      </c>
      <c r="AG381">
        <f>'Revenue drivers'!AG643</f>
        <v>0</v>
      </c>
      <c r="AH381">
        <f>'Revenue drivers'!AH643</f>
        <v>0</v>
      </c>
      <c r="AI381">
        <f>'Revenue drivers'!AI643</f>
        <v>0</v>
      </c>
      <c r="AJ381">
        <f>'Revenue drivers'!AJ643</f>
        <v>0</v>
      </c>
      <c r="AL381">
        <f>'Revenue drivers'!BF643</f>
        <v>0</v>
      </c>
      <c r="AM381">
        <f>'Revenue drivers'!BG643</f>
        <v>0</v>
      </c>
      <c r="AN381">
        <f>'Revenue drivers'!BH643</f>
        <v>0</v>
      </c>
      <c r="AO381">
        <f>'Revenue drivers'!BI643</f>
        <v>0</v>
      </c>
      <c r="AP381">
        <f>'Revenue drivers'!BJ643</f>
        <v>0</v>
      </c>
      <c r="AQ381">
        <f>'Revenue drivers'!BK643</f>
        <v>0</v>
      </c>
      <c r="AR381">
        <f>'Revenue drivers'!BL643</f>
        <v>0</v>
      </c>
      <c r="AS381">
        <f>'Revenue drivers'!BM643</f>
        <v>0</v>
      </c>
      <c r="AT381">
        <f>'Revenue drivers'!BN643</f>
        <v>0</v>
      </c>
      <c r="AU381">
        <f>'Revenue drivers'!BO643</f>
        <v>0</v>
      </c>
      <c r="AV381">
        <f>'Revenue drivers'!BP643</f>
        <v>0</v>
      </c>
      <c r="AW381">
        <f>'Revenue drivers'!BQ643</f>
        <v>0</v>
      </c>
      <c r="AX381">
        <f>'Revenue drivers'!BR643</f>
        <v>0</v>
      </c>
      <c r="AY381">
        <f>'Revenue drivers'!BS643</f>
        <v>0</v>
      </c>
      <c r="AZ381">
        <f>'Revenue drivers'!BT643</f>
        <v>0</v>
      </c>
    </row>
    <row r="382" spans="9:52" ht="11.25" customHeight="1">
      <c r="I382" t="str">
        <f>'Revenue drivers'!I644</f>
        <v>Implied 2011 Cohort Local Revenue</v>
      </c>
      <c r="M382">
        <f>'Revenue drivers'!M644</f>
        <v>0</v>
      </c>
      <c r="N382">
        <f>'Revenue drivers'!N644</f>
        <v>0</v>
      </c>
      <c r="O382">
        <f>'Revenue drivers'!O644</f>
        <v>0</v>
      </c>
      <c r="P382">
        <f>'Revenue drivers'!P644</f>
        <v>0</v>
      </c>
      <c r="Q382">
        <f>'Revenue drivers'!Q644</f>
        <v>0</v>
      </c>
      <c r="R382">
        <f>'Revenue drivers'!R644</f>
        <v>0</v>
      </c>
      <c r="S382">
        <f>'Revenue drivers'!S644</f>
        <v>0</v>
      </c>
      <c r="T382">
        <f>'Revenue drivers'!T644</f>
        <v>0</v>
      </c>
      <c r="U382">
        <f>'Revenue drivers'!U644</f>
        <v>2.5653295799706974</v>
      </c>
      <c r="V382">
        <f>'Revenue drivers'!V644</f>
        <v>6.3309999999999995</v>
      </c>
      <c r="W382">
        <f>'Revenue drivers'!W644</f>
        <v>4.203000000000003</v>
      </c>
      <c r="X382">
        <f>'Revenue drivers'!X644</f>
        <v>6.7856740245134475</v>
      </c>
      <c r="Y382">
        <f>'Revenue drivers'!Y644</f>
        <v>5.680990482279868</v>
      </c>
      <c r="Z382">
        <f>'Revenue drivers'!Z644</f>
        <v>8.4328534771613679</v>
      </c>
      <c r="AA382">
        <f>'Revenue drivers'!AA644</f>
        <v>7.8320295994256517</v>
      </c>
      <c r="AB382">
        <f>'Revenue drivers'!AB644</f>
        <v>9.4499130000000005</v>
      </c>
      <c r="AC382">
        <f>'Revenue drivers'!AC644</f>
        <v>10.840569000000009</v>
      </c>
      <c r="AD382">
        <f>'Revenue drivers'!AD644</f>
        <v>12.963390000000002</v>
      </c>
      <c r="AE382">
        <f>'Revenue drivers'!AE644</f>
        <v>15.032350000000008</v>
      </c>
      <c r="AF382">
        <f>'Revenue drivers'!AF644</f>
        <v>16.97739</v>
      </c>
      <c r="AG382">
        <f>'Revenue drivers'!AG644</f>
        <v>18.107999999999993</v>
      </c>
      <c r="AH382">
        <f>'Revenue drivers'!AH644</f>
        <v>20.834000000000003</v>
      </c>
      <c r="AI382">
        <f>'Revenue drivers'!AI644</f>
        <v>23.255999999999993</v>
      </c>
      <c r="AJ382">
        <f>'Revenue drivers'!AJ644</f>
        <v>26.170999999999992</v>
      </c>
      <c r="AL382">
        <f>'Revenue drivers'!BF644</f>
        <v>0</v>
      </c>
      <c r="AM382">
        <f>'Revenue drivers'!BG644</f>
        <v>0</v>
      </c>
      <c r="AN382">
        <f>'Revenue drivers'!BH644</f>
        <v>0</v>
      </c>
      <c r="AO382">
        <f>'Revenue drivers'!BI644</f>
        <v>0</v>
      </c>
      <c r="AP382">
        <f>'Revenue drivers'!BJ644</f>
        <v>0</v>
      </c>
      <c r="AQ382">
        <f>'Revenue drivers'!BK644</f>
        <v>0</v>
      </c>
      <c r="AR382">
        <f>'Revenue drivers'!BL644</f>
        <v>19.885003604484126</v>
      </c>
      <c r="AS382">
        <f>'Revenue drivers'!BM644</f>
        <v>31.395786558866874</v>
      </c>
      <c r="AT382">
        <f>'Revenue drivers'!BN644</f>
        <v>55.813698999999971</v>
      </c>
      <c r="AU382">
        <f>'Revenue drivers'!BO644</f>
        <v>88.369000000000057</v>
      </c>
      <c r="AV382">
        <f>'Revenue drivers'!BP644</f>
        <v>137.72066000000007</v>
      </c>
      <c r="AW382">
        <f>'Revenue drivers'!BQ644</f>
        <v>142.80979420000006</v>
      </c>
      <c r="AX382">
        <f>'Revenue drivers'!BR644</f>
        <v>103.88282956600017</v>
      </c>
      <c r="AY382">
        <f>'Revenue drivers'!BS644</f>
        <v>42.80876181774056</v>
      </c>
      <c r="AZ382">
        <f>'Revenue drivers'!BT644</f>
        <v>-34.058757038536442</v>
      </c>
    </row>
    <row r="383" spans="9:52" ht="11.25" customHeight="1">
      <c r="I383" t="str">
        <f>'Revenue drivers'!I645</f>
        <v>% change Y/Y</v>
      </c>
      <c r="M383">
        <f>'Revenue drivers'!M645</f>
        <v>0</v>
      </c>
      <c r="N383">
        <f>'Revenue drivers'!N645</f>
        <v>0</v>
      </c>
      <c r="O383">
        <f>'Revenue drivers'!O645</f>
        <v>0</v>
      </c>
      <c r="P383">
        <f>'Revenue drivers'!P645</f>
        <v>0</v>
      </c>
      <c r="Q383">
        <f>'Revenue drivers'!Q645</f>
        <v>0</v>
      </c>
      <c r="R383">
        <f>'Revenue drivers'!R645</f>
        <v>0</v>
      </c>
      <c r="S383">
        <f>'Revenue drivers'!S645</f>
        <v>0</v>
      </c>
      <c r="T383">
        <f>'Revenue drivers'!T645</f>
        <v>0</v>
      </c>
      <c r="U383">
        <f>'Revenue drivers'!U645</f>
        <v>0</v>
      </c>
      <c r="V383">
        <f>'Revenue drivers'!V645</f>
        <v>0</v>
      </c>
      <c r="W383">
        <f>'Revenue drivers'!W645</f>
        <v>0</v>
      </c>
      <c r="X383">
        <f>'Revenue drivers'!X645</f>
        <v>0</v>
      </c>
      <c r="Y383">
        <f>'Revenue drivers'!Y645</f>
        <v>1.2145265569910744</v>
      </c>
      <c r="Z383">
        <f>'Revenue drivers'!Z645</f>
        <v>0.33199391520476529</v>
      </c>
      <c r="AA383">
        <f>'Revenue drivers'!AA645</f>
        <v>0.86343792515480522</v>
      </c>
      <c r="AB383">
        <f>'Revenue drivers'!AB645</f>
        <v>0.39262702067059374</v>
      </c>
      <c r="AC383">
        <f>'Revenue drivers'!AC645</f>
        <v>0.90821812390178902</v>
      </c>
      <c r="AD383">
        <f>'Revenue drivers'!AD645</f>
        <v>0.53724833890552603</v>
      </c>
      <c r="AE383">
        <f>'Revenue drivers'!AE645</f>
        <v>0.91934284838535074</v>
      </c>
      <c r="AF383">
        <f>'Revenue drivers'!AF645</f>
        <v>0.79656574616083753</v>
      </c>
      <c r="AG383">
        <f>'Revenue drivers'!AG645</f>
        <v>0.6703920246252737</v>
      </c>
      <c r="AH383">
        <f>'Revenue drivers'!AH645</f>
        <v>0.60714134188665159</v>
      </c>
      <c r="AI383">
        <f>'Revenue drivers'!AI645</f>
        <v>0.54706349971893831</v>
      </c>
      <c r="AJ383">
        <f>'Revenue drivers'!AJ645</f>
        <v>0.54152081091380899</v>
      </c>
      <c r="AL383">
        <f>'Revenue drivers'!BF645</f>
        <v>0</v>
      </c>
      <c r="AM383">
        <f>'Revenue drivers'!BG645</f>
        <v>0</v>
      </c>
      <c r="AN383">
        <f>'Revenue drivers'!BH645</f>
        <v>0</v>
      </c>
      <c r="AO383">
        <f>'Revenue drivers'!BI645</f>
        <v>0</v>
      </c>
      <c r="AP383">
        <f>'Revenue drivers'!BJ645</f>
        <v>0</v>
      </c>
      <c r="AQ383">
        <f>'Revenue drivers'!BK645</f>
        <v>0</v>
      </c>
      <c r="AR383">
        <f>'Revenue drivers'!BL645</f>
        <v>0</v>
      </c>
      <c r="AS383">
        <f>'Revenue drivers'!BM645</f>
        <v>0.57886753170047367</v>
      </c>
      <c r="AT383">
        <f>'Revenue drivers'!BN645</f>
        <v>0.77774488609640935</v>
      </c>
      <c r="AU383">
        <f>'Revenue drivers'!BO645</f>
        <v>0.58328513578718555</v>
      </c>
      <c r="AV383">
        <f>'Revenue drivers'!BP645</f>
        <v>0.55847254127578649</v>
      </c>
      <c r="AW383">
        <f>'Revenue drivers'!BQ645</f>
        <v>3.6952583584772158E-2</v>
      </c>
      <c r="AX383">
        <f>'Revenue drivers'!BR645</f>
        <v>-0.27257909621719678</v>
      </c>
      <c r="AY383">
        <f>'Revenue drivers'!BS645</f>
        <v>-0.58791301703480503</v>
      </c>
      <c r="AZ383">
        <f>'Revenue drivers'!BT645</f>
        <v>-1.7956024793135223</v>
      </c>
    </row>
    <row r="384" spans="9:52" ht="11.25" customHeight="1">
      <c r="I384" t="str">
        <f>'Revenue drivers'!I647</f>
        <v>% change Two-Year</v>
      </c>
      <c r="M384">
        <f>'Revenue drivers'!M647</f>
        <v>0</v>
      </c>
      <c r="N384">
        <f>'Revenue drivers'!N647</f>
        <v>0</v>
      </c>
      <c r="O384">
        <f>'Revenue drivers'!O647</f>
        <v>0</v>
      </c>
      <c r="P384">
        <f>'Revenue drivers'!P647</f>
        <v>0</v>
      </c>
      <c r="Q384">
        <f>'Revenue drivers'!Q647</f>
        <v>0</v>
      </c>
      <c r="R384">
        <f>'Revenue drivers'!R647</f>
        <v>0</v>
      </c>
      <c r="S384">
        <f>'Revenue drivers'!S647</f>
        <v>0</v>
      </c>
      <c r="T384">
        <f>'Revenue drivers'!T647</f>
        <v>0</v>
      </c>
      <c r="U384">
        <f>'Revenue drivers'!U647</f>
        <v>0</v>
      </c>
      <c r="V384">
        <f>'Revenue drivers'!V647</f>
        <v>0</v>
      </c>
      <c r="W384">
        <f>'Revenue drivers'!W647</f>
        <v>0</v>
      </c>
      <c r="X384">
        <f>'Revenue drivers'!X647</f>
        <v>0</v>
      </c>
      <c r="Y384">
        <f>'Revenue drivers'!Y647</f>
        <v>0</v>
      </c>
      <c r="Z384">
        <f>'Revenue drivers'!Z647</f>
        <v>0</v>
      </c>
      <c r="AA384">
        <f>'Revenue drivers'!AA647</f>
        <v>0</v>
      </c>
      <c r="AB384">
        <f>'Revenue drivers'!AB647</f>
        <v>0</v>
      </c>
      <c r="AC384">
        <f>'Revenue drivers'!AC647</f>
        <v>2.1227446808928634</v>
      </c>
      <c r="AD384">
        <f>'Revenue drivers'!AD647</f>
        <v>0.86924225411029132</v>
      </c>
      <c r="AE384">
        <f>'Revenue drivers'!AE647</f>
        <v>1.782780773540156</v>
      </c>
      <c r="AF384">
        <f>'Revenue drivers'!AF647</f>
        <v>1.1891927668314313</v>
      </c>
      <c r="AG384">
        <f>'Revenue drivers'!AG647</f>
        <v>1.5786101485270627</v>
      </c>
      <c r="AH384">
        <f>'Revenue drivers'!AH647</f>
        <v>1.1443896807921776</v>
      </c>
      <c r="AI384">
        <f>'Revenue drivers'!AI647</f>
        <v>1.466406348104289</v>
      </c>
      <c r="AJ384">
        <f>'Revenue drivers'!AJ647</f>
        <v>1.3380865570746465</v>
      </c>
      <c r="AL384">
        <f>'Revenue drivers'!BF647</f>
        <v>0</v>
      </c>
      <c r="AM384">
        <f>'Revenue drivers'!BG647</f>
        <v>0</v>
      </c>
      <c r="AN384">
        <f>'Revenue drivers'!BH647</f>
        <v>0</v>
      </c>
      <c r="AO384">
        <f>'Revenue drivers'!BI647</f>
        <v>0</v>
      </c>
      <c r="AP384">
        <f>'Revenue drivers'!BJ647</f>
        <v>0</v>
      </c>
      <c r="AQ384">
        <f>'Revenue drivers'!BK647</f>
        <v>0</v>
      </c>
      <c r="AR384">
        <f>'Revenue drivers'!BL647</f>
        <v>0</v>
      </c>
      <c r="AS384">
        <f>'Revenue drivers'!BM647</f>
        <v>0</v>
      </c>
      <c r="AT384">
        <f>'Revenue drivers'!BN647</f>
        <v>0</v>
      </c>
      <c r="AU384">
        <f>'Revenue drivers'!BO647</f>
        <v>0</v>
      </c>
      <c r="AV384">
        <f>'Revenue drivers'!BP647</f>
        <v>0</v>
      </c>
      <c r="AW384">
        <f>'Revenue drivers'!BQ647</f>
        <v>0</v>
      </c>
      <c r="AX384">
        <f>'Revenue drivers'!BR647</f>
        <v>0</v>
      </c>
      <c r="AY384">
        <f>'Revenue drivers'!BS647</f>
        <v>0</v>
      </c>
      <c r="AZ384">
        <f>'Revenue drivers'!BT647</f>
        <v>0</v>
      </c>
    </row>
    <row r="385" spans="9:52" ht="11.25" customHeight="1">
      <c r="I385">
        <f>'Revenue drivers'!I649</f>
        <v>0</v>
      </c>
      <c r="M385">
        <f>'Revenue drivers'!M649</f>
        <v>0</v>
      </c>
      <c r="N385">
        <f>'Revenue drivers'!N649</f>
        <v>0</v>
      </c>
      <c r="O385">
        <f>'Revenue drivers'!O649</f>
        <v>0</v>
      </c>
      <c r="P385">
        <f>'Revenue drivers'!P649</f>
        <v>0</v>
      </c>
      <c r="Q385">
        <f>'Revenue drivers'!Q649</f>
        <v>0</v>
      </c>
      <c r="R385">
        <f>'Revenue drivers'!R649</f>
        <v>0</v>
      </c>
      <c r="S385">
        <f>'Revenue drivers'!S649</f>
        <v>0</v>
      </c>
      <c r="T385">
        <f>'Revenue drivers'!T649</f>
        <v>0</v>
      </c>
      <c r="U385">
        <f>'Revenue drivers'!U649</f>
        <v>0</v>
      </c>
      <c r="V385">
        <f>'Revenue drivers'!V649</f>
        <v>0</v>
      </c>
      <c r="W385">
        <f>'Revenue drivers'!W649</f>
        <v>0</v>
      </c>
      <c r="X385">
        <f>'Revenue drivers'!X649</f>
        <v>0</v>
      </c>
      <c r="Y385">
        <f>'Revenue drivers'!Y649</f>
        <v>0</v>
      </c>
      <c r="Z385">
        <f>'Revenue drivers'!Z649</f>
        <v>0</v>
      </c>
      <c r="AA385">
        <f>'Revenue drivers'!AA649</f>
        <v>0</v>
      </c>
      <c r="AB385">
        <f>'Revenue drivers'!AB649</f>
        <v>0</v>
      </c>
      <c r="AC385">
        <f>'Revenue drivers'!AC649</f>
        <v>0</v>
      </c>
      <c r="AD385">
        <f>'Revenue drivers'!AD649</f>
        <v>0</v>
      </c>
      <c r="AE385">
        <f>'Revenue drivers'!AE649</f>
        <v>0</v>
      </c>
      <c r="AF385">
        <f>'Revenue drivers'!AF649</f>
        <v>0</v>
      </c>
      <c r="AG385">
        <f>'Revenue drivers'!AG649</f>
        <v>0</v>
      </c>
      <c r="AH385">
        <f>'Revenue drivers'!AH649</f>
        <v>0</v>
      </c>
      <c r="AI385">
        <f>'Revenue drivers'!AI649</f>
        <v>0</v>
      </c>
      <c r="AJ385">
        <f>'Revenue drivers'!AJ649</f>
        <v>0</v>
      </c>
      <c r="AL385">
        <f>'Revenue drivers'!BF649</f>
        <v>0</v>
      </c>
      <c r="AM385">
        <f>'Revenue drivers'!BG649</f>
        <v>0</v>
      </c>
      <c r="AN385">
        <f>'Revenue drivers'!BH649</f>
        <v>0</v>
      </c>
      <c r="AO385">
        <f>'Revenue drivers'!BI649</f>
        <v>0</v>
      </c>
      <c r="AP385">
        <f>'Revenue drivers'!BJ649</f>
        <v>0</v>
      </c>
      <c r="AQ385">
        <f>'Revenue drivers'!BK649</f>
        <v>0</v>
      </c>
      <c r="AR385">
        <f>'Revenue drivers'!BL649</f>
        <v>0</v>
      </c>
      <c r="AS385">
        <f>'Revenue drivers'!BM649</f>
        <v>0</v>
      </c>
      <c r="AT385">
        <f>'Revenue drivers'!BN649</f>
        <v>0</v>
      </c>
      <c r="AU385">
        <f>'Revenue drivers'!BO649</f>
        <v>0</v>
      </c>
      <c r="AV385">
        <f>'Revenue drivers'!BP649</f>
        <v>0</v>
      </c>
      <c r="AW385">
        <f>'Revenue drivers'!BQ649</f>
        <v>0</v>
      </c>
      <c r="AX385">
        <f>'Revenue drivers'!BR649</f>
        <v>0</v>
      </c>
      <c r="AY385">
        <f>'Revenue drivers'!BS649</f>
        <v>0</v>
      </c>
      <c r="AZ385">
        <f>'Revenue drivers'!BT649</f>
        <v>0</v>
      </c>
    </row>
    <row r="386" spans="9:52" ht="11.25" customHeight="1">
      <c r="I386" t="str">
        <f>'Revenue drivers'!I650</f>
        <v>Number of Yelp Markets</v>
      </c>
      <c r="M386">
        <f>'Revenue drivers'!M650</f>
        <v>0</v>
      </c>
      <c r="N386">
        <f>'Revenue drivers'!N650</f>
        <v>0</v>
      </c>
      <c r="O386">
        <f>'Revenue drivers'!O650</f>
        <v>0</v>
      </c>
      <c r="P386">
        <f>'Revenue drivers'!P650</f>
        <v>0</v>
      </c>
      <c r="Q386">
        <f>'Revenue drivers'!Q650</f>
        <v>0</v>
      </c>
      <c r="R386">
        <f>'Revenue drivers'!R650</f>
        <v>0</v>
      </c>
      <c r="S386">
        <f>'Revenue drivers'!S650</f>
        <v>0</v>
      </c>
      <c r="T386">
        <f>'Revenue drivers'!T650</f>
        <v>11</v>
      </c>
      <c r="U386">
        <f>'Revenue drivers'!U650</f>
        <v>11</v>
      </c>
      <c r="V386">
        <f>'Revenue drivers'!V650</f>
        <v>13</v>
      </c>
      <c r="W386">
        <f>'Revenue drivers'!W650</f>
        <v>15</v>
      </c>
      <c r="X386">
        <f>'Revenue drivers'!X650</f>
        <v>15</v>
      </c>
      <c r="Y386">
        <f>'Revenue drivers'!Y650</f>
        <v>16</v>
      </c>
      <c r="Z386">
        <f>'Revenue drivers'!Z650</f>
        <v>18</v>
      </c>
      <c r="AA386">
        <f>'Revenue drivers'!AA650</f>
        <v>22</v>
      </c>
      <c r="AB386">
        <f>'Revenue drivers'!AB650</f>
        <v>23</v>
      </c>
      <c r="AC386">
        <f>'Revenue drivers'!AC650</f>
        <v>23</v>
      </c>
      <c r="AD386">
        <f>'Revenue drivers'!AD650</f>
        <v>23</v>
      </c>
      <c r="AE386">
        <f>'Revenue drivers'!AE650</f>
        <v>23</v>
      </c>
      <c r="AF386">
        <f>'Revenue drivers'!AF650</f>
        <v>23</v>
      </c>
      <c r="AG386">
        <f>'Revenue drivers'!AG650</f>
        <v>23</v>
      </c>
      <c r="AH386">
        <f>'Revenue drivers'!AH650</f>
        <v>23</v>
      </c>
      <c r="AI386">
        <f>'Revenue drivers'!AI650</f>
        <v>23</v>
      </c>
      <c r="AJ386">
        <f>'Revenue drivers'!AJ650</f>
        <v>23</v>
      </c>
      <c r="AL386">
        <f>'Revenue drivers'!BF650</f>
        <v>0</v>
      </c>
      <c r="AM386">
        <f>'Revenue drivers'!BG650</f>
        <v>0</v>
      </c>
      <c r="AN386">
        <f>'Revenue drivers'!BH650</f>
        <v>0</v>
      </c>
      <c r="AO386">
        <f>'Revenue drivers'!BI650</f>
        <v>0</v>
      </c>
      <c r="AP386">
        <f>'Revenue drivers'!BJ650</f>
        <v>0</v>
      </c>
      <c r="AQ386">
        <f>'Revenue drivers'!BK650</f>
        <v>0</v>
      </c>
      <c r="AR386">
        <f>'Revenue drivers'!BL650</f>
        <v>15</v>
      </c>
      <c r="AS386">
        <f>'Revenue drivers'!BM650</f>
        <v>23</v>
      </c>
      <c r="AT386">
        <f>'Revenue drivers'!BN650</f>
        <v>23</v>
      </c>
      <c r="AU386">
        <f>'Revenue drivers'!BO650</f>
        <v>23</v>
      </c>
      <c r="AV386">
        <f>'Revenue drivers'!BP650</f>
        <v>23</v>
      </c>
      <c r="AW386">
        <f>'Revenue drivers'!BQ650</f>
        <v>23</v>
      </c>
      <c r="AX386">
        <f>'Revenue drivers'!BR650</f>
        <v>23</v>
      </c>
      <c r="AY386">
        <f>'Revenue drivers'!BS650</f>
        <v>23</v>
      </c>
      <c r="AZ386">
        <f>'Revenue drivers'!BT650</f>
        <v>23</v>
      </c>
    </row>
    <row r="387" spans="9:52" ht="11.25" customHeight="1">
      <c r="I387" t="str">
        <f>'Revenue drivers'!I651</f>
        <v>% change Y/Y</v>
      </c>
      <c r="M387">
        <f>'Revenue drivers'!M651</f>
        <v>0</v>
      </c>
      <c r="N387">
        <f>'Revenue drivers'!N651</f>
        <v>0</v>
      </c>
      <c r="O387">
        <f>'Revenue drivers'!O651</f>
        <v>0</v>
      </c>
      <c r="P387">
        <f>'Revenue drivers'!P651</f>
        <v>0</v>
      </c>
      <c r="Q387">
        <f>'Revenue drivers'!Q651</f>
        <v>0</v>
      </c>
      <c r="R387">
        <f>'Revenue drivers'!R651</f>
        <v>0</v>
      </c>
      <c r="S387">
        <f>'Revenue drivers'!S651</f>
        <v>0</v>
      </c>
      <c r="T387">
        <f>'Revenue drivers'!T651</f>
        <v>0</v>
      </c>
      <c r="U387">
        <f>'Revenue drivers'!U651</f>
        <v>0</v>
      </c>
      <c r="V387">
        <f>'Revenue drivers'!V651</f>
        <v>0</v>
      </c>
      <c r="W387">
        <f>'Revenue drivers'!W651</f>
        <v>0</v>
      </c>
      <c r="X387">
        <f>'Revenue drivers'!X651</f>
        <v>0</v>
      </c>
      <c r="Y387">
        <f>'Revenue drivers'!Y651</f>
        <v>0.45454545454545459</v>
      </c>
      <c r="Z387">
        <f>'Revenue drivers'!Z651</f>
        <v>0.38461538461538458</v>
      </c>
      <c r="AA387">
        <f>'Revenue drivers'!AA651</f>
        <v>0.46666666666666656</v>
      </c>
      <c r="AB387">
        <f>'Revenue drivers'!AB651</f>
        <v>0.53333333333333344</v>
      </c>
      <c r="AC387">
        <f>'Revenue drivers'!AC651</f>
        <v>0.4375</v>
      </c>
      <c r="AD387">
        <f>'Revenue drivers'!AD651</f>
        <v>0.27777777777777768</v>
      </c>
      <c r="AE387">
        <f>'Revenue drivers'!AE651</f>
        <v>4.5454545454545414E-2</v>
      </c>
      <c r="AF387">
        <f>'Revenue drivers'!AF651</f>
        <v>0</v>
      </c>
      <c r="AG387">
        <f>'Revenue drivers'!AG651</f>
        <v>0</v>
      </c>
      <c r="AH387">
        <f>'Revenue drivers'!AH651</f>
        <v>0</v>
      </c>
      <c r="AI387">
        <f>'Revenue drivers'!AI651</f>
        <v>0</v>
      </c>
      <c r="AJ387">
        <f>'Revenue drivers'!AJ651</f>
        <v>0</v>
      </c>
      <c r="AL387">
        <f>'Revenue drivers'!BF651</f>
        <v>0</v>
      </c>
      <c r="AM387">
        <f>'Revenue drivers'!BG651</f>
        <v>0</v>
      </c>
      <c r="AN387">
        <f>'Revenue drivers'!BH651</f>
        <v>0</v>
      </c>
      <c r="AO387">
        <f>'Revenue drivers'!BI651</f>
        <v>0</v>
      </c>
      <c r="AP387">
        <f>'Revenue drivers'!BJ651</f>
        <v>0</v>
      </c>
      <c r="AQ387">
        <f>'Revenue drivers'!BK651</f>
        <v>0</v>
      </c>
      <c r="AR387">
        <f>'Revenue drivers'!BL651</f>
        <v>0</v>
      </c>
      <c r="AS387">
        <f>'Revenue drivers'!BM651</f>
        <v>0</v>
      </c>
      <c r="AT387">
        <f>'Revenue drivers'!BN651</f>
        <v>0</v>
      </c>
      <c r="AU387">
        <f>'Revenue drivers'!BO651</f>
        <v>0</v>
      </c>
      <c r="AV387">
        <f>'Revenue drivers'!BP651</f>
        <v>0</v>
      </c>
      <c r="AW387">
        <f>'Revenue drivers'!BQ651</f>
        <v>0</v>
      </c>
      <c r="AX387">
        <f>'Revenue drivers'!BR651</f>
        <v>0</v>
      </c>
      <c r="AY387">
        <f>'Revenue drivers'!BS651</f>
        <v>0</v>
      </c>
      <c r="AZ387">
        <f>'Revenue drivers'!BT651</f>
        <v>0</v>
      </c>
    </row>
    <row r="388" spans="9:52" ht="11.25" customHeight="1">
      <c r="I388">
        <f>'Revenue drivers'!I652</f>
        <v>0</v>
      </c>
      <c r="M388">
        <f>'Revenue drivers'!M652</f>
        <v>0</v>
      </c>
      <c r="N388">
        <f>'Revenue drivers'!N652</f>
        <v>0</v>
      </c>
      <c r="O388">
        <f>'Revenue drivers'!O652</f>
        <v>0</v>
      </c>
      <c r="P388">
        <f>'Revenue drivers'!P652</f>
        <v>0</v>
      </c>
      <c r="Q388">
        <f>'Revenue drivers'!Q652</f>
        <v>0</v>
      </c>
      <c r="R388">
        <f>'Revenue drivers'!R652</f>
        <v>0</v>
      </c>
      <c r="S388">
        <f>'Revenue drivers'!S652</f>
        <v>0</v>
      </c>
      <c r="T388">
        <f>'Revenue drivers'!T652</f>
        <v>0</v>
      </c>
      <c r="U388">
        <f>'Revenue drivers'!U652</f>
        <v>0</v>
      </c>
      <c r="V388">
        <f>'Revenue drivers'!V652</f>
        <v>0</v>
      </c>
      <c r="W388">
        <f>'Revenue drivers'!W652</f>
        <v>0</v>
      </c>
      <c r="X388">
        <f>'Revenue drivers'!X652</f>
        <v>0</v>
      </c>
      <c r="Y388">
        <f>'Revenue drivers'!Y652</f>
        <v>0</v>
      </c>
      <c r="Z388">
        <f>'Revenue drivers'!Z652</f>
        <v>0</v>
      </c>
      <c r="AA388">
        <f>'Revenue drivers'!AA652</f>
        <v>0</v>
      </c>
      <c r="AB388">
        <f>'Revenue drivers'!AB652</f>
        <v>0</v>
      </c>
      <c r="AC388">
        <f>'Revenue drivers'!AC652</f>
        <v>0</v>
      </c>
      <c r="AD388">
        <f>'Revenue drivers'!AD652</f>
        <v>0</v>
      </c>
      <c r="AE388">
        <f>'Revenue drivers'!AE652</f>
        <v>0</v>
      </c>
      <c r="AF388">
        <f>'Revenue drivers'!AF652</f>
        <v>0</v>
      </c>
      <c r="AG388">
        <f>'Revenue drivers'!AG652</f>
        <v>0</v>
      </c>
      <c r="AH388">
        <f>'Revenue drivers'!AH652</f>
        <v>0</v>
      </c>
      <c r="AI388">
        <f>'Revenue drivers'!AI652</f>
        <v>0</v>
      </c>
      <c r="AJ388">
        <f>'Revenue drivers'!AJ652</f>
        <v>0</v>
      </c>
      <c r="AL388">
        <f>'Revenue drivers'!BF652</f>
        <v>0</v>
      </c>
      <c r="AM388">
        <f>'Revenue drivers'!BG652</f>
        <v>0</v>
      </c>
      <c r="AN388">
        <f>'Revenue drivers'!BH652</f>
        <v>0</v>
      </c>
      <c r="AO388">
        <f>'Revenue drivers'!BI652</f>
        <v>0</v>
      </c>
      <c r="AP388">
        <f>'Revenue drivers'!BJ652</f>
        <v>0</v>
      </c>
      <c r="AQ388">
        <f>'Revenue drivers'!BK652</f>
        <v>0</v>
      </c>
      <c r="AR388">
        <f>'Revenue drivers'!BL652</f>
        <v>0</v>
      </c>
      <c r="AS388">
        <f>'Revenue drivers'!BM652</f>
        <v>0</v>
      </c>
      <c r="AT388">
        <f>'Revenue drivers'!BN652</f>
        <v>0</v>
      </c>
      <c r="AU388">
        <f>'Revenue drivers'!BO652</f>
        <v>0</v>
      </c>
      <c r="AV388">
        <f>'Revenue drivers'!BP652</f>
        <v>0</v>
      </c>
      <c r="AW388">
        <f>'Revenue drivers'!BQ652</f>
        <v>0</v>
      </c>
      <c r="AX388">
        <f>'Revenue drivers'!BR652</f>
        <v>0</v>
      </c>
      <c r="AY388">
        <f>'Revenue drivers'!BS652</f>
        <v>0</v>
      </c>
      <c r="AZ388">
        <f>'Revenue drivers'!BT652</f>
        <v>0</v>
      </c>
    </row>
    <row r="389" spans="9:52" ht="11.25" customHeight="1">
      <c r="I389" t="str">
        <f>'Revenue drivers'!I653</f>
        <v>Average Local Advertising Revenue per Market</v>
      </c>
      <c r="M389">
        <f>'Revenue drivers'!M653</f>
        <v>0</v>
      </c>
      <c r="N389">
        <f>'Revenue drivers'!N653</f>
        <v>0</v>
      </c>
      <c r="O389">
        <f>'Revenue drivers'!O653</f>
        <v>0</v>
      </c>
      <c r="P389">
        <f>'Revenue drivers'!P653</f>
        <v>0</v>
      </c>
      <c r="Q389">
        <f>'Revenue drivers'!Q653</f>
        <v>0</v>
      </c>
      <c r="R389">
        <f>'Revenue drivers'!R653</f>
        <v>0</v>
      </c>
      <c r="S389">
        <f>'Revenue drivers'!S653</f>
        <v>0</v>
      </c>
      <c r="T389">
        <f>'Revenue drivers'!T653</f>
        <v>0</v>
      </c>
      <c r="U389">
        <f>'Revenue drivers'!U653</f>
        <v>0.23321177999733614</v>
      </c>
      <c r="V389">
        <f>'Revenue drivers'!V653</f>
        <v>0.52758333333333329</v>
      </c>
      <c r="W389">
        <f>'Revenue drivers'!W653</f>
        <v>0.30021428571428593</v>
      </c>
      <c r="X389">
        <f>'Revenue drivers'!X653</f>
        <v>0.4523782683008965</v>
      </c>
      <c r="Y389">
        <f>'Revenue drivers'!Y653</f>
        <v>0.36651551498579793</v>
      </c>
      <c r="Z389">
        <f>'Revenue drivers'!Z653</f>
        <v>0.49605020453890397</v>
      </c>
      <c r="AA389">
        <f>'Revenue drivers'!AA653</f>
        <v>0.39160147997128258</v>
      </c>
      <c r="AB389">
        <f>'Revenue drivers'!AB653</f>
        <v>0.41999613333333335</v>
      </c>
      <c r="AC389">
        <f>'Revenue drivers'!AC653</f>
        <v>0.47132908695652215</v>
      </c>
      <c r="AD389">
        <f>'Revenue drivers'!AD653</f>
        <v>0.56362565217391314</v>
      </c>
      <c r="AE389">
        <f>'Revenue drivers'!AE653</f>
        <v>0.65358043478260908</v>
      </c>
      <c r="AF389">
        <f>'Revenue drivers'!AF653</f>
        <v>0.73814739130434781</v>
      </c>
      <c r="AG389">
        <f>'Revenue drivers'!AG653</f>
        <v>0.78730434782608671</v>
      </c>
      <c r="AH389">
        <f>'Revenue drivers'!AH653</f>
        <v>0.90582608695652189</v>
      </c>
      <c r="AI389">
        <f>'Revenue drivers'!AI653</f>
        <v>1.0111304347826084</v>
      </c>
      <c r="AJ389">
        <f>'Revenue drivers'!AJ653</f>
        <v>1.1378695652173909</v>
      </c>
      <c r="AL389">
        <f>'Revenue drivers'!BF653</f>
        <v>0</v>
      </c>
      <c r="AM389">
        <f>'Revenue drivers'!BG653</f>
        <v>0</v>
      </c>
      <c r="AN389">
        <f>'Revenue drivers'!BH653</f>
        <v>0</v>
      </c>
      <c r="AO389">
        <f>'Revenue drivers'!BI653</f>
        <v>0</v>
      </c>
      <c r="AP389">
        <f>'Revenue drivers'!BJ653</f>
        <v>0</v>
      </c>
      <c r="AQ389">
        <f>'Revenue drivers'!BK653</f>
        <v>0</v>
      </c>
      <c r="AR389">
        <f>'Revenue drivers'!BL653</f>
        <v>0</v>
      </c>
      <c r="AS389">
        <f>'Revenue drivers'!BM653</f>
        <v>1.6524098188877303</v>
      </c>
      <c r="AT389">
        <f>'Revenue drivers'!BN653</f>
        <v>2.4266825652173902</v>
      </c>
      <c r="AU389">
        <f>'Revenue drivers'!BO653</f>
        <v>3.8421304347826113</v>
      </c>
      <c r="AV389">
        <f>'Revenue drivers'!BP653</f>
        <v>5.9878547826086983</v>
      </c>
      <c r="AW389">
        <f>'Revenue drivers'!BQ653</f>
        <v>6.2091214869565245</v>
      </c>
      <c r="AX389">
        <f>'Revenue drivers'!BR653</f>
        <v>4.516644763739138</v>
      </c>
      <c r="AY389">
        <f>'Revenue drivers'!BS653</f>
        <v>1.861250513814807</v>
      </c>
      <c r="AZ389">
        <f>'Revenue drivers'!BT653</f>
        <v>-1.4808155234146279</v>
      </c>
    </row>
    <row r="390" spans="9:52" ht="11.25" customHeight="1">
      <c r="I390" t="str">
        <f>'Revenue drivers'!I654</f>
        <v>% change Y/Y</v>
      </c>
      <c r="M390">
        <f>'Revenue drivers'!M654</f>
        <v>0</v>
      </c>
      <c r="N390">
        <f>'Revenue drivers'!N654</f>
        <v>0</v>
      </c>
      <c r="O390">
        <f>'Revenue drivers'!O654</f>
        <v>0</v>
      </c>
      <c r="P390">
        <f>'Revenue drivers'!P654</f>
        <v>0</v>
      </c>
      <c r="Q390">
        <f>'Revenue drivers'!Q654</f>
        <v>0</v>
      </c>
      <c r="R390">
        <f>'Revenue drivers'!R654</f>
        <v>0</v>
      </c>
      <c r="S390">
        <f>'Revenue drivers'!S654</f>
        <v>0</v>
      </c>
      <c r="T390">
        <f>'Revenue drivers'!T654</f>
        <v>0</v>
      </c>
      <c r="U390">
        <f>'Revenue drivers'!U654</f>
        <v>0</v>
      </c>
      <c r="V390">
        <f>'Revenue drivers'!V654</f>
        <v>0</v>
      </c>
      <c r="W390">
        <f>'Revenue drivers'!W654</f>
        <v>0</v>
      </c>
      <c r="X390">
        <f>'Revenue drivers'!X654</f>
        <v>0</v>
      </c>
      <c r="Y390">
        <f>'Revenue drivers'!Y654</f>
        <v>0.57159949205818195</v>
      </c>
      <c r="Z390">
        <f>'Revenue drivers'!Z654</f>
        <v>-5.9769001031930502E-2</v>
      </c>
      <c r="AA390">
        <f>'Revenue drivers'!AA654</f>
        <v>0.3044065476083635</v>
      </c>
      <c r="AB390">
        <f>'Revenue drivers'!AB654</f>
        <v>-7.1581986219604099E-2</v>
      </c>
      <c r="AC390">
        <f>'Revenue drivers'!AC654</f>
        <v>0.28597308349903172</v>
      </c>
      <c r="AD390">
        <f>'Revenue drivers'!AD654</f>
        <v>0.13622703310408446</v>
      </c>
      <c r="AE390">
        <f>'Revenue drivers'!AE654</f>
        <v>0.66899378120465292</v>
      </c>
      <c r="AF390">
        <f>'Revenue drivers'!AF654</f>
        <v>0.75750996907038459</v>
      </c>
      <c r="AG390">
        <f>'Revenue drivers'!AG654</f>
        <v>0.6703920246252737</v>
      </c>
      <c r="AH390">
        <f>'Revenue drivers'!AH654</f>
        <v>0.60714134188665159</v>
      </c>
      <c r="AI390">
        <f>'Revenue drivers'!AI654</f>
        <v>0.54706349971893831</v>
      </c>
      <c r="AJ390">
        <f>'Revenue drivers'!AJ654</f>
        <v>0.54152081091380899</v>
      </c>
      <c r="AL390">
        <f>'Revenue drivers'!BF654</f>
        <v>0</v>
      </c>
      <c r="AM390">
        <f>'Revenue drivers'!BG654</f>
        <v>0</v>
      </c>
      <c r="AN390">
        <f>'Revenue drivers'!BH654</f>
        <v>0</v>
      </c>
      <c r="AO390">
        <f>'Revenue drivers'!BI654</f>
        <v>0</v>
      </c>
      <c r="AP390">
        <f>'Revenue drivers'!BJ654</f>
        <v>0</v>
      </c>
      <c r="AQ390">
        <f>'Revenue drivers'!BK654</f>
        <v>0</v>
      </c>
      <c r="AR390">
        <f>'Revenue drivers'!BL654</f>
        <v>0</v>
      </c>
      <c r="AS390">
        <f>'Revenue drivers'!BM654</f>
        <v>0</v>
      </c>
      <c r="AT390">
        <f>'Revenue drivers'!BN654</f>
        <v>0.46857186242746862</v>
      </c>
      <c r="AU390">
        <f>'Revenue drivers'!BO654</f>
        <v>0.58328513578718555</v>
      </c>
      <c r="AV390">
        <f>'Revenue drivers'!BP654</f>
        <v>0.55847254127578649</v>
      </c>
      <c r="AW390">
        <f>'Revenue drivers'!BQ654</f>
        <v>3.6952583584772158E-2</v>
      </c>
      <c r="AX390">
        <f>'Revenue drivers'!BR654</f>
        <v>-0.27257909621719678</v>
      </c>
      <c r="AY390">
        <f>'Revenue drivers'!BS654</f>
        <v>-0.58791301703480503</v>
      </c>
      <c r="AZ390">
        <f>'Revenue drivers'!BT654</f>
        <v>-1.7956024793135223</v>
      </c>
    </row>
    <row r="391" spans="9:52" ht="11.25" customHeight="1">
      <c r="I391" t="str">
        <f>'Revenue drivers'!I655</f>
        <v>% change Two-Year</v>
      </c>
      <c r="M391">
        <f>'Revenue drivers'!M655</f>
        <v>0</v>
      </c>
      <c r="N391">
        <f>'Revenue drivers'!N655</f>
        <v>0</v>
      </c>
      <c r="O391">
        <f>'Revenue drivers'!O655</f>
        <v>0</v>
      </c>
      <c r="P391">
        <f>'Revenue drivers'!P655</f>
        <v>0</v>
      </c>
      <c r="Q391">
        <f>'Revenue drivers'!Q655</f>
        <v>0</v>
      </c>
      <c r="R391">
        <f>'Revenue drivers'!R655</f>
        <v>0</v>
      </c>
      <c r="S391">
        <f>'Revenue drivers'!S655</f>
        <v>0</v>
      </c>
      <c r="T391">
        <f>'Revenue drivers'!T655</f>
        <v>0</v>
      </c>
      <c r="U391">
        <f>'Revenue drivers'!U655</f>
        <v>0</v>
      </c>
      <c r="V391">
        <f>'Revenue drivers'!V655</f>
        <v>0</v>
      </c>
      <c r="W391">
        <f>'Revenue drivers'!W655</f>
        <v>0</v>
      </c>
      <c r="X391">
        <f>'Revenue drivers'!X655</f>
        <v>0</v>
      </c>
      <c r="Y391">
        <f>'Revenue drivers'!Y655</f>
        <v>0</v>
      </c>
      <c r="Z391">
        <f>'Revenue drivers'!Z655</f>
        <v>0</v>
      </c>
      <c r="AA391">
        <f>'Revenue drivers'!AA655</f>
        <v>0</v>
      </c>
      <c r="AB391">
        <f>'Revenue drivers'!AB655</f>
        <v>0</v>
      </c>
      <c r="AC391">
        <f>'Revenue drivers'!AC655</f>
        <v>0.85757257555721367</v>
      </c>
      <c r="AD391">
        <f>'Revenue drivers'!AD655</f>
        <v>7.6458032072153959E-2</v>
      </c>
      <c r="AE391">
        <f>'Revenue drivers'!AE655</f>
        <v>0.97340032881301641</v>
      </c>
      <c r="AF391">
        <f>'Revenue drivers'!AF655</f>
        <v>0.68592798285078049</v>
      </c>
      <c r="AG391">
        <f>'Revenue drivers'!AG655</f>
        <v>0.95636510812430542</v>
      </c>
      <c r="AH391">
        <f>'Revenue drivers'!AH655</f>
        <v>0.74336837499073605</v>
      </c>
      <c r="AI391">
        <f>'Revenue drivers'!AI655</f>
        <v>1.2160572809235912</v>
      </c>
      <c r="AJ391">
        <f>'Revenue drivers'!AJ655</f>
        <v>1.2990307799841936</v>
      </c>
      <c r="AL391">
        <f>'Revenue drivers'!BF655</f>
        <v>0</v>
      </c>
      <c r="AM391">
        <f>'Revenue drivers'!BG655</f>
        <v>0</v>
      </c>
      <c r="AN391">
        <f>'Revenue drivers'!BH655</f>
        <v>0</v>
      </c>
      <c r="AO391">
        <f>'Revenue drivers'!BI655</f>
        <v>0</v>
      </c>
      <c r="AP391">
        <f>'Revenue drivers'!BJ655</f>
        <v>0</v>
      </c>
      <c r="AQ391">
        <f>'Revenue drivers'!BK655</f>
        <v>0</v>
      </c>
      <c r="AR391">
        <f>'Revenue drivers'!BL655</f>
        <v>0</v>
      </c>
      <c r="AS391">
        <f>'Revenue drivers'!BM655</f>
        <v>0</v>
      </c>
      <c r="AT391">
        <f>'Revenue drivers'!BN655</f>
        <v>0</v>
      </c>
      <c r="AU391">
        <f>'Revenue drivers'!BO655</f>
        <v>0</v>
      </c>
      <c r="AV391">
        <f>'Revenue drivers'!BP655</f>
        <v>1.141757677062972</v>
      </c>
      <c r="AW391">
        <f>'Revenue drivers'!BQ655</f>
        <v>0.59542512486055865</v>
      </c>
      <c r="AX391">
        <f>'Revenue drivers'!BR655</f>
        <v>-0.23562651263242462</v>
      </c>
      <c r="AY391">
        <f>'Revenue drivers'!BS655</f>
        <v>-0.86049211325200181</v>
      </c>
      <c r="AZ391">
        <f>'Revenue drivers'!BT655</f>
        <v>-2.3835154963483274</v>
      </c>
    </row>
    <row r="392" spans="9:52" ht="11.25" customHeight="1">
      <c r="I392">
        <f>'Revenue drivers'!I666</f>
        <v>0</v>
      </c>
      <c r="M392">
        <f>'Revenue drivers'!M666</f>
        <v>0</v>
      </c>
      <c r="N392">
        <f>'Revenue drivers'!N666</f>
        <v>0</v>
      </c>
      <c r="O392">
        <f>'Revenue drivers'!O666</f>
        <v>0</v>
      </c>
      <c r="P392">
        <f>'Revenue drivers'!P666</f>
        <v>0</v>
      </c>
      <c r="Q392">
        <f>'Revenue drivers'!Q666</f>
        <v>0</v>
      </c>
      <c r="R392">
        <f>'Revenue drivers'!R666</f>
        <v>0</v>
      </c>
      <c r="S392">
        <f>'Revenue drivers'!S666</f>
        <v>0</v>
      </c>
      <c r="T392">
        <f>'Revenue drivers'!T666</f>
        <v>0</v>
      </c>
      <c r="U392">
        <f>'Revenue drivers'!U666</f>
        <v>0</v>
      </c>
      <c r="V392">
        <f>'Revenue drivers'!V666</f>
        <v>0</v>
      </c>
      <c r="W392">
        <f>'Revenue drivers'!W666</f>
        <v>0</v>
      </c>
      <c r="X392">
        <f>'Revenue drivers'!X666</f>
        <v>0</v>
      </c>
      <c r="Y392">
        <f>'Revenue drivers'!Y666</f>
        <v>0</v>
      </c>
      <c r="Z392">
        <f>'Revenue drivers'!Z666</f>
        <v>0</v>
      </c>
      <c r="AA392">
        <f>'Revenue drivers'!AA666</f>
        <v>0</v>
      </c>
      <c r="AB392">
        <f>'Revenue drivers'!AB666</f>
        <v>0</v>
      </c>
      <c r="AC392">
        <f>'Revenue drivers'!AC666</f>
        <v>0</v>
      </c>
      <c r="AD392">
        <f>'Revenue drivers'!AD666</f>
        <v>0</v>
      </c>
      <c r="AE392">
        <f>'Revenue drivers'!AE666</f>
        <v>0</v>
      </c>
      <c r="AF392">
        <f>'Revenue drivers'!AF666</f>
        <v>0</v>
      </c>
      <c r="AG392">
        <f>'Revenue drivers'!AG666</f>
        <v>0</v>
      </c>
      <c r="AH392">
        <f>'Revenue drivers'!AH666</f>
        <v>0</v>
      </c>
      <c r="AI392">
        <f>'Revenue drivers'!AI666</f>
        <v>0</v>
      </c>
      <c r="AJ392">
        <f>'Revenue drivers'!AJ666</f>
        <v>0</v>
      </c>
      <c r="AL392">
        <f>'Revenue drivers'!BF666</f>
        <v>0</v>
      </c>
      <c r="AM392">
        <f>'Revenue drivers'!BG666</f>
        <v>0</v>
      </c>
      <c r="AN392">
        <f>'Revenue drivers'!BH666</f>
        <v>0</v>
      </c>
      <c r="AO392">
        <f>'Revenue drivers'!BI666</f>
        <v>0</v>
      </c>
      <c r="AP392">
        <f>'Revenue drivers'!BJ666</f>
        <v>0</v>
      </c>
      <c r="AQ392">
        <f>'Revenue drivers'!BK666</f>
        <v>0</v>
      </c>
      <c r="AR392">
        <f>'Revenue drivers'!BL666</f>
        <v>0</v>
      </c>
      <c r="AS392">
        <f>'Revenue drivers'!BM666</f>
        <v>0</v>
      </c>
      <c r="AT392">
        <f>'Revenue drivers'!BN666</f>
        <v>0</v>
      </c>
      <c r="AU392">
        <f>'Revenue drivers'!BO666</f>
        <v>0</v>
      </c>
      <c r="AV392">
        <f>'Revenue drivers'!BP666</f>
        <v>0</v>
      </c>
      <c r="AW392">
        <f>'Revenue drivers'!BQ666</f>
        <v>0</v>
      </c>
      <c r="AX392">
        <f>'Revenue drivers'!BR666</f>
        <v>0</v>
      </c>
      <c r="AY392">
        <f>'Revenue drivers'!BS666</f>
        <v>0</v>
      </c>
      <c r="AZ392">
        <f>'Revenue drivers'!BT666</f>
        <v>0</v>
      </c>
    </row>
    <row r="393" spans="9:52" ht="11.25" customHeight="1">
      <c r="I393">
        <f>'Revenue drivers'!I667</f>
        <v>0</v>
      </c>
      <c r="M393">
        <f>'Revenue drivers'!M667</f>
        <v>0</v>
      </c>
      <c r="N393">
        <f>'Revenue drivers'!N667</f>
        <v>0</v>
      </c>
      <c r="O393">
        <f>'Revenue drivers'!O667</f>
        <v>0</v>
      </c>
      <c r="P393">
        <f>'Revenue drivers'!P667</f>
        <v>0</v>
      </c>
      <c r="Q393">
        <f>'Revenue drivers'!Q667</f>
        <v>0</v>
      </c>
      <c r="R393">
        <f>'Revenue drivers'!R667</f>
        <v>0</v>
      </c>
      <c r="S393">
        <f>'Revenue drivers'!S667</f>
        <v>0</v>
      </c>
      <c r="T393">
        <f>'Revenue drivers'!T667</f>
        <v>0</v>
      </c>
      <c r="U393">
        <f>'Revenue drivers'!U667</f>
        <v>0</v>
      </c>
      <c r="V393">
        <f>'Revenue drivers'!V667</f>
        <v>0</v>
      </c>
      <c r="W393">
        <f>'Revenue drivers'!W667</f>
        <v>0</v>
      </c>
      <c r="X393">
        <f>'Revenue drivers'!X667</f>
        <v>0</v>
      </c>
      <c r="Y393">
        <f>'Revenue drivers'!Y667</f>
        <v>0</v>
      </c>
      <c r="Z393">
        <f>'Revenue drivers'!Z667</f>
        <v>0</v>
      </c>
      <c r="AA393">
        <f>'Revenue drivers'!AA667</f>
        <v>0</v>
      </c>
      <c r="AB393">
        <f>'Revenue drivers'!AB667</f>
        <v>0</v>
      </c>
      <c r="AC393">
        <f>'Revenue drivers'!AC667</f>
        <v>0</v>
      </c>
      <c r="AD393">
        <f>'Revenue drivers'!AD667</f>
        <v>0</v>
      </c>
      <c r="AE393">
        <f>'Revenue drivers'!AE667</f>
        <v>0</v>
      </c>
      <c r="AF393">
        <f>'Revenue drivers'!AF667</f>
        <v>0</v>
      </c>
      <c r="AG393">
        <f>'Revenue drivers'!AG667</f>
        <v>0</v>
      </c>
      <c r="AH393">
        <f>'Revenue drivers'!AH667</f>
        <v>0</v>
      </c>
      <c r="AI393">
        <f>'Revenue drivers'!AI667</f>
        <v>0</v>
      </c>
      <c r="AJ393">
        <f>'Revenue drivers'!AJ667</f>
        <v>0</v>
      </c>
      <c r="AL393">
        <f>'Revenue drivers'!BF667</f>
        <v>0</v>
      </c>
      <c r="AM393">
        <f>'Revenue drivers'!BG667</f>
        <v>0</v>
      </c>
      <c r="AN393">
        <f>'Revenue drivers'!BH667</f>
        <v>0</v>
      </c>
      <c r="AO393">
        <f>'Revenue drivers'!BI667</f>
        <v>0</v>
      </c>
      <c r="AP393">
        <f>'Revenue drivers'!BJ667</f>
        <v>0</v>
      </c>
      <c r="AQ393">
        <f>'Revenue drivers'!BK667</f>
        <v>0</v>
      </c>
      <c r="AR393">
        <f>'Revenue drivers'!BL667</f>
        <v>0</v>
      </c>
      <c r="AS393">
        <f>'Revenue drivers'!BM667</f>
        <v>0</v>
      </c>
      <c r="AT393">
        <f>'Revenue drivers'!BN667</f>
        <v>0</v>
      </c>
      <c r="AU393">
        <f>'Revenue drivers'!BO667</f>
        <v>0</v>
      </c>
      <c r="AV393">
        <f>'Revenue drivers'!BP667</f>
        <v>0</v>
      </c>
      <c r="AW393">
        <f>'Revenue drivers'!BQ667</f>
        <v>0</v>
      </c>
      <c r="AX393">
        <f>'Revenue drivers'!BR667</f>
        <v>0</v>
      </c>
      <c r="AY393">
        <f>'Revenue drivers'!BS667</f>
        <v>0</v>
      </c>
      <c r="AZ393">
        <f>'Revenue drivers'!BT667</f>
        <v>0</v>
      </c>
    </row>
    <row r="394" spans="9:52" ht="11.25" customHeight="1">
      <c r="I394" t="str">
        <f>'Revenue drivers'!I444</f>
        <v>Active Yelp markets (# of markets)</v>
      </c>
      <c r="M394">
        <f>'Revenue drivers'!M444</f>
        <v>0</v>
      </c>
      <c r="N394">
        <f>'Revenue drivers'!N444</f>
        <v>0</v>
      </c>
      <c r="O394">
        <f>'Revenue drivers'!O444</f>
        <v>0</v>
      </c>
      <c r="P394">
        <f>'Revenue drivers'!P444</f>
        <v>0</v>
      </c>
      <c r="Q394">
        <f>'Revenue drivers'!Q444</f>
        <v>0</v>
      </c>
      <c r="R394">
        <f>'Revenue drivers'!R444</f>
        <v>0</v>
      </c>
      <c r="S394">
        <f>'Revenue drivers'!S444</f>
        <v>0</v>
      </c>
      <c r="T394">
        <f>'Revenue drivers'!T444</f>
        <v>0</v>
      </c>
      <c r="U394">
        <f>'Revenue drivers'!U444</f>
        <v>0</v>
      </c>
      <c r="V394">
        <f>'Revenue drivers'!V444</f>
        <v>0</v>
      </c>
      <c r="W394">
        <f>'Revenue drivers'!W444</f>
        <v>0</v>
      </c>
      <c r="X394">
        <f>'Revenue drivers'!X444</f>
        <v>0</v>
      </c>
      <c r="Y394">
        <f>'Revenue drivers'!Y444</f>
        <v>0</v>
      </c>
      <c r="Z394">
        <f>'Revenue drivers'!Z444</f>
        <v>0</v>
      </c>
      <c r="AA394">
        <f>'Revenue drivers'!AA444</f>
        <v>0</v>
      </c>
      <c r="AB394">
        <f>'Revenue drivers'!AB444</f>
        <v>0</v>
      </c>
      <c r="AC394">
        <f>'Revenue drivers'!AC444</f>
        <v>0</v>
      </c>
      <c r="AD394">
        <f>'Revenue drivers'!AD444</f>
        <v>0</v>
      </c>
      <c r="AE394">
        <f>'Revenue drivers'!AE444</f>
        <v>0</v>
      </c>
      <c r="AF394">
        <f>'Revenue drivers'!AF444</f>
        <v>0</v>
      </c>
      <c r="AG394">
        <f>'Revenue drivers'!AG444</f>
        <v>0</v>
      </c>
      <c r="AH394">
        <f>'Revenue drivers'!AH444</f>
        <v>0</v>
      </c>
      <c r="AI394">
        <f>'Revenue drivers'!AI444</f>
        <v>0</v>
      </c>
      <c r="AJ394">
        <f>'Revenue drivers'!AJ444</f>
        <v>0</v>
      </c>
      <c r="AL394">
        <f>'Revenue drivers'!BF444</f>
        <v>0</v>
      </c>
      <c r="AM394">
        <f>'Revenue drivers'!BG444</f>
        <v>0</v>
      </c>
      <c r="AN394">
        <f>'Revenue drivers'!BH444</f>
        <v>0</v>
      </c>
      <c r="AO394">
        <f>'Revenue drivers'!BI444</f>
        <v>0</v>
      </c>
      <c r="AP394">
        <f>'Revenue drivers'!BJ444</f>
        <v>0</v>
      </c>
      <c r="AQ394">
        <f>'Revenue drivers'!BK444</f>
        <v>0</v>
      </c>
      <c r="AR394">
        <f>'Revenue drivers'!BL444</f>
        <v>0</v>
      </c>
      <c r="AS394">
        <f>'Revenue drivers'!BM444</f>
        <v>0</v>
      </c>
      <c r="AT394">
        <f>'Revenue drivers'!BN444</f>
        <v>0</v>
      </c>
      <c r="AU394">
        <f>'Revenue drivers'!BO444</f>
        <v>0</v>
      </c>
      <c r="AV394">
        <f>'Revenue drivers'!BP444</f>
        <v>0</v>
      </c>
      <c r="AW394">
        <f>'Revenue drivers'!BQ444</f>
        <v>0</v>
      </c>
      <c r="AX394">
        <f>'Revenue drivers'!BR444</f>
        <v>0</v>
      </c>
      <c r="AY394">
        <f>'Revenue drivers'!BS444</f>
        <v>0</v>
      </c>
      <c r="AZ394">
        <f>'Revenue drivers'!BT444</f>
        <v>0</v>
      </c>
    </row>
    <row r="395" spans="9:52" ht="11.25" customHeight="1">
      <c r="I395">
        <f>'Revenue drivers'!I445</f>
        <v>0</v>
      </c>
      <c r="M395">
        <f>'Revenue drivers'!M445</f>
        <v>0</v>
      </c>
      <c r="N395">
        <f>'Revenue drivers'!N445</f>
        <v>0</v>
      </c>
      <c r="O395">
        <f>'Revenue drivers'!O445</f>
        <v>0</v>
      </c>
      <c r="P395">
        <f>'Revenue drivers'!P445</f>
        <v>0</v>
      </c>
      <c r="Q395">
        <f>'Revenue drivers'!Q445</f>
        <v>0</v>
      </c>
      <c r="R395">
        <f>'Revenue drivers'!R445</f>
        <v>0</v>
      </c>
      <c r="S395">
        <f>'Revenue drivers'!S445</f>
        <v>0</v>
      </c>
      <c r="T395">
        <f>'Revenue drivers'!T445</f>
        <v>0</v>
      </c>
      <c r="U395">
        <f>'Revenue drivers'!U445</f>
        <v>0</v>
      </c>
      <c r="V395">
        <f>'Revenue drivers'!V445</f>
        <v>0</v>
      </c>
      <c r="W395">
        <f>'Revenue drivers'!W445</f>
        <v>0</v>
      </c>
      <c r="X395">
        <f>'Revenue drivers'!X445</f>
        <v>0</v>
      </c>
      <c r="Y395">
        <f>'Revenue drivers'!Y445</f>
        <v>0</v>
      </c>
      <c r="Z395">
        <f>'Revenue drivers'!Z445</f>
        <v>0</v>
      </c>
      <c r="AA395">
        <f>'Revenue drivers'!AA445</f>
        <v>0</v>
      </c>
      <c r="AB395">
        <f>'Revenue drivers'!AB445</f>
        <v>0</v>
      </c>
      <c r="AC395">
        <f>'Revenue drivers'!AC445</f>
        <v>0</v>
      </c>
      <c r="AD395">
        <f>'Revenue drivers'!AD445</f>
        <v>0</v>
      </c>
      <c r="AE395">
        <f>'Revenue drivers'!AE445</f>
        <v>0</v>
      </c>
      <c r="AF395">
        <f>'Revenue drivers'!AF445</f>
        <v>0</v>
      </c>
      <c r="AG395">
        <f>'Revenue drivers'!AG445</f>
        <v>0</v>
      </c>
      <c r="AH395">
        <f>'Revenue drivers'!AH445</f>
        <v>0</v>
      </c>
      <c r="AI395">
        <f>'Revenue drivers'!AI445</f>
        <v>0</v>
      </c>
      <c r="AJ395">
        <f>'Revenue drivers'!AJ445</f>
        <v>0</v>
      </c>
      <c r="AL395">
        <f>'Revenue drivers'!BF445</f>
        <v>0</v>
      </c>
      <c r="AM395">
        <f>'Revenue drivers'!BG445</f>
        <v>0</v>
      </c>
      <c r="AN395">
        <f>'Revenue drivers'!BH445</f>
        <v>0</v>
      </c>
      <c r="AO395">
        <f>'Revenue drivers'!BI445</f>
        <v>0</v>
      </c>
      <c r="AP395">
        <f>'Revenue drivers'!BJ445</f>
        <v>0</v>
      </c>
      <c r="AQ395">
        <f>'Revenue drivers'!BK445</f>
        <v>0</v>
      </c>
      <c r="AR395">
        <f>'Revenue drivers'!BL445</f>
        <v>0</v>
      </c>
      <c r="AS395">
        <f>'Revenue drivers'!BM445</f>
        <v>0</v>
      </c>
      <c r="AT395">
        <f>'Revenue drivers'!BN445</f>
        <v>0</v>
      </c>
      <c r="AU395">
        <f>'Revenue drivers'!BO445</f>
        <v>0</v>
      </c>
      <c r="AV395">
        <f>'Revenue drivers'!BP445</f>
        <v>0</v>
      </c>
      <c r="AW395">
        <f>'Revenue drivers'!BQ445</f>
        <v>0</v>
      </c>
      <c r="AX395">
        <f>'Revenue drivers'!BR445</f>
        <v>0</v>
      </c>
      <c r="AY395">
        <f>'Revenue drivers'!BS445</f>
        <v>0</v>
      </c>
      <c r="AZ395">
        <f>'Revenue drivers'!BT445</f>
        <v>0</v>
      </c>
    </row>
    <row r="396" spans="9:52" ht="11.25" customHeight="1">
      <c r="I396" t="str">
        <f>'Revenue drivers'!I446</f>
        <v>Active WW Yelp markets</v>
      </c>
      <c r="M396">
        <f>'Revenue drivers'!M446</f>
        <v>0</v>
      </c>
      <c r="N396">
        <f>'Revenue drivers'!N446</f>
        <v>0</v>
      </c>
      <c r="O396">
        <f>'Revenue drivers'!O446</f>
        <v>0</v>
      </c>
      <c r="P396">
        <f>'Revenue drivers'!P446</f>
        <v>49</v>
      </c>
      <c r="Q396">
        <f>'Revenue drivers'!Q446</f>
        <v>0</v>
      </c>
      <c r="R396">
        <f>'Revenue drivers'!R446</f>
        <v>0</v>
      </c>
      <c r="S396">
        <f>'Revenue drivers'!S446</f>
        <v>0</v>
      </c>
      <c r="T396">
        <f>'Revenue drivers'!T446</f>
        <v>71</v>
      </c>
      <c r="U396">
        <f>'Revenue drivers'!U446</f>
        <v>82</v>
      </c>
      <c r="V396">
        <f>'Revenue drivers'!V446</f>
        <v>90</v>
      </c>
      <c r="W396">
        <f>'Revenue drivers'!W446</f>
        <v>96</v>
      </c>
      <c r="X396">
        <f>'Revenue drivers'!X446</f>
        <v>97</v>
      </c>
      <c r="Y396">
        <f>'Revenue drivers'!Y446</f>
        <v>100</v>
      </c>
      <c r="Z396">
        <f>'Revenue drivers'!Z446</f>
        <v>106</v>
      </c>
      <c r="AA396">
        <f>'Revenue drivers'!AA446</f>
        <v>111</v>
      </c>
      <c r="AB396">
        <f>'Revenue drivers'!AB446</f>
        <v>117</v>
      </c>
      <c r="AC396">
        <f>'Revenue drivers'!AC446</f>
        <v>120</v>
      </c>
      <c r="AD396">
        <f>'Revenue drivers'!AD446</f>
        <v>124</v>
      </c>
      <c r="AE396">
        <f>'Revenue drivers'!AE446</f>
        <v>127</v>
      </c>
      <c r="AF396">
        <f>'Revenue drivers'!AF446</f>
        <v>132</v>
      </c>
      <c r="AG396">
        <f>'Revenue drivers'!AG446</f>
        <v>137</v>
      </c>
      <c r="AH396">
        <f>'Revenue drivers'!AH446</f>
        <v>142</v>
      </c>
      <c r="AI396">
        <f>'Revenue drivers'!AI446</f>
        <v>147</v>
      </c>
      <c r="AJ396">
        <f>'Revenue drivers'!AJ446</f>
        <v>152</v>
      </c>
      <c r="AL396">
        <f>'Revenue drivers'!BF446</f>
        <v>6</v>
      </c>
      <c r="AM396">
        <f>'Revenue drivers'!BG446</f>
        <v>14</v>
      </c>
      <c r="AN396">
        <f>'Revenue drivers'!BH446</f>
        <v>20</v>
      </c>
      <c r="AO396">
        <f>'Revenue drivers'!BI446</f>
        <v>27</v>
      </c>
      <c r="AP396">
        <f>'Revenue drivers'!BJ446</f>
        <v>49</v>
      </c>
      <c r="AQ396">
        <f>'Revenue drivers'!BK446</f>
        <v>71</v>
      </c>
      <c r="AR396">
        <f>'Revenue drivers'!BL446</f>
        <v>97</v>
      </c>
      <c r="AS396">
        <f>'Revenue drivers'!BM446</f>
        <v>117</v>
      </c>
      <c r="AT396">
        <f>'Revenue drivers'!BN446</f>
        <v>132</v>
      </c>
      <c r="AU396">
        <f>'Revenue drivers'!BO446</f>
        <v>152</v>
      </c>
      <c r="AV396">
        <f>'Revenue drivers'!BP446</f>
        <v>172</v>
      </c>
      <c r="AW396">
        <f>'Revenue drivers'!BQ446</f>
        <v>192</v>
      </c>
      <c r="AX396">
        <f>'Revenue drivers'!BR446</f>
        <v>212</v>
      </c>
      <c r="AY396">
        <f>'Revenue drivers'!BS446</f>
        <v>232</v>
      </c>
      <c r="AZ396">
        <f>'Revenue drivers'!BT446</f>
        <v>252</v>
      </c>
    </row>
    <row r="397" spans="9:52" ht="11.25" customHeight="1">
      <c r="I397" t="str">
        <f>'Revenue drivers'!I447</f>
        <v>DRIVER: Base case - period-to-period addition Q/Q</v>
      </c>
      <c r="M397">
        <f>'Revenue drivers'!M447</f>
        <v>0</v>
      </c>
      <c r="N397">
        <f>'Revenue drivers'!N447</f>
        <v>0</v>
      </c>
      <c r="O397">
        <f>'Revenue drivers'!O447</f>
        <v>0</v>
      </c>
      <c r="P397">
        <f>'Revenue drivers'!P447</f>
        <v>0</v>
      </c>
      <c r="Q397">
        <f>'Revenue drivers'!Q447</f>
        <v>0</v>
      </c>
      <c r="R397">
        <f>'Revenue drivers'!R447</f>
        <v>0</v>
      </c>
      <c r="S397">
        <f>'Revenue drivers'!S447</f>
        <v>0</v>
      </c>
      <c r="T397">
        <f>'Revenue drivers'!T447</f>
        <v>0</v>
      </c>
      <c r="U397">
        <f>'Revenue drivers'!U447</f>
        <v>11</v>
      </c>
      <c r="V397">
        <f>'Revenue drivers'!V447</f>
        <v>8</v>
      </c>
      <c r="W397">
        <f>'Revenue drivers'!W447</f>
        <v>6</v>
      </c>
      <c r="X397">
        <f>'Revenue drivers'!X447</f>
        <v>1</v>
      </c>
      <c r="Y397">
        <f>'Revenue drivers'!Y447</f>
        <v>3</v>
      </c>
      <c r="Z397">
        <f>'Revenue drivers'!Z447</f>
        <v>6</v>
      </c>
      <c r="AA397">
        <f>'Revenue drivers'!AA447</f>
        <v>5</v>
      </c>
      <c r="AB397">
        <f>'Revenue drivers'!AB447</f>
        <v>6</v>
      </c>
      <c r="AC397">
        <f>'Revenue drivers'!AC447</f>
        <v>3</v>
      </c>
      <c r="AD397">
        <f>'Revenue drivers'!AD447</f>
        <v>4</v>
      </c>
      <c r="AE397">
        <f>'Revenue drivers'!AE447</f>
        <v>3</v>
      </c>
      <c r="AF397">
        <f>'Revenue drivers'!AF447</f>
        <v>5</v>
      </c>
      <c r="AG397">
        <f>'Revenue drivers'!AG447</f>
        <v>5</v>
      </c>
      <c r="AH397">
        <f>'Revenue drivers'!AH447</f>
        <v>5</v>
      </c>
      <c r="AI397">
        <f>'Revenue drivers'!AI447</f>
        <v>5</v>
      </c>
      <c r="AJ397">
        <f>'Revenue drivers'!AJ447</f>
        <v>5</v>
      </c>
      <c r="AL397">
        <f>'Revenue drivers'!BF447</f>
        <v>0</v>
      </c>
      <c r="AM397">
        <f>'Revenue drivers'!BG447</f>
        <v>0</v>
      </c>
      <c r="AN397">
        <f>'Revenue drivers'!BH447</f>
        <v>0</v>
      </c>
      <c r="AO397">
        <f>'Revenue drivers'!BI447</f>
        <v>0</v>
      </c>
      <c r="AP397">
        <f>'Revenue drivers'!BJ447</f>
        <v>0</v>
      </c>
      <c r="AQ397">
        <f>'Revenue drivers'!BK447</f>
        <v>0</v>
      </c>
      <c r="AR397">
        <f>'Revenue drivers'!BL447</f>
        <v>0</v>
      </c>
      <c r="AS397">
        <f>'Revenue drivers'!BM447</f>
        <v>0</v>
      </c>
      <c r="AT397">
        <f>'Revenue drivers'!BN447</f>
        <v>0</v>
      </c>
      <c r="AU397">
        <f>'Revenue drivers'!BO447</f>
        <v>0</v>
      </c>
      <c r="AV397">
        <f>'Revenue drivers'!BP447</f>
        <v>0</v>
      </c>
      <c r="AW397">
        <f>'Revenue drivers'!BQ447</f>
        <v>0</v>
      </c>
      <c r="AX397">
        <f>'Revenue drivers'!BR447</f>
        <v>0</v>
      </c>
      <c r="AY397">
        <f>'Revenue drivers'!BS447</f>
        <v>0</v>
      </c>
      <c r="AZ397">
        <f>'Revenue drivers'!BT447</f>
        <v>0</v>
      </c>
    </row>
    <row r="398" spans="9:52" ht="11.25" customHeight="1">
      <c r="I398" t="str">
        <f>'Revenue drivers'!I448</f>
        <v>Period-to-period addition Y/Y</v>
      </c>
      <c r="M398">
        <f>'Revenue drivers'!M448</f>
        <v>0</v>
      </c>
      <c r="N398">
        <f>'Revenue drivers'!N448</f>
        <v>0</v>
      </c>
      <c r="O398">
        <f>'Revenue drivers'!O448</f>
        <v>0</v>
      </c>
      <c r="P398">
        <f>'Revenue drivers'!P448</f>
        <v>0</v>
      </c>
      <c r="Q398">
        <f>'Revenue drivers'!Q448</f>
        <v>0</v>
      </c>
      <c r="R398">
        <f>'Revenue drivers'!R448</f>
        <v>0</v>
      </c>
      <c r="S398">
        <f>'Revenue drivers'!S448</f>
        <v>0</v>
      </c>
      <c r="T398">
        <f>'Revenue drivers'!T448</f>
        <v>0</v>
      </c>
      <c r="U398">
        <f>'Revenue drivers'!U448</f>
        <v>0</v>
      </c>
      <c r="V398">
        <f>'Revenue drivers'!V448</f>
        <v>0</v>
      </c>
      <c r="W398">
        <f>'Revenue drivers'!W448</f>
        <v>-2</v>
      </c>
      <c r="X398">
        <f>'Revenue drivers'!X448</f>
        <v>0</v>
      </c>
      <c r="Y398">
        <f>'Revenue drivers'!Y448</f>
        <v>0</v>
      </c>
      <c r="Z398">
        <f>'Revenue drivers'!Z448</f>
        <v>0</v>
      </c>
      <c r="AA398">
        <f>'Revenue drivers'!AA448</f>
        <v>-1</v>
      </c>
      <c r="AB398">
        <f>'Revenue drivers'!AB448</f>
        <v>1</v>
      </c>
      <c r="AC398">
        <f>'Revenue drivers'!AC448</f>
        <v>-3</v>
      </c>
      <c r="AD398">
        <f>'Revenue drivers'!AD448</f>
        <v>1</v>
      </c>
      <c r="AE398">
        <f>'Revenue drivers'!AE448</f>
        <v>-1</v>
      </c>
      <c r="AF398">
        <f>'Revenue drivers'!AF448</f>
        <v>2</v>
      </c>
      <c r="AG398">
        <f>'Revenue drivers'!AG448</f>
        <v>0</v>
      </c>
      <c r="AH398">
        <f>'Revenue drivers'!AH448</f>
        <v>0</v>
      </c>
      <c r="AI398">
        <f>'Revenue drivers'!AI448</f>
        <v>0</v>
      </c>
      <c r="AJ398">
        <f>'Revenue drivers'!AJ448</f>
        <v>0</v>
      </c>
      <c r="AL398">
        <f>'Revenue drivers'!BF448</f>
        <v>0</v>
      </c>
      <c r="AM398">
        <f>'Revenue drivers'!BG448</f>
        <v>8</v>
      </c>
      <c r="AN398">
        <f>'Revenue drivers'!BH448</f>
        <v>6</v>
      </c>
      <c r="AO398">
        <f>'Revenue drivers'!BI448</f>
        <v>7</v>
      </c>
      <c r="AP398">
        <f>'Revenue drivers'!BJ448</f>
        <v>22</v>
      </c>
      <c r="AQ398">
        <f>'Revenue drivers'!BK448</f>
        <v>22</v>
      </c>
      <c r="AR398">
        <f>'Revenue drivers'!BL448</f>
        <v>26</v>
      </c>
      <c r="AS398">
        <f>'Revenue drivers'!BM448</f>
        <v>20</v>
      </c>
      <c r="AT398">
        <f>'Revenue drivers'!BN448</f>
        <v>15</v>
      </c>
      <c r="AU398">
        <f>'Revenue drivers'!BO448</f>
        <v>20</v>
      </c>
      <c r="AV398">
        <f>'Revenue drivers'!BP448</f>
        <v>20</v>
      </c>
      <c r="AW398">
        <f>'Revenue drivers'!BQ448</f>
        <v>20</v>
      </c>
      <c r="AX398">
        <f>'Revenue drivers'!BR448</f>
        <v>20</v>
      </c>
      <c r="AY398">
        <f>'Revenue drivers'!BS448</f>
        <v>20</v>
      </c>
      <c r="AZ398">
        <f>'Revenue drivers'!BT448</f>
        <v>20</v>
      </c>
    </row>
    <row r="399" spans="9:52" ht="11.25" customHeight="1">
      <c r="I399" t="str">
        <f>'Revenue drivers'!I449</f>
        <v>% change Y/Y</v>
      </c>
      <c r="M399">
        <f>'Revenue drivers'!M449</f>
        <v>0</v>
      </c>
      <c r="N399">
        <f>'Revenue drivers'!N449</f>
        <v>0</v>
      </c>
      <c r="O399">
        <f>'Revenue drivers'!O449</f>
        <v>0</v>
      </c>
      <c r="P399">
        <f>'Revenue drivers'!P449</f>
        <v>0</v>
      </c>
      <c r="Q399">
        <f>'Revenue drivers'!Q449</f>
        <v>0</v>
      </c>
      <c r="R399">
        <f>'Revenue drivers'!R449</f>
        <v>0</v>
      </c>
      <c r="S399">
        <f>'Revenue drivers'!S449</f>
        <v>0</v>
      </c>
      <c r="T399">
        <f>'Revenue drivers'!T449</f>
        <v>0.44897959183673475</v>
      </c>
      <c r="U399" t="str">
        <f>'Revenue drivers'!U449</f>
        <v>NA</v>
      </c>
      <c r="V399" t="str">
        <f>'Revenue drivers'!V449</f>
        <v>NA</v>
      </c>
      <c r="W399" t="str">
        <f>'Revenue drivers'!W449</f>
        <v>NA</v>
      </c>
      <c r="X399">
        <f>'Revenue drivers'!X449</f>
        <v>0.36619718309859151</v>
      </c>
      <c r="Y399">
        <f>'Revenue drivers'!Y449</f>
        <v>0.21951219512195119</v>
      </c>
      <c r="Z399">
        <f>'Revenue drivers'!Z449</f>
        <v>0.17777777777777781</v>
      </c>
      <c r="AA399">
        <f>'Revenue drivers'!AA449</f>
        <v>0.15625</v>
      </c>
      <c r="AB399">
        <f>'Revenue drivers'!AB449</f>
        <v>0.20618556701030921</v>
      </c>
      <c r="AC399">
        <f>'Revenue drivers'!AC449</f>
        <v>0.19999999999999996</v>
      </c>
      <c r="AD399">
        <f>'Revenue drivers'!AD449</f>
        <v>0.16981132075471694</v>
      </c>
      <c r="AE399">
        <f>'Revenue drivers'!AE449</f>
        <v>0.14414414414414423</v>
      </c>
      <c r="AF399">
        <f>'Revenue drivers'!AF449</f>
        <v>0.12820512820512819</v>
      </c>
      <c r="AG399">
        <f>'Revenue drivers'!AG449</f>
        <v>0.14166666666666661</v>
      </c>
      <c r="AH399">
        <f>'Revenue drivers'!AH449</f>
        <v>0.14516129032258074</v>
      </c>
      <c r="AI399">
        <f>'Revenue drivers'!AI449</f>
        <v>0.15748031496062986</v>
      </c>
      <c r="AJ399">
        <f>'Revenue drivers'!AJ449</f>
        <v>0.1515151515151516</v>
      </c>
      <c r="AL399" t="str">
        <f>'Revenue drivers'!BF449</f>
        <v>NA</v>
      </c>
      <c r="AM399">
        <f>'Revenue drivers'!BG449</f>
        <v>1.3333333333333335</v>
      </c>
      <c r="AN399">
        <f>'Revenue drivers'!BH449</f>
        <v>0.4285714285714286</v>
      </c>
      <c r="AO399">
        <f>'Revenue drivers'!BI449</f>
        <v>0.35000000000000009</v>
      </c>
      <c r="AP399">
        <f>'Revenue drivers'!BJ449</f>
        <v>0.81481481481481488</v>
      </c>
      <c r="AQ399">
        <f>'Revenue drivers'!BK449</f>
        <v>0.44897959183673475</v>
      </c>
      <c r="AR399">
        <f>'Revenue drivers'!BL449</f>
        <v>0.36619718309859151</v>
      </c>
      <c r="AS399">
        <f>'Revenue drivers'!BM449</f>
        <v>0.20618556701030921</v>
      </c>
      <c r="AT399">
        <f>'Revenue drivers'!BN449</f>
        <v>0.12820512820512819</v>
      </c>
      <c r="AU399">
        <f>'Revenue drivers'!BO449</f>
        <v>0.1515151515151516</v>
      </c>
      <c r="AV399">
        <f>'Revenue drivers'!BP449</f>
        <v>0.13157894736842102</v>
      </c>
      <c r="AW399">
        <f>'Revenue drivers'!BQ449</f>
        <v>0.11627906976744184</v>
      </c>
      <c r="AX399">
        <f>'Revenue drivers'!BR449</f>
        <v>0.10416666666666674</v>
      </c>
      <c r="AY399">
        <f>'Revenue drivers'!BS449</f>
        <v>9.4339622641509413E-2</v>
      </c>
      <c r="AZ399">
        <f>'Revenue drivers'!BT449</f>
        <v>8.6206896551724199E-2</v>
      </c>
    </row>
    <row r="400" spans="9:52" ht="11.25" customHeight="1">
      <c r="I400" t="str">
        <f>'Revenue drivers'!I450</f>
        <v>% change Q/Q</v>
      </c>
      <c r="M400">
        <f>'Revenue drivers'!M450</f>
        <v>0</v>
      </c>
      <c r="N400">
        <f>'Revenue drivers'!N450</f>
        <v>0</v>
      </c>
      <c r="O400">
        <f>'Revenue drivers'!O450</f>
        <v>0</v>
      </c>
      <c r="P400">
        <f>'Revenue drivers'!P450</f>
        <v>0</v>
      </c>
      <c r="Q400">
        <f>'Revenue drivers'!Q450</f>
        <v>0</v>
      </c>
      <c r="R400">
        <f>'Revenue drivers'!R450</f>
        <v>0</v>
      </c>
      <c r="S400">
        <f>'Revenue drivers'!S450</f>
        <v>0</v>
      </c>
      <c r="T400" t="str">
        <f>'Revenue drivers'!T450</f>
        <v>NA</v>
      </c>
      <c r="U400">
        <f>'Revenue drivers'!U450</f>
        <v>0.15492957746478875</v>
      </c>
      <c r="V400">
        <f>'Revenue drivers'!V450</f>
        <v>9.7560975609756184E-2</v>
      </c>
      <c r="W400">
        <f>'Revenue drivers'!W450</f>
        <v>6.6666666666666652E-2</v>
      </c>
      <c r="X400">
        <f>'Revenue drivers'!X450</f>
        <v>1.0416666666666741E-2</v>
      </c>
      <c r="Y400">
        <f>'Revenue drivers'!Y450</f>
        <v>3.0927835051546282E-2</v>
      </c>
      <c r="Z400">
        <f>'Revenue drivers'!Z450</f>
        <v>6.0000000000000053E-2</v>
      </c>
      <c r="AA400">
        <f>'Revenue drivers'!AA450</f>
        <v>4.7169811320754818E-2</v>
      </c>
      <c r="AB400">
        <f>'Revenue drivers'!AB450</f>
        <v>5.4054054054053946E-2</v>
      </c>
      <c r="AC400">
        <f>'Revenue drivers'!AC450</f>
        <v>2.564102564102555E-2</v>
      </c>
      <c r="AD400">
        <f>'Revenue drivers'!AD450</f>
        <v>3.3333333333333437E-2</v>
      </c>
      <c r="AE400">
        <f>'Revenue drivers'!AE450</f>
        <v>2.4193548387096753E-2</v>
      </c>
      <c r="AF400">
        <f>'Revenue drivers'!AF450</f>
        <v>3.937007874015741E-2</v>
      </c>
      <c r="AG400">
        <f>'Revenue drivers'!AG450</f>
        <v>3.7878787878787845E-2</v>
      </c>
      <c r="AH400">
        <f>'Revenue drivers'!AH450</f>
        <v>3.649635036496357E-2</v>
      </c>
      <c r="AI400">
        <f>'Revenue drivers'!AI450</f>
        <v>3.5211267605633756E-2</v>
      </c>
      <c r="AJ400">
        <f>'Revenue drivers'!AJ450</f>
        <v>3.4013605442176909E-2</v>
      </c>
      <c r="AL400">
        <f>'Revenue drivers'!BF450</f>
        <v>0</v>
      </c>
      <c r="AM400">
        <f>'Revenue drivers'!BG450</f>
        <v>0</v>
      </c>
      <c r="AN400">
        <f>'Revenue drivers'!BH450</f>
        <v>0</v>
      </c>
      <c r="AO400">
        <f>'Revenue drivers'!BI450</f>
        <v>0</v>
      </c>
      <c r="AP400">
        <f>'Revenue drivers'!BJ450</f>
        <v>0</v>
      </c>
      <c r="AQ400">
        <f>'Revenue drivers'!BK450</f>
        <v>0</v>
      </c>
      <c r="AR400">
        <f>'Revenue drivers'!BL450</f>
        <v>0</v>
      </c>
      <c r="AS400">
        <f>'Revenue drivers'!BM450</f>
        <v>0</v>
      </c>
      <c r="AT400">
        <f>'Revenue drivers'!BN450</f>
        <v>0</v>
      </c>
      <c r="AU400">
        <f>'Revenue drivers'!BO450</f>
        <v>0</v>
      </c>
      <c r="AV400">
        <f>'Revenue drivers'!BP450</f>
        <v>0</v>
      </c>
      <c r="AW400">
        <f>'Revenue drivers'!BQ450</f>
        <v>0</v>
      </c>
      <c r="AX400">
        <f>'Revenue drivers'!BR450</f>
        <v>0</v>
      </c>
      <c r="AY400">
        <f>'Revenue drivers'!BS450</f>
        <v>0</v>
      </c>
      <c r="AZ400">
        <f>'Revenue drivers'!BT450</f>
        <v>0</v>
      </c>
    </row>
    <row r="401" spans="9:52" ht="11.25" customHeight="1">
      <c r="I401">
        <f>'Revenue drivers'!I451</f>
        <v>0</v>
      </c>
      <c r="M401">
        <f>'Revenue drivers'!M451</f>
        <v>0</v>
      </c>
      <c r="N401">
        <f>'Revenue drivers'!N451</f>
        <v>0</v>
      </c>
      <c r="O401">
        <f>'Revenue drivers'!O451</f>
        <v>0</v>
      </c>
      <c r="P401">
        <f>'Revenue drivers'!P451</f>
        <v>0</v>
      </c>
      <c r="Q401">
        <f>'Revenue drivers'!Q451</f>
        <v>0</v>
      </c>
      <c r="R401">
        <f>'Revenue drivers'!R451</f>
        <v>0</v>
      </c>
      <c r="S401">
        <f>'Revenue drivers'!S451</f>
        <v>0</v>
      </c>
      <c r="T401">
        <f>'Revenue drivers'!T451</f>
        <v>0</v>
      </c>
      <c r="U401">
        <f>'Revenue drivers'!U451</f>
        <v>0</v>
      </c>
      <c r="V401">
        <f>'Revenue drivers'!V451</f>
        <v>0</v>
      </c>
      <c r="W401">
        <f>'Revenue drivers'!W451</f>
        <v>0</v>
      </c>
      <c r="X401">
        <f>'Revenue drivers'!X451</f>
        <v>0</v>
      </c>
      <c r="Y401">
        <f>'Revenue drivers'!Y451</f>
        <v>0</v>
      </c>
      <c r="Z401">
        <f>'Revenue drivers'!Z451</f>
        <v>0</v>
      </c>
      <c r="AA401">
        <f>'Revenue drivers'!AA451</f>
        <v>0</v>
      </c>
      <c r="AB401">
        <f>'Revenue drivers'!AB451</f>
        <v>0</v>
      </c>
      <c r="AC401">
        <f>'Revenue drivers'!AC451</f>
        <v>0</v>
      </c>
      <c r="AD401">
        <f>'Revenue drivers'!AD451</f>
        <v>0</v>
      </c>
      <c r="AE401">
        <f>'Revenue drivers'!AE451</f>
        <v>0</v>
      </c>
      <c r="AF401">
        <f>'Revenue drivers'!AF451</f>
        <v>0</v>
      </c>
      <c r="AG401">
        <f>'Revenue drivers'!AG451</f>
        <v>0</v>
      </c>
      <c r="AH401">
        <f>'Revenue drivers'!AH451</f>
        <v>0</v>
      </c>
      <c r="AI401">
        <f>'Revenue drivers'!AI451</f>
        <v>0</v>
      </c>
      <c r="AJ401">
        <f>'Revenue drivers'!AJ451</f>
        <v>0</v>
      </c>
      <c r="AL401">
        <f>'Revenue drivers'!BF451</f>
        <v>0</v>
      </c>
      <c r="AM401">
        <f>'Revenue drivers'!BG451</f>
        <v>0</v>
      </c>
      <c r="AN401">
        <f>'Revenue drivers'!BH451</f>
        <v>0</v>
      </c>
      <c r="AO401">
        <f>'Revenue drivers'!BI451</f>
        <v>0</v>
      </c>
      <c r="AP401">
        <f>'Revenue drivers'!BJ451</f>
        <v>0</v>
      </c>
      <c r="AQ401">
        <f>'Revenue drivers'!BK451</f>
        <v>0</v>
      </c>
      <c r="AR401">
        <f>'Revenue drivers'!BL451</f>
        <v>0</v>
      </c>
      <c r="AS401">
        <f>'Revenue drivers'!BM451</f>
        <v>0</v>
      </c>
      <c r="AT401">
        <f>'Revenue drivers'!BN451</f>
        <v>0</v>
      </c>
      <c r="AU401">
        <f>'Revenue drivers'!BO451</f>
        <v>0</v>
      </c>
      <c r="AV401">
        <f>'Revenue drivers'!BP451</f>
        <v>0</v>
      </c>
      <c r="AW401">
        <f>'Revenue drivers'!BQ451</f>
        <v>0</v>
      </c>
      <c r="AX401">
        <f>'Revenue drivers'!BR451</f>
        <v>0</v>
      </c>
      <c r="AY401">
        <f>'Revenue drivers'!BS451</f>
        <v>0</v>
      </c>
      <c r="AZ401">
        <f>'Revenue drivers'!BT451</f>
        <v>0</v>
      </c>
    </row>
    <row r="402" spans="9:52" ht="11.25" customHeight="1">
      <c r="I402" t="str">
        <f>'Revenue drivers'!I452</f>
        <v>Active US markets</v>
      </c>
      <c r="M402">
        <f>'Revenue drivers'!M452</f>
        <v>0</v>
      </c>
      <c r="N402">
        <f>'Revenue drivers'!N452</f>
        <v>0</v>
      </c>
      <c r="O402">
        <f>'Revenue drivers'!O452</f>
        <v>0</v>
      </c>
      <c r="P402">
        <f>'Revenue drivers'!P452</f>
        <v>38</v>
      </c>
      <c r="Q402">
        <f>'Revenue drivers'!Q452</f>
        <v>0</v>
      </c>
      <c r="R402">
        <f>'Revenue drivers'!R452</f>
        <v>0</v>
      </c>
      <c r="S402">
        <f>'Revenue drivers'!S452</f>
        <v>0</v>
      </c>
      <c r="T402">
        <f>'Revenue drivers'!T452</f>
        <v>46</v>
      </c>
      <c r="U402">
        <f>'Revenue drivers'!U452</f>
        <v>49</v>
      </c>
      <c r="V402">
        <f>'Revenue drivers'!V452</f>
        <v>51</v>
      </c>
      <c r="W402">
        <f>'Revenue drivers'!W452</f>
        <v>53</v>
      </c>
      <c r="X402">
        <f>'Revenue drivers'!X452</f>
        <v>53</v>
      </c>
      <c r="Y402">
        <f>'Revenue drivers'!Y452</f>
        <v>54</v>
      </c>
      <c r="Z402">
        <f>'Revenue drivers'!Z452</f>
        <v>56</v>
      </c>
      <c r="AA402">
        <f>'Revenue drivers'!AA452</f>
        <v>60</v>
      </c>
      <c r="AB402">
        <f>'Revenue drivers'!AB452</f>
        <v>61</v>
      </c>
      <c r="AC402">
        <f>'Revenue drivers'!AC452</f>
        <v>61</v>
      </c>
      <c r="AD402">
        <f>'Revenue drivers'!AD452</f>
        <v>61</v>
      </c>
      <c r="AE402">
        <f>'Revenue drivers'!AE452</f>
        <v>61</v>
      </c>
      <c r="AF402">
        <f>'Revenue drivers'!AF452</f>
        <v>61</v>
      </c>
      <c r="AG402">
        <f>'Revenue drivers'!AG452</f>
        <v>61</v>
      </c>
      <c r="AH402">
        <f>'Revenue drivers'!AH452</f>
        <v>61</v>
      </c>
      <c r="AI402">
        <f>'Revenue drivers'!AI452</f>
        <v>61</v>
      </c>
      <c r="AJ402">
        <f>'Revenue drivers'!AJ452</f>
        <v>61</v>
      </c>
      <c r="AL402">
        <f>'Revenue drivers'!BF452</f>
        <v>6</v>
      </c>
      <c r="AM402">
        <f>'Revenue drivers'!BG452</f>
        <v>14</v>
      </c>
      <c r="AN402">
        <f>'Revenue drivers'!BH452</f>
        <v>20</v>
      </c>
      <c r="AO402">
        <f>'Revenue drivers'!BI452</f>
        <v>24</v>
      </c>
      <c r="AP402">
        <f>'Revenue drivers'!BJ452</f>
        <v>38</v>
      </c>
      <c r="AQ402">
        <f>'Revenue drivers'!BK452</f>
        <v>46</v>
      </c>
      <c r="AR402">
        <f>'Revenue drivers'!BL452</f>
        <v>53</v>
      </c>
      <c r="AS402">
        <f>'Revenue drivers'!BM452</f>
        <v>61</v>
      </c>
      <c r="AT402">
        <f>'Revenue drivers'!BN452</f>
        <v>61</v>
      </c>
      <c r="AU402">
        <f>'Revenue drivers'!BO452</f>
        <v>61</v>
      </c>
      <c r="AV402">
        <f>'Revenue drivers'!BP452</f>
        <v>61</v>
      </c>
      <c r="AW402">
        <f>'Revenue drivers'!BQ452</f>
        <v>61</v>
      </c>
      <c r="AX402">
        <f>'Revenue drivers'!BR452</f>
        <v>61</v>
      </c>
      <c r="AY402">
        <f>'Revenue drivers'!BS452</f>
        <v>61</v>
      </c>
      <c r="AZ402">
        <f>'Revenue drivers'!BT452</f>
        <v>61</v>
      </c>
    </row>
    <row r="403" spans="9:52" ht="11.25" customHeight="1">
      <c r="I403" t="str">
        <f>'Revenue drivers'!I453</f>
        <v>DRIVER: Base case - period-to-period addition Q/Q</v>
      </c>
      <c r="M403">
        <f>'Revenue drivers'!M453</f>
        <v>0</v>
      </c>
      <c r="N403">
        <f>'Revenue drivers'!N453</f>
        <v>0</v>
      </c>
      <c r="O403">
        <f>'Revenue drivers'!O453</f>
        <v>0</v>
      </c>
      <c r="P403">
        <f>'Revenue drivers'!P453</f>
        <v>0</v>
      </c>
      <c r="Q403">
        <f>'Revenue drivers'!Q453</f>
        <v>0</v>
      </c>
      <c r="R403">
        <f>'Revenue drivers'!R453</f>
        <v>0</v>
      </c>
      <c r="S403">
        <f>'Revenue drivers'!S453</f>
        <v>0</v>
      </c>
      <c r="T403">
        <f>'Revenue drivers'!T453</f>
        <v>0</v>
      </c>
      <c r="U403">
        <f>'Revenue drivers'!U453</f>
        <v>3</v>
      </c>
      <c r="V403">
        <f>'Revenue drivers'!V453</f>
        <v>2</v>
      </c>
      <c r="W403">
        <f>'Revenue drivers'!W453</f>
        <v>2</v>
      </c>
      <c r="X403">
        <f>'Revenue drivers'!X453</f>
        <v>0</v>
      </c>
      <c r="Y403">
        <f>'Revenue drivers'!Y453</f>
        <v>1</v>
      </c>
      <c r="Z403">
        <f>'Revenue drivers'!Z453</f>
        <v>2</v>
      </c>
      <c r="AA403">
        <f>'Revenue drivers'!AA453</f>
        <v>4</v>
      </c>
      <c r="AB403">
        <f>'Revenue drivers'!AB453</f>
        <v>1</v>
      </c>
      <c r="AC403">
        <f>'Revenue drivers'!AC453</f>
        <v>0</v>
      </c>
      <c r="AD403">
        <f>'Revenue drivers'!AD453</f>
        <v>0</v>
      </c>
      <c r="AE403">
        <f>'Revenue drivers'!AE453</f>
        <v>0</v>
      </c>
      <c r="AF403">
        <f>'Revenue drivers'!AF453</f>
        <v>0</v>
      </c>
      <c r="AG403">
        <f>'Revenue drivers'!AG453</f>
        <v>0</v>
      </c>
      <c r="AH403">
        <f>'Revenue drivers'!AH453</f>
        <v>0</v>
      </c>
      <c r="AI403">
        <f>'Revenue drivers'!AI453</f>
        <v>0</v>
      </c>
      <c r="AJ403">
        <f>'Revenue drivers'!AJ453</f>
        <v>0</v>
      </c>
      <c r="AL403">
        <f>'Revenue drivers'!BF453</f>
        <v>0</v>
      </c>
      <c r="AM403">
        <f>'Revenue drivers'!BG453</f>
        <v>0</v>
      </c>
      <c r="AN403">
        <f>'Revenue drivers'!BH453</f>
        <v>0</v>
      </c>
      <c r="AO403">
        <f>'Revenue drivers'!BI453</f>
        <v>0</v>
      </c>
      <c r="AP403">
        <f>'Revenue drivers'!BJ453</f>
        <v>0</v>
      </c>
      <c r="AQ403">
        <f>'Revenue drivers'!BK453</f>
        <v>0</v>
      </c>
      <c r="AR403">
        <f>'Revenue drivers'!BL453</f>
        <v>0</v>
      </c>
      <c r="AS403">
        <f>'Revenue drivers'!BM453</f>
        <v>0</v>
      </c>
      <c r="AT403">
        <f>'Revenue drivers'!BN453</f>
        <v>0</v>
      </c>
      <c r="AU403">
        <f>'Revenue drivers'!BO453</f>
        <v>0</v>
      </c>
      <c r="AV403">
        <f>'Revenue drivers'!BP453</f>
        <v>0</v>
      </c>
      <c r="AW403">
        <f>'Revenue drivers'!BQ453</f>
        <v>0</v>
      </c>
      <c r="AX403">
        <f>'Revenue drivers'!BR453</f>
        <v>0</v>
      </c>
      <c r="AY403">
        <f>'Revenue drivers'!BS453</f>
        <v>0</v>
      </c>
      <c r="AZ403">
        <f>'Revenue drivers'!BT453</f>
        <v>0</v>
      </c>
    </row>
    <row r="404" spans="9:52" ht="11.25" customHeight="1">
      <c r="I404" t="str">
        <f>'Revenue drivers'!I454</f>
        <v>Period-to-period addition Y/Y</v>
      </c>
      <c r="M404">
        <f>'Revenue drivers'!M454</f>
        <v>0</v>
      </c>
      <c r="N404">
        <f>'Revenue drivers'!N454</f>
        <v>0</v>
      </c>
      <c r="O404">
        <f>'Revenue drivers'!O454</f>
        <v>0</v>
      </c>
      <c r="P404">
        <f>'Revenue drivers'!P454</f>
        <v>0</v>
      </c>
      <c r="Q404">
        <f>'Revenue drivers'!Q454</f>
        <v>0</v>
      </c>
      <c r="R404">
        <f>'Revenue drivers'!R454</f>
        <v>0</v>
      </c>
      <c r="S404">
        <f>'Revenue drivers'!S454</f>
        <v>0</v>
      </c>
      <c r="T404">
        <f>'Revenue drivers'!T454</f>
        <v>0</v>
      </c>
      <c r="U404">
        <f>'Revenue drivers'!U454</f>
        <v>0</v>
      </c>
      <c r="V404">
        <f>'Revenue drivers'!V454</f>
        <v>0</v>
      </c>
      <c r="W404">
        <f>'Revenue drivers'!W454</f>
        <v>0</v>
      </c>
      <c r="X404">
        <f>'Revenue drivers'!X454</f>
        <v>0</v>
      </c>
      <c r="Y404">
        <f>'Revenue drivers'!Y454</f>
        <v>0</v>
      </c>
      <c r="Z404">
        <f>'Revenue drivers'!Z454</f>
        <v>0</v>
      </c>
      <c r="AA404">
        <f>'Revenue drivers'!AA454</f>
        <v>0</v>
      </c>
      <c r="AB404">
        <f>'Revenue drivers'!AB454</f>
        <v>0</v>
      </c>
      <c r="AC404">
        <f>'Revenue drivers'!AC454</f>
        <v>0</v>
      </c>
      <c r="AD404">
        <f>'Revenue drivers'!AD454</f>
        <v>0</v>
      </c>
      <c r="AE404">
        <f>'Revenue drivers'!AE454</f>
        <v>0</v>
      </c>
      <c r="AF404">
        <f>'Revenue drivers'!AF454</f>
        <v>0</v>
      </c>
      <c r="AG404">
        <f>'Revenue drivers'!AG454</f>
        <v>0</v>
      </c>
      <c r="AH404">
        <f>'Revenue drivers'!AH454</f>
        <v>0</v>
      </c>
      <c r="AI404">
        <f>'Revenue drivers'!AI454</f>
        <v>0</v>
      </c>
      <c r="AJ404">
        <f>'Revenue drivers'!AJ454</f>
        <v>0</v>
      </c>
      <c r="AL404">
        <f>'Revenue drivers'!BF454</f>
        <v>0</v>
      </c>
      <c r="AM404">
        <f>'Revenue drivers'!BG454</f>
        <v>8</v>
      </c>
      <c r="AN404">
        <f>'Revenue drivers'!BH454</f>
        <v>6</v>
      </c>
      <c r="AO404">
        <f>'Revenue drivers'!BI454</f>
        <v>4</v>
      </c>
      <c r="AP404">
        <f>'Revenue drivers'!BJ454</f>
        <v>14</v>
      </c>
      <c r="AQ404">
        <f>'Revenue drivers'!BK454</f>
        <v>8</v>
      </c>
      <c r="AR404">
        <f>'Revenue drivers'!BL454</f>
        <v>7</v>
      </c>
      <c r="AS404">
        <f>'Revenue drivers'!BM454</f>
        <v>8</v>
      </c>
      <c r="AT404">
        <f>'Revenue drivers'!BN454</f>
        <v>0</v>
      </c>
      <c r="AU404">
        <f>'Revenue drivers'!BO454</f>
        <v>0</v>
      </c>
      <c r="AV404">
        <f>'Revenue drivers'!BP454</f>
        <v>0</v>
      </c>
      <c r="AW404">
        <f>'Revenue drivers'!BQ454</f>
        <v>0</v>
      </c>
      <c r="AX404">
        <f>'Revenue drivers'!BR454</f>
        <v>0</v>
      </c>
      <c r="AY404">
        <f>'Revenue drivers'!BS454</f>
        <v>0</v>
      </c>
      <c r="AZ404">
        <f>'Revenue drivers'!BT454</f>
        <v>0</v>
      </c>
    </row>
    <row r="405" spans="9:52" ht="11.25" customHeight="1">
      <c r="I405" t="str">
        <f>'Revenue drivers'!I455</f>
        <v>% change Y/Y</v>
      </c>
      <c r="M405">
        <f>'Revenue drivers'!M455</f>
        <v>0</v>
      </c>
      <c r="N405">
        <f>'Revenue drivers'!N455</f>
        <v>0</v>
      </c>
      <c r="O405">
        <f>'Revenue drivers'!O455</f>
        <v>0</v>
      </c>
      <c r="P405">
        <f>'Revenue drivers'!P455</f>
        <v>0</v>
      </c>
      <c r="Q405">
        <f>'Revenue drivers'!Q455</f>
        <v>0</v>
      </c>
      <c r="R405">
        <f>'Revenue drivers'!R455</f>
        <v>0</v>
      </c>
      <c r="S405">
        <f>'Revenue drivers'!S455</f>
        <v>0</v>
      </c>
      <c r="T405">
        <f>'Revenue drivers'!T455</f>
        <v>0.21052631578947367</v>
      </c>
      <c r="U405" t="str">
        <f>'Revenue drivers'!U455</f>
        <v>NA</v>
      </c>
      <c r="V405" t="str">
        <f>'Revenue drivers'!V455</f>
        <v>NA</v>
      </c>
      <c r="W405" t="str">
        <f>'Revenue drivers'!W455</f>
        <v>NA</v>
      </c>
      <c r="X405">
        <f>'Revenue drivers'!X455</f>
        <v>0.15217391304347827</v>
      </c>
      <c r="Y405">
        <f>'Revenue drivers'!Y455</f>
        <v>0.1020408163265305</v>
      </c>
      <c r="Z405">
        <f>'Revenue drivers'!Z455</f>
        <v>9.8039215686274606E-2</v>
      </c>
      <c r="AA405">
        <f>'Revenue drivers'!AA455</f>
        <v>0.13207547169811318</v>
      </c>
      <c r="AB405">
        <f>'Revenue drivers'!AB455</f>
        <v>0.15094339622641506</v>
      </c>
      <c r="AC405">
        <f>'Revenue drivers'!AC455</f>
        <v>0.12962962962962954</v>
      </c>
      <c r="AD405">
        <f>'Revenue drivers'!AD455</f>
        <v>8.9285714285714191E-2</v>
      </c>
      <c r="AE405">
        <f>'Revenue drivers'!AE455</f>
        <v>1.6666666666666607E-2</v>
      </c>
      <c r="AF405">
        <f>'Revenue drivers'!AF455</f>
        <v>0</v>
      </c>
      <c r="AG405">
        <f>'Revenue drivers'!AG455</f>
        <v>0</v>
      </c>
      <c r="AH405">
        <f>'Revenue drivers'!AH455</f>
        <v>0</v>
      </c>
      <c r="AI405">
        <f>'Revenue drivers'!AI455</f>
        <v>0</v>
      </c>
      <c r="AJ405">
        <f>'Revenue drivers'!AJ455</f>
        <v>0</v>
      </c>
      <c r="AL405" t="str">
        <f>'Revenue drivers'!BF455</f>
        <v>NA</v>
      </c>
      <c r="AM405">
        <f>'Revenue drivers'!BG455</f>
        <v>1.3333333333333335</v>
      </c>
      <c r="AN405">
        <f>'Revenue drivers'!BH455</f>
        <v>0.4285714285714286</v>
      </c>
      <c r="AO405">
        <f>'Revenue drivers'!BI455</f>
        <v>0.19999999999999996</v>
      </c>
      <c r="AP405">
        <f>'Revenue drivers'!BJ455</f>
        <v>0.58333333333333326</v>
      </c>
      <c r="AQ405">
        <f>'Revenue drivers'!BK455</f>
        <v>0.21052631578947367</v>
      </c>
      <c r="AR405">
        <f>'Revenue drivers'!BL455</f>
        <v>0.15217391304347827</v>
      </c>
      <c r="AS405">
        <f>'Revenue drivers'!BM455</f>
        <v>0.15094339622641506</v>
      </c>
      <c r="AT405">
        <f>'Revenue drivers'!BN455</f>
        <v>0</v>
      </c>
      <c r="AU405">
        <f>'Revenue drivers'!BO455</f>
        <v>0</v>
      </c>
      <c r="AV405">
        <f>'Revenue drivers'!BP455</f>
        <v>0</v>
      </c>
      <c r="AW405">
        <f>'Revenue drivers'!BQ455</f>
        <v>0</v>
      </c>
      <c r="AX405">
        <f>'Revenue drivers'!BR455</f>
        <v>0</v>
      </c>
      <c r="AY405">
        <f>'Revenue drivers'!BS455</f>
        <v>0</v>
      </c>
      <c r="AZ405">
        <f>'Revenue drivers'!BT455</f>
        <v>0</v>
      </c>
    </row>
    <row r="406" spans="9:52" ht="11.25" customHeight="1">
      <c r="I406" t="str">
        <f>'Revenue drivers'!I456</f>
        <v>% change Q/Q</v>
      </c>
      <c r="M406">
        <f>'Revenue drivers'!M456</f>
        <v>0</v>
      </c>
      <c r="N406">
        <f>'Revenue drivers'!N456</f>
        <v>0</v>
      </c>
      <c r="O406">
        <f>'Revenue drivers'!O456</f>
        <v>0</v>
      </c>
      <c r="P406">
        <f>'Revenue drivers'!P456</f>
        <v>0</v>
      </c>
      <c r="Q406">
        <f>'Revenue drivers'!Q456</f>
        <v>0</v>
      </c>
      <c r="R406">
        <f>'Revenue drivers'!R456</f>
        <v>0</v>
      </c>
      <c r="S406">
        <f>'Revenue drivers'!S456</f>
        <v>0</v>
      </c>
      <c r="T406" t="str">
        <f>'Revenue drivers'!T456</f>
        <v>NA</v>
      </c>
      <c r="U406">
        <f>'Revenue drivers'!U456</f>
        <v>6.5217391304347894E-2</v>
      </c>
      <c r="V406">
        <f>'Revenue drivers'!V456</f>
        <v>4.081632653061229E-2</v>
      </c>
      <c r="W406">
        <f>'Revenue drivers'!W456</f>
        <v>3.9215686274509887E-2</v>
      </c>
      <c r="X406">
        <f>'Revenue drivers'!X456</f>
        <v>0</v>
      </c>
      <c r="Y406">
        <f>'Revenue drivers'!Y456</f>
        <v>1.8867924528301883E-2</v>
      </c>
      <c r="Z406">
        <f>'Revenue drivers'!Z456</f>
        <v>3.7037037037036979E-2</v>
      </c>
      <c r="AA406">
        <f>'Revenue drivers'!AA456</f>
        <v>7.1428571428571397E-2</v>
      </c>
      <c r="AB406">
        <f>'Revenue drivers'!AB456</f>
        <v>1.6666666666666607E-2</v>
      </c>
      <c r="AC406">
        <f>'Revenue drivers'!AC456</f>
        <v>0</v>
      </c>
      <c r="AD406">
        <f>'Revenue drivers'!AD456</f>
        <v>0</v>
      </c>
      <c r="AE406">
        <f>'Revenue drivers'!AE456</f>
        <v>0</v>
      </c>
      <c r="AF406">
        <f>'Revenue drivers'!AF456</f>
        <v>0</v>
      </c>
      <c r="AG406">
        <f>'Revenue drivers'!AG456</f>
        <v>0</v>
      </c>
      <c r="AH406">
        <f>'Revenue drivers'!AH456</f>
        <v>0</v>
      </c>
      <c r="AI406">
        <f>'Revenue drivers'!AI456</f>
        <v>0</v>
      </c>
      <c r="AJ406">
        <f>'Revenue drivers'!AJ456</f>
        <v>0</v>
      </c>
      <c r="AL406">
        <f>'Revenue drivers'!BF456</f>
        <v>0</v>
      </c>
      <c r="AM406">
        <f>'Revenue drivers'!BG456</f>
        <v>0</v>
      </c>
      <c r="AN406">
        <f>'Revenue drivers'!BH456</f>
        <v>0</v>
      </c>
      <c r="AO406">
        <f>'Revenue drivers'!BI456</f>
        <v>0</v>
      </c>
      <c r="AP406">
        <f>'Revenue drivers'!BJ456</f>
        <v>0</v>
      </c>
      <c r="AQ406">
        <f>'Revenue drivers'!BK456</f>
        <v>0</v>
      </c>
      <c r="AR406">
        <f>'Revenue drivers'!BL456</f>
        <v>0</v>
      </c>
      <c r="AS406">
        <f>'Revenue drivers'!BM456</f>
        <v>0</v>
      </c>
      <c r="AT406">
        <f>'Revenue drivers'!BN456</f>
        <v>0</v>
      </c>
      <c r="AU406">
        <f>'Revenue drivers'!BO456</f>
        <v>0</v>
      </c>
      <c r="AV406">
        <f>'Revenue drivers'!BP456</f>
        <v>0</v>
      </c>
      <c r="AW406">
        <f>'Revenue drivers'!BQ456</f>
        <v>0</v>
      </c>
      <c r="AX406">
        <f>'Revenue drivers'!BR456</f>
        <v>0</v>
      </c>
      <c r="AY406">
        <f>'Revenue drivers'!BS456</f>
        <v>0</v>
      </c>
      <c r="AZ406">
        <f>'Revenue drivers'!BT456</f>
        <v>0</v>
      </c>
    </row>
    <row r="407" spans="9:52" ht="11.25" customHeight="1">
      <c r="I407" t="str">
        <f>'Revenue drivers'!I457</f>
        <v>% of total active markets</v>
      </c>
      <c r="M407">
        <f>'Revenue drivers'!M457</f>
        <v>0</v>
      </c>
      <c r="N407">
        <f>'Revenue drivers'!N457</f>
        <v>0</v>
      </c>
      <c r="O407">
        <f>'Revenue drivers'!O457</f>
        <v>0</v>
      </c>
      <c r="P407">
        <f>'Revenue drivers'!P457</f>
        <v>0.77551020408163263</v>
      </c>
      <c r="Q407">
        <f>'Revenue drivers'!Q457</f>
        <v>0</v>
      </c>
      <c r="R407">
        <f>'Revenue drivers'!R457</f>
        <v>0</v>
      </c>
      <c r="S407">
        <f>'Revenue drivers'!S457</f>
        <v>0</v>
      </c>
      <c r="T407">
        <f>'Revenue drivers'!T457</f>
        <v>0.647887323943662</v>
      </c>
      <c r="U407">
        <f>'Revenue drivers'!U457</f>
        <v>0.59756097560975607</v>
      </c>
      <c r="V407">
        <f>'Revenue drivers'!V457</f>
        <v>0.56666666666666665</v>
      </c>
      <c r="W407">
        <f>'Revenue drivers'!W457</f>
        <v>0.55208333333333337</v>
      </c>
      <c r="X407">
        <f>'Revenue drivers'!X457</f>
        <v>0.54639175257731953</v>
      </c>
      <c r="Y407">
        <f>'Revenue drivers'!Y457</f>
        <v>0.54</v>
      </c>
      <c r="Z407">
        <f>'Revenue drivers'!Z457</f>
        <v>0.52830188679245282</v>
      </c>
      <c r="AA407">
        <f>'Revenue drivers'!AA457</f>
        <v>0.54054054054054057</v>
      </c>
      <c r="AB407">
        <f>'Revenue drivers'!AB457</f>
        <v>0.5213675213675214</v>
      </c>
      <c r="AC407">
        <f>'Revenue drivers'!AC457</f>
        <v>0.5083333333333333</v>
      </c>
      <c r="AD407">
        <f>'Revenue drivers'!AD457</f>
        <v>0.49193548387096775</v>
      </c>
      <c r="AE407">
        <f>'Revenue drivers'!AE457</f>
        <v>0.48031496062992124</v>
      </c>
      <c r="AF407">
        <f>'Revenue drivers'!AF457</f>
        <v>0.4621212121212121</v>
      </c>
      <c r="AG407">
        <f>'Revenue drivers'!AG457</f>
        <v>0.44525547445255476</v>
      </c>
      <c r="AH407">
        <f>'Revenue drivers'!AH457</f>
        <v>0.42957746478873238</v>
      </c>
      <c r="AI407">
        <f>'Revenue drivers'!AI457</f>
        <v>0.41496598639455784</v>
      </c>
      <c r="AJ407">
        <f>'Revenue drivers'!AJ457</f>
        <v>0.40131578947368424</v>
      </c>
      <c r="AL407">
        <f>'Revenue drivers'!BF457</f>
        <v>1</v>
      </c>
      <c r="AM407">
        <f>'Revenue drivers'!BG457</f>
        <v>1</v>
      </c>
      <c r="AN407">
        <f>'Revenue drivers'!BH457</f>
        <v>1</v>
      </c>
      <c r="AO407">
        <f>'Revenue drivers'!BI457</f>
        <v>0.88888888888888884</v>
      </c>
      <c r="AP407">
        <f>'Revenue drivers'!BJ457</f>
        <v>0.77551020408163263</v>
      </c>
      <c r="AQ407">
        <f>'Revenue drivers'!BK457</f>
        <v>0.647887323943662</v>
      </c>
      <c r="AR407">
        <f>'Revenue drivers'!BL457</f>
        <v>0.54639175257731953</v>
      </c>
      <c r="AS407">
        <f>'Revenue drivers'!BM457</f>
        <v>0.5213675213675214</v>
      </c>
      <c r="AT407">
        <f>'Revenue drivers'!BN457</f>
        <v>0.4621212121212121</v>
      </c>
      <c r="AU407">
        <f>'Revenue drivers'!BO457</f>
        <v>0.40131578947368424</v>
      </c>
      <c r="AV407">
        <f>'Revenue drivers'!BP457</f>
        <v>0.35465116279069769</v>
      </c>
      <c r="AW407">
        <f>'Revenue drivers'!BQ457</f>
        <v>0.31770833333333331</v>
      </c>
      <c r="AX407">
        <f>'Revenue drivers'!BR457</f>
        <v>0.28773584905660377</v>
      </c>
      <c r="AY407">
        <f>'Revenue drivers'!BS457</f>
        <v>0.26293103448275862</v>
      </c>
      <c r="AZ407">
        <f>'Revenue drivers'!BT457</f>
        <v>0.24206349206349206</v>
      </c>
    </row>
    <row r="408" spans="9:52" ht="11.25" customHeight="1">
      <c r="I408">
        <f>'Revenue drivers'!I458</f>
        <v>0</v>
      </c>
      <c r="M408">
        <f>'Revenue drivers'!M458</f>
        <v>0</v>
      </c>
      <c r="N408">
        <f>'Revenue drivers'!N458</f>
        <v>0</v>
      </c>
      <c r="O408">
        <f>'Revenue drivers'!O458</f>
        <v>0</v>
      </c>
      <c r="P408">
        <f>'Revenue drivers'!P458</f>
        <v>0</v>
      </c>
      <c r="Q408">
        <f>'Revenue drivers'!Q458</f>
        <v>0</v>
      </c>
      <c r="R408">
        <f>'Revenue drivers'!R458</f>
        <v>0</v>
      </c>
      <c r="S408">
        <f>'Revenue drivers'!S458</f>
        <v>0</v>
      </c>
      <c r="T408">
        <f>'Revenue drivers'!T458</f>
        <v>0</v>
      </c>
      <c r="U408">
        <f>'Revenue drivers'!U458</f>
        <v>0</v>
      </c>
      <c r="V408">
        <f>'Revenue drivers'!V458</f>
        <v>0</v>
      </c>
      <c r="W408">
        <f>'Revenue drivers'!W458</f>
        <v>0</v>
      </c>
      <c r="X408">
        <f>'Revenue drivers'!X458</f>
        <v>0</v>
      </c>
      <c r="Y408">
        <f>'Revenue drivers'!Y458</f>
        <v>0</v>
      </c>
      <c r="Z408">
        <f>'Revenue drivers'!Z458</f>
        <v>0</v>
      </c>
      <c r="AA408">
        <f>'Revenue drivers'!AA458</f>
        <v>0</v>
      </c>
      <c r="AB408">
        <f>'Revenue drivers'!AB458</f>
        <v>0</v>
      </c>
      <c r="AC408">
        <f>'Revenue drivers'!AC458</f>
        <v>0</v>
      </c>
      <c r="AD408">
        <f>'Revenue drivers'!AD458</f>
        <v>0</v>
      </c>
      <c r="AE408">
        <f>'Revenue drivers'!AE458</f>
        <v>0</v>
      </c>
      <c r="AF408">
        <f>'Revenue drivers'!AF458</f>
        <v>0</v>
      </c>
      <c r="AG408">
        <f>'Revenue drivers'!AG458</f>
        <v>0</v>
      </c>
      <c r="AH408">
        <f>'Revenue drivers'!AH458</f>
        <v>0</v>
      </c>
      <c r="AI408">
        <f>'Revenue drivers'!AI458</f>
        <v>0</v>
      </c>
      <c r="AJ408">
        <f>'Revenue drivers'!AJ458</f>
        <v>0</v>
      </c>
      <c r="AL408">
        <f>'Revenue drivers'!BF458</f>
        <v>0</v>
      </c>
      <c r="AM408">
        <f>'Revenue drivers'!BG458</f>
        <v>0</v>
      </c>
      <c r="AN408">
        <f>'Revenue drivers'!BH458</f>
        <v>0</v>
      </c>
      <c r="AO408">
        <f>'Revenue drivers'!BI458</f>
        <v>0</v>
      </c>
      <c r="AP408">
        <f>'Revenue drivers'!BJ458</f>
        <v>0</v>
      </c>
      <c r="AQ408">
        <f>'Revenue drivers'!BK458</f>
        <v>0</v>
      </c>
      <c r="AR408">
        <f>'Revenue drivers'!BL458</f>
        <v>0</v>
      </c>
      <c r="AS408">
        <f>'Revenue drivers'!BM458</f>
        <v>0</v>
      </c>
      <c r="AT408">
        <f>'Revenue drivers'!BN458</f>
        <v>0</v>
      </c>
      <c r="AU408">
        <f>'Revenue drivers'!BO458</f>
        <v>0</v>
      </c>
      <c r="AV408">
        <f>'Revenue drivers'!BP458</f>
        <v>0</v>
      </c>
      <c r="AW408">
        <f>'Revenue drivers'!BQ458</f>
        <v>0</v>
      </c>
      <c r="AX408">
        <f>'Revenue drivers'!BR458</f>
        <v>0</v>
      </c>
      <c r="AY408">
        <f>'Revenue drivers'!BS458</f>
        <v>0</v>
      </c>
      <c r="AZ408">
        <f>'Revenue drivers'!BT458</f>
        <v>0</v>
      </c>
    </row>
    <row r="409" spans="9:52" ht="11.25" customHeight="1">
      <c r="I409" t="str">
        <f>'Revenue drivers'!I459</f>
        <v>Active international markets</v>
      </c>
      <c r="M409">
        <f>'Revenue drivers'!M459</f>
        <v>0</v>
      </c>
      <c r="N409">
        <f>'Revenue drivers'!N459</f>
        <v>0</v>
      </c>
      <c r="O409">
        <f>'Revenue drivers'!O459</f>
        <v>0</v>
      </c>
      <c r="P409">
        <f>'Revenue drivers'!P459</f>
        <v>11</v>
      </c>
      <c r="Q409">
        <f>'Revenue drivers'!Q459</f>
        <v>0</v>
      </c>
      <c r="R409">
        <f>'Revenue drivers'!R459</f>
        <v>0</v>
      </c>
      <c r="S409">
        <f>'Revenue drivers'!S459</f>
        <v>0</v>
      </c>
      <c r="T409">
        <f>'Revenue drivers'!T459</f>
        <v>25</v>
      </c>
      <c r="U409">
        <f>'Revenue drivers'!U459</f>
        <v>33</v>
      </c>
      <c r="V409">
        <f>'Revenue drivers'!V459</f>
        <v>39</v>
      </c>
      <c r="W409">
        <f>'Revenue drivers'!W459</f>
        <v>43</v>
      </c>
      <c r="X409">
        <f>'Revenue drivers'!X459</f>
        <v>44</v>
      </c>
      <c r="Y409">
        <f>'Revenue drivers'!Y459</f>
        <v>46</v>
      </c>
      <c r="Z409">
        <f>'Revenue drivers'!Z459</f>
        <v>50</v>
      </c>
      <c r="AA409">
        <f>'Revenue drivers'!AA459</f>
        <v>51</v>
      </c>
      <c r="AB409">
        <f>'Revenue drivers'!AB459</f>
        <v>56</v>
      </c>
      <c r="AC409">
        <f>'Revenue drivers'!AC459</f>
        <v>59</v>
      </c>
      <c r="AD409">
        <f>'Revenue drivers'!AD459</f>
        <v>63</v>
      </c>
      <c r="AE409">
        <f>'Revenue drivers'!AE459</f>
        <v>66</v>
      </c>
      <c r="AF409">
        <f>'Revenue drivers'!AF459</f>
        <v>71</v>
      </c>
      <c r="AG409">
        <f>'Revenue drivers'!AG459</f>
        <v>76</v>
      </c>
      <c r="AH409">
        <f>'Revenue drivers'!AH459</f>
        <v>81</v>
      </c>
      <c r="AI409">
        <f>'Revenue drivers'!AI459</f>
        <v>86</v>
      </c>
      <c r="AJ409">
        <f>'Revenue drivers'!AJ459</f>
        <v>91</v>
      </c>
      <c r="AL409">
        <f>'Revenue drivers'!BF459</f>
        <v>0</v>
      </c>
      <c r="AM409">
        <f>'Revenue drivers'!BG459</f>
        <v>0</v>
      </c>
      <c r="AN409">
        <f>'Revenue drivers'!BH459</f>
        <v>0</v>
      </c>
      <c r="AO409">
        <f>'Revenue drivers'!BI459</f>
        <v>3</v>
      </c>
      <c r="AP409">
        <f>'Revenue drivers'!BJ459</f>
        <v>11</v>
      </c>
      <c r="AQ409">
        <f>'Revenue drivers'!BK459</f>
        <v>25</v>
      </c>
      <c r="AR409">
        <f>'Revenue drivers'!BL459</f>
        <v>44</v>
      </c>
      <c r="AS409">
        <f>'Revenue drivers'!BM459</f>
        <v>56</v>
      </c>
      <c r="AT409">
        <f>'Revenue drivers'!BN459</f>
        <v>71</v>
      </c>
      <c r="AU409">
        <f>'Revenue drivers'!BO459</f>
        <v>91</v>
      </c>
      <c r="AV409">
        <f>'Revenue drivers'!BP459</f>
        <v>111</v>
      </c>
      <c r="AW409">
        <f>'Revenue drivers'!BQ459</f>
        <v>131</v>
      </c>
      <c r="AX409">
        <f>'Revenue drivers'!BR459</f>
        <v>151</v>
      </c>
      <c r="AY409">
        <f>'Revenue drivers'!BS459</f>
        <v>171</v>
      </c>
      <c r="AZ409">
        <f>'Revenue drivers'!BT459</f>
        <v>191</v>
      </c>
    </row>
    <row r="410" spans="9:52" ht="11.25" customHeight="1">
      <c r="I410" t="str">
        <f>'Revenue drivers'!I460</f>
        <v>% change Y/Y</v>
      </c>
      <c r="M410">
        <f>'Revenue drivers'!M460</f>
        <v>0</v>
      </c>
      <c r="N410">
        <f>'Revenue drivers'!N460</f>
        <v>0</v>
      </c>
      <c r="O410">
        <f>'Revenue drivers'!O460</f>
        <v>0</v>
      </c>
      <c r="P410">
        <f>'Revenue drivers'!P460</f>
        <v>0</v>
      </c>
      <c r="Q410">
        <f>'Revenue drivers'!Q460</f>
        <v>0</v>
      </c>
      <c r="R410">
        <f>'Revenue drivers'!R460</f>
        <v>0</v>
      </c>
      <c r="S410">
        <f>'Revenue drivers'!S460</f>
        <v>0</v>
      </c>
      <c r="T410">
        <f>'Revenue drivers'!T460</f>
        <v>1.2727272727272729</v>
      </c>
      <c r="U410" t="str">
        <f>'Revenue drivers'!U460</f>
        <v>NA</v>
      </c>
      <c r="V410" t="str">
        <f>'Revenue drivers'!V460</f>
        <v>NA</v>
      </c>
      <c r="W410" t="str">
        <f>'Revenue drivers'!W460</f>
        <v>NA</v>
      </c>
      <c r="X410">
        <f>'Revenue drivers'!X460</f>
        <v>0.76</v>
      </c>
      <c r="Y410">
        <f>'Revenue drivers'!Y460</f>
        <v>0.39393939393939403</v>
      </c>
      <c r="Z410">
        <f>'Revenue drivers'!Z460</f>
        <v>0.28205128205128216</v>
      </c>
      <c r="AA410">
        <f>'Revenue drivers'!AA460</f>
        <v>0.18604651162790709</v>
      </c>
      <c r="AB410">
        <f>'Revenue drivers'!AB460</f>
        <v>0.27272727272727271</v>
      </c>
      <c r="AC410">
        <f>'Revenue drivers'!AC460</f>
        <v>0.28260869565217384</v>
      </c>
      <c r="AD410">
        <f>'Revenue drivers'!AD460</f>
        <v>0.26</v>
      </c>
      <c r="AE410">
        <f>'Revenue drivers'!AE460</f>
        <v>0.29411764705882359</v>
      </c>
      <c r="AF410">
        <f>'Revenue drivers'!AF460</f>
        <v>0.26785714285714279</v>
      </c>
      <c r="AG410">
        <f>'Revenue drivers'!AG460</f>
        <v>0.28813559322033888</v>
      </c>
      <c r="AH410">
        <f>'Revenue drivers'!AH460</f>
        <v>0.28571428571428581</v>
      </c>
      <c r="AI410">
        <f>'Revenue drivers'!AI460</f>
        <v>0.30303030303030298</v>
      </c>
      <c r="AJ410">
        <f>'Revenue drivers'!AJ460</f>
        <v>0.28169014084507049</v>
      </c>
      <c r="AL410" t="str">
        <f>'Revenue drivers'!BF460</f>
        <v>NA</v>
      </c>
      <c r="AM410" t="str">
        <f>'Revenue drivers'!BG460</f>
        <v>NA</v>
      </c>
      <c r="AN410" t="str">
        <f>'Revenue drivers'!BH460</f>
        <v>NA</v>
      </c>
      <c r="AO410" t="str">
        <f>'Revenue drivers'!BI460</f>
        <v>NA</v>
      </c>
      <c r="AP410">
        <f>'Revenue drivers'!BJ460</f>
        <v>2.6666666666666665</v>
      </c>
      <c r="AQ410">
        <f>'Revenue drivers'!BK460</f>
        <v>1.2727272727272729</v>
      </c>
      <c r="AR410">
        <f>'Revenue drivers'!BL460</f>
        <v>0.76</v>
      </c>
      <c r="AS410">
        <f>'Revenue drivers'!BM460</f>
        <v>0.27272727272727271</v>
      </c>
      <c r="AT410">
        <f>'Revenue drivers'!BN460</f>
        <v>0.26785714285714279</v>
      </c>
      <c r="AU410">
        <f>'Revenue drivers'!BO460</f>
        <v>0.28169014084507049</v>
      </c>
      <c r="AV410">
        <f>'Revenue drivers'!BP460</f>
        <v>0.21978021978021989</v>
      </c>
      <c r="AW410">
        <f>'Revenue drivers'!BQ460</f>
        <v>0.18018018018018012</v>
      </c>
      <c r="AX410">
        <f>'Revenue drivers'!BR460</f>
        <v>0.15267175572519087</v>
      </c>
      <c r="AY410">
        <f>'Revenue drivers'!BS460</f>
        <v>0.13245033112582782</v>
      </c>
      <c r="AZ410">
        <f>'Revenue drivers'!BT460</f>
        <v>0.11695906432748537</v>
      </c>
    </row>
    <row r="411" spans="9:52" ht="11.25" customHeight="1">
      <c r="I411" t="str">
        <f>'Revenue drivers'!I461</f>
        <v>% change Q/Q</v>
      </c>
      <c r="M411">
        <f>'Revenue drivers'!M461</f>
        <v>0</v>
      </c>
      <c r="N411">
        <f>'Revenue drivers'!N461</f>
        <v>0</v>
      </c>
      <c r="O411">
        <f>'Revenue drivers'!O461</f>
        <v>0</v>
      </c>
      <c r="P411">
        <f>'Revenue drivers'!P461</f>
        <v>0</v>
      </c>
      <c r="Q411">
        <f>'Revenue drivers'!Q461</f>
        <v>0</v>
      </c>
      <c r="R411">
        <f>'Revenue drivers'!R461</f>
        <v>0</v>
      </c>
      <c r="S411">
        <f>'Revenue drivers'!S461</f>
        <v>0</v>
      </c>
      <c r="T411" t="str">
        <f>'Revenue drivers'!T461</f>
        <v>NA</v>
      </c>
      <c r="U411">
        <f>'Revenue drivers'!U461</f>
        <v>0.32000000000000006</v>
      </c>
      <c r="V411">
        <f>'Revenue drivers'!V461</f>
        <v>0.18181818181818188</v>
      </c>
      <c r="W411">
        <f>'Revenue drivers'!W461</f>
        <v>0.10256410256410264</v>
      </c>
      <c r="X411">
        <f>'Revenue drivers'!X461</f>
        <v>2.3255813953488413E-2</v>
      </c>
      <c r="Y411">
        <f>'Revenue drivers'!Y461</f>
        <v>4.5454545454545414E-2</v>
      </c>
      <c r="Z411">
        <f>'Revenue drivers'!Z461</f>
        <v>8.6956521739130377E-2</v>
      </c>
      <c r="AA411">
        <f>'Revenue drivers'!AA461</f>
        <v>2.0000000000000018E-2</v>
      </c>
      <c r="AB411">
        <f>'Revenue drivers'!AB461</f>
        <v>9.8039215686274606E-2</v>
      </c>
      <c r="AC411">
        <f>'Revenue drivers'!AC461</f>
        <v>5.3571428571428603E-2</v>
      </c>
      <c r="AD411">
        <f>'Revenue drivers'!AD461</f>
        <v>6.7796610169491567E-2</v>
      </c>
      <c r="AE411">
        <f>'Revenue drivers'!AE461</f>
        <v>4.7619047619047672E-2</v>
      </c>
      <c r="AF411">
        <f>'Revenue drivers'!AF461</f>
        <v>7.575757575757569E-2</v>
      </c>
      <c r="AG411">
        <f>'Revenue drivers'!AG461</f>
        <v>7.0422535211267512E-2</v>
      </c>
      <c r="AH411">
        <f>'Revenue drivers'!AH461</f>
        <v>6.578947368421062E-2</v>
      </c>
      <c r="AI411">
        <f>'Revenue drivers'!AI461</f>
        <v>6.1728395061728447E-2</v>
      </c>
      <c r="AJ411">
        <f>'Revenue drivers'!AJ461</f>
        <v>5.8139534883721034E-2</v>
      </c>
      <c r="AL411">
        <f>'Revenue drivers'!BF461</f>
        <v>0</v>
      </c>
      <c r="AM411">
        <f>'Revenue drivers'!BG461</f>
        <v>0</v>
      </c>
      <c r="AN411">
        <f>'Revenue drivers'!BH461</f>
        <v>0</v>
      </c>
      <c r="AO411">
        <f>'Revenue drivers'!BI461</f>
        <v>0</v>
      </c>
      <c r="AP411">
        <f>'Revenue drivers'!BJ461</f>
        <v>0</v>
      </c>
      <c r="AQ411">
        <f>'Revenue drivers'!BK461</f>
        <v>0</v>
      </c>
      <c r="AR411">
        <f>'Revenue drivers'!BL461</f>
        <v>0</v>
      </c>
      <c r="AS411">
        <f>'Revenue drivers'!BM461</f>
        <v>0</v>
      </c>
      <c r="AT411">
        <f>'Revenue drivers'!BN461</f>
        <v>0</v>
      </c>
      <c r="AU411">
        <f>'Revenue drivers'!BO461</f>
        <v>0</v>
      </c>
      <c r="AV411">
        <f>'Revenue drivers'!BP461</f>
        <v>0</v>
      </c>
      <c r="AW411">
        <f>'Revenue drivers'!BQ461</f>
        <v>0</v>
      </c>
      <c r="AX411">
        <f>'Revenue drivers'!BR461</f>
        <v>0</v>
      </c>
      <c r="AY411">
        <f>'Revenue drivers'!BS461</f>
        <v>0</v>
      </c>
      <c r="AZ411">
        <f>'Revenue drivers'!BT461</f>
        <v>0</v>
      </c>
    </row>
    <row r="412" spans="9:52" ht="11.25" customHeight="1">
      <c r="I412" t="str">
        <f>'Revenue drivers'!I462</f>
        <v>% of total active markets</v>
      </c>
      <c r="M412">
        <f>'Revenue drivers'!M462</f>
        <v>0</v>
      </c>
      <c r="N412">
        <f>'Revenue drivers'!N462</f>
        <v>0</v>
      </c>
      <c r="O412">
        <f>'Revenue drivers'!O462</f>
        <v>0</v>
      </c>
      <c r="P412">
        <f>'Revenue drivers'!P462</f>
        <v>0.22448979591836735</v>
      </c>
      <c r="Q412">
        <f>'Revenue drivers'!Q462</f>
        <v>0</v>
      </c>
      <c r="R412">
        <f>'Revenue drivers'!R462</f>
        <v>0</v>
      </c>
      <c r="S412">
        <f>'Revenue drivers'!S462</f>
        <v>0</v>
      </c>
      <c r="T412">
        <f>'Revenue drivers'!T462</f>
        <v>0.352112676056338</v>
      </c>
      <c r="U412">
        <f>'Revenue drivers'!U462</f>
        <v>0.40243902439024393</v>
      </c>
      <c r="V412">
        <f>'Revenue drivers'!V462</f>
        <v>0.43333333333333335</v>
      </c>
      <c r="W412">
        <f>'Revenue drivers'!W462</f>
        <v>0.44791666666666669</v>
      </c>
      <c r="X412">
        <f>'Revenue drivers'!X462</f>
        <v>0.45360824742268041</v>
      </c>
      <c r="Y412">
        <f>'Revenue drivers'!Y462</f>
        <v>0.46</v>
      </c>
      <c r="Z412">
        <f>'Revenue drivers'!Z462</f>
        <v>0.47169811320754718</v>
      </c>
      <c r="AA412">
        <f>'Revenue drivers'!AA462</f>
        <v>0.45945945945945948</v>
      </c>
      <c r="AB412">
        <f>'Revenue drivers'!AB462</f>
        <v>0.47863247863247865</v>
      </c>
      <c r="AC412">
        <f>'Revenue drivers'!AC462</f>
        <v>0.49166666666666664</v>
      </c>
      <c r="AD412">
        <f>'Revenue drivers'!AD462</f>
        <v>0.50806451612903225</v>
      </c>
      <c r="AE412">
        <f>'Revenue drivers'!AE462</f>
        <v>0.51968503937007871</v>
      </c>
      <c r="AF412">
        <f>'Revenue drivers'!AF462</f>
        <v>0.53787878787878785</v>
      </c>
      <c r="AG412">
        <f>'Revenue drivers'!AG462</f>
        <v>0.55474452554744524</v>
      </c>
      <c r="AH412">
        <f>'Revenue drivers'!AH462</f>
        <v>0.57042253521126762</v>
      </c>
      <c r="AI412">
        <f>'Revenue drivers'!AI462</f>
        <v>0.58503401360544216</v>
      </c>
      <c r="AJ412">
        <f>'Revenue drivers'!AJ462</f>
        <v>0.59868421052631582</v>
      </c>
      <c r="AL412">
        <f>'Revenue drivers'!BF462</f>
        <v>0</v>
      </c>
      <c r="AM412">
        <f>'Revenue drivers'!BG462</f>
        <v>0</v>
      </c>
      <c r="AN412">
        <f>'Revenue drivers'!BH462</f>
        <v>0</v>
      </c>
      <c r="AO412">
        <f>'Revenue drivers'!BI462</f>
        <v>0.1111111111111111</v>
      </c>
      <c r="AP412">
        <f>'Revenue drivers'!BJ462</f>
        <v>0.22448979591836735</v>
      </c>
      <c r="AQ412">
        <f>'Revenue drivers'!BK462</f>
        <v>0.352112676056338</v>
      </c>
      <c r="AR412">
        <f>'Revenue drivers'!BL462</f>
        <v>0.45360824742268041</v>
      </c>
      <c r="AS412">
        <f>'Revenue drivers'!BM462</f>
        <v>0.47863247863247865</v>
      </c>
      <c r="AT412">
        <f>'Revenue drivers'!BN462</f>
        <v>0.53787878787878785</v>
      </c>
      <c r="AU412">
        <f>'Revenue drivers'!BO462</f>
        <v>0.59868421052631582</v>
      </c>
      <c r="AV412">
        <f>'Revenue drivers'!BP462</f>
        <v>0.64534883720930236</v>
      </c>
      <c r="AW412">
        <f>'Revenue drivers'!BQ462</f>
        <v>0.68229166666666663</v>
      </c>
      <c r="AX412">
        <f>'Revenue drivers'!BR462</f>
        <v>0.71226415094339623</v>
      </c>
      <c r="AY412">
        <f>'Revenue drivers'!BS462</f>
        <v>0.73706896551724133</v>
      </c>
      <c r="AZ412">
        <f>'Revenue drivers'!BT462</f>
        <v>0.75793650793650791</v>
      </c>
    </row>
    <row r="414" spans="9:52" ht="11.25" customHeight="1">
      <c r="I414">
        <f>'Revenue drivers'!I463</f>
        <v>0</v>
      </c>
      <c r="M414">
        <f>'Revenue drivers'!M463</f>
        <v>0</v>
      </c>
      <c r="N414">
        <f>'Revenue drivers'!N463</f>
        <v>0</v>
      </c>
      <c r="O414">
        <f>'Revenue drivers'!O463</f>
        <v>0</v>
      </c>
      <c r="P414">
        <f>'Revenue drivers'!P463</f>
        <v>0</v>
      </c>
      <c r="Q414">
        <f>'Revenue drivers'!Q463</f>
        <v>0</v>
      </c>
      <c r="R414">
        <f>'Revenue drivers'!R463</f>
        <v>0</v>
      </c>
      <c r="S414">
        <f>'Revenue drivers'!S463</f>
        <v>0</v>
      </c>
      <c r="T414">
        <f>'Revenue drivers'!T463</f>
        <v>0</v>
      </c>
      <c r="U414">
        <f>'Revenue drivers'!U463</f>
        <v>0</v>
      </c>
      <c r="V414">
        <f>'Revenue drivers'!V463</f>
        <v>0</v>
      </c>
      <c r="W414">
        <f>'Revenue drivers'!W463</f>
        <v>0</v>
      </c>
      <c r="X414">
        <f>'Revenue drivers'!X463</f>
        <v>0</v>
      </c>
      <c r="Y414">
        <f>'Revenue drivers'!Y463</f>
        <v>0</v>
      </c>
      <c r="Z414">
        <f>'Revenue drivers'!Z463</f>
        <v>0</v>
      </c>
      <c r="AA414">
        <f>'Revenue drivers'!AA463</f>
        <v>0</v>
      </c>
      <c r="AB414">
        <f>'Revenue drivers'!AB463</f>
        <v>0</v>
      </c>
      <c r="AC414">
        <f>'Revenue drivers'!AC463</f>
        <v>0</v>
      </c>
      <c r="AD414">
        <f>'Revenue drivers'!AD463</f>
        <v>0</v>
      </c>
      <c r="AE414">
        <f>'Revenue drivers'!AE463</f>
        <v>0</v>
      </c>
      <c r="AF414">
        <f>'Revenue drivers'!AF463</f>
        <v>0</v>
      </c>
      <c r="AG414">
        <f>'Revenue drivers'!AG463</f>
        <v>0</v>
      </c>
      <c r="AH414">
        <f>'Revenue drivers'!AH463</f>
        <v>0</v>
      </c>
      <c r="AI414">
        <f>'Revenue drivers'!AI463</f>
        <v>0</v>
      </c>
      <c r="AJ414">
        <f>'Revenue drivers'!AJ463</f>
        <v>0</v>
      </c>
      <c r="AL414">
        <f>'Revenue drivers'!BF463</f>
        <v>0</v>
      </c>
      <c r="AM414">
        <f>'Revenue drivers'!BG463</f>
        <v>0</v>
      </c>
      <c r="AN414">
        <f>'Revenue drivers'!BH463</f>
        <v>0</v>
      </c>
      <c r="AO414">
        <f>'Revenue drivers'!BI463</f>
        <v>0</v>
      </c>
      <c r="AP414">
        <f>'Revenue drivers'!BJ463</f>
        <v>0</v>
      </c>
      <c r="AQ414">
        <f>'Revenue drivers'!BK463</f>
        <v>0</v>
      </c>
      <c r="AR414">
        <f>'Revenue drivers'!BL463</f>
        <v>0</v>
      </c>
      <c r="AS414">
        <f>'Revenue drivers'!BM463</f>
        <v>0</v>
      </c>
      <c r="AT414">
        <f>'Revenue drivers'!BN463</f>
        <v>0</v>
      </c>
      <c r="AU414">
        <f>'Revenue drivers'!BO463</f>
        <v>0</v>
      </c>
      <c r="AV414">
        <f>'Revenue drivers'!BP463</f>
        <v>0</v>
      </c>
      <c r="AW414">
        <f>'Revenue drivers'!BQ463</f>
        <v>0</v>
      </c>
      <c r="AX414">
        <f>'Revenue drivers'!BR463</f>
        <v>0</v>
      </c>
      <c r="AY414">
        <f>'Revenue drivers'!BS463</f>
        <v>0</v>
      </c>
      <c r="AZ414">
        <f>'Revenue drivers'!BT463</f>
        <v>0</v>
      </c>
    </row>
    <row r="415" spans="9:52" ht="11.25" customHeight="1">
      <c r="I415">
        <f>'Revenue drivers'!I464</f>
        <v>0</v>
      </c>
      <c r="M415">
        <f>'Revenue drivers'!M464</f>
        <v>0</v>
      </c>
      <c r="N415">
        <f>'Revenue drivers'!N464</f>
        <v>0</v>
      </c>
      <c r="O415">
        <f>'Revenue drivers'!O464</f>
        <v>0</v>
      </c>
      <c r="P415">
        <f>'Revenue drivers'!P464</f>
        <v>0</v>
      </c>
      <c r="Q415">
        <f>'Revenue drivers'!Q464</f>
        <v>0</v>
      </c>
      <c r="R415">
        <f>'Revenue drivers'!R464</f>
        <v>0</v>
      </c>
      <c r="S415">
        <f>'Revenue drivers'!S464</f>
        <v>0</v>
      </c>
      <c r="T415">
        <f>'Revenue drivers'!T464</f>
        <v>0</v>
      </c>
      <c r="U415">
        <f>'Revenue drivers'!U464</f>
        <v>0</v>
      </c>
      <c r="V415">
        <f>'Revenue drivers'!V464</f>
        <v>0</v>
      </c>
      <c r="W415">
        <f>'Revenue drivers'!W464</f>
        <v>0</v>
      </c>
      <c r="X415">
        <f>'Revenue drivers'!X464</f>
        <v>0</v>
      </c>
      <c r="Y415">
        <f>'Revenue drivers'!Y464</f>
        <v>0</v>
      </c>
      <c r="Z415">
        <f>'Revenue drivers'!Z464</f>
        <v>0</v>
      </c>
      <c r="AA415">
        <f>'Revenue drivers'!AA464</f>
        <v>0</v>
      </c>
      <c r="AB415">
        <f>'Revenue drivers'!AB464</f>
        <v>0</v>
      </c>
      <c r="AC415">
        <f>'Revenue drivers'!AC464</f>
        <v>0</v>
      </c>
      <c r="AD415">
        <f>'Revenue drivers'!AD464</f>
        <v>0</v>
      </c>
      <c r="AE415">
        <f>'Revenue drivers'!AE464</f>
        <v>0</v>
      </c>
      <c r="AF415">
        <f>'Revenue drivers'!AF464</f>
        <v>0</v>
      </c>
      <c r="AG415">
        <f>'Revenue drivers'!AG464</f>
        <v>0</v>
      </c>
      <c r="AH415">
        <f>'Revenue drivers'!AH464</f>
        <v>0</v>
      </c>
      <c r="AI415">
        <f>'Revenue drivers'!AI464</f>
        <v>0</v>
      </c>
      <c r="AJ415">
        <f>'Revenue drivers'!AJ464</f>
        <v>0</v>
      </c>
      <c r="AL415">
        <f>'Revenue drivers'!BF464</f>
        <v>0</v>
      </c>
      <c r="AM415">
        <f>'Revenue drivers'!BG464</f>
        <v>0</v>
      </c>
      <c r="AN415">
        <f>'Revenue drivers'!BH464</f>
        <v>0</v>
      </c>
      <c r="AO415">
        <f>'Revenue drivers'!BI464</f>
        <v>0</v>
      </c>
      <c r="AP415">
        <f>'Revenue drivers'!BJ464</f>
        <v>0</v>
      </c>
      <c r="AQ415">
        <f>'Revenue drivers'!BK464</f>
        <v>0</v>
      </c>
      <c r="AR415">
        <f>'Revenue drivers'!BL464</f>
        <v>0</v>
      </c>
      <c r="AS415">
        <f>'Revenue drivers'!BM464</f>
        <v>0</v>
      </c>
      <c r="AT415">
        <f>'Revenue drivers'!BN464</f>
        <v>0</v>
      </c>
      <c r="AU415">
        <f>'Revenue drivers'!BO464</f>
        <v>0</v>
      </c>
      <c r="AV415">
        <f>'Revenue drivers'!BP464</f>
        <v>0</v>
      </c>
      <c r="AW415">
        <f>'Revenue drivers'!BQ464</f>
        <v>0</v>
      </c>
      <c r="AX415">
        <f>'Revenue drivers'!BR464</f>
        <v>0</v>
      </c>
      <c r="AY415">
        <f>'Revenue drivers'!BS464</f>
        <v>0</v>
      </c>
      <c r="AZ415">
        <f>'Revenue drivers'!BT464</f>
        <v>0</v>
      </c>
    </row>
    <row r="416" spans="9:52" ht="11.25" customHeight="1">
      <c r="I416" t="str">
        <f>'Revenue drivers'!I470</f>
        <v>BRAND ADVERTISING REVENUE</v>
      </c>
      <c r="M416">
        <f>'Revenue drivers'!M470</f>
        <v>0</v>
      </c>
      <c r="N416">
        <f>'Revenue drivers'!N470</f>
        <v>0</v>
      </c>
      <c r="O416">
        <f>'Revenue drivers'!O470</f>
        <v>0</v>
      </c>
      <c r="P416">
        <f>'Revenue drivers'!P470</f>
        <v>0</v>
      </c>
      <c r="Q416">
        <f>'Revenue drivers'!Q470</f>
        <v>0</v>
      </c>
      <c r="R416">
        <f>'Revenue drivers'!R470</f>
        <v>0</v>
      </c>
      <c r="S416">
        <f>'Revenue drivers'!S470</f>
        <v>0</v>
      </c>
      <c r="T416">
        <f>'Revenue drivers'!T470</f>
        <v>0</v>
      </c>
      <c r="U416">
        <f>'Revenue drivers'!U470</f>
        <v>0</v>
      </c>
      <c r="V416">
        <f>'Revenue drivers'!V470</f>
        <v>0</v>
      </c>
      <c r="W416">
        <f>'Revenue drivers'!W470</f>
        <v>0</v>
      </c>
      <c r="X416">
        <f>'Revenue drivers'!X470</f>
        <v>0</v>
      </c>
      <c r="Y416">
        <f>'Revenue drivers'!Y470</f>
        <v>0</v>
      </c>
      <c r="Z416">
        <f>'Revenue drivers'!Z470</f>
        <v>0</v>
      </c>
      <c r="AA416">
        <f>'Revenue drivers'!AA470</f>
        <v>0</v>
      </c>
      <c r="AB416">
        <f>'Revenue drivers'!AB470</f>
        <v>0</v>
      </c>
      <c r="AC416">
        <f>'Revenue drivers'!AC470</f>
        <v>0</v>
      </c>
      <c r="AD416">
        <f>'Revenue drivers'!AD470</f>
        <v>0</v>
      </c>
      <c r="AE416">
        <f>'Revenue drivers'!AE470</f>
        <v>0</v>
      </c>
      <c r="AF416">
        <f>'Revenue drivers'!AF470</f>
        <v>0</v>
      </c>
      <c r="AG416">
        <f>'Revenue drivers'!AG470</f>
        <v>0</v>
      </c>
      <c r="AH416">
        <f>'Revenue drivers'!AH470</f>
        <v>0</v>
      </c>
      <c r="AI416">
        <f>'Revenue drivers'!AI470</f>
        <v>0</v>
      </c>
      <c r="AJ416">
        <f>'Revenue drivers'!AJ470</f>
        <v>0</v>
      </c>
      <c r="AL416">
        <f>'Revenue drivers'!BF470</f>
        <v>0</v>
      </c>
      <c r="AM416">
        <f>'Revenue drivers'!BG470</f>
        <v>0</v>
      </c>
      <c r="AN416">
        <f>'Revenue drivers'!BH470</f>
        <v>0</v>
      </c>
      <c r="AO416">
        <f>'Revenue drivers'!BI470</f>
        <v>0</v>
      </c>
      <c r="AP416">
        <f>'Revenue drivers'!BJ470</f>
        <v>0</v>
      </c>
      <c r="AQ416">
        <f>'Revenue drivers'!BK470</f>
        <v>0</v>
      </c>
      <c r="AR416">
        <f>'Revenue drivers'!BL470</f>
        <v>0</v>
      </c>
      <c r="AS416">
        <f>'Revenue drivers'!BM470</f>
        <v>0</v>
      </c>
      <c r="AT416">
        <f>'Revenue drivers'!BN470</f>
        <v>0</v>
      </c>
      <c r="AU416">
        <f>'Revenue drivers'!BO470</f>
        <v>0</v>
      </c>
      <c r="AV416">
        <f>'Revenue drivers'!BP470</f>
        <v>0</v>
      </c>
      <c r="AW416">
        <f>'Revenue drivers'!BQ470</f>
        <v>0</v>
      </c>
      <c r="AX416">
        <f>'Revenue drivers'!BR470</f>
        <v>0</v>
      </c>
      <c r="AY416">
        <f>'Revenue drivers'!BS470</f>
        <v>0</v>
      </c>
      <c r="AZ416">
        <f>'Revenue drivers'!BT470</f>
        <v>0</v>
      </c>
    </row>
    <row r="417" spans="9:52" ht="11.25" customHeight="1">
      <c r="I417">
        <f>'Revenue drivers'!I471</f>
        <v>0</v>
      </c>
      <c r="M417">
        <f>'Revenue drivers'!M471</f>
        <v>0</v>
      </c>
      <c r="N417">
        <f>'Revenue drivers'!N471</f>
        <v>0</v>
      </c>
      <c r="O417">
        <f>'Revenue drivers'!O471</f>
        <v>0</v>
      </c>
      <c r="P417">
        <f>'Revenue drivers'!P471</f>
        <v>0</v>
      </c>
      <c r="Q417">
        <f>'Revenue drivers'!Q471</f>
        <v>0</v>
      </c>
      <c r="R417">
        <f>'Revenue drivers'!R471</f>
        <v>0</v>
      </c>
      <c r="S417">
        <f>'Revenue drivers'!S471</f>
        <v>0</v>
      </c>
      <c r="T417">
        <f>'Revenue drivers'!T471</f>
        <v>0</v>
      </c>
      <c r="U417">
        <f>'Revenue drivers'!U471</f>
        <v>0</v>
      </c>
      <c r="V417">
        <f>'Revenue drivers'!V471</f>
        <v>0</v>
      </c>
      <c r="W417">
        <f>'Revenue drivers'!W471</f>
        <v>0</v>
      </c>
      <c r="X417">
        <f>'Revenue drivers'!X471</f>
        <v>0</v>
      </c>
      <c r="Y417">
        <f>'Revenue drivers'!Y471</f>
        <v>0</v>
      </c>
      <c r="Z417">
        <f>'Revenue drivers'!Z471</f>
        <v>0</v>
      </c>
      <c r="AA417">
        <f>'Revenue drivers'!AA471</f>
        <v>0</v>
      </c>
      <c r="AB417">
        <f>'Revenue drivers'!AB471</f>
        <v>0</v>
      </c>
      <c r="AC417">
        <f>'Revenue drivers'!AC471</f>
        <v>0</v>
      </c>
      <c r="AD417">
        <f>'Revenue drivers'!AD471</f>
        <v>0</v>
      </c>
      <c r="AE417">
        <f>'Revenue drivers'!AE471</f>
        <v>0</v>
      </c>
      <c r="AF417">
        <f>'Revenue drivers'!AF471</f>
        <v>0</v>
      </c>
      <c r="AG417">
        <f>'Revenue drivers'!AG471</f>
        <v>0</v>
      </c>
      <c r="AH417">
        <f>'Revenue drivers'!AH471</f>
        <v>0</v>
      </c>
      <c r="AI417">
        <f>'Revenue drivers'!AI471</f>
        <v>0</v>
      </c>
      <c r="AJ417">
        <f>'Revenue drivers'!AJ471</f>
        <v>0</v>
      </c>
      <c r="AL417">
        <f>'Revenue drivers'!BF471</f>
        <v>0</v>
      </c>
      <c r="AM417">
        <f>'Revenue drivers'!BG471</f>
        <v>0</v>
      </c>
      <c r="AN417">
        <f>'Revenue drivers'!BH471</f>
        <v>0</v>
      </c>
      <c r="AO417">
        <f>'Revenue drivers'!BI471</f>
        <v>0</v>
      </c>
      <c r="AP417">
        <f>'Revenue drivers'!BJ471</f>
        <v>0</v>
      </c>
      <c r="AQ417">
        <f>'Revenue drivers'!BK471</f>
        <v>0</v>
      </c>
      <c r="AR417">
        <f>'Revenue drivers'!BL471</f>
        <v>0</v>
      </c>
      <c r="AS417">
        <f>'Revenue drivers'!BM471</f>
        <v>0</v>
      </c>
      <c r="AT417">
        <f>'Revenue drivers'!BN471</f>
        <v>0</v>
      </c>
      <c r="AU417">
        <f>'Revenue drivers'!BO471</f>
        <v>0</v>
      </c>
      <c r="AV417">
        <f>'Revenue drivers'!BP471</f>
        <v>0</v>
      </c>
      <c r="AW417">
        <f>'Revenue drivers'!BQ471</f>
        <v>0</v>
      </c>
      <c r="AX417">
        <f>'Revenue drivers'!BR471</f>
        <v>0</v>
      </c>
      <c r="AY417">
        <f>'Revenue drivers'!BS471</f>
        <v>0</v>
      </c>
      <c r="AZ417">
        <f>'Revenue drivers'!BT471</f>
        <v>0</v>
      </c>
    </row>
    <row r="418" spans="9:52" ht="11.25" customHeight="1">
      <c r="I418" t="str">
        <f>'Revenue drivers'!I472</f>
        <v>Brand advertising revenue</v>
      </c>
      <c r="M418">
        <f>'Revenue drivers'!M472</f>
        <v>1.9350000000000001</v>
      </c>
      <c r="N418">
        <f>'Revenue drivers'!N472</f>
        <v>2.4620000000000002</v>
      </c>
      <c r="O418">
        <f>'Revenue drivers'!O472</f>
        <v>3.1949999999999998</v>
      </c>
      <c r="P418">
        <f>'Revenue drivers'!P472</f>
        <v>4.4539999999999997</v>
      </c>
      <c r="Q418">
        <f>'Revenue drivers'!Q472</f>
        <v>3.5830000000000002</v>
      </c>
      <c r="R418">
        <f>'Revenue drivers'!R472</f>
        <v>4.4710000000000001</v>
      </c>
      <c r="S418">
        <f>'Revenue drivers'!S472</f>
        <v>4.5990000000000002</v>
      </c>
      <c r="T418">
        <f>'Revenue drivers'!T472</f>
        <v>5.0330000000000004</v>
      </c>
      <c r="U418">
        <f>'Revenue drivers'!U472</f>
        <v>3.9940000000000002</v>
      </c>
      <c r="V418">
        <f>'Revenue drivers'!V472</f>
        <v>5.7030000000000003</v>
      </c>
      <c r="W418">
        <f>'Revenue drivers'!W472</f>
        <v>5.8860000000000001</v>
      </c>
      <c r="X418">
        <f>'Revenue drivers'!X472</f>
        <v>4.9969999999999963</v>
      </c>
      <c r="Y418">
        <f>'Revenue drivers'!Y472</f>
        <v>4.767000000000003</v>
      </c>
      <c r="Z418">
        <f>'Revenue drivers'!Z472</f>
        <v>7.0530000000000062</v>
      </c>
      <c r="AA418">
        <f>'Revenue drivers'!AA472</f>
        <v>6.9099999999999957</v>
      </c>
      <c r="AB418">
        <f>'Revenue drivers'!AB472</f>
        <v>9.2439999999999962</v>
      </c>
      <c r="AC418">
        <f>'Revenue drivers'!AC472</f>
        <v>7.4569999999999936</v>
      </c>
      <c r="AD418">
        <f>'Revenue drivers'!AD472</f>
        <v>9.0550000000000033</v>
      </c>
      <c r="AE418">
        <f>'Revenue drivers'!AE472</f>
        <v>9.3179999999999925</v>
      </c>
      <c r="AF418">
        <f>'Revenue drivers'!AF472</f>
        <v>8.6870000000000065</v>
      </c>
      <c r="AG418">
        <f>'Revenue drivers'!AG472</f>
        <v>6.6</v>
      </c>
      <c r="AH418">
        <f>'Revenue drivers'!AH472</f>
        <v>11.3</v>
      </c>
      <c r="AI418">
        <f>'Revenue drivers'!AI472</f>
        <v>9</v>
      </c>
      <c r="AJ418">
        <f>'Revenue drivers'!AJ472</f>
        <v>7.1050000000000004</v>
      </c>
      <c r="AL418">
        <f>'Revenue drivers'!BF472</f>
        <v>0</v>
      </c>
      <c r="AM418">
        <f>'Revenue drivers'!BG472</f>
        <v>0</v>
      </c>
      <c r="AN418">
        <f>'Revenue drivers'!BH472</f>
        <v>2.9550000000000001</v>
      </c>
      <c r="AO418">
        <f>'Revenue drivers'!BI472</f>
        <v>5.3929999999999998</v>
      </c>
      <c r="AP418">
        <f>'Revenue drivers'!BJ472</f>
        <v>12.045999999999999</v>
      </c>
      <c r="AQ418">
        <f>'Revenue drivers'!BK472</f>
        <v>17.686</v>
      </c>
      <c r="AR418">
        <f>'Revenue drivers'!BL472</f>
        <v>20.58</v>
      </c>
      <c r="AS418">
        <f>'Revenue drivers'!BM472</f>
        <v>27.974</v>
      </c>
      <c r="AT418">
        <f>'Revenue drivers'!BN472</f>
        <v>34.516999999999996</v>
      </c>
      <c r="AU418">
        <f>'Revenue drivers'!BO472</f>
        <v>34.004999999999995</v>
      </c>
      <c r="AV418">
        <f>'Revenue drivers'!BP472</f>
        <v>0</v>
      </c>
      <c r="AW418">
        <f>'Revenue drivers'!BQ472</f>
        <v>0</v>
      </c>
      <c r="AX418">
        <f>'Revenue drivers'!BR472</f>
        <v>0</v>
      </c>
      <c r="AY418">
        <f>'Revenue drivers'!BS472</f>
        <v>0</v>
      </c>
      <c r="AZ418">
        <f>'Revenue drivers'!BT472</f>
        <v>0</v>
      </c>
    </row>
    <row r="419" spans="9:52" ht="11.25" customHeight="1">
      <c r="I419" t="str">
        <f>'Revenue drivers'!I473</f>
        <v>% change Y/Y</v>
      </c>
      <c r="M419" t="str">
        <f>'Revenue drivers'!M473</f>
        <v>NA</v>
      </c>
      <c r="N419" t="str">
        <f>'Revenue drivers'!N473</f>
        <v>NA</v>
      </c>
      <c r="O419" t="str">
        <f>'Revenue drivers'!O473</f>
        <v>NA</v>
      </c>
      <c r="P419" t="str">
        <f>'Revenue drivers'!P473</f>
        <v>NA</v>
      </c>
      <c r="Q419">
        <f>'Revenue drivers'!Q473</f>
        <v>0.85167958656330756</v>
      </c>
      <c r="R419">
        <f>'Revenue drivers'!R473</f>
        <v>0.8160032493907392</v>
      </c>
      <c r="S419">
        <f>'Revenue drivers'!S473</f>
        <v>0.43943661971830994</v>
      </c>
      <c r="T419">
        <f>'Revenue drivers'!T473</f>
        <v>0.12999550965424356</v>
      </c>
      <c r="U419">
        <f>'Revenue drivers'!U473</f>
        <v>0.11470834496232207</v>
      </c>
      <c r="V419">
        <f>'Revenue drivers'!V473</f>
        <v>0.27555356743457837</v>
      </c>
      <c r="W419">
        <f>'Revenue drivers'!W473</f>
        <v>0.27984344422700591</v>
      </c>
      <c r="X419">
        <f>'Revenue drivers'!X473</f>
        <v>-7.1527915756017801E-3</v>
      </c>
      <c r="Y419">
        <f>'Revenue drivers'!Y473</f>
        <v>0.19354031046569919</v>
      </c>
      <c r="Z419">
        <f>'Revenue drivers'!Z473</f>
        <v>0.23671751709626609</v>
      </c>
      <c r="AA419">
        <f>'Revenue drivers'!AA473</f>
        <v>0.17397213727488881</v>
      </c>
      <c r="AB419">
        <f>'Revenue drivers'!AB473</f>
        <v>0.84990994596758118</v>
      </c>
      <c r="AC419">
        <f>'Revenue drivers'!AC473</f>
        <v>0.56429620306272055</v>
      </c>
      <c r="AD419">
        <f>'Revenue drivers'!AD473</f>
        <v>0.28385084361264634</v>
      </c>
      <c r="AE419">
        <f>'Revenue drivers'!AE473</f>
        <v>0.34848046309696068</v>
      </c>
      <c r="AF419">
        <f>'Revenue drivers'!AF473</f>
        <v>-6.025530073561125E-2</v>
      </c>
      <c r="AG419">
        <f>'Revenue drivers'!AG473</f>
        <v>-0.11492557328684383</v>
      </c>
      <c r="AH419">
        <f>'Revenue drivers'!AH473</f>
        <v>0.24792932081722774</v>
      </c>
      <c r="AI419">
        <f>'Revenue drivers'!AI473</f>
        <v>-3.4127495170636735E-2</v>
      </c>
      <c r="AJ419">
        <f>'Revenue drivers'!AJ473</f>
        <v>-0.18211120064464204</v>
      </c>
      <c r="AL419">
        <f>'Revenue drivers'!BF473</f>
        <v>0</v>
      </c>
      <c r="AM419">
        <f>'Revenue drivers'!BG473</f>
        <v>0</v>
      </c>
      <c r="AN419" t="str">
        <f>'Revenue drivers'!BH473</f>
        <v>NA</v>
      </c>
      <c r="AO419">
        <f>'Revenue drivers'!BI473</f>
        <v>0.825042301184433</v>
      </c>
      <c r="AP419">
        <f>'Revenue drivers'!BJ473</f>
        <v>1.2336361950676804</v>
      </c>
      <c r="AQ419">
        <f>'Revenue drivers'!BK473</f>
        <v>0.46820521334882947</v>
      </c>
      <c r="AR419">
        <f>'Revenue drivers'!BL473</f>
        <v>0.16363225149836014</v>
      </c>
      <c r="AS419">
        <f>'Revenue drivers'!BM473</f>
        <v>0.35928085519922259</v>
      </c>
      <c r="AT419">
        <f>'Revenue drivers'!BN473</f>
        <v>0.23389576034889514</v>
      </c>
      <c r="AU419">
        <f>'Revenue drivers'!BO473</f>
        <v>-1.4833270562331635E-2</v>
      </c>
      <c r="AV419" t="str">
        <f>'Revenue drivers'!BP473</f>
        <v>NM</v>
      </c>
      <c r="AW419" t="str">
        <f>'Revenue drivers'!BQ473</f>
        <v>NA</v>
      </c>
      <c r="AX419" t="str">
        <f>'Revenue drivers'!BR473</f>
        <v>NA</v>
      </c>
      <c r="AY419" t="str">
        <f>'Revenue drivers'!BS473</f>
        <v>NA</v>
      </c>
      <c r="AZ419" t="str">
        <f>'Revenue drivers'!BT473</f>
        <v>NA</v>
      </c>
    </row>
    <row r="420" spans="9:52" ht="11.25" customHeight="1">
      <c r="I420" t="str">
        <f>'Revenue drivers'!I475</f>
        <v>% change Q/Q</v>
      </c>
      <c r="M420" t="str">
        <f>'Revenue drivers'!M475</f>
        <v>NA</v>
      </c>
      <c r="N420">
        <f>'Revenue drivers'!N475</f>
        <v>0.27235142118863065</v>
      </c>
      <c r="O420">
        <f>'Revenue drivers'!O475</f>
        <v>0.29772542648253442</v>
      </c>
      <c r="P420">
        <f>'Revenue drivers'!P475</f>
        <v>0.39405320813771527</v>
      </c>
      <c r="Q420">
        <f>'Revenue drivers'!Q475</f>
        <v>-0.19555455770094288</v>
      </c>
      <c r="R420">
        <f>'Revenue drivers'!R475</f>
        <v>0.24783700809377618</v>
      </c>
      <c r="S420">
        <f>'Revenue drivers'!S475</f>
        <v>2.8628942071124985E-2</v>
      </c>
      <c r="T420">
        <f>'Revenue drivers'!T475</f>
        <v>9.4368340943683515E-2</v>
      </c>
      <c r="U420">
        <f>'Revenue drivers'!U475</f>
        <v>-0.20643751241804098</v>
      </c>
      <c r="V420">
        <f>'Revenue drivers'!V475</f>
        <v>0.42789183775663497</v>
      </c>
      <c r="W420">
        <f>'Revenue drivers'!W475</f>
        <v>3.2088374539715803E-2</v>
      </c>
      <c r="X420">
        <f>'Revenue drivers'!X475</f>
        <v>-0.1510363574583764</v>
      </c>
      <c r="Y420">
        <f>'Revenue drivers'!Y475</f>
        <v>-4.6027616569940699E-2</v>
      </c>
      <c r="Z420">
        <f>'Revenue drivers'!Z475</f>
        <v>0.47954688483322871</v>
      </c>
      <c r="AA420">
        <f>'Revenue drivers'!AA475</f>
        <v>-2.0275060258047706E-2</v>
      </c>
      <c r="AB420">
        <f>'Revenue drivers'!AB475</f>
        <v>0.33777134587554292</v>
      </c>
      <c r="AC420">
        <f>'Revenue drivers'!AC475</f>
        <v>-0.19331458243184807</v>
      </c>
      <c r="AD420">
        <f>'Revenue drivers'!AD475</f>
        <v>0.21429529301327754</v>
      </c>
      <c r="AE420">
        <f>'Revenue drivers'!AE475</f>
        <v>2.9044726670346632E-2</v>
      </c>
      <c r="AF420">
        <f>'Revenue drivers'!AF475</f>
        <v>-6.7718394505257185E-2</v>
      </c>
      <c r="AG420">
        <f>'Revenue drivers'!AG475</f>
        <v>-0.24024404282260914</v>
      </c>
      <c r="AH420">
        <f>'Revenue drivers'!AH475</f>
        <v>0.71212121212121238</v>
      </c>
      <c r="AI420">
        <f>'Revenue drivers'!AI475</f>
        <v>-0.20353982300884965</v>
      </c>
      <c r="AJ420">
        <f>'Revenue drivers'!AJ475</f>
        <v>-0.2105555555555555</v>
      </c>
      <c r="AL420">
        <f>'Revenue drivers'!BF475</f>
        <v>0</v>
      </c>
      <c r="AM420">
        <f>'Revenue drivers'!BG475</f>
        <v>0</v>
      </c>
      <c r="AN420">
        <f>'Revenue drivers'!BH475</f>
        <v>0</v>
      </c>
      <c r="AO420">
        <f>'Revenue drivers'!BI475</f>
        <v>0</v>
      </c>
      <c r="AP420">
        <f>'Revenue drivers'!BJ475</f>
        <v>0</v>
      </c>
      <c r="AQ420">
        <f>'Revenue drivers'!BK475</f>
        <v>0</v>
      </c>
      <c r="AR420">
        <f>'Revenue drivers'!BL475</f>
        <v>0</v>
      </c>
      <c r="AS420">
        <f>'Revenue drivers'!BM475</f>
        <v>0</v>
      </c>
      <c r="AT420">
        <f>'Revenue drivers'!BN475</f>
        <v>0</v>
      </c>
      <c r="AU420">
        <f>'Revenue drivers'!BO475</f>
        <v>0</v>
      </c>
      <c r="AV420">
        <f>'Revenue drivers'!BP475</f>
        <v>0</v>
      </c>
      <c r="AW420">
        <f>'Revenue drivers'!BQ475</f>
        <v>0</v>
      </c>
      <c r="AX420">
        <f>'Revenue drivers'!BR475</f>
        <v>0</v>
      </c>
      <c r="AY420">
        <f>'Revenue drivers'!BS475</f>
        <v>0</v>
      </c>
      <c r="AZ420">
        <f>'Revenue drivers'!BT475</f>
        <v>0</v>
      </c>
    </row>
    <row r="421" spans="9:52" ht="11.25" customHeight="1">
      <c r="I421" t="str">
        <f>'Revenue drivers'!I476</f>
        <v>% of total revenue</v>
      </c>
      <c r="M421">
        <f>'Revenue drivers'!M476</f>
        <v>0.2117994746059545</v>
      </c>
      <c r="N421">
        <f>'Revenue drivers'!N476</f>
        <v>0.22951430968583952</v>
      </c>
      <c r="O421">
        <f>'Revenue drivers'!O476</f>
        <v>0.25369223439733202</v>
      </c>
      <c r="P421">
        <f>'Revenue drivers'!P476</f>
        <v>0.29160665182663348</v>
      </c>
      <c r="Q421">
        <f>'Revenue drivers'!Q476</f>
        <v>0.21715151515151515</v>
      </c>
      <c r="R421">
        <f>'Revenue drivers'!R476</f>
        <v>0.22836857697415466</v>
      </c>
      <c r="S421">
        <f>'Revenue drivers'!S476</f>
        <v>0.20621468926553674</v>
      </c>
      <c r="T421">
        <f>'Revenue drivers'!T476</f>
        <v>0.20208793414976914</v>
      </c>
      <c r="U421">
        <f>'Revenue drivers'!U476</f>
        <v>0.14584626620412636</v>
      </c>
      <c r="V421">
        <f>'Revenue drivers'!V476</f>
        <v>0.17465470247756715</v>
      </c>
      <c r="W421">
        <f>'Revenue drivers'!W476</f>
        <v>0.16183222897363284</v>
      </c>
      <c r="X421">
        <f>'Revenue drivers'!X476</f>
        <v>0.12141312534927222</v>
      </c>
      <c r="Y421">
        <f>'Revenue drivers'!Y476</f>
        <v>0.10333167147161473</v>
      </c>
      <c r="Z421">
        <f>'Revenue drivers'!Z476</f>
        <v>0.12818275993675382</v>
      </c>
      <c r="AA421">
        <f>'Revenue drivers'!AA476</f>
        <v>0.1129435609094326</v>
      </c>
      <c r="AB421">
        <f>'Revenue drivers'!AB476</f>
        <v>0.13084032780852353</v>
      </c>
      <c r="AC421">
        <f>'Revenue drivers'!AC476</f>
        <v>9.7595770021071296E-2</v>
      </c>
      <c r="AD421">
        <f>'Revenue drivers'!AD476</f>
        <v>0.10198565105251899</v>
      </c>
      <c r="AE421">
        <f>'Revenue drivers'!AE476</f>
        <v>9.0947245132009108E-2</v>
      </c>
      <c r="AF421">
        <f>'Revenue drivers'!AF476</f>
        <v>7.9053937226423565E-2</v>
      </c>
      <c r="AG421">
        <f>'Revenue drivers'!AG476</f>
        <v>5.9033989266547404E-2</v>
      </c>
      <c r="AH421">
        <f>'Revenue drivers'!AH476</f>
        <v>8.9968152866242046E-2</v>
      </c>
      <c r="AI421">
        <f>'Revenue drivers'!AI476</f>
        <v>6.6864784546805348E-2</v>
      </c>
      <c r="AJ421">
        <f>'Revenue drivers'!AJ476</f>
        <v>4.8432174505794144E-2</v>
      </c>
      <c r="AL421">
        <f>'Revenue drivers'!BF476</f>
        <v>0</v>
      </c>
      <c r="AM421">
        <f>'Revenue drivers'!BG476</f>
        <v>0</v>
      </c>
      <c r="AN421">
        <f>'Revenue drivers'!BH476</f>
        <v>0.24343026608452095</v>
      </c>
      <c r="AO421">
        <f>'Revenue drivers'!BI476</f>
        <v>0.20896621202727833</v>
      </c>
      <c r="AP421">
        <f>'Revenue drivers'!BJ476</f>
        <v>0.25237267184848416</v>
      </c>
      <c r="AQ421">
        <f>'Revenue drivers'!BK476</f>
        <v>0.21235516599627785</v>
      </c>
      <c r="AR421">
        <f>'Revenue drivers'!BL476</f>
        <v>0.14960091883168808</v>
      </c>
      <c r="AS421">
        <f>'Revenue drivers'!BM476</f>
        <v>0.12006626950744244</v>
      </c>
      <c r="AT421">
        <f>'Revenue drivers'!BN476</f>
        <v>9.1427042719104928E-2</v>
      </c>
      <c r="AU421">
        <f>'Revenue drivers'!BO476</f>
        <v>6.5558126084441865E-2</v>
      </c>
      <c r="AV421">
        <f>'Revenue drivers'!BP476</f>
        <v>0</v>
      </c>
      <c r="AW421">
        <f>'Revenue drivers'!BQ476</f>
        <v>0</v>
      </c>
      <c r="AX421">
        <f>'Revenue drivers'!BR476</f>
        <v>0</v>
      </c>
      <c r="AY421">
        <f>'Revenue drivers'!BS476</f>
        <v>0</v>
      </c>
      <c r="AZ421">
        <f>'Revenue drivers'!BT476</f>
        <v>0</v>
      </c>
    </row>
    <row r="422" spans="9:52" ht="11.25" customHeight="1">
      <c r="I422" t="str">
        <f>'Revenue drivers'!I477</f>
        <v>Y/Y Abs Growth</v>
      </c>
      <c r="M422">
        <f>'Revenue drivers'!M477</f>
        <v>0</v>
      </c>
      <c r="N422">
        <f>'Revenue drivers'!N477</f>
        <v>0</v>
      </c>
      <c r="O422">
        <f>'Revenue drivers'!O477</f>
        <v>0</v>
      </c>
      <c r="P422">
        <f>'Revenue drivers'!P477</f>
        <v>0</v>
      </c>
      <c r="Q422">
        <f>'Revenue drivers'!Q477</f>
        <v>1.6480000000000001</v>
      </c>
      <c r="R422">
        <f>'Revenue drivers'!R477</f>
        <v>2.0089999999999999</v>
      </c>
      <c r="S422">
        <f>'Revenue drivers'!S477</f>
        <v>1.4040000000000004</v>
      </c>
      <c r="T422">
        <f>'Revenue drivers'!T477</f>
        <v>0.57900000000000063</v>
      </c>
      <c r="U422">
        <f>'Revenue drivers'!U477</f>
        <v>0.41100000000000003</v>
      </c>
      <c r="V422">
        <f>'Revenue drivers'!V477</f>
        <v>1.2320000000000002</v>
      </c>
      <c r="W422">
        <f>'Revenue drivers'!W477</f>
        <v>1.2869999999999999</v>
      </c>
      <c r="X422">
        <f>'Revenue drivers'!X477</f>
        <v>-3.6000000000004029E-2</v>
      </c>
      <c r="Y422">
        <f>'Revenue drivers'!Y477</f>
        <v>0.7730000000000028</v>
      </c>
      <c r="Z422">
        <f>'Revenue drivers'!Z477</f>
        <v>1.3500000000000059</v>
      </c>
      <c r="AA422">
        <f>'Revenue drivers'!AA477</f>
        <v>1.0239999999999956</v>
      </c>
      <c r="AB422">
        <f>'Revenue drivers'!AB477</f>
        <v>4.2469999999999999</v>
      </c>
      <c r="AC422">
        <f>'Revenue drivers'!AC477</f>
        <v>2.6899999999999906</v>
      </c>
      <c r="AD422">
        <f>'Revenue drivers'!AD477</f>
        <v>2.0019999999999971</v>
      </c>
      <c r="AE422">
        <f>'Revenue drivers'!AE477</f>
        <v>2.4079999999999968</v>
      </c>
      <c r="AF422">
        <f>'Revenue drivers'!AF477</f>
        <v>-0.55699999999998973</v>
      </c>
      <c r="AG422">
        <f>'Revenue drivers'!AG477</f>
        <v>-0.85699999999999399</v>
      </c>
      <c r="AH422">
        <f>'Revenue drivers'!AH477</f>
        <v>2.2449999999999974</v>
      </c>
      <c r="AI422">
        <f>'Revenue drivers'!AI477</f>
        <v>-0.31799999999999251</v>
      </c>
      <c r="AJ422">
        <f>'Revenue drivers'!AJ477</f>
        <v>-1.5820000000000061</v>
      </c>
      <c r="AL422">
        <f>'Revenue drivers'!BF477</f>
        <v>0</v>
      </c>
      <c r="AM422">
        <f>'Revenue drivers'!BG477</f>
        <v>0</v>
      </c>
      <c r="AN422">
        <f>'Revenue drivers'!BH477</f>
        <v>0</v>
      </c>
      <c r="AO422">
        <f>'Revenue drivers'!BI477</f>
        <v>2.4379999999999997</v>
      </c>
      <c r="AP422">
        <f>'Revenue drivers'!BJ477</f>
        <v>6.6529999999999996</v>
      </c>
      <c r="AQ422">
        <f>'Revenue drivers'!BK477</f>
        <v>5.6400000000000006</v>
      </c>
      <c r="AR422">
        <f>'Revenue drivers'!BL477</f>
        <v>2.8939999999999984</v>
      </c>
      <c r="AS422">
        <f>'Revenue drivers'!BM477</f>
        <v>7.3940000000000019</v>
      </c>
      <c r="AT422">
        <f>'Revenue drivers'!BN477</f>
        <v>6.5429999999999957</v>
      </c>
      <c r="AU422">
        <f>'Revenue drivers'!BO477</f>
        <v>-0.51200000000000045</v>
      </c>
      <c r="AV422">
        <f>'Revenue drivers'!BP477</f>
        <v>-34.004999999999995</v>
      </c>
      <c r="AW422">
        <f>'Revenue drivers'!BQ477</f>
        <v>0</v>
      </c>
      <c r="AX422">
        <f>'Revenue drivers'!BR477</f>
        <v>0</v>
      </c>
      <c r="AY422">
        <f>'Revenue drivers'!BS477</f>
        <v>0</v>
      </c>
      <c r="AZ422">
        <f>'Revenue drivers'!BT477</f>
        <v>0</v>
      </c>
    </row>
    <row r="423" spans="9:52" ht="11.25" customHeight="1">
      <c r="I423" t="str">
        <f>'Revenue drivers'!I478</f>
        <v>Q/Q Abs Growth</v>
      </c>
      <c r="M423">
        <f>'Revenue drivers'!M478</f>
        <v>0</v>
      </c>
      <c r="N423">
        <f>'Revenue drivers'!N478</f>
        <v>0</v>
      </c>
      <c r="O423">
        <f>'Revenue drivers'!O478</f>
        <v>0</v>
      </c>
      <c r="P423">
        <f>'Revenue drivers'!P478</f>
        <v>0</v>
      </c>
      <c r="Q423">
        <f>'Revenue drivers'!Q478</f>
        <v>-0.87099999999999955</v>
      </c>
      <c r="R423">
        <f>'Revenue drivers'!R478</f>
        <v>0.8879999999999999</v>
      </c>
      <c r="S423">
        <f>'Revenue drivers'!S478</f>
        <v>0.12800000000000011</v>
      </c>
      <c r="T423">
        <f>'Revenue drivers'!T478</f>
        <v>0.43400000000000016</v>
      </c>
      <c r="U423">
        <f>'Revenue drivers'!U478</f>
        <v>-1.0390000000000001</v>
      </c>
      <c r="V423">
        <f>'Revenue drivers'!V478</f>
        <v>1.7090000000000001</v>
      </c>
      <c r="W423">
        <f>'Revenue drivers'!W478</f>
        <v>0.18299999999999983</v>
      </c>
      <c r="X423">
        <f>'Revenue drivers'!X478</f>
        <v>-0.88900000000000379</v>
      </c>
      <c r="Y423">
        <f>'Revenue drivers'!Y478</f>
        <v>-0.22999999999999332</v>
      </c>
      <c r="Z423">
        <f>'Revenue drivers'!Z478</f>
        <v>2.2860000000000031</v>
      </c>
      <c r="AA423">
        <f>'Revenue drivers'!AA478</f>
        <v>-0.14300000000001045</v>
      </c>
      <c r="AB423">
        <f>'Revenue drivers'!AB478</f>
        <v>2.3340000000000005</v>
      </c>
      <c r="AC423">
        <f>'Revenue drivers'!AC478</f>
        <v>-1.7870000000000026</v>
      </c>
      <c r="AD423">
        <f>'Revenue drivers'!AD478</f>
        <v>1.5980000000000096</v>
      </c>
      <c r="AE423">
        <f>'Revenue drivers'!AE478</f>
        <v>0.26299999999998924</v>
      </c>
      <c r="AF423">
        <f>'Revenue drivers'!AF478</f>
        <v>-0.63099999999998602</v>
      </c>
      <c r="AG423">
        <f>'Revenue drivers'!AG478</f>
        <v>-2.0870000000000068</v>
      </c>
      <c r="AH423">
        <f>'Revenue drivers'!AH478</f>
        <v>4.7000000000000011</v>
      </c>
      <c r="AI423">
        <f>'Revenue drivers'!AI478</f>
        <v>-2.3000000000000007</v>
      </c>
      <c r="AJ423">
        <f>'Revenue drivers'!AJ478</f>
        <v>-1.8949999999999996</v>
      </c>
      <c r="AL423">
        <f>'Revenue drivers'!BF478</f>
        <v>0</v>
      </c>
      <c r="AM423">
        <f>'Revenue drivers'!BG478</f>
        <v>0</v>
      </c>
      <c r="AN423">
        <f>'Revenue drivers'!BH478</f>
        <v>0</v>
      </c>
      <c r="AO423">
        <f>'Revenue drivers'!BI478</f>
        <v>0</v>
      </c>
      <c r="AP423">
        <f>'Revenue drivers'!BJ478</f>
        <v>0</v>
      </c>
      <c r="AQ423">
        <f>'Revenue drivers'!BK478</f>
        <v>0</v>
      </c>
      <c r="AR423">
        <f>'Revenue drivers'!BL478</f>
        <v>0</v>
      </c>
      <c r="AS423">
        <f>'Revenue drivers'!BM478</f>
        <v>0</v>
      </c>
      <c r="AT423">
        <f>'Revenue drivers'!BN478</f>
        <v>0</v>
      </c>
      <c r="AU423">
        <f>'Revenue drivers'!BO478</f>
        <v>0</v>
      </c>
      <c r="AV423">
        <f>'Revenue drivers'!BP478</f>
        <v>0</v>
      </c>
      <c r="AW423">
        <f>'Revenue drivers'!BQ478</f>
        <v>0</v>
      </c>
      <c r="AX423">
        <f>'Revenue drivers'!BR478</f>
        <v>0</v>
      </c>
      <c r="AY423">
        <f>'Revenue drivers'!BS478</f>
        <v>0</v>
      </c>
      <c r="AZ423">
        <f>'Revenue drivers'!BT478</f>
        <v>0</v>
      </c>
    </row>
    <row r="424" spans="9:52" ht="11.25" customHeight="1">
      <c r="I424">
        <f>'Revenue drivers'!I479</f>
        <v>0</v>
      </c>
      <c r="M424">
        <f>'Revenue drivers'!M479</f>
        <v>0</v>
      </c>
      <c r="N424">
        <f>'Revenue drivers'!N479</f>
        <v>0</v>
      </c>
      <c r="O424">
        <f>'Revenue drivers'!O479</f>
        <v>0</v>
      </c>
      <c r="P424">
        <f>'Revenue drivers'!P479</f>
        <v>0</v>
      </c>
      <c r="Q424">
        <f>'Revenue drivers'!Q479</f>
        <v>0</v>
      </c>
      <c r="R424">
        <f>'Revenue drivers'!R479</f>
        <v>0</v>
      </c>
      <c r="S424">
        <f>'Revenue drivers'!S479</f>
        <v>0</v>
      </c>
      <c r="T424">
        <f>'Revenue drivers'!T479</f>
        <v>0</v>
      </c>
      <c r="U424">
        <f>'Revenue drivers'!U479</f>
        <v>0</v>
      </c>
      <c r="V424">
        <f>'Revenue drivers'!V479</f>
        <v>0</v>
      </c>
      <c r="W424">
        <f>'Revenue drivers'!W479</f>
        <v>0</v>
      </c>
      <c r="X424">
        <f>'Revenue drivers'!X479</f>
        <v>0</v>
      </c>
      <c r="Y424">
        <f>'Revenue drivers'!Y479</f>
        <v>0</v>
      </c>
      <c r="Z424">
        <f>'Revenue drivers'!Z479</f>
        <v>0</v>
      </c>
      <c r="AA424">
        <f>'Revenue drivers'!AA479</f>
        <v>0</v>
      </c>
      <c r="AB424">
        <f>'Revenue drivers'!AB479</f>
        <v>0</v>
      </c>
      <c r="AC424">
        <f>'Revenue drivers'!AC479</f>
        <v>0</v>
      </c>
      <c r="AD424">
        <f>'Revenue drivers'!AD479</f>
        <v>0</v>
      </c>
      <c r="AE424">
        <f>'Revenue drivers'!AE479</f>
        <v>0</v>
      </c>
      <c r="AF424">
        <f>'Revenue drivers'!AF479</f>
        <v>0</v>
      </c>
      <c r="AG424">
        <f>'Revenue drivers'!AG479</f>
        <v>0</v>
      </c>
      <c r="AH424">
        <f>'Revenue drivers'!AH479</f>
        <v>0</v>
      </c>
      <c r="AI424">
        <f>'Revenue drivers'!AI479</f>
        <v>0</v>
      </c>
      <c r="AJ424">
        <f>'Revenue drivers'!AJ479</f>
        <v>0</v>
      </c>
      <c r="AL424">
        <f>'Revenue drivers'!BF479</f>
        <v>0</v>
      </c>
      <c r="AM424">
        <f>'Revenue drivers'!BG479</f>
        <v>0</v>
      </c>
      <c r="AN424">
        <f>'Revenue drivers'!BH479</f>
        <v>0</v>
      </c>
      <c r="AO424">
        <f>'Revenue drivers'!BI479</f>
        <v>0</v>
      </c>
      <c r="AP424">
        <f>'Revenue drivers'!BJ479</f>
        <v>0</v>
      </c>
      <c r="AQ424">
        <f>'Revenue drivers'!BK479</f>
        <v>0</v>
      </c>
      <c r="AR424">
        <f>'Revenue drivers'!BL479</f>
        <v>0</v>
      </c>
      <c r="AS424">
        <f>'Revenue drivers'!BM479</f>
        <v>0</v>
      </c>
      <c r="AT424">
        <f>'Revenue drivers'!BN479</f>
        <v>0</v>
      </c>
      <c r="AU424">
        <f>'Revenue drivers'!BO479</f>
        <v>0</v>
      </c>
      <c r="AV424">
        <f>'Revenue drivers'!BP479</f>
        <v>0</v>
      </c>
      <c r="AW424">
        <f>'Revenue drivers'!BQ479</f>
        <v>0</v>
      </c>
      <c r="AX424">
        <f>'Revenue drivers'!BR479</f>
        <v>0</v>
      </c>
      <c r="AY424">
        <f>'Revenue drivers'!BS479</f>
        <v>0</v>
      </c>
      <c r="AZ424">
        <f>'Revenue drivers'!BT479</f>
        <v>0</v>
      </c>
    </row>
    <row r="431" spans="9:52" ht="11.25" customHeight="1">
      <c r="I431" t="str">
        <f>'Revenue drivers'!I480</f>
        <v>Brand revenue per average unique visitor (annualized)</v>
      </c>
      <c r="M431">
        <f>'Revenue drivers'!M480</f>
        <v>0.25960087204427301</v>
      </c>
      <c r="N431">
        <f>'Revenue drivers'!N480</f>
        <v>0.30266150347286253</v>
      </c>
      <c r="O431">
        <f>'Revenue drivers'!O480</f>
        <v>0.3408363558779603</v>
      </c>
      <c r="P431">
        <f>'Revenue drivers'!P480</f>
        <v>0.45268828132940336</v>
      </c>
      <c r="Q431">
        <f>'Revenue drivers'!Q480</f>
        <v>0.30612811585535171</v>
      </c>
      <c r="R431">
        <f>'Revenue drivers'!R480</f>
        <v>0.34685802948021721</v>
      </c>
      <c r="S431">
        <f>'Revenue drivers'!S480</f>
        <v>0.30151445617255623</v>
      </c>
      <c r="T431">
        <f>'Revenue drivers'!T480</f>
        <v>0.30597604717612015</v>
      </c>
      <c r="U431">
        <f>'Revenue drivers'!U480</f>
        <v>0.22360317993505771</v>
      </c>
      <c r="V431">
        <f>'Revenue drivers'!V480</f>
        <v>0.29123313204560258</v>
      </c>
      <c r="W431">
        <f>'Revenue drivers'!W480</f>
        <v>0.28183581124757595</v>
      </c>
      <c r="X431">
        <f>'Revenue drivers'!X480</f>
        <v>0.23161066048667422</v>
      </c>
      <c r="Y431">
        <f>'Revenue drivers'!Y480</f>
        <v>0.18682212315681196</v>
      </c>
      <c r="Z431">
        <f>'Revenue drivers'!Z480</f>
        <v>0.26108201151233618</v>
      </c>
      <c r="AA431">
        <f>'Revenue drivers'!AA480</f>
        <v>0.23534019600330347</v>
      </c>
      <c r="AB431">
        <f>'Revenue drivers'!AB480</f>
        <v>0.30812049497937577</v>
      </c>
      <c r="AC431">
        <f>'Revenue drivers'!AC480</f>
        <v>0.22518496149781045</v>
      </c>
      <c r="AD431">
        <f>'Revenue drivers'!AD480</f>
        <v>0.26291911353721309</v>
      </c>
      <c r="AE431">
        <f>'Revenue drivers'!AE480</f>
        <v>0.26733994175787895</v>
      </c>
      <c r="AF431">
        <f>'Revenue drivers'!AF480</f>
        <v>0.25664357357046857</v>
      </c>
      <c r="AG431">
        <f>'Revenue drivers'!AG480</f>
        <v>0.1853073715833953</v>
      </c>
      <c r="AH431">
        <f>'Revenue drivers'!AH480</f>
        <v>0.31412884842588096</v>
      </c>
      <c r="AI431">
        <f>'Revenue drivers'!AI480</f>
        <v>0.24321366320312393</v>
      </c>
      <c r="AJ431">
        <f>'Revenue drivers'!AJ480</f>
        <v>0.20232510126933731</v>
      </c>
      <c r="AL431">
        <f>'Revenue drivers'!BF480</f>
        <v>0</v>
      </c>
      <c r="AM431">
        <f>'Revenue drivers'!BG480</f>
        <v>0</v>
      </c>
      <c r="AN431">
        <f>'Revenue drivers'!BH480</f>
        <v>0.18778596847991866</v>
      </c>
      <c r="AO431">
        <f>'Revenue drivers'!BI480</f>
        <v>0.20681059937876287</v>
      </c>
      <c r="AP431">
        <f>'Revenue drivers'!BJ480</f>
        <v>0.30607785344039024</v>
      </c>
      <c r="AQ431">
        <f>'Revenue drivers'!BK480</f>
        <v>0.2688005349869293</v>
      </c>
      <c r="AR431">
        <f>'Revenue drivers'!BL480</f>
        <v>0.23847045191193511</v>
      </c>
      <c r="AS431">
        <f>'Revenue drivers'!BM480</f>
        <v>0.23310695387692182</v>
      </c>
      <c r="AT431">
        <f>'Revenue drivers'!BN480</f>
        <v>0.25493744183641814</v>
      </c>
      <c r="AU431">
        <f>'Revenue drivers'!BO480</f>
        <v>0.24208532965038052</v>
      </c>
      <c r="AV431">
        <f>'Revenue drivers'!BP480</f>
        <v>0</v>
      </c>
      <c r="AW431">
        <f>'Revenue drivers'!BQ480</f>
        <v>0</v>
      </c>
      <c r="AX431">
        <f>'Revenue drivers'!BR480</f>
        <v>0</v>
      </c>
      <c r="AY431">
        <f>'Revenue drivers'!BS480</f>
        <v>0</v>
      </c>
      <c r="AZ431">
        <f>'Revenue drivers'!BT480</f>
        <v>0</v>
      </c>
    </row>
    <row r="432" spans="9:52" ht="11.25" customHeight="1">
      <c r="I432" t="str">
        <f>'Revenue drivers'!I481</f>
        <v>% change Y/Y</v>
      </c>
      <c r="M432" t="str">
        <f>'Revenue drivers'!M481</f>
        <v>NA</v>
      </c>
      <c r="N432" t="str">
        <f>'Revenue drivers'!N481</f>
        <v>NA</v>
      </c>
      <c r="O432" t="str">
        <f>'Revenue drivers'!O481</f>
        <v>NA</v>
      </c>
      <c r="P432" t="str">
        <f>'Revenue drivers'!P481</f>
        <v>NA</v>
      </c>
      <c r="Q432">
        <f>'Revenue drivers'!Q481</f>
        <v>0.17922606902161653</v>
      </c>
      <c r="R432">
        <f>'Revenue drivers'!R481</f>
        <v>0.14602625540488501</v>
      </c>
      <c r="S432">
        <f>'Revenue drivers'!S481</f>
        <v>-0.11536885378355488</v>
      </c>
      <c r="T432">
        <f>'Revenue drivers'!T481</f>
        <v>-0.32409108033995371</v>
      </c>
      <c r="U432">
        <f>'Revenue drivers'!U481</f>
        <v>-0.2695764669955627</v>
      </c>
      <c r="V432">
        <f>'Revenue drivers'!V481</f>
        <v>-0.1603679105193877</v>
      </c>
      <c r="W432">
        <f>'Revenue drivers'!W481</f>
        <v>-6.5266008054082225E-2</v>
      </c>
      <c r="X432">
        <f>'Revenue drivers'!X481</f>
        <v>-0.24304316424690953</v>
      </c>
      <c r="Y432">
        <f>'Revenue drivers'!Y481</f>
        <v>-0.16449254786505396</v>
      </c>
      <c r="Z432">
        <f>'Revenue drivers'!Z481</f>
        <v>-0.10352915659522288</v>
      </c>
      <c r="AA432">
        <f>'Revenue drivers'!AA481</f>
        <v>-0.1649741210616732</v>
      </c>
      <c r="AB432">
        <f>'Revenue drivers'!AB481</f>
        <v>0.33033813871923901</v>
      </c>
      <c r="AC432">
        <f>'Revenue drivers'!AC481</f>
        <v>0.20534419421407635</v>
      </c>
      <c r="AD432">
        <f>'Revenue drivers'!AD481</f>
        <v>7.0364940665017528E-3</v>
      </c>
      <c r="AE432">
        <f>'Revenue drivers'!AE481</f>
        <v>0.1359722915932573</v>
      </c>
      <c r="AF432">
        <f>'Revenue drivers'!AF481</f>
        <v>-0.16706750199253328</v>
      </c>
      <c r="AG432">
        <f>'Revenue drivers'!AG481</f>
        <v>-0.17708815743809292</v>
      </c>
      <c r="AH432">
        <f>'Revenue drivers'!AH481</f>
        <v>0.19477372413025318</v>
      </c>
      <c r="AI432">
        <f>'Revenue drivers'!AI481</f>
        <v>-9.0245693913576952E-2</v>
      </c>
      <c r="AJ432">
        <f>'Revenue drivers'!AJ481</f>
        <v>-0.21164945432080584</v>
      </c>
      <c r="AL432">
        <f>'Revenue drivers'!BF481</f>
        <v>0</v>
      </c>
      <c r="AM432">
        <f>'Revenue drivers'!BG481</f>
        <v>0</v>
      </c>
      <c r="AN432" t="str">
        <f>'Revenue drivers'!BH481</f>
        <v>NA</v>
      </c>
      <c r="AO432">
        <f>'Revenue drivers'!BI481</f>
        <v>0.10131018335844755</v>
      </c>
      <c r="AP432">
        <f>'Revenue drivers'!BJ481</f>
        <v>0.47999113372242852</v>
      </c>
      <c r="AQ432">
        <f>'Revenue drivers'!BK481</f>
        <v>-0.12179031587700551</v>
      </c>
      <c r="AR432">
        <f>'Revenue drivers'!BL481</f>
        <v>-0.11283490591441347</v>
      </c>
      <c r="AS432">
        <f>'Revenue drivers'!BM481</f>
        <v>-2.249124783389933E-2</v>
      </c>
      <c r="AT432">
        <f>'Revenue drivers'!BN481</f>
        <v>9.365009321439044E-2</v>
      </c>
      <c r="AU432">
        <f>'Revenue drivers'!BO481</f>
        <v>-5.0412807524303327E-2</v>
      </c>
      <c r="AV432" t="str">
        <f>'Revenue drivers'!BP481</f>
        <v>NM</v>
      </c>
      <c r="AW432" t="str">
        <f>'Revenue drivers'!BQ481</f>
        <v>NA</v>
      </c>
      <c r="AX432" t="str">
        <f>'Revenue drivers'!BR481</f>
        <v>NA</v>
      </c>
      <c r="AY432" t="str">
        <f>'Revenue drivers'!BS481</f>
        <v>NA</v>
      </c>
      <c r="AZ432" t="str">
        <f>'Revenue drivers'!BT481</f>
        <v>NA</v>
      </c>
    </row>
    <row r="433" spans="9:52" ht="11.25" customHeight="1">
      <c r="I433" t="str">
        <f>'Revenue drivers'!I482</f>
        <v>% change Q/Q</v>
      </c>
      <c r="M433" t="str">
        <f>'Revenue drivers'!M482</f>
        <v>NA</v>
      </c>
      <c r="N433">
        <f>'Revenue drivers'!N482</f>
        <v>0.16587244522524491</v>
      </c>
      <c r="O433">
        <f>'Revenue drivers'!O482</f>
        <v>0.12613051863902025</v>
      </c>
      <c r="P433">
        <f>'Revenue drivers'!P482</f>
        <v>0.32816899817897571</v>
      </c>
      <c r="Q433">
        <f>'Revenue drivers'!Q482</f>
        <v>-0.32375515673533772</v>
      </c>
      <c r="R433">
        <f>'Revenue drivers'!R482</f>
        <v>0.13304858820648402</v>
      </c>
      <c r="S433">
        <f>'Revenue drivers'!S482</f>
        <v>-0.13072660700866701</v>
      </c>
      <c r="T433">
        <f>'Revenue drivers'!T482</f>
        <v>1.4797270619125946E-2</v>
      </c>
      <c r="U433">
        <f>'Revenue drivers'!U482</f>
        <v>-0.26921344988043627</v>
      </c>
      <c r="V433">
        <f>'Revenue drivers'!V482</f>
        <v>0.30245523400063901</v>
      </c>
      <c r="W433">
        <f>'Revenue drivers'!W482</f>
        <v>-3.226734792164776E-2</v>
      </c>
      <c r="X433">
        <f>'Revenue drivers'!X482</f>
        <v>-0.17820712896127289</v>
      </c>
      <c r="Y433">
        <f>'Revenue drivers'!Y482</f>
        <v>-0.19337856571778644</v>
      </c>
      <c r="Z433">
        <f>'Revenue drivers'!Z482</f>
        <v>0.39748979992692335</v>
      </c>
      <c r="AA433">
        <f>'Revenue drivers'!AA482</f>
        <v>-9.859666454966165E-2</v>
      </c>
      <c r="AB433">
        <f>'Revenue drivers'!AB482</f>
        <v>0.30925570817086712</v>
      </c>
      <c r="AC433">
        <f>'Revenue drivers'!AC482</f>
        <v>-0.26916591019729685</v>
      </c>
      <c r="AD433">
        <f>'Revenue drivers'!AD482</f>
        <v>0.16756959162998797</v>
      </c>
      <c r="AE433">
        <f>'Revenue drivers'!AE482</f>
        <v>1.6814404100142122E-2</v>
      </c>
      <c r="AF433">
        <f>'Revenue drivers'!AF482</f>
        <v>-4.0010363274103344E-2</v>
      </c>
      <c r="AG433">
        <f>'Revenue drivers'!AG482</f>
        <v>-0.27795826326228246</v>
      </c>
      <c r="AH433">
        <f>'Revenue drivers'!AH482</f>
        <v>0.69517729241824111</v>
      </c>
      <c r="AI433">
        <f>'Revenue drivers'!AI482</f>
        <v>-0.22575190269253331</v>
      </c>
      <c r="AJ433">
        <f>'Revenue drivers'!AJ482</f>
        <v>-0.16811786556431185</v>
      </c>
      <c r="AL433">
        <f>'Revenue drivers'!BF482</f>
        <v>0</v>
      </c>
      <c r="AM433">
        <f>'Revenue drivers'!BG482</f>
        <v>0</v>
      </c>
      <c r="AN433">
        <f>'Revenue drivers'!BH482</f>
        <v>0</v>
      </c>
      <c r="AO433">
        <f>'Revenue drivers'!BI482</f>
        <v>0</v>
      </c>
      <c r="AP433">
        <f>'Revenue drivers'!BJ482</f>
        <v>0</v>
      </c>
      <c r="AQ433">
        <f>'Revenue drivers'!BK482</f>
        <v>0</v>
      </c>
      <c r="AR433">
        <f>'Revenue drivers'!BL482</f>
        <v>0</v>
      </c>
      <c r="AS433">
        <f>'Revenue drivers'!BM482</f>
        <v>0</v>
      </c>
      <c r="AT433">
        <f>'Revenue drivers'!BN482</f>
        <v>0</v>
      </c>
      <c r="AU433">
        <f>'Revenue drivers'!BO482</f>
        <v>0</v>
      </c>
      <c r="AV433">
        <f>'Revenue drivers'!BP482</f>
        <v>0</v>
      </c>
      <c r="AW433">
        <f>'Revenue drivers'!BQ482</f>
        <v>0</v>
      </c>
      <c r="AX433">
        <f>'Revenue drivers'!BR482</f>
        <v>0</v>
      </c>
      <c r="AY433">
        <f>'Revenue drivers'!BS482</f>
        <v>0</v>
      </c>
      <c r="AZ433">
        <f>'Revenue drivers'!BT482</f>
        <v>0</v>
      </c>
    </row>
    <row r="434" spans="9:52" ht="11.25" customHeight="1">
      <c r="I434" t="str">
        <f>'Revenue drivers'!I483</f>
        <v>Y/Y Abs Growth</v>
      </c>
      <c r="M434">
        <f>'Revenue drivers'!M483</f>
        <v>0</v>
      </c>
      <c r="N434">
        <f>'Revenue drivers'!N483</f>
        <v>0</v>
      </c>
      <c r="O434">
        <f>'Revenue drivers'!O483</f>
        <v>0</v>
      </c>
      <c r="P434">
        <f>'Revenue drivers'!P483</f>
        <v>0</v>
      </c>
      <c r="Q434">
        <f>'Revenue drivers'!Q483</f>
        <v>4.65272438110787E-2</v>
      </c>
      <c r="R434">
        <f>'Revenue drivers'!R483</f>
        <v>4.4196526007354686E-2</v>
      </c>
      <c r="S434">
        <f>'Revenue drivers'!S483</f>
        <v>-3.9321899705404062E-2</v>
      </c>
      <c r="T434">
        <f>'Revenue drivers'!T483</f>
        <v>-0.14671223415328322</v>
      </c>
      <c r="U434">
        <f>'Revenue drivers'!U483</f>
        <v>-8.2524935920294001E-2</v>
      </c>
      <c r="V434">
        <f>'Revenue drivers'!V483</f>
        <v>-5.5624897434614629E-2</v>
      </c>
      <c r="W434">
        <f>'Revenue drivers'!W483</f>
        <v>-1.9678644924980282E-2</v>
      </c>
      <c r="X434">
        <f>'Revenue drivers'!X483</f>
        <v>-7.4365386689445923E-2</v>
      </c>
      <c r="Y434">
        <f>'Revenue drivers'!Y483</f>
        <v>-3.6781056778245752E-2</v>
      </c>
      <c r="Z434">
        <f>'Revenue drivers'!Z483</f>
        <v>-3.0151120533266407E-2</v>
      </c>
      <c r="AA434">
        <f>'Revenue drivers'!AA483</f>
        <v>-4.6495615244272481E-2</v>
      </c>
      <c r="AB434">
        <f>'Revenue drivers'!AB483</f>
        <v>7.6509834492701545E-2</v>
      </c>
      <c r="AC434">
        <f>'Revenue drivers'!AC483</f>
        <v>3.836283834099849E-2</v>
      </c>
      <c r="AD434">
        <f>'Revenue drivers'!AD483</f>
        <v>1.8371020248769132E-3</v>
      </c>
      <c r="AE434">
        <f>'Revenue drivers'!AE483</f>
        <v>3.1999745754575482E-2</v>
      </c>
      <c r="AF434">
        <f>'Revenue drivers'!AF483</f>
        <v>-5.1476921408907195E-2</v>
      </c>
      <c r="AG434">
        <f>'Revenue drivers'!AG483</f>
        <v>-3.9877589914415146E-2</v>
      </c>
      <c r="AH434">
        <f>'Revenue drivers'!AH483</f>
        <v>5.1209734888667868E-2</v>
      </c>
      <c r="AI434">
        <f>'Revenue drivers'!AI483</f>
        <v>-2.4126278554755021E-2</v>
      </c>
      <c r="AJ434">
        <f>'Revenue drivers'!AJ483</f>
        <v>-5.4318472301131265E-2</v>
      </c>
      <c r="AL434">
        <f>'Revenue drivers'!BF483</f>
        <v>0</v>
      </c>
      <c r="AM434">
        <f>'Revenue drivers'!BG483</f>
        <v>0</v>
      </c>
      <c r="AN434">
        <f>'Revenue drivers'!BH483</f>
        <v>0</v>
      </c>
      <c r="AO434">
        <f>'Revenue drivers'!BI483</f>
        <v>1.9024630898844208E-2</v>
      </c>
      <c r="AP434">
        <f>'Revenue drivers'!BJ483</f>
        <v>9.9267254061627369E-2</v>
      </c>
      <c r="AQ434">
        <f>'Revenue drivers'!BK483</f>
        <v>-3.7277318453460939E-2</v>
      </c>
      <c r="AR434">
        <f>'Revenue drivers'!BL483</f>
        <v>-3.0330083074994185E-2</v>
      </c>
      <c r="AS434">
        <f>'Revenue drivers'!BM483</f>
        <v>-5.3634980350132921E-3</v>
      </c>
      <c r="AT434">
        <f>'Revenue drivers'!BN483</f>
        <v>2.1830487959496325E-2</v>
      </c>
      <c r="AU434">
        <f>'Revenue drivers'!BO483</f>
        <v>-1.2852112186037629E-2</v>
      </c>
      <c r="AV434">
        <f>'Revenue drivers'!BP483</f>
        <v>-0.24208532965038052</v>
      </c>
      <c r="AW434">
        <f>'Revenue drivers'!BQ483</f>
        <v>0</v>
      </c>
      <c r="AX434">
        <f>'Revenue drivers'!BR483</f>
        <v>0</v>
      </c>
      <c r="AY434">
        <f>'Revenue drivers'!BS483</f>
        <v>0</v>
      </c>
      <c r="AZ434">
        <f>'Revenue drivers'!BT483</f>
        <v>0</v>
      </c>
    </row>
    <row r="435" spans="9:52" ht="11.25" customHeight="1">
      <c r="I435" t="str">
        <f>'Revenue drivers'!I484</f>
        <v>Q/Q Abs Growth</v>
      </c>
      <c r="M435">
        <f>'Revenue drivers'!M484</f>
        <v>0</v>
      </c>
      <c r="N435">
        <f>'Revenue drivers'!N484</f>
        <v>4.3060631428589513E-2</v>
      </c>
      <c r="O435">
        <f>'Revenue drivers'!O484</f>
        <v>3.817485240509777E-2</v>
      </c>
      <c r="P435">
        <f>'Revenue drivers'!P484</f>
        <v>0.11185192545144307</v>
      </c>
      <c r="Q435">
        <f>'Revenue drivers'!Q484</f>
        <v>-0.14656016547405165</v>
      </c>
      <c r="R435">
        <f>'Revenue drivers'!R484</f>
        <v>4.0729913624865499E-2</v>
      </c>
      <c r="S435">
        <f>'Revenue drivers'!S484</f>
        <v>-4.5343573307660978E-2</v>
      </c>
      <c r="T435">
        <f>'Revenue drivers'!T484</f>
        <v>4.4615910035639139E-3</v>
      </c>
      <c r="U435">
        <f>'Revenue drivers'!U484</f>
        <v>-8.2372867241062436E-2</v>
      </c>
      <c r="V435">
        <f>'Revenue drivers'!V484</f>
        <v>6.7629952110544872E-2</v>
      </c>
      <c r="W435">
        <f>'Revenue drivers'!W484</f>
        <v>-9.3973207980266316E-3</v>
      </c>
      <c r="X435">
        <f>'Revenue drivers'!X484</f>
        <v>-5.0225150760901727E-2</v>
      </c>
      <c r="Y435">
        <f>'Revenue drivers'!Y484</f>
        <v>-4.4788537329862266E-2</v>
      </c>
      <c r="Z435">
        <f>'Revenue drivers'!Z484</f>
        <v>7.4259888355524217E-2</v>
      </c>
      <c r="AA435">
        <f>'Revenue drivers'!AA484</f>
        <v>-2.5741815509032706E-2</v>
      </c>
      <c r="AB435">
        <f>'Revenue drivers'!AB484</f>
        <v>7.27802989760723E-2</v>
      </c>
      <c r="AC435">
        <f>'Revenue drivers'!AC484</f>
        <v>-8.2935533481565321E-2</v>
      </c>
      <c r="AD435">
        <f>'Revenue drivers'!AD484</f>
        <v>3.7734152039402641E-2</v>
      </c>
      <c r="AE435">
        <f>'Revenue drivers'!AE484</f>
        <v>4.4208282206658622E-3</v>
      </c>
      <c r="AF435">
        <f>'Revenue drivers'!AF484</f>
        <v>-1.0696368187410377E-2</v>
      </c>
      <c r="AG435">
        <f>'Revenue drivers'!AG484</f>
        <v>-7.1336201987073272E-2</v>
      </c>
      <c r="AH435">
        <f>'Revenue drivers'!AH484</f>
        <v>0.12882147684248565</v>
      </c>
      <c r="AI435">
        <f>'Revenue drivers'!AI484</f>
        <v>-7.0915185222757027E-2</v>
      </c>
      <c r="AJ435">
        <f>'Revenue drivers'!AJ484</f>
        <v>-4.0888561933786621E-2</v>
      </c>
      <c r="AL435">
        <f>'Revenue drivers'!BF484</f>
        <v>0</v>
      </c>
      <c r="AM435">
        <f>'Revenue drivers'!BG484</f>
        <v>0</v>
      </c>
      <c r="AN435">
        <f>'Revenue drivers'!BH484</f>
        <v>0</v>
      </c>
      <c r="AO435">
        <f>'Revenue drivers'!BI484</f>
        <v>0</v>
      </c>
      <c r="AP435">
        <f>'Revenue drivers'!BJ484</f>
        <v>0</v>
      </c>
      <c r="AQ435">
        <f>'Revenue drivers'!BK484</f>
        <v>0</v>
      </c>
      <c r="AR435">
        <f>'Revenue drivers'!BL484</f>
        <v>0</v>
      </c>
      <c r="AS435">
        <f>'Revenue drivers'!BM484</f>
        <v>0</v>
      </c>
      <c r="AT435">
        <f>'Revenue drivers'!BN484</f>
        <v>0</v>
      </c>
      <c r="AU435">
        <f>'Revenue drivers'!BO484</f>
        <v>0</v>
      </c>
      <c r="AV435">
        <f>'Revenue drivers'!BP484</f>
        <v>0</v>
      </c>
      <c r="AW435">
        <f>'Revenue drivers'!BQ484</f>
        <v>0</v>
      </c>
      <c r="AX435">
        <f>'Revenue drivers'!BR484</f>
        <v>0</v>
      </c>
      <c r="AY435">
        <f>'Revenue drivers'!BS484</f>
        <v>0</v>
      </c>
      <c r="AZ435">
        <f>'Revenue drivers'!BT484</f>
        <v>0</v>
      </c>
    </row>
    <row r="436" spans="9:52" ht="11.25" customHeight="1">
      <c r="I436">
        <f>'Revenue drivers'!I485</f>
        <v>0</v>
      </c>
      <c r="M436">
        <f>'Revenue drivers'!M485</f>
        <v>0</v>
      </c>
      <c r="N436">
        <f>'Revenue drivers'!N485</f>
        <v>0</v>
      </c>
      <c r="O436">
        <f>'Revenue drivers'!O485</f>
        <v>0</v>
      </c>
      <c r="P436">
        <f>'Revenue drivers'!P485</f>
        <v>0</v>
      </c>
      <c r="Q436">
        <f>'Revenue drivers'!Q485</f>
        <v>0</v>
      </c>
      <c r="R436">
        <f>'Revenue drivers'!R485</f>
        <v>0</v>
      </c>
      <c r="S436">
        <f>'Revenue drivers'!S485</f>
        <v>0</v>
      </c>
      <c r="T436">
        <f>'Revenue drivers'!T485</f>
        <v>0</v>
      </c>
      <c r="U436">
        <f>'Revenue drivers'!U485</f>
        <v>0</v>
      </c>
      <c r="V436">
        <f>'Revenue drivers'!V485</f>
        <v>0</v>
      </c>
      <c r="W436">
        <f>'Revenue drivers'!W485</f>
        <v>0</v>
      </c>
      <c r="X436">
        <f>'Revenue drivers'!X485</f>
        <v>0</v>
      </c>
      <c r="Y436">
        <f>'Revenue drivers'!Y485</f>
        <v>0</v>
      </c>
      <c r="Z436">
        <f>'Revenue drivers'!Z485</f>
        <v>0</v>
      </c>
      <c r="AA436">
        <f>'Revenue drivers'!AA485</f>
        <v>0</v>
      </c>
      <c r="AB436">
        <f>'Revenue drivers'!AB485</f>
        <v>0</v>
      </c>
      <c r="AC436">
        <f>'Revenue drivers'!AC485</f>
        <v>0</v>
      </c>
      <c r="AD436">
        <f>'Revenue drivers'!AD485</f>
        <v>0</v>
      </c>
      <c r="AE436">
        <f>'Revenue drivers'!AE485</f>
        <v>0</v>
      </c>
      <c r="AF436">
        <f>'Revenue drivers'!AF485</f>
        <v>0</v>
      </c>
      <c r="AG436">
        <f>'Revenue drivers'!AG485</f>
        <v>0</v>
      </c>
      <c r="AH436">
        <f>'Revenue drivers'!AH485</f>
        <v>0</v>
      </c>
      <c r="AI436">
        <f>'Revenue drivers'!AI485</f>
        <v>0</v>
      </c>
      <c r="AJ436">
        <f>'Revenue drivers'!AJ485</f>
        <v>0</v>
      </c>
      <c r="AL436">
        <f>'Revenue drivers'!BF485</f>
        <v>0</v>
      </c>
      <c r="AM436">
        <f>'Revenue drivers'!BG485</f>
        <v>0</v>
      </c>
      <c r="AN436">
        <f>'Revenue drivers'!BH485</f>
        <v>0</v>
      </c>
      <c r="AO436">
        <f>'Revenue drivers'!BI485</f>
        <v>0</v>
      </c>
      <c r="AP436">
        <f>'Revenue drivers'!BJ485</f>
        <v>0</v>
      </c>
      <c r="AQ436">
        <f>'Revenue drivers'!BK485</f>
        <v>0</v>
      </c>
      <c r="AR436">
        <f>'Revenue drivers'!BL485</f>
        <v>0</v>
      </c>
      <c r="AS436">
        <f>'Revenue drivers'!BM485</f>
        <v>0</v>
      </c>
      <c r="AT436">
        <f>'Revenue drivers'!BN485</f>
        <v>0</v>
      </c>
      <c r="AU436">
        <f>'Revenue drivers'!BO485</f>
        <v>0</v>
      </c>
      <c r="AV436">
        <f>'Revenue drivers'!BP485</f>
        <v>0</v>
      </c>
      <c r="AW436">
        <f>'Revenue drivers'!BQ485</f>
        <v>0</v>
      </c>
      <c r="AX436">
        <f>'Revenue drivers'!BR485</f>
        <v>0</v>
      </c>
      <c r="AY436">
        <f>'Revenue drivers'!BS485</f>
        <v>0</v>
      </c>
      <c r="AZ436">
        <f>'Revenue drivers'!BT485</f>
        <v>0</v>
      </c>
    </row>
    <row r="437" spans="9:52" ht="11.25" customHeight="1">
      <c r="I437" t="str">
        <f>'Revenue drivers'!I303</f>
        <v>US vs. International average monthly unique visitors</v>
      </c>
      <c r="M437">
        <f>'Revenue drivers'!M303</f>
        <v>0</v>
      </c>
      <c r="N437">
        <f>'Revenue drivers'!N303</f>
        <v>0</v>
      </c>
      <c r="O437">
        <f>'Revenue drivers'!O303</f>
        <v>0</v>
      </c>
      <c r="P437">
        <f>'Revenue drivers'!P303</f>
        <v>0</v>
      </c>
      <c r="Q437">
        <f>'Revenue drivers'!Q303</f>
        <v>0</v>
      </c>
      <c r="R437">
        <f>'Revenue drivers'!R303</f>
        <v>0</v>
      </c>
      <c r="S437">
        <f>'Revenue drivers'!S303</f>
        <v>0</v>
      </c>
      <c r="T437">
        <f>'Revenue drivers'!T303</f>
        <v>0</v>
      </c>
      <c r="U437">
        <f>'Revenue drivers'!U303</f>
        <v>0</v>
      </c>
      <c r="V437">
        <f>'Revenue drivers'!V303</f>
        <v>0</v>
      </c>
      <c r="W437">
        <f>'Revenue drivers'!W303</f>
        <v>0</v>
      </c>
      <c r="X437">
        <f>'Revenue drivers'!X303</f>
        <v>0</v>
      </c>
      <c r="Y437">
        <f>'Revenue drivers'!Y303</f>
        <v>0</v>
      </c>
      <c r="Z437">
        <f>'Revenue drivers'!Z303</f>
        <v>0</v>
      </c>
      <c r="AA437">
        <f>'Revenue drivers'!AA303</f>
        <v>0</v>
      </c>
      <c r="AB437">
        <f>'Revenue drivers'!AB303</f>
        <v>0</v>
      </c>
      <c r="AC437">
        <f>'Revenue drivers'!AC303</f>
        <v>0</v>
      </c>
      <c r="AD437">
        <f>'Revenue drivers'!AD303</f>
        <v>0</v>
      </c>
      <c r="AE437">
        <f>'Revenue drivers'!AE303</f>
        <v>0</v>
      </c>
      <c r="AF437">
        <f>'Revenue drivers'!AF303</f>
        <v>0</v>
      </c>
      <c r="AG437">
        <f>'Revenue drivers'!AG303</f>
        <v>0</v>
      </c>
      <c r="AH437">
        <f>'Revenue drivers'!AH303</f>
        <v>0</v>
      </c>
      <c r="AI437">
        <f>'Revenue drivers'!AI303</f>
        <v>0</v>
      </c>
      <c r="AJ437">
        <f>'Revenue drivers'!AJ303</f>
        <v>0</v>
      </c>
      <c r="AL437">
        <f>'Revenue drivers'!BF303</f>
        <v>0</v>
      </c>
      <c r="AM437">
        <f>'Revenue drivers'!BG303</f>
        <v>0</v>
      </c>
      <c r="AN437">
        <f>'Revenue drivers'!BH303</f>
        <v>0</v>
      </c>
      <c r="AO437">
        <f>'Revenue drivers'!BI303</f>
        <v>0</v>
      </c>
      <c r="AP437">
        <f>'Revenue drivers'!BJ303</f>
        <v>0</v>
      </c>
      <c r="AQ437">
        <f>'Revenue drivers'!BK303</f>
        <v>0</v>
      </c>
      <c r="AR437">
        <f>'Revenue drivers'!BL303</f>
        <v>0</v>
      </c>
      <c r="AS437">
        <f>'Revenue drivers'!BM303</f>
        <v>0</v>
      </c>
      <c r="AT437">
        <f>'Revenue drivers'!BN303</f>
        <v>0</v>
      </c>
      <c r="AU437">
        <f>'Revenue drivers'!BO303</f>
        <v>0</v>
      </c>
      <c r="AV437">
        <f>'Revenue drivers'!BP303</f>
        <v>0</v>
      </c>
      <c r="AW437">
        <f>'Revenue drivers'!BQ303</f>
        <v>0</v>
      </c>
      <c r="AX437">
        <f>'Revenue drivers'!BR303</f>
        <v>0</v>
      </c>
      <c r="AY437">
        <f>'Revenue drivers'!BS303</f>
        <v>0</v>
      </c>
      <c r="AZ437">
        <f>'Revenue drivers'!BT303</f>
        <v>0</v>
      </c>
    </row>
    <row r="438" spans="9:52" ht="11.25" customHeight="1">
      <c r="I438">
        <f>'Revenue drivers'!I304</f>
        <v>0</v>
      </c>
      <c r="M438">
        <f>'Revenue drivers'!M304</f>
        <v>0</v>
      </c>
      <c r="N438">
        <f>'Revenue drivers'!N304</f>
        <v>0</v>
      </c>
      <c r="O438">
        <f>'Revenue drivers'!O304</f>
        <v>0</v>
      </c>
      <c r="P438">
        <f>'Revenue drivers'!P304</f>
        <v>0</v>
      </c>
      <c r="Q438">
        <f>'Revenue drivers'!Q304</f>
        <v>0</v>
      </c>
      <c r="R438">
        <f>'Revenue drivers'!R304</f>
        <v>0</v>
      </c>
      <c r="S438">
        <f>'Revenue drivers'!S304</f>
        <v>0</v>
      </c>
      <c r="T438">
        <f>'Revenue drivers'!T304</f>
        <v>0</v>
      </c>
      <c r="U438">
        <f>'Revenue drivers'!U304</f>
        <v>0</v>
      </c>
      <c r="V438">
        <f>'Revenue drivers'!V304</f>
        <v>0</v>
      </c>
      <c r="W438">
        <f>'Revenue drivers'!W304</f>
        <v>0</v>
      </c>
      <c r="X438">
        <f>'Revenue drivers'!X304</f>
        <v>0</v>
      </c>
      <c r="Y438">
        <f>'Revenue drivers'!Y304</f>
        <v>0</v>
      </c>
      <c r="Z438">
        <f>'Revenue drivers'!Z304</f>
        <v>0</v>
      </c>
      <c r="AA438">
        <f>'Revenue drivers'!AA304</f>
        <v>0</v>
      </c>
      <c r="AB438">
        <f>'Revenue drivers'!AB304</f>
        <v>0</v>
      </c>
      <c r="AC438">
        <f>'Revenue drivers'!AC304</f>
        <v>0</v>
      </c>
      <c r="AD438">
        <f>'Revenue drivers'!AD304</f>
        <v>0</v>
      </c>
      <c r="AE438">
        <f>'Revenue drivers'!AE304</f>
        <v>0</v>
      </c>
      <c r="AF438">
        <f>'Revenue drivers'!AF304</f>
        <v>0</v>
      </c>
      <c r="AG438">
        <f>'Revenue drivers'!AG304</f>
        <v>0</v>
      </c>
      <c r="AH438">
        <f>'Revenue drivers'!AH304</f>
        <v>0</v>
      </c>
      <c r="AI438">
        <f>'Revenue drivers'!AI304</f>
        <v>0</v>
      </c>
      <c r="AJ438">
        <f>'Revenue drivers'!AJ304</f>
        <v>0</v>
      </c>
      <c r="AL438">
        <f>'Revenue drivers'!BF304</f>
        <v>0</v>
      </c>
      <c r="AM438">
        <f>'Revenue drivers'!BG304</f>
        <v>0</v>
      </c>
      <c r="AN438">
        <f>'Revenue drivers'!BH304</f>
        <v>0</v>
      </c>
      <c r="AO438">
        <f>'Revenue drivers'!BI304</f>
        <v>0</v>
      </c>
      <c r="AP438">
        <f>'Revenue drivers'!BJ304</f>
        <v>0</v>
      </c>
      <c r="AQ438">
        <f>'Revenue drivers'!BK304</f>
        <v>0</v>
      </c>
      <c r="AR438">
        <f>'Revenue drivers'!BL304</f>
        <v>0</v>
      </c>
      <c r="AS438">
        <f>'Revenue drivers'!BM304</f>
        <v>0</v>
      </c>
      <c r="AT438">
        <f>'Revenue drivers'!BN304</f>
        <v>0</v>
      </c>
      <c r="AU438">
        <f>'Revenue drivers'!BO304</f>
        <v>0</v>
      </c>
      <c r="AV438">
        <f>'Revenue drivers'!BP304</f>
        <v>0</v>
      </c>
      <c r="AW438">
        <f>'Revenue drivers'!BQ304</f>
        <v>0</v>
      </c>
      <c r="AX438">
        <f>'Revenue drivers'!BR304</f>
        <v>0</v>
      </c>
      <c r="AY438">
        <f>'Revenue drivers'!BS304</f>
        <v>0</v>
      </c>
      <c r="AZ438">
        <f>'Revenue drivers'!BT304</f>
        <v>0</v>
      </c>
    </row>
    <row r="439" spans="9:52" ht="11.25" customHeight="1">
      <c r="I439" t="str">
        <f>'Revenue drivers'!I305</f>
        <v>US average monthly unique visitors</v>
      </c>
      <c r="M439">
        <f>'Revenue drivers'!M305</f>
        <v>0</v>
      </c>
      <c r="N439">
        <f>'Revenue drivers'!N305</f>
        <v>0</v>
      </c>
      <c r="O439">
        <f>'Revenue drivers'!O305</f>
        <v>0</v>
      </c>
      <c r="P439">
        <f>'Revenue drivers'!P305</f>
        <v>0</v>
      </c>
      <c r="Q439">
        <f>'Revenue drivers'!Q305</f>
        <v>0</v>
      </c>
      <c r="R439">
        <f>'Revenue drivers'!R305</f>
        <v>0</v>
      </c>
      <c r="S439">
        <f>'Revenue drivers'!S305</f>
        <v>0</v>
      </c>
      <c r="T439">
        <f>'Revenue drivers'!T305</f>
        <v>0</v>
      </c>
      <c r="U439">
        <f>'Revenue drivers'!U305</f>
        <v>0</v>
      </c>
      <c r="V439">
        <f>'Revenue drivers'!V305</f>
        <v>0</v>
      </c>
      <c r="W439">
        <f>'Revenue drivers'!W305</f>
        <v>72.86099999999999</v>
      </c>
      <c r="X439">
        <f>'Revenue drivers'!X305</f>
        <v>0</v>
      </c>
      <c r="Y439">
        <f>'Revenue drivers'!Y305</f>
        <v>0</v>
      </c>
      <c r="Z439">
        <f>'Revenue drivers'!Z305</f>
        <v>0</v>
      </c>
      <c r="AA439">
        <f>'Revenue drivers'!AA305</f>
        <v>96.306539999999998</v>
      </c>
      <c r="AB439">
        <f>'Revenue drivers'!AB305</f>
        <v>94.80395</v>
      </c>
      <c r="AC439">
        <f>'Revenue drivers'!AC305</f>
        <v>100.6696</v>
      </c>
      <c r="AD439">
        <f>'Revenue drivers'!AD305</f>
        <v>106.761</v>
      </c>
      <c r="AE439">
        <f>'Revenue drivers'!AE305</f>
        <v>109.41800000000001</v>
      </c>
      <c r="AF439">
        <f>'Revenue drivers'!AF305</f>
        <v>104.39400000000001</v>
      </c>
      <c r="AG439">
        <f>'Revenue drivers'!AG305</f>
        <v>111.32300000000001</v>
      </c>
      <c r="AH439">
        <f>'Revenue drivers'!AH305</f>
        <v>113.93699999999998</v>
      </c>
      <c r="AI439">
        <f>'Revenue drivers'!AI305</f>
        <v>117.45699999999999</v>
      </c>
      <c r="AJ439">
        <f>'Revenue drivers'!AJ305</f>
        <v>110.52999999999999</v>
      </c>
      <c r="AL439">
        <f>'Revenue drivers'!BF305</f>
        <v>0</v>
      </c>
      <c r="AM439">
        <f>'Revenue drivers'!BG305</f>
        <v>0</v>
      </c>
      <c r="AN439">
        <f>'Revenue drivers'!BH305</f>
        <v>0</v>
      </c>
      <c r="AO439">
        <f>'Revenue drivers'!BI305</f>
        <v>0</v>
      </c>
      <c r="AP439">
        <f>'Revenue drivers'!BJ305</f>
        <v>0</v>
      </c>
      <c r="AQ439">
        <f>'Revenue drivers'!BK305</f>
        <v>0</v>
      </c>
      <c r="AR439">
        <f>'Revenue drivers'!BL305</f>
        <v>0</v>
      </c>
      <c r="AS439">
        <f>'Revenue drivers'!BM305</f>
        <v>95.555244999999999</v>
      </c>
      <c r="AT439">
        <f>'Revenue drivers'!BN305</f>
        <v>105.31065000000001</v>
      </c>
      <c r="AU439">
        <f>'Revenue drivers'!BO305</f>
        <v>113.31174999999999</v>
      </c>
      <c r="AV439">
        <f>'Revenue drivers'!BP305</f>
        <v>111.631</v>
      </c>
      <c r="AW439">
        <f>'Revenue drivers'!BQ305</f>
        <v>151.04262625000001</v>
      </c>
      <c r="AX439">
        <f>'Revenue drivers'!BR305</f>
        <v>139.28031079725</v>
      </c>
      <c r="AY439">
        <f>'Revenue drivers'!BS305</f>
        <v>127.37339891923122</v>
      </c>
      <c r="AZ439">
        <f>'Revenue drivers'!BT305</f>
        <v>117.00733074731124</v>
      </c>
    </row>
    <row r="440" spans="9:52" ht="11.25" customHeight="1">
      <c r="I440" t="str">
        <f>'Revenue drivers'!I306</f>
        <v>Period-to-period addition Y/Y</v>
      </c>
      <c r="M440">
        <f>'Revenue drivers'!M306</f>
        <v>0</v>
      </c>
      <c r="N440">
        <f>'Revenue drivers'!N306</f>
        <v>0</v>
      </c>
      <c r="O440">
        <f>'Revenue drivers'!O306</f>
        <v>0</v>
      </c>
      <c r="P440">
        <f>'Revenue drivers'!P306</f>
        <v>0</v>
      </c>
      <c r="Q440">
        <f>'Revenue drivers'!Q306</f>
        <v>0</v>
      </c>
      <c r="R440">
        <f>'Revenue drivers'!R306</f>
        <v>0</v>
      </c>
      <c r="S440">
        <f>'Revenue drivers'!S306</f>
        <v>0</v>
      </c>
      <c r="T440">
        <f>'Revenue drivers'!T306</f>
        <v>0</v>
      </c>
      <c r="U440">
        <f>'Revenue drivers'!U306</f>
        <v>0</v>
      </c>
      <c r="V440">
        <f>'Revenue drivers'!V306</f>
        <v>0</v>
      </c>
      <c r="W440">
        <f>'Revenue drivers'!W306</f>
        <v>72.86099999999999</v>
      </c>
      <c r="X440">
        <f>'Revenue drivers'!X306</f>
        <v>0</v>
      </c>
      <c r="Y440">
        <f>'Revenue drivers'!Y306</f>
        <v>0</v>
      </c>
      <c r="Z440">
        <f>'Revenue drivers'!Z306</f>
        <v>0</v>
      </c>
      <c r="AA440">
        <f>'Revenue drivers'!AA306</f>
        <v>96.306539999999998</v>
      </c>
      <c r="AB440">
        <f>'Revenue drivers'!AB306</f>
        <v>-1.5025899999999979</v>
      </c>
      <c r="AC440">
        <f>'Revenue drivers'!AC306</f>
        <v>5.8656500000000023</v>
      </c>
      <c r="AD440">
        <f>'Revenue drivers'!AD306</f>
        <v>6.091399999999993</v>
      </c>
      <c r="AE440">
        <f>'Revenue drivers'!AE306</f>
        <v>2.6570000000000107</v>
      </c>
      <c r="AF440">
        <f>'Revenue drivers'!AF306</f>
        <v>-5.0240000000000009</v>
      </c>
      <c r="AG440">
        <f>'Revenue drivers'!AG306</f>
        <v>6.929000000000002</v>
      </c>
      <c r="AH440">
        <f>'Revenue drivers'!AH306</f>
        <v>2.6139999999999759</v>
      </c>
      <c r="AI440">
        <f>'Revenue drivers'!AI306</f>
        <v>3.5200000000000102</v>
      </c>
      <c r="AJ440">
        <f>'Revenue drivers'!AJ306</f>
        <v>-6.9270000000000067</v>
      </c>
      <c r="AL440">
        <f>'Revenue drivers'!BF306</f>
        <v>0</v>
      </c>
      <c r="AM440">
        <f>'Revenue drivers'!BG306</f>
        <v>0</v>
      </c>
      <c r="AN440">
        <f>'Revenue drivers'!BH306</f>
        <v>0</v>
      </c>
      <c r="AO440">
        <f>'Revenue drivers'!BI306</f>
        <v>0</v>
      </c>
      <c r="AP440">
        <f>'Revenue drivers'!BJ306</f>
        <v>0</v>
      </c>
      <c r="AQ440">
        <f>'Revenue drivers'!BK306</f>
        <v>0</v>
      </c>
      <c r="AR440">
        <f>'Revenue drivers'!BL306</f>
        <v>0</v>
      </c>
      <c r="AS440">
        <f>'Revenue drivers'!BM306</f>
        <v>0</v>
      </c>
      <c r="AT440">
        <f>'Revenue drivers'!BN306</f>
        <v>9.7554050000000103</v>
      </c>
      <c r="AU440">
        <f>'Revenue drivers'!BO306</f>
        <v>8.0010999999999797</v>
      </c>
      <c r="AV440">
        <f>'Revenue drivers'!BP306</f>
        <v>-1.6807499999999891</v>
      </c>
      <c r="AW440">
        <f>'Revenue drivers'!BQ306</f>
        <v>39.411626250000012</v>
      </c>
      <c r="AX440">
        <f>'Revenue drivers'!BR306</f>
        <v>-11.762315452750016</v>
      </c>
      <c r="AY440">
        <f>'Revenue drivers'!BS306</f>
        <v>-11.906911878018775</v>
      </c>
      <c r="AZ440">
        <f>'Revenue drivers'!BT306</f>
        <v>-10.366068171919977</v>
      </c>
    </row>
    <row r="441" spans="9:52" ht="11.25" customHeight="1">
      <c r="I441" t="str">
        <f>'Revenue drivers'!I307</f>
        <v>% change Y/Y</v>
      </c>
      <c r="M441">
        <f>'Revenue drivers'!M307</f>
        <v>0</v>
      </c>
      <c r="N441">
        <f>'Revenue drivers'!N307</f>
        <v>0</v>
      </c>
      <c r="O441">
        <f>'Revenue drivers'!O307</f>
        <v>0</v>
      </c>
      <c r="P441">
        <f>'Revenue drivers'!P307</f>
        <v>0</v>
      </c>
      <c r="Q441">
        <f>'Revenue drivers'!Q307</f>
        <v>0</v>
      </c>
      <c r="R441">
        <f>'Revenue drivers'!R307</f>
        <v>0</v>
      </c>
      <c r="S441">
        <f>'Revenue drivers'!S307</f>
        <v>0</v>
      </c>
      <c r="T441">
        <f>'Revenue drivers'!T307</f>
        <v>0</v>
      </c>
      <c r="U441">
        <f>'Revenue drivers'!U307</f>
        <v>0</v>
      </c>
      <c r="V441">
        <f>'Revenue drivers'!V307</f>
        <v>0</v>
      </c>
      <c r="W441" t="str">
        <f>'Revenue drivers'!W307</f>
        <v>NA</v>
      </c>
      <c r="X441">
        <f>'Revenue drivers'!X307</f>
        <v>0</v>
      </c>
      <c r="Y441">
        <f>'Revenue drivers'!Y307</f>
        <v>0</v>
      </c>
      <c r="Z441">
        <f>'Revenue drivers'!Z307</f>
        <v>0</v>
      </c>
      <c r="AA441">
        <f>'Revenue drivers'!AA307</f>
        <v>0.32178449376209506</v>
      </c>
      <c r="AB441" t="str">
        <f>'Revenue drivers'!AB307</f>
        <v>NA</v>
      </c>
      <c r="AC441" t="str">
        <f>'Revenue drivers'!AC307</f>
        <v>NA</v>
      </c>
      <c r="AD441" t="str">
        <f>'Revenue drivers'!AD307</f>
        <v>NA</v>
      </c>
      <c r="AE441">
        <f>'Revenue drivers'!AE307</f>
        <v>0.13614298675873937</v>
      </c>
      <c r="AF441">
        <f>'Revenue drivers'!AF307</f>
        <v>0.10115665011848129</v>
      </c>
      <c r="AG441">
        <f>'Revenue drivers'!AG307</f>
        <v>0.1058253931673514</v>
      </c>
      <c r="AH441">
        <f>'Revenue drivers'!AH307</f>
        <v>6.7215556242447905E-2</v>
      </c>
      <c r="AI441">
        <f>'Revenue drivers'!AI307</f>
        <v>7.3470544151784667E-2</v>
      </c>
      <c r="AJ441">
        <f>'Revenue drivers'!AJ307</f>
        <v>5.8777324367300654E-2</v>
      </c>
      <c r="AL441">
        <f>'Revenue drivers'!BF307</f>
        <v>0</v>
      </c>
      <c r="AM441">
        <f>'Revenue drivers'!BG307</f>
        <v>0</v>
      </c>
      <c r="AN441">
        <f>'Revenue drivers'!BH307</f>
        <v>0</v>
      </c>
      <c r="AO441">
        <f>'Revenue drivers'!BI307</f>
        <v>0</v>
      </c>
      <c r="AP441">
        <f>'Revenue drivers'!BJ307</f>
        <v>0</v>
      </c>
      <c r="AQ441">
        <f>'Revenue drivers'!BK307</f>
        <v>0</v>
      </c>
      <c r="AR441">
        <f>'Revenue drivers'!BL307</f>
        <v>0</v>
      </c>
      <c r="AS441">
        <f>'Revenue drivers'!BM307</f>
        <v>0</v>
      </c>
      <c r="AT441">
        <f>'Revenue drivers'!BN307</f>
        <v>0.10209177947270209</v>
      </c>
      <c r="AU441">
        <f>'Revenue drivers'!BO307</f>
        <v>7.5976171450845564E-2</v>
      </c>
      <c r="AV441">
        <f>'Revenue drivers'!BP307</f>
        <v>-1.4832971867436373E-2</v>
      </c>
      <c r="AW441">
        <f>'Revenue drivers'!BQ307</f>
        <v>0.35305270265428068</v>
      </c>
      <c r="AX441">
        <f>'Revenue drivers'!BR307</f>
        <v>-7.7874145496394376E-2</v>
      </c>
      <c r="AY441">
        <f>'Revenue drivers'!BS307</f>
        <v>-8.5488837653095451E-2</v>
      </c>
      <c r="AZ441">
        <f>'Revenue drivers'!BT307</f>
        <v>-8.1383304990496508E-2</v>
      </c>
    </row>
    <row r="442" spans="9:52" ht="11.25" customHeight="1">
      <c r="I442" t="str">
        <f>'Revenue drivers'!I308</f>
        <v>% change Q/Q</v>
      </c>
      <c r="M442">
        <f>'Revenue drivers'!M308</f>
        <v>0</v>
      </c>
      <c r="N442">
        <f>'Revenue drivers'!N308</f>
        <v>0</v>
      </c>
      <c r="O442">
        <f>'Revenue drivers'!O308</f>
        <v>0</v>
      </c>
      <c r="P442">
        <f>'Revenue drivers'!P308</f>
        <v>0</v>
      </c>
      <c r="Q442">
        <f>'Revenue drivers'!Q308</f>
        <v>0</v>
      </c>
      <c r="R442">
        <f>'Revenue drivers'!R308</f>
        <v>0</v>
      </c>
      <c r="S442">
        <f>'Revenue drivers'!S308</f>
        <v>0</v>
      </c>
      <c r="T442">
        <f>'Revenue drivers'!T308</f>
        <v>0</v>
      </c>
      <c r="U442">
        <f>'Revenue drivers'!U308</f>
        <v>0</v>
      </c>
      <c r="V442">
        <f>'Revenue drivers'!V308</f>
        <v>0</v>
      </c>
      <c r="W442" t="str">
        <f>'Revenue drivers'!W308</f>
        <v>NA</v>
      </c>
      <c r="X442">
        <f>'Revenue drivers'!X308</f>
        <v>0</v>
      </c>
      <c r="Y442">
        <f>'Revenue drivers'!Y308</f>
        <v>0</v>
      </c>
      <c r="Z442">
        <f>'Revenue drivers'!Z308</f>
        <v>0</v>
      </c>
      <c r="AA442" t="str">
        <f>'Revenue drivers'!AA308</f>
        <v>NA</v>
      </c>
      <c r="AB442">
        <f>'Revenue drivers'!AB308</f>
        <v>-1.5602159521046044E-2</v>
      </c>
      <c r="AC442">
        <f>'Revenue drivers'!AC308</f>
        <v>6.1871367174047176E-2</v>
      </c>
      <c r="AD442">
        <f>'Revenue drivers'!AD308</f>
        <v>6.0508832855201478E-2</v>
      </c>
      <c r="AE442">
        <f>'Revenue drivers'!AE308</f>
        <v>2.4887365236369252E-2</v>
      </c>
      <c r="AF442">
        <f>'Revenue drivers'!AF308</f>
        <v>-4.5915662870825602E-2</v>
      </c>
      <c r="AG442">
        <f>'Revenue drivers'!AG308</f>
        <v>6.6373546372396897E-2</v>
      </c>
      <c r="AH442">
        <f>'Revenue drivers'!AH308</f>
        <v>2.3481221310959866E-2</v>
      </c>
      <c r="AI442">
        <f>'Revenue drivers'!AI308</f>
        <v>3.0894266129527725E-2</v>
      </c>
      <c r="AJ442">
        <f>'Revenue drivers'!AJ308</f>
        <v>-5.897477374698834E-2</v>
      </c>
      <c r="AL442">
        <f>'Revenue drivers'!BF308</f>
        <v>0</v>
      </c>
      <c r="AM442">
        <f>'Revenue drivers'!BG308</f>
        <v>0</v>
      </c>
      <c r="AN442">
        <f>'Revenue drivers'!BH308</f>
        <v>0</v>
      </c>
      <c r="AO442">
        <f>'Revenue drivers'!BI308</f>
        <v>0</v>
      </c>
      <c r="AP442">
        <f>'Revenue drivers'!BJ308</f>
        <v>0</v>
      </c>
      <c r="AQ442">
        <f>'Revenue drivers'!BK308</f>
        <v>0</v>
      </c>
      <c r="AR442">
        <f>'Revenue drivers'!BL308</f>
        <v>0</v>
      </c>
      <c r="AS442">
        <f>'Revenue drivers'!BM308</f>
        <v>0</v>
      </c>
      <c r="AT442">
        <f>'Revenue drivers'!BN308</f>
        <v>0</v>
      </c>
      <c r="AU442">
        <f>'Revenue drivers'!BO308</f>
        <v>0</v>
      </c>
      <c r="AV442">
        <f>'Revenue drivers'!BP308</f>
        <v>0</v>
      </c>
      <c r="AW442">
        <f>'Revenue drivers'!BQ308</f>
        <v>0</v>
      </c>
      <c r="AX442">
        <f>'Revenue drivers'!BR308</f>
        <v>0</v>
      </c>
      <c r="AY442">
        <f>'Revenue drivers'!BS308</f>
        <v>0</v>
      </c>
      <c r="AZ442">
        <f>'Revenue drivers'!BT308</f>
        <v>0</v>
      </c>
    </row>
    <row r="443" spans="9:52" ht="11.25" customHeight="1">
      <c r="I443" t="str">
        <f>'Revenue drivers'!I309</f>
        <v>% of total average monthly unique visitors</v>
      </c>
      <c r="M443">
        <f>'Revenue drivers'!M309</f>
        <v>0</v>
      </c>
      <c r="N443">
        <f>'Revenue drivers'!N309</f>
        <v>0</v>
      </c>
      <c r="O443">
        <f>'Revenue drivers'!O309</f>
        <v>0</v>
      </c>
      <c r="P443">
        <f>'Revenue drivers'!P309</f>
        <v>0</v>
      </c>
      <c r="Q443">
        <f>'Revenue drivers'!Q309</f>
        <v>0</v>
      </c>
      <c r="R443">
        <f>'Revenue drivers'!R309</f>
        <v>0</v>
      </c>
      <c r="S443">
        <f>'Revenue drivers'!S309</f>
        <v>0</v>
      </c>
      <c r="T443">
        <f>'Revenue drivers'!T309</f>
        <v>0</v>
      </c>
      <c r="U443">
        <f>'Revenue drivers'!U309</f>
        <v>0</v>
      </c>
      <c r="V443">
        <f>'Revenue drivers'!V309</f>
        <v>0</v>
      </c>
      <c r="W443">
        <f>'Revenue drivers'!W309</f>
        <v>0.87218990160166621</v>
      </c>
      <c r="X443">
        <f>'Revenue drivers'!X309</f>
        <v>0</v>
      </c>
      <c r="Y443">
        <f>'Revenue drivers'!Y309</f>
        <v>0</v>
      </c>
      <c r="Z443">
        <f>'Revenue drivers'!Z309</f>
        <v>0</v>
      </c>
      <c r="AA443">
        <f>'Revenue drivers'!AA309</f>
        <v>0.82</v>
      </c>
      <c r="AB443">
        <f>'Revenue drivers'!AB309</f>
        <v>0.79</v>
      </c>
      <c r="AC443">
        <f>'Revenue drivers'!AC309</f>
        <v>0.76</v>
      </c>
      <c r="AD443">
        <f>'Revenue drivers'!AD309</f>
        <v>0.77497259746953051</v>
      </c>
      <c r="AE443">
        <f>'Revenue drivers'!AE309</f>
        <v>0.78481975067781784</v>
      </c>
      <c r="AF443">
        <f>'Revenue drivers'!AF309</f>
        <v>0.77103859846078848</v>
      </c>
      <c r="AG443">
        <f>'Revenue drivers'!AG309</f>
        <v>0.78140047449917871</v>
      </c>
      <c r="AH443">
        <f>'Revenue drivers'!AH309</f>
        <v>0.79183403989158385</v>
      </c>
      <c r="AI443">
        <f>'Revenue drivers'!AI309</f>
        <v>0.79353186774581463</v>
      </c>
      <c r="AJ443">
        <f>'Revenue drivers'!AJ309</f>
        <v>0.78687520912385112</v>
      </c>
      <c r="AL443">
        <f>'Revenue drivers'!BF309</f>
        <v>0</v>
      </c>
      <c r="AM443">
        <f>'Revenue drivers'!BG309</f>
        <v>0</v>
      </c>
      <c r="AN443">
        <f>'Revenue drivers'!BH309</f>
        <v>0</v>
      </c>
      <c r="AO443">
        <f>'Revenue drivers'!BI309</f>
        <v>0</v>
      </c>
      <c r="AP443">
        <f>'Revenue drivers'!BJ309</f>
        <v>0</v>
      </c>
      <c r="AQ443">
        <f>'Revenue drivers'!BK309</f>
        <v>0</v>
      </c>
      <c r="AR443">
        <f>'Revenue drivers'!BL309</f>
        <v>0</v>
      </c>
      <c r="AS443">
        <f>'Revenue drivers'!BM309</f>
        <v>0</v>
      </c>
      <c r="AT443">
        <f>'Revenue drivers'!BN309</f>
        <v>0.77780883938726975</v>
      </c>
      <c r="AU443">
        <f>'Revenue drivers'!BO309</f>
        <v>0.80667879288373778</v>
      </c>
      <c r="AV443">
        <f>'Revenue drivers'!BP309</f>
        <v>0.83782526137242097</v>
      </c>
      <c r="AW443">
        <f>'Revenue drivers'!BQ309</f>
        <v>1.071459868836411</v>
      </c>
      <c r="AX443">
        <f>'Revenue drivers'!BR309</f>
        <v>1.0687996887323534</v>
      </c>
      <c r="AY443">
        <f>'Revenue drivers'!BS309</f>
        <v>1.0339081820299607</v>
      </c>
      <c r="AZ443">
        <f>'Revenue drivers'!BT309</f>
        <v>1.011450654521864</v>
      </c>
    </row>
    <row r="444" spans="9:52" ht="11.25" customHeight="1">
      <c r="I444">
        <f>'Revenue drivers'!I310</f>
        <v>0</v>
      </c>
      <c r="M444">
        <f>'Revenue drivers'!M310</f>
        <v>0</v>
      </c>
      <c r="N444">
        <f>'Revenue drivers'!N310</f>
        <v>0</v>
      </c>
      <c r="O444">
        <f>'Revenue drivers'!O310</f>
        <v>0</v>
      </c>
      <c r="P444">
        <f>'Revenue drivers'!P310</f>
        <v>0</v>
      </c>
      <c r="Q444">
        <f>'Revenue drivers'!Q310</f>
        <v>0</v>
      </c>
      <c r="R444">
        <f>'Revenue drivers'!R310</f>
        <v>0</v>
      </c>
      <c r="S444">
        <f>'Revenue drivers'!S310</f>
        <v>0</v>
      </c>
      <c r="T444">
        <f>'Revenue drivers'!T310</f>
        <v>0</v>
      </c>
      <c r="U444">
        <f>'Revenue drivers'!U310</f>
        <v>0</v>
      </c>
      <c r="V444">
        <f>'Revenue drivers'!V310</f>
        <v>0</v>
      </c>
      <c r="W444">
        <f>'Revenue drivers'!W310</f>
        <v>0</v>
      </c>
      <c r="X444">
        <f>'Revenue drivers'!X310</f>
        <v>0</v>
      </c>
      <c r="Y444">
        <f>'Revenue drivers'!Y310</f>
        <v>0</v>
      </c>
      <c r="Z444">
        <f>'Revenue drivers'!Z310</f>
        <v>0</v>
      </c>
      <c r="AA444">
        <f>'Revenue drivers'!AA310</f>
        <v>0</v>
      </c>
      <c r="AB444">
        <f>'Revenue drivers'!AB310</f>
        <v>0</v>
      </c>
      <c r="AC444">
        <f>'Revenue drivers'!AC310</f>
        <v>0</v>
      </c>
      <c r="AD444">
        <f>'Revenue drivers'!AD310</f>
        <v>0</v>
      </c>
      <c r="AE444">
        <f>'Revenue drivers'!AE310</f>
        <v>0</v>
      </c>
      <c r="AF444">
        <f>'Revenue drivers'!AF310</f>
        <v>0</v>
      </c>
      <c r="AG444">
        <f>'Revenue drivers'!AG310</f>
        <v>0</v>
      </c>
      <c r="AH444">
        <f>'Revenue drivers'!AH310</f>
        <v>0</v>
      </c>
      <c r="AI444">
        <f>'Revenue drivers'!AI310</f>
        <v>0</v>
      </c>
      <c r="AJ444">
        <f>'Revenue drivers'!AJ310</f>
        <v>0</v>
      </c>
      <c r="AL444">
        <f>'Revenue drivers'!BF310</f>
        <v>0</v>
      </c>
      <c r="AM444">
        <f>'Revenue drivers'!BG310</f>
        <v>0</v>
      </c>
      <c r="AN444">
        <f>'Revenue drivers'!BH310</f>
        <v>0</v>
      </c>
      <c r="AO444">
        <f>'Revenue drivers'!BI310</f>
        <v>0</v>
      </c>
      <c r="AP444">
        <f>'Revenue drivers'!BJ310</f>
        <v>0</v>
      </c>
      <c r="AQ444">
        <f>'Revenue drivers'!BK310</f>
        <v>0</v>
      </c>
      <c r="AR444">
        <f>'Revenue drivers'!BL310</f>
        <v>0</v>
      </c>
      <c r="AS444">
        <f>'Revenue drivers'!BM310</f>
        <v>0</v>
      </c>
      <c r="AT444">
        <f>'Revenue drivers'!BN310</f>
        <v>0</v>
      </c>
      <c r="AU444">
        <f>'Revenue drivers'!BO310</f>
        <v>0</v>
      </c>
      <c r="AV444">
        <f>'Revenue drivers'!BP310</f>
        <v>0</v>
      </c>
      <c r="AW444">
        <f>'Revenue drivers'!BQ310</f>
        <v>0</v>
      </c>
      <c r="AX444">
        <f>'Revenue drivers'!BR310</f>
        <v>0</v>
      </c>
      <c r="AY444">
        <f>'Revenue drivers'!BS310</f>
        <v>0</v>
      </c>
      <c r="AZ444">
        <f>'Revenue drivers'!BT310</f>
        <v>0</v>
      </c>
    </row>
    <row r="445" spans="9:52" ht="11.25" customHeight="1">
      <c r="I445">
        <f>'Revenue drivers'!I311</f>
        <v>0</v>
      </c>
      <c r="M445">
        <f>'Revenue drivers'!M311</f>
        <v>0</v>
      </c>
      <c r="N445">
        <f>'Revenue drivers'!N311</f>
        <v>0</v>
      </c>
      <c r="O445">
        <f>'Revenue drivers'!O311</f>
        <v>0</v>
      </c>
      <c r="P445">
        <f>'Revenue drivers'!P311</f>
        <v>0</v>
      </c>
      <c r="Q445">
        <f>'Revenue drivers'!Q311</f>
        <v>0</v>
      </c>
      <c r="R445">
        <f>'Revenue drivers'!R311</f>
        <v>0</v>
      </c>
      <c r="S445">
        <f>'Revenue drivers'!S311</f>
        <v>0</v>
      </c>
      <c r="T445">
        <f>'Revenue drivers'!T311</f>
        <v>0</v>
      </c>
      <c r="U445">
        <f>'Revenue drivers'!U311</f>
        <v>0</v>
      </c>
      <c r="V445">
        <f>'Revenue drivers'!V311</f>
        <v>0</v>
      </c>
      <c r="W445">
        <f>'Revenue drivers'!W311</f>
        <v>0</v>
      </c>
      <c r="X445">
        <f>'Revenue drivers'!X311</f>
        <v>0</v>
      </c>
      <c r="Y445">
        <f>'Revenue drivers'!Y311</f>
        <v>0</v>
      </c>
      <c r="Z445">
        <f>'Revenue drivers'!Z311</f>
        <v>0</v>
      </c>
      <c r="AA445">
        <f>'Revenue drivers'!AA311</f>
        <v>0</v>
      </c>
      <c r="AB445">
        <f>'Revenue drivers'!AB311</f>
        <v>0</v>
      </c>
      <c r="AC445">
        <f>'Revenue drivers'!AC311</f>
        <v>0</v>
      </c>
      <c r="AD445">
        <f>'Revenue drivers'!AD311</f>
        <v>0</v>
      </c>
      <c r="AE445">
        <f>'Revenue drivers'!AE311</f>
        <v>0</v>
      </c>
      <c r="AF445">
        <f>'Revenue drivers'!AF311</f>
        <v>0</v>
      </c>
      <c r="AG445">
        <f>'Revenue drivers'!AG311</f>
        <v>0</v>
      </c>
      <c r="AH445">
        <f>'Revenue drivers'!AH311</f>
        <v>0</v>
      </c>
      <c r="AI445">
        <f>'Revenue drivers'!AI311</f>
        <v>0</v>
      </c>
      <c r="AJ445">
        <f>'Revenue drivers'!AJ311</f>
        <v>0</v>
      </c>
      <c r="AL445">
        <f>'Revenue drivers'!BF311</f>
        <v>0</v>
      </c>
      <c r="AM445">
        <f>'Revenue drivers'!BG311</f>
        <v>0</v>
      </c>
      <c r="AN445">
        <f>'Revenue drivers'!BH311</f>
        <v>0</v>
      </c>
      <c r="AO445">
        <f>'Revenue drivers'!BI311</f>
        <v>0</v>
      </c>
      <c r="AP445">
        <f>'Revenue drivers'!BJ311</f>
        <v>0</v>
      </c>
      <c r="AQ445">
        <f>'Revenue drivers'!BK311</f>
        <v>0</v>
      </c>
      <c r="AR445">
        <f>'Revenue drivers'!BL311</f>
        <v>0</v>
      </c>
      <c r="AS445">
        <f>'Revenue drivers'!BM311</f>
        <v>0</v>
      </c>
      <c r="AT445">
        <f>'Revenue drivers'!BN311</f>
        <v>0</v>
      </c>
      <c r="AU445">
        <f>'Revenue drivers'!BO311</f>
        <v>0</v>
      </c>
      <c r="AV445">
        <f>'Revenue drivers'!BP311</f>
        <v>0</v>
      </c>
      <c r="AW445">
        <f>'Revenue drivers'!BQ311</f>
        <v>0</v>
      </c>
      <c r="AX445">
        <f>'Revenue drivers'!BR311</f>
        <v>0</v>
      </c>
      <c r="AY445">
        <f>'Revenue drivers'!BS311</f>
        <v>0</v>
      </c>
      <c r="AZ445">
        <f>'Revenue drivers'!BT311</f>
        <v>0</v>
      </c>
    </row>
    <row r="446" spans="9:52" ht="11.25" customHeight="1">
      <c r="I446" t="str">
        <f>'Revenue drivers'!I312</f>
        <v>International average monthly unique visitors</v>
      </c>
      <c r="M446">
        <f>'Revenue drivers'!M312</f>
        <v>0</v>
      </c>
      <c r="N446">
        <f>'Revenue drivers'!N312</f>
        <v>0</v>
      </c>
      <c r="O446">
        <f>'Revenue drivers'!O312</f>
        <v>0</v>
      </c>
      <c r="P446">
        <f>'Revenue drivers'!P312</f>
        <v>0</v>
      </c>
      <c r="Q446">
        <f>'Revenue drivers'!Q312</f>
        <v>0</v>
      </c>
      <c r="R446">
        <f>'Revenue drivers'!R312</f>
        <v>0</v>
      </c>
      <c r="S446">
        <f>'Revenue drivers'!S312</f>
        <v>0</v>
      </c>
      <c r="T446">
        <f>'Revenue drivers'!T312</f>
        <v>0</v>
      </c>
      <c r="U446">
        <f>'Revenue drivers'!U312</f>
        <v>0</v>
      </c>
      <c r="V446">
        <f>'Revenue drivers'!V312</f>
        <v>0</v>
      </c>
      <c r="W446">
        <f>'Revenue drivers'!W312</f>
        <v>10.677000000000001</v>
      </c>
      <c r="X446">
        <f>'Revenue drivers'!X312</f>
        <v>0</v>
      </c>
      <c r="Y446">
        <f>'Revenue drivers'!Y312</f>
        <v>0</v>
      </c>
      <c r="Z446">
        <f>'Revenue drivers'!Z312</f>
        <v>0</v>
      </c>
      <c r="AA446">
        <f>'Revenue drivers'!AA312</f>
        <v>21.140460000000001</v>
      </c>
      <c r="AB446">
        <f>'Revenue drivers'!AB312</f>
        <v>25.201049999999999</v>
      </c>
      <c r="AC446">
        <f>'Revenue drivers'!AC312</f>
        <v>31.790400000000002</v>
      </c>
      <c r="AD446">
        <f>'Revenue drivers'!AD312</f>
        <v>31</v>
      </c>
      <c r="AE446">
        <f>'Revenue drivers'!AE312</f>
        <v>30</v>
      </c>
      <c r="AF446">
        <f>'Revenue drivers'!AF312</f>
        <v>31</v>
      </c>
      <c r="AG446">
        <f>'Revenue drivers'!AG312</f>
        <v>31.143000000000001</v>
      </c>
      <c r="AH446">
        <f>'Revenue drivers'!AH312</f>
        <v>29.952999999999999</v>
      </c>
      <c r="AI446">
        <f>'Revenue drivers'!AI312</f>
        <v>30.561</v>
      </c>
      <c r="AJ446">
        <f>'Revenue drivers'!AJ312</f>
        <v>29.937000000000001</v>
      </c>
      <c r="AL446">
        <f>'Revenue drivers'!BF312</f>
        <v>0</v>
      </c>
      <c r="AM446">
        <f>'Revenue drivers'!BG312</f>
        <v>0</v>
      </c>
      <c r="AN446">
        <f>'Revenue drivers'!BH312</f>
        <v>0</v>
      </c>
      <c r="AO446">
        <f>'Revenue drivers'!BI312</f>
        <v>0</v>
      </c>
      <c r="AP446">
        <f>'Revenue drivers'!BJ312</f>
        <v>0</v>
      </c>
      <c r="AQ446">
        <f>'Revenue drivers'!BK312</f>
        <v>0</v>
      </c>
      <c r="AR446">
        <f>'Revenue drivers'!BL312</f>
        <v>0</v>
      </c>
      <c r="AS446">
        <f>'Revenue drivers'!BM312</f>
        <v>23.170755</v>
      </c>
      <c r="AT446">
        <f>'Revenue drivers'!BN312</f>
        <v>30.947600000000001</v>
      </c>
      <c r="AU446">
        <f>'Revenue drivers'!BO312</f>
        <v>30.398500000000002</v>
      </c>
      <c r="AV446">
        <f>'Revenue drivers'!BP312</f>
        <v>29.72025</v>
      </c>
      <c r="AW446">
        <f>'Revenue drivers'!BQ312</f>
        <v>0.58912374999999995</v>
      </c>
      <c r="AX446">
        <f>'Revenue drivers'!BR312</f>
        <v>1.7199267027499998</v>
      </c>
      <c r="AY446">
        <f>'Revenue drivers'!BS312</f>
        <v>4.1928529557687497</v>
      </c>
      <c r="AZ446">
        <f>'Revenue drivers'!BT312</f>
        <v>6.352533346438749</v>
      </c>
    </row>
    <row r="447" spans="9:52" ht="11.25" customHeight="1">
      <c r="I447" t="str">
        <f>'Revenue drivers'!I313</f>
        <v>Period-to-period change</v>
      </c>
      <c r="M447">
        <f>'Revenue drivers'!M313</f>
        <v>0</v>
      </c>
      <c r="N447">
        <f>'Revenue drivers'!N313</f>
        <v>0</v>
      </c>
      <c r="O447">
        <f>'Revenue drivers'!O313</f>
        <v>0</v>
      </c>
      <c r="P447">
        <f>'Revenue drivers'!P313</f>
        <v>0</v>
      </c>
      <c r="Q447">
        <f>'Revenue drivers'!Q313</f>
        <v>0</v>
      </c>
      <c r="R447">
        <f>'Revenue drivers'!R313</f>
        <v>0</v>
      </c>
      <c r="S447">
        <f>'Revenue drivers'!S313</f>
        <v>0</v>
      </c>
      <c r="T447">
        <f>'Revenue drivers'!T313</f>
        <v>0</v>
      </c>
      <c r="U447">
        <f>'Revenue drivers'!U313</f>
        <v>0</v>
      </c>
      <c r="V447">
        <f>'Revenue drivers'!V313</f>
        <v>0</v>
      </c>
      <c r="W447">
        <f>'Revenue drivers'!W313</f>
        <v>10.677000000000001</v>
      </c>
      <c r="X447">
        <f>'Revenue drivers'!X313</f>
        <v>0</v>
      </c>
      <c r="Y447">
        <f>'Revenue drivers'!Y313</f>
        <v>0</v>
      </c>
      <c r="Z447">
        <f>'Revenue drivers'!Z313</f>
        <v>0</v>
      </c>
      <c r="AA447">
        <f>'Revenue drivers'!AA313</f>
        <v>21.140460000000001</v>
      </c>
      <c r="AB447">
        <f>'Revenue drivers'!AB313</f>
        <v>4.0605899999999977</v>
      </c>
      <c r="AC447">
        <f>'Revenue drivers'!AC313</f>
        <v>6.5893500000000031</v>
      </c>
      <c r="AD447">
        <f>'Revenue drivers'!AD313</f>
        <v>-0.79040000000000177</v>
      </c>
      <c r="AE447">
        <f>'Revenue drivers'!AE313</f>
        <v>-1</v>
      </c>
      <c r="AF447">
        <f>'Revenue drivers'!AF313</f>
        <v>1</v>
      </c>
      <c r="AG447">
        <f>'Revenue drivers'!AG313</f>
        <v>0.14300000000000068</v>
      </c>
      <c r="AH447">
        <f>'Revenue drivers'!AH313</f>
        <v>-1.1900000000000013</v>
      </c>
      <c r="AI447">
        <f>'Revenue drivers'!AI313</f>
        <v>0.60800000000000054</v>
      </c>
      <c r="AJ447">
        <f>'Revenue drivers'!AJ313</f>
        <v>-0.62399999999999878</v>
      </c>
      <c r="AL447">
        <f>'Revenue drivers'!BF313</f>
        <v>0</v>
      </c>
      <c r="AM447">
        <f>'Revenue drivers'!BG313</f>
        <v>0</v>
      </c>
      <c r="AN447">
        <f>'Revenue drivers'!BH313</f>
        <v>0</v>
      </c>
      <c r="AO447">
        <f>'Revenue drivers'!BI313</f>
        <v>0</v>
      </c>
      <c r="AP447">
        <f>'Revenue drivers'!BJ313</f>
        <v>0</v>
      </c>
      <c r="AQ447">
        <f>'Revenue drivers'!BK313</f>
        <v>0</v>
      </c>
      <c r="AR447">
        <f>'Revenue drivers'!BL313</f>
        <v>0</v>
      </c>
      <c r="AS447">
        <f>'Revenue drivers'!BM313</f>
        <v>0</v>
      </c>
      <c r="AT447">
        <f>'Revenue drivers'!BN313</f>
        <v>7.7768450000000016</v>
      </c>
      <c r="AU447">
        <f>'Revenue drivers'!BO313</f>
        <v>-0.54909999999999926</v>
      </c>
      <c r="AV447">
        <f>'Revenue drivers'!BP313</f>
        <v>-0.67825000000000202</v>
      </c>
      <c r="AW447">
        <f>'Revenue drivers'!BQ313</f>
        <v>-29.131126250000001</v>
      </c>
      <c r="AX447">
        <f>'Revenue drivers'!BR313</f>
        <v>1.1308029527499999</v>
      </c>
      <c r="AY447">
        <f>'Revenue drivers'!BS313</f>
        <v>2.4729262530187501</v>
      </c>
      <c r="AZ447">
        <f>'Revenue drivers'!BT313</f>
        <v>2.1596803906699993</v>
      </c>
    </row>
    <row r="448" spans="9:52" ht="11.25" customHeight="1">
      <c r="I448" t="str">
        <f>'Revenue drivers'!I314</f>
        <v>% change Y/Y</v>
      </c>
      <c r="M448">
        <f>'Revenue drivers'!M314</f>
        <v>0</v>
      </c>
      <c r="N448">
        <f>'Revenue drivers'!N314</f>
        <v>0</v>
      </c>
      <c r="O448">
        <f>'Revenue drivers'!O314</f>
        <v>0</v>
      </c>
      <c r="P448">
        <f>'Revenue drivers'!P314</f>
        <v>0</v>
      </c>
      <c r="Q448">
        <f>'Revenue drivers'!Q314</f>
        <v>0</v>
      </c>
      <c r="R448">
        <f>'Revenue drivers'!R314</f>
        <v>0</v>
      </c>
      <c r="S448">
        <f>'Revenue drivers'!S314</f>
        <v>0</v>
      </c>
      <c r="T448">
        <f>'Revenue drivers'!T314</f>
        <v>0</v>
      </c>
      <c r="U448">
        <f>'Revenue drivers'!U314</f>
        <v>0</v>
      </c>
      <c r="V448">
        <f>'Revenue drivers'!V314</f>
        <v>0</v>
      </c>
      <c r="W448" t="str">
        <f>'Revenue drivers'!W314</f>
        <v>NA</v>
      </c>
      <c r="X448">
        <f>'Revenue drivers'!X314</f>
        <v>0</v>
      </c>
      <c r="Y448">
        <f>'Revenue drivers'!Y314</f>
        <v>0</v>
      </c>
      <c r="Z448">
        <f>'Revenue drivers'!Z314</f>
        <v>0</v>
      </c>
      <c r="AA448">
        <f>'Revenue drivers'!AA314</f>
        <v>0.97999999999999976</v>
      </c>
      <c r="AB448" t="str">
        <f>'Revenue drivers'!AB314</f>
        <v>NA</v>
      </c>
      <c r="AC448" t="str">
        <f>'Revenue drivers'!AC314</f>
        <v>NA</v>
      </c>
      <c r="AD448" t="str">
        <f>'Revenue drivers'!AD314</f>
        <v>NA</v>
      </c>
      <c r="AE448">
        <f>'Revenue drivers'!AE314</f>
        <v>0.41907981188678001</v>
      </c>
      <c r="AF448">
        <f>'Revenue drivers'!AF314</f>
        <v>0.23010747568057677</v>
      </c>
      <c r="AG448">
        <f>'Revenue drivers'!AG314</f>
        <v>-2.0364638381398237E-2</v>
      </c>
      <c r="AH448">
        <f>'Revenue drivers'!AH314</f>
        <v>-3.3774193548387066E-2</v>
      </c>
      <c r="AI448">
        <f>'Revenue drivers'!AI314</f>
        <v>1.8699999999999939E-2</v>
      </c>
      <c r="AJ448">
        <f>'Revenue drivers'!AJ314</f>
        <v>-3.4290322580645127E-2</v>
      </c>
      <c r="AL448">
        <f>'Revenue drivers'!BF314</f>
        <v>0</v>
      </c>
      <c r="AM448">
        <f>'Revenue drivers'!BG314</f>
        <v>0</v>
      </c>
      <c r="AN448">
        <f>'Revenue drivers'!BH314</f>
        <v>0</v>
      </c>
      <c r="AO448">
        <f>'Revenue drivers'!BI314</f>
        <v>0</v>
      </c>
      <c r="AP448">
        <f>'Revenue drivers'!BJ314</f>
        <v>0</v>
      </c>
      <c r="AQ448">
        <f>'Revenue drivers'!BK314</f>
        <v>0</v>
      </c>
      <c r="AR448">
        <f>'Revenue drivers'!BL314</f>
        <v>0</v>
      </c>
      <c r="AS448">
        <f>'Revenue drivers'!BM314</f>
        <v>0</v>
      </c>
      <c r="AT448">
        <f>'Revenue drivers'!BN314</f>
        <v>0.33563192049633273</v>
      </c>
      <c r="AU448">
        <f>'Revenue drivers'!BO314</f>
        <v>-1.7742894440925916E-2</v>
      </c>
      <c r="AV448">
        <f>'Revenue drivers'!BP314</f>
        <v>-2.2311956182048509E-2</v>
      </c>
      <c r="AW448">
        <f>'Revenue drivers'!BQ314</f>
        <v>-0.98017769870711047</v>
      </c>
      <c r="AX448">
        <f>'Revenue drivers'!BR314</f>
        <v>1.9194659063566863</v>
      </c>
      <c r="AY448">
        <f>'Revenue drivers'!BS314</f>
        <v>1.4378090932972754</v>
      </c>
      <c r="AZ448">
        <f>'Revenue drivers'!BT314</f>
        <v>0.51508612714371393</v>
      </c>
    </row>
    <row r="449" spans="9:52" ht="11.25" customHeight="1">
      <c r="I449" t="str">
        <f>'Revenue drivers'!I315</f>
        <v>% change Q/Q</v>
      </c>
      <c r="M449">
        <f>'Revenue drivers'!M315</f>
        <v>0</v>
      </c>
      <c r="N449">
        <f>'Revenue drivers'!N315</f>
        <v>0</v>
      </c>
      <c r="O449">
        <f>'Revenue drivers'!O315</f>
        <v>0</v>
      </c>
      <c r="P449">
        <f>'Revenue drivers'!P315</f>
        <v>0</v>
      </c>
      <c r="Q449">
        <f>'Revenue drivers'!Q315</f>
        <v>0</v>
      </c>
      <c r="R449">
        <f>'Revenue drivers'!R315</f>
        <v>0</v>
      </c>
      <c r="S449">
        <f>'Revenue drivers'!S315</f>
        <v>0</v>
      </c>
      <c r="T449">
        <f>'Revenue drivers'!T315</f>
        <v>0</v>
      </c>
      <c r="U449">
        <f>'Revenue drivers'!U315</f>
        <v>0</v>
      </c>
      <c r="V449">
        <f>'Revenue drivers'!V315</f>
        <v>0</v>
      </c>
      <c r="W449" t="str">
        <f>'Revenue drivers'!W315</f>
        <v>NA</v>
      </c>
      <c r="X449">
        <f>'Revenue drivers'!X315</f>
        <v>0</v>
      </c>
      <c r="Y449">
        <f>'Revenue drivers'!Y315</f>
        <v>0</v>
      </c>
      <c r="Z449">
        <f>'Revenue drivers'!Z315</f>
        <v>0</v>
      </c>
      <c r="AA449" t="str">
        <f>'Revenue drivers'!AA315</f>
        <v>NA</v>
      </c>
      <c r="AB449">
        <f>'Revenue drivers'!AB315</f>
        <v>0.19207670977831115</v>
      </c>
      <c r="AC449">
        <f>'Revenue drivers'!AC315</f>
        <v>0.26147124822180046</v>
      </c>
      <c r="AD449">
        <f>'Revenue drivers'!AD315</f>
        <v>-2.4862851678494224E-2</v>
      </c>
      <c r="AE449">
        <f>'Revenue drivers'!AE315</f>
        <v>-3.2258064516129004E-2</v>
      </c>
      <c r="AF449">
        <f>'Revenue drivers'!AF315</f>
        <v>3.3333333333333437E-2</v>
      </c>
      <c r="AG449">
        <f>'Revenue drivers'!AG315</f>
        <v>4.6129032258064306E-3</v>
      </c>
      <c r="AH449">
        <f>'Revenue drivers'!AH315</f>
        <v>-3.8210833895257368E-2</v>
      </c>
      <c r="AI449">
        <f>'Revenue drivers'!AI315</f>
        <v>2.0298467599238812E-2</v>
      </c>
      <c r="AJ449">
        <f>'Revenue drivers'!AJ315</f>
        <v>-2.041818003337581E-2</v>
      </c>
      <c r="AL449">
        <f>'Revenue drivers'!BF315</f>
        <v>0</v>
      </c>
      <c r="AM449">
        <f>'Revenue drivers'!BG315</f>
        <v>0</v>
      </c>
      <c r="AN449">
        <f>'Revenue drivers'!BH315</f>
        <v>0</v>
      </c>
      <c r="AO449">
        <f>'Revenue drivers'!BI315</f>
        <v>0</v>
      </c>
      <c r="AP449">
        <f>'Revenue drivers'!BJ315</f>
        <v>0</v>
      </c>
      <c r="AQ449">
        <f>'Revenue drivers'!BK315</f>
        <v>0</v>
      </c>
      <c r="AR449">
        <f>'Revenue drivers'!BL315</f>
        <v>0</v>
      </c>
      <c r="AS449">
        <f>'Revenue drivers'!BM315</f>
        <v>0</v>
      </c>
      <c r="AT449">
        <f>'Revenue drivers'!BN315</f>
        <v>0</v>
      </c>
      <c r="AU449">
        <f>'Revenue drivers'!BO315</f>
        <v>0</v>
      </c>
      <c r="AV449">
        <f>'Revenue drivers'!BP315</f>
        <v>0</v>
      </c>
      <c r="AW449">
        <f>'Revenue drivers'!BQ315</f>
        <v>0</v>
      </c>
      <c r="AX449">
        <f>'Revenue drivers'!BR315</f>
        <v>0</v>
      </c>
      <c r="AY449">
        <f>'Revenue drivers'!BS315</f>
        <v>0</v>
      </c>
      <c r="AZ449">
        <f>'Revenue drivers'!BT315</f>
        <v>0</v>
      </c>
    </row>
    <row r="450" spans="9:52" ht="11.25" customHeight="1">
      <c r="I450" t="str">
        <f>'Revenue drivers'!I316</f>
        <v>% of total average monthly unique visitors</v>
      </c>
      <c r="M450">
        <f>'Revenue drivers'!M316</f>
        <v>0</v>
      </c>
      <c r="N450">
        <f>'Revenue drivers'!N316</f>
        <v>0</v>
      </c>
      <c r="O450">
        <f>'Revenue drivers'!O316</f>
        <v>0</v>
      </c>
      <c r="P450">
        <f>'Revenue drivers'!P316</f>
        <v>0</v>
      </c>
      <c r="Q450">
        <f>'Revenue drivers'!Q316</f>
        <v>0</v>
      </c>
      <c r="R450">
        <f>'Revenue drivers'!R316</f>
        <v>0</v>
      </c>
      <c r="S450">
        <f>'Revenue drivers'!S316</f>
        <v>0</v>
      </c>
      <c r="T450">
        <f>'Revenue drivers'!T316</f>
        <v>0</v>
      </c>
      <c r="U450">
        <f>'Revenue drivers'!U316</f>
        <v>0</v>
      </c>
      <c r="V450">
        <f>'Revenue drivers'!V316</f>
        <v>0</v>
      </c>
      <c r="W450">
        <f>'Revenue drivers'!W316</f>
        <v>0.12781009839833371</v>
      </c>
      <c r="X450">
        <f>'Revenue drivers'!X316</f>
        <v>0</v>
      </c>
      <c r="Y450">
        <f>'Revenue drivers'!Y316</f>
        <v>0</v>
      </c>
      <c r="Z450">
        <f>'Revenue drivers'!Z316</f>
        <v>0</v>
      </c>
      <c r="AA450">
        <f>'Revenue drivers'!AA316</f>
        <v>0.18</v>
      </c>
      <c r="AB450">
        <f>'Revenue drivers'!AB316</f>
        <v>0.21</v>
      </c>
      <c r="AC450">
        <f>'Revenue drivers'!AC316</f>
        <v>0.24</v>
      </c>
      <c r="AD450">
        <f>'Revenue drivers'!AD316</f>
        <v>0.22502740253046943</v>
      </c>
      <c r="AE450">
        <f>'Revenue drivers'!AE316</f>
        <v>0.21518024932218222</v>
      </c>
      <c r="AF450">
        <f>'Revenue drivers'!AF316</f>
        <v>0.22896140153921149</v>
      </c>
      <c r="AG450">
        <f>'Revenue drivers'!AG316</f>
        <v>0.21859952550082123</v>
      </c>
      <c r="AH450">
        <f>'Revenue drivers'!AH316</f>
        <v>0.20816596010841618</v>
      </c>
      <c r="AI450">
        <f>'Revenue drivers'!AI316</f>
        <v>0.20646813225418531</v>
      </c>
      <c r="AJ450">
        <f>'Revenue drivers'!AJ316</f>
        <v>0.21312479087614888</v>
      </c>
      <c r="AL450">
        <f>'Revenue drivers'!BF316</f>
        <v>0</v>
      </c>
      <c r="AM450">
        <f>'Revenue drivers'!BG316</f>
        <v>0</v>
      </c>
      <c r="AN450">
        <f>'Revenue drivers'!BH316</f>
        <v>0</v>
      </c>
      <c r="AO450">
        <f>'Revenue drivers'!BI316</f>
        <v>0</v>
      </c>
      <c r="AP450">
        <f>'Revenue drivers'!BJ316</f>
        <v>0</v>
      </c>
      <c r="AQ450">
        <f>'Revenue drivers'!BK316</f>
        <v>0</v>
      </c>
      <c r="AR450">
        <f>'Revenue drivers'!BL316</f>
        <v>0</v>
      </c>
      <c r="AS450">
        <f>'Revenue drivers'!BM316</f>
        <v>0</v>
      </c>
      <c r="AT450">
        <f>'Revenue drivers'!BN316</f>
        <v>0.22857438291209359</v>
      </c>
      <c r="AU450">
        <f>'Revenue drivers'!BO316</f>
        <v>0.21641026006108199</v>
      </c>
      <c r="AV450">
        <f>'Revenue drivers'!BP316</f>
        <v>0.22305968973048432</v>
      </c>
      <c r="AW450">
        <f>'Revenue drivers'!BQ316</f>
        <v>4.1791014336485322E-3</v>
      </c>
      <c r="AX450">
        <f>'Revenue drivers'!BR316</f>
        <v>1.3198255475015481E-2</v>
      </c>
      <c r="AY450">
        <f>'Revenue drivers'!BS316</f>
        <v>3.4033989936679783E-2</v>
      </c>
      <c r="AZ450">
        <f>'Revenue drivers'!BT316</f>
        <v>5.4913431236231228E-2</v>
      </c>
    </row>
    <row r="451" spans="9:52" ht="11.25" customHeight="1">
      <c r="I451">
        <f>'Revenue drivers'!I317</f>
        <v>0</v>
      </c>
      <c r="M451">
        <f>'Revenue drivers'!M317</f>
        <v>0</v>
      </c>
      <c r="N451">
        <f>'Revenue drivers'!N317</f>
        <v>0</v>
      </c>
      <c r="O451">
        <f>'Revenue drivers'!O317</f>
        <v>0</v>
      </c>
      <c r="P451">
        <f>'Revenue drivers'!P317</f>
        <v>0</v>
      </c>
      <c r="Q451">
        <f>'Revenue drivers'!Q317</f>
        <v>0</v>
      </c>
      <c r="R451">
        <f>'Revenue drivers'!R317</f>
        <v>0</v>
      </c>
      <c r="S451">
        <f>'Revenue drivers'!S317</f>
        <v>0</v>
      </c>
      <c r="T451">
        <f>'Revenue drivers'!T317</f>
        <v>0</v>
      </c>
      <c r="U451">
        <f>'Revenue drivers'!U317</f>
        <v>0</v>
      </c>
      <c r="V451">
        <f>'Revenue drivers'!V317</f>
        <v>0</v>
      </c>
      <c r="W451">
        <f>'Revenue drivers'!W317</f>
        <v>0</v>
      </c>
      <c r="X451">
        <f>'Revenue drivers'!X317</f>
        <v>0</v>
      </c>
      <c r="Y451">
        <f>'Revenue drivers'!Y317</f>
        <v>0</v>
      </c>
      <c r="Z451">
        <f>'Revenue drivers'!Z317</f>
        <v>0</v>
      </c>
      <c r="AA451">
        <f>'Revenue drivers'!AA317</f>
        <v>0</v>
      </c>
      <c r="AB451">
        <f>'Revenue drivers'!AB317</f>
        <v>0</v>
      </c>
      <c r="AC451">
        <f>'Revenue drivers'!AC317</f>
        <v>0</v>
      </c>
      <c r="AD451">
        <f>'Revenue drivers'!AD317</f>
        <v>0</v>
      </c>
      <c r="AE451">
        <f>'Revenue drivers'!AE317</f>
        <v>0</v>
      </c>
      <c r="AF451">
        <f>'Revenue drivers'!AF317</f>
        <v>0</v>
      </c>
      <c r="AG451">
        <f>'Revenue drivers'!AG317</f>
        <v>0</v>
      </c>
      <c r="AH451">
        <f>'Revenue drivers'!AH317</f>
        <v>0</v>
      </c>
      <c r="AI451">
        <f>'Revenue drivers'!AI317</f>
        <v>0</v>
      </c>
      <c r="AJ451">
        <f>'Revenue drivers'!AJ317</f>
        <v>0</v>
      </c>
      <c r="AL451">
        <f>'Revenue drivers'!BF317</f>
        <v>0</v>
      </c>
      <c r="AM451">
        <f>'Revenue drivers'!BG317</f>
        <v>0</v>
      </c>
      <c r="AN451">
        <f>'Revenue drivers'!BH317</f>
        <v>0</v>
      </c>
      <c r="AO451">
        <f>'Revenue drivers'!BI317</f>
        <v>0</v>
      </c>
      <c r="AP451">
        <f>'Revenue drivers'!BJ317</f>
        <v>0</v>
      </c>
      <c r="AQ451">
        <f>'Revenue drivers'!BK317</f>
        <v>0</v>
      </c>
      <c r="AR451">
        <f>'Revenue drivers'!BL317</f>
        <v>0</v>
      </c>
      <c r="AS451">
        <f>'Revenue drivers'!BM317</f>
        <v>0</v>
      </c>
      <c r="AT451">
        <f>'Revenue drivers'!BN317</f>
        <v>0</v>
      </c>
      <c r="AU451">
        <f>'Revenue drivers'!BO317</f>
        <v>0</v>
      </c>
      <c r="AV451">
        <f>'Revenue drivers'!BP317</f>
        <v>0</v>
      </c>
      <c r="AW451">
        <f>'Revenue drivers'!BQ317</f>
        <v>0</v>
      </c>
      <c r="AX451">
        <f>'Revenue drivers'!BR317</f>
        <v>0</v>
      </c>
      <c r="AY451">
        <f>'Revenue drivers'!BS317</f>
        <v>0</v>
      </c>
      <c r="AZ451">
        <f>'Revenue drivers'!BT317</f>
        <v>0</v>
      </c>
    </row>
    <row r="454" spans="9:52" ht="11.25" customHeight="1">
      <c r="I454" t="str">
        <f>'Revenue drivers'!I318</f>
        <v>Average monthly unique visitor breakout by source</v>
      </c>
      <c r="M454">
        <f>'Revenue drivers'!M318</f>
        <v>0</v>
      </c>
      <c r="N454">
        <f>'Revenue drivers'!N318</f>
        <v>0</v>
      </c>
      <c r="O454">
        <f>'Revenue drivers'!O318</f>
        <v>0</v>
      </c>
      <c r="P454">
        <f>'Revenue drivers'!P318</f>
        <v>0</v>
      </c>
      <c r="Q454">
        <f>'Revenue drivers'!Q318</f>
        <v>0</v>
      </c>
      <c r="R454">
        <f>'Revenue drivers'!R318</f>
        <v>0</v>
      </c>
      <c r="S454">
        <f>'Revenue drivers'!S318</f>
        <v>0</v>
      </c>
      <c r="T454">
        <f>'Revenue drivers'!T318</f>
        <v>0</v>
      </c>
      <c r="U454">
        <f>'Revenue drivers'!U318</f>
        <v>0</v>
      </c>
      <c r="V454">
        <f>'Revenue drivers'!V318</f>
        <v>0</v>
      </c>
      <c r="W454">
        <f>'Revenue drivers'!W318</f>
        <v>0</v>
      </c>
      <c r="X454">
        <f>'Revenue drivers'!X318</f>
        <v>0</v>
      </c>
      <c r="Y454">
        <f>'Revenue drivers'!Y318</f>
        <v>0</v>
      </c>
      <c r="Z454">
        <f>'Revenue drivers'!Z318</f>
        <v>0</v>
      </c>
      <c r="AA454">
        <f>'Revenue drivers'!AA318</f>
        <v>0</v>
      </c>
      <c r="AB454">
        <f>'Revenue drivers'!AB318</f>
        <v>0</v>
      </c>
      <c r="AC454">
        <f>'Revenue drivers'!AC318</f>
        <v>0</v>
      </c>
      <c r="AD454">
        <f>'Revenue drivers'!AD318</f>
        <v>0</v>
      </c>
      <c r="AE454">
        <f>'Revenue drivers'!AE318</f>
        <v>0</v>
      </c>
      <c r="AF454">
        <f>'Revenue drivers'!AF318</f>
        <v>0</v>
      </c>
      <c r="AG454">
        <f>'Revenue drivers'!AG318</f>
        <v>0</v>
      </c>
      <c r="AH454">
        <f>'Revenue drivers'!AH318</f>
        <v>0</v>
      </c>
      <c r="AI454">
        <f>'Revenue drivers'!AI318</f>
        <v>0</v>
      </c>
      <c r="AJ454">
        <f>'Revenue drivers'!AJ318</f>
        <v>0</v>
      </c>
      <c r="AL454">
        <f>'Revenue drivers'!BF318</f>
        <v>0</v>
      </c>
      <c r="AM454">
        <f>'Revenue drivers'!BG318</f>
        <v>0</v>
      </c>
      <c r="AN454">
        <f>'Revenue drivers'!BH318</f>
        <v>0</v>
      </c>
      <c r="AO454">
        <f>'Revenue drivers'!BI318</f>
        <v>0</v>
      </c>
      <c r="AP454">
        <f>'Revenue drivers'!BJ318</f>
        <v>0</v>
      </c>
      <c r="AQ454">
        <f>'Revenue drivers'!BK318</f>
        <v>0</v>
      </c>
      <c r="AR454">
        <f>'Revenue drivers'!BL318</f>
        <v>0</v>
      </c>
      <c r="AS454">
        <f>'Revenue drivers'!BM318</f>
        <v>0</v>
      </c>
      <c r="AT454">
        <f>'Revenue drivers'!BN318</f>
        <v>0</v>
      </c>
      <c r="AU454">
        <f>'Revenue drivers'!BO318</f>
        <v>0</v>
      </c>
      <c r="AV454">
        <f>'Revenue drivers'!BP318</f>
        <v>0</v>
      </c>
      <c r="AW454">
        <f>'Revenue drivers'!BQ318</f>
        <v>0</v>
      </c>
      <c r="AX454">
        <f>'Revenue drivers'!BR318</f>
        <v>0</v>
      </c>
      <c r="AY454">
        <f>'Revenue drivers'!BS318</f>
        <v>0</v>
      </c>
      <c r="AZ454">
        <f>'Revenue drivers'!BT318</f>
        <v>0</v>
      </c>
    </row>
    <row r="456" spans="9:52" ht="11.25" customHeight="1">
      <c r="I456" t="str">
        <f>'Revenue drivers'!I320</f>
        <v>Average monthly unique visitors</v>
      </c>
      <c r="M456">
        <f>'Revenue drivers'!M320</f>
        <v>29.815000000000001</v>
      </c>
      <c r="N456">
        <f>'Revenue drivers'!N320</f>
        <v>32.537999999999997</v>
      </c>
      <c r="O456">
        <f>'Revenue drivers'!O320</f>
        <v>37.496000000000002</v>
      </c>
      <c r="P456">
        <f>'Revenue drivers'!P320</f>
        <v>39.356000000000002</v>
      </c>
      <c r="Q456">
        <f>'Revenue drivers'!Q320</f>
        <v>46.817</v>
      </c>
      <c r="R456">
        <f>'Revenue drivers'!R320</f>
        <v>51.56</v>
      </c>
      <c r="S456">
        <f>'Revenue drivers'!S320</f>
        <v>61.012</v>
      </c>
      <c r="T456">
        <f>'Revenue drivers'!T320</f>
        <v>65.796000000000006</v>
      </c>
      <c r="U456">
        <f>'Revenue drivers'!U320</f>
        <v>71.447999999999993</v>
      </c>
      <c r="V456">
        <f>'Revenue drivers'!V320</f>
        <v>78.328999999999994</v>
      </c>
      <c r="W456">
        <f>'Revenue drivers'!W320</f>
        <v>83.537999999999997</v>
      </c>
      <c r="X456">
        <f>'Revenue drivers'!X320</f>
        <v>86.3</v>
      </c>
      <c r="Y456">
        <f>'Revenue drivers'!Y320</f>
        <v>102.065</v>
      </c>
      <c r="Z456">
        <f>'Revenue drivers'!Z320</f>
        <v>108.05800000000001</v>
      </c>
      <c r="AA456">
        <f>'Revenue drivers'!AA320</f>
        <v>117.447</v>
      </c>
      <c r="AB456">
        <f>'Revenue drivers'!AB320</f>
        <v>120.005</v>
      </c>
      <c r="AC456">
        <f>'Revenue drivers'!AC320</f>
        <v>132.46</v>
      </c>
      <c r="AD456">
        <f>'Revenue drivers'!AD320</f>
        <v>137.761</v>
      </c>
      <c r="AE456">
        <f>'Revenue drivers'!AE320</f>
        <v>139.41800000000001</v>
      </c>
      <c r="AF456">
        <f>'Revenue drivers'!AF320</f>
        <v>135.39400000000001</v>
      </c>
      <c r="AG456">
        <f>'Revenue drivers'!AG320</f>
        <v>142.46600000000001</v>
      </c>
      <c r="AH456">
        <f>'Revenue drivers'!AH320</f>
        <v>143.88999999999999</v>
      </c>
      <c r="AI456">
        <f>'Revenue drivers'!AI320</f>
        <v>148.018</v>
      </c>
      <c r="AJ456">
        <f>'Revenue drivers'!AJ320</f>
        <v>140.46699999999998</v>
      </c>
      <c r="AL456">
        <f>'Revenue drivers'!BF320</f>
        <v>1.8080000000000001</v>
      </c>
      <c r="AM456">
        <f>'Revenue drivers'!BG320</f>
        <v>5.7169999999999996</v>
      </c>
      <c r="AN456">
        <f>'Revenue drivers'!BH320</f>
        <v>15.736000000000001</v>
      </c>
      <c r="AO456">
        <f>'Revenue drivers'!BI320</f>
        <v>26.077000000000002</v>
      </c>
      <c r="AP456">
        <f>'Revenue drivers'!BJ320</f>
        <v>39.356000000000002</v>
      </c>
      <c r="AQ456">
        <f>'Revenue drivers'!BK320</f>
        <v>65.796000000000006</v>
      </c>
      <c r="AR456">
        <f>'Revenue drivers'!BL320</f>
        <v>86.3</v>
      </c>
      <c r="AS456">
        <f>'Revenue drivers'!BM320</f>
        <v>120.005</v>
      </c>
      <c r="AT456">
        <f>'Revenue drivers'!BN320</f>
        <v>135.39400000000001</v>
      </c>
      <c r="AU456">
        <f>'Revenue drivers'!BO320</f>
        <v>140.46699999999998</v>
      </c>
      <c r="AV456">
        <f>'Revenue drivers'!BP320</f>
        <v>133.239</v>
      </c>
      <c r="AW456">
        <f>'Revenue drivers'!BQ320</f>
        <v>140.96899999999999</v>
      </c>
      <c r="AX456">
        <f>'Revenue drivers'!BR320</f>
        <v>130.31469999999999</v>
      </c>
      <c r="AY456">
        <f>'Revenue drivers'!BS320</f>
        <v>123.196045</v>
      </c>
      <c r="AZ456">
        <f>'Revenue drivers'!BT320</f>
        <v>115.68268825</v>
      </c>
    </row>
    <row r="457" spans="9:52" ht="11.25" customHeight="1">
      <c r="I457" t="str">
        <f>'Revenue drivers'!I321</f>
        <v>% change Y/Y</v>
      </c>
      <c r="M457">
        <f>'Revenue drivers'!M321</f>
        <v>0</v>
      </c>
      <c r="N457">
        <f>'Revenue drivers'!N321</f>
        <v>0</v>
      </c>
      <c r="O457">
        <f>'Revenue drivers'!O321</f>
        <v>0</v>
      </c>
      <c r="P457">
        <f>'Revenue drivers'!P321</f>
        <v>0</v>
      </c>
      <c r="Q457">
        <f>'Revenue drivers'!Q321</f>
        <v>0.57024987422438356</v>
      </c>
      <c r="R457">
        <f>'Revenue drivers'!R321</f>
        <v>0.58460876513614868</v>
      </c>
      <c r="S457">
        <f>'Revenue drivers'!S321</f>
        <v>0.62716023042457847</v>
      </c>
      <c r="T457">
        <f>'Revenue drivers'!T321</f>
        <v>0.67181624148795627</v>
      </c>
      <c r="U457">
        <f>'Revenue drivers'!U321</f>
        <v>0.52611230963111666</v>
      </c>
      <c r="V457">
        <f>'Revenue drivers'!V321</f>
        <v>0.51918153607447604</v>
      </c>
      <c r="W457">
        <f>'Revenue drivers'!W321</f>
        <v>0.36920605782469007</v>
      </c>
      <c r="X457">
        <f>'Revenue drivers'!X321</f>
        <v>0.31162988631527733</v>
      </c>
      <c r="Y457">
        <f>'Revenue drivers'!Y321</f>
        <v>0.42852144216773058</v>
      </c>
      <c r="Z457">
        <f>'Revenue drivers'!Z321</f>
        <v>0.37954014477396636</v>
      </c>
      <c r="AA457">
        <f>'Revenue drivers'!AA321</f>
        <v>0.40591108238167073</v>
      </c>
      <c r="AB457">
        <f>'Revenue drivers'!AB321</f>
        <v>0.39055619930475083</v>
      </c>
      <c r="AC457">
        <f>'Revenue drivers'!AC321</f>
        <v>0.29780042130015194</v>
      </c>
      <c r="AD457">
        <f>'Revenue drivers'!AD321</f>
        <v>0.27488015695274748</v>
      </c>
      <c r="AE457">
        <f>'Revenue drivers'!AE321</f>
        <v>0.18707161528178662</v>
      </c>
      <c r="AF457">
        <f>'Revenue drivers'!AF321</f>
        <v>0.12823632348652159</v>
      </c>
      <c r="AG457">
        <f>'Revenue drivers'!AG321</f>
        <v>7.5539785595651443E-2</v>
      </c>
      <c r="AH457">
        <f>'Revenue drivers'!AH321</f>
        <v>4.4490095164814392E-2</v>
      </c>
      <c r="AI457">
        <f>'Revenue drivers'!AI321</f>
        <v>6.1685004805692278E-2</v>
      </c>
      <c r="AJ457">
        <f>'Revenue drivers'!AJ321</f>
        <v>3.746842548414242E-2</v>
      </c>
      <c r="AL457">
        <f>'Revenue drivers'!BF321</f>
        <v>0</v>
      </c>
      <c r="AM457">
        <f>'Revenue drivers'!BG321</f>
        <v>2.1620575221238933</v>
      </c>
      <c r="AN457">
        <f>'Revenue drivers'!BH321</f>
        <v>1.7524925660311355</v>
      </c>
      <c r="AO457">
        <f>'Revenue drivers'!BI321</f>
        <v>0.65715556685307575</v>
      </c>
      <c r="AP457">
        <f>'Revenue drivers'!BJ321</f>
        <v>0.50922268665874149</v>
      </c>
      <c r="AQ457">
        <f>'Revenue drivers'!BK321</f>
        <v>0.67181624148795627</v>
      </c>
      <c r="AR457">
        <f>'Revenue drivers'!BL321</f>
        <v>0.31162988631527733</v>
      </c>
      <c r="AS457">
        <f>'Revenue drivers'!BM321</f>
        <v>0.39055619930475083</v>
      </c>
      <c r="AT457">
        <f>'Revenue drivers'!BN321</f>
        <v>0.12823632348652159</v>
      </c>
      <c r="AU457">
        <f>'Revenue drivers'!BO321</f>
        <v>3.746842548414242E-2</v>
      </c>
      <c r="AV457">
        <f>'Revenue drivers'!BP321</f>
        <v>-5.1456925825994593E-2</v>
      </c>
      <c r="AW457">
        <f>'Revenue drivers'!BQ321</f>
        <v>5.8016046352794559E-2</v>
      </c>
      <c r="AX457">
        <f>'Revenue drivers'!BR321</f>
        <v>-7.5579028013251226E-2</v>
      </c>
      <c r="AY457">
        <f>'Revenue drivers'!BS321</f>
        <v>-5.4626646111298194E-2</v>
      </c>
      <c r="AZ457">
        <f>'Revenue drivers'!BT321</f>
        <v>-6.0986996376385272E-2</v>
      </c>
    </row>
    <row r="458" spans="9:52" ht="11.25" customHeight="1">
      <c r="I458" t="str">
        <f>'Revenue drivers'!I322</f>
        <v>% change Q/Q</v>
      </c>
      <c r="M458" t="str">
        <f>'Revenue drivers'!M322</f>
        <v>NA</v>
      </c>
      <c r="N458">
        <f>'Revenue drivers'!N322</f>
        <v>9.1329867516350749E-2</v>
      </c>
      <c r="O458">
        <f>'Revenue drivers'!O322</f>
        <v>0.15237568381584632</v>
      </c>
      <c r="P458">
        <f>'Revenue drivers'!P322</f>
        <v>4.9605291231064719E-2</v>
      </c>
      <c r="Q458">
        <f>'Revenue drivers'!Q322</f>
        <v>0.18957719280414675</v>
      </c>
      <c r="R458">
        <f>'Revenue drivers'!R322</f>
        <v>0.10130935343998981</v>
      </c>
      <c r="S458">
        <f>'Revenue drivers'!S322</f>
        <v>0.18332040341349876</v>
      </c>
      <c r="T458">
        <f>'Revenue drivers'!T322</f>
        <v>7.8410804431915171E-2</v>
      </c>
      <c r="U458">
        <f>'Revenue drivers'!U322</f>
        <v>8.5901878533649167E-2</v>
      </c>
      <c r="V458">
        <f>'Revenue drivers'!V322</f>
        <v>9.6307804277236508E-2</v>
      </c>
      <c r="W458">
        <f>'Revenue drivers'!W322</f>
        <v>6.6501551149638072E-2</v>
      </c>
      <c r="X458">
        <f>'Revenue drivers'!X322</f>
        <v>3.3062797768680152E-2</v>
      </c>
      <c r="Y458">
        <f>'Revenue drivers'!Y322</f>
        <v>0.18267670915411349</v>
      </c>
      <c r="Z458">
        <f>'Revenue drivers'!Z322</f>
        <v>5.8717483956302496E-2</v>
      </c>
      <c r="AA458">
        <f>'Revenue drivers'!AA322</f>
        <v>8.6888522830331771E-2</v>
      </c>
      <c r="AB458">
        <f>'Revenue drivers'!AB322</f>
        <v>2.1780036952838255E-2</v>
      </c>
      <c r="AC458">
        <f>'Revenue drivers'!AC322</f>
        <v>0.10378734219407537</v>
      </c>
      <c r="AD458">
        <f>'Revenue drivers'!AD322</f>
        <v>4.0019628567114607E-2</v>
      </c>
      <c r="AE458">
        <f>'Revenue drivers'!AE322</f>
        <v>1.2028077612677102E-2</v>
      </c>
      <c r="AF458">
        <f>'Revenue drivers'!AF322</f>
        <v>-2.886284410908202E-2</v>
      </c>
      <c r="AG458">
        <f>'Revenue drivers'!AG322</f>
        <v>5.2232742957590395E-2</v>
      </c>
      <c r="AH458">
        <f>'Revenue drivers'!AH322</f>
        <v>9.9953673157102685E-3</v>
      </c>
      <c r="AI458">
        <f>'Revenue drivers'!AI322</f>
        <v>2.8688581555354808E-2</v>
      </c>
      <c r="AJ458">
        <f>'Revenue drivers'!AJ322</f>
        <v>-5.1014065856855306E-2</v>
      </c>
      <c r="AL458">
        <f>'Revenue drivers'!BF322</f>
        <v>0</v>
      </c>
      <c r="AM458">
        <f>'Revenue drivers'!BG322</f>
        <v>0</v>
      </c>
      <c r="AN458">
        <f>'Revenue drivers'!BH322</f>
        <v>0</v>
      </c>
      <c r="AO458">
        <f>'Revenue drivers'!BI322</f>
        <v>0</v>
      </c>
      <c r="AP458">
        <f>'Revenue drivers'!BJ322</f>
        <v>0</v>
      </c>
      <c r="AQ458">
        <f>'Revenue drivers'!BK322</f>
        <v>0</v>
      </c>
      <c r="AR458">
        <f>'Revenue drivers'!BL322</f>
        <v>0</v>
      </c>
      <c r="AS458">
        <f>'Revenue drivers'!BM322</f>
        <v>0</v>
      </c>
      <c r="AT458">
        <f>'Revenue drivers'!BN322</f>
        <v>0</v>
      </c>
      <c r="AU458">
        <f>'Revenue drivers'!BO322</f>
        <v>0</v>
      </c>
      <c r="AV458">
        <f>'Revenue drivers'!BP322</f>
        <v>0</v>
      </c>
      <c r="AW458">
        <f>'Revenue drivers'!BQ322</f>
        <v>0</v>
      </c>
      <c r="AX458">
        <f>'Revenue drivers'!BR322</f>
        <v>0</v>
      </c>
      <c r="AY458">
        <f>'Revenue drivers'!BS322</f>
        <v>0</v>
      </c>
      <c r="AZ458">
        <f>'Revenue drivers'!BT322</f>
        <v>0</v>
      </c>
    </row>
    <row r="459" spans="9:52" ht="11.25" customHeight="1">
      <c r="I459" t="str">
        <f>'Revenue drivers'!I323</f>
        <v>Y/Y Abs Growth</v>
      </c>
      <c r="M459">
        <f>'Revenue drivers'!M323</f>
        <v>0</v>
      </c>
      <c r="N459">
        <f>'Revenue drivers'!N323</f>
        <v>0</v>
      </c>
      <c r="O459">
        <f>'Revenue drivers'!O323</f>
        <v>0</v>
      </c>
      <c r="P459">
        <f>'Revenue drivers'!P323</f>
        <v>0</v>
      </c>
      <c r="Q459">
        <f>'Revenue drivers'!Q323</f>
        <v>17.001999999999999</v>
      </c>
      <c r="R459">
        <f>'Revenue drivers'!R323</f>
        <v>19.022000000000006</v>
      </c>
      <c r="S459">
        <f>'Revenue drivers'!S323</f>
        <v>23.515999999999998</v>
      </c>
      <c r="T459">
        <f>'Revenue drivers'!T323</f>
        <v>26.440000000000005</v>
      </c>
      <c r="U459">
        <f>'Revenue drivers'!U323</f>
        <v>24.630999999999993</v>
      </c>
      <c r="V459">
        <f>'Revenue drivers'!V323</f>
        <v>26.768999999999991</v>
      </c>
      <c r="W459">
        <f>'Revenue drivers'!W323</f>
        <v>22.525999999999996</v>
      </c>
      <c r="X459">
        <f>'Revenue drivers'!X323</f>
        <v>20.503999999999991</v>
      </c>
      <c r="Y459">
        <f>'Revenue drivers'!Y323</f>
        <v>30.617000000000004</v>
      </c>
      <c r="Z459">
        <f>'Revenue drivers'!Z323</f>
        <v>29.729000000000013</v>
      </c>
      <c r="AA459">
        <f>'Revenue drivers'!AA323</f>
        <v>33.909000000000006</v>
      </c>
      <c r="AB459">
        <f>'Revenue drivers'!AB323</f>
        <v>33.704999999999998</v>
      </c>
      <c r="AC459">
        <f>'Revenue drivers'!AC323</f>
        <v>30.39500000000001</v>
      </c>
      <c r="AD459">
        <f>'Revenue drivers'!AD323</f>
        <v>29.702999999999989</v>
      </c>
      <c r="AE459">
        <f>'Revenue drivers'!AE323</f>
        <v>21.971000000000004</v>
      </c>
      <c r="AF459">
        <f>'Revenue drivers'!AF323</f>
        <v>15.38900000000001</v>
      </c>
      <c r="AG459">
        <f>'Revenue drivers'!AG323</f>
        <v>10.006</v>
      </c>
      <c r="AH459">
        <f>'Revenue drivers'!AH323</f>
        <v>6.1289999999999907</v>
      </c>
      <c r="AI459">
        <f>'Revenue drivers'!AI323</f>
        <v>8.5999999999999943</v>
      </c>
      <c r="AJ459">
        <f>'Revenue drivers'!AJ323</f>
        <v>5.0729999999999791</v>
      </c>
      <c r="AL459">
        <f>'Revenue drivers'!BF323</f>
        <v>0</v>
      </c>
      <c r="AM459">
        <f>'Revenue drivers'!BG323</f>
        <v>3.9089999999999998</v>
      </c>
      <c r="AN459">
        <f>'Revenue drivers'!BH323</f>
        <v>10.019000000000002</v>
      </c>
      <c r="AO459">
        <f>'Revenue drivers'!BI323</f>
        <v>10.341000000000001</v>
      </c>
      <c r="AP459">
        <f>'Revenue drivers'!BJ323</f>
        <v>13.279</v>
      </c>
      <c r="AQ459">
        <f>'Revenue drivers'!BK323</f>
        <v>26.440000000000005</v>
      </c>
      <c r="AR459">
        <f>'Revenue drivers'!BL323</f>
        <v>20.503999999999991</v>
      </c>
      <c r="AS459">
        <f>'Revenue drivers'!BM323</f>
        <v>33.704999999999998</v>
      </c>
      <c r="AT459">
        <f>'Revenue drivers'!BN323</f>
        <v>15.38900000000001</v>
      </c>
      <c r="AU459">
        <f>'Revenue drivers'!BO323</f>
        <v>5.0729999999999791</v>
      </c>
      <c r="AV459">
        <f>'Revenue drivers'!BP323</f>
        <v>-7.2279999999999802</v>
      </c>
      <c r="AW459">
        <f>'Revenue drivers'!BQ323</f>
        <v>7.7299999999999898</v>
      </c>
      <c r="AX459">
        <f>'Revenue drivers'!BR323</f>
        <v>-10.654300000000006</v>
      </c>
      <c r="AY459">
        <f>'Revenue drivers'!BS323</f>
        <v>-7.1186549999999897</v>
      </c>
      <c r="AZ459">
        <f>'Revenue drivers'!BT323</f>
        <v>-7.5133567499999998</v>
      </c>
    </row>
    <row r="460" spans="9:52" ht="11.25" customHeight="1">
      <c r="I460" t="str">
        <f>'Revenue drivers'!I324</f>
        <v>Q/Q Abs Growth</v>
      </c>
      <c r="M460">
        <f>'Revenue drivers'!M324</f>
        <v>0</v>
      </c>
      <c r="N460">
        <f>'Revenue drivers'!N324</f>
        <v>2.7229999999999954</v>
      </c>
      <c r="O460">
        <f>'Revenue drivers'!O324</f>
        <v>4.9580000000000055</v>
      </c>
      <c r="P460">
        <f>'Revenue drivers'!P324</f>
        <v>1.8599999999999994</v>
      </c>
      <c r="Q460">
        <f>'Revenue drivers'!Q324</f>
        <v>7.4609999999999985</v>
      </c>
      <c r="R460">
        <f>'Revenue drivers'!R324</f>
        <v>4.7430000000000021</v>
      </c>
      <c r="S460">
        <f>'Revenue drivers'!S324</f>
        <v>9.4519999999999982</v>
      </c>
      <c r="T460">
        <f>'Revenue drivers'!T324</f>
        <v>4.784000000000006</v>
      </c>
      <c r="U460">
        <f>'Revenue drivers'!U324</f>
        <v>5.6519999999999868</v>
      </c>
      <c r="V460">
        <f>'Revenue drivers'!V324</f>
        <v>6.8810000000000002</v>
      </c>
      <c r="W460">
        <f>'Revenue drivers'!W324</f>
        <v>5.2090000000000032</v>
      </c>
      <c r="X460">
        <f>'Revenue drivers'!X324</f>
        <v>2.7620000000000005</v>
      </c>
      <c r="Y460">
        <f>'Revenue drivers'!Y324</f>
        <v>15.765000000000001</v>
      </c>
      <c r="Z460">
        <f>'Revenue drivers'!Z324</f>
        <v>5.9930000000000092</v>
      </c>
      <c r="AA460">
        <f>'Revenue drivers'!AA324</f>
        <v>9.3889999999999958</v>
      </c>
      <c r="AB460">
        <f>'Revenue drivers'!AB324</f>
        <v>2.5579999999999927</v>
      </c>
      <c r="AC460">
        <f>'Revenue drivers'!AC324</f>
        <v>12.455000000000013</v>
      </c>
      <c r="AD460">
        <f>'Revenue drivers'!AD324</f>
        <v>5.3009999999999877</v>
      </c>
      <c r="AE460">
        <f>'Revenue drivers'!AE324</f>
        <v>1.6570000000000107</v>
      </c>
      <c r="AF460">
        <f>'Revenue drivers'!AF324</f>
        <v>-4.0240000000000009</v>
      </c>
      <c r="AG460">
        <f>'Revenue drivers'!AG324</f>
        <v>7.0720000000000027</v>
      </c>
      <c r="AH460">
        <f>'Revenue drivers'!AH324</f>
        <v>1.4239999999999782</v>
      </c>
      <c r="AI460">
        <f>'Revenue drivers'!AI324</f>
        <v>4.1280000000000143</v>
      </c>
      <c r="AJ460">
        <f>'Revenue drivers'!AJ324</f>
        <v>-7.5510000000000161</v>
      </c>
      <c r="AL460">
        <f>'Revenue drivers'!BF324</f>
        <v>0</v>
      </c>
      <c r="AM460">
        <f>'Revenue drivers'!BG324</f>
        <v>0</v>
      </c>
      <c r="AN460">
        <f>'Revenue drivers'!BH324</f>
        <v>0</v>
      </c>
      <c r="AO460">
        <f>'Revenue drivers'!BI324</f>
        <v>0</v>
      </c>
      <c r="AP460">
        <f>'Revenue drivers'!BJ324</f>
        <v>0</v>
      </c>
      <c r="AQ460">
        <f>'Revenue drivers'!BK324</f>
        <v>0</v>
      </c>
      <c r="AR460">
        <f>'Revenue drivers'!BL324</f>
        <v>0</v>
      </c>
      <c r="AS460">
        <f>'Revenue drivers'!BM324</f>
        <v>0</v>
      </c>
      <c r="AT460">
        <f>'Revenue drivers'!BN324</f>
        <v>0</v>
      </c>
      <c r="AU460">
        <f>'Revenue drivers'!BO324</f>
        <v>0</v>
      </c>
      <c r="AV460">
        <f>'Revenue drivers'!BP324</f>
        <v>0</v>
      </c>
      <c r="AW460">
        <f>'Revenue drivers'!BQ324</f>
        <v>0</v>
      </c>
      <c r="AX460">
        <f>'Revenue drivers'!BR324</f>
        <v>0</v>
      </c>
      <c r="AY460">
        <f>'Revenue drivers'!BS324</f>
        <v>0</v>
      </c>
      <c r="AZ460">
        <f>'Revenue drivers'!BT324</f>
        <v>0</v>
      </c>
    </row>
    <row r="461" spans="9:52" ht="11.25" customHeight="1">
      <c r="I461">
        <f>'Revenue drivers'!I325</f>
        <v>0</v>
      </c>
      <c r="M461">
        <f>'Revenue drivers'!M325</f>
        <v>0</v>
      </c>
      <c r="N461">
        <f>'Revenue drivers'!N325</f>
        <v>0</v>
      </c>
      <c r="O461">
        <f>'Revenue drivers'!O325</f>
        <v>0</v>
      </c>
      <c r="P461">
        <f>'Revenue drivers'!P325</f>
        <v>0</v>
      </c>
      <c r="Q461">
        <f>'Revenue drivers'!Q325</f>
        <v>0</v>
      </c>
      <c r="R461">
        <f>'Revenue drivers'!R325</f>
        <v>0</v>
      </c>
      <c r="S461">
        <f>'Revenue drivers'!S325</f>
        <v>0</v>
      </c>
      <c r="T461">
        <f>'Revenue drivers'!T325</f>
        <v>0</v>
      </c>
      <c r="U461">
        <f>'Revenue drivers'!U325</f>
        <v>0</v>
      </c>
      <c r="V461">
        <f>'Revenue drivers'!V325</f>
        <v>0</v>
      </c>
      <c r="W461">
        <f>'Revenue drivers'!W325</f>
        <v>0</v>
      </c>
      <c r="X461">
        <f>'Revenue drivers'!X325</f>
        <v>0</v>
      </c>
      <c r="Y461">
        <f>'Revenue drivers'!Y325</f>
        <v>0</v>
      </c>
      <c r="Z461">
        <f>'Revenue drivers'!Z325</f>
        <v>0</v>
      </c>
      <c r="AA461">
        <f>'Revenue drivers'!AA325</f>
        <v>0</v>
      </c>
      <c r="AB461">
        <f>'Revenue drivers'!AB325</f>
        <v>0</v>
      </c>
      <c r="AC461">
        <f>'Revenue drivers'!AC325</f>
        <v>0</v>
      </c>
      <c r="AD461">
        <f>'Revenue drivers'!AD325</f>
        <v>0</v>
      </c>
      <c r="AE461">
        <f>'Revenue drivers'!AE325</f>
        <v>0</v>
      </c>
      <c r="AF461">
        <f>'Revenue drivers'!AF325</f>
        <v>0</v>
      </c>
      <c r="AG461">
        <f>'Revenue drivers'!AG325</f>
        <v>0</v>
      </c>
      <c r="AH461">
        <f>'Revenue drivers'!AH325</f>
        <v>0</v>
      </c>
      <c r="AI461">
        <f>'Revenue drivers'!AI325</f>
        <v>0</v>
      </c>
      <c r="AJ461">
        <f>'Revenue drivers'!AJ325</f>
        <v>0</v>
      </c>
      <c r="AL461">
        <f>'Revenue drivers'!BF325</f>
        <v>0</v>
      </c>
      <c r="AM461">
        <f>'Revenue drivers'!BG325</f>
        <v>0</v>
      </c>
      <c r="AN461">
        <f>'Revenue drivers'!BH325</f>
        <v>0</v>
      </c>
      <c r="AO461">
        <f>'Revenue drivers'!BI325</f>
        <v>0</v>
      </c>
      <c r="AP461">
        <f>'Revenue drivers'!BJ325</f>
        <v>0</v>
      </c>
      <c r="AQ461">
        <f>'Revenue drivers'!BK325</f>
        <v>0</v>
      </c>
      <c r="AR461">
        <f>'Revenue drivers'!BL325</f>
        <v>0</v>
      </c>
      <c r="AS461">
        <f>'Revenue drivers'!BM325</f>
        <v>0</v>
      </c>
      <c r="AT461">
        <f>'Revenue drivers'!BN325</f>
        <v>0</v>
      </c>
      <c r="AU461">
        <f>'Revenue drivers'!BO325</f>
        <v>0</v>
      </c>
      <c r="AV461">
        <f>'Revenue drivers'!BP325</f>
        <v>0</v>
      </c>
      <c r="AW461">
        <f>'Revenue drivers'!BQ325</f>
        <v>0</v>
      </c>
      <c r="AX461">
        <f>'Revenue drivers'!BR325</f>
        <v>0</v>
      </c>
      <c r="AY461">
        <f>'Revenue drivers'!BS325</f>
        <v>0</v>
      </c>
      <c r="AZ461">
        <f>'Revenue drivers'!BT325</f>
        <v>0</v>
      </c>
    </row>
    <row r="462" spans="9:52" ht="11.25" customHeight="1">
      <c r="I462">
        <f>'Revenue drivers'!I332</f>
        <v>0</v>
      </c>
      <c r="M462">
        <f>'Revenue drivers'!M332</f>
        <v>0</v>
      </c>
      <c r="N462">
        <f>'Revenue drivers'!N332</f>
        <v>0</v>
      </c>
      <c r="O462">
        <f>'Revenue drivers'!O332</f>
        <v>0</v>
      </c>
      <c r="P462">
        <f>'Revenue drivers'!P332</f>
        <v>0</v>
      </c>
      <c r="Q462">
        <f>'Revenue drivers'!Q332</f>
        <v>0</v>
      </c>
      <c r="R462">
        <f>'Revenue drivers'!R332</f>
        <v>0</v>
      </c>
      <c r="S462">
        <f>'Revenue drivers'!S332</f>
        <v>0</v>
      </c>
      <c r="T462">
        <f>'Revenue drivers'!T332</f>
        <v>0</v>
      </c>
      <c r="U462">
        <f>'Revenue drivers'!U332</f>
        <v>0</v>
      </c>
      <c r="V462">
        <f>'Revenue drivers'!V332</f>
        <v>0</v>
      </c>
      <c r="W462">
        <f>'Revenue drivers'!W332</f>
        <v>0</v>
      </c>
      <c r="X462">
        <f>'Revenue drivers'!X332</f>
        <v>0</v>
      </c>
      <c r="Y462">
        <f>'Revenue drivers'!Y332</f>
        <v>0</v>
      </c>
      <c r="Z462">
        <f>'Revenue drivers'!Z332</f>
        <v>0</v>
      </c>
      <c r="AA462">
        <f>'Revenue drivers'!AA332</f>
        <v>0</v>
      </c>
      <c r="AB462">
        <f>'Revenue drivers'!AB332</f>
        <v>0</v>
      </c>
      <c r="AC462">
        <f>'Revenue drivers'!AC332</f>
        <v>0</v>
      </c>
      <c r="AD462">
        <f>'Revenue drivers'!AD332</f>
        <v>0</v>
      </c>
      <c r="AE462">
        <f>'Revenue drivers'!AE332</f>
        <v>0</v>
      </c>
      <c r="AF462">
        <f>'Revenue drivers'!AF332</f>
        <v>0</v>
      </c>
      <c r="AG462">
        <f>'Revenue drivers'!AG332</f>
        <v>0</v>
      </c>
      <c r="AH462">
        <f>'Revenue drivers'!AH332</f>
        <v>0</v>
      </c>
      <c r="AI462">
        <f>'Revenue drivers'!AI332</f>
        <v>0</v>
      </c>
      <c r="AJ462">
        <f>'Revenue drivers'!AJ332</f>
        <v>0</v>
      </c>
      <c r="AL462">
        <f>'Revenue drivers'!BF332</f>
        <v>0</v>
      </c>
      <c r="AM462">
        <f>'Revenue drivers'!BG332</f>
        <v>0</v>
      </c>
      <c r="AN462">
        <f>'Revenue drivers'!BH332</f>
        <v>0</v>
      </c>
      <c r="AO462">
        <f>'Revenue drivers'!BI332</f>
        <v>0</v>
      </c>
      <c r="AP462">
        <f>'Revenue drivers'!BJ332</f>
        <v>0</v>
      </c>
      <c r="AQ462">
        <f>'Revenue drivers'!BK332</f>
        <v>0</v>
      </c>
      <c r="AR462">
        <f>'Revenue drivers'!BL332</f>
        <v>0</v>
      </c>
      <c r="AS462">
        <f>'Revenue drivers'!BM332</f>
        <v>0</v>
      </c>
      <c r="AT462">
        <f>'Revenue drivers'!BN332</f>
        <v>0</v>
      </c>
      <c r="AU462">
        <f>'Revenue drivers'!BO332</f>
        <v>0</v>
      </c>
      <c r="AV462">
        <f>'Revenue drivers'!BP332</f>
        <v>0</v>
      </c>
      <c r="AW462">
        <f>'Revenue drivers'!BQ332</f>
        <v>0</v>
      </c>
      <c r="AX462">
        <f>'Revenue drivers'!BR332</f>
        <v>0</v>
      </c>
      <c r="AY462">
        <f>'Revenue drivers'!BS332</f>
        <v>0</v>
      </c>
      <c r="AZ462">
        <f>'Revenue drivers'!BT332</f>
        <v>0</v>
      </c>
    </row>
    <row r="463" spans="9:52" ht="11.25" customHeight="1">
      <c r="I463" t="str">
        <f>'Revenue drivers'!I333</f>
        <v>Desktop unique visitors</v>
      </c>
      <c r="M463">
        <f>'Revenue drivers'!M333</f>
        <v>0</v>
      </c>
      <c r="N463">
        <f>'Revenue drivers'!N333</f>
        <v>0</v>
      </c>
      <c r="O463">
        <f>'Revenue drivers'!O333</f>
        <v>0</v>
      </c>
      <c r="P463">
        <f>'Revenue drivers'!P333</f>
        <v>0</v>
      </c>
      <c r="Q463">
        <f>'Revenue drivers'!Q333</f>
        <v>40.262619999999998</v>
      </c>
      <c r="R463">
        <f>'Revenue drivers'!R333</f>
        <v>43.310400000000001</v>
      </c>
      <c r="S463">
        <f>'Revenue drivers'!S333</f>
        <v>50.02984</v>
      </c>
      <c r="T463">
        <f>'Revenue drivers'!T333</f>
        <v>52.636800000000008</v>
      </c>
      <c r="U463">
        <f>'Revenue drivers'!U333</f>
        <v>55.729439999999997</v>
      </c>
      <c r="V463">
        <f>'Revenue drivers'!V333</f>
        <v>59.53004</v>
      </c>
      <c r="W463">
        <f>'Revenue drivers'!W333</f>
        <v>62.653499999999994</v>
      </c>
      <c r="X463">
        <f>'Revenue drivers'!X333</f>
        <v>53.333399999999997</v>
      </c>
      <c r="Y463">
        <f>'Revenue drivers'!Y333</f>
        <v>71.808999999999997</v>
      </c>
      <c r="Z463">
        <f>'Revenue drivers'!Z333</f>
        <v>73.366</v>
      </c>
      <c r="AA463">
        <f>'Revenue drivers'!AA333</f>
        <v>78.718999999999994</v>
      </c>
      <c r="AB463">
        <f>'Revenue drivers'!AB333</f>
        <v>77.712999999999994</v>
      </c>
      <c r="AC463">
        <f>'Revenue drivers'!AC333</f>
        <v>82.210999999999999</v>
      </c>
      <c r="AD463">
        <f>'Revenue drivers'!AD333</f>
        <v>81.884</v>
      </c>
      <c r="AE463">
        <f>'Revenue drivers'!AE333</f>
        <v>80.468000000000004</v>
      </c>
      <c r="AF463">
        <f>'Revenue drivers'!AF333</f>
        <v>77.628</v>
      </c>
      <c r="AG463">
        <f>'Revenue drivers'!AG333</f>
        <v>79.543000000000006</v>
      </c>
      <c r="AH463">
        <f>'Revenue drivers'!AH333</f>
        <v>79.174999999999997</v>
      </c>
      <c r="AI463">
        <f>'Revenue drivers'!AI333</f>
        <v>78.900999999999996</v>
      </c>
      <c r="AJ463">
        <f>'Revenue drivers'!AJ333</f>
        <v>74.606999999999999</v>
      </c>
      <c r="AL463">
        <f>'Revenue drivers'!BF333</f>
        <v>0</v>
      </c>
      <c r="AM463">
        <f>'Revenue drivers'!BG333</f>
        <v>0</v>
      </c>
      <c r="AN463">
        <f>'Revenue drivers'!BH333</f>
        <v>0</v>
      </c>
      <c r="AO463">
        <f>'Revenue drivers'!BI333</f>
        <v>0</v>
      </c>
      <c r="AP463">
        <f>'Revenue drivers'!BJ333</f>
        <v>0</v>
      </c>
      <c r="AQ463">
        <f>'Revenue drivers'!BK333</f>
        <v>0</v>
      </c>
      <c r="AR463">
        <f>'Revenue drivers'!BL333</f>
        <v>53.333399999999997</v>
      </c>
      <c r="AS463">
        <f>'Revenue drivers'!BM333</f>
        <v>77.712999999999994</v>
      </c>
      <c r="AT463">
        <f>'Revenue drivers'!BN333</f>
        <v>77.628</v>
      </c>
      <c r="AU463">
        <f>'Revenue drivers'!BO333</f>
        <v>74.606999999999999</v>
      </c>
      <c r="AV463">
        <f>'Revenue drivers'!BP333</f>
        <v>67.888000000000005</v>
      </c>
      <c r="AW463">
        <f>'Revenue drivers'!BQ333</f>
        <v>76.748000000000005</v>
      </c>
      <c r="AX463">
        <f>'Revenue drivers'!BR333</f>
        <v>70.998000000000005</v>
      </c>
      <c r="AY463">
        <f>'Revenue drivers'!BS333</f>
        <v>65.248000000000005</v>
      </c>
      <c r="AZ463">
        <f>'Revenue drivers'!BT333</f>
        <v>59.498000000000005</v>
      </c>
    </row>
    <row r="464" spans="9:52" ht="11.25" customHeight="1">
      <c r="I464" t="str">
        <f>'Revenue drivers'!I335</f>
        <v>Q/Q Abs Growth (DRIVER)</v>
      </c>
      <c r="M464">
        <f>'Revenue drivers'!M335</f>
        <v>0</v>
      </c>
      <c r="N464">
        <f>'Revenue drivers'!N335</f>
        <v>0</v>
      </c>
      <c r="O464">
        <f>'Revenue drivers'!O335</f>
        <v>0</v>
      </c>
      <c r="P464">
        <f>'Revenue drivers'!P335</f>
        <v>0</v>
      </c>
      <c r="Q464">
        <f>'Revenue drivers'!Q335</f>
        <v>0</v>
      </c>
      <c r="R464">
        <f>'Revenue drivers'!R335</f>
        <v>3.047780000000003</v>
      </c>
      <c r="S464">
        <f>'Revenue drivers'!S335</f>
        <v>6.7194399999999987</v>
      </c>
      <c r="T464">
        <f>'Revenue drivers'!T335</f>
        <v>2.6069600000000079</v>
      </c>
      <c r="U464">
        <f>'Revenue drivers'!U335</f>
        <v>3.0926399999999887</v>
      </c>
      <c r="V464">
        <f>'Revenue drivers'!V335</f>
        <v>3.8006000000000029</v>
      </c>
      <c r="W464">
        <f>'Revenue drivers'!W335</f>
        <v>3.1234599999999944</v>
      </c>
      <c r="X464">
        <f>'Revenue drivers'!X335</f>
        <v>-9.3200999999999965</v>
      </c>
      <c r="Y464">
        <f>'Revenue drivers'!Y335</f>
        <v>18.4756</v>
      </c>
      <c r="Z464">
        <f>'Revenue drivers'!Z335</f>
        <v>1.5570000000000022</v>
      </c>
      <c r="AA464">
        <f>'Revenue drivers'!AA335</f>
        <v>5.3529999999999944</v>
      </c>
      <c r="AB464">
        <f>'Revenue drivers'!AB335</f>
        <v>-1.0060000000000002</v>
      </c>
      <c r="AC464">
        <f>'Revenue drivers'!AC335</f>
        <v>4.4980000000000047</v>
      </c>
      <c r="AD464">
        <f>'Revenue drivers'!AD335</f>
        <v>-0.32699999999999818</v>
      </c>
      <c r="AE464">
        <f>'Revenue drivers'!AE335</f>
        <v>-1.4159999999999968</v>
      </c>
      <c r="AF464">
        <f>'Revenue drivers'!AF335</f>
        <v>-2.8400000000000034</v>
      </c>
      <c r="AG464">
        <f>'Revenue drivers'!AG335</f>
        <v>1.9150000000000063</v>
      </c>
      <c r="AH464">
        <f>'Revenue drivers'!AH335</f>
        <v>-0.36800000000000921</v>
      </c>
      <c r="AI464">
        <f>'Revenue drivers'!AI335</f>
        <v>-0.27400000000000091</v>
      </c>
      <c r="AJ464">
        <f>'Revenue drivers'!AJ335</f>
        <v>-4.2939999999999969</v>
      </c>
      <c r="AL464">
        <f>'Revenue drivers'!BF335</f>
        <v>0</v>
      </c>
      <c r="AM464">
        <f>'Revenue drivers'!BG335</f>
        <v>0</v>
      </c>
      <c r="AN464">
        <f>'Revenue drivers'!BH335</f>
        <v>0</v>
      </c>
      <c r="AO464">
        <f>'Revenue drivers'!BI335</f>
        <v>0</v>
      </c>
      <c r="AP464">
        <f>'Revenue drivers'!BJ335</f>
        <v>0</v>
      </c>
      <c r="AQ464">
        <f>'Revenue drivers'!BK335</f>
        <v>0</v>
      </c>
      <c r="AR464">
        <f>'Revenue drivers'!BL335</f>
        <v>0</v>
      </c>
      <c r="AS464">
        <f>'Revenue drivers'!BM335</f>
        <v>0</v>
      </c>
      <c r="AT464">
        <f>'Revenue drivers'!BN335</f>
        <v>0</v>
      </c>
      <c r="AU464">
        <f>'Revenue drivers'!BO335</f>
        <v>0</v>
      </c>
      <c r="AV464">
        <f>'Revenue drivers'!BP335</f>
        <v>0</v>
      </c>
      <c r="AW464">
        <f>'Revenue drivers'!BQ335</f>
        <v>0</v>
      </c>
      <c r="AX464">
        <f>'Revenue drivers'!BR335</f>
        <v>0</v>
      </c>
      <c r="AY464">
        <f>'Revenue drivers'!BS335</f>
        <v>0</v>
      </c>
      <c r="AZ464">
        <f>'Revenue drivers'!BT335</f>
        <v>0</v>
      </c>
    </row>
    <row r="465" spans="9:52" ht="11.25" customHeight="1">
      <c r="I465" t="str">
        <f>'Revenue drivers'!I336</f>
        <v>Y/Y Abs Growth</v>
      </c>
      <c r="M465">
        <f>'Revenue drivers'!M336</f>
        <v>0</v>
      </c>
      <c r="N465">
        <f>'Revenue drivers'!N336</f>
        <v>0</v>
      </c>
      <c r="O465">
        <f>'Revenue drivers'!O336</f>
        <v>0</v>
      </c>
      <c r="P465">
        <f>'Revenue drivers'!P336</f>
        <v>0</v>
      </c>
      <c r="Q465">
        <f>'Revenue drivers'!Q336</f>
        <v>0</v>
      </c>
      <c r="R465">
        <f>'Revenue drivers'!R336</f>
        <v>0</v>
      </c>
      <c r="S465">
        <f>'Revenue drivers'!S336</f>
        <v>0</v>
      </c>
      <c r="T465">
        <f>'Revenue drivers'!T336</f>
        <v>0</v>
      </c>
      <c r="U465">
        <f>'Revenue drivers'!U336</f>
        <v>15.466819999999998</v>
      </c>
      <c r="V465">
        <f>'Revenue drivers'!V336</f>
        <v>16.219639999999998</v>
      </c>
      <c r="W465">
        <f>'Revenue drivers'!W336</f>
        <v>12.623659999999994</v>
      </c>
      <c r="X465">
        <f>'Revenue drivers'!X336</f>
        <v>0.69659999999998945</v>
      </c>
      <c r="Y465">
        <f>'Revenue drivers'!Y336</f>
        <v>16.079560000000001</v>
      </c>
      <c r="Z465">
        <f>'Revenue drivers'!Z336</f>
        <v>13.83596</v>
      </c>
      <c r="AA465">
        <f>'Revenue drivers'!AA336</f>
        <v>16.0655</v>
      </c>
      <c r="AB465">
        <f>'Revenue drivers'!AB336</f>
        <v>24.379599999999996</v>
      </c>
      <c r="AC465">
        <f>'Revenue drivers'!AC336</f>
        <v>10.402000000000001</v>
      </c>
      <c r="AD465">
        <f>'Revenue drivers'!AD336</f>
        <v>8.5180000000000007</v>
      </c>
      <c r="AE465">
        <f>'Revenue drivers'!AE336</f>
        <v>1.7490000000000094</v>
      </c>
      <c r="AF465">
        <f>'Revenue drivers'!AF336</f>
        <v>-8.4999999999993747E-2</v>
      </c>
      <c r="AG465">
        <f>'Revenue drivers'!AG336</f>
        <v>-2.6679999999999922</v>
      </c>
      <c r="AH465">
        <f>'Revenue drivers'!AH336</f>
        <v>-2.7090000000000032</v>
      </c>
      <c r="AI465">
        <f>'Revenue drivers'!AI336</f>
        <v>-1.5670000000000073</v>
      </c>
      <c r="AJ465">
        <f>'Revenue drivers'!AJ336</f>
        <v>-3.0210000000000008</v>
      </c>
      <c r="AL465">
        <f>'Revenue drivers'!BF336</f>
        <v>0</v>
      </c>
      <c r="AM465">
        <f>'Revenue drivers'!BG336</f>
        <v>0</v>
      </c>
      <c r="AN465">
        <f>'Revenue drivers'!BH336</f>
        <v>0</v>
      </c>
      <c r="AO465">
        <f>'Revenue drivers'!BI336</f>
        <v>0</v>
      </c>
      <c r="AP465">
        <f>'Revenue drivers'!BJ336</f>
        <v>0</v>
      </c>
      <c r="AQ465">
        <f>'Revenue drivers'!BK336</f>
        <v>0</v>
      </c>
      <c r="AR465">
        <f>'Revenue drivers'!BL336</f>
        <v>0</v>
      </c>
      <c r="AS465">
        <f>'Revenue drivers'!BM336</f>
        <v>24.379599999999996</v>
      </c>
      <c r="AT465">
        <f>'Revenue drivers'!BN336</f>
        <v>-8.4999999999993747E-2</v>
      </c>
      <c r="AU465">
        <f>'Revenue drivers'!BO336</f>
        <v>-3.0210000000000008</v>
      </c>
      <c r="AV465">
        <f>'Revenue drivers'!BP336</f>
        <v>-6.7189999999999941</v>
      </c>
      <c r="AW465">
        <f>'Revenue drivers'!BQ336</f>
        <v>8.86</v>
      </c>
      <c r="AX465">
        <f>'Revenue drivers'!BR336</f>
        <v>-5.75</v>
      </c>
      <c r="AY465">
        <f>'Revenue drivers'!BS336</f>
        <v>-5.75</v>
      </c>
      <c r="AZ465">
        <f>'Revenue drivers'!BT336</f>
        <v>-5.75</v>
      </c>
    </row>
    <row r="466" spans="9:52" ht="11.25" customHeight="1">
      <c r="I466" t="str">
        <f>'Revenue drivers'!I334</f>
        <v>% change Y/Y</v>
      </c>
      <c r="M466">
        <f>'Revenue drivers'!M334</f>
        <v>0</v>
      </c>
      <c r="N466">
        <f>'Revenue drivers'!N334</f>
        <v>0</v>
      </c>
      <c r="O466">
        <f>'Revenue drivers'!O334</f>
        <v>0</v>
      </c>
      <c r="P466">
        <f>'Revenue drivers'!P334</f>
        <v>0</v>
      </c>
      <c r="Q466" t="str">
        <f>'Revenue drivers'!Q334</f>
        <v>NA</v>
      </c>
      <c r="R466" t="str">
        <f>'Revenue drivers'!R334</f>
        <v>NA</v>
      </c>
      <c r="S466" t="str">
        <f>'Revenue drivers'!S334</f>
        <v>NA</v>
      </c>
      <c r="T466" t="str">
        <f>'Revenue drivers'!T334</f>
        <v>NA</v>
      </c>
      <c r="U466">
        <f>'Revenue drivers'!U334</f>
        <v>0.38414837385147815</v>
      </c>
      <c r="V466">
        <f>'Revenue drivers'!V334</f>
        <v>0.3744975802578594</v>
      </c>
      <c r="W466">
        <f>'Revenue drivers'!W334</f>
        <v>0.25232261386404575</v>
      </c>
      <c r="X466">
        <f>'Revenue drivers'!X334</f>
        <v>1.3234087178551679E-2</v>
      </c>
      <c r="Y466">
        <f>'Revenue drivers'!Y334</f>
        <v>0.28852900728950437</v>
      </c>
      <c r="Z466">
        <f>'Revenue drivers'!Z334</f>
        <v>0.23241980015467822</v>
      </c>
      <c r="AA466">
        <f>'Revenue drivers'!AA334</f>
        <v>0.25641823681039377</v>
      </c>
      <c r="AB466">
        <f>'Revenue drivers'!AB334</f>
        <v>0.45711692860383923</v>
      </c>
      <c r="AC466">
        <f>'Revenue drivers'!AC334</f>
        <v>0.14485649431129799</v>
      </c>
      <c r="AD466">
        <f>'Revenue drivers'!AD334</f>
        <v>0.11610282692255258</v>
      </c>
      <c r="AE466">
        <f>'Revenue drivers'!AE334</f>
        <v>2.2218270049162436E-2</v>
      </c>
      <c r="AF466">
        <f>'Revenue drivers'!AF334</f>
        <v>-1.0937680954279383E-3</v>
      </c>
      <c r="AG466">
        <f>'Revenue drivers'!AG334</f>
        <v>-3.2453078055247997E-2</v>
      </c>
      <c r="AH466">
        <f>'Revenue drivers'!AH334</f>
        <v>-3.3083386253724867E-2</v>
      </c>
      <c r="AI466">
        <f>'Revenue drivers'!AI334</f>
        <v>-1.9473579559576515E-2</v>
      </c>
      <c r="AJ466">
        <f>'Revenue drivers'!AJ334</f>
        <v>-3.8916370381821053E-2</v>
      </c>
      <c r="AL466">
        <f>'Revenue drivers'!BF334</f>
        <v>0</v>
      </c>
      <c r="AM466">
        <f>'Revenue drivers'!BG334</f>
        <v>0</v>
      </c>
      <c r="AN466">
        <f>'Revenue drivers'!BH334</f>
        <v>0</v>
      </c>
      <c r="AO466">
        <f>'Revenue drivers'!BI334</f>
        <v>0</v>
      </c>
      <c r="AP466">
        <f>'Revenue drivers'!BJ334</f>
        <v>0</v>
      </c>
      <c r="AQ466">
        <f>'Revenue drivers'!BK334</f>
        <v>0</v>
      </c>
      <c r="AR466">
        <f>'Revenue drivers'!BL334</f>
        <v>0</v>
      </c>
      <c r="AS466">
        <f>'Revenue drivers'!BM334</f>
        <v>0.45711692860383923</v>
      </c>
      <c r="AT466">
        <f>'Revenue drivers'!BN334</f>
        <v>-1.0937680954279383E-3</v>
      </c>
      <c r="AU466">
        <f>'Revenue drivers'!BO334</f>
        <v>-3.8916370381821053E-2</v>
      </c>
      <c r="AV466">
        <f>'Revenue drivers'!BP334</f>
        <v>-9.0058573592290192E-2</v>
      </c>
      <c r="AW466">
        <f>'Revenue drivers'!BQ334</f>
        <v>0.13050907376855991</v>
      </c>
      <c r="AX466">
        <f>'Revenue drivers'!BR334</f>
        <v>-7.4920519101474903E-2</v>
      </c>
      <c r="AY466">
        <f>'Revenue drivers'!BS334</f>
        <v>-8.0988196850615535E-2</v>
      </c>
      <c r="AZ466">
        <f>'Revenue drivers'!BT334</f>
        <v>-8.8125306522805258E-2</v>
      </c>
    </row>
    <row r="467" spans="9:52" ht="11.25" customHeight="1">
      <c r="I467" t="str">
        <f>'Revenue drivers'!I337</f>
        <v>% change Q/Q</v>
      </c>
      <c r="M467">
        <f>'Revenue drivers'!M337</f>
        <v>0</v>
      </c>
      <c r="N467">
        <f>'Revenue drivers'!N337</f>
        <v>0</v>
      </c>
      <c r="O467">
        <f>'Revenue drivers'!O337</f>
        <v>0</v>
      </c>
      <c r="P467">
        <f>'Revenue drivers'!P337</f>
        <v>0</v>
      </c>
      <c r="Q467" t="str">
        <f>'Revenue drivers'!Q337</f>
        <v>NA</v>
      </c>
      <c r="R467">
        <f>'Revenue drivers'!R337</f>
        <v>7.5697508011152825E-2</v>
      </c>
      <c r="S467">
        <f>'Revenue drivers'!S337</f>
        <v>0.15514610809412988</v>
      </c>
      <c r="T467">
        <f>'Revenue drivers'!T337</f>
        <v>5.210810188479531E-2</v>
      </c>
      <c r="U467">
        <f>'Revenue drivers'!U337</f>
        <v>5.8754331570308072E-2</v>
      </c>
      <c r="V467">
        <f>'Revenue drivers'!V337</f>
        <v>6.8197347757307458E-2</v>
      </c>
      <c r="W467">
        <f>'Revenue drivers'!W337</f>
        <v>5.2468636002932278E-2</v>
      </c>
      <c r="X467">
        <f>'Revenue drivers'!X337</f>
        <v>-0.14875625463860753</v>
      </c>
      <c r="Y467">
        <f>'Revenue drivers'!Y337</f>
        <v>0.34641706697866637</v>
      </c>
      <c r="Z467">
        <f>'Revenue drivers'!Z337</f>
        <v>2.1682518904315717E-2</v>
      </c>
      <c r="AA467">
        <f>'Revenue drivers'!AA337</f>
        <v>7.2962952866450381E-2</v>
      </c>
      <c r="AB467">
        <f>'Revenue drivers'!AB337</f>
        <v>-1.2779633887625597E-2</v>
      </c>
      <c r="AC467">
        <f>'Revenue drivers'!AC337</f>
        <v>5.7879634038063177E-2</v>
      </c>
      <c r="AD467">
        <f>'Revenue drivers'!AD337</f>
        <v>-3.9775699115689456E-3</v>
      </c>
      <c r="AE467">
        <f>'Revenue drivers'!AE337</f>
        <v>-1.7292755605490706E-2</v>
      </c>
      <c r="AF467">
        <f>'Revenue drivers'!AF337</f>
        <v>-3.5293532832927466E-2</v>
      </c>
      <c r="AG467">
        <f>'Revenue drivers'!AG337</f>
        <v>2.46689338898336E-2</v>
      </c>
      <c r="AH467">
        <f>'Revenue drivers'!AH337</f>
        <v>-4.626428472650157E-3</v>
      </c>
      <c r="AI467">
        <f>'Revenue drivers'!AI337</f>
        <v>-3.4606883485949202E-3</v>
      </c>
      <c r="AJ467">
        <f>'Revenue drivers'!AJ337</f>
        <v>-5.4422630891877155E-2</v>
      </c>
      <c r="AL467">
        <f>'Revenue drivers'!BF337</f>
        <v>0</v>
      </c>
      <c r="AM467">
        <f>'Revenue drivers'!BG337</f>
        <v>0</v>
      </c>
      <c r="AN467">
        <f>'Revenue drivers'!BH337</f>
        <v>0</v>
      </c>
      <c r="AO467">
        <f>'Revenue drivers'!BI337</f>
        <v>0</v>
      </c>
      <c r="AP467">
        <f>'Revenue drivers'!BJ337</f>
        <v>0</v>
      </c>
      <c r="AQ467">
        <f>'Revenue drivers'!BK337</f>
        <v>0</v>
      </c>
      <c r="AR467">
        <f>'Revenue drivers'!BL337</f>
        <v>0</v>
      </c>
      <c r="AS467">
        <f>'Revenue drivers'!BM337</f>
        <v>0</v>
      </c>
      <c r="AT467">
        <f>'Revenue drivers'!BN337</f>
        <v>0</v>
      </c>
      <c r="AU467">
        <f>'Revenue drivers'!BO337</f>
        <v>0</v>
      </c>
      <c r="AV467">
        <f>'Revenue drivers'!BP337</f>
        <v>0</v>
      </c>
      <c r="AW467">
        <f>'Revenue drivers'!BQ337</f>
        <v>0</v>
      </c>
      <c r="AX467">
        <f>'Revenue drivers'!BR337</f>
        <v>0</v>
      </c>
      <c r="AY467">
        <f>'Revenue drivers'!BS337</f>
        <v>0</v>
      </c>
      <c r="AZ467">
        <f>'Revenue drivers'!BT337</f>
        <v>0</v>
      </c>
    </row>
    <row r="468" spans="9:52" ht="11.25" customHeight="1">
      <c r="I468" t="str">
        <f>'Revenue drivers'!I338</f>
        <v>% of total unique visitors</v>
      </c>
      <c r="M468">
        <f>'Revenue drivers'!M338</f>
        <v>0</v>
      </c>
      <c r="N468">
        <f>'Revenue drivers'!N338</f>
        <v>0</v>
      </c>
      <c r="O468">
        <f>'Revenue drivers'!O338</f>
        <v>0</v>
      </c>
      <c r="P468">
        <f>'Revenue drivers'!P338</f>
        <v>0</v>
      </c>
      <c r="Q468">
        <f>'Revenue drivers'!Q338</f>
        <v>0.86</v>
      </c>
      <c r="R468">
        <f>'Revenue drivers'!R338</f>
        <v>0.84</v>
      </c>
      <c r="S468">
        <f>'Revenue drivers'!S338</f>
        <v>0.82</v>
      </c>
      <c r="T468">
        <f>'Revenue drivers'!T338</f>
        <v>0.8</v>
      </c>
      <c r="U468">
        <f>'Revenue drivers'!U338</f>
        <v>0.78</v>
      </c>
      <c r="V468">
        <f>'Revenue drivers'!V338</f>
        <v>0.76</v>
      </c>
      <c r="W468">
        <f>'Revenue drivers'!W338</f>
        <v>0.75</v>
      </c>
      <c r="X468">
        <f>'Revenue drivers'!X338</f>
        <v>0.61799999999999999</v>
      </c>
      <c r="Y468">
        <f>'Revenue drivers'!Y338</f>
        <v>0.70356145593494346</v>
      </c>
      <c r="Z468">
        <f>'Revenue drivers'!Z338</f>
        <v>0.67895019341464768</v>
      </c>
      <c r="AA468">
        <f>'Revenue drivers'!AA338</f>
        <v>0.67025126227149256</v>
      </c>
      <c r="AB468">
        <f>'Revenue drivers'!AB338</f>
        <v>0.64758135077705092</v>
      </c>
      <c r="AC468">
        <f>'Revenue drivers'!AC338</f>
        <v>0.62064774271478174</v>
      </c>
      <c r="AD468">
        <f>'Revenue drivers'!AD338</f>
        <v>0.5943917364130632</v>
      </c>
      <c r="AE468">
        <f>'Revenue drivers'!AE338</f>
        <v>0.57717081008191196</v>
      </c>
      <c r="AF468">
        <f>'Revenue drivers'!AF338</f>
        <v>0.57334889286083579</v>
      </c>
      <c r="AG468">
        <f>'Revenue drivers'!AG338</f>
        <v>0.55832970673704607</v>
      </c>
      <c r="AH468">
        <f>'Revenue drivers'!AH338</f>
        <v>0.55024671624157351</v>
      </c>
      <c r="AI468">
        <f>'Revenue drivers'!AI338</f>
        <v>0.53305003445526888</v>
      </c>
      <c r="AJ468">
        <f>'Revenue drivers'!AJ338</f>
        <v>0.53113542682622972</v>
      </c>
      <c r="AL468">
        <f>'Revenue drivers'!BF338</f>
        <v>0</v>
      </c>
      <c r="AM468">
        <f>'Revenue drivers'!BG338</f>
        <v>0</v>
      </c>
      <c r="AN468">
        <f>'Revenue drivers'!BH338</f>
        <v>0</v>
      </c>
      <c r="AO468">
        <f>'Revenue drivers'!BI338</f>
        <v>0</v>
      </c>
      <c r="AP468">
        <f>'Revenue drivers'!BJ338</f>
        <v>0</v>
      </c>
      <c r="AQ468">
        <f>'Revenue drivers'!BK338</f>
        <v>0</v>
      </c>
      <c r="AR468">
        <f>'Revenue drivers'!BL338</f>
        <v>0.61799999999999999</v>
      </c>
      <c r="AS468">
        <f>'Revenue drivers'!BM338</f>
        <v>0.64758135077705092</v>
      </c>
      <c r="AT468">
        <f>'Revenue drivers'!BN338</f>
        <v>0.57334889286083579</v>
      </c>
      <c r="AU468">
        <f>'Revenue drivers'!BO338</f>
        <v>0.53113542682622972</v>
      </c>
      <c r="AV468">
        <f>'Revenue drivers'!BP338</f>
        <v>0.50952048574366371</v>
      </c>
      <c r="AW468">
        <f>'Revenue drivers'!BQ338</f>
        <v>0.54443175449921621</v>
      </c>
      <c r="AX468">
        <f>'Revenue drivers'!BR338</f>
        <v>0.54481957906514011</v>
      </c>
      <c r="AY468">
        <f>'Revenue drivers'!BS338</f>
        <v>0.52962739185336671</v>
      </c>
      <c r="AZ468">
        <f>'Revenue drivers'!BT338</f>
        <v>0.51432068963871092</v>
      </c>
    </row>
    <row r="469" spans="9:52" ht="11.25" customHeight="1">
      <c r="I469">
        <f>'Revenue drivers'!I339</f>
        <v>0</v>
      </c>
      <c r="M469">
        <f>'Revenue drivers'!M339</f>
        <v>0</v>
      </c>
      <c r="N469">
        <f>'Revenue drivers'!N339</f>
        <v>0</v>
      </c>
      <c r="O469">
        <f>'Revenue drivers'!O339</f>
        <v>0</v>
      </c>
      <c r="P469">
        <f>'Revenue drivers'!P339</f>
        <v>0</v>
      </c>
      <c r="Q469">
        <f>'Revenue drivers'!Q339</f>
        <v>0</v>
      </c>
      <c r="R469">
        <f>'Revenue drivers'!R339</f>
        <v>0</v>
      </c>
      <c r="S469">
        <f>'Revenue drivers'!S339</f>
        <v>0</v>
      </c>
      <c r="T469">
        <f>'Revenue drivers'!T339</f>
        <v>0</v>
      </c>
      <c r="U469">
        <f>'Revenue drivers'!U339</f>
        <v>0</v>
      </c>
      <c r="V469">
        <f>'Revenue drivers'!V339</f>
        <v>0</v>
      </c>
      <c r="W469">
        <f>'Revenue drivers'!W339</f>
        <v>0</v>
      </c>
      <c r="X469">
        <f>'Revenue drivers'!X339</f>
        <v>0</v>
      </c>
      <c r="Y469">
        <f>'Revenue drivers'!Y339</f>
        <v>0</v>
      </c>
      <c r="Z469">
        <f>'Revenue drivers'!Z339</f>
        <v>0</v>
      </c>
      <c r="AA469">
        <f>'Revenue drivers'!AA339</f>
        <v>0</v>
      </c>
      <c r="AB469">
        <f>'Revenue drivers'!AB339</f>
        <v>0</v>
      </c>
      <c r="AC469">
        <f>'Revenue drivers'!AC339</f>
        <v>0</v>
      </c>
      <c r="AD469">
        <f>'Revenue drivers'!AD339</f>
        <v>0</v>
      </c>
      <c r="AE469">
        <f>'Revenue drivers'!AE339</f>
        <v>0</v>
      </c>
      <c r="AF469">
        <f>'Revenue drivers'!AF339</f>
        <v>0</v>
      </c>
      <c r="AG469">
        <f>'Revenue drivers'!AG339</f>
        <v>0</v>
      </c>
      <c r="AH469">
        <f>'Revenue drivers'!AH339</f>
        <v>0</v>
      </c>
      <c r="AI469">
        <f>'Revenue drivers'!AI339</f>
        <v>0</v>
      </c>
      <c r="AJ469">
        <f>'Revenue drivers'!AJ339</f>
        <v>0</v>
      </c>
      <c r="AL469">
        <f>'Revenue drivers'!BF339</f>
        <v>0</v>
      </c>
      <c r="AM469">
        <f>'Revenue drivers'!BG339</f>
        <v>0</v>
      </c>
      <c r="AN469">
        <f>'Revenue drivers'!BH339</f>
        <v>0</v>
      </c>
      <c r="AO469">
        <f>'Revenue drivers'!BI339</f>
        <v>0</v>
      </c>
      <c r="AP469">
        <f>'Revenue drivers'!BJ339</f>
        <v>0</v>
      </c>
      <c r="AQ469">
        <f>'Revenue drivers'!BK339</f>
        <v>0</v>
      </c>
      <c r="AR469">
        <f>'Revenue drivers'!BL339</f>
        <v>0</v>
      </c>
      <c r="AS469">
        <f>'Revenue drivers'!BM339</f>
        <v>0</v>
      </c>
      <c r="AT469">
        <f>'Revenue drivers'!BN339</f>
        <v>0</v>
      </c>
      <c r="AU469">
        <f>'Revenue drivers'!BO339</f>
        <v>0</v>
      </c>
      <c r="AV469">
        <f>'Revenue drivers'!BP339</f>
        <v>0</v>
      </c>
      <c r="AW469">
        <f>'Revenue drivers'!BQ339</f>
        <v>0</v>
      </c>
      <c r="AX469">
        <f>'Revenue drivers'!BR339</f>
        <v>0</v>
      </c>
      <c r="AY469">
        <f>'Revenue drivers'!BS339</f>
        <v>0</v>
      </c>
      <c r="AZ469">
        <f>'Revenue drivers'!BT339</f>
        <v>0</v>
      </c>
    </row>
    <row r="470" spans="9:52" ht="11.25" customHeight="1">
      <c r="I470">
        <f>'Revenue drivers'!I340</f>
        <v>0</v>
      </c>
      <c r="M470">
        <f>'Revenue drivers'!M340</f>
        <v>0</v>
      </c>
      <c r="N470">
        <f>'Revenue drivers'!N340</f>
        <v>0</v>
      </c>
      <c r="O470">
        <f>'Revenue drivers'!O340</f>
        <v>0</v>
      </c>
      <c r="P470">
        <f>'Revenue drivers'!P340</f>
        <v>0</v>
      </c>
      <c r="Q470">
        <f>'Revenue drivers'!Q340</f>
        <v>0</v>
      </c>
      <c r="R470">
        <f>'Revenue drivers'!R340</f>
        <v>0</v>
      </c>
      <c r="S470">
        <f>'Revenue drivers'!S340</f>
        <v>0</v>
      </c>
      <c r="T470">
        <f>'Revenue drivers'!T340</f>
        <v>0</v>
      </c>
      <c r="U470">
        <f>'Revenue drivers'!U340</f>
        <v>0</v>
      </c>
      <c r="V470">
        <f>'Revenue drivers'!V340</f>
        <v>0</v>
      </c>
      <c r="W470">
        <f>'Revenue drivers'!W340</f>
        <v>0</v>
      </c>
      <c r="X470">
        <f>'Revenue drivers'!X340</f>
        <v>0</v>
      </c>
      <c r="Y470">
        <f>'Revenue drivers'!Y340</f>
        <v>0</v>
      </c>
      <c r="Z470">
        <f>'Revenue drivers'!Z340</f>
        <v>0</v>
      </c>
      <c r="AA470">
        <f>'Revenue drivers'!AA340</f>
        <v>0</v>
      </c>
      <c r="AB470">
        <f>'Revenue drivers'!AB340</f>
        <v>0</v>
      </c>
      <c r="AC470">
        <f>'Revenue drivers'!AC340</f>
        <v>0</v>
      </c>
      <c r="AD470">
        <f>'Revenue drivers'!AD340</f>
        <v>0</v>
      </c>
      <c r="AE470">
        <f>'Revenue drivers'!AE340</f>
        <v>0</v>
      </c>
      <c r="AF470">
        <f>'Revenue drivers'!AF340</f>
        <v>0</v>
      </c>
      <c r="AG470">
        <f>'Revenue drivers'!AG340</f>
        <v>0</v>
      </c>
      <c r="AH470">
        <f>'Revenue drivers'!AH340</f>
        <v>0</v>
      </c>
      <c r="AI470">
        <f>'Revenue drivers'!AI340</f>
        <v>0</v>
      </c>
      <c r="AJ470">
        <f>'Revenue drivers'!AJ340</f>
        <v>0</v>
      </c>
      <c r="AL470">
        <f>'Revenue drivers'!BF340</f>
        <v>0</v>
      </c>
      <c r="AM470">
        <f>'Revenue drivers'!BG340</f>
        <v>0</v>
      </c>
      <c r="AN470">
        <f>'Revenue drivers'!BH340</f>
        <v>0</v>
      </c>
      <c r="AO470">
        <f>'Revenue drivers'!BI340</f>
        <v>0</v>
      </c>
      <c r="AP470">
        <f>'Revenue drivers'!BJ340</f>
        <v>0</v>
      </c>
      <c r="AQ470">
        <f>'Revenue drivers'!BK340</f>
        <v>0</v>
      </c>
      <c r="AR470">
        <f>'Revenue drivers'!BL340</f>
        <v>0</v>
      </c>
      <c r="AS470">
        <f>'Revenue drivers'!BM340</f>
        <v>0</v>
      </c>
      <c r="AT470">
        <f>'Revenue drivers'!BN340</f>
        <v>0</v>
      </c>
      <c r="AU470">
        <f>'Revenue drivers'!BO340</f>
        <v>0</v>
      </c>
      <c r="AV470">
        <f>'Revenue drivers'!BP340</f>
        <v>0</v>
      </c>
      <c r="AW470">
        <f>'Revenue drivers'!BQ340</f>
        <v>0</v>
      </c>
      <c r="AX470">
        <f>'Revenue drivers'!BR340</f>
        <v>0</v>
      </c>
      <c r="AY470">
        <f>'Revenue drivers'!BS340</f>
        <v>0</v>
      </c>
      <c r="AZ470">
        <f>'Revenue drivers'!BT340</f>
        <v>0</v>
      </c>
    </row>
    <row r="471" spans="9:52" ht="11.25" customHeight="1">
      <c r="I471" t="str">
        <f>'Revenue drivers'!I341</f>
        <v>Mobile unique visitors</v>
      </c>
      <c r="M471">
        <f>'Revenue drivers'!M341</f>
        <v>0</v>
      </c>
      <c r="N471">
        <f>'Revenue drivers'!N341</f>
        <v>0</v>
      </c>
      <c r="O471">
        <f>'Revenue drivers'!O341</f>
        <v>0</v>
      </c>
      <c r="P471">
        <f>'Revenue drivers'!P341</f>
        <v>0</v>
      </c>
      <c r="Q471">
        <f>'Revenue drivers'!Q341</f>
        <v>6.5543800000000019</v>
      </c>
      <c r="R471">
        <f>'Revenue drivers'!R341</f>
        <v>8.2496000000000027</v>
      </c>
      <c r="S471">
        <f>'Revenue drivers'!S341</f>
        <v>10.982160000000002</v>
      </c>
      <c r="T471">
        <f>'Revenue drivers'!T341</f>
        <v>13.159200000000002</v>
      </c>
      <c r="U471">
        <f>'Revenue drivers'!U341</f>
        <v>15.718559999999998</v>
      </c>
      <c r="V471">
        <f>'Revenue drivers'!V341</f>
        <v>18.798959999999997</v>
      </c>
      <c r="W471">
        <f>'Revenue drivers'!W341</f>
        <v>20.884499999999999</v>
      </c>
      <c r="X471">
        <f>'Revenue drivers'!X341</f>
        <v>32.9666</v>
      </c>
      <c r="Y471">
        <f>'Revenue drivers'!Y341</f>
        <v>40.167999999999999</v>
      </c>
      <c r="Z471">
        <f>'Revenue drivers'!Z341</f>
        <v>45.064</v>
      </c>
      <c r="AA471">
        <f>'Revenue drivers'!AA341</f>
        <v>50.454999999999998</v>
      </c>
      <c r="AB471">
        <f>'Revenue drivers'!AB341</f>
        <v>52.905000000000001</v>
      </c>
      <c r="AC471">
        <f>'Revenue drivers'!AC341</f>
        <v>61.19</v>
      </c>
      <c r="AD471">
        <f>'Revenue drivers'!AD341</f>
        <v>67.885999999999996</v>
      </c>
      <c r="AE471">
        <f>'Revenue drivers'!AE341</f>
        <v>73.44</v>
      </c>
      <c r="AF471">
        <f>'Revenue drivers'!AF341</f>
        <v>72.307000000000002</v>
      </c>
      <c r="AG471">
        <f>'Revenue drivers'!AG341</f>
        <v>78.962000000000003</v>
      </c>
      <c r="AH471">
        <f>'Revenue drivers'!AH341</f>
        <v>82.811999999999998</v>
      </c>
      <c r="AI471">
        <f>'Revenue drivers'!AI341</f>
        <v>89.238</v>
      </c>
      <c r="AJ471">
        <f>'Revenue drivers'!AJ341</f>
        <v>85.866</v>
      </c>
      <c r="AL471">
        <f>'Revenue drivers'!BF341</f>
        <v>0</v>
      </c>
      <c r="AM471">
        <f>'Revenue drivers'!BG341</f>
        <v>0</v>
      </c>
      <c r="AN471">
        <f>'Revenue drivers'!BH341</f>
        <v>0</v>
      </c>
      <c r="AO471">
        <f>'Revenue drivers'!BI341</f>
        <v>0</v>
      </c>
      <c r="AP471">
        <f>'Revenue drivers'!BJ341</f>
        <v>0</v>
      </c>
      <c r="AQ471">
        <f>'Revenue drivers'!BK341</f>
        <v>0</v>
      </c>
      <c r="AR471">
        <f>'Revenue drivers'!BL341</f>
        <v>32.9666</v>
      </c>
      <c r="AS471">
        <f>'Revenue drivers'!BM341</f>
        <v>52.905000000000001</v>
      </c>
      <c r="AT471">
        <f>'Revenue drivers'!BN341</f>
        <v>72.307000000000002</v>
      </c>
      <c r="AU471">
        <f>'Revenue drivers'!BO341</f>
        <v>85.866</v>
      </c>
      <c r="AV471">
        <f>'Revenue drivers'!BP341</f>
        <v>89.424000000000007</v>
      </c>
      <c r="AW471">
        <f>'Revenue drivers'!BQ341</f>
        <v>93.066000000000003</v>
      </c>
      <c r="AX471">
        <f>'Revenue drivers'!BR341</f>
        <v>96.161699999999982</v>
      </c>
      <c r="AY471">
        <f>'Revenue drivers'!BS341</f>
        <v>98.793044999999992</v>
      </c>
      <c r="AZ471">
        <f>'Revenue drivers'!BT341</f>
        <v>101.02968824999999</v>
      </c>
    </row>
    <row r="472" spans="9:52" ht="11.25" customHeight="1">
      <c r="I472" t="str">
        <f>'Revenue drivers'!I343</f>
        <v>Q/Q Abs Growth (DRIVER)</v>
      </c>
      <c r="M472">
        <f>'Revenue drivers'!M343</f>
        <v>0</v>
      </c>
      <c r="N472">
        <f>'Revenue drivers'!N343</f>
        <v>0</v>
      </c>
      <c r="O472">
        <f>'Revenue drivers'!O343</f>
        <v>0</v>
      </c>
      <c r="P472">
        <f>'Revenue drivers'!P343</f>
        <v>0</v>
      </c>
      <c r="Q472">
        <f>'Revenue drivers'!Q343</f>
        <v>0</v>
      </c>
      <c r="R472">
        <f>'Revenue drivers'!R343</f>
        <v>1.6952200000000008</v>
      </c>
      <c r="S472">
        <f>'Revenue drivers'!S343</f>
        <v>2.7325599999999994</v>
      </c>
      <c r="T472">
        <f>'Revenue drivers'!T343</f>
        <v>2.1770399999999999</v>
      </c>
      <c r="U472">
        <f>'Revenue drivers'!U343</f>
        <v>2.5593599999999963</v>
      </c>
      <c r="V472">
        <f>'Revenue drivers'!V343</f>
        <v>3.0803999999999991</v>
      </c>
      <c r="W472">
        <f>'Revenue drivers'!W343</f>
        <v>2.0855400000000017</v>
      </c>
      <c r="X472">
        <f>'Revenue drivers'!X343</f>
        <v>12.082100000000001</v>
      </c>
      <c r="Y472">
        <f>'Revenue drivers'!Y343</f>
        <v>7.2013999999999996</v>
      </c>
      <c r="Z472">
        <f>'Revenue drivers'!Z343</f>
        <v>4.8960000000000008</v>
      </c>
      <c r="AA472">
        <f>'Revenue drivers'!AA343</f>
        <v>5.3909999999999982</v>
      </c>
      <c r="AB472">
        <f>'Revenue drivers'!AB343</f>
        <v>2.4500000000000028</v>
      </c>
      <c r="AC472">
        <f>'Revenue drivers'!AC343</f>
        <v>8.2849999999999966</v>
      </c>
      <c r="AD472">
        <f>'Revenue drivers'!AD343</f>
        <v>6.695999999999998</v>
      </c>
      <c r="AE472">
        <f>'Revenue drivers'!AE343</f>
        <v>5.554000000000002</v>
      </c>
      <c r="AF472">
        <f>'Revenue drivers'!AF343</f>
        <v>-1.1329999999999956</v>
      </c>
      <c r="AG472">
        <f>'Revenue drivers'!AG343</f>
        <v>6.6550000000000011</v>
      </c>
      <c r="AH472">
        <f>'Revenue drivers'!AH343</f>
        <v>3.8499999999999943</v>
      </c>
      <c r="AI472">
        <f>'Revenue drivers'!AI343</f>
        <v>6.4260000000000019</v>
      </c>
      <c r="AJ472">
        <f>'Revenue drivers'!AJ343</f>
        <v>-3.3719999999999999</v>
      </c>
      <c r="AL472">
        <f>'Revenue drivers'!BF343</f>
        <v>0</v>
      </c>
      <c r="AM472">
        <f>'Revenue drivers'!BG343</f>
        <v>0</v>
      </c>
      <c r="AN472">
        <f>'Revenue drivers'!BH343</f>
        <v>0</v>
      </c>
      <c r="AO472">
        <f>'Revenue drivers'!BI343</f>
        <v>0</v>
      </c>
      <c r="AP472">
        <f>'Revenue drivers'!BJ343</f>
        <v>0</v>
      </c>
      <c r="AQ472">
        <f>'Revenue drivers'!BK343</f>
        <v>0</v>
      </c>
      <c r="AR472">
        <f>'Revenue drivers'!BL343</f>
        <v>0</v>
      </c>
      <c r="AS472">
        <f>'Revenue drivers'!BM343</f>
        <v>0</v>
      </c>
      <c r="AT472">
        <f>'Revenue drivers'!BN343</f>
        <v>0</v>
      </c>
      <c r="AU472">
        <f>'Revenue drivers'!BO343</f>
        <v>0</v>
      </c>
      <c r="AV472">
        <f>'Revenue drivers'!BP343</f>
        <v>0</v>
      </c>
      <c r="AW472">
        <f>'Revenue drivers'!BQ343</f>
        <v>0</v>
      </c>
      <c r="AX472">
        <f>'Revenue drivers'!BR343</f>
        <v>0</v>
      </c>
      <c r="AY472">
        <f>'Revenue drivers'!BS343</f>
        <v>0</v>
      </c>
      <c r="AZ472">
        <f>'Revenue drivers'!BT343</f>
        <v>0</v>
      </c>
    </row>
    <row r="473" spans="9:52" ht="11.25" customHeight="1">
      <c r="I473" t="str">
        <f>'Revenue drivers'!I344</f>
        <v>Y/Y Abs Growth</v>
      </c>
      <c r="M473">
        <f>'Revenue drivers'!M344</f>
        <v>0</v>
      </c>
      <c r="N473">
        <f>'Revenue drivers'!N344</f>
        <v>0</v>
      </c>
      <c r="O473">
        <f>'Revenue drivers'!O344</f>
        <v>0</v>
      </c>
      <c r="P473">
        <f>'Revenue drivers'!P344</f>
        <v>0</v>
      </c>
      <c r="Q473">
        <f>'Revenue drivers'!Q344</f>
        <v>0</v>
      </c>
      <c r="R473">
        <f>'Revenue drivers'!R344</f>
        <v>0</v>
      </c>
      <c r="S473">
        <f>'Revenue drivers'!S344</f>
        <v>0</v>
      </c>
      <c r="T473">
        <f>'Revenue drivers'!T344</f>
        <v>0</v>
      </c>
      <c r="U473">
        <f>'Revenue drivers'!U344</f>
        <v>9.1641799999999964</v>
      </c>
      <c r="V473">
        <f>'Revenue drivers'!V344</f>
        <v>10.549359999999995</v>
      </c>
      <c r="W473">
        <f>'Revenue drivers'!W344</f>
        <v>9.902339999999997</v>
      </c>
      <c r="X473">
        <f>'Revenue drivers'!X344</f>
        <v>19.807399999999998</v>
      </c>
      <c r="Y473">
        <f>'Revenue drivers'!Y344</f>
        <v>24.449440000000003</v>
      </c>
      <c r="Z473">
        <f>'Revenue drivers'!Z344</f>
        <v>26.265040000000003</v>
      </c>
      <c r="AA473">
        <f>'Revenue drivers'!AA344</f>
        <v>29.570499999999999</v>
      </c>
      <c r="AB473">
        <f>'Revenue drivers'!AB344</f>
        <v>19.938400000000001</v>
      </c>
      <c r="AC473">
        <f>'Revenue drivers'!AC344</f>
        <v>21.021999999999998</v>
      </c>
      <c r="AD473">
        <f>'Revenue drivers'!AD344</f>
        <v>22.821999999999996</v>
      </c>
      <c r="AE473">
        <f>'Revenue drivers'!AE344</f>
        <v>22.984999999999999</v>
      </c>
      <c r="AF473">
        <f>'Revenue drivers'!AF344</f>
        <v>19.402000000000001</v>
      </c>
      <c r="AG473">
        <f>'Revenue drivers'!AG344</f>
        <v>17.772000000000006</v>
      </c>
      <c r="AH473">
        <f>'Revenue drivers'!AH344</f>
        <v>14.926000000000002</v>
      </c>
      <c r="AI473">
        <f>'Revenue drivers'!AI344</f>
        <v>15.798000000000002</v>
      </c>
      <c r="AJ473">
        <f>'Revenue drivers'!AJ344</f>
        <v>13.558999999999997</v>
      </c>
      <c r="AL473">
        <f>'Revenue drivers'!BF344</f>
        <v>0</v>
      </c>
      <c r="AM473">
        <f>'Revenue drivers'!BG344</f>
        <v>0</v>
      </c>
      <c r="AN473">
        <f>'Revenue drivers'!BH344</f>
        <v>0</v>
      </c>
      <c r="AO473">
        <f>'Revenue drivers'!BI344</f>
        <v>0</v>
      </c>
      <c r="AP473">
        <f>'Revenue drivers'!BJ344</f>
        <v>0</v>
      </c>
      <c r="AQ473">
        <f>'Revenue drivers'!BK344</f>
        <v>0</v>
      </c>
      <c r="AR473">
        <f>'Revenue drivers'!BL344</f>
        <v>0</v>
      </c>
      <c r="AS473">
        <f>'Revenue drivers'!BM344</f>
        <v>19.938400000000001</v>
      </c>
      <c r="AT473">
        <f>'Revenue drivers'!BN344</f>
        <v>19.402000000000001</v>
      </c>
      <c r="AU473">
        <f>'Revenue drivers'!BO344</f>
        <v>13.558999999999997</v>
      </c>
      <c r="AV473">
        <f>'Revenue drivers'!BP344</f>
        <v>3.5580000000000069</v>
      </c>
      <c r="AW473">
        <f>'Revenue drivers'!BQ344</f>
        <v>3.6419999999999959</v>
      </c>
      <c r="AX473">
        <f>'Revenue drivers'!BR344</f>
        <v>3.0956999999999795</v>
      </c>
      <c r="AY473">
        <f>'Revenue drivers'!BS344</f>
        <v>2.6313450000000103</v>
      </c>
      <c r="AZ473">
        <f>'Revenue drivers'!BT344</f>
        <v>2.2366432500000002</v>
      </c>
    </row>
    <row r="474" spans="9:52" ht="11.25" customHeight="1">
      <c r="I474" t="str">
        <f>'Revenue drivers'!I342</f>
        <v>% change Y/Y</v>
      </c>
      <c r="M474">
        <f>'Revenue drivers'!M342</f>
        <v>0</v>
      </c>
      <c r="N474">
        <f>'Revenue drivers'!N342</f>
        <v>0</v>
      </c>
      <c r="O474">
        <f>'Revenue drivers'!O342</f>
        <v>0</v>
      </c>
      <c r="P474">
        <f>'Revenue drivers'!P342</f>
        <v>0</v>
      </c>
      <c r="Q474" t="str">
        <f>'Revenue drivers'!Q342</f>
        <v>NA</v>
      </c>
      <c r="R474" t="str">
        <f>'Revenue drivers'!R342</f>
        <v>NA</v>
      </c>
      <c r="S474" t="str">
        <f>'Revenue drivers'!S342</f>
        <v>NA</v>
      </c>
      <c r="T474" t="str">
        <f>'Revenue drivers'!T342</f>
        <v>NA</v>
      </c>
      <c r="U474">
        <f>'Revenue drivers'!U342</f>
        <v>1.3981764865631829</v>
      </c>
      <c r="V474">
        <f>'Revenue drivers'!V342</f>
        <v>1.2787723041117136</v>
      </c>
      <c r="W474">
        <f>'Revenue drivers'!W342</f>
        <v>0.90167508031206922</v>
      </c>
      <c r="X474">
        <f>'Revenue drivers'!X342</f>
        <v>1.5052130828621797</v>
      </c>
      <c r="Y474">
        <f>'Revenue drivers'!Y342</f>
        <v>1.555450372044259</v>
      </c>
      <c r="Z474">
        <f>'Revenue drivers'!Z342</f>
        <v>1.3971538851085383</v>
      </c>
      <c r="AA474">
        <f>'Revenue drivers'!AA342</f>
        <v>1.4159065335535925</v>
      </c>
      <c r="AB474">
        <f>'Revenue drivers'!AB342</f>
        <v>0.60480607645313755</v>
      </c>
      <c r="AC474">
        <f>'Revenue drivers'!AC342</f>
        <v>0.52335192192790281</v>
      </c>
      <c r="AD474">
        <f>'Revenue drivers'!AD342</f>
        <v>0.50643529202911397</v>
      </c>
      <c r="AE474">
        <f>'Revenue drivers'!AE342</f>
        <v>0.45555445446437415</v>
      </c>
      <c r="AF474">
        <f>'Revenue drivers'!AF342</f>
        <v>0.36673282298459497</v>
      </c>
      <c r="AG474">
        <f>'Revenue drivers'!AG342</f>
        <v>0.2904396143160648</v>
      </c>
      <c r="AH474">
        <f>'Revenue drivers'!AH342</f>
        <v>0.21986860324661928</v>
      </c>
      <c r="AI474">
        <f>'Revenue drivers'!AI342</f>
        <v>0.21511437908496744</v>
      </c>
      <c r="AJ474">
        <f>'Revenue drivers'!AJ342</f>
        <v>0.1875198805094942</v>
      </c>
      <c r="AL474">
        <f>'Revenue drivers'!BF342</f>
        <v>0</v>
      </c>
      <c r="AM474">
        <f>'Revenue drivers'!BG342</f>
        <v>0</v>
      </c>
      <c r="AN474">
        <f>'Revenue drivers'!BH342</f>
        <v>0</v>
      </c>
      <c r="AO474">
        <f>'Revenue drivers'!BI342</f>
        <v>0</v>
      </c>
      <c r="AP474">
        <f>'Revenue drivers'!BJ342</f>
        <v>0</v>
      </c>
      <c r="AQ474">
        <f>'Revenue drivers'!BK342</f>
        <v>0</v>
      </c>
      <c r="AR474">
        <f>'Revenue drivers'!BL342</f>
        <v>0</v>
      </c>
      <c r="AS474">
        <f>'Revenue drivers'!BM342</f>
        <v>0.60480607645313755</v>
      </c>
      <c r="AT474">
        <f>'Revenue drivers'!BN342</f>
        <v>0.36673282298459497</v>
      </c>
      <c r="AU474">
        <f>'Revenue drivers'!BO342</f>
        <v>0.1875198805094942</v>
      </c>
      <c r="AV474">
        <f>'Revenue drivers'!BP342</f>
        <v>4.1436657116903142E-2</v>
      </c>
      <c r="AW474">
        <f>'Revenue drivers'!BQ342</f>
        <v>4.0727321524422821E-2</v>
      </c>
      <c r="AX474">
        <f>'Revenue drivers'!BR342</f>
        <v>3.3263490426149067E-2</v>
      </c>
      <c r="AY474">
        <f>'Revenue drivers'!BS342</f>
        <v>2.7363752928661E-2</v>
      </c>
      <c r="AZ474">
        <f>'Revenue drivers'!BT342</f>
        <v>2.2639683289446211E-2</v>
      </c>
    </row>
    <row r="475" spans="9:52" ht="11.25" customHeight="1">
      <c r="I475" t="str">
        <f>'Revenue drivers'!I345</f>
        <v>% change Q/Q</v>
      </c>
      <c r="M475">
        <f>'Revenue drivers'!M345</f>
        <v>0</v>
      </c>
      <c r="N475">
        <f>'Revenue drivers'!N345</f>
        <v>0</v>
      </c>
      <c r="O475">
        <f>'Revenue drivers'!O345</f>
        <v>0</v>
      </c>
      <c r="P475">
        <f>'Revenue drivers'!P345</f>
        <v>0</v>
      </c>
      <c r="Q475" t="str">
        <f>'Revenue drivers'!Q345</f>
        <v>NA</v>
      </c>
      <c r="R475">
        <f>'Revenue drivers'!R345</f>
        <v>0.25863926107427404</v>
      </c>
      <c r="S475">
        <f>'Revenue drivers'!S345</f>
        <v>0.33123545384018604</v>
      </c>
      <c r="T475">
        <f>'Revenue drivers'!T345</f>
        <v>0.19823422714657224</v>
      </c>
      <c r="U475">
        <f>'Revenue drivers'!U345</f>
        <v>0.194492066387014</v>
      </c>
      <c r="V475">
        <f>'Revenue drivers'!V345</f>
        <v>0.19597215012062175</v>
      </c>
      <c r="W475">
        <f>'Revenue drivers'!W345</f>
        <v>0.11093911578087301</v>
      </c>
      <c r="X475">
        <f>'Revenue drivers'!X345</f>
        <v>0.57851995499054332</v>
      </c>
      <c r="Y475">
        <f>'Revenue drivers'!Y345</f>
        <v>0.21844533558207391</v>
      </c>
      <c r="Z475">
        <f>'Revenue drivers'!Z345</f>
        <v>0.12188807010555669</v>
      </c>
      <c r="AA475">
        <f>'Revenue drivers'!AA345</f>
        <v>0.11962985975501494</v>
      </c>
      <c r="AB475">
        <f>'Revenue drivers'!AB345</f>
        <v>4.8558121098008167E-2</v>
      </c>
      <c r="AC475">
        <f>'Revenue drivers'!AC345</f>
        <v>0.15660145543899429</v>
      </c>
      <c r="AD475">
        <f>'Revenue drivers'!AD345</f>
        <v>0.10942964536688993</v>
      </c>
      <c r="AE475">
        <f>'Revenue drivers'!AE345</f>
        <v>8.1813628730518895E-2</v>
      </c>
      <c r="AF475">
        <f>'Revenue drivers'!AF345</f>
        <v>-1.5427559912853939E-2</v>
      </c>
      <c r="AG475">
        <f>'Revenue drivers'!AG345</f>
        <v>9.2038115258550324E-2</v>
      </c>
      <c r="AH475">
        <f>'Revenue drivers'!AH345</f>
        <v>4.8757630252526551E-2</v>
      </c>
      <c r="AI475">
        <f>'Revenue drivers'!AI345</f>
        <v>7.7597449644978944E-2</v>
      </c>
      <c r="AJ475">
        <f>'Revenue drivers'!AJ345</f>
        <v>-3.7786593155382242E-2</v>
      </c>
      <c r="AL475">
        <f>'Revenue drivers'!BF345</f>
        <v>0</v>
      </c>
      <c r="AM475">
        <f>'Revenue drivers'!BG345</f>
        <v>0</v>
      </c>
      <c r="AN475">
        <f>'Revenue drivers'!BH345</f>
        <v>0</v>
      </c>
      <c r="AO475">
        <f>'Revenue drivers'!BI345</f>
        <v>0</v>
      </c>
      <c r="AP475">
        <f>'Revenue drivers'!BJ345</f>
        <v>0</v>
      </c>
      <c r="AQ475">
        <f>'Revenue drivers'!BK345</f>
        <v>0</v>
      </c>
      <c r="AR475">
        <f>'Revenue drivers'!BL345</f>
        <v>0</v>
      </c>
      <c r="AS475">
        <f>'Revenue drivers'!BM345</f>
        <v>0</v>
      </c>
      <c r="AT475">
        <f>'Revenue drivers'!BN345</f>
        <v>0</v>
      </c>
      <c r="AU475">
        <f>'Revenue drivers'!BO345</f>
        <v>0</v>
      </c>
      <c r="AV475">
        <f>'Revenue drivers'!BP345</f>
        <v>0</v>
      </c>
      <c r="AW475">
        <f>'Revenue drivers'!BQ345</f>
        <v>0</v>
      </c>
      <c r="AX475">
        <f>'Revenue drivers'!BR345</f>
        <v>0</v>
      </c>
      <c r="AY475">
        <f>'Revenue drivers'!BS345</f>
        <v>0</v>
      </c>
      <c r="AZ475">
        <f>'Revenue drivers'!BT345</f>
        <v>0</v>
      </c>
    </row>
    <row r="476" spans="9:52" ht="11.25" customHeight="1">
      <c r="I476" t="str">
        <f>'Revenue drivers'!I346</f>
        <v>% of total unique visitors</v>
      </c>
      <c r="M476">
        <f>'Revenue drivers'!M346</f>
        <v>0</v>
      </c>
      <c r="N476">
        <f>'Revenue drivers'!N346</f>
        <v>0</v>
      </c>
      <c r="O476">
        <f>'Revenue drivers'!O346</f>
        <v>0</v>
      </c>
      <c r="P476">
        <f>'Revenue drivers'!P346</f>
        <v>0</v>
      </c>
      <c r="Q476">
        <f>'Revenue drivers'!Q346</f>
        <v>0.14000000000000004</v>
      </c>
      <c r="R476">
        <f>'Revenue drivers'!R346</f>
        <v>0.16000000000000003</v>
      </c>
      <c r="S476">
        <f>'Revenue drivers'!S346</f>
        <v>0.18000000000000002</v>
      </c>
      <c r="T476">
        <f>'Revenue drivers'!T346</f>
        <v>0.2</v>
      </c>
      <c r="U476">
        <f>'Revenue drivers'!U346</f>
        <v>0.22</v>
      </c>
      <c r="V476">
        <f>'Revenue drivers'!V346</f>
        <v>0.24</v>
      </c>
      <c r="W476">
        <f>'Revenue drivers'!W346</f>
        <v>0.25</v>
      </c>
      <c r="X476">
        <f>'Revenue drivers'!X346</f>
        <v>0.38200000000000001</v>
      </c>
      <c r="Y476">
        <f>'Revenue drivers'!Y346</f>
        <v>0.39355312790868563</v>
      </c>
      <c r="Z476">
        <f>'Revenue drivers'!Z346</f>
        <v>0.3</v>
      </c>
      <c r="AA476">
        <f>'Revenue drivers'!AA346</f>
        <v>0.33</v>
      </c>
      <c r="AB476">
        <f>'Revenue drivers'!AB346</f>
        <v>0.44085663097370947</v>
      </c>
      <c r="AC476">
        <f>'Revenue drivers'!AC346</f>
        <v>0.46195077759323566</v>
      </c>
      <c r="AD476">
        <f>'Revenue drivers'!AD346</f>
        <v>0.49278097574785312</v>
      </c>
      <c r="AE476">
        <f>'Revenue drivers'!AE346</f>
        <v>0.52676125034070198</v>
      </c>
      <c r="AF476">
        <f>'Revenue drivers'!AF346</f>
        <v>0.53404877616437951</v>
      </c>
      <c r="AG476">
        <f>'Revenue drivers'!AG346</f>
        <v>0.55425154071848726</v>
      </c>
      <c r="AH476">
        <f>'Revenue drivers'!AH346</f>
        <v>0.57552296893460286</v>
      </c>
      <c r="AI476">
        <f>'Revenue drivers'!AI346</f>
        <v>0.60288613547001035</v>
      </c>
      <c r="AJ476">
        <f>'Revenue drivers'!AJ346</f>
        <v>0.61128948436287533</v>
      </c>
      <c r="AL476">
        <f>'Revenue drivers'!BF346</f>
        <v>0</v>
      </c>
      <c r="AM476">
        <f>'Revenue drivers'!BG346</f>
        <v>0</v>
      </c>
      <c r="AN476">
        <f>'Revenue drivers'!BH346</f>
        <v>0</v>
      </c>
      <c r="AO476">
        <f>'Revenue drivers'!BI346</f>
        <v>0</v>
      </c>
      <c r="AP476">
        <f>'Revenue drivers'!BJ346</f>
        <v>0</v>
      </c>
      <c r="AQ476">
        <f>'Revenue drivers'!BK346</f>
        <v>0</v>
      </c>
      <c r="AR476">
        <f>'Revenue drivers'!BL346</f>
        <v>0.38200000000000001</v>
      </c>
      <c r="AS476">
        <f>'Revenue drivers'!BM346</f>
        <v>0.44085663097370947</v>
      </c>
      <c r="AT476">
        <f>'Revenue drivers'!BN346</f>
        <v>0.53404877616437951</v>
      </c>
      <c r="AU476">
        <f>'Revenue drivers'!BO346</f>
        <v>0.61128948436287533</v>
      </c>
      <c r="AV476">
        <f>'Revenue drivers'!BP346</f>
        <v>0.67115484205075093</v>
      </c>
      <c r="AW476">
        <f>'Revenue drivers'!BQ346</f>
        <v>0.66018770084202916</v>
      </c>
      <c r="AX476">
        <f>'Revenue drivers'!BR346</f>
        <v>0.73791905287738058</v>
      </c>
      <c r="AY476">
        <f>'Revenue drivers'!BS346</f>
        <v>0.80191734239520429</v>
      </c>
      <c r="AZ476">
        <f>'Revenue drivers'!BT346</f>
        <v>0.87333454796335952</v>
      </c>
    </row>
    <row r="477" spans="9:52" ht="11.25" customHeight="1">
      <c r="I477">
        <f>'Revenue drivers'!I347</f>
        <v>0</v>
      </c>
      <c r="M477">
        <f>'Revenue drivers'!M347</f>
        <v>0</v>
      </c>
      <c r="N477">
        <f>'Revenue drivers'!N347</f>
        <v>0</v>
      </c>
      <c r="O477">
        <f>'Revenue drivers'!O347</f>
        <v>0</v>
      </c>
      <c r="P477">
        <f>'Revenue drivers'!P347</f>
        <v>0</v>
      </c>
      <c r="Q477">
        <f>'Revenue drivers'!Q347</f>
        <v>0</v>
      </c>
      <c r="R477">
        <f>'Revenue drivers'!R347</f>
        <v>0</v>
      </c>
      <c r="S477">
        <f>'Revenue drivers'!S347</f>
        <v>0</v>
      </c>
      <c r="T477">
        <f>'Revenue drivers'!T347</f>
        <v>0</v>
      </c>
      <c r="U477">
        <f>'Revenue drivers'!U347</f>
        <v>0</v>
      </c>
      <c r="V477">
        <f>'Revenue drivers'!V347</f>
        <v>0</v>
      </c>
      <c r="W477">
        <f>'Revenue drivers'!W347</f>
        <v>0</v>
      </c>
      <c r="X477">
        <f>'Revenue drivers'!X347</f>
        <v>0</v>
      </c>
      <c r="Y477">
        <f>'Revenue drivers'!Y347</f>
        <v>0</v>
      </c>
      <c r="Z477">
        <f>'Revenue drivers'!Z347</f>
        <v>0</v>
      </c>
      <c r="AA477">
        <f>'Revenue drivers'!AA347</f>
        <v>0</v>
      </c>
      <c r="AB477">
        <f>'Revenue drivers'!AB347</f>
        <v>0</v>
      </c>
      <c r="AC477">
        <f>'Revenue drivers'!AC347</f>
        <v>0</v>
      </c>
      <c r="AD477">
        <f>'Revenue drivers'!AD347</f>
        <v>0</v>
      </c>
      <c r="AE477">
        <f>'Revenue drivers'!AE347</f>
        <v>0</v>
      </c>
      <c r="AF477">
        <f>'Revenue drivers'!AF347</f>
        <v>0</v>
      </c>
      <c r="AG477">
        <f>'Revenue drivers'!AG347</f>
        <v>0</v>
      </c>
      <c r="AH477">
        <f>'Revenue drivers'!AH347</f>
        <v>0</v>
      </c>
      <c r="AI477">
        <f>'Revenue drivers'!AI347</f>
        <v>0</v>
      </c>
      <c r="AJ477">
        <f>'Revenue drivers'!AJ347</f>
        <v>0</v>
      </c>
      <c r="AL477">
        <f>'Revenue drivers'!BF347</f>
        <v>0</v>
      </c>
      <c r="AM477">
        <f>'Revenue drivers'!BG347</f>
        <v>0</v>
      </c>
      <c r="AN477">
        <f>'Revenue drivers'!BH347</f>
        <v>0</v>
      </c>
      <c r="AO477">
        <f>'Revenue drivers'!BI347</f>
        <v>0</v>
      </c>
      <c r="AP477">
        <f>'Revenue drivers'!BJ347</f>
        <v>0</v>
      </c>
      <c r="AQ477">
        <f>'Revenue drivers'!BK347</f>
        <v>0</v>
      </c>
      <c r="AR477">
        <f>'Revenue drivers'!BL347</f>
        <v>0</v>
      </c>
      <c r="AS477">
        <f>'Revenue drivers'!BM347</f>
        <v>0</v>
      </c>
      <c r="AT477">
        <f>'Revenue drivers'!BN347</f>
        <v>0</v>
      </c>
      <c r="AU477">
        <f>'Revenue drivers'!BO347</f>
        <v>0</v>
      </c>
      <c r="AV477">
        <f>'Revenue drivers'!BP347</f>
        <v>0</v>
      </c>
      <c r="AW477">
        <f>'Revenue drivers'!BQ347</f>
        <v>0</v>
      </c>
      <c r="AX477">
        <f>'Revenue drivers'!BR347</f>
        <v>0</v>
      </c>
      <c r="AY477">
        <f>'Revenue drivers'!BS347</f>
        <v>0</v>
      </c>
      <c r="AZ477">
        <f>'Revenue drivers'!BT347</f>
        <v>0</v>
      </c>
    </row>
    <row r="478" spans="9:52" ht="11.25" customHeight="1">
      <c r="I478">
        <f>'Revenue drivers'!I348</f>
        <v>0</v>
      </c>
      <c r="M478">
        <f>'Revenue drivers'!M348</f>
        <v>0</v>
      </c>
      <c r="N478">
        <f>'Revenue drivers'!N348</f>
        <v>0</v>
      </c>
      <c r="O478">
        <f>'Revenue drivers'!O348</f>
        <v>0</v>
      </c>
      <c r="P478">
        <f>'Revenue drivers'!P348</f>
        <v>0</v>
      </c>
      <c r="Q478">
        <f>'Revenue drivers'!Q348</f>
        <v>0</v>
      </c>
      <c r="R478">
        <f>'Revenue drivers'!R348</f>
        <v>0</v>
      </c>
      <c r="S478">
        <f>'Revenue drivers'!S348</f>
        <v>0</v>
      </c>
      <c r="T478">
        <f>'Revenue drivers'!T348</f>
        <v>0</v>
      </c>
      <c r="U478">
        <f>'Revenue drivers'!U348</f>
        <v>0</v>
      </c>
      <c r="V478">
        <f>'Revenue drivers'!V348</f>
        <v>0</v>
      </c>
      <c r="W478">
        <f>'Revenue drivers'!W348</f>
        <v>0</v>
      </c>
      <c r="X478">
        <f>'Revenue drivers'!X348</f>
        <v>0</v>
      </c>
      <c r="Y478">
        <f>'Revenue drivers'!Y348</f>
        <v>0</v>
      </c>
      <c r="Z478">
        <f>'Revenue drivers'!Z348</f>
        <v>0</v>
      </c>
      <c r="AA478">
        <f>'Revenue drivers'!AA348</f>
        <v>0</v>
      </c>
      <c r="AB478">
        <f>'Revenue drivers'!AB348</f>
        <v>0</v>
      </c>
      <c r="AC478">
        <f>'Revenue drivers'!AC348</f>
        <v>0</v>
      </c>
      <c r="AD478">
        <f>'Revenue drivers'!AD348</f>
        <v>0</v>
      </c>
      <c r="AE478">
        <f>'Revenue drivers'!AE348</f>
        <v>0</v>
      </c>
      <c r="AF478">
        <f>'Revenue drivers'!AF348</f>
        <v>0</v>
      </c>
      <c r="AG478">
        <f>'Revenue drivers'!AG348</f>
        <v>0</v>
      </c>
      <c r="AH478">
        <f>'Revenue drivers'!AH348</f>
        <v>0</v>
      </c>
      <c r="AI478">
        <f>'Revenue drivers'!AI348</f>
        <v>0</v>
      </c>
      <c r="AJ478">
        <f>'Revenue drivers'!AJ348</f>
        <v>0</v>
      </c>
      <c r="AL478">
        <f>'Revenue drivers'!BF348</f>
        <v>0</v>
      </c>
      <c r="AM478">
        <f>'Revenue drivers'!BG348</f>
        <v>0</v>
      </c>
      <c r="AN478">
        <f>'Revenue drivers'!BH348</f>
        <v>0</v>
      </c>
      <c r="AO478">
        <f>'Revenue drivers'!BI348</f>
        <v>0</v>
      </c>
      <c r="AP478">
        <f>'Revenue drivers'!BJ348</f>
        <v>0</v>
      </c>
      <c r="AQ478">
        <f>'Revenue drivers'!BK348</f>
        <v>0</v>
      </c>
      <c r="AR478">
        <f>'Revenue drivers'!BL348</f>
        <v>0</v>
      </c>
      <c r="AS478">
        <f>'Revenue drivers'!BM348</f>
        <v>0</v>
      </c>
      <c r="AT478">
        <f>'Revenue drivers'!BN348</f>
        <v>0</v>
      </c>
      <c r="AU478">
        <f>'Revenue drivers'!BO348</f>
        <v>0</v>
      </c>
      <c r="AV478">
        <f>'Revenue drivers'!BP348</f>
        <v>0</v>
      </c>
      <c r="AW478">
        <f>'Revenue drivers'!BQ348</f>
        <v>0</v>
      </c>
      <c r="AX478">
        <f>'Revenue drivers'!BR348</f>
        <v>0</v>
      </c>
      <c r="AY478">
        <f>'Revenue drivers'!BS348</f>
        <v>0</v>
      </c>
      <c r="AZ478">
        <f>'Revenue drivers'!BT348</f>
        <v>0</v>
      </c>
    </row>
    <row r="479" spans="9:52" ht="11.25" customHeight="1">
      <c r="I479" t="str">
        <f>'Revenue drivers'!I349</f>
        <v>Mobile Web unique users</v>
      </c>
      <c r="M479">
        <f>'Revenue drivers'!M349</f>
        <v>0</v>
      </c>
      <c r="N479">
        <f>'Revenue drivers'!N349</f>
        <v>0</v>
      </c>
      <c r="O479">
        <f>'Revenue drivers'!O349</f>
        <v>0</v>
      </c>
      <c r="P479">
        <f>'Revenue drivers'!P349</f>
        <v>0</v>
      </c>
      <c r="Q479">
        <f>'Revenue drivers'!Q349</f>
        <v>3.0543800000000019</v>
      </c>
      <c r="R479">
        <f>'Revenue drivers'!R349</f>
        <v>4.0143058823529438</v>
      </c>
      <c r="S479">
        <f>'Revenue drivers'!S349</f>
        <v>6.1041112195121974</v>
      </c>
      <c r="T479">
        <f>'Revenue drivers'!T349</f>
        <v>7.4592000000000018</v>
      </c>
      <c r="U479">
        <f>'Revenue drivers'!U349</f>
        <v>9.4185599999999994</v>
      </c>
      <c r="V479">
        <f>'Revenue drivers'!V349</f>
        <v>11.598959999999998</v>
      </c>
      <c r="W479">
        <f>'Revenue drivers'!W349</f>
        <v>12.884499999999999</v>
      </c>
      <c r="X479">
        <f>'Revenue drivers'!X349</f>
        <v>23.7666</v>
      </c>
      <c r="Y479">
        <f>'Revenue drivers'!Y349</f>
        <v>30.256</v>
      </c>
      <c r="Z479">
        <f>'Revenue drivers'!Z349</f>
        <v>34.692000000000007</v>
      </c>
      <c r="AA479">
        <f>'Revenue drivers'!AA349</f>
        <v>38.728000000000009</v>
      </c>
      <c r="AB479">
        <f>'Revenue drivers'!AB349</f>
        <v>42.292000000000002</v>
      </c>
      <c r="AC479">
        <f>'Revenue drivers'!AC349</f>
        <v>50.249000000000009</v>
      </c>
      <c r="AD479">
        <f>'Revenue drivers'!AD349</f>
        <v>55.876999999999995</v>
      </c>
      <c r="AE479">
        <f>'Revenue drivers'!AE349</f>
        <v>58.95</v>
      </c>
      <c r="AF479">
        <f>'Revenue drivers'!AF349</f>
        <v>57.766000000000005</v>
      </c>
      <c r="AG479">
        <f>'Revenue drivers'!AG349</f>
        <v>62.923000000000002</v>
      </c>
      <c r="AH479">
        <f>'Revenue drivers'!AH349</f>
        <v>64.715000000000003</v>
      </c>
      <c r="AI479">
        <f>'Revenue drivers'!AI349</f>
        <v>69.117000000000004</v>
      </c>
      <c r="AJ479">
        <f>'Revenue drivers'!AJ349</f>
        <v>65.86</v>
      </c>
      <c r="AL479">
        <f>'Revenue drivers'!BF349</f>
        <v>0</v>
      </c>
      <c r="AM479">
        <f>'Revenue drivers'!BG349</f>
        <v>0</v>
      </c>
      <c r="AN479">
        <f>'Revenue drivers'!BH349</f>
        <v>0</v>
      </c>
      <c r="AO479">
        <f>'Revenue drivers'!BI349</f>
        <v>0</v>
      </c>
      <c r="AP479">
        <f>'Revenue drivers'!BJ349</f>
        <v>0</v>
      </c>
      <c r="AQ479">
        <f>'Revenue drivers'!BK349</f>
        <v>7.4592000000000018</v>
      </c>
      <c r="AR479">
        <f>'Revenue drivers'!BL349</f>
        <v>23.7666</v>
      </c>
      <c r="AS479">
        <f>'Revenue drivers'!BM349</f>
        <v>42.292000000000002</v>
      </c>
      <c r="AT479">
        <f>'Revenue drivers'!BN349</f>
        <v>57.766000000000005</v>
      </c>
      <c r="AU479">
        <f>'Revenue drivers'!BO349</f>
        <v>65.86</v>
      </c>
      <c r="AV479">
        <f>'Revenue drivers'!BP349</f>
        <v>65.350999999999999</v>
      </c>
      <c r="AW479">
        <f>'Revenue drivers'!BQ349</f>
        <v>64.221000000000004</v>
      </c>
      <c r="AX479">
        <f>'Revenue drivers'!BR349</f>
        <v>59.316699999999983</v>
      </c>
      <c r="AY479">
        <f>'Revenue drivers'!BS349</f>
        <v>57.948044999999993</v>
      </c>
      <c r="AZ479">
        <f>'Revenue drivers'!BT349</f>
        <v>56.184688249999994</v>
      </c>
    </row>
    <row r="480" spans="9:52" ht="11.25" customHeight="1">
      <c r="I480" t="str">
        <f>'Revenue drivers'!I350</f>
        <v>% change Y/Y</v>
      </c>
      <c r="M480">
        <f>'Revenue drivers'!M350</f>
        <v>0</v>
      </c>
      <c r="N480">
        <f>'Revenue drivers'!N350</f>
        <v>0</v>
      </c>
      <c r="O480">
        <f>'Revenue drivers'!O350</f>
        <v>0</v>
      </c>
      <c r="P480">
        <f>'Revenue drivers'!P350</f>
        <v>0</v>
      </c>
      <c r="Q480" t="str">
        <f>'Revenue drivers'!Q350</f>
        <v>NA</v>
      </c>
      <c r="R480" t="str">
        <f>'Revenue drivers'!R350</f>
        <v>NA</v>
      </c>
      <c r="S480" t="str">
        <f>'Revenue drivers'!S350</f>
        <v>NA</v>
      </c>
      <c r="T480" t="str">
        <f>'Revenue drivers'!T350</f>
        <v>NA</v>
      </c>
      <c r="U480">
        <f>'Revenue drivers'!U350</f>
        <v>2.0836241724998179</v>
      </c>
      <c r="V480">
        <f>'Revenue drivers'!V350</f>
        <v>1.8894061239801156</v>
      </c>
      <c r="W480">
        <f>'Revenue drivers'!W350</f>
        <v>1.1107905044085431</v>
      </c>
      <c r="X480">
        <f>'Revenue drivers'!X350</f>
        <v>2.1862129987129979</v>
      </c>
      <c r="Y480">
        <f>'Revenue drivers'!Y350</f>
        <v>2.2123806611626406</v>
      </c>
      <c r="Z480">
        <f>'Revenue drivers'!Z350</f>
        <v>1.9909578100105536</v>
      </c>
      <c r="AA480">
        <f>'Revenue drivers'!AA350</f>
        <v>2.00578214133261</v>
      </c>
      <c r="AB480">
        <f>'Revenue drivers'!AB350</f>
        <v>0.77947203217961336</v>
      </c>
      <c r="AC480">
        <f>'Revenue drivers'!AC350</f>
        <v>0.66079455314648361</v>
      </c>
      <c r="AD480">
        <f>'Revenue drivers'!AD350</f>
        <v>0.61065951804450536</v>
      </c>
      <c r="AE480">
        <f>'Revenue drivers'!AE350</f>
        <v>0.5221545135302621</v>
      </c>
      <c r="AF480">
        <f>'Revenue drivers'!AF350</f>
        <v>0.36588480090797315</v>
      </c>
      <c r="AG480">
        <f>'Revenue drivers'!AG350</f>
        <v>0.25222392485422573</v>
      </c>
      <c r="AH480">
        <f>'Revenue drivers'!AH350</f>
        <v>0.15816883511999591</v>
      </c>
      <c r="AI480">
        <f>'Revenue drivers'!AI350</f>
        <v>0.17246819338422403</v>
      </c>
      <c r="AJ480">
        <f>'Revenue drivers'!AJ350</f>
        <v>0.14011702385486258</v>
      </c>
      <c r="AL480">
        <f>'Revenue drivers'!BF350</f>
        <v>0</v>
      </c>
      <c r="AM480">
        <f>'Revenue drivers'!BG350</f>
        <v>0</v>
      </c>
      <c r="AN480">
        <f>'Revenue drivers'!BH350</f>
        <v>0</v>
      </c>
      <c r="AO480">
        <f>'Revenue drivers'!BI350</f>
        <v>0</v>
      </c>
      <c r="AP480">
        <f>'Revenue drivers'!BJ350</f>
        <v>0</v>
      </c>
      <c r="AQ480">
        <f>'Revenue drivers'!BK350</f>
        <v>0</v>
      </c>
      <c r="AR480">
        <f>'Revenue drivers'!BL350</f>
        <v>2.1862129987129979</v>
      </c>
      <c r="AS480">
        <f>'Revenue drivers'!BM350</f>
        <v>0.77947203217961336</v>
      </c>
      <c r="AT480">
        <f>'Revenue drivers'!BN350</f>
        <v>0.36588480090797315</v>
      </c>
      <c r="AU480">
        <f>'Revenue drivers'!BO350</f>
        <v>0.14011702385486258</v>
      </c>
      <c r="AV480">
        <f>'Revenue drivers'!BP350</f>
        <v>-7.7285150318858742E-3</v>
      </c>
      <c r="AW480">
        <f>'Revenue drivers'!BQ350</f>
        <v>-1.7291242674174812E-2</v>
      </c>
      <c r="AX480">
        <f>'Revenue drivers'!BR350</f>
        <v>-7.6365986203890013E-2</v>
      </c>
      <c r="AY480">
        <f>'Revenue drivers'!BS350</f>
        <v>-2.3073687511274033E-2</v>
      </c>
      <c r="AZ480">
        <f>'Revenue drivers'!BT350</f>
        <v>-3.0429961010764006E-2</v>
      </c>
    </row>
    <row r="481" spans="9:52" ht="11.25" customHeight="1">
      <c r="I481" t="str">
        <f>'Revenue drivers'!I351</f>
        <v>% change Q/Q</v>
      </c>
      <c r="M481">
        <f>'Revenue drivers'!M351</f>
        <v>0</v>
      </c>
      <c r="N481">
        <f>'Revenue drivers'!N351</f>
        <v>0</v>
      </c>
      <c r="O481">
        <f>'Revenue drivers'!O351</f>
        <v>0</v>
      </c>
      <c r="P481">
        <f>'Revenue drivers'!P351</f>
        <v>0</v>
      </c>
      <c r="Q481" t="str">
        <f>'Revenue drivers'!Q351</f>
        <v>NA</v>
      </c>
      <c r="R481">
        <f>'Revenue drivers'!R351</f>
        <v>0.31427847299711931</v>
      </c>
      <c r="S481">
        <f>'Revenue drivers'!S351</f>
        <v>0.52058946139259721</v>
      </c>
      <c r="T481">
        <f>'Revenue drivers'!T351</f>
        <v>0.22199608292787532</v>
      </c>
      <c r="U481">
        <f>'Revenue drivers'!U351</f>
        <v>0.26267696267696228</v>
      </c>
      <c r="V481">
        <f>'Revenue drivers'!V351</f>
        <v>0.23150035674243186</v>
      </c>
      <c r="W481">
        <f>'Revenue drivers'!W351</f>
        <v>0.11083235048659557</v>
      </c>
      <c r="X481">
        <f>'Revenue drivers'!X351</f>
        <v>0.84458845900112545</v>
      </c>
      <c r="Y481">
        <f>'Revenue drivers'!Y351</f>
        <v>0.27304704922033451</v>
      </c>
      <c r="Z481">
        <f>'Revenue drivers'!Z351</f>
        <v>0.14661554732945548</v>
      </c>
      <c r="AA481">
        <f>'Revenue drivers'!AA351</f>
        <v>0.11633806064798802</v>
      </c>
      <c r="AB481">
        <f>'Revenue drivers'!AB351</f>
        <v>9.20264408180127E-2</v>
      </c>
      <c r="AC481">
        <f>'Revenue drivers'!AC351</f>
        <v>0.18814432989690744</v>
      </c>
      <c r="AD481">
        <f>'Revenue drivers'!AD351</f>
        <v>0.11200222890007727</v>
      </c>
      <c r="AE481">
        <f>'Revenue drivers'!AE351</f>
        <v>5.4995794333983605E-2</v>
      </c>
      <c r="AF481">
        <f>'Revenue drivers'!AF351</f>
        <v>-2.0084817642069486E-2</v>
      </c>
      <c r="AG481">
        <f>'Revenue drivers'!AG351</f>
        <v>8.9273967385659292E-2</v>
      </c>
      <c r="AH481">
        <f>'Revenue drivers'!AH351</f>
        <v>2.8479252419624013E-2</v>
      </c>
      <c r="AI481">
        <f>'Revenue drivers'!AI351</f>
        <v>6.8021324267944161E-2</v>
      </c>
      <c r="AJ481">
        <f>'Revenue drivers'!AJ351</f>
        <v>-4.7122994342925884E-2</v>
      </c>
      <c r="AL481">
        <f>'Revenue drivers'!BF351</f>
        <v>0</v>
      </c>
      <c r="AM481">
        <f>'Revenue drivers'!BG351</f>
        <v>0</v>
      </c>
      <c r="AN481">
        <f>'Revenue drivers'!BH351</f>
        <v>0</v>
      </c>
      <c r="AO481">
        <f>'Revenue drivers'!BI351</f>
        <v>0</v>
      </c>
      <c r="AP481">
        <f>'Revenue drivers'!BJ351</f>
        <v>0</v>
      </c>
      <c r="AQ481">
        <f>'Revenue drivers'!BK351</f>
        <v>0</v>
      </c>
      <c r="AR481">
        <f>'Revenue drivers'!BL351</f>
        <v>0</v>
      </c>
      <c r="AS481">
        <f>'Revenue drivers'!BM351</f>
        <v>0</v>
      </c>
      <c r="AT481">
        <f>'Revenue drivers'!BN351</f>
        <v>0</v>
      </c>
      <c r="AU481">
        <f>'Revenue drivers'!BO351</f>
        <v>0</v>
      </c>
      <c r="AV481">
        <f>'Revenue drivers'!BP351</f>
        <v>0</v>
      </c>
      <c r="AW481">
        <f>'Revenue drivers'!BQ351</f>
        <v>0</v>
      </c>
      <c r="AX481">
        <f>'Revenue drivers'!BR351</f>
        <v>0</v>
      </c>
      <c r="AY481">
        <f>'Revenue drivers'!BS351</f>
        <v>0</v>
      </c>
      <c r="AZ481">
        <f>'Revenue drivers'!BT351</f>
        <v>0</v>
      </c>
    </row>
    <row r="482" spans="9:52" ht="11.25" customHeight="1">
      <c r="I482" t="str">
        <f>'Revenue drivers'!I352</f>
        <v>% of total unique visitors</v>
      </c>
      <c r="M482">
        <f>'Revenue drivers'!M352</f>
        <v>0</v>
      </c>
      <c r="N482">
        <f>'Revenue drivers'!N352</f>
        <v>0</v>
      </c>
      <c r="O482">
        <f>'Revenue drivers'!O352</f>
        <v>0</v>
      </c>
      <c r="P482">
        <f>'Revenue drivers'!P352</f>
        <v>0</v>
      </c>
      <c r="Q482">
        <f>'Revenue drivers'!Q352</f>
        <v>6.5240831321955739E-2</v>
      </c>
      <c r="R482">
        <f>'Revenue drivers'!R352</f>
        <v>7.7856979874960111E-2</v>
      </c>
      <c r="S482">
        <f>'Revenue drivers'!S352</f>
        <v>0.10004771552337569</v>
      </c>
      <c r="T482">
        <f>'Revenue drivers'!T352</f>
        <v>0.11336859383549154</v>
      </c>
      <c r="U482">
        <f>'Revenue drivers'!U352</f>
        <v>0.13182398387638564</v>
      </c>
      <c r="V482">
        <f>'Revenue drivers'!V352</f>
        <v>0.14808002144799498</v>
      </c>
      <c r="W482">
        <f>'Revenue drivers'!W352</f>
        <v>0.15423519835284541</v>
      </c>
      <c r="X482">
        <f>'Revenue drivers'!X352</f>
        <v>0.27539513325608345</v>
      </c>
      <c r="Y482">
        <f>'Revenue drivers'!Y352</f>
        <v>0.2964385440650566</v>
      </c>
      <c r="Z482">
        <f>'Revenue drivers'!Z352</f>
        <v>0.32104980658535237</v>
      </c>
      <c r="AA482">
        <f>'Revenue drivers'!AA352</f>
        <v>0.32974873772850738</v>
      </c>
      <c r="AB482">
        <f>'Revenue drivers'!AB352</f>
        <v>0.35241864922294908</v>
      </c>
      <c r="AC482">
        <f>'Revenue drivers'!AC352</f>
        <v>0.37935225728521821</v>
      </c>
      <c r="AD482">
        <f>'Revenue drivers'!AD352</f>
        <v>0.4056082635869368</v>
      </c>
      <c r="AE482">
        <f>'Revenue drivers'!AE352</f>
        <v>0.42282918991808804</v>
      </c>
      <c r="AF482">
        <f>'Revenue drivers'!AF352</f>
        <v>0.42665110713916427</v>
      </c>
      <c r="AG482">
        <f>'Revenue drivers'!AG352</f>
        <v>0.44167029326295393</v>
      </c>
      <c r="AH482">
        <f>'Revenue drivers'!AH352</f>
        <v>0.44975328375842666</v>
      </c>
      <c r="AI482">
        <f>'Revenue drivers'!AI352</f>
        <v>0.46694996554473106</v>
      </c>
      <c r="AJ482">
        <f>'Revenue drivers'!AJ352</f>
        <v>0.46886457317377039</v>
      </c>
      <c r="AL482">
        <f>'Revenue drivers'!BF352</f>
        <v>0</v>
      </c>
      <c r="AM482">
        <f>'Revenue drivers'!BG352</f>
        <v>0</v>
      </c>
      <c r="AN482">
        <f>'Revenue drivers'!BH352</f>
        <v>0</v>
      </c>
      <c r="AO482">
        <f>'Revenue drivers'!BI352</f>
        <v>0</v>
      </c>
      <c r="AP482">
        <f>'Revenue drivers'!BJ352</f>
        <v>0</v>
      </c>
      <c r="AQ482">
        <f>'Revenue drivers'!BK352</f>
        <v>0</v>
      </c>
      <c r="AR482">
        <f>'Revenue drivers'!BL352</f>
        <v>0.27539513325608345</v>
      </c>
      <c r="AS482">
        <f>'Revenue drivers'!BM352</f>
        <v>0.35241864922294908</v>
      </c>
      <c r="AT482">
        <f>'Revenue drivers'!BN352</f>
        <v>0.42665110713916427</v>
      </c>
      <c r="AU482">
        <f>'Revenue drivers'!BO352</f>
        <v>0.46886457317377039</v>
      </c>
      <c r="AV482">
        <f>'Revenue drivers'!BP352</f>
        <v>0.49047951425633635</v>
      </c>
      <c r="AW482">
        <f>'Revenue drivers'!BQ352</f>
        <v>0.4555682455007839</v>
      </c>
      <c r="AX482">
        <f>'Revenue drivers'!BR352</f>
        <v>0.45518042093485989</v>
      </c>
      <c r="AY482">
        <f>'Revenue drivers'!BS352</f>
        <v>0.47037260814663323</v>
      </c>
      <c r="AZ482">
        <f>'Revenue drivers'!BT352</f>
        <v>0.48567931036128903</v>
      </c>
    </row>
    <row r="483" spans="9:52" ht="11.25" customHeight="1">
      <c r="I483" t="str">
        <f>'Revenue drivers'!I353</f>
        <v>% of total MOBILE unique visitors</v>
      </c>
      <c r="M483">
        <f>'Revenue drivers'!M353</f>
        <v>0</v>
      </c>
      <c r="N483">
        <f>'Revenue drivers'!N353</f>
        <v>0</v>
      </c>
      <c r="O483">
        <f>'Revenue drivers'!O353</f>
        <v>0</v>
      </c>
      <c r="P483">
        <f>'Revenue drivers'!P353</f>
        <v>0</v>
      </c>
      <c r="Q483">
        <f>'Revenue drivers'!Q353</f>
        <v>0.46600593801396945</v>
      </c>
      <c r="R483">
        <f>'Revenue drivers'!R353</f>
        <v>0.48660612421850058</v>
      </c>
      <c r="S483">
        <f>'Revenue drivers'!S353</f>
        <v>0.55582064179653146</v>
      </c>
      <c r="T483">
        <f>'Revenue drivers'!T353</f>
        <v>0.56684296917745769</v>
      </c>
      <c r="U483">
        <f>'Revenue drivers'!U353</f>
        <v>0.59919992671084377</v>
      </c>
      <c r="V483">
        <f>'Revenue drivers'!V353</f>
        <v>0.61700008936664585</v>
      </c>
      <c r="W483">
        <f>'Revenue drivers'!W353</f>
        <v>0.61694079341138164</v>
      </c>
      <c r="X483">
        <f>'Revenue drivers'!X353</f>
        <v>0.72092966820964255</v>
      </c>
      <c r="Y483">
        <f>'Revenue drivers'!Y353</f>
        <v>0.75323640709022111</v>
      </c>
      <c r="Z483">
        <f>'Revenue drivers'!Z353</f>
        <v>0.76983845197940726</v>
      </c>
      <c r="AA483">
        <f>'Revenue drivers'!AA353</f>
        <v>0.76757506689128951</v>
      </c>
      <c r="AB483">
        <f>'Revenue drivers'!AB353</f>
        <v>0.79939514223608354</v>
      </c>
      <c r="AC483">
        <f>'Revenue drivers'!AC353</f>
        <v>0.82119627390096439</v>
      </c>
      <c r="AD483">
        <f>'Revenue drivers'!AD353</f>
        <v>0.82310049200129631</v>
      </c>
      <c r="AE483">
        <f>'Revenue drivers'!AE353</f>
        <v>0.80269607843137258</v>
      </c>
      <c r="AF483">
        <f>'Revenue drivers'!AF353</f>
        <v>0.79889913839600601</v>
      </c>
      <c r="AG483">
        <f>'Revenue drivers'!AG353</f>
        <v>0.79687697879992903</v>
      </c>
      <c r="AH483">
        <f>'Revenue drivers'!AH353</f>
        <v>0.78146886924600301</v>
      </c>
      <c r="AI483">
        <f>'Revenue drivers'!AI353</f>
        <v>0.77452430578901366</v>
      </c>
      <c r="AJ483">
        <f>'Revenue drivers'!AJ353</f>
        <v>0.7670090606293527</v>
      </c>
      <c r="AL483">
        <f>'Revenue drivers'!BF353</f>
        <v>0</v>
      </c>
      <c r="AM483">
        <f>'Revenue drivers'!BG353</f>
        <v>0</v>
      </c>
      <c r="AN483">
        <f>'Revenue drivers'!BH353</f>
        <v>0</v>
      </c>
      <c r="AO483">
        <f>'Revenue drivers'!BI353</f>
        <v>0</v>
      </c>
      <c r="AP483">
        <f>'Revenue drivers'!BJ353</f>
        <v>0</v>
      </c>
      <c r="AQ483">
        <f>'Revenue drivers'!BK353</f>
        <v>0</v>
      </c>
      <c r="AR483">
        <f>'Revenue drivers'!BL353</f>
        <v>0.72092966820964255</v>
      </c>
      <c r="AS483">
        <f>'Revenue drivers'!BM353</f>
        <v>0.79939514223608354</v>
      </c>
      <c r="AT483">
        <f>'Revenue drivers'!BN353</f>
        <v>0.79889913839600601</v>
      </c>
      <c r="AU483">
        <f>'Revenue drivers'!BO353</f>
        <v>0.7670090606293527</v>
      </c>
      <c r="AV483">
        <f>'Revenue drivers'!BP353</f>
        <v>0.73079933798532826</v>
      </c>
      <c r="AW483">
        <f>'Revenue drivers'!BQ353</f>
        <v>0.69005866804203475</v>
      </c>
      <c r="AX483">
        <f>'Revenue drivers'!BR353</f>
        <v>0.61684329623956313</v>
      </c>
      <c r="AY483">
        <f>'Revenue drivers'!BS353</f>
        <v>0.58655996482343464</v>
      </c>
      <c r="AZ483">
        <f>'Revenue drivers'!BT353</f>
        <v>0.55612057429069617</v>
      </c>
    </row>
    <row r="484" spans="9:52" ht="11.25" customHeight="1">
      <c r="I484" t="str">
        <f>'Revenue drivers'!I354</f>
        <v>Y/Y Abs Growth</v>
      </c>
      <c r="M484">
        <f>'Revenue drivers'!M354</f>
        <v>0</v>
      </c>
      <c r="N484">
        <f>'Revenue drivers'!N354</f>
        <v>0</v>
      </c>
      <c r="O484">
        <f>'Revenue drivers'!O354</f>
        <v>0</v>
      </c>
      <c r="P484">
        <f>'Revenue drivers'!P354</f>
        <v>0</v>
      </c>
      <c r="Q484">
        <f>'Revenue drivers'!Q354</f>
        <v>0</v>
      </c>
      <c r="R484">
        <f>'Revenue drivers'!R354</f>
        <v>0</v>
      </c>
      <c r="S484">
        <f>'Revenue drivers'!S354</f>
        <v>0</v>
      </c>
      <c r="T484">
        <f>'Revenue drivers'!T354</f>
        <v>0</v>
      </c>
      <c r="U484">
        <f>'Revenue drivers'!U354</f>
        <v>0</v>
      </c>
      <c r="V484">
        <f>'Revenue drivers'!V354</f>
        <v>0</v>
      </c>
      <c r="W484">
        <f>'Revenue drivers'!W354</f>
        <v>0</v>
      </c>
      <c r="X484">
        <f>'Revenue drivers'!X354</f>
        <v>0</v>
      </c>
      <c r="Y484">
        <f>'Revenue drivers'!Y354</f>
        <v>20.837440000000001</v>
      </c>
      <c r="Z484">
        <f>'Revenue drivers'!Z354</f>
        <v>23.093040000000009</v>
      </c>
      <c r="AA484">
        <f>'Revenue drivers'!AA354</f>
        <v>25.843500000000009</v>
      </c>
      <c r="AB484">
        <f>'Revenue drivers'!AB354</f>
        <v>18.525400000000001</v>
      </c>
      <c r="AC484">
        <f>'Revenue drivers'!AC354</f>
        <v>19.993000000000009</v>
      </c>
      <c r="AD484">
        <f>'Revenue drivers'!AD354</f>
        <v>21.184999999999988</v>
      </c>
      <c r="AE484">
        <f>'Revenue drivers'!AE354</f>
        <v>20.221999999999994</v>
      </c>
      <c r="AF484">
        <f>'Revenue drivers'!AF354</f>
        <v>15.474000000000004</v>
      </c>
      <c r="AG484">
        <f>'Revenue drivers'!AG354</f>
        <v>12.673999999999992</v>
      </c>
      <c r="AH484">
        <f>'Revenue drivers'!AH354</f>
        <v>8.8380000000000081</v>
      </c>
      <c r="AI484">
        <f>'Revenue drivers'!AI354</f>
        <v>10.167000000000002</v>
      </c>
      <c r="AJ484">
        <f>'Revenue drivers'!AJ354</f>
        <v>8.0939999999999941</v>
      </c>
      <c r="AL484">
        <f>'Revenue drivers'!BF354</f>
        <v>0</v>
      </c>
      <c r="AM484">
        <f>'Revenue drivers'!BG354</f>
        <v>0</v>
      </c>
      <c r="AN484">
        <f>'Revenue drivers'!BH354</f>
        <v>0</v>
      </c>
      <c r="AO484">
        <f>'Revenue drivers'!BI354</f>
        <v>0</v>
      </c>
      <c r="AP484">
        <f>'Revenue drivers'!BJ354</f>
        <v>0</v>
      </c>
      <c r="AQ484">
        <f>'Revenue drivers'!BK354</f>
        <v>0</v>
      </c>
      <c r="AR484">
        <f>'Revenue drivers'!BL354</f>
        <v>0</v>
      </c>
      <c r="AS484">
        <f>'Revenue drivers'!BM354</f>
        <v>18.525400000000001</v>
      </c>
      <c r="AT484">
        <f>'Revenue drivers'!BN354</f>
        <v>15.474000000000004</v>
      </c>
      <c r="AU484">
        <f>'Revenue drivers'!BO354</f>
        <v>8.0939999999999941</v>
      </c>
      <c r="AV484">
        <f>'Revenue drivers'!BP354</f>
        <v>-0.50900000000000034</v>
      </c>
      <c r="AW484">
        <f>'Revenue drivers'!BQ354</f>
        <v>-1.1299999999999955</v>
      </c>
      <c r="AX484">
        <f>'Revenue drivers'!BR354</f>
        <v>-4.9043000000000205</v>
      </c>
      <c r="AY484">
        <f>'Revenue drivers'!BS354</f>
        <v>-1.3686549999999897</v>
      </c>
      <c r="AZ484">
        <f>'Revenue drivers'!BT354</f>
        <v>-1.7633567499999998</v>
      </c>
    </row>
    <row r="485" spans="9:52" ht="11.25" customHeight="1">
      <c r="I485" t="str">
        <f>'Revenue drivers'!I355</f>
        <v>Q/Q Abs Growth</v>
      </c>
      <c r="M485">
        <f>'Revenue drivers'!M355</f>
        <v>0</v>
      </c>
      <c r="N485">
        <f>'Revenue drivers'!N355</f>
        <v>0</v>
      </c>
      <c r="O485">
        <f>'Revenue drivers'!O355</f>
        <v>0</v>
      </c>
      <c r="P485">
        <f>'Revenue drivers'!P355</f>
        <v>0</v>
      </c>
      <c r="Q485">
        <f>'Revenue drivers'!Q355</f>
        <v>0</v>
      </c>
      <c r="R485">
        <f>'Revenue drivers'!R355</f>
        <v>0</v>
      </c>
      <c r="S485">
        <f>'Revenue drivers'!S355</f>
        <v>0</v>
      </c>
      <c r="T485">
        <f>'Revenue drivers'!T355</f>
        <v>0</v>
      </c>
      <c r="U485">
        <f>'Revenue drivers'!U355</f>
        <v>0</v>
      </c>
      <c r="V485">
        <f>'Revenue drivers'!V355</f>
        <v>2.1803999999999988</v>
      </c>
      <c r="W485">
        <f>'Revenue drivers'!W355</f>
        <v>1.285540000000001</v>
      </c>
      <c r="X485">
        <f>'Revenue drivers'!X355</f>
        <v>10.882100000000001</v>
      </c>
      <c r="Y485">
        <f>'Revenue drivers'!Y355</f>
        <v>6.4893999999999998</v>
      </c>
      <c r="Z485">
        <f>'Revenue drivers'!Z355</f>
        <v>4.436000000000007</v>
      </c>
      <c r="AA485">
        <f>'Revenue drivers'!AA355</f>
        <v>4.0360000000000014</v>
      </c>
      <c r="AB485">
        <f>'Revenue drivers'!AB355</f>
        <v>3.563999999999993</v>
      </c>
      <c r="AC485">
        <f>'Revenue drivers'!AC355</f>
        <v>7.9570000000000078</v>
      </c>
      <c r="AD485">
        <f>'Revenue drivers'!AD355</f>
        <v>5.6279999999999859</v>
      </c>
      <c r="AE485">
        <f>'Revenue drivers'!AE355</f>
        <v>3.0730000000000075</v>
      </c>
      <c r="AF485">
        <f>'Revenue drivers'!AF355</f>
        <v>-1.1839999999999975</v>
      </c>
      <c r="AG485">
        <f>'Revenue drivers'!AG355</f>
        <v>5.1569999999999965</v>
      </c>
      <c r="AH485">
        <f>'Revenue drivers'!AH355</f>
        <v>1.7920000000000016</v>
      </c>
      <c r="AI485">
        <f>'Revenue drivers'!AI355</f>
        <v>4.402000000000001</v>
      </c>
      <c r="AJ485">
        <f>'Revenue drivers'!AJ355</f>
        <v>-3.257000000000005</v>
      </c>
      <c r="AL485">
        <f>'Revenue drivers'!BF355</f>
        <v>0</v>
      </c>
      <c r="AM485">
        <f>'Revenue drivers'!BG355</f>
        <v>0</v>
      </c>
      <c r="AN485">
        <f>'Revenue drivers'!BH355</f>
        <v>0</v>
      </c>
      <c r="AO485">
        <f>'Revenue drivers'!BI355</f>
        <v>0</v>
      </c>
      <c r="AP485">
        <f>'Revenue drivers'!BJ355</f>
        <v>0</v>
      </c>
      <c r="AQ485">
        <f>'Revenue drivers'!BK355</f>
        <v>0</v>
      </c>
      <c r="AR485">
        <f>'Revenue drivers'!BL355</f>
        <v>0</v>
      </c>
      <c r="AS485">
        <f>'Revenue drivers'!BM355</f>
        <v>0</v>
      </c>
      <c r="AT485">
        <f>'Revenue drivers'!BN355</f>
        <v>0</v>
      </c>
      <c r="AU485">
        <f>'Revenue drivers'!BO355</f>
        <v>0</v>
      </c>
      <c r="AV485">
        <f>'Revenue drivers'!BP355</f>
        <v>0</v>
      </c>
      <c r="AW485">
        <f>'Revenue drivers'!BQ355</f>
        <v>0</v>
      </c>
      <c r="AX485">
        <f>'Revenue drivers'!BR355</f>
        <v>0</v>
      </c>
      <c r="AY485">
        <f>'Revenue drivers'!BS355</f>
        <v>0</v>
      </c>
      <c r="AZ485">
        <f>'Revenue drivers'!BT355</f>
        <v>0</v>
      </c>
    </row>
    <row r="486" spans="9:52" ht="11.25" customHeight="1">
      <c r="I486">
        <f>'Revenue drivers'!I356</f>
        <v>0</v>
      </c>
      <c r="M486">
        <f>'Revenue drivers'!M356</f>
        <v>0</v>
      </c>
      <c r="N486">
        <f>'Revenue drivers'!N356</f>
        <v>0</v>
      </c>
      <c r="O486">
        <f>'Revenue drivers'!O356</f>
        <v>0</v>
      </c>
      <c r="P486">
        <f>'Revenue drivers'!P356</f>
        <v>0</v>
      </c>
      <c r="Q486">
        <f>'Revenue drivers'!Q356</f>
        <v>0</v>
      </c>
      <c r="R486">
        <f>'Revenue drivers'!R356</f>
        <v>0</v>
      </c>
      <c r="S486">
        <f>'Revenue drivers'!S356</f>
        <v>0</v>
      </c>
      <c r="T486">
        <f>'Revenue drivers'!T356</f>
        <v>0</v>
      </c>
      <c r="U486">
        <f>'Revenue drivers'!U356</f>
        <v>0</v>
      </c>
      <c r="V486">
        <f>'Revenue drivers'!V356</f>
        <v>0</v>
      </c>
      <c r="W486">
        <f>'Revenue drivers'!W356</f>
        <v>0</v>
      </c>
      <c r="X486">
        <f>'Revenue drivers'!X356</f>
        <v>0</v>
      </c>
      <c r="Y486">
        <f>'Revenue drivers'!Y356</f>
        <v>0</v>
      </c>
      <c r="Z486">
        <f>'Revenue drivers'!Z356</f>
        <v>0</v>
      </c>
      <c r="AA486">
        <f>'Revenue drivers'!AA356</f>
        <v>0</v>
      </c>
      <c r="AB486">
        <f>'Revenue drivers'!AB356</f>
        <v>0</v>
      </c>
      <c r="AC486">
        <f>'Revenue drivers'!AC356</f>
        <v>0</v>
      </c>
      <c r="AD486">
        <f>'Revenue drivers'!AD356</f>
        <v>0</v>
      </c>
      <c r="AE486">
        <f>'Revenue drivers'!AE356</f>
        <v>0</v>
      </c>
      <c r="AF486">
        <f>'Revenue drivers'!AF356</f>
        <v>0</v>
      </c>
      <c r="AG486">
        <f>'Revenue drivers'!AG356</f>
        <v>0</v>
      </c>
      <c r="AH486">
        <f>'Revenue drivers'!AH356</f>
        <v>0</v>
      </c>
      <c r="AI486">
        <f>'Revenue drivers'!AI356</f>
        <v>0</v>
      </c>
      <c r="AJ486">
        <f>'Revenue drivers'!AJ356</f>
        <v>0</v>
      </c>
      <c r="AL486">
        <f>'Revenue drivers'!BF356</f>
        <v>0</v>
      </c>
      <c r="AM486">
        <f>'Revenue drivers'!BG356</f>
        <v>0</v>
      </c>
      <c r="AN486">
        <f>'Revenue drivers'!BH356</f>
        <v>0</v>
      </c>
      <c r="AO486">
        <f>'Revenue drivers'!BI356</f>
        <v>0</v>
      </c>
      <c r="AP486">
        <f>'Revenue drivers'!BJ356</f>
        <v>0</v>
      </c>
      <c r="AQ486">
        <f>'Revenue drivers'!BK356</f>
        <v>0</v>
      </c>
      <c r="AR486">
        <f>'Revenue drivers'!BL356</f>
        <v>0</v>
      </c>
      <c r="AS486">
        <f>'Revenue drivers'!BM356</f>
        <v>0</v>
      </c>
      <c r="AT486">
        <f>'Revenue drivers'!BN356</f>
        <v>0</v>
      </c>
      <c r="AU486">
        <f>'Revenue drivers'!BO356</f>
        <v>0</v>
      </c>
      <c r="AV486">
        <f>'Revenue drivers'!BP356</f>
        <v>0</v>
      </c>
      <c r="AW486">
        <f>'Revenue drivers'!BQ356</f>
        <v>0</v>
      </c>
      <c r="AX486">
        <f>'Revenue drivers'!BR356</f>
        <v>0</v>
      </c>
      <c r="AY486">
        <f>'Revenue drivers'!BS356</f>
        <v>0</v>
      </c>
      <c r="AZ486">
        <f>'Revenue drivers'!BT356</f>
        <v>0</v>
      </c>
    </row>
    <row r="487" spans="9:52" ht="11.25" customHeight="1">
      <c r="I487" t="str">
        <f>'Revenue drivers'!I357</f>
        <v>Mobile App unique devices</v>
      </c>
      <c r="M487">
        <f>'Revenue drivers'!M357</f>
        <v>0</v>
      </c>
      <c r="N487">
        <f>'Revenue drivers'!N357</f>
        <v>0</v>
      </c>
      <c r="O487">
        <f>'Revenue drivers'!O357</f>
        <v>0</v>
      </c>
      <c r="P487">
        <f>'Revenue drivers'!P357</f>
        <v>0</v>
      </c>
      <c r="Q487">
        <f>'Revenue drivers'!Q357</f>
        <v>3.5</v>
      </c>
      <c r="R487">
        <f>'Revenue drivers'!R357</f>
        <v>4.2352941176470589</v>
      </c>
      <c r="S487">
        <f>'Revenue drivers'!S357</f>
        <v>4.8780487804878048</v>
      </c>
      <c r="T487">
        <f>'Revenue drivers'!T357</f>
        <v>5.7</v>
      </c>
      <c r="U487">
        <f>'Revenue drivers'!U357</f>
        <v>6.3</v>
      </c>
      <c r="V487">
        <f>'Revenue drivers'!V357</f>
        <v>7.2</v>
      </c>
      <c r="W487">
        <f>'Revenue drivers'!W357</f>
        <v>8</v>
      </c>
      <c r="X487">
        <f>'Revenue drivers'!X357</f>
        <v>9.1999999999999993</v>
      </c>
      <c r="Y487">
        <f>'Revenue drivers'!Y357</f>
        <v>9.9120000000000008</v>
      </c>
      <c r="Z487">
        <f>'Revenue drivers'!Z357</f>
        <v>10.372</v>
      </c>
      <c r="AA487">
        <f>'Revenue drivers'!AA357</f>
        <v>11.186999999999999</v>
      </c>
      <c r="AB487">
        <f>'Revenue drivers'!AB357</f>
        <v>10.614000000000001</v>
      </c>
      <c r="AC487">
        <f>'Revenue drivers'!AC357</f>
        <v>10.941000000000001</v>
      </c>
      <c r="AD487">
        <f>'Revenue drivers'!AD357</f>
        <v>12.009</v>
      </c>
      <c r="AE487">
        <f>'Revenue drivers'!AE357</f>
        <v>14.491</v>
      </c>
      <c r="AF487">
        <f>'Revenue drivers'!AF357</f>
        <v>14.541</v>
      </c>
      <c r="AG487">
        <f>'Revenue drivers'!AG357</f>
        <v>16.039000000000001</v>
      </c>
      <c r="AH487">
        <f>'Revenue drivers'!AH357</f>
        <v>18.097000000000001</v>
      </c>
      <c r="AI487">
        <f>'Revenue drivers'!AI357</f>
        <v>20.120999999999999</v>
      </c>
      <c r="AJ487">
        <f>'Revenue drivers'!AJ357</f>
        <v>20.006</v>
      </c>
      <c r="AL487">
        <f>'Revenue drivers'!BF357</f>
        <v>0</v>
      </c>
      <c r="AM487">
        <f>'Revenue drivers'!BG357</f>
        <v>0</v>
      </c>
      <c r="AN487">
        <f>'Revenue drivers'!BH357</f>
        <v>0</v>
      </c>
      <c r="AO487">
        <f>'Revenue drivers'!BI357</f>
        <v>0</v>
      </c>
      <c r="AP487">
        <f>'Revenue drivers'!BJ357</f>
        <v>0</v>
      </c>
      <c r="AQ487">
        <f>'Revenue drivers'!BK357</f>
        <v>5.7</v>
      </c>
      <c r="AR487">
        <f>'Revenue drivers'!BL357</f>
        <v>9.1999999999999993</v>
      </c>
      <c r="AS487">
        <f>'Revenue drivers'!BM357</f>
        <v>10.614000000000001</v>
      </c>
      <c r="AT487">
        <f>'Revenue drivers'!BN357</f>
        <v>14.541</v>
      </c>
      <c r="AU487">
        <f>'Revenue drivers'!BO357</f>
        <v>20.006</v>
      </c>
      <c r="AV487">
        <f>'Revenue drivers'!BP357</f>
        <v>24.073</v>
      </c>
      <c r="AW487">
        <f>'Revenue drivers'!BQ357</f>
        <v>28.844999999999999</v>
      </c>
      <c r="AX487">
        <f>'Revenue drivers'!BR357</f>
        <v>36.844999999999999</v>
      </c>
      <c r="AY487">
        <f>'Revenue drivers'!BS357</f>
        <v>40.844999999999999</v>
      </c>
      <c r="AZ487">
        <f>'Revenue drivers'!BT357</f>
        <v>44.844999999999999</v>
      </c>
    </row>
    <row r="488" spans="9:52" ht="11.25" customHeight="1">
      <c r="I488" t="str">
        <f>'Revenue drivers'!I358</f>
        <v>Q/Q Abs Growth (DRIVER)</v>
      </c>
      <c r="M488">
        <f>'Revenue drivers'!M358</f>
        <v>0</v>
      </c>
      <c r="N488">
        <f>'Revenue drivers'!N358</f>
        <v>0</v>
      </c>
      <c r="O488">
        <f>'Revenue drivers'!O358</f>
        <v>0</v>
      </c>
      <c r="P488">
        <f>'Revenue drivers'!P358</f>
        <v>0</v>
      </c>
      <c r="Q488">
        <f>'Revenue drivers'!Q358</f>
        <v>0</v>
      </c>
      <c r="R488">
        <f>'Revenue drivers'!R358</f>
        <v>0.73529411764705888</v>
      </c>
      <c r="S488">
        <f>'Revenue drivers'!S358</f>
        <v>0.64275466284074589</v>
      </c>
      <c r="T488">
        <f>'Revenue drivers'!T358</f>
        <v>0.82195121951219541</v>
      </c>
      <c r="U488">
        <f>'Revenue drivers'!U358</f>
        <v>0.59999999999999964</v>
      </c>
      <c r="V488">
        <f>'Revenue drivers'!V358</f>
        <v>0.90000000000000036</v>
      </c>
      <c r="W488">
        <f>'Revenue drivers'!W358</f>
        <v>0.79999999999999982</v>
      </c>
      <c r="X488">
        <f>'Revenue drivers'!X358</f>
        <v>1.1999999999999993</v>
      </c>
      <c r="Y488">
        <f>'Revenue drivers'!Y358</f>
        <v>0.71200000000000152</v>
      </c>
      <c r="Z488">
        <f>'Revenue drivers'!Z358</f>
        <v>0.45999999999999908</v>
      </c>
      <c r="AA488">
        <f>'Revenue drivers'!AA358</f>
        <v>0.8149999999999995</v>
      </c>
      <c r="AB488">
        <f>'Revenue drivers'!AB358</f>
        <v>-0.57299999999999862</v>
      </c>
      <c r="AC488">
        <f>'Revenue drivers'!AC358</f>
        <v>0.32699999999999996</v>
      </c>
      <c r="AD488">
        <f>'Revenue drivers'!AD358</f>
        <v>1.0679999999999996</v>
      </c>
      <c r="AE488">
        <f>'Revenue drivers'!AE358</f>
        <v>2.4819999999999993</v>
      </c>
      <c r="AF488">
        <f>'Revenue drivers'!AF358</f>
        <v>5.0000000000000711E-2</v>
      </c>
      <c r="AG488">
        <f>'Revenue drivers'!AG358</f>
        <v>1.4980000000000011</v>
      </c>
      <c r="AH488">
        <f>'Revenue drivers'!AH358</f>
        <v>2.0579999999999998</v>
      </c>
      <c r="AI488">
        <f>'Revenue drivers'!AI358</f>
        <v>2.0239999999999974</v>
      </c>
      <c r="AJ488">
        <f>'Revenue drivers'!AJ358</f>
        <v>-0.11499999999999844</v>
      </c>
      <c r="AL488">
        <f>'Revenue drivers'!BF358</f>
        <v>0</v>
      </c>
      <c r="AM488">
        <f>'Revenue drivers'!BG358</f>
        <v>0</v>
      </c>
      <c r="AN488">
        <f>'Revenue drivers'!BH358</f>
        <v>0</v>
      </c>
      <c r="AO488">
        <f>'Revenue drivers'!BI358</f>
        <v>0</v>
      </c>
      <c r="AP488">
        <f>'Revenue drivers'!BJ358</f>
        <v>0</v>
      </c>
      <c r="AQ488">
        <f>'Revenue drivers'!BK358</f>
        <v>0</v>
      </c>
      <c r="AR488">
        <f>'Revenue drivers'!BL358</f>
        <v>0</v>
      </c>
      <c r="AS488">
        <f>'Revenue drivers'!BM358</f>
        <v>0.15369565217391323</v>
      </c>
      <c r="AT488">
        <f>'Revenue drivers'!BN358</f>
        <v>0.36998304126625214</v>
      </c>
      <c r="AU488">
        <f>'Revenue drivers'!BO358</f>
        <v>0</v>
      </c>
      <c r="AV488">
        <f>'Revenue drivers'!BP358</f>
        <v>0</v>
      </c>
      <c r="AW488">
        <f>'Revenue drivers'!BQ358</f>
        <v>0</v>
      </c>
      <c r="AX488">
        <f>'Revenue drivers'!BR358</f>
        <v>0</v>
      </c>
      <c r="AY488">
        <f>'Revenue drivers'!BS358</f>
        <v>0</v>
      </c>
      <c r="AZ488">
        <f>'Revenue drivers'!BT358</f>
        <v>0</v>
      </c>
    </row>
    <row r="489" spans="9:52" ht="11.25" customHeight="1">
      <c r="I489" t="str">
        <f>'Revenue drivers'!I359</f>
        <v>Y/Y Abs Growth</v>
      </c>
      <c r="M489">
        <f>'Revenue drivers'!M359</f>
        <v>0</v>
      </c>
      <c r="N489">
        <f>'Revenue drivers'!N359</f>
        <v>0</v>
      </c>
      <c r="O489">
        <f>'Revenue drivers'!O359</f>
        <v>0</v>
      </c>
      <c r="P489">
        <f>'Revenue drivers'!P359</f>
        <v>0</v>
      </c>
      <c r="Q489">
        <f>'Revenue drivers'!Q359</f>
        <v>0</v>
      </c>
      <c r="R489">
        <f>'Revenue drivers'!R359</f>
        <v>0</v>
      </c>
      <c r="S489">
        <f>'Revenue drivers'!S359</f>
        <v>0</v>
      </c>
      <c r="T489">
        <f>'Revenue drivers'!T359</f>
        <v>0</v>
      </c>
      <c r="U489">
        <f>'Revenue drivers'!U359</f>
        <v>0</v>
      </c>
      <c r="V489">
        <f>'Revenue drivers'!V359</f>
        <v>0</v>
      </c>
      <c r="W489">
        <f>'Revenue drivers'!W359</f>
        <v>-0.10000000000000053</v>
      </c>
      <c r="X489">
        <f>'Revenue drivers'!X359</f>
        <v>0</v>
      </c>
      <c r="Y489">
        <f>'Revenue drivers'!Y359</f>
        <v>0</v>
      </c>
      <c r="Z489">
        <f>'Revenue drivers'!Z359</f>
        <v>0</v>
      </c>
      <c r="AA489">
        <f>'Revenue drivers'!AA359</f>
        <v>0.35500000000000043</v>
      </c>
      <c r="AB489">
        <f>'Revenue drivers'!AB359</f>
        <v>-1.3879999999999981</v>
      </c>
      <c r="AC489">
        <f>'Revenue drivers'!AC359</f>
        <v>0.89999999999999858</v>
      </c>
      <c r="AD489">
        <f>'Revenue drivers'!AD359</f>
        <v>0.74099999999999966</v>
      </c>
      <c r="AE489">
        <f>'Revenue drivers'!AE359</f>
        <v>1.4139999999999997</v>
      </c>
      <c r="AF489">
        <f>'Revenue drivers'!AF359</f>
        <v>-2.4319999999999986</v>
      </c>
      <c r="AG489">
        <f>'Revenue drivers'!AG359</f>
        <v>1.4480000000000004</v>
      </c>
      <c r="AH489">
        <f>'Revenue drivers'!AH359</f>
        <v>0.55999999999999872</v>
      </c>
      <c r="AI489">
        <f>'Revenue drivers'!AI359</f>
        <v>-3.4000000000002473E-2</v>
      </c>
      <c r="AJ489">
        <f>'Revenue drivers'!AJ359</f>
        <v>-2.1389999999999958</v>
      </c>
      <c r="AL489">
        <f>'Revenue drivers'!BF359</f>
        <v>0</v>
      </c>
      <c r="AM489">
        <f>'Revenue drivers'!BG359</f>
        <v>0</v>
      </c>
      <c r="AN489">
        <f>'Revenue drivers'!BH359</f>
        <v>0</v>
      </c>
      <c r="AO489">
        <f>'Revenue drivers'!BI359</f>
        <v>0</v>
      </c>
      <c r="AP489">
        <f>'Revenue drivers'!BJ359</f>
        <v>0</v>
      </c>
      <c r="AQ489">
        <f>'Revenue drivers'!BK359</f>
        <v>0</v>
      </c>
      <c r="AR489">
        <f>'Revenue drivers'!BL359</f>
        <v>3.4999999999999991</v>
      </c>
      <c r="AS489">
        <f>'Revenue drivers'!BM359</f>
        <v>1.4140000000000015</v>
      </c>
      <c r="AT489">
        <f>'Revenue drivers'!BN359</f>
        <v>3.9269999999999996</v>
      </c>
      <c r="AU489">
        <f>'Revenue drivers'!BO359</f>
        <v>5.4649999999999999</v>
      </c>
      <c r="AV489">
        <f>'Revenue drivers'!BP359</f>
        <v>4.0670000000000002</v>
      </c>
      <c r="AW489">
        <f>'Revenue drivers'!BQ359</f>
        <v>4.7719999999999985</v>
      </c>
      <c r="AX489">
        <f>'Revenue drivers'!BR359</f>
        <v>8</v>
      </c>
      <c r="AY489">
        <f>'Revenue drivers'!BS359</f>
        <v>4</v>
      </c>
      <c r="AZ489">
        <f>'Revenue drivers'!BT359</f>
        <v>4</v>
      </c>
    </row>
    <row r="490" spans="9:52" ht="11.25" customHeight="1">
      <c r="I490" t="str">
        <f>'Revenue drivers'!I360</f>
        <v>% change Y/Y</v>
      </c>
      <c r="M490">
        <f>'Revenue drivers'!M360</f>
        <v>0</v>
      </c>
      <c r="N490">
        <f>'Revenue drivers'!N360</f>
        <v>0</v>
      </c>
      <c r="O490">
        <f>'Revenue drivers'!O360</f>
        <v>0</v>
      </c>
      <c r="P490">
        <f>'Revenue drivers'!P360</f>
        <v>0</v>
      </c>
      <c r="Q490" t="str">
        <f>'Revenue drivers'!Q360</f>
        <v>NA</v>
      </c>
      <c r="R490" t="str">
        <f>'Revenue drivers'!R360</f>
        <v>NA</v>
      </c>
      <c r="S490" t="str">
        <f>'Revenue drivers'!S360</f>
        <v>NA</v>
      </c>
      <c r="T490" t="str">
        <f>'Revenue drivers'!T360</f>
        <v>NA</v>
      </c>
      <c r="U490">
        <f>'Revenue drivers'!U360</f>
        <v>0.8</v>
      </c>
      <c r="V490">
        <f>'Revenue drivers'!V360</f>
        <v>0.7</v>
      </c>
      <c r="W490">
        <f>'Revenue drivers'!W360</f>
        <v>0.64000000000000012</v>
      </c>
      <c r="X490">
        <f>'Revenue drivers'!X360</f>
        <v>0.61403508771929816</v>
      </c>
      <c r="Y490">
        <f>'Revenue drivers'!Y360</f>
        <v>0.57333333333333347</v>
      </c>
      <c r="Z490">
        <f>'Revenue drivers'!Z360</f>
        <v>0.44055555555555559</v>
      </c>
      <c r="AA490">
        <f>'Revenue drivers'!AA360</f>
        <v>0.39837499999999992</v>
      </c>
      <c r="AB490">
        <f>'Revenue drivers'!AB360</f>
        <v>0.15369565217391323</v>
      </c>
      <c r="AC490">
        <f>'Revenue drivers'!AC360</f>
        <v>0.10381355932203395</v>
      </c>
      <c r="AD490">
        <f>'Revenue drivers'!AD360</f>
        <v>0.15782876976475135</v>
      </c>
      <c r="AE490">
        <f>'Revenue drivers'!AE360</f>
        <v>0.29534280861714501</v>
      </c>
      <c r="AF490">
        <f>'Revenue drivers'!AF360</f>
        <v>0.36998304126625214</v>
      </c>
      <c r="AG490">
        <f>'Revenue drivers'!AG360</f>
        <v>0.46595375194223565</v>
      </c>
      <c r="AH490">
        <f>'Revenue drivers'!AH360</f>
        <v>0.50695311849446245</v>
      </c>
      <c r="AI490">
        <f>'Revenue drivers'!AI360</f>
        <v>0.38851701055827759</v>
      </c>
      <c r="AJ490">
        <f>'Revenue drivers'!AJ360</f>
        <v>0.37583384911629181</v>
      </c>
      <c r="AL490">
        <f>'Revenue drivers'!BF360</f>
        <v>0</v>
      </c>
      <c r="AM490">
        <f>'Revenue drivers'!BG360</f>
        <v>0</v>
      </c>
      <c r="AN490">
        <f>'Revenue drivers'!BH360</f>
        <v>0</v>
      </c>
      <c r="AO490">
        <f>'Revenue drivers'!BI360</f>
        <v>0</v>
      </c>
      <c r="AP490">
        <f>'Revenue drivers'!BJ360</f>
        <v>0</v>
      </c>
      <c r="AQ490" t="str">
        <f>'Revenue drivers'!BK360</f>
        <v>NA</v>
      </c>
      <c r="AR490">
        <f>'Revenue drivers'!BL360</f>
        <v>0.61403508771929816</v>
      </c>
      <c r="AS490">
        <f>'Revenue drivers'!BM360</f>
        <v>0.15369565217391323</v>
      </c>
      <c r="AT490">
        <f>'Revenue drivers'!BN360</f>
        <v>0.36998304126625214</v>
      </c>
      <c r="AU490">
        <f>'Revenue drivers'!BO360</f>
        <v>0.37583384911629181</v>
      </c>
      <c r="AV490">
        <f>'Revenue drivers'!BP360</f>
        <v>0.20328901329601123</v>
      </c>
      <c r="AW490">
        <f>'Revenue drivers'!BQ360</f>
        <v>0.19823038258629988</v>
      </c>
      <c r="AX490">
        <f>'Revenue drivers'!BR360</f>
        <v>0.27734442711041773</v>
      </c>
      <c r="AY490">
        <f>'Revenue drivers'!BS360</f>
        <v>0.10856289862939339</v>
      </c>
      <c r="AZ490">
        <f>'Revenue drivers'!BT360</f>
        <v>9.7931203329660876E-2</v>
      </c>
    </row>
    <row r="491" spans="9:52" ht="11.25" customHeight="1">
      <c r="I491" t="str">
        <f>'Revenue drivers'!I361</f>
        <v>% change Q/Q</v>
      </c>
      <c r="M491">
        <f>'Revenue drivers'!M361</f>
        <v>0</v>
      </c>
      <c r="N491">
        <f>'Revenue drivers'!N361</f>
        <v>0</v>
      </c>
      <c r="O491">
        <f>'Revenue drivers'!O361</f>
        <v>0</v>
      </c>
      <c r="P491">
        <f>'Revenue drivers'!P361</f>
        <v>0</v>
      </c>
      <c r="Q491" t="str">
        <f>'Revenue drivers'!Q361</f>
        <v>NA</v>
      </c>
      <c r="R491">
        <f>'Revenue drivers'!R361</f>
        <v>0.2100840336134453</v>
      </c>
      <c r="S491">
        <f>'Revenue drivers'!S361</f>
        <v>0.15176151761517609</v>
      </c>
      <c r="T491">
        <f>'Revenue drivers'!T361</f>
        <v>0.16850000000000009</v>
      </c>
      <c r="U491">
        <f>'Revenue drivers'!U361</f>
        <v>0.10526315789473673</v>
      </c>
      <c r="V491">
        <f>'Revenue drivers'!V361</f>
        <v>0.14285714285714302</v>
      </c>
      <c r="W491">
        <f>'Revenue drivers'!W361</f>
        <v>0.11111111111111116</v>
      </c>
      <c r="X491">
        <f>'Revenue drivers'!X361</f>
        <v>0.14999999999999991</v>
      </c>
      <c r="Y491">
        <f>'Revenue drivers'!Y361</f>
        <v>7.7391304347826262E-2</v>
      </c>
      <c r="Z491">
        <f>'Revenue drivers'!Z361</f>
        <v>4.6408393866020914E-2</v>
      </c>
      <c r="AA491">
        <f>'Revenue drivers'!AA361</f>
        <v>7.857693790975695E-2</v>
      </c>
      <c r="AB491">
        <f>'Revenue drivers'!AB361</f>
        <v>-5.1220166264413947E-2</v>
      </c>
      <c r="AC491">
        <f>'Revenue drivers'!AC361</f>
        <v>3.0808366308648916E-2</v>
      </c>
      <c r="AD491">
        <f>'Revenue drivers'!AD361</f>
        <v>9.761447765286535E-2</v>
      </c>
      <c r="AE491">
        <f>'Revenue drivers'!AE361</f>
        <v>0.20667832458989088</v>
      </c>
      <c r="AF491">
        <f>'Revenue drivers'!AF361</f>
        <v>3.4504175005176663E-3</v>
      </c>
      <c r="AG491">
        <f>'Revenue drivers'!AG361</f>
        <v>0.10301904958393515</v>
      </c>
      <c r="AH491">
        <f>'Revenue drivers'!AH361</f>
        <v>0.12831223891763832</v>
      </c>
      <c r="AI491">
        <f>'Revenue drivers'!AI361</f>
        <v>0.1118417417251476</v>
      </c>
      <c r="AJ491">
        <f>'Revenue drivers'!AJ361</f>
        <v>-5.7154216987226336E-3</v>
      </c>
      <c r="AL491">
        <f>'Revenue drivers'!BF361</f>
        <v>0</v>
      </c>
      <c r="AM491">
        <f>'Revenue drivers'!BG361</f>
        <v>0</v>
      </c>
      <c r="AN491">
        <f>'Revenue drivers'!BH361</f>
        <v>0</v>
      </c>
      <c r="AO491">
        <f>'Revenue drivers'!BI361</f>
        <v>0</v>
      </c>
      <c r="AP491">
        <f>'Revenue drivers'!BJ361</f>
        <v>0</v>
      </c>
      <c r="AQ491">
        <f>'Revenue drivers'!BK361</f>
        <v>0</v>
      </c>
      <c r="AR491">
        <f>'Revenue drivers'!BL361</f>
        <v>0</v>
      </c>
      <c r="AS491">
        <f>'Revenue drivers'!BM361</f>
        <v>0</v>
      </c>
      <c r="AT491">
        <f>'Revenue drivers'!BN361</f>
        <v>0</v>
      </c>
      <c r="AU491">
        <f>'Revenue drivers'!BO361</f>
        <v>0</v>
      </c>
      <c r="AV491">
        <f>'Revenue drivers'!BP361</f>
        <v>0</v>
      </c>
      <c r="AW491">
        <f>'Revenue drivers'!BQ361</f>
        <v>0</v>
      </c>
      <c r="AX491">
        <f>'Revenue drivers'!BR361</f>
        <v>0</v>
      </c>
      <c r="AY491">
        <f>'Revenue drivers'!BS361</f>
        <v>0</v>
      </c>
      <c r="AZ491">
        <f>'Revenue drivers'!BT361</f>
        <v>0</v>
      </c>
    </row>
    <row r="492" spans="9:52" ht="11.25" customHeight="1">
      <c r="I492" t="str">
        <f>'Revenue drivers'!I362</f>
        <v>% of total unique visitors</v>
      </c>
      <c r="M492">
        <f>'Revenue drivers'!M362</f>
        <v>0</v>
      </c>
      <c r="N492">
        <f>'Revenue drivers'!N362</f>
        <v>0</v>
      </c>
      <c r="O492">
        <f>'Revenue drivers'!O362</f>
        <v>0</v>
      </c>
      <c r="P492">
        <f>'Revenue drivers'!P362</f>
        <v>0</v>
      </c>
      <c r="Q492">
        <f>'Revenue drivers'!Q362</f>
        <v>7.4759168678044302E-2</v>
      </c>
      <c r="R492">
        <f>'Revenue drivers'!R362</f>
        <v>8.2143020125039934E-2</v>
      </c>
      <c r="S492">
        <f>'Revenue drivers'!S362</f>
        <v>7.995228447662435E-2</v>
      </c>
      <c r="T492">
        <f>'Revenue drivers'!T362</f>
        <v>8.663140616450847E-2</v>
      </c>
      <c r="U492">
        <f>'Revenue drivers'!U362</f>
        <v>8.8176016123614379E-2</v>
      </c>
      <c r="V492">
        <f>'Revenue drivers'!V362</f>
        <v>9.1919978552005011E-2</v>
      </c>
      <c r="W492">
        <f>'Revenue drivers'!W362</f>
        <v>9.576480164715459E-2</v>
      </c>
      <c r="X492">
        <f>'Revenue drivers'!X362</f>
        <v>0.10660486674391656</v>
      </c>
      <c r="Y492">
        <f>'Revenue drivers'!Y362</f>
        <v>9.7114583843629074E-2</v>
      </c>
      <c r="Z492">
        <f>'Revenue drivers'!Z362</f>
        <v>9.5985489274278621E-2</v>
      </c>
      <c r="AA492">
        <f>'Revenue drivers'!AA362</f>
        <v>9.525147513346445E-2</v>
      </c>
      <c r="AB492">
        <f>'Revenue drivers'!AB362</f>
        <v>8.8446314736885967E-2</v>
      </c>
      <c r="AC492">
        <f>'Revenue drivers'!AC362</f>
        <v>8.2598520308017509E-2</v>
      </c>
      <c r="AD492">
        <f>'Revenue drivers'!AD362</f>
        <v>8.7172712160916377E-2</v>
      </c>
      <c r="AE492">
        <f>'Revenue drivers'!AE362</f>
        <v>0.10393923309759141</v>
      </c>
      <c r="AF492">
        <f>'Revenue drivers'!AF362</f>
        <v>0.10739766902521529</v>
      </c>
      <c r="AG492">
        <f>'Revenue drivers'!AG362</f>
        <v>0.11258124745553326</v>
      </c>
      <c r="AH492">
        <f>'Revenue drivers'!AH362</f>
        <v>0.12576968517617626</v>
      </c>
      <c r="AI492">
        <f>'Revenue drivers'!AI362</f>
        <v>0.13593616992527935</v>
      </c>
      <c r="AJ492">
        <f>'Revenue drivers'!AJ362</f>
        <v>0.14242491118910494</v>
      </c>
      <c r="AL492">
        <f>'Revenue drivers'!BF362</f>
        <v>0</v>
      </c>
      <c r="AM492">
        <f>'Revenue drivers'!BG362</f>
        <v>0</v>
      </c>
      <c r="AN492">
        <f>'Revenue drivers'!BH362</f>
        <v>0</v>
      </c>
      <c r="AO492">
        <f>'Revenue drivers'!BI362</f>
        <v>0</v>
      </c>
      <c r="AP492">
        <f>'Revenue drivers'!BJ362</f>
        <v>0</v>
      </c>
      <c r="AQ492">
        <f>'Revenue drivers'!BK362</f>
        <v>8.663140616450847E-2</v>
      </c>
      <c r="AR492">
        <f>'Revenue drivers'!BL362</f>
        <v>0.10660486674391656</v>
      </c>
      <c r="AS492">
        <f>'Revenue drivers'!BM362</f>
        <v>8.8446314736885967E-2</v>
      </c>
      <c r="AT492">
        <f>'Revenue drivers'!BN362</f>
        <v>0.10739766902521529</v>
      </c>
      <c r="AU492">
        <f>'Revenue drivers'!BO362</f>
        <v>0.14242491118910494</v>
      </c>
      <c r="AV492">
        <f>'Revenue drivers'!BP362</f>
        <v>0.18067532779441456</v>
      </c>
      <c r="AW492">
        <f>'Revenue drivers'!BQ362</f>
        <v>0.20461945534124523</v>
      </c>
      <c r="AX492">
        <f>'Revenue drivers'!BR362</f>
        <v>0.28273863194252069</v>
      </c>
      <c r="AY492">
        <f>'Revenue drivers'!BS362</f>
        <v>0.33154473424857106</v>
      </c>
      <c r="AZ492">
        <f>'Revenue drivers'!BT362</f>
        <v>0.38765523760207049</v>
      </c>
    </row>
    <row r="493" spans="9:52" ht="11.25" customHeight="1">
      <c r="I493" t="str">
        <f>'Revenue drivers'!I363</f>
        <v>% of total MOBILE unique visitors</v>
      </c>
      <c r="M493">
        <f>'Revenue drivers'!M363</f>
        <v>0</v>
      </c>
      <c r="N493">
        <f>'Revenue drivers'!N363</f>
        <v>0</v>
      </c>
      <c r="O493">
        <f>'Revenue drivers'!O363</f>
        <v>0</v>
      </c>
      <c r="P493">
        <f>'Revenue drivers'!P363</f>
        <v>0</v>
      </c>
      <c r="Q493">
        <f>'Revenue drivers'!Q363</f>
        <v>0.53399406198603061</v>
      </c>
      <c r="R493">
        <f>'Revenue drivers'!R363</f>
        <v>0.51339387578149942</v>
      </c>
      <c r="S493">
        <f>'Revenue drivers'!S363</f>
        <v>0.44417935820346854</v>
      </c>
      <c r="T493">
        <f>'Revenue drivers'!T363</f>
        <v>0.43315703082254237</v>
      </c>
      <c r="U493">
        <f>'Revenue drivers'!U363</f>
        <v>0.40080007328915629</v>
      </c>
      <c r="V493">
        <f>'Revenue drivers'!V363</f>
        <v>0.38299991063335426</v>
      </c>
      <c r="W493">
        <f>'Revenue drivers'!W363</f>
        <v>0.38305920658861836</v>
      </c>
      <c r="X493">
        <f>'Revenue drivers'!X363</f>
        <v>0.27907033179035751</v>
      </c>
      <c r="Y493">
        <f>'Revenue drivers'!Y363</f>
        <v>0.24676359290977895</v>
      </c>
      <c r="Z493">
        <f>'Revenue drivers'!Z363</f>
        <v>0.23016154802059294</v>
      </c>
      <c r="AA493">
        <f>'Revenue drivers'!AA363</f>
        <v>0.22172232682588444</v>
      </c>
      <c r="AB493">
        <f>'Revenue drivers'!AB363</f>
        <v>0.20062375956903886</v>
      </c>
      <c r="AC493">
        <f>'Revenue drivers'!AC363</f>
        <v>0.1788037260990358</v>
      </c>
      <c r="AD493">
        <f>'Revenue drivers'!AD363</f>
        <v>0.17689950799870371</v>
      </c>
      <c r="AE493">
        <f>'Revenue drivers'!AE363</f>
        <v>0.19731753812636166</v>
      </c>
      <c r="AF493">
        <f>'Revenue drivers'!AF363</f>
        <v>0.20110086160399407</v>
      </c>
      <c r="AG493">
        <f>'Revenue drivers'!AG363</f>
        <v>0.20312302120007092</v>
      </c>
      <c r="AH493">
        <f>'Revenue drivers'!AH363</f>
        <v>0.21853113075399702</v>
      </c>
      <c r="AI493">
        <f>'Revenue drivers'!AI363</f>
        <v>0.22547569421098634</v>
      </c>
      <c r="AJ493">
        <f>'Revenue drivers'!AJ363</f>
        <v>0.2329909393706473</v>
      </c>
      <c r="AL493">
        <f>'Revenue drivers'!BF363</f>
        <v>0</v>
      </c>
      <c r="AM493">
        <f>'Revenue drivers'!BG363</f>
        <v>0</v>
      </c>
      <c r="AN493">
        <f>'Revenue drivers'!BH363</f>
        <v>0</v>
      </c>
      <c r="AO493">
        <f>'Revenue drivers'!BI363</f>
        <v>0</v>
      </c>
      <c r="AP493">
        <f>'Revenue drivers'!BJ363</f>
        <v>0</v>
      </c>
      <c r="AQ493">
        <f>'Revenue drivers'!BK363</f>
        <v>0</v>
      </c>
      <c r="AR493">
        <f>'Revenue drivers'!BL363</f>
        <v>0.27907033179035751</v>
      </c>
      <c r="AS493">
        <f>'Revenue drivers'!BM363</f>
        <v>0.20062375956903886</v>
      </c>
      <c r="AT493">
        <f>'Revenue drivers'!BN363</f>
        <v>0.20110086160399407</v>
      </c>
      <c r="AU493">
        <f>'Revenue drivers'!BO363</f>
        <v>0.2329909393706473</v>
      </c>
      <c r="AV493">
        <f>'Revenue drivers'!BP363</f>
        <v>0.26920066201467169</v>
      </c>
      <c r="AW493">
        <f>'Revenue drivers'!BQ363</f>
        <v>0.3099413319579653</v>
      </c>
      <c r="AX493">
        <f>'Revenue drivers'!BR363</f>
        <v>0.38315670376043692</v>
      </c>
      <c r="AY493">
        <f>'Revenue drivers'!BS363</f>
        <v>0.41344003517656536</v>
      </c>
      <c r="AZ493">
        <f>'Revenue drivers'!BT363</f>
        <v>0.44387942570930383</v>
      </c>
    </row>
    <row r="494" spans="9:52" ht="11.25" customHeight="1">
      <c r="I494">
        <f>'Revenue drivers'!I364</f>
        <v>0</v>
      </c>
      <c r="M494">
        <f>'Revenue drivers'!M364</f>
        <v>0</v>
      </c>
      <c r="N494">
        <f>'Revenue drivers'!N364</f>
        <v>0</v>
      </c>
      <c r="O494">
        <f>'Revenue drivers'!O364</f>
        <v>0</v>
      </c>
      <c r="P494">
        <f>'Revenue drivers'!P364</f>
        <v>0</v>
      </c>
      <c r="Q494">
        <f>'Revenue drivers'!Q364</f>
        <v>0</v>
      </c>
      <c r="R494">
        <f>'Revenue drivers'!R364</f>
        <v>0</v>
      </c>
      <c r="S494">
        <f>'Revenue drivers'!S364</f>
        <v>0</v>
      </c>
      <c r="T494">
        <f>'Revenue drivers'!T364</f>
        <v>0</v>
      </c>
      <c r="U494">
        <f>'Revenue drivers'!U364</f>
        <v>0</v>
      </c>
      <c r="V494">
        <f>'Revenue drivers'!V364</f>
        <v>0</v>
      </c>
      <c r="W494">
        <f>'Revenue drivers'!W364</f>
        <v>0</v>
      </c>
      <c r="X494">
        <f>'Revenue drivers'!X364</f>
        <v>0</v>
      </c>
      <c r="Y494">
        <f>'Revenue drivers'!Y364</f>
        <v>0</v>
      </c>
      <c r="Z494">
        <f>'Revenue drivers'!Z364</f>
        <v>0</v>
      </c>
      <c r="AA494">
        <f>'Revenue drivers'!AA364</f>
        <v>0</v>
      </c>
      <c r="AB494">
        <f>'Revenue drivers'!AB364</f>
        <v>0</v>
      </c>
      <c r="AC494">
        <f>'Revenue drivers'!AC364</f>
        <v>0</v>
      </c>
      <c r="AD494">
        <f>'Revenue drivers'!AD364</f>
        <v>0</v>
      </c>
      <c r="AE494">
        <f>'Revenue drivers'!AE364</f>
        <v>0</v>
      </c>
      <c r="AF494">
        <f>'Revenue drivers'!AF364</f>
        <v>0</v>
      </c>
      <c r="AG494">
        <f>'Revenue drivers'!AG364</f>
        <v>0</v>
      </c>
      <c r="AH494">
        <f>'Revenue drivers'!AH364</f>
        <v>0</v>
      </c>
      <c r="AI494">
        <f>'Revenue drivers'!AI364</f>
        <v>0</v>
      </c>
      <c r="AJ494">
        <f>'Revenue drivers'!AJ364</f>
        <v>0</v>
      </c>
      <c r="AL494">
        <f>'Revenue drivers'!BF364</f>
        <v>0</v>
      </c>
      <c r="AM494">
        <f>'Revenue drivers'!BG364</f>
        <v>0</v>
      </c>
      <c r="AN494">
        <f>'Revenue drivers'!BH364</f>
        <v>0</v>
      </c>
      <c r="AO494">
        <f>'Revenue drivers'!BI364</f>
        <v>0</v>
      </c>
      <c r="AP494">
        <f>'Revenue drivers'!BJ364</f>
        <v>0</v>
      </c>
      <c r="AQ494">
        <f>'Revenue drivers'!BK364</f>
        <v>0</v>
      </c>
      <c r="AR494">
        <f>'Revenue drivers'!BL364</f>
        <v>0</v>
      </c>
      <c r="AS494">
        <f>'Revenue drivers'!BM364</f>
        <v>0</v>
      </c>
      <c r="AT494">
        <f>'Revenue drivers'!BN364</f>
        <v>0</v>
      </c>
      <c r="AU494">
        <f>'Revenue drivers'!BO364</f>
        <v>0</v>
      </c>
      <c r="AV494">
        <f>'Revenue drivers'!BP364</f>
        <v>0</v>
      </c>
      <c r="AW494">
        <f>'Revenue drivers'!BQ364</f>
        <v>0</v>
      </c>
      <c r="AX494">
        <f>'Revenue drivers'!BR364</f>
        <v>0</v>
      </c>
      <c r="AY494">
        <f>'Revenue drivers'!BS364</f>
        <v>0</v>
      </c>
      <c r="AZ494">
        <f>'Revenue drivers'!BT364</f>
        <v>0</v>
      </c>
    </row>
    <row r="495" spans="9:52" ht="11.25" customHeight="1">
      <c r="I495">
        <f>'Revenue drivers'!I365</f>
        <v>0</v>
      </c>
      <c r="M495">
        <f>'Revenue drivers'!M365</f>
        <v>0</v>
      </c>
      <c r="N495">
        <f>'Revenue drivers'!N365</f>
        <v>0</v>
      </c>
      <c r="O495">
        <f>'Revenue drivers'!O365</f>
        <v>0</v>
      </c>
      <c r="P495">
        <f>'Revenue drivers'!P365</f>
        <v>0</v>
      </c>
      <c r="Q495">
        <f>'Revenue drivers'!Q365</f>
        <v>0</v>
      </c>
      <c r="R495">
        <f>'Revenue drivers'!R365</f>
        <v>0</v>
      </c>
      <c r="S495">
        <f>'Revenue drivers'!S365</f>
        <v>0</v>
      </c>
      <c r="T495">
        <f>'Revenue drivers'!T365</f>
        <v>0</v>
      </c>
      <c r="U495">
        <f>'Revenue drivers'!U365</f>
        <v>0</v>
      </c>
      <c r="V495">
        <f>'Revenue drivers'!V365</f>
        <v>0</v>
      </c>
      <c r="W495">
        <f>'Revenue drivers'!W365</f>
        <v>0</v>
      </c>
      <c r="X495">
        <f>'Revenue drivers'!X365</f>
        <v>0</v>
      </c>
      <c r="Y495">
        <f>'Revenue drivers'!Y365</f>
        <v>0</v>
      </c>
      <c r="Z495">
        <f>'Revenue drivers'!Z365</f>
        <v>0</v>
      </c>
      <c r="AA495">
        <f>'Revenue drivers'!AA365</f>
        <v>0</v>
      </c>
      <c r="AB495">
        <f>'Revenue drivers'!AB365</f>
        <v>0</v>
      </c>
      <c r="AC495">
        <f>'Revenue drivers'!AC365</f>
        <v>0</v>
      </c>
      <c r="AD495">
        <f>'Revenue drivers'!AD365</f>
        <v>0</v>
      </c>
      <c r="AE495">
        <f>'Revenue drivers'!AE365</f>
        <v>0</v>
      </c>
      <c r="AF495">
        <f>'Revenue drivers'!AF365</f>
        <v>0</v>
      </c>
      <c r="AG495">
        <f>'Revenue drivers'!AG365</f>
        <v>0</v>
      </c>
      <c r="AH495">
        <f>'Revenue drivers'!AH365</f>
        <v>0</v>
      </c>
      <c r="AI495">
        <f>'Revenue drivers'!AI365</f>
        <v>0</v>
      </c>
      <c r="AJ495">
        <f>'Revenue drivers'!AJ365</f>
        <v>0</v>
      </c>
      <c r="AL495">
        <f>'Revenue drivers'!BF365</f>
        <v>0</v>
      </c>
      <c r="AM495">
        <f>'Revenue drivers'!BG365</f>
        <v>0</v>
      </c>
      <c r="AN495">
        <f>'Revenue drivers'!BH365</f>
        <v>0</v>
      </c>
      <c r="AO495">
        <f>'Revenue drivers'!BI365</f>
        <v>0</v>
      </c>
      <c r="AP495">
        <f>'Revenue drivers'!BJ365</f>
        <v>0</v>
      </c>
      <c r="AQ495">
        <f>'Revenue drivers'!BK365</f>
        <v>0</v>
      </c>
      <c r="AR495">
        <f>'Revenue drivers'!BL365</f>
        <v>0</v>
      </c>
      <c r="AS495">
        <f>'Revenue drivers'!BM365</f>
        <v>0</v>
      </c>
      <c r="AT495">
        <f>'Revenue drivers'!BN365</f>
        <v>0</v>
      </c>
      <c r="AU495">
        <f>'Revenue drivers'!BO365</f>
        <v>0</v>
      </c>
      <c r="AV495">
        <f>'Revenue drivers'!BP365</f>
        <v>0</v>
      </c>
      <c r="AW495">
        <f>'Revenue drivers'!BQ365</f>
        <v>0</v>
      </c>
      <c r="AX495">
        <f>'Revenue drivers'!BR365</f>
        <v>0</v>
      </c>
      <c r="AY495">
        <f>'Revenue drivers'!BS365</f>
        <v>0</v>
      </c>
      <c r="AZ495">
        <f>'Revenue drivers'!BT365</f>
        <v>0</v>
      </c>
    </row>
    <row r="496" spans="9:52" ht="11.25" customHeight="1">
      <c r="I496" t="str">
        <f>'Revenue drivers'!I106</f>
        <v>TRANSACTION &amp; OTHER SERVICES REVENUE</v>
      </c>
      <c r="M496">
        <f>'Revenue drivers'!M106</f>
        <v>0</v>
      </c>
      <c r="N496">
        <f>'Revenue drivers'!N106</f>
        <v>0</v>
      </c>
      <c r="O496">
        <f>'Revenue drivers'!O106</f>
        <v>0</v>
      </c>
      <c r="P496">
        <f>'Revenue drivers'!P106</f>
        <v>0</v>
      </c>
      <c r="Q496">
        <f>'Revenue drivers'!Q106</f>
        <v>0</v>
      </c>
      <c r="R496">
        <f>'Revenue drivers'!R106</f>
        <v>0</v>
      </c>
      <c r="S496">
        <f>'Revenue drivers'!S106</f>
        <v>0</v>
      </c>
      <c r="T496">
        <f>'Revenue drivers'!T106</f>
        <v>0</v>
      </c>
      <c r="U496">
        <f>'Revenue drivers'!U106</f>
        <v>0</v>
      </c>
      <c r="V496">
        <f>'Revenue drivers'!V106</f>
        <v>0</v>
      </c>
      <c r="W496">
        <f>'Revenue drivers'!W106</f>
        <v>0</v>
      </c>
      <c r="X496">
        <f>'Revenue drivers'!X106</f>
        <v>0</v>
      </c>
      <c r="Y496">
        <f>'Revenue drivers'!Y106</f>
        <v>0</v>
      </c>
      <c r="Z496">
        <f>'Revenue drivers'!Z106</f>
        <v>0</v>
      </c>
      <c r="AA496">
        <f>'Revenue drivers'!AA106</f>
        <v>0</v>
      </c>
      <c r="AB496">
        <f>'Revenue drivers'!AB106</f>
        <v>0</v>
      </c>
      <c r="AC496">
        <f>'Revenue drivers'!AC106</f>
        <v>0</v>
      </c>
      <c r="AD496">
        <f>'Revenue drivers'!AD106</f>
        <v>0</v>
      </c>
      <c r="AE496">
        <f>'Revenue drivers'!AE106</f>
        <v>0</v>
      </c>
      <c r="AF496">
        <f>'Revenue drivers'!AF106</f>
        <v>0</v>
      </c>
      <c r="AG496">
        <f>'Revenue drivers'!AG106</f>
        <v>0</v>
      </c>
      <c r="AH496">
        <f>'Revenue drivers'!AH106</f>
        <v>0</v>
      </c>
      <c r="AI496">
        <f>'Revenue drivers'!AI106</f>
        <v>0</v>
      </c>
      <c r="AJ496">
        <f>'Revenue drivers'!AJ106</f>
        <v>0</v>
      </c>
      <c r="AL496">
        <f>'Revenue drivers'!BF106</f>
        <v>0</v>
      </c>
      <c r="AM496">
        <f>'Revenue drivers'!BG106</f>
        <v>0</v>
      </c>
      <c r="AN496">
        <f>'Revenue drivers'!BH106</f>
        <v>0</v>
      </c>
      <c r="AO496">
        <f>'Revenue drivers'!BI106</f>
        <v>0</v>
      </c>
      <c r="AP496">
        <f>'Revenue drivers'!BJ106</f>
        <v>0</v>
      </c>
      <c r="AQ496">
        <f>'Revenue drivers'!BK106</f>
        <v>0</v>
      </c>
      <c r="AR496">
        <f>'Revenue drivers'!BL106</f>
        <v>0</v>
      </c>
      <c r="AS496">
        <f>'Revenue drivers'!BM106</f>
        <v>0</v>
      </c>
      <c r="AT496">
        <f>'Revenue drivers'!BN106</f>
        <v>0</v>
      </c>
      <c r="AU496">
        <f>'Revenue drivers'!BO106</f>
        <v>0</v>
      </c>
      <c r="AV496">
        <f>'Revenue drivers'!BP106</f>
        <v>0</v>
      </c>
      <c r="AW496">
        <f>'Revenue drivers'!BQ106</f>
        <v>0</v>
      </c>
      <c r="AX496">
        <f>'Revenue drivers'!BR106</f>
        <v>0</v>
      </c>
      <c r="AY496">
        <f>'Revenue drivers'!BS106</f>
        <v>0</v>
      </c>
      <c r="AZ496">
        <f>'Revenue drivers'!BT106</f>
        <v>0</v>
      </c>
    </row>
    <row r="497" spans="9:52" ht="11.25" customHeight="1">
      <c r="I497" t="str">
        <f>'Revenue drivers'!I107</f>
        <v>Other Revenue &amp; Eat24</v>
      </c>
      <c r="M497">
        <f>'Revenue drivers'!M107</f>
        <v>0</v>
      </c>
      <c r="N497">
        <f>'Revenue drivers'!N107</f>
        <v>0</v>
      </c>
      <c r="O497">
        <f>'Revenue drivers'!O107</f>
        <v>0</v>
      </c>
      <c r="P497">
        <f>'Revenue drivers'!P107</f>
        <v>0</v>
      </c>
      <c r="Q497">
        <f>'Revenue drivers'!Q107</f>
        <v>0</v>
      </c>
      <c r="R497">
        <f>'Revenue drivers'!R107</f>
        <v>0</v>
      </c>
      <c r="S497">
        <f>'Revenue drivers'!S107</f>
        <v>0</v>
      </c>
      <c r="T497">
        <f>'Revenue drivers'!T107</f>
        <v>0</v>
      </c>
      <c r="U497">
        <f>'Revenue drivers'!U107</f>
        <v>0</v>
      </c>
      <c r="V497">
        <f>'Revenue drivers'!V107</f>
        <v>0</v>
      </c>
      <c r="W497">
        <f>'Revenue drivers'!W107</f>
        <v>0</v>
      </c>
      <c r="X497">
        <f>'Revenue drivers'!X107</f>
        <v>0</v>
      </c>
      <c r="Y497">
        <f>'Revenue drivers'!Y107</f>
        <v>0</v>
      </c>
      <c r="Z497">
        <f>'Revenue drivers'!Z107</f>
        <v>0</v>
      </c>
      <c r="AA497">
        <f>'Revenue drivers'!AA107</f>
        <v>0</v>
      </c>
      <c r="AB497">
        <f>'Revenue drivers'!AB107</f>
        <v>0</v>
      </c>
      <c r="AC497">
        <f>'Revenue drivers'!AC107</f>
        <v>0</v>
      </c>
      <c r="AD497">
        <f>'Revenue drivers'!AD107</f>
        <v>0</v>
      </c>
      <c r="AE497">
        <f>'Revenue drivers'!AE107</f>
        <v>0</v>
      </c>
      <c r="AF497">
        <f>'Revenue drivers'!AF107</f>
        <v>0</v>
      </c>
      <c r="AG497">
        <f>'Revenue drivers'!AG107</f>
        <v>13.311</v>
      </c>
      <c r="AH497">
        <f>'Revenue drivers'!AH107</f>
        <v>17.728000000000002</v>
      </c>
      <c r="AI497">
        <f>'Revenue drivers'!AI107</f>
        <v>18.649000000000001</v>
      </c>
      <c r="AJ497">
        <f>'Revenue drivers'!AJ107</f>
        <v>20.775000000000002</v>
      </c>
      <c r="AL497">
        <f>'Revenue drivers'!BF107</f>
        <v>0</v>
      </c>
      <c r="AM497">
        <f>'Revenue drivers'!BG107</f>
        <v>0</v>
      </c>
      <c r="AN497">
        <f>'Revenue drivers'!BH107</f>
        <v>0</v>
      </c>
      <c r="AO497">
        <f>'Revenue drivers'!BI107</f>
        <v>0</v>
      </c>
      <c r="AP497">
        <f>'Revenue drivers'!BJ107</f>
        <v>0</v>
      </c>
      <c r="AQ497">
        <f>'Revenue drivers'!BK107</f>
        <v>0</v>
      </c>
      <c r="AR497">
        <f>'Revenue drivers'!BL107</f>
        <v>0</v>
      </c>
      <c r="AS497">
        <f>'Revenue drivers'!BM107</f>
        <v>0</v>
      </c>
      <c r="AT497">
        <f>'Revenue drivers'!BN107</f>
        <v>23.902000000000001</v>
      </c>
      <c r="AU497">
        <f>'Revenue drivers'!BO107</f>
        <v>70.463000000000008</v>
      </c>
      <c r="AV497">
        <f>'Revenue drivers'!BP107</f>
        <v>88.445999999999998</v>
      </c>
      <c r="AW497" t="e">
        <f>'Revenue drivers'!BQ107</f>
        <v>#REF!</v>
      </c>
      <c r="AX497" t="e">
        <f>'Revenue drivers'!BR107</f>
        <v>#REF!</v>
      </c>
      <c r="AY497" t="e">
        <f>'Revenue drivers'!BS107</f>
        <v>#REF!</v>
      </c>
      <c r="AZ497" t="e">
        <f>'Revenue drivers'!BT107</f>
        <v>#REF!</v>
      </c>
    </row>
    <row r="498" spans="9:52" ht="11.25" customHeight="1">
      <c r="I498" t="str">
        <f>'Revenue drivers'!I109</f>
        <v>Other Services &amp; Other Transaction Revenue</v>
      </c>
      <c r="M498">
        <f>'Revenue drivers'!M109</f>
        <v>0.113</v>
      </c>
      <c r="N498">
        <f>'Revenue drivers'!N109</f>
        <v>0.113</v>
      </c>
      <c r="O498">
        <f>'Revenue drivers'!O109</f>
        <v>0.51900000000000002</v>
      </c>
      <c r="P498">
        <f>'Revenue drivers'!P109</f>
        <v>1.181</v>
      </c>
      <c r="Q498">
        <f>'Revenue drivers'!Q109</f>
        <v>1.6950000000000001</v>
      </c>
      <c r="R498">
        <f>'Revenue drivers'!R109</f>
        <v>1.75</v>
      </c>
      <c r="S498">
        <f>'Revenue drivers'!S109</f>
        <v>1.9570000000000001</v>
      </c>
      <c r="T498">
        <f>'Revenue drivers'!T109</f>
        <v>1.724</v>
      </c>
      <c r="U498">
        <f>'Revenue drivers'!U109</f>
        <v>1.9179999999999999</v>
      </c>
      <c r="V498">
        <f>'Revenue drivers'!V109</f>
        <v>1.6950000000000001</v>
      </c>
      <c r="W498">
        <f>'Revenue drivers'!W109</f>
        <v>2</v>
      </c>
      <c r="X498">
        <f>'Revenue drivers'!X109</f>
        <v>2.2149999999999999</v>
      </c>
      <c r="Y498">
        <f>'Revenue drivers'!Y109</f>
        <v>2.5</v>
      </c>
      <c r="Z498">
        <f>'Revenue drivers'!Z109</f>
        <v>3.17</v>
      </c>
      <c r="AA498">
        <f>'Revenue drivers'!AA109</f>
        <v>3.1040000000000001</v>
      </c>
      <c r="AB498">
        <f>'Revenue drivers'!AB109</f>
        <v>3.355</v>
      </c>
      <c r="AC498">
        <f>'Revenue drivers'!AC109</f>
        <v>3.75</v>
      </c>
      <c r="AD498">
        <f>'Revenue drivers'!AD109</f>
        <v>4.0469999999999997</v>
      </c>
      <c r="AE498">
        <f>'Revenue drivers'!AE109</f>
        <v>8.0050000000000008</v>
      </c>
      <c r="AF498">
        <f>'Revenue drivers'!AF109</f>
        <v>8.1</v>
      </c>
      <c r="AG498" t="e">
        <f>'Revenue drivers'!AG109</f>
        <v>#REF!</v>
      </c>
      <c r="AH498" t="e">
        <f>'Revenue drivers'!AH109</f>
        <v>#REF!</v>
      </c>
      <c r="AI498" t="e">
        <f>'Revenue drivers'!AI109</f>
        <v>#REF!</v>
      </c>
      <c r="AJ498" t="e">
        <f>'Revenue drivers'!AJ109</f>
        <v>#REF!</v>
      </c>
      <c r="AL498">
        <f>'Revenue drivers'!BF109</f>
        <v>0</v>
      </c>
      <c r="AM498">
        <f>'Revenue drivers'!BG109</f>
        <v>0</v>
      </c>
      <c r="AN498">
        <f>'Revenue drivers'!BH109</f>
        <v>0.127</v>
      </c>
      <c r="AO498">
        <f>'Revenue drivers'!BI109</f>
        <v>0.318</v>
      </c>
      <c r="AP498">
        <f>'Revenue drivers'!BJ109</f>
        <v>1.9260000000000002</v>
      </c>
      <c r="AQ498">
        <f>'Revenue drivers'!BK109</f>
        <v>7.1260000000000003</v>
      </c>
      <c r="AR498">
        <f>'Revenue drivers'!BL109</f>
        <v>7.8279999999999994</v>
      </c>
      <c r="AS498">
        <f>'Revenue drivers'!BM109</f>
        <v>12.129000000000001</v>
      </c>
      <c r="AT498">
        <f>'Revenue drivers'!BN109</f>
        <v>23.902000000000001</v>
      </c>
      <c r="AU498" t="e">
        <f>'Revenue drivers'!BO109</f>
        <v>#REF!</v>
      </c>
      <c r="AV498" t="e">
        <f>'Revenue drivers'!BP109</f>
        <v>#REF!</v>
      </c>
      <c r="AW498" t="e">
        <f>'Revenue drivers'!BQ109</f>
        <v>#REF!</v>
      </c>
      <c r="AX498" t="e">
        <f>'Revenue drivers'!BR109</f>
        <v>#REF!</v>
      </c>
      <c r="AY498" t="e">
        <f>'Revenue drivers'!BS109</f>
        <v>#REF!</v>
      </c>
      <c r="AZ498" t="e">
        <f>'Revenue drivers'!BT109</f>
        <v>#REF!</v>
      </c>
    </row>
    <row r="499" spans="9:52" ht="11.25" customHeight="1">
      <c r="I499" t="str">
        <f>'Revenue drivers'!I110</f>
        <v>DRIVER: Base case - period-to-period addition ($m) Q/Q</v>
      </c>
      <c r="M499">
        <f>'Revenue drivers'!M110</f>
        <v>0</v>
      </c>
      <c r="N499">
        <f>'Revenue drivers'!N110</f>
        <v>0</v>
      </c>
      <c r="O499">
        <f>'Revenue drivers'!O110</f>
        <v>0.40600000000000003</v>
      </c>
      <c r="P499">
        <f>'Revenue drivers'!P110</f>
        <v>0.66200000000000003</v>
      </c>
      <c r="Q499">
        <f>'Revenue drivers'!Q110</f>
        <v>0.51400000000000001</v>
      </c>
      <c r="R499">
        <f>'Revenue drivers'!R110</f>
        <v>5.4999999999999938E-2</v>
      </c>
      <c r="S499">
        <f>'Revenue drivers'!S110</f>
        <v>0.20700000000000007</v>
      </c>
      <c r="T499">
        <f>'Revenue drivers'!T110</f>
        <v>-0.2330000000000001</v>
      </c>
      <c r="U499">
        <f>'Revenue drivers'!U110</f>
        <v>0.19399999999999995</v>
      </c>
      <c r="V499">
        <f>'Revenue drivers'!V110</f>
        <v>-0.22299999999999986</v>
      </c>
      <c r="W499">
        <f>'Revenue drivers'!W110</f>
        <v>0.30499999999999994</v>
      </c>
      <c r="X499">
        <f>'Revenue drivers'!X110</f>
        <v>0.21499999999999986</v>
      </c>
      <c r="Y499">
        <f>'Revenue drivers'!Y110</f>
        <v>0.28500000000000014</v>
      </c>
      <c r="Z499">
        <f>'Revenue drivers'!Z110</f>
        <v>0.66999999999999993</v>
      </c>
      <c r="AA499">
        <f>'Revenue drivers'!AA110</f>
        <v>-6.5999999999999837E-2</v>
      </c>
      <c r="AB499">
        <f>'Revenue drivers'!AB110</f>
        <v>0.25099999999999989</v>
      </c>
      <c r="AC499">
        <f>'Revenue drivers'!AC110</f>
        <v>0.39500000000000002</v>
      </c>
      <c r="AD499">
        <f>'Revenue drivers'!AD110</f>
        <v>0.29699999999999971</v>
      </c>
      <c r="AE499">
        <f>'Revenue drivers'!AE110</f>
        <v>3.9580000000000011</v>
      </c>
      <c r="AF499">
        <f>'Revenue drivers'!AF110</f>
        <v>9.4999999999998863E-2</v>
      </c>
      <c r="AG499" t="e">
        <f>'Revenue drivers'!AG110</f>
        <v>#REF!</v>
      </c>
      <c r="AH499" t="e">
        <f>'Revenue drivers'!AH110</f>
        <v>#REF!</v>
      </c>
      <c r="AI499" t="e">
        <f>'Revenue drivers'!AI110</f>
        <v>#REF!</v>
      </c>
      <c r="AJ499" t="e">
        <f>'Revenue drivers'!AJ110</f>
        <v>#REF!</v>
      </c>
      <c r="AL499">
        <f>'Revenue drivers'!BF110</f>
        <v>0</v>
      </c>
      <c r="AM499">
        <f>'Revenue drivers'!BG110</f>
        <v>0</v>
      </c>
      <c r="AN499">
        <f>'Revenue drivers'!BH110</f>
        <v>0</v>
      </c>
      <c r="AO499">
        <f>'Revenue drivers'!BI110</f>
        <v>0</v>
      </c>
      <c r="AP499">
        <f>'Revenue drivers'!BJ110</f>
        <v>0</v>
      </c>
      <c r="AQ499">
        <f>'Revenue drivers'!BK110</f>
        <v>0</v>
      </c>
      <c r="AR499">
        <f>'Revenue drivers'!BL110</f>
        <v>0</v>
      </c>
      <c r="AS499">
        <f>'Revenue drivers'!BM110</f>
        <v>0</v>
      </c>
      <c r="AT499">
        <f>'Revenue drivers'!BN110</f>
        <v>0</v>
      </c>
      <c r="AU499">
        <f>'Revenue drivers'!BO110</f>
        <v>0</v>
      </c>
      <c r="AV499">
        <f>'Revenue drivers'!BP110</f>
        <v>0</v>
      </c>
      <c r="AW499">
        <f>'Revenue drivers'!BQ110</f>
        <v>0</v>
      </c>
      <c r="AX499">
        <f>'Revenue drivers'!BR110</f>
        <v>0</v>
      </c>
      <c r="AY499">
        <f>'Revenue drivers'!BS110</f>
        <v>0</v>
      </c>
      <c r="AZ499">
        <f>'Revenue drivers'!BT110</f>
        <v>0</v>
      </c>
    </row>
    <row r="500" spans="9:52" ht="11.25" customHeight="1">
      <c r="I500" t="str">
        <f>'Revenue drivers'!I111</f>
        <v>Y/Y Abs Growth</v>
      </c>
      <c r="M500">
        <f>'Revenue drivers'!M111</f>
        <v>0</v>
      </c>
      <c r="N500">
        <f>'Revenue drivers'!N111</f>
        <v>0</v>
      </c>
      <c r="O500">
        <f>'Revenue drivers'!O111</f>
        <v>0</v>
      </c>
      <c r="P500">
        <f>'Revenue drivers'!P111</f>
        <v>0</v>
      </c>
      <c r="Q500">
        <f>'Revenue drivers'!Q111</f>
        <v>1.5820000000000001</v>
      </c>
      <c r="R500">
        <f>'Revenue drivers'!R111</f>
        <v>1.637</v>
      </c>
      <c r="S500">
        <f>'Revenue drivers'!S111</f>
        <v>1.4380000000000002</v>
      </c>
      <c r="T500">
        <f>'Revenue drivers'!T111</f>
        <v>0.54299999999999993</v>
      </c>
      <c r="U500">
        <f>'Revenue drivers'!U111</f>
        <v>0.22299999999999986</v>
      </c>
      <c r="V500">
        <f>'Revenue drivers'!V111</f>
        <v>-5.4999999999999938E-2</v>
      </c>
      <c r="W500">
        <f>'Revenue drivers'!W111</f>
        <v>4.2999999999999927E-2</v>
      </c>
      <c r="X500">
        <f>'Revenue drivers'!X111</f>
        <v>0.49099999999999988</v>
      </c>
      <c r="Y500">
        <f>'Revenue drivers'!Y111</f>
        <v>0.58200000000000007</v>
      </c>
      <c r="Z500">
        <f>'Revenue drivers'!Z111</f>
        <v>1.4749999999999999</v>
      </c>
      <c r="AA500">
        <f>'Revenue drivers'!AA111</f>
        <v>1.1040000000000001</v>
      </c>
      <c r="AB500">
        <f>'Revenue drivers'!AB111</f>
        <v>1.1400000000000001</v>
      </c>
      <c r="AC500">
        <f>'Revenue drivers'!AC111</f>
        <v>1.25</v>
      </c>
      <c r="AD500">
        <f>'Revenue drivers'!AD111</f>
        <v>0.87699999999999978</v>
      </c>
      <c r="AE500">
        <f>'Revenue drivers'!AE111</f>
        <v>4.9010000000000007</v>
      </c>
      <c r="AF500">
        <f>'Revenue drivers'!AF111</f>
        <v>4.7449999999999992</v>
      </c>
      <c r="AG500" t="e">
        <f>'Revenue drivers'!AG111</f>
        <v>#REF!</v>
      </c>
      <c r="AH500" t="e">
        <f>'Revenue drivers'!AH111</f>
        <v>#REF!</v>
      </c>
      <c r="AI500" t="e">
        <f>'Revenue drivers'!AI111</f>
        <v>#REF!</v>
      </c>
      <c r="AJ500" t="e">
        <f>'Revenue drivers'!AJ111</f>
        <v>#REF!</v>
      </c>
      <c r="AL500">
        <f>'Revenue drivers'!BF111</f>
        <v>0</v>
      </c>
      <c r="AM500">
        <f>'Revenue drivers'!BG111</f>
        <v>0</v>
      </c>
      <c r="AN500">
        <f>'Revenue drivers'!BH111</f>
        <v>0.127</v>
      </c>
      <c r="AO500">
        <f>'Revenue drivers'!BI111</f>
        <v>0.191</v>
      </c>
      <c r="AP500">
        <f>'Revenue drivers'!BJ111</f>
        <v>1.6080000000000001</v>
      </c>
      <c r="AQ500">
        <f>'Revenue drivers'!BK111</f>
        <v>5.2</v>
      </c>
      <c r="AR500">
        <f>'Revenue drivers'!BL111</f>
        <v>0.70199999999999907</v>
      </c>
      <c r="AS500">
        <f>'Revenue drivers'!BM111</f>
        <v>4.3010000000000019</v>
      </c>
      <c r="AT500">
        <f>'Revenue drivers'!BN111</f>
        <v>11.773</v>
      </c>
      <c r="AU500" t="e">
        <f>'Revenue drivers'!BO111</f>
        <v>#REF!</v>
      </c>
      <c r="AV500" t="e">
        <f>'Revenue drivers'!BP111</f>
        <v>#REF!</v>
      </c>
      <c r="AW500" t="e">
        <f>'Revenue drivers'!BQ111</f>
        <v>#REF!</v>
      </c>
      <c r="AX500" t="e">
        <f>'Revenue drivers'!BR111</f>
        <v>#REF!</v>
      </c>
      <c r="AY500" t="e">
        <f>'Revenue drivers'!BS111</f>
        <v>#REF!</v>
      </c>
      <c r="AZ500" t="e">
        <f>'Revenue drivers'!BT111</f>
        <v>#REF!</v>
      </c>
    </row>
    <row r="501" spans="9:52" ht="11.25" customHeight="1">
      <c r="I501" t="str">
        <f>'Revenue drivers'!I112</f>
        <v>% change Y/Y</v>
      </c>
      <c r="M501" t="str">
        <f>'Revenue drivers'!M112</f>
        <v>NA</v>
      </c>
      <c r="N501" t="str">
        <f>'Revenue drivers'!N112</f>
        <v>NA</v>
      </c>
      <c r="O501" t="str">
        <f>'Revenue drivers'!O112</f>
        <v>NA</v>
      </c>
      <c r="P501" t="str">
        <f>'Revenue drivers'!P112</f>
        <v>NA</v>
      </c>
      <c r="Q501">
        <f>'Revenue drivers'!Q112</f>
        <v>14</v>
      </c>
      <c r="R501">
        <f>'Revenue drivers'!R112</f>
        <v>14.486725663716813</v>
      </c>
      <c r="S501">
        <f>'Revenue drivers'!S112</f>
        <v>2.7707129094412331</v>
      </c>
      <c r="T501">
        <f>'Revenue drivers'!T112</f>
        <v>0.45977984758679069</v>
      </c>
      <c r="U501">
        <f>'Revenue drivers'!U112</f>
        <v>0.13156342182890857</v>
      </c>
      <c r="V501">
        <f>'Revenue drivers'!V112</f>
        <v>-3.1428571428571361E-2</v>
      </c>
      <c r="W501">
        <f>'Revenue drivers'!W112</f>
        <v>2.197240674501777E-2</v>
      </c>
      <c r="X501">
        <f>'Revenue drivers'!X112</f>
        <v>0.28480278422273786</v>
      </c>
      <c r="Y501">
        <f>'Revenue drivers'!Y112</f>
        <v>0.30344108446298224</v>
      </c>
      <c r="Z501">
        <f>'Revenue drivers'!Z112</f>
        <v>0.87020648967551617</v>
      </c>
      <c r="AA501">
        <f>'Revenue drivers'!AA112</f>
        <v>0.55200000000000005</v>
      </c>
      <c r="AB501">
        <f>'Revenue drivers'!AB112</f>
        <v>0.51467268623024842</v>
      </c>
      <c r="AC501">
        <f>'Revenue drivers'!AC112</f>
        <v>0.5</v>
      </c>
      <c r="AD501">
        <f>'Revenue drivers'!AD112</f>
        <v>0.27665615141955824</v>
      </c>
      <c r="AE501">
        <f>'Revenue drivers'!AE112</f>
        <v>1.5789304123711343</v>
      </c>
      <c r="AF501">
        <f>'Revenue drivers'!AF112</f>
        <v>1.4143070044709387</v>
      </c>
      <c r="AG501" t="str">
        <f>'Revenue drivers'!AG112</f>
        <v>NA</v>
      </c>
      <c r="AH501" t="str">
        <f>'Revenue drivers'!AH112</f>
        <v>NA</v>
      </c>
      <c r="AI501" t="str">
        <f>'Revenue drivers'!AI112</f>
        <v>NA</v>
      </c>
      <c r="AJ501" t="str">
        <f>'Revenue drivers'!AJ112</f>
        <v>NA</v>
      </c>
      <c r="AL501">
        <f>'Revenue drivers'!BF112</f>
        <v>0</v>
      </c>
      <c r="AM501">
        <f>'Revenue drivers'!BG112</f>
        <v>0</v>
      </c>
      <c r="AN501" t="str">
        <f>'Revenue drivers'!BH112</f>
        <v>NA</v>
      </c>
      <c r="AO501">
        <f>'Revenue drivers'!BI112</f>
        <v>1.5039370078740157</v>
      </c>
      <c r="AP501">
        <f>'Revenue drivers'!BJ112</f>
        <v>5.0566037735849063</v>
      </c>
      <c r="AQ501">
        <f>'Revenue drivers'!BK112</f>
        <v>2.6998961578400831</v>
      </c>
      <c r="AR501">
        <f>'Revenue drivers'!BL112</f>
        <v>9.8512489475161225E-2</v>
      </c>
      <c r="AS501">
        <f>'Revenue drivers'!BM112</f>
        <v>0.54943791517629048</v>
      </c>
      <c r="AT501">
        <f>'Revenue drivers'!BN112</f>
        <v>0.97064885810866497</v>
      </c>
      <c r="AU501" t="str">
        <f>'Revenue drivers'!BO112</f>
        <v>NA</v>
      </c>
      <c r="AV501" t="str">
        <f>'Revenue drivers'!BP112</f>
        <v>NA</v>
      </c>
      <c r="AW501" t="str">
        <f>'Revenue drivers'!BQ112</f>
        <v>NA</v>
      </c>
      <c r="AX501" t="str">
        <f>'Revenue drivers'!BR112</f>
        <v>NA</v>
      </c>
      <c r="AY501" t="str">
        <f>'Revenue drivers'!BS112</f>
        <v>NA</v>
      </c>
      <c r="AZ501" t="str">
        <f>'Revenue drivers'!BT112</f>
        <v>NA</v>
      </c>
    </row>
    <row r="502" spans="9:52" ht="11.25" customHeight="1">
      <c r="I502" t="str">
        <f>'Revenue drivers'!I113</f>
        <v>% change Q/Q</v>
      </c>
      <c r="M502" t="str">
        <f>'Revenue drivers'!M113</f>
        <v>NA</v>
      </c>
      <c r="N502">
        <f>'Revenue drivers'!N113</f>
        <v>0</v>
      </c>
      <c r="O502">
        <f>'Revenue drivers'!O113</f>
        <v>3.5929203539823007</v>
      </c>
      <c r="P502">
        <f>'Revenue drivers'!P113</f>
        <v>1.2755298651252409</v>
      </c>
      <c r="Q502">
        <f>'Revenue drivers'!Q113</f>
        <v>0.43522438611346326</v>
      </c>
      <c r="R502">
        <f>'Revenue drivers'!R113</f>
        <v>3.2448377581120846E-2</v>
      </c>
      <c r="S502">
        <f>'Revenue drivers'!S113</f>
        <v>0.11828571428571433</v>
      </c>
      <c r="T502">
        <f>'Revenue drivers'!T113</f>
        <v>-0.11905978538579465</v>
      </c>
      <c r="U502">
        <f>'Revenue drivers'!U113</f>
        <v>0.11252900232018548</v>
      </c>
      <c r="V502">
        <f>'Revenue drivers'!V113</f>
        <v>-0.11626694473409793</v>
      </c>
      <c r="W502">
        <f>'Revenue drivers'!W113</f>
        <v>0.17994100294985249</v>
      </c>
      <c r="X502">
        <f>'Revenue drivers'!X113</f>
        <v>0.10749999999999993</v>
      </c>
      <c r="Y502">
        <f>'Revenue drivers'!Y113</f>
        <v>0.12866817155756216</v>
      </c>
      <c r="Z502">
        <f>'Revenue drivers'!Z113</f>
        <v>0.26800000000000002</v>
      </c>
      <c r="AA502">
        <f>'Revenue drivers'!AA113</f>
        <v>-2.0820189274447953E-2</v>
      </c>
      <c r="AB502">
        <f>'Revenue drivers'!AB113</f>
        <v>8.0863402061855716E-2</v>
      </c>
      <c r="AC502">
        <f>'Revenue drivers'!AC113</f>
        <v>0.11773472429210141</v>
      </c>
      <c r="AD502">
        <f>'Revenue drivers'!AD113</f>
        <v>7.9199999999999937E-2</v>
      </c>
      <c r="AE502">
        <f>'Revenue drivers'!AE113</f>
        <v>0.97800840128490263</v>
      </c>
      <c r="AF502">
        <f>'Revenue drivers'!AF113</f>
        <v>1.1867582760774376E-2</v>
      </c>
      <c r="AG502" t="str">
        <f>'Revenue drivers'!AG113</f>
        <v>NA</v>
      </c>
      <c r="AH502" t="str">
        <f>'Revenue drivers'!AH113</f>
        <v>NA</v>
      </c>
      <c r="AI502" t="str">
        <f>'Revenue drivers'!AI113</f>
        <v>NA</v>
      </c>
      <c r="AJ502" t="str">
        <f>'Revenue drivers'!AJ113</f>
        <v>NA</v>
      </c>
      <c r="AL502">
        <f>'Revenue drivers'!BF113</f>
        <v>0</v>
      </c>
      <c r="AM502">
        <f>'Revenue drivers'!BG113</f>
        <v>0</v>
      </c>
      <c r="AN502">
        <f>'Revenue drivers'!BH113</f>
        <v>0</v>
      </c>
      <c r="AO502">
        <f>'Revenue drivers'!BI113</f>
        <v>0</v>
      </c>
      <c r="AP502">
        <f>'Revenue drivers'!BJ113</f>
        <v>0</v>
      </c>
      <c r="AQ502">
        <f>'Revenue drivers'!BK113</f>
        <v>0</v>
      </c>
      <c r="AR502">
        <f>'Revenue drivers'!BL113</f>
        <v>0</v>
      </c>
      <c r="AS502">
        <f>'Revenue drivers'!BM113</f>
        <v>0</v>
      </c>
      <c r="AT502">
        <f>'Revenue drivers'!BN113</f>
        <v>0</v>
      </c>
      <c r="AU502">
        <f>'Revenue drivers'!BO113</f>
        <v>0</v>
      </c>
      <c r="AV502">
        <f>'Revenue drivers'!BP113</f>
        <v>0</v>
      </c>
      <c r="AW502">
        <f>'Revenue drivers'!BQ113</f>
        <v>0</v>
      </c>
      <c r="AX502">
        <f>'Revenue drivers'!BR113</f>
        <v>0</v>
      </c>
      <c r="AY502">
        <f>'Revenue drivers'!BS113</f>
        <v>0</v>
      </c>
      <c r="AZ502">
        <f>'Revenue drivers'!BT113</f>
        <v>0</v>
      </c>
    </row>
    <row r="503" spans="9:52" ht="11.25" customHeight="1">
      <c r="I503" t="str">
        <f>'Revenue drivers'!I114</f>
        <v>% of total revenue</v>
      </c>
      <c r="M503">
        <f>'Revenue drivers'!M114</f>
        <v>1.2368651488616465E-2</v>
      </c>
      <c r="N503">
        <f>'Revenue drivers'!N114</f>
        <v>1.0534166122867531E-2</v>
      </c>
      <c r="O503">
        <f>'Revenue drivers'!O114</f>
        <v>4.121010004764173E-2</v>
      </c>
      <c r="P503">
        <f>'Revenue drivers'!P114</f>
        <v>7.7320937540919205E-2</v>
      </c>
      <c r="Q503">
        <f>'Revenue drivers'!Q114</f>
        <v>0.10272727272727274</v>
      </c>
      <c r="R503">
        <f>'Revenue drivers'!R114</f>
        <v>8.9386045561344371E-2</v>
      </c>
      <c r="S503">
        <f>'Revenue drivers'!S114</f>
        <v>8.7749977580486055E-2</v>
      </c>
      <c r="T503">
        <f>'Revenue drivers'!T114</f>
        <v>6.9223047580807065E-2</v>
      </c>
      <c r="U503">
        <f>'Revenue drivers'!U114</f>
        <v>7.003834215811576E-2</v>
      </c>
      <c r="V503">
        <f>'Revenue drivers'!V114</f>
        <v>5.1909472330260623E-2</v>
      </c>
      <c r="W503">
        <f>'Revenue drivers'!W114</f>
        <v>5.498886475488713E-2</v>
      </c>
      <c r="X503">
        <f>'Revenue drivers'!X114</f>
        <v>5.3818305513035451E-2</v>
      </c>
      <c r="Y503">
        <f>'Revenue drivers'!Y114</f>
        <v>5.4191142999588146E-2</v>
      </c>
      <c r="Z503">
        <f>'Revenue drivers'!Z114</f>
        <v>5.7612271232030235E-2</v>
      </c>
      <c r="AA503">
        <f>'Revenue drivers'!AA114</f>
        <v>5.0734705218940523E-2</v>
      </c>
      <c r="AB503">
        <f>'Revenue drivers'!AB114</f>
        <v>4.7486942859973673E-2</v>
      </c>
      <c r="AC503">
        <f>'Revenue drivers'!AC114</f>
        <v>4.9079272841493583E-2</v>
      </c>
      <c r="AD503">
        <f>'Revenue drivers'!AD114</f>
        <v>4.5580997218061199E-2</v>
      </c>
      <c r="AE503">
        <f>'Revenue drivers'!AE114</f>
        <v>7.8131862769020552E-2</v>
      </c>
      <c r="AF503">
        <f>'Revenue drivers'!AF114</f>
        <v>7.3712086052035275E-2</v>
      </c>
      <c r="AG503" t="e">
        <f>'Revenue drivers'!AG114</f>
        <v>#REF!</v>
      </c>
      <c r="AH503" t="e">
        <f>'Revenue drivers'!AH114</f>
        <v>#REF!</v>
      </c>
      <c r="AI503" t="e">
        <f>'Revenue drivers'!AI114</f>
        <v>#REF!</v>
      </c>
      <c r="AJ503" t="e">
        <f>'Revenue drivers'!AJ114</f>
        <v>#REF!</v>
      </c>
      <c r="AL503">
        <f>'Revenue drivers'!BF114</f>
        <v>0</v>
      </c>
      <c r="AM503">
        <f>'Revenue drivers'!BG114</f>
        <v>0</v>
      </c>
      <c r="AN503">
        <f>'Revenue drivers'!BH114</f>
        <v>1.0462146799571628E-2</v>
      </c>
      <c r="AO503">
        <f>'Revenue drivers'!BI114</f>
        <v>1.2321760694358337E-2</v>
      </c>
      <c r="AP503">
        <f>'Revenue drivers'!BJ114</f>
        <v>4.0351134482830869E-2</v>
      </c>
      <c r="AQ503">
        <f>'Revenue drivers'!BK114</f>
        <v>8.5561625742930913E-2</v>
      </c>
      <c r="AR503">
        <f>'Revenue drivers'!BL114</f>
        <v>5.6903595365133834E-2</v>
      </c>
      <c r="AS503">
        <f>'Revenue drivers'!BM114</f>
        <v>5.2058475114598185E-2</v>
      </c>
      <c r="AT503">
        <f>'Revenue drivers'!BN114</f>
        <v>6.331051873198848E-2</v>
      </c>
      <c r="AU503" t="e">
        <f>'Revenue drivers'!BO114</f>
        <v>#REF!</v>
      </c>
      <c r="AV503" t="e">
        <f>'Revenue drivers'!BP114</f>
        <v>#REF!</v>
      </c>
      <c r="AW503" t="e">
        <f>'Revenue drivers'!BQ114</f>
        <v>#REF!</v>
      </c>
      <c r="AX503" t="e">
        <f>'Revenue drivers'!BR114</f>
        <v>#REF!</v>
      </c>
      <c r="AY503" t="e">
        <f>'Revenue drivers'!BS114</f>
        <v>#REF!</v>
      </c>
      <c r="AZ503" t="e">
        <f>'Revenue drivers'!BT114</f>
        <v>#REF!</v>
      </c>
    </row>
    <row r="511" spans="9:52" ht="11.25" customHeight="1">
      <c r="I511">
        <f>'Revenue drivers'!I366</f>
        <v>0</v>
      </c>
      <c r="M511">
        <f>'Revenue drivers'!M366</f>
        <v>0</v>
      </c>
      <c r="N511">
        <f>'Revenue drivers'!N366</f>
        <v>0</v>
      </c>
      <c r="O511">
        <f>'Revenue drivers'!O366</f>
        <v>0</v>
      </c>
      <c r="P511">
        <f>'Revenue drivers'!P366</f>
        <v>0</v>
      </c>
      <c r="Q511">
        <f>'Revenue drivers'!Q366</f>
        <v>0</v>
      </c>
      <c r="R511">
        <f>'Revenue drivers'!R366</f>
        <v>0</v>
      </c>
      <c r="S511">
        <f>'Revenue drivers'!S366</f>
        <v>0</v>
      </c>
      <c r="T511">
        <f>'Revenue drivers'!T366</f>
        <v>0</v>
      </c>
      <c r="U511">
        <f>'Revenue drivers'!U366</f>
        <v>0</v>
      </c>
      <c r="V511">
        <f>'Revenue drivers'!V366</f>
        <v>0</v>
      </c>
      <c r="W511">
        <f>'Revenue drivers'!W366</f>
        <v>0</v>
      </c>
      <c r="X511">
        <f>'Revenue drivers'!X366</f>
        <v>0</v>
      </c>
      <c r="Y511">
        <f>'Revenue drivers'!Y366</f>
        <v>0</v>
      </c>
      <c r="Z511">
        <f>'Revenue drivers'!Z366</f>
        <v>0</v>
      </c>
      <c r="AA511">
        <f>'Revenue drivers'!AA366</f>
        <v>0</v>
      </c>
      <c r="AB511">
        <f>'Revenue drivers'!AB366</f>
        <v>0</v>
      </c>
      <c r="AC511">
        <f>'Revenue drivers'!AC366</f>
        <v>0</v>
      </c>
      <c r="AD511">
        <f>'Revenue drivers'!AD366</f>
        <v>0</v>
      </c>
      <c r="AE511">
        <f>'Revenue drivers'!AE366</f>
        <v>0</v>
      </c>
      <c r="AF511">
        <f>'Revenue drivers'!AF366</f>
        <v>0</v>
      </c>
      <c r="AG511">
        <f>'Revenue drivers'!AG366</f>
        <v>0</v>
      </c>
      <c r="AH511">
        <f>'Revenue drivers'!AH366</f>
        <v>0</v>
      </c>
      <c r="AI511">
        <f>'Revenue drivers'!AI366</f>
        <v>0</v>
      </c>
      <c r="AJ511">
        <f>'Revenue drivers'!AJ366</f>
        <v>0</v>
      </c>
      <c r="AL511">
        <f>'Revenue drivers'!BF366</f>
        <v>0</v>
      </c>
      <c r="AM511">
        <f>'Revenue drivers'!BG366</f>
        <v>0</v>
      </c>
      <c r="AN511">
        <f>'Revenue drivers'!BH366</f>
        <v>0</v>
      </c>
      <c r="AO511">
        <f>'Revenue drivers'!BI366</f>
        <v>0</v>
      </c>
      <c r="AP511">
        <f>'Revenue drivers'!BJ366</f>
        <v>0</v>
      </c>
      <c r="AQ511">
        <f>'Revenue drivers'!BK366</f>
        <v>0</v>
      </c>
      <c r="AR511">
        <f>'Revenue drivers'!BL366</f>
        <v>0</v>
      </c>
      <c r="AS511">
        <f>'Revenue drivers'!BM366</f>
        <v>0</v>
      </c>
      <c r="AT511">
        <f>'Revenue drivers'!BN366</f>
        <v>0</v>
      </c>
      <c r="AU511">
        <f>'Revenue drivers'!BO366</f>
        <v>0</v>
      </c>
      <c r="AV511">
        <f>'Revenue drivers'!BP366</f>
        <v>0</v>
      </c>
      <c r="AW511">
        <f>'Revenue drivers'!BQ366</f>
        <v>0</v>
      </c>
      <c r="AX511">
        <f>'Revenue drivers'!BR366</f>
        <v>0</v>
      </c>
      <c r="AY511">
        <f>'Revenue drivers'!BS366</f>
        <v>0</v>
      </c>
      <c r="AZ511">
        <f>'Revenue drivers'!BT366</f>
        <v>0</v>
      </c>
    </row>
    <row r="512" spans="9:52" ht="11.25" customHeight="1">
      <c r="I512" t="str">
        <f>'Revenue drivers'!I367</f>
        <v>OPERATIONAL METRICS</v>
      </c>
      <c r="M512">
        <f>'Revenue drivers'!M367</f>
        <v>0</v>
      </c>
      <c r="N512">
        <f>'Revenue drivers'!N367</f>
        <v>0</v>
      </c>
      <c r="O512">
        <f>'Revenue drivers'!O367</f>
        <v>0</v>
      </c>
      <c r="P512">
        <f>'Revenue drivers'!P367</f>
        <v>0</v>
      </c>
      <c r="Q512">
        <f>'Revenue drivers'!Q367</f>
        <v>0</v>
      </c>
      <c r="R512">
        <f>'Revenue drivers'!R367</f>
        <v>0</v>
      </c>
      <c r="S512">
        <f>'Revenue drivers'!S367</f>
        <v>0</v>
      </c>
      <c r="T512">
        <f>'Revenue drivers'!T367</f>
        <v>0</v>
      </c>
      <c r="U512">
        <f>'Revenue drivers'!U367</f>
        <v>0</v>
      </c>
      <c r="V512">
        <f>'Revenue drivers'!V367</f>
        <v>0</v>
      </c>
      <c r="W512">
        <f>'Revenue drivers'!W367</f>
        <v>0</v>
      </c>
      <c r="X512">
        <f>'Revenue drivers'!X367</f>
        <v>0</v>
      </c>
      <c r="Y512">
        <f>'Revenue drivers'!Y367</f>
        <v>0</v>
      </c>
      <c r="Z512">
        <f>'Revenue drivers'!Z367</f>
        <v>0</v>
      </c>
      <c r="AA512">
        <f>'Revenue drivers'!AA367</f>
        <v>0</v>
      </c>
      <c r="AB512">
        <f>'Revenue drivers'!AB367</f>
        <v>0</v>
      </c>
      <c r="AC512">
        <f>'Revenue drivers'!AC367</f>
        <v>0</v>
      </c>
      <c r="AD512">
        <f>'Revenue drivers'!AD367</f>
        <v>0</v>
      </c>
      <c r="AE512">
        <f>'Revenue drivers'!AE367</f>
        <v>0</v>
      </c>
      <c r="AF512">
        <f>'Revenue drivers'!AF367</f>
        <v>0</v>
      </c>
      <c r="AG512">
        <f>'Revenue drivers'!AG367</f>
        <v>0</v>
      </c>
      <c r="AH512">
        <f>'Revenue drivers'!AH367</f>
        <v>0</v>
      </c>
      <c r="AI512">
        <f>'Revenue drivers'!AI367</f>
        <v>0</v>
      </c>
      <c r="AJ512">
        <f>'Revenue drivers'!AJ367</f>
        <v>0</v>
      </c>
      <c r="AL512">
        <f>'Revenue drivers'!BF367</f>
        <v>0</v>
      </c>
      <c r="AM512">
        <f>'Revenue drivers'!BG367</f>
        <v>0</v>
      </c>
      <c r="AN512">
        <f>'Revenue drivers'!BH367</f>
        <v>0</v>
      </c>
      <c r="AO512">
        <f>'Revenue drivers'!BI367</f>
        <v>0</v>
      </c>
      <c r="AP512">
        <f>'Revenue drivers'!BJ367</f>
        <v>0</v>
      </c>
      <c r="AQ512">
        <f>'Revenue drivers'!BK367</f>
        <v>0</v>
      </c>
      <c r="AR512">
        <f>'Revenue drivers'!BL367</f>
        <v>0</v>
      </c>
      <c r="AS512">
        <f>'Revenue drivers'!BM367</f>
        <v>0</v>
      </c>
      <c r="AT512">
        <f>'Revenue drivers'!BN367</f>
        <v>0</v>
      </c>
      <c r="AU512">
        <f>'Revenue drivers'!BO367</f>
        <v>0</v>
      </c>
      <c r="AV512">
        <f>'Revenue drivers'!BP367</f>
        <v>0</v>
      </c>
      <c r="AW512">
        <f>'Revenue drivers'!BQ367</f>
        <v>0</v>
      </c>
      <c r="AX512">
        <f>'Revenue drivers'!BR367</f>
        <v>0</v>
      </c>
      <c r="AY512">
        <f>'Revenue drivers'!BS367</f>
        <v>0</v>
      </c>
      <c r="AZ512">
        <f>'Revenue drivers'!BT367</f>
        <v>0</v>
      </c>
    </row>
    <row r="515" spans="9:52" ht="11.25" customHeight="1">
      <c r="I515">
        <f>'Revenue drivers'!I368</f>
        <v>0</v>
      </c>
      <c r="M515">
        <f>'Revenue drivers'!M368</f>
        <v>0</v>
      </c>
      <c r="N515">
        <f>'Revenue drivers'!N368</f>
        <v>0</v>
      </c>
      <c r="O515">
        <f>'Revenue drivers'!O368</f>
        <v>0</v>
      </c>
      <c r="P515">
        <f>'Revenue drivers'!P368</f>
        <v>0</v>
      </c>
      <c r="Q515">
        <f>'Revenue drivers'!Q368</f>
        <v>0</v>
      </c>
      <c r="R515">
        <f>'Revenue drivers'!R368</f>
        <v>0</v>
      </c>
      <c r="S515">
        <f>'Revenue drivers'!S368</f>
        <v>0</v>
      </c>
      <c r="T515">
        <f>'Revenue drivers'!T368</f>
        <v>0</v>
      </c>
      <c r="U515">
        <f>'Revenue drivers'!U368</f>
        <v>0</v>
      </c>
      <c r="V515">
        <f>'Revenue drivers'!V368</f>
        <v>0</v>
      </c>
      <c r="W515">
        <f>'Revenue drivers'!W368</f>
        <v>0</v>
      </c>
      <c r="X515">
        <f>'Revenue drivers'!X368</f>
        <v>0</v>
      </c>
      <c r="Y515">
        <f>'Revenue drivers'!Y368</f>
        <v>0</v>
      </c>
      <c r="Z515">
        <f>'Revenue drivers'!Z368</f>
        <v>0</v>
      </c>
      <c r="AA515">
        <f>'Revenue drivers'!AA368</f>
        <v>0</v>
      </c>
      <c r="AB515">
        <f>'Revenue drivers'!AB368</f>
        <v>0</v>
      </c>
      <c r="AC515">
        <f>'Revenue drivers'!AC368</f>
        <v>0</v>
      </c>
      <c r="AD515">
        <f>'Revenue drivers'!AD368</f>
        <v>0</v>
      </c>
      <c r="AE515">
        <f>'Revenue drivers'!AE368</f>
        <v>0</v>
      </c>
      <c r="AF515">
        <f>'Revenue drivers'!AF368</f>
        <v>0</v>
      </c>
      <c r="AG515">
        <f>'Revenue drivers'!AG368</f>
        <v>0</v>
      </c>
      <c r="AH515">
        <f>'Revenue drivers'!AH368</f>
        <v>0</v>
      </c>
      <c r="AI515">
        <f>'Revenue drivers'!AI368</f>
        <v>0</v>
      </c>
      <c r="AJ515">
        <f>'Revenue drivers'!AJ368</f>
        <v>0</v>
      </c>
      <c r="AL515">
        <f>'Revenue drivers'!BF368</f>
        <v>0</v>
      </c>
      <c r="AM515">
        <f>'Revenue drivers'!BG368</f>
        <v>0</v>
      </c>
      <c r="AN515">
        <f>'Revenue drivers'!BH368</f>
        <v>0</v>
      </c>
      <c r="AO515">
        <f>'Revenue drivers'!BI368</f>
        <v>0</v>
      </c>
      <c r="AP515">
        <f>'Revenue drivers'!BJ368</f>
        <v>0</v>
      </c>
      <c r="AQ515">
        <f>'Revenue drivers'!BK368</f>
        <v>0</v>
      </c>
      <c r="AR515">
        <f>'Revenue drivers'!BL368</f>
        <v>0</v>
      </c>
      <c r="AS515">
        <f>'Revenue drivers'!BM368</f>
        <v>0</v>
      </c>
      <c r="AT515">
        <f>'Revenue drivers'!BN368</f>
        <v>0</v>
      </c>
      <c r="AU515">
        <f>'Revenue drivers'!BO368</f>
        <v>0</v>
      </c>
      <c r="AV515">
        <f>'Revenue drivers'!BP368</f>
        <v>0</v>
      </c>
      <c r="AW515">
        <f>'Revenue drivers'!BQ368</f>
        <v>0</v>
      </c>
      <c r="AX515">
        <f>'Revenue drivers'!BR368</f>
        <v>0</v>
      </c>
      <c r="AY515">
        <f>'Revenue drivers'!BS368</f>
        <v>0</v>
      </c>
      <c r="AZ515">
        <f>'Revenue drivers'!BT368</f>
        <v>0</v>
      </c>
    </row>
    <row r="516" spans="9:52" ht="11.25" customHeight="1">
      <c r="I516" t="str">
        <f>'Revenue drivers'!I369</f>
        <v>Reviews (millions)</v>
      </c>
      <c r="M516">
        <f>'Revenue drivers'!M369</f>
        <v>0</v>
      </c>
      <c r="N516">
        <f>'Revenue drivers'!N369</f>
        <v>0</v>
      </c>
      <c r="O516">
        <f>'Revenue drivers'!O369</f>
        <v>0</v>
      </c>
      <c r="P516">
        <f>'Revenue drivers'!P369</f>
        <v>0</v>
      </c>
      <c r="Q516">
        <f>'Revenue drivers'!Q369</f>
        <v>0</v>
      </c>
      <c r="R516">
        <f>'Revenue drivers'!R369</f>
        <v>0</v>
      </c>
      <c r="S516">
        <f>'Revenue drivers'!S369</f>
        <v>0</v>
      </c>
      <c r="T516">
        <f>'Revenue drivers'!T369</f>
        <v>0</v>
      </c>
      <c r="U516">
        <f>'Revenue drivers'!U369</f>
        <v>0</v>
      </c>
      <c r="V516">
        <f>'Revenue drivers'!V369</f>
        <v>0</v>
      </c>
      <c r="W516">
        <f>'Revenue drivers'!W369</f>
        <v>0</v>
      </c>
      <c r="X516">
        <f>'Revenue drivers'!X369</f>
        <v>0</v>
      </c>
      <c r="Y516">
        <f>'Revenue drivers'!Y369</f>
        <v>0</v>
      </c>
      <c r="Z516">
        <f>'Revenue drivers'!Z369</f>
        <v>0</v>
      </c>
      <c r="AA516">
        <f>'Revenue drivers'!AA369</f>
        <v>0</v>
      </c>
      <c r="AB516">
        <f>'Revenue drivers'!AB369</f>
        <v>0</v>
      </c>
      <c r="AC516">
        <f>'Revenue drivers'!AC369</f>
        <v>0</v>
      </c>
      <c r="AD516">
        <f>'Revenue drivers'!AD369</f>
        <v>0</v>
      </c>
      <c r="AE516">
        <f>'Revenue drivers'!AE369</f>
        <v>0</v>
      </c>
      <c r="AF516">
        <f>'Revenue drivers'!AF369</f>
        <v>0</v>
      </c>
      <c r="AG516">
        <f>'Revenue drivers'!AG369</f>
        <v>0</v>
      </c>
      <c r="AH516">
        <f>'Revenue drivers'!AH369</f>
        <v>0</v>
      </c>
      <c r="AI516">
        <f>'Revenue drivers'!AI369</f>
        <v>0</v>
      </c>
      <c r="AJ516">
        <f>'Revenue drivers'!AJ369</f>
        <v>0</v>
      </c>
      <c r="AL516">
        <f>'Revenue drivers'!BF369</f>
        <v>0</v>
      </c>
      <c r="AM516">
        <f>'Revenue drivers'!BG369</f>
        <v>0</v>
      </c>
      <c r="AN516">
        <f>'Revenue drivers'!BH369</f>
        <v>0</v>
      </c>
      <c r="AO516">
        <f>'Revenue drivers'!BI369</f>
        <v>0</v>
      </c>
      <c r="AP516">
        <f>'Revenue drivers'!BJ369</f>
        <v>0</v>
      </c>
      <c r="AQ516">
        <f>'Revenue drivers'!BK369</f>
        <v>0</v>
      </c>
      <c r="AR516">
        <f>'Revenue drivers'!BL369</f>
        <v>0</v>
      </c>
      <c r="AS516">
        <f>'Revenue drivers'!BM369</f>
        <v>0</v>
      </c>
      <c r="AT516">
        <f>'Revenue drivers'!BN369</f>
        <v>0</v>
      </c>
      <c r="AU516">
        <f>'Revenue drivers'!BO369</f>
        <v>0</v>
      </c>
      <c r="AV516">
        <f>'Revenue drivers'!BP369</f>
        <v>0</v>
      </c>
      <c r="AW516">
        <f>'Revenue drivers'!BQ369</f>
        <v>0</v>
      </c>
      <c r="AX516">
        <f>'Revenue drivers'!BR369</f>
        <v>0</v>
      </c>
      <c r="AY516">
        <f>'Revenue drivers'!BS369</f>
        <v>0</v>
      </c>
      <c r="AZ516">
        <f>'Revenue drivers'!BT369</f>
        <v>0</v>
      </c>
    </row>
    <row r="517" spans="9:52" ht="11.25" customHeight="1">
      <c r="I517">
        <f>'Revenue drivers'!I370</f>
        <v>0</v>
      </c>
      <c r="M517">
        <f>'Revenue drivers'!M370</f>
        <v>0</v>
      </c>
      <c r="N517">
        <f>'Revenue drivers'!N370</f>
        <v>0</v>
      </c>
      <c r="O517">
        <f>'Revenue drivers'!O370</f>
        <v>0</v>
      </c>
      <c r="P517">
        <f>'Revenue drivers'!P370</f>
        <v>0</v>
      </c>
      <c r="Q517">
        <f>'Revenue drivers'!Q370</f>
        <v>0</v>
      </c>
      <c r="R517">
        <f>'Revenue drivers'!R370</f>
        <v>0</v>
      </c>
      <c r="S517">
        <f>'Revenue drivers'!S370</f>
        <v>0</v>
      </c>
      <c r="T517">
        <f>'Revenue drivers'!T370</f>
        <v>0</v>
      </c>
      <c r="U517">
        <f>'Revenue drivers'!U370</f>
        <v>0</v>
      </c>
      <c r="V517">
        <f>'Revenue drivers'!V370</f>
        <v>0</v>
      </c>
      <c r="W517">
        <f>'Revenue drivers'!W370</f>
        <v>0</v>
      </c>
      <c r="X517">
        <f>'Revenue drivers'!X370</f>
        <v>0</v>
      </c>
      <c r="Y517">
        <f>'Revenue drivers'!Y370</f>
        <v>0</v>
      </c>
      <c r="Z517">
        <f>'Revenue drivers'!Z370</f>
        <v>0</v>
      </c>
      <c r="AA517">
        <f>'Revenue drivers'!AA370</f>
        <v>0</v>
      </c>
      <c r="AB517">
        <f>'Revenue drivers'!AB370</f>
        <v>0</v>
      </c>
      <c r="AC517">
        <f>'Revenue drivers'!AC370</f>
        <v>0</v>
      </c>
      <c r="AD517">
        <f>'Revenue drivers'!AD370</f>
        <v>0</v>
      </c>
      <c r="AE517">
        <f>'Revenue drivers'!AE370</f>
        <v>0</v>
      </c>
      <c r="AF517">
        <f>'Revenue drivers'!AF370</f>
        <v>0</v>
      </c>
      <c r="AG517">
        <f>'Revenue drivers'!AG370</f>
        <v>0</v>
      </c>
      <c r="AH517">
        <f>'Revenue drivers'!AH370</f>
        <v>0</v>
      </c>
      <c r="AI517">
        <f>'Revenue drivers'!AI370</f>
        <v>0</v>
      </c>
      <c r="AJ517">
        <f>'Revenue drivers'!AJ370</f>
        <v>0</v>
      </c>
      <c r="AL517">
        <f>'Revenue drivers'!BF370</f>
        <v>0</v>
      </c>
      <c r="AM517">
        <f>'Revenue drivers'!BG370</f>
        <v>0</v>
      </c>
      <c r="AN517">
        <f>'Revenue drivers'!BH370</f>
        <v>0</v>
      </c>
      <c r="AO517">
        <f>'Revenue drivers'!BI370</f>
        <v>0</v>
      </c>
      <c r="AP517">
        <f>'Revenue drivers'!BJ370</f>
        <v>0</v>
      </c>
      <c r="AQ517">
        <f>'Revenue drivers'!BK370</f>
        <v>0</v>
      </c>
      <c r="AR517">
        <f>'Revenue drivers'!BL370</f>
        <v>0</v>
      </c>
      <c r="AS517">
        <f>'Revenue drivers'!BM370</f>
        <v>0</v>
      </c>
      <c r="AT517">
        <f>'Revenue drivers'!BN370</f>
        <v>0</v>
      </c>
      <c r="AU517">
        <f>'Revenue drivers'!BO370</f>
        <v>0</v>
      </c>
      <c r="AV517">
        <f>'Revenue drivers'!BP370</f>
        <v>0</v>
      </c>
      <c r="AW517">
        <f>'Revenue drivers'!BQ370</f>
        <v>0</v>
      </c>
      <c r="AX517">
        <f>'Revenue drivers'!BR370</f>
        <v>0</v>
      </c>
      <c r="AY517">
        <f>'Revenue drivers'!BS370</f>
        <v>0</v>
      </c>
      <c r="AZ517">
        <f>'Revenue drivers'!BT370</f>
        <v>0</v>
      </c>
    </row>
    <row r="518" spans="9:52" ht="11.25" customHeight="1">
      <c r="I518" t="str">
        <f>'Revenue drivers'!I371</f>
        <v>Cumulative reviews</v>
      </c>
      <c r="M518">
        <f>'Revenue drivers'!M371</f>
        <v>10.244</v>
      </c>
      <c r="N518">
        <f>'Revenue drivers'!N371</f>
        <v>11.696</v>
      </c>
      <c r="O518">
        <f>'Revenue drivers'!O371</f>
        <v>13.475</v>
      </c>
      <c r="P518">
        <f>'Revenue drivers'!P371</f>
        <v>15.115</v>
      </c>
      <c r="Q518">
        <f>'Revenue drivers'!Q371</f>
        <v>17.338999999999999</v>
      </c>
      <c r="R518">
        <f>'Revenue drivers'!R371</f>
        <v>19.704999999999998</v>
      </c>
      <c r="S518">
        <f>'Revenue drivers'!S371</f>
        <v>22.39</v>
      </c>
      <c r="T518">
        <f>'Revenue drivers'!T371</f>
        <v>24.817</v>
      </c>
      <c r="U518">
        <f>'Revenue drivers'!U371</f>
        <v>27.568999999999999</v>
      </c>
      <c r="V518">
        <f>'Revenue drivers'!V371</f>
        <v>30.259</v>
      </c>
      <c r="W518">
        <f>'Revenue drivers'!W371</f>
        <v>33.258000000000003</v>
      </c>
      <c r="X518">
        <f>'Revenue drivers'!X371</f>
        <v>36</v>
      </c>
      <c r="Y518">
        <f>'Revenue drivers'!Y371</f>
        <v>39.103000000000002</v>
      </c>
      <c r="Z518">
        <f>'Revenue drivers'!Z371</f>
        <v>42.526000000000003</v>
      </c>
      <c r="AA518">
        <f>'Revenue drivers'!AA371</f>
        <v>47.322000000000003</v>
      </c>
      <c r="AB518">
        <f>'Revenue drivers'!AB371</f>
        <v>52.756999999999998</v>
      </c>
      <c r="AC518">
        <f>'Revenue drivers'!AC371</f>
        <v>57</v>
      </c>
      <c r="AD518">
        <f>'Revenue drivers'!AD371</f>
        <v>61.341999999999999</v>
      </c>
      <c r="AE518">
        <f>'Revenue drivers'!AE371</f>
        <v>66.591999999999999</v>
      </c>
      <c r="AF518">
        <f>'Revenue drivers'!AF371</f>
        <v>71.231999999999999</v>
      </c>
      <c r="AG518">
        <f>'Revenue drivers'!AG371</f>
        <v>77.346000000000004</v>
      </c>
      <c r="AH518">
        <f>'Revenue drivers'!AH371</f>
        <v>83.102000000000004</v>
      </c>
      <c r="AI518">
        <f>'Revenue drivers'!AI371</f>
        <v>89.635000000000005</v>
      </c>
      <c r="AJ518">
        <f>'Revenue drivers'!AJ371</f>
        <v>95.21</v>
      </c>
      <c r="AL518">
        <f>'Revenue drivers'!BF371</f>
        <v>0.61099999999999999</v>
      </c>
      <c r="AM518">
        <f>'Revenue drivers'!BG371</f>
        <v>1.9930000000000001</v>
      </c>
      <c r="AN518">
        <f>'Revenue drivers'!BH371</f>
        <v>4.8689999999999998</v>
      </c>
      <c r="AO518">
        <f>'Revenue drivers'!BI371</f>
        <v>8.8339999999999996</v>
      </c>
      <c r="AP518">
        <f>'Revenue drivers'!BJ371</f>
        <v>15.115</v>
      </c>
      <c r="AQ518">
        <f>'Revenue drivers'!BK371</f>
        <v>24.817</v>
      </c>
      <c r="AR518">
        <f>'Revenue drivers'!BL371</f>
        <v>36</v>
      </c>
      <c r="AS518">
        <f>'Revenue drivers'!BM371</f>
        <v>52.756999999999998</v>
      </c>
      <c r="AT518">
        <f>'Revenue drivers'!BN371</f>
        <v>71.231999999999999</v>
      </c>
      <c r="AU518">
        <f>'Revenue drivers'!BO371</f>
        <v>95.21</v>
      </c>
      <c r="AV518">
        <f>'Revenue drivers'!BP371</f>
        <v>121.02200000000001</v>
      </c>
      <c r="AW518">
        <f>'Revenue drivers'!BQ371</f>
        <v>148.298</v>
      </c>
      <c r="AX518">
        <f>'Revenue drivers'!BR371</f>
        <v>173.18600000000001</v>
      </c>
      <c r="AY518">
        <f>'Revenue drivers'!BS371</f>
        <v>197.65400000000002</v>
      </c>
      <c r="AZ518">
        <f>'Revenue drivers'!BT371</f>
        <v>221.70200000000003</v>
      </c>
    </row>
    <row r="519" spans="9:52" ht="11.25" customHeight="1">
      <c r="I519" t="str">
        <f>'Revenue drivers'!I372</f>
        <v>Q/Q Abs Growth (DRIVER)</v>
      </c>
      <c r="M519">
        <f>'Revenue drivers'!M372</f>
        <v>0</v>
      </c>
      <c r="N519">
        <f>'Revenue drivers'!N372</f>
        <v>1.452</v>
      </c>
      <c r="O519">
        <f>'Revenue drivers'!O372</f>
        <v>1.7789999999999999</v>
      </c>
      <c r="P519">
        <f>'Revenue drivers'!P372</f>
        <v>1.6400000000000006</v>
      </c>
      <c r="Q519">
        <f>'Revenue drivers'!Q372</f>
        <v>2.2239999999999984</v>
      </c>
      <c r="R519">
        <f>'Revenue drivers'!R372</f>
        <v>2.3659999999999997</v>
      </c>
      <c r="S519">
        <f>'Revenue drivers'!S372</f>
        <v>2.6850000000000023</v>
      </c>
      <c r="T519">
        <f>'Revenue drivers'!T372</f>
        <v>2.4269999999999996</v>
      </c>
      <c r="U519">
        <f>'Revenue drivers'!U372</f>
        <v>2.7519999999999989</v>
      </c>
      <c r="V519">
        <f>'Revenue drivers'!V372</f>
        <v>2.6900000000000013</v>
      </c>
      <c r="W519">
        <f>'Revenue drivers'!W372</f>
        <v>2.9990000000000023</v>
      </c>
      <c r="X519">
        <f>'Revenue drivers'!X372</f>
        <v>2.7419999999999973</v>
      </c>
      <c r="Y519">
        <f>'Revenue drivers'!Y372</f>
        <v>3.1030000000000015</v>
      </c>
      <c r="Z519">
        <f>'Revenue drivers'!Z372</f>
        <v>3.4230000000000018</v>
      </c>
      <c r="AA519">
        <f>'Revenue drivers'!AA372</f>
        <v>4.7959999999999994</v>
      </c>
      <c r="AB519">
        <f>'Revenue drivers'!AB372</f>
        <v>5.4349999999999952</v>
      </c>
      <c r="AC519">
        <f>'Revenue drivers'!AC372</f>
        <v>4.2430000000000021</v>
      </c>
      <c r="AD519">
        <f>'Revenue drivers'!AD372</f>
        <v>4.3419999999999987</v>
      </c>
      <c r="AE519">
        <f>'Revenue drivers'!AE372</f>
        <v>5.25</v>
      </c>
      <c r="AF519">
        <f>'Revenue drivers'!AF372</f>
        <v>4.6400000000000006</v>
      </c>
      <c r="AG519">
        <f>'Revenue drivers'!AG372</f>
        <v>6.1140000000000043</v>
      </c>
      <c r="AH519">
        <f>'Revenue drivers'!AH372</f>
        <v>5.7560000000000002</v>
      </c>
      <c r="AI519">
        <f>'Revenue drivers'!AI372</f>
        <v>6.5330000000000013</v>
      </c>
      <c r="AJ519">
        <f>'Revenue drivers'!AJ372</f>
        <v>5.5749999999999886</v>
      </c>
      <c r="AL519">
        <f>'Revenue drivers'!BF372</f>
        <v>0</v>
      </c>
      <c r="AM519">
        <f>'Revenue drivers'!BG372</f>
        <v>0</v>
      </c>
      <c r="AN519">
        <f>'Revenue drivers'!BH372</f>
        <v>0</v>
      </c>
      <c r="AO519">
        <f>'Revenue drivers'!BI372</f>
        <v>0</v>
      </c>
      <c r="AP519">
        <f>'Revenue drivers'!BJ372</f>
        <v>0</v>
      </c>
      <c r="AQ519">
        <f>'Revenue drivers'!BK372</f>
        <v>0</v>
      </c>
      <c r="AR519">
        <f>'Revenue drivers'!BL372</f>
        <v>0</v>
      </c>
      <c r="AS519">
        <f>'Revenue drivers'!BM372</f>
        <v>0</v>
      </c>
      <c r="AT519">
        <f>'Revenue drivers'!BN372</f>
        <v>0</v>
      </c>
      <c r="AU519">
        <f>'Revenue drivers'!BO372</f>
        <v>0</v>
      </c>
      <c r="AV519">
        <f>'Revenue drivers'!BP372</f>
        <v>0</v>
      </c>
      <c r="AW519">
        <f>'Revenue drivers'!BQ372</f>
        <v>0</v>
      </c>
      <c r="AX519">
        <f>'Revenue drivers'!BR372</f>
        <v>0</v>
      </c>
      <c r="AY519">
        <f>'Revenue drivers'!BS372</f>
        <v>0</v>
      </c>
      <c r="AZ519">
        <f>'Revenue drivers'!BT372</f>
        <v>0</v>
      </c>
    </row>
    <row r="520" spans="9:52" ht="11.25" customHeight="1">
      <c r="I520" t="str">
        <f>'Revenue drivers'!I373</f>
        <v>Period-to-period addition Y/Y</v>
      </c>
      <c r="M520">
        <f>'Revenue drivers'!M373</f>
        <v>0</v>
      </c>
      <c r="N520">
        <f>'Revenue drivers'!N373</f>
        <v>0</v>
      </c>
      <c r="O520">
        <f>'Revenue drivers'!O373</f>
        <v>0</v>
      </c>
      <c r="P520">
        <f>'Revenue drivers'!P373</f>
        <v>0</v>
      </c>
      <c r="Q520">
        <f>'Revenue drivers'!Q373</f>
        <v>0</v>
      </c>
      <c r="R520">
        <f>'Revenue drivers'!R373</f>
        <v>0</v>
      </c>
      <c r="S520">
        <f>'Revenue drivers'!S373</f>
        <v>0</v>
      </c>
      <c r="T520">
        <f>'Revenue drivers'!T373</f>
        <v>0</v>
      </c>
      <c r="U520">
        <f>'Revenue drivers'!U373</f>
        <v>0</v>
      </c>
      <c r="V520">
        <f>'Revenue drivers'!V373</f>
        <v>0</v>
      </c>
      <c r="W520">
        <f>'Revenue drivers'!W373</f>
        <v>0.30900000000000105</v>
      </c>
      <c r="X520">
        <f>'Revenue drivers'!X373</f>
        <v>0</v>
      </c>
      <c r="Y520">
        <f>'Revenue drivers'!Y373</f>
        <v>0</v>
      </c>
      <c r="Z520">
        <f>'Revenue drivers'!Z373</f>
        <v>0</v>
      </c>
      <c r="AA520">
        <f>'Revenue drivers'!AA373</f>
        <v>1.3729999999999976</v>
      </c>
      <c r="AB520">
        <f>'Revenue drivers'!AB373</f>
        <v>0.63899999999999579</v>
      </c>
      <c r="AC520">
        <f>'Revenue drivers'!AC373</f>
        <v>-1.1919999999999931</v>
      </c>
      <c r="AD520">
        <f>'Revenue drivers'!AD373</f>
        <v>9.8999999999996646E-2</v>
      </c>
      <c r="AE520">
        <f>'Revenue drivers'!AE373</f>
        <v>0.90800000000000125</v>
      </c>
      <c r="AF520">
        <f>'Revenue drivers'!AF373</f>
        <v>-0.60999999999999943</v>
      </c>
      <c r="AG520">
        <f>'Revenue drivers'!AG373</f>
        <v>1.4740000000000038</v>
      </c>
      <c r="AH520">
        <f>'Revenue drivers'!AH373</f>
        <v>-0.35800000000000409</v>
      </c>
      <c r="AI520">
        <f>'Revenue drivers'!AI373</f>
        <v>0.77700000000000102</v>
      </c>
      <c r="AJ520">
        <f>'Revenue drivers'!AJ373</f>
        <v>-0.95800000000001262</v>
      </c>
      <c r="AL520">
        <f>'Revenue drivers'!BF373</f>
        <v>0</v>
      </c>
      <c r="AM520">
        <f>'Revenue drivers'!BG373</f>
        <v>1.3820000000000001</v>
      </c>
      <c r="AN520">
        <f>'Revenue drivers'!BH373</f>
        <v>2.8759999999999994</v>
      </c>
      <c r="AO520">
        <f>'Revenue drivers'!BI373</f>
        <v>3.9649999999999999</v>
      </c>
      <c r="AP520">
        <f>'Revenue drivers'!BJ373</f>
        <v>6.2810000000000006</v>
      </c>
      <c r="AQ520">
        <f>'Revenue drivers'!BK373</f>
        <v>9.702</v>
      </c>
      <c r="AR520">
        <f>'Revenue drivers'!BL373</f>
        <v>11.183</v>
      </c>
      <c r="AS520">
        <f>'Revenue drivers'!BM373</f>
        <v>16.756999999999998</v>
      </c>
      <c r="AT520">
        <f>'Revenue drivers'!BN373</f>
        <v>18.475000000000001</v>
      </c>
      <c r="AU520">
        <f>'Revenue drivers'!BO373</f>
        <v>23.977999999999994</v>
      </c>
      <c r="AV520">
        <f>'Revenue drivers'!BP373</f>
        <v>25.812000000000012</v>
      </c>
      <c r="AW520">
        <f>'Revenue drivers'!BQ373</f>
        <v>27.275999999999996</v>
      </c>
      <c r="AX520">
        <f>'Revenue drivers'!BR373</f>
        <v>24.888000000000005</v>
      </c>
      <c r="AY520">
        <f>'Revenue drivers'!BS373</f>
        <v>24.468000000000018</v>
      </c>
      <c r="AZ520">
        <f>'Revenue drivers'!BT373</f>
        <v>24.048000000000002</v>
      </c>
    </row>
    <row r="521" spans="9:52" ht="11.25" customHeight="1">
      <c r="I521" t="str">
        <f>'Revenue drivers'!I374</f>
        <v>% change Y/Y</v>
      </c>
      <c r="M521" t="str">
        <f>'Revenue drivers'!M374</f>
        <v>NA</v>
      </c>
      <c r="N521" t="str">
        <f>'Revenue drivers'!N374</f>
        <v>NA</v>
      </c>
      <c r="O521" t="str">
        <f>'Revenue drivers'!O374</f>
        <v>NA</v>
      </c>
      <c r="P521" t="str">
        <f>'Revenue drivers'!P374</f>
        <v>NA</v>
      </c>
      <c r="Q521">
        <f>'Revenue drivers'!Q374</f>
        <v>0.6926005466614602</v>
      </c>
      <c r="R521">
        <f>'Revenue drivers'!R374</f>
        <v>0.68476402188782481</v>
      </c>
      <c r="S521">
        <f>'Revenue drivers'!S374</f>
        <v>0.66159554730983317</v>
      </c>
      <c r="T521">
        <f>'Revenue drivers'!T374</f>
        <v>0.64187892821700299</v>
      </c>
      <c r="U521">
        <f>'Revenue drivers'!U374</f>
        <v>0.58999942326547106</v>
      </c>
      <c r="V521">
        <f>'Revenue drivers'!V374</f>
        <v>0.53560010149708215</v>
      </c>
      <c r="W521">
        <f>'Revenue drivers'!W374</f>
        <v>0.48539526574363556</v>
      </c>
      <c r="X521">
        <f>'Revenue drivers'!X374</f>
        <v>0.45061852762219434</v>
      </c>
      <c r="Y521">
        <f>'Revenue drivers'!Y374</f>
        <v>0.41836845732525663</v>
      </c>
      <c r="Z521">
        <f>'Revenue drivers'!Z374</f>
        <v>0.40540004626722648</v>
      </c>
      <c r="AA521">
        <f>'Revenue drivers'!AA374</f>
        <v>0.42287569907992051</v>
      </c>
      <c r="AB521">
        <f>'Revenue drivers'!AB374</f>
        <v>0.46547222222222207</v>
      </c>
      <c r="AC521">
        <f>'Revenue drivers'!AC374</f>
        <v>0.45768866838861455</v>
      </c>
      <c r="AD521">
        <f>'Revenue drivers'!AD374</f>
        <v>0.44245873112919143</v>
      </c>
      <c r="AE521">
        <f>'Revenue drivers'!AE374</f>
        <v>0.4072101770846539</v>
      </c>
      <c r="AF521">
        <f>'Revenue drivers'!AF374</f>
        <v>0.35019049604791785</v>
      </c>
      <c r="AG521">
        <f>'Revenue drivers'!AG374</f>
        <v>0.35694736842105268</v>
      </c>
      <c r="AH521">
        <f>'Revenue drivers'!AH374</f>
        <v>0.35473248345342512</v>
      </c>
      <c r="AI521">
        <f>'Revenue drivers'!AI374</f>
        <v>0.34603255646323894</v>
      </c>
      <c r="AJ521">
        <f>'Revenue drivers'!AJ374</f>
        <v>0.33661837376460002</v>
      </c>
      <c r="AL521">
        <f>'Revenue drivers'!BF374</f>
        <v>0</v>
      </c>
      <c r="AM521">
        <f>'Revenue drivers'!BG374</f>
        <v>0</v>
      </c>
      <c r="AN521">
        <f>'Revenue drivers'!BH374</f>
        <v>0</v>
      </c>
      <c r="AO521">
        <f>'Revenue drivers'!BI374</f>
        <v>0.81433559252413223</v>
      </c>
      <c r="AP521">
        <f>'Revenue drivers'!BJ374</f>
        <v>0.71100294317410007</v>
      </c>
      <c r="AQ521">
        <f>'Revenue drivers'!BK374</f>
        <v>0.64187892821700299</v>
      </c>
      <c r="AR521">
        <f>'Revenue drivers'!BL374</f>
        <v>0.45061852762219434</v>
      </c>
      <c r="AS521">
        <f>'Revenue drivers'!BM374</f>
        <v>0.46547222222222207</v>
      </c>
      <c r="AT521">
        <f>'Revenue drivers'!BN374</f>
        <v>0.35019049604791785</v>
      </c>
      <c r="AU521">
        <f>'Revenue drivers'!BO374</f>
        <v>0.33661837376460002</v>
      </c>
      <c r="AV521">
        <f>'Revenue drivers'!BP374</f>
        <v>0.27110597626299771</v>
      </c>
      <c r="AW521">
        <f>'Revenue drivers'!BQ374</f>
        <v>0.22538050932888232</v>
      </c>
      <c r="AX521">
        <f>'Revenue drivers'!BR374</f>
        <v>0.16782424577539823</v>
      </c>
      <c r="AY521">
        <f>'Revenue drivers'!BS374</f>
        <v>0.14128162784520693</v>
      </c>
      <c r="AZ521">
        <f>'Revenue drivers'!BT374</f>
        <v>0.12166715573679254</v>
      </c>
    </row>
    <row r="522" spans="9:52" ht="11.25" customHeight="1">
      <c r="I522" t="str">
        <f>'Revenue drivers'!I375</f>
        <v>% change Q/Q</v>
      </c>
      <c r="M522" t="str">
        <f>'Revenue drivers'!M375</f>
        <v>NA</v>
      </c>
      <c r="N522">
        <f>'Revenue drivers'!N375</f>
        <v>0.14174150722374068</v>
      </c>
      <c r="O522">
        <f>'Revenue drivers'!O375</f>
        <v>0.15210328317373456</v>
      </c>
      <c r="P522">
        <f>'Revenue drivers'!P375</f>
        <v>0.12170686456400737</v>
      </c>
      <c r="Q522">
        <f>'Revenue drivers'!Q375</f>
        <v>0.14713860403572609</v>
      </c>
      <c r="R522">
        <f>'Revenue drivers'!R375</f>
        <v>0.13645538958417447</v>
      </c>
      <c r="S522">
        <f>'Revenue drivers'!S375</f>
        <v>0.13625983252981499</v>
      </c>
      <c r="T522">
        <f>'Revenue drivers'!T375</f>
        <v>0.1083966056275123</v>
      </c>
      <c r="U522">
        <f>'Revenue drivers'!U375</f>
        <v>0.11089172744489662</v>
      </c>
      <c r="V522">
        <f>'Revenue drivers'!V375</f>
        <v>9.7573361384163393E-2</v>
      </c>
      <c r="W522">
        <f>'Revenue drivers'!W375</f>
        <v>9.9111008295052816E-2</v>
      </c>
      <c r="X522">
        <f>'Revenue drivers'!X375</f>
        <v>8.2446328702868499E-2</v>
      </c>
      <c r="Y522">
        <f>'Revenue drivers'!Y375</f>
        <v>8.6194444444444462E-2</v>
      </c>
      <c r="Z522">
        <f>'Revenue drivers'!Z375</f>
        <v>8.7538040559547836E-2</v>
      </c>
      <c r="AA522">
        <f>'Revenue drivers'!AA375</f>
        <v>0.1127780651836523</v>
      </c>
      <c r="AB522">
        <f>'Revenue drivers'!AB375</f>
        <v>0.11485144330332608</v>
      </c>
      <c r="AC522">
        <f>'Revenue drivers'!AC375</f>
        <v>8.0425346399529918E-2</v>
      </c>
      <c r="AD522">
        <f>'Revenue drivers'!AD375</f>
        <v>7.617543859649123E-2</v>
      </c>
      <c r="AE522">
        <f>'Revenue drivers'!AE375</f>
        <v>8.5585732450849328E-2</v>
      </c>
      <c r="AF522">
        <f>'Revenue drivers'!AF375</f>
        <v>6.967803940413253E-2</v>
      </c>
      <c r="AG522">
        <f>'Revenue drivers'!AG375</f>
        <v>8.5832210242587692E-2</v>
      </c>
      <c r="AH522">
        <f>'Revenue drivers'!AH375</f>
        <v>7.4418845189150096E-2</v>
      </c>
      <c r="AI522">
        <f>'Revenue drivers'!AI375</f>
        <v>7.8614233111116372E-2</v>
      </c>
      <c r="AJ522">
        <f>'Revenue drivers'!AJ375</f>
        <v>6.219668656216859E-2</v>
      </c>
      <c r="AL522">
        <f>'Revenue drivers'!BF375</f>
        <v>0</v>
      </c>
      <c r="AM522">
        <f>'Revenue drivers'!BG375</f>
        <v>0</v>
      </c>
      <c r="AN522">
        <f>'Revenue drivers'!BH375</f>
        <v>0</v>
      </c>
      <c r="AO522">
        <f>'Revenue drivers'!BI375</f>
        <v>0</v>
      </c>
      <c r="AP522">
        <f>'Revenue drivers'!BJ375</f>
        <v>0</v>
      </c>
      <c r="AQ522">
        <f>'Revenue drivers'!BK375</f>
        <v>0</v>
      </c>
      <c r="AR522">
        <f>'Revenue drivers'!BL375</f>
        <v>0</v>
      </c>
      <c r="AS522">
        <f>'Revenue drivers'!BM375</f>
        <v>0</v>
      </c>
      <c r="AT522">
        <f>'Revenue drivers'!BN375</f>
        <v>0</v>
      </c>
      <c r="AU522">
        <f>'Revenue drivers'!BO375</f>
        <v>0</v>
      </c>
      <c r="AV522">
        <f>'Revenue drivers'!BP375</f>
        <v>0</v>
      </c>
      <c r="AW522">
        <f>'Revenue drivers'!BQ375</f>
        <v>0</v>
      </c>
      <c r="AX522">
        <f>'Revenue drivers'!BR375</f>
        <v>0</v>
      </c>
      <c r="AY522">
        <f>'Revenue drivers'!BS375</f>
        <v>0</v>
      </c>
      <c r="AZ522">
        <f>'Revenue drivers'!BT375</f>
        <v>0</v>
      </c>
    </row>
    <row r="523" spans="9:52" ht="11.25" customHeight="1">
      <c r="I523">
        <f>'Revenue drivers'!I376</f>
        <v>0</v>
      </c>
      <c r="M523">
        <f>'Revenue drivers'!M376</f>
        <v>0</v>
      </c>
      <c r="N523">
        <f>'Revenue drivers'!N376</f>
        <v>0</v>
      </c>
      <c r="O523">
        <f>'Revenue drivers'!O376</f>
        <v>0</v>
      </c>
      <c r="P523">
        <f>'Revenue drivers'!P376</f>
        <v>0</v>
      </c>
      <c r="Q523">
        <f>'Revenue drivers'!Q376</f>
        <v>0</v>
      </c>
      <c r="R523">
        <f>'Revenue drivers'!R376</f>
        <v>0</v>
      </c>
      <c r="S523">
        <f>'Revenue drivers'!S376</f>
        <v>0</v>
      </c>
      <c r="T523">
        <f>'Revenue drivers'!T376</f>
        <v>0</v>
      </c>
      <c r="U523">
        <f>'Revenue drivers'!U376</f>
        <v>0</v>
      </c>
      <c r="V523">
        <f>'Revenue drivers'!V376</f>
        <v>0</v>
      </c>
      <c r="W523">
        <f>'Revenue drivers'!W376</f>
        <v>0</v>
      </c>
      <c r="X523">
        <f>'Revenue drivers'!X376</f>
        <v>0</v>
      </c>
      <c r="Y523">
        <f>'Revenue drivers'!Y376</f>
        <v>0</v>
      </c>
      <c r="Z523">
        <f>'Revenue drivers'!Z376</f>
        <v>0</v>
      </c>
      <c r="AA523">
        <f>'Revenue drivers'!AA376</f>
        <v>0</v>
      </c>
      <c r="AB523">
        <f>'Revenue drivers'!AB376</f>
        <v>0</v>
      </c>
      <c r="AC523">
        <f>'Revenue drivers'!AC376</f>
        <v>0</v>
      </c>
      <c r="AD523">
        <f>'Revenue drivers'!AD376</f>
        <v>0</v>
      </c>
      <c r="AE523">
        <f>'Revenue drivers'!AE376</f>
        <v>0</v>
      </c>
      <c r="AF523">
        <f>'Revenue drivers'!AF376</f>
        <v>0</v>
      </c>
      <c r="AG523">
        <f>'Revenue drivers'!AG376</f>
        <v>0</v>
      </c>
      <c r="AH523">
        <f>'Revenue drivers'!AH376</f>
        <v>0</v>
      </c>
      <c r="AI523">
        <f>'Revenue drivers'!AI376</f>
        <v>0</v>
      </c>
      <c r="AJ523">
        <f>'Revenue drivers'!AJ376</f>
        <v>0</v>
      </c>
      <c r="AL523">
        <f>'Revenue drivers'!BF376</f>
        <v>0</v>
      </c>
      <c r="AM523">
        <f>'Revenue drivers'!BG376</f>
        <v>0</v>
      </c>
      <c r="AN523">
        <f>'Revenue drivers'!BH376</f>
        <v>0</v>
      </c>
      <c r="AO523">
        <f>'Revenue drivers'!BI376</f>
        <v>0</v>
      </c>
      <c r="AP523">
        <f>'Revenue drivers'!BJ376</f>
        <v>0</v>
      </c>
      <c r="AQ523">
        <f>'Revenue drivers'!BK376</f>
        <v>0</v>
      </c>
      <c r="AR523">
        <f>'Revenue drivers'!BL376</f>
        <v>0</v>
      </c>
      <c r="AS523">
        <f>'Revenue drivers'!BM376</f>
        <v>0</v>
      </c>
      <c r="AT523">
        <f>'Revenue drivers'!BN376</f>
        <v>0</v>
      </c>
      <c r="AU523">
        <f>'Revenue drivers'!BO376</f>
        <v>0</v>
      </c>
      <c r="AV523">
        <f>'Revenue drivers'!BP376</f>
        <v>0</v>
      </c>
      <c r="AW523">
        <f>'Revenue drivers'!BQ376</f>
        <v>0</v>
      </c>
      <c r="AX523">
        <f>'Revenue drivers'!BR376</f>
        <v>0</v>
      </c>
      <c r="AY523">
        <f>'Revenue drivers'!BS376</f>
        <v>0</v>
      </c>
      <c r="AZ523">
        <f>'Revenue drivers'!BT376</f>
        <v>0</v>
      </c>
    </row>
    <row r="524" spans="9:52" ht="11.25" customHeight="1">
      <c r="I524" t="str">
        <f>'Revenue drivers'!I377</f>
        <v>Available reviews</v>
      </c>
      <c r="M524">
        <f>'Revenue drivers'!M377</f>
        <v>0</v>
      </c>
      <c r="N524">
        <f>'Revenue drivers'!N377</f>
        <v>0</v>
      </c>
      <c r="O524">
        <f>'Revenue drivers'!O377</f>
        <v>0</v>
      </c>
      <c r="P524">
        <f>'Revenue drivers'!P377</f>
        <v>0</v>
      </c>
      <c r="Q524">
        <f>'Revenue drivers'!Q377</f>
        <v>0</v>
      </c>
      <c r="R524">
        <f>'Revenue drivers'!R377</f>
        <v>0</v>
      </c>
      <c r="S524">
        <f>'Revenue drivers'!S377</f>
        <v>0</v>
      </c>
      <c r="T524">
        <f>'Revenue drivers'!T377</f>
        <v>18</v>
      </c>
      <c r="U524">
        <f>'Revenue drivers'!U377</f>
        <v>19.899999999999999</v>
      </c>
      <c r="V524">
        <f>'Revenue drivers'!V377</f>
        <v>21.6</v>
      </c>
      <c r="W524">
        <f>'Revenue drivers'!W377</f>
        <v>23.4</v>
      </c>
      <c r="X524">
        <f>'Revenue drivers'!X377</f>
        <v>25.199999999999996</v>
      </c>
      <c r="Y524">
        <f>'Revenue drivers'!Y377</f>
        <v>27.200000000000003</v>
      </c>
      <c r="Z524">
        <f>'Revenue drivers'!Z377</f>
        <v>29.35</v>
      </c>
      <c r="AA524">
        <f>'Revenue drivers'!AA377</f>
        <v>32.9</v>
      </c>
      <c r="AB524">
        <f>'Revenue drivers'!AB377</f>
        <v>36.5</v>
      </c>
      <c r="AC524">
        <f>'Revenue drivers'!AC377</f>
        <v>39.4</v>
      </c>
      <c r="AD524">
        <f>'Revenue drivers'!AD377</f>
        <v>42.5</v>
      </c>
      <c r="AE524">
        <f>'Revenue drivers'!AE377</f>
        <v>46.7</v>
      </c>
      <c r="AF524">
        <f>'Revenue drivers'!AF377</f>
        <v>49.653060600315385</v>
      </c>
      <c r="AG524">
        <f>'Revenue drivers'!AG377</f>
        <v>54.078258077701129</v>
      </c>
      <c r="AH524">
        <f>'Revenue drivers'!AH377</f>
        <v>58.014938085865488</v>
      </c>
      <c r="AI524">
        <f>'Revenue drivers'!AI377</f>
        <v>62.623068358201138</v>
      </c>
      <c r="AJ524">
        <f>'Revenue drivers'!AJ377</f>
        <v>66.49287861236931</v>
      </c>
      <c r="AL524">
        <f>'Revenue drivers'!BF377</f>
        <v>0</v>
      </c>
      <c r="AM524">
        <f>'Revenue drivers'!BG377</f>
        <v>0</v>
      </c>
      <c r="AN524">
        <f>'Revenue drivers'!BH377</f>
        <v>0</v>
      </c>
      <c r="AO524">
        <f>'Revenue drivers'!BI377</f>
        <v>0</v>
      </c>
      <c r="AP524">
        <f>'Revenue drivers'!BJ377</f>
        <v>0</v>
      </c>
      <c r="AQ524">
        <f>'Revenue drivers'!BK377</f>
        <v>18</v>
      </c>
      <c r="AR524">
        <f>'Revenue drivers'!BL377</f>
        <v>25.199999999999996</v>
      </c>
      <c r="AS524">
        <f>'Revenue drivers'!BM377</f>
        <v>36.5</v>
      </c>
      <c r="AT524">
        <f>'Revenue drivers'!BN377</f>
        <v>49.653060600315385</v>
      </c>
      <c r="AU524">
        <f>'Revenue drivers'!BO377</f>
        <v>66.49287861236931</v>
      </c>
      <c r="AV524">
        <f>'Revenue drivers'!BP377</f>
        <v>84.529480357525983</v>
      </c>
      <c r="AW524">
        <f>'Revenue drivers'!BQ377</f>
        <v>103.58154240587545</v>
      </c>
      <c r="AX524">
        <f>'Revenue drivers'!BR377</f>
        <v>120.96509245197454</v>
      </c>
      <c r="AY524">
        <f>'Revenue drivers'!BS377</f>
        <v>138.05524160736653</v>
      </c>
      <c r="AZ524">
        <f>'Revenue drivers'!BT377</f>
        <v>154.85203046739852</v>
      </c>
    </row>
    <row r="525" spans="9:52" ht="11.25" customHeight="1">
      <c r="I525" t="str">
        <f>'Revenue drivers'!I378</f>
        <v>% change Y/Y</v>
      </c>
      <c r="M525">
        <f>'Revenue drivers'!M378</f>
        <v>0</v>
      </c>
      <c r="N525">
        <f>'Revenue drivers'!N378</f>
        <v>0</v>
      </c>
      <c r="O525">
        <f>'Revenue drivers'!O378</f>
        <v>0</v>
      </c>
      <c r="P525">
        <f>'Revenue drivers'!P378</f>
        <v>0</v>
      </c>
      <c r="Q525">
        <f>'Revenue drivers'!Q378</f>
        <v>0</v>
      </c>
      <c r="R525">
        <f>'Revenue drivers'!R378</f>
        <v>0</v>
      </c>
      <c r="S525">
        <f>'Revenue drivers'!S378</f>
        <v>0</v>
      </c>
      <c r="T525" t="str">
        <f>'Revenue drivers'!T378</f>
        <v>NA</v>
      </c>
      <c r="U525" t="str">
        <f>'Revenue drivers'!U378</f>
        <v>NA</v>
      </c>
      <c r="V525" t="str">
        <f>'Revenue drivers'!V378</f>
        <v>NA</v>
      </c>
      <c r="W525" t="str">
        <f>'Revenue drivers'!W378</f>
        <v>NA</v>
      </c>
      <c r="X525">
        <f>'Revenue drivers'!X378</f>
        <v>0.39999999999999969</v>
      </c>
      <c r="Y525">
        <f>'Revenue drivers'!Y378</f>
        <v>0.3668341708542715</v>
      </c>
      <c r="Z525">
        <f>'Revenue drivers'!Z378</f>
        <v>0.35879629629629628</v>
      </c>
      <c r="AA525">
        <f>'Revenue drivers'!AA378</f>
        <v>0.40598290598290609</v>
      </c>
      <c r="AB525">
        <f>'Revenue drivers'!AB378</f>
        <v>0.4484126984126986</v>
      </c>
      <c r="AC525">
        <f>'Revenue drivers'!AC378</f>
        <v>0.44852941176470562</v>
      </c>
      <c r="AD525">
        <f>'Revenue drivers'!AD378</f>
        <v>0.44804088586030666</v>
      </c>
      <c r="AE525">
        <f>'Revenue drivers'!AE378</f>
        <v>0.41945288753799415</v>
      </c>
      <c r="AF525">
        <f>'Revenue drivers'!AF378</f>
        <v>0.36035782466617494</v>
      </c>
      <c r="AG525">
        <f>'Revenue drivers'!AG378</f>
        <v>0.37254462126145005</v>
      </c>
      <c r="AH525">
        <f>'Revenue drivers'!AH378</f>
        <v>0.36505736672624667</v>
      </c>
      <c r="AI525">
        <f>'Revenue drivers'!AI378</f>
        <v>0.34096506120345049</v>
      </c>
      <c r="AJ525">
        <f>'Revenue drivers'!AJ378</f>
        <v>0.33914964774491585</v>
      </c>
      <c r="AL525">
        <f>'Revenue drivers'!BF378</f>
        <v>0</v>
      </c>
      <c r="AM525">
        <f>'Revenue drivers'!BG378</f>
        <v>0</v>
      </c>
      <c r="AN525">
        <f>'Revenue drivers'!BH378</f>
        <v>0</v>
      </c>
      <c r="AO525">
        <f>'Revenue drivers'!BI378</f>
        <v>0</v>
      </c>
      <c r="AP525">
        <f>'Revenue drivers'!BJ378</f>
        <v>0</v>
      </c>
      <c r="AQ525" t="str">
        <f>'Revenue drivers'!BK378</f>
        <v>NA</v>
      </c>
      <c r="AR525">
        <f>'Revenue drivers'!BL378</f>
        <v>0.39999999999999969</v>
      </c>
      <c r="AS525">
        <f>'Revenue drivers'!BM378</f>
        <v>0.4484126984126986</v>
      </c>
      <c r="AT525">
        <f>'Revenue drivers'!BN378</f>
        <v>0.36035782466617494</v>
      </c>
      <c r="AU525">
        <f>'Revenue drivers'!BO378</f>
        <v>0.33914964774491585</v>
      </c>
      <c r="AV525">
        <f>'Revenue drivers'!BP378</f>
        <v>0.27125614233523976</v>
      </c>
      <c r="AW525">
        <f>'Revenue drivers'!BQ378</f>
        <v>0.22538955601959043</v>
      </c>
      <c r="AX525">
        <f>'Revenue drivers'!BR378</f>
        <v>0.16782478463183259</v>
      </c>
      <c r="AY525">
        <f>'Revenue drivers'!BS378</f>
        <v>0.14128166075826454</v>
      </c>
      <c r="AZ525">
        <f>'Revenue drivers'!BT378</f>
        <v>0.12166715775850512</v>
      </c>
    </row>
    <row r="526" spans="9:52" ht="11.25" customHeight="1">
      <c r="I526" t="str">
        <f>'Revenue drivers'!I379</f>
        <v>% change Q/Q</v>
      </c>
      <c r="M526">
        <f>'Revenue drivers'!M379</f>
        <v>0</v>
      </c>
      <c r="N526">
        <f>'Revenue drivers'!N379</f>
        <v>0</v>
      </c>
      <c r="O526">
        <f>'Revenue drivers'!O379</f>
        <v>0</v>
      </c>
      <c r="P526">
        <f>'Revenue drivers'!P379</f>
        <v>0</v>
      </c>
      <c r="Q526">
        <f>'Revenue drivers'!Q379</f>
        <v>0</v>
      </c>
      <c r="R526">
        <f>'Revenue drivers'!R379</f>
        <v>0</v>
      </c>
      <c r="S526">
        <f>'Revenue drivers'!S379</f>
        <v>0</v>
      </c>
      <c r="T526" t="str">
        <f>'Revenue drivers'!T379</f>
        <v>NA</v>
      </c>
      <c r="U526">
        <f>'Revenue drivers'!U379</f>
        <v>0.1055555555555554</v>
      </c>
      <c r="V526">
        <f>'Revenue drivers'!V379</f>
        <v>8.5427135678392219E-2</v>
      </c>
      <c r="W526">
        <f>'Revenue drivers'!W379</f>
        <v>8.3333333333333259E-2</v>
      </c>
      <c r="X526">
        <f>'Revenue drivers'!X379</f>
        <v>7.6923076923076872E-2</v>
      </c>
      <c r="Y526">
        <f>'Revenue drivers'!Y379</f>
        <v>7.9365079365079749E-2</v>
      </c>
      <c r="Z526">
        <f>'Revenue drivers'!Z379</f>
        <v>7.9044117647058654E-2</v>
      </c>
      <c r="AA526">
        <f>'Revenue drivers'!AA379</f>
        <v>0.12095400340715501</v>
      </c>
      <c r="AB526">
        <f>'Revenue drivers'!AB379</f>
        <v>0.10942249240121593</v>
      </c>
      <c r="AC526">
        <f>'Revenue drivers'!AC379</f>
        <v>7.9452054794520555E-2</v>
      </c>
      <c r="AD526">
        <f>'Revenue drivers'!AD379</f>
        <v>7.8680203045685237E-2</v>
      </c>
      <c r="AE526">
        <f>'Revenue drivers'!AE379</f>
        <v>9.8823529411764754E-2</v>
      </c>
      <c r="AF526">
        <f>'Revenue drivers'!AF379</f>
        <v>6.3234702362213735E-2</v>
      </c>
      <c r="AG526">
        <f>'Revenue drivers'!AG379</f>
        <v>8.9122350644335491E-2</v>
      </c>
      <c r="AH526">
        <f>'Revenue drivers'!AH379</f>
        <v>7.2795983970268319E-2</v>
      </c>
      <c r="AI526">
        <f>'Revenue drivers'!AI379</f>
        <v>7.9430064469177664E-2</v>
      </c>
      <c r="AJ526">
        <f>'Revenue drivers'!AJ379</f>
        <v>6.1795283361604669E-2</v>
      </c>
      <c r="AL526">
        <f>'Revenue drivers'!BF379</f>
        <v>0</v>
      </c>
      <c r="AM526">
        <f>'Revenue drivers'!BG379</f>
        <v>0</v>
      </c>
      <c r="AN526">
        <f>'Revenue drivers'!BH379</f>
        <v>0</v>
      </c>
      <c r="AO526">
        <f>'Revenue drivers'!BI379</f>
        <v>0</v>
      </c>
      <c r="AP526">
        <f>'Revenue drivers'!BJ379</f>
        <v>0</v>
      </c>
      <c r="AQ526">
        <f>'Revenue drivers'!BK379</f>
        <v>0</v>
      </c>
      <c r="AR526">
        <f>'Revenue drivers'!BL379</f>
        <v>0</v>
      </c>
      <c r="AS526">
        <f>'Revenue drivers'!BM379</f>
        <v>0</v>
      </c>
      <c r="AT526">
        <f>'Revenue drivers'!BN379</f>
        <v>0</v>
      </c>
      <c r="AU526">
        <f>'Revenue drivers'!BO379</f>
        <v>0</v>
      </c>
      <c r="AV526">
        <f>'Revenue drivers'!BP379</f>
        <v>0</v>
      </c>
      <c r="AW526">
        <f>'Revenue drivers'!BQ379</f>
        <v>0</v>
      </c>
      <c r="AX526">
        <f>'Revenue drivers'!BR379</f>
        <v>0</v>
      </c>
      <c r="AY526">
        <f>'Revenue drivers'!BS379</f>
        <v>0</v>
      </c>
      <c r="AZ526">
        <f>'Revenue drivers'!BT379</f>
        <v>0</v>
      </c>
    </row>
    <row r="527" spans="9:52" ht="11.25" customHeight="1">
      <c r="I527" t="str">
        <f>'Revenue drivers'!I380</f>
        <v>% of total reviews</v>
      </c>
      <c r="M527">
        <f>'Revenue drivers'!M380</f>
        <v>0</v>
      </c>
      <c r="N527">
        <f>'Revenue drivers'!N380</f>
        <v>0</v>
      </c>
      <c r="O527">
        <f>'Revenue drivers'!O380</f>
        <v>0</v>
      </c>
      <c r="P527">
        <f>'Revenue drivers'!P380</f>
        <v>0</v>
      </c>
      <c r="Q527">
        <f>'Revenue drivers'!Q380</f>
        <v>0</v>
      </c>
      <c r="R527">
        <f>'Revenue drivers'!R380</f>
        <v>0</v>
      </c>
      <c r="S527">
        <f>'Revenue drivers'!S380</f>
        <v>0</v>
      </c>
      <c r="T527">
        <f>'Revenue drivers'!T380</f>
        <v>0.72530926381109717</v>
      </c>
      <c r="U527">
        <f>'Revenue drivers'!U380</f>
        <v>0.72182523849250968</v>
      </c>
      <c r="V527">
        <f>'Revenue drivers'!V380</f>
        <v>0.71383720545953278</v>
      </c>
      <c r="W527">
        <f>'Revenue drivers'!W380</f>
        <v>0.70359011365686441</v>
      </c>
      <c r="X527">
        <f>'Revenue drivers'!X380</f>
        <v>0.69999999999999984</v>
      </c>
      <c r="Y527">
        <f>'Revenue drivers'!Y380</f>
        <v>0.69559880316088285</v>
      </c>
      <c r="Z527">
        <f>'Revenue drivers'!Z380</f>
        <v>0.69016601608427786</v>
      </c>
      <c r="AA527">
        <f>'Revenue drivers'!AA380</f>
        <v>0.69523688770550685</v>
      </c>
      <c r="AB527">
        <f>'Revenue drivers'!AB380</f>
        <v>0.69185131830847091</v>
      </c>
      <c r="AC527">
        <f>'Revenue drivers'!AC380</f>
        <v>0.69122807017543852</v>
      </c>
      <c r="AD527">
        <f>'Revenue drivers'!AD380</f>
        <v>0.69283688174497082</v>
      </c>
      <c r="AE527">
        <f>'Revenue drivers'!AE380</f>
        <v>0.7012854396924556</v>
      </c>
      <c r="AF527">
        <f>'Revenue drivers'!AF380</f>
        <v>0.69706116071871327</v>
      </c>
      <c r="AG527">
        <f>'Revenue drivers'!AG380</f>
        <v>0.69917330020558432</v>
      </c>
      <c r="AH527">
        <f>'Revenue drivers'!AH380</f>
        <v>0.6981172304621488</v>
      </c>
      <c r="AI527">
        <f>'Revenue drivers'!AI380</f>
        <v>0.69864526533386662</v>
      </c>
      <c r="AJ527">
        <f>'Revenue drivers'!AJ380</f>
        <v>0.69838124789800771</v>
      </c>
      <c r="AL527">
        <f>'Revenue drivers'!BF380</f>
        <v>0</v>
      </c>
      <c r="AM527">
        <f>'Revenue drivers'!BG380</f>
        <v>0</v>
      </c>
      <c r="AN527">
        <f>'Revenue drivers'!BH380</f>
        <v>0</v>
      </c>
      <c r="AO527">
        <f>'Revenue drivers'!BI380</f>
        <v>0</v>
      </c>
      <c r="AP527">
        <f>'Revenue drivers'!BJ380</f>
        <v>0</v>
      </c>
      <c r="AQ527">
        <f>'Revenue drivers'!BK380</f>
        <v>0.72530926381109717</v>
      </c>
      <c r="AR527">
        <f>'Revenue drivers'!BL380</f>
        <v>0.69999999999999984</v>
      </c>
      <c r="AS527">
        <f>'Revenue drivers'!BM380</f>
        <v>0.69185131830847091</v>
      </c>
      <c r="AT527">
        <f>'Revenue drivers'!BN380</f>
        <v>0.69706116071871327</v>
      </c>
      <c r="AU527">
        <f>'Revenue drivers'!BO380</f>
        <v>0.69838124789800771</v>
      </c>
      <c r="AV527">
        <f>'Revenue drivers'!BP380</f>
        <v>0.69846375334671362</v>
      </c>
      <c r="AW527">
        <f>'Revenue drivers'!BQ380</f>
        <v>0.69846890993725774</v>
      </c>
      <c r="AX527">
        <f>'Revenue drivers'!BR380</f>
        <v>0.69846923222416679</v>
      </c>
      <c r="AY527">
        <f>'Revenue drivers'!BS380</f>
        <v>0.69846925236709856</v>
      </c>
      <c r="AZ527">
        <f>'Revenue drivers'!BT380</f>
        <v>0.69846925362603174</v>
      </c>
    </row>
    <row r="528" spans="9:52" ht="11.25" customHeight="1">
      <c r="I528">
        <f>'Revenue drivers'!I381</f>
        <v>0</v>
      </c>
      <c r="M528">
        <f>'Revenue drivers'!M381</f>
        <v>0</v>
      </c>
      <c r="N528">
        <f>'Revenue drivers'!N381</f>
        <v>0</v>
      </c>
      <c r="O528">
        <f>'Revenue drivers'!O381</f>
        <v>0</v>
      </c>
      <c r="P528">
        <f>'Revenue drivers'!P381</f>
        <v>0</v>
      </c>
      <c r="Q528">
        <f>'Revenue drivers'!Q381</f>
        <v>0</v>
      </c>
      <c r="R528">
        <f>'Revenue drivers'!R381</f>
        <v>0</v>
      </c>
      <c r="S528">
        <f>'Revenue drivers'!S381</f>
        <v>0</v>
      </c>
      <c r="T528">
        <f>'Revenue drivers'!T381</f>
        <v>0</v>
      </c>
      <c r="U528">
        <f>'Revenue drivers'!U381</f>
        <v>0</v>
      </c>
      <c r="V528">
        <f>'Revenue drivers'!V381</f>
        <v>0</v>
      </c>
      <c r="W528">
        <f>'Revenue drivers'!W381</f>
        <v>0</v>
      </c>
      <c r="X528">
        <f>'Revenue drivers'!X381</f>
        <v>0</v>
      </c>
      <c r="Y528">
        <f>'Revenue drivers'!Y381</f>
        <v>0</v>
      </c>
      <c r="Z528">
        <f>'Revenue drivers'!Z381</f>
        <v>0</v>
      </c>
      <c r="AA528">
        <f>'Revenue drivers'!AA381</f>
        <v>0</v>
      </c>
      <c r="AB528">
        <f>'Revenue drivers'!AB381</f>
        <v>0</v>
      </c>
      <c r="AC528">
        <f>'Revenue drivers'!AC381</f>
        <v>0</v>
      </c>
      <c r="AD528">
        <f>'Revenue drivers'!AD381</f>
        <v>0</v>
      </c>
      <c r="AE528">
        <f>'Revenue drivers'!AE381</f>
        <v>0</v>
      </c>
      <c r="AF528">
        <f>'Revenue drivers'!AF381</f>
        <v>0</v>
      </c>
      <c r="AG528">
        <f>'Revenue drivers'!AG381</f>
        <v>0</v>
      </c>
      <c r="AH528">
        <f>'Revenue drivers'!AH381</f>
        <v>0</v>
      </c>
      <c r="AI528">
        <f>'Revenue drivers'!AI381</f>
        <v>0</v>
      </c>
      <c r="AJ528">
        <f>'Revenue drivers'!AJ381</f>
        <v>0</v>
      </c>
      <c r="AL528">
        <f>'Revenue drivers'!BF381</f>
        <v>0</v>
      </c>
      <c r="AM528">
        <f>'Revenue drivers'!BG381</f>
        <v>0</v>
      </c>
      <c r="AN528">
        <f>'Revenue drivers'!BH381</f>
        <v>0</v>
      </c>
      <c r="AO528">
        <f>'Revenue drivers'!BI381</f>
        <v>0</v>
      </c>
      <c r="AP528">
        <f>'Revenue drivers'!BJ381</f>
        <v>0</v>
      </c>
      <c r="AQ528">
        <f>'Revenue drivers'!BK381</f>
        <v>0</v>
      </c>
      <c r="AR528">
        <f>'Revenue drivers'!BL381</f>
        <v>0</v>
      </c>
      <c r="AS528">
        <f>'Revenue drivers'!BM381</f>
        <v>0</v>
      </c>
      <c r="AT528">
        <f>'Revenue drivers'!BN381</f>
        <v>0</v>
      </c>
      <c r="AU528">
        <f>'Revenue drivers'!BO381</f>
        <v>0</v>
      </c>
      <c r="AV528">
        <f>'Revenue drivers'!BP381</f>
        <v>0</v>
      </c>
      <c r="AW528">
        <f>'Revenue drivers'!BQ381</f>
        <v>0</v>
      </c>
      <c r="AX528">
        <f>'Revenue drivers'!BR381</f>
        <v>0</v>
      </c>
      <c r="AY528">
        <f>'Revenue drivers'!BS381</f>
        <v>0</v>
      </c>
      <c r="AZ528">
        <f>'Revenue drivers'!BT381</f>
        <v>0</v>
      </c>
    </row>
    <row r="529" spans="9:52" ht="11.25" customHeight="1">
      <c r="I529" t="str">
        <f>'Revenue drivers'!I382</f>
        <v>Filtered reviews</v>
      </c>
      <c r="M529">
        <f>'Revenue drivers'!M382</f>
        <v>0</v>
      </c>
      <c r="N529">
        <f>'Revenue drivers'!N382</f>
        <v>0</v>
      </c>
      <c r="O529">
        <f>'Revenue drivers'!O382</f>
        <v>0</v>
      </c>
      <c r="P529">
        <f>'Revenue drivers'!P382</f>
        <v>0</v>
      </c>
      <c r="Q529">
        <f>'Revenue drivers'!Q382</f>
        <v>0</v>
      </c>
      <c r="R529">
        <f>'Revenue drivers'!R382</f>
        <v>0</v>
      </c>
      <c r="S529">
        <f>'Revenue drivers'!S382</f>
        <v>0</v>
      </c>
      <c r="T529">
        <f>'Revenue drivers'!T382</f>
        <v>5</v>
      </c>
      <c r="U529">
        <f>'Revenue drivers'!U382</f>
        <v>5.6</v>
      </c>
      <c r="V529">
        <f>'Revenue drivers'!V382</f>
        <v>6.3</v>
      </c>
      <c r="W529">
        <f>'Revenue drivers'!W382</f>
        <v>7.4</v>
      </c>
      <c r="X529">
        <f>'Revenue drivers'!X382</f>
        <v>8.1</v>
      </c>
      <c r="Y529">
        <f>'Revenue drivers'!Y382</f>
        <v>9</v>
      </c>
      <c r="Z529">
        <f>'Revenue drivers'!Z382</f>
        <v>10</v>
      </c>
      <c r="AA529">
        <f>'Revenue drivers'!AA382</f>
        <v>11</v>
      </c>
      <c r="AB529">
        <f>'Revenue drivers'!AB382</f>
        <v>12.6</v>
      </c>
      <c r="AC529">
        <f>'Revenue drivers'!AC382</f>
        <v>13.5</v>
      </c>
      <c r="AD529">
        <f>'Revenue drivers'!AD382</f>
        <v>14.5</v>
      </c>
      <c r="AE529">
        <f>'Revenue drivers'!AE382</f>
        <v>15.3</v>
      </c>
      <c r="AF529">
        <f>'Revenue drivers'!AF382</f>
        <v>16.601934331166763</v>
      </c>
      <c r="AG529">
        <f>'Revenue drivers'!AG382</f>
        <v>17.898862678328779</v>
      </c>
      <c r="AH529">
        <f>'Revenue drivers'!AH382</f>
        <v>19.299666309220097</v>
      </c>
      <c r="AI529">
        <f>'Revenue drivers'!AI382</f>
        <v>20.779795331831167</v>
      </c>
      <c r="AJ529">
        <f>'Revenue drivers'!AJ382</f>
        <v>22.091933201937703</v>
      </c>
      <c r="AL529">
        <f>'Revenue drivers'!BF382</f>
        <v>0</v>
      </c>
      <c r="AM529">
        <f>'Revenue drivers'!BG382</f>
        <v>0</v>
      </c>
      <c r="AN529">
        <f>'Revenue drivers'!BH382</f>
        <v>0</v>
      </c>
      <c r="AO529">
        <f>'Revenue drivers'!BI382</f>
        <v>0</v>
      </c>
      <c r="AP529">
        <f>'Revenue drivers'!BJ382</f>
        <v>0</v>
      </c>
      <c r="AQ529">
        <f>'Revenue drivers'!BK382</f>
        <v>5</v>
      </c>
      <c r="AR529">
        <f>'Revenue drivers'!BL382</f>
        <v>8.1</v>
      </c>
      <c r="AS529">
        <f>'Revenue drivers'!BM382</f>
        <v>12.6</v>
      </c>
      <c r="AT529">
        <f>'Revenue drivers'!BN382</f>
        <v>16.601934331166763</v>
      </c>
      <c r="AU529">
        <f>'Revenue drivers'!BO382</f>
        <v>22.091933201937703</v>
      </c>
      <c r="AV529">
        <f>'Revenue drivers'!BP382</f>
        <v>28.073361702406221</v>
      </c>
      <c r="AW529">
        <f>'Revenue drivers'!BQ382</f>
        <v>34.399950849913395</v>
      </c>
      <c r="AX529">
        <f>'Revenue drivers'!BR382</f>
        <v>40.173052905551678</v>
      </c>
      <c r="AY529">
        <f>'Revenue drivers'!BS382</f>
        <v>45.848764094834934</v>
      </c>
      <c r="AZ529">
        <f>'Revenue drivers'!BT382</f>
        <v>51.427052597524785</v>
      </c>
    </row>
    <row r="530" spans="9:52" ht="11.25" customHeight="1">
      <c r="I530" t="str">
        <f>'Revenue drivers'!I383</f>
        <v>% change Y/Y</v>
      </c>
      <c r="M530">
        <f>'Revenue drivers'!M383</f>
        <v>0</v>
      </c>
      <c r="N530">
        <f>'Revenue drivers'!N383</f>
        <v>0</v>
      </c>
      <c r="O530">
        <f>'Revenue drivers'!O383</f>
        <v>0</v>
      </c>
      <c r="P530">
        <f>'Revenue drivers'!P383</f>
        <v>0</v>
      </c>
      <c r="Q530">
        <f>'Revenue drivers'!Q383</f>
        <v>0</v>
      </c>
      <c r="R530">
        <f>'Revenue drivers'!R383</f>
        <v>0</v>
      </c>
      <c r="S530">
        <f>'Revenue drivers'!S383</f>
        <v>0</v>
      </c>
      <c r="T530" t="str">
        <f>'Revenue drivers'!T383</f>
        <v>NA</v>
      </c>
      <c r="U530" t="str">
        <f>'Revenue drivers'!U383</f>
        <v>NA</v>
      </c>
      <c r="V530" t="str">
        <f>'Revenue drivers'!V383</f>
        <v>NA</v>
      </c>
      <c r="W530" t="str">
        <f>'Revenue drivers'!W383</f>
        <v>NA</v>
      </c>
      <c r="X530">
        <f>'Revenue drivers'!X383</f>
        <v>0.61999999999999988</v>
      </c>
      <c r="Y530">
        <f>'Revenue drivers'!Y383</f>
        <v>0.60714285714285721</v>
      </c>
      <c r="Z530">
        <f>'Revenue drivers'!Z383</f>
        <v>0.58730158730158744</v>
      </c>
      <c r="AA530">
        <f>'Revenue drivers'!AA383</f>
        <v>0.4864864864864864</v>
      </c>
      <c r="AB530">
        <f>'Revenue drivers'!AB383</f>
        <v>0.55555555555555558</v>
      </c>
      <c r="AC530">
        <f>'Revenue drivers'!AC383</f>
        <v>0.5</v>
      </c>
      <c r="AD530">
        <f>'Revenue drivers'!AD383</f>
        <v>0.44999999999999996</v>
      </c>
      <c r="AE530">
        <f>'Revenue drivers'!AE383</f>
        <v>0.39090909090909087</v>
      </c>
      <c r="AF530">
        <f>'Revenue drivers'!AF383</f>
        <v>0.31761383580688607</v>
      </c>
      <c r="AG530">
        <f>'Revenue drivers'!AG383</f>
        <v>0.32584167987620583</v>
      </c>
      <c r="AH530">
        <f>'Revenue drivers'!AH383</f>
        <v>0.33101146960138594</v>
      </c>
      <c r="AI530">
        <f>'Revenue drivers'!AI383</f>
        <v>0.35815655763602394</v>
      </c>
      <c r="AJ530">
        <f>'Revenue drivers'!AJ383</f>
        <v>0.33068429023144486</v>
      </c>
      <c r="AL530">
        <f>'Revenue drivers'!BF383</f>
        <v>0</v>
      </c>
      <c r="AM530">
        <f>'Revenue drivers'!BG383</f>
        <v>0</v>
      </c>
      <c r="AN530">
        <f>'Revenue drivers'!BH383</f>
        <v>0</v>
      </c>
      <c r="AO530">
        <f>'Revenue drivers'!BI383</f>
        <v>0</v>
      </c>
      <c r="AP530">
        <f>'Revenue drivers'!BJ383</f>
        <v>0</v>
      </c>
      <c r="AQ530" t="str">
        <f>'Revenue drivers'!BK383</f>
        <v>NA</v>
      </c>
      <c r="AR530">
        <f>'Revenue drivers'!BL383</f>
        <v>0.61999999999999988</v>
      </c>
      <c r="AS530">
        <f>'Revenue drivers'!BM383</f>
        <v>0.55555555555555558</v>
      </c>
      <c r="AT530">
        <f>'Revenue drivers'!BN383</f>
        <v>0.31761383580688607</v>
      </c>
      <c r="AU530">
        <f>'Revenue drivers'!BO383</f>
        <v>0.33068429023144486</v>
      </c>
      <c r="AV530">
        <f>'Revenue drivers'!BP383</f>
        <v>0.27075170134698223</v>
      </c>
      <c r="AW530">
        <f>'Revenue drivers'!BQ383</f>
        <v>0.22535915771586801</v>
      </c>
      <c r="AX530">
        <f>'Revenue drivers'!BR383</f>
        <v>0.16782297395790668</v>
      </c>
      <c r="AY530">
        <f>'Revenue drivers'!BS383</f>
        <v>0.14128155016316679</v>
      </c>
      <c r="AZ530">
        <f>'Revenue drivers'!BT383</f>
        <v>0.12166715096510683</v>
      </c>
    </row>
    <row r="531" spans="9:52" ht="11.25" customHeight="1">
      <c r="I531" t="str">
        <f>'Revenue drivers'!I384</f>
        <v>% change Q/Q</v>
      </c>
      <c r="M531">
        <f>'Revenue drivers'!M384</f>
        <v>0</v>
      </c>
      <c r="N531">
        <f>'Revenue drivers'!N384</f>
        <v>0</v>
      </c>
      <c r="O531">
        <f>'Revenue drivers'!O384</f>
        <v>0</v>
      </c>
      <c r="P531">
        <f>'Revenue drivers'!P384</f>
        <v>0</v>
      </c>
      <c r="Q531">
        <f>'Revenue drivers'!Q384</f>
        <v>0</v>
      </c>
      <c r="R531">
        <f>'Revenue drivers'!R384</f>
        <v>0</v>
      </c>
      <c r="S531">
        <f>'Revenue drivers'!S384</f>
        <v>0</v>
      </c>
      <c r="T531" t="str">
        <f>'Revenue drivers'!T384</f>
        <v>NA</v>
      </c>
      <c r="U531">
        <f>'Revenue drivers'!U384</f>
        <v>0.11999999999999988</v>
      </c>
      <c r="V531">
        <f>'Revenue drivers'!V384</f>
        <v>0.125</v>
      </c>
      <c r="W531">
        <f>'Revenue drivers'!W384</f>
        <v>0.17460317460317465</v>
      </c>
      <c r="X531">
        <f>'Revenue drivers'!X384</f>
        <v>9.4594594594594517E-2</v>
      </c>
      <c r="Y531">
        <f>'Revenue drivers'!Y384</f>
        <v>0.11111111111111116</v>
      </c>
      <c r="Z531">
        <f>'Revenue drivers'!Z384</f>
        <v>0.11111111111111116</v>
      </c>
      <c r="AA531">
        <f>'Revenue drivers'!AA384</f>
        <v>0.10000000000000009</v>
      </c>
      <c r="AB531">
        <f>'Revenue drivers'!AB384</f>
        <v>0.1454545454545455</v>
      </c>
      <c r="AC531">
        <f>'Revenue drivers'!AC384</f>
        <v>7.1428571428571397E-2</v>
      </c>
      <c r="AD531">
        <f>'Revenue drivers'!AD384</f>
        <v>7.4074074074074181E-2</v>
      </c>
      <c r="AE531">
        <f>'Revenue drivers'!AE384</f>
        <v>5.5172413793103559E-2</v>
      </c>
      <c r="AF531">
        <f>'Revenue drivers'!AF384</f>
        <v>8.5093747135082554E-2</v>
      </c>
      <c r="AG531">
        <f>'Revenue drivers'!AG384</f>
        <v>7.8119110778994916E-2</v>
      </c>
      <c r="AH531">
        <f>'Revenue drivers'!AH384</f>
        <v>7.8262158667061765E-2</v>
      </c>
      <c r="AI531">
        <f>'Revenue drivers'!AI384</f>
        <v>7.6691948912296137E-2</v>
      </c>
      <c r="AJ531">
        <f>'Revenue drivers'!AJ384</f>
        <v>6.3144889020950057E-2</v>
      </c>
      <c r="AL531">
        <f>'Revenue drivers'!BF384</f>
        <v>0</v>
      </c>
      <c r="AM531">
        <f>'Revenue drivers'!BG384</f>
        <v>0</v>
      </c>
      <c r="AN531">
        <f>'Revenue drivers'!BH384</f>
        <v>0</v>
      </c>
      <c r="AO531">
        <f>'Revenue drivers'!BI384</f>
        <v>0</v>
      </c>
      <c r="AP531">
        <f>'Revenue drivers'!BJ384</f>
        <v>0</v>
      </c>
      <c r="AQ531">
        <f>'Revenue drivers'!BK384</f>
        <v>0</v>
      </c>
      <c r="AR531">
        <f>'Revenue drivers'!BL384</f>
        <v>0</v>
      </c>
      <c r="AS531">
        <f>'Revenue drivers'!BM384</f>
        <v>0</v>
      </c>
      <c r="AT531">
        <f>'Revenue drivers'!BN384</f>
        <v>0</v>
      </c>
      <c r="AU531">
        <f>'Revenue drivers'!BO384</f>
        <v>0</v>
      </c>
      <c r="AV531">
        <f>'Revenue drivers'!BP384</f>
        <v>0</v>
      </c>
      <c r="AW531">
        <f>'Revenue drivers'!BQ384</f>
        <v>0</v>
      </c>
      <c r="AX531">
        <f>'Revenue drivers'!BR384</f>
        <v>0</v>
      </c>
      <c r="AY531">
        <f>'Revenue drivers'!BS384</f>
        <v>0</v>
      </c>
      <c r="AZ531">
        <f>'Revenue drivers'!BT384</f>
        <v>0</v>
      </c>
    </row>
    <row r="532" spans="9:52" ht="11.25" customHeight="1">
      <c r="I532" t="str">
        <f>'Revenue drivers'!I385</f>
        <v>% of total reviews</v>
      </c>
      <c r="M532">
        <f>'Revenue drivers'!M385</f>
        <v>0</v>
      </c>
      <c r="N532">
        <f>'Revenue drivers'!N385</f>
        <v>0</v>
      </c>
      <c r="O532">
        <f>'Revenue drivers'!O385</f>
        <v>0</v>
      </c>
      <c r="P532">
        <f>'Revenue drivers'!P385</f>
        <v>0</v>
      </c>
      <c r="Q532">
        <f>'Revenue drivers'!Q385</f>
        <v>0</v>
      </c>
      <c r="R532">
        <f>'Revenue drivers'!R385</f>
        <v>0</v>
      </c>
      <c r="S532">
        <f>'Revenue drivers'!S385</f>
        <v>0</v>
      </c>
      <c r="T532">
        <f>'Revenue drivers'!T385</f>
        <v>0.20147479550308256</v>
      </c>
      <c r="U532">
        <f>'Revenue drivers'!U385</f>
        <v>0.20312670027929922</v>
      </c>
      <c r="V532">
        <f>'Revenue drivers'!V385</f>
        <v>0.20820251825903036</v>
      </c>
      <c r="W532">
        <f>'Revenue drivers'!W385</f>
        <v>0.22250285645558962</v>
      </c>
      <c r="X532">
        <f>'Revenue drivers'!X385</f>
        <v>0.22499999999999998</v>
      </c>
      <c r="Y532">
        <f>'Revenue drivers'!Y385</f>
        <v>0.23016136869293916</v>
      </c>
      <c r="Z532">
        <f>'Revenue drivers'!Z385</f>
        <v>0.23515026101678971</v>
      </c>
      <c r="AA532">
        <f>'Revenue drivers'!AA385</f>
        <v>0.2324500232450023</v>
      </c>
      <c r="AB532">
        <f>'Revenue drivers'!AB385</f>
        <v>0.23883086604621187</v>
      </c>
      <c r="AC532">
        <f>'Revenue drivers'!AC385</f>
        <v>0.23684210526315788</v>
      </c>
      <c r="AD532">
        <f>'Revenue drivers'!AD385</f>
        <v>0.2363796420071077</v>
      </c>
      <c r="AE532">
        <f>'Revenue drivers'!AE385</f>
        <v>0.22975732820759251</v>
      </c>
      <c r="AF532">
        <f>'Revenue drivers'!AF385</f>
        <v>0.23306848510735012</v>
      </c>
      <c r="AG532">
        <f>'Revenue drivers'!AG385</f>
        <v>0.23141290665747133</v>
      </c>
      <c r="AH532">
        <f>'Revenue drivers'!AH385</f>
        <v>0.23224069588241072</v>
      </c>
      <c r="AI532">
        <f>'Revenue drivers'!AI385</f>
        <v>0.23182680126994104</v>
      </c>
      <c r="AJ532">
        <f>'Revenue drivers'!AJ385</f>
        <v>0.23203374857617587</v>
      </c>
      <c r="AL532">
        <f>'Revenue drivers'!BF385</f>
        <v>0</v>
      </c>
      <c r="AM532">
        <f>'Revenue drivers'!BG385</f>
        <v>0</v>
      </c>
      <c r="AN532">
        <f>'Revenue drivers'!BH385</f>
        <v>0</v>
      </c>
      <c r="AO532">
        <f>'Revenue drivers'!BI385</f>
        <v>0</v>
      </c>
      <c r="AP532">
        <f>'Revenue drivers'!BJ385</f>
        <v>0</v>
      </c>
      <c r="AQ532">
        <f>'Revenue drivers'!BK385</f>
        <v>0.20147479550308256</v>
      </c>
      <c r="AR532">
        <f>'Revenue drivers'!BL385</f>
        <v>0.22499999999999998</v>
      </c>
      <c r="AS532">
        <f>'Revenue drivers'!BM385</f>
        <v>0.23883086604621187</v>
      </c>
      <c r="AT532">
        <f>'Revenue drivers'!BN385</f>
        <v>0.23306848510735012</v>
      </c>
      <c r="AU532">
        <f>'Revenue drivers'!BO385</f>
        <v>0.23203374857617587</v>
      </c>
      <c r="AV532">
        <f>'Revenue drivers'!BP385</f>
        <v>0.23196907754297746</v>
      </c>
      <c r="AW532">
        <f>'Revenue drivers'!BQ385</f>
        <v>0.23196503560340256</v>
      </c>
      <c r="AX532">
        <f>'Revenue drivers'!BR385</f>
        <v>0.23196478298217915</v>
      </c>
      <c r="AY532">
        <f>'Revenue drivers'!BS385</f>
        <v>0.23196476719335266</v>
      </c>
      <c r="AZ532">
        <f>'Revenue drivers'!BT385</f>
        <v>0.23196476620655104</v>
      </c>
    </row>
    <row r="533" spans="9:52" ht="11.25" customHeight="1">
      <c r="I533">
        <f>'Revenue drivers'!I386</f>
        <v>0</v>
      </c>
      <c r="M533">
        <f>'Revenue drivers'!M386</f>
        <v>0</v>
      </c>
      <c r="N533">
        <f>'Revenue drivers'!N386</f>
        <v>0</v>
      </c>
      <c r="O533">
        <f>'Revenue drivers'!O386</f>
        <v>0</v>
      </c>
      <c r="P533">
        <f>'Revenue drivers'!P386</f>
        <v>0</v>
      </c>
      <c r="Q533">
        <f>'Revenue drivers'!Q386</f>
        <v>0</v>
      </c>
      <c r="R533">
        <f>'Revenue drivers'!R386</f>
        <v>0</v>
      </c>
      <c r="S533">
        <f>'Revenue drivers'!S386</f>
        <v>0</v>
      </c>
      <c r="T533">
        <f>'Revenue drivers'!T386</f>
        <v>0</v>
      </c>
      <c r="U533">
        <f>'Revenue drivers'!U386</f>
        <v>0</v>
      </c>
      <c r="V533">
        <f>'Revenue drivers'!V386</f>
        <v>0</v>
      </c>
      <c r="W533">
        <f>'Revenue drivers'!W386</f>
        <v>0</v>
      </c>
      <c r="X533">
        <f>'Revenue drivers'!X386</f>
        <v>0</v>
      </c>
      <c r="Y533">
        <f>'Revenue drivers'!Y386</f>
        <v>0</v>
      </c>
      <c r="Z533">
        <f>'Revenue drivers'!Z386</f>
        <v>0</v>
      </c>
      <c r="AA533">
        <f>'Revenue drivers'!AA386</f>
        <v>0</v>
      </c>
      <c r="AB533">
        <f>'Revenue drivers'!AB386</f>
        <v>0</v>
      </c>
      <c r="AC533">
        <f>'Revenue drivers'!AC386</f>
        <v>0</v>
      </c>
      <c r="AD533">
        <f>'Revenue drivers'!AD386</f>
        <v>0</v>
      </c>
      <c r="AE533">
        <f>'Revenue drivers'!AE386</f>
        <v>0</v>
      </c>
      <c r="AF533">
        <f>'Revenue drivers'!AF386</f>
        <v>0</v>
      </c>
      <c r="AG533">
        <f>'Revenue drivers'!AG386</f>
        <v>0</v>
      </c>
      <c r="AH533">
        <f>'Revenue drivers'!AH386</f>
        <v>0</v>
      </c>
      <c r="AI533">
        <f>'Revenue drivers'!AI386</f>
        <v>0</v>
      </c>
      <c r="AJ533">
        <f>'Revenue drivers'!AJ386</f>
        <v>0</v>
      </c>
      <c r="AL533">
        <f>'Revenue drivers'!BF386</f>
        <v>0</v>
      </c>
      <c r="AM533">
        <f>'Revenue drivers'!BG386</f>
        <v>0</v>
      </c>
      <c r="AN533">
        <f>'Revenue drivers'!BH386</f>
        <v>0</v>
      </c>
      <c r="AO533">
        <f>'Revenue drivers'!BI386</f>
        <v>0</v>
      </c>
      <c r="AP533">
        <f>'Revenue drivers'!BJ386</f>
        <v>0</v>
      </c>
      <c r="AQ533">
        <f>'Revenue drivers'!BK386</f>
        <v>0</v>
      </c>
      <c r="AR533">
        <f>'Revenue drivers'!BL386</f>
        <v>0</v>
      </c>
      <c r="AS533">
        <f>'Revenue drivers'!BM386</f>
        <v>0</v>
      </c>
      <c r="AT533">
        <f>'Revenue drivers'!BN386</f>
        <v>0</v>
      </c>
      <c r="AU533">
        <f>'Revenue drivers'!BO386</f>
        <v>0</v>
      </c>
      <c r="AV533">
        <f>'Revenue drivers'!BP386</f>
        <v>0</v>
      </c>
      <c r="AW533">
        <f>'Revenue drivers'!BQ386</f>
        <v>0</v>
      </c>
      <c r="AX533">
        <f>'Revenue drivers'!BR386</f>
        <v>0</v>
      </c>
      <c r="AY533">
        <f>'Revenue drivers'!BS386</f>
        <v>0</v>
      </c>
      <c r="AZ533">
        <f>'Revenue drivers'!BT386</f>
        <v>0</v>
      </c>
    </row>
    <row r="534" spans="9:52" ht="11.25" customHeight="1">
      <c r="I534" t="str">
        <f>'Revenue drivers'!I387</f>
        <v>Removed reviews</v>
      </c>
      <c r="M534">
        <f>'Revenue drivers'!M387</f>
        <v>0</v>
      </c>
      <c r="N534">
        <f>'Revenue drivers'!N387</f>
        <v>0</v>
      </c>
      <c r="O534">
        <f>'Revenue drivers'!O387</f>
        <v>0</v>
      </c>
      <c r="P534">
        <f>'Revenue drivers'!P387</f>
        <v>0</v>
      </c>
      <c r="Q534">
        <f>'Revenue drivers'!Q387</f>
        <v>0</v>
      </c>
      <c r="R534">
        <f>'Revenue drivers'!R387</f>
        <v>0</v>
      </c>
      <c r="S534">
        <f>'Revenue drivers'!S387</f>
        <v>0</v>
      </c>
      <c r="T534">
        <f>'Revenue drivers'!T387</f>
        <v>1.8170000000000002</v>
      </c>
      <c r="U534">
        <f>'Revenue drivers'!U387</f>
        <v>2.0690000000000008</v>
      </c>
      <c r="V534">
        <f>'Revenue drivers'!V387</f>
        <v>2.3589999999999991</v>
      </c>
      <c r="W534">
        <f>'Revenue drivers'!W387</f>
        <v>2.4580000000000037</v>
      </c>
      <c r="X534">
        <f>'Revenue drivers'!X387</f>
        <v>2.7000000000000046</v>
      </c>
      <c r="Y534">
        <f>'Revenue drivers'!Y387</f>
        <v>2.9029999999999987</v>
      </c>
      <c r="Z534">
        <f>'Revenue drivers'!Z387</f>
        <v>3.1760000000000019</v>
      </c>
      <c r="AA534">
        <f>'Revenue drivers'!AA387</f>
        <v>3.4220000000000041</v>
      </c>
      <c r="AB534">
        <f>'Revenue drivers'!AB387</f>
        <v>3.6569999999999983</v>
      </c>
      <c r="AC534">
        <f>'Revenue drivers'!AC387</f>
        <v>4.1000000000000014</v>
      </c>
      <c r="AD534">
        <f>'Revenue drivers'!AD387</f>
        <v>4.3419999999999987</v>
      </c>
      <c r="AE534">
        <f>'Revenue drivers'!AE387</f>
        <v>4.5919999999999952</v>
      </c>
      <c r="AF534">
        <f>'Revenue drivers'!AF387</f>
        <v>4.9770050685178564</v>
      </c>
      <c r="AG534">
        <f>'Revenue drivers'!AG387</f>
        <v>5.368879243970091</v>
      </c>
      <c r="AH534">
        <f>'Revenue drivers'!AH387</f>
        <v>5.7873956049144137</v>
      </c>
      <c r="AI534">
        <f>'Revenue drivers'!AI387</f>
        <v>6.2321363099677036</v>
      </c>
      <c r="AJ534">
        <f>'Revenue drivers'!AJ387</f>
        <v>6.6251881856929815</v>
      </c>
      <c r="AL534">
        <f>'Revenue drivers'!BF387</f>
        <v>0</v>
      </c>
      <c r="AM534">
        <f>'Revenue drivers'!BG387</f>
        <v>0</v>
      </c>
      <c r="AN534">
        <f>'Revenue drivers'!BH387</f>
        <v>0</v>
      </c>
      <c r="AO534">
        <f>'Revenue drivers'!BI387</f>
        <v>0</v>
      </c>
      <c r="AP534">
        <f>'Revenue drivers'!BJ387</f>
        <v>0</v>
      </c>
      <c r="AQ534">
        <f>'Revenue drivers'!BK387</f>
        <v>1.8170000000000002</v>
      </c>
      <c r="AR534">
        <f>'Revenue drivers'!BL387</f>
        <v>2.7000000000000046</v>
      </c>
      <c r="AS534">
        <f>'Revenue drivers'!BM387</f>
        <v>3.6569999999999983</v>
      </c>
      <c r="AT534">
        <f>'Revenue drivers'!BN387</f>
        <v>4.9770050685178564</v>
      </c>
      <c r="AU534">
        <f>'Revenue drivers'!BO387</f>
        <v>6.6251881856929815</v>
      </c>
      <c r="AV534">
        <f>'Revenue drivers'!BP387</f>
        <v>8.4191579400678034</v>
      </c>
      <c r="AW534">
        <f>'Revenue drivers'!BQ387</f>
        <v>10.316506744211155</v>
      </c>
      <c r="AX534">
        <f>'Revenue drivers'!BR387</f>
        <v>12.047854642473782</v>
      </c>
      <c r="AY534">
        <f>'Revenue drivers'!BS387</f>
        <v>13.749994297798574</v>
      </c>
      <c r="AZ534">
        <f>'Revenue drivers'!BT387</f>
        <v>15.422916935076728</v>
      </c>
    </row>
    <row r="535" spans="9:52" ht="11.25" customHeight="1">
      <c r="I535" t="str">
        <f>'Revenue drivers'!I388</f>
        <v>% change Y/Y</v>
      </c>
      <c r="M535">
        <f>'Revenue drivers'!M388</f>
        <v>0</v>
      </c>
      <c r="N535">
        <f>'Revenue drivers'!N388</f>
        <v>0</v>
      </c>
      <c r="O535">
        <f>'Revenue drivers'!O388</f>
        <v>0</v>
      </c>
      <c r="P535">
        <f>'Revenue drivers'!P388</f>
        <v>0</v>
      </c>
      <c r="Q535">
        <f>'Revenue drivers'!Q388</f>
        <v>0</v>
      </c>
      <c r="R535">
        <f>'Revenue drivers'!R388</f>
        <v>0</v>
      </c>
      <c r="S535">
        <f>'Revenue drivers'!S388</f>
        <v>0</v>
      </c>
      <c r="T535" t="str">
        <f>'Revenue drivers'!T388</f>
        <v>NA</v>
      </c>
      <c r="U535" t="str">
        <f>'Revenue drivers'!U388</f>
        <v>NA</v>
      </c>
      <c r="V535" t="str">
        <f>'Revenue drivers'!V388</f>
        <v>NA</v>
      </c>
      <c r="W535" t="str">
        <f>'Revenue drivers'!W388</f>
        <v>NA</v>
      </c>
      <c r="X535">
        <f>'Revenue drivers'!X388</f>
        <v>0.48596587782058576</v>
      </c>
      <c r="Y535">
        <f>'Revenue drivers'!Y388</f>
        <v>0.4030932817786359</v>
      </c>
      <c r="Z535">
        <f>'Revenue drivers'!Z388</f>
        <v>0.34633319203052282</v>
      </c>
      <c r="AA535">
        <f>'Revenue drivers'!AA388</f>
        <v>0.3921887713588279</v>
      </c>
      <c r="AB535">
        <f>'Revenue drivers'!AB388</f>
        <v>0.35444444444444145</v>
      </c>
      <c r="AC535">
        <f>'Revenue drivers'!AC388</f>
        <v>0.41233207027213337</v>
      </c>
      <c r="AD535">
        <f>'Revenue drivers'!AD388</f>
        <v>0.3671284634760692</v>
      </c>
      <c r="AE535">
        <f>'Revenue drivers'!AE388</f>
        <v>0.3419053185271741</v>
      </c>
      <c r="AF535">
        <f>'Revenue drivers'!AF388</f>
        <v>0.36095298564885381</v>
      </c>
      <c r="AG535">
        <f>'Revenue drivers'!AG388</f>
        <v>0.30948274243172902</v>
      </c>
      <c r="AH535">
        <f>'Revenue drivers'!AH388</f>
        <v>0.33288705778775118</v>
      </c>
      <c r="AI535">
        <f>'Revenue drivers'!AI388</f>
        <v>0.35717254136927479</v>
      </c>
      <c r="AJ535">
        <f>'Revenue drivers'!AJ388</f>
        <v>0.33115962199852667</v>
      </c>
      <c r="AL535">
        <f>'Revenue drivers'!BF388</f>
        <v>0</v>
      </c>
      <c r="AM535">
        <f>'Revenue drivers'!BG388</f>
        <v>0</v>
      </c>
      <c r="AN535">
        <f>'Revenue drivers'!BH388</f>
        <v>0</v>
      </c>
      <c r="AO535">
        <f>'Revenue drivers'!BI388</f>
        <v>0</v>
      </c>
      <c r="AP535">
        <f>'Revenue drivers'!BJ388</f>
        <v>0</v>
      </c>
      <c r="AQ535" t="str">
        <f>'Revenue drivers'!BK388</f>
        <v>NA</v>
      </c>
      <c r="AR535">
        <f>'Revenue drivers'!BL388</f>
        <v>0.48596587782058576</v>
      </c>
      <c r="AS535">
        <f>'Revenue drivers'!BM388</f>
        <v>0.35444444444444145</v>
      </c>
      <c r="AT535">
        <f>'Revenue drivers'!BN388</f>
        <v>0.36095298564885381</v>
      </c>
      <c r="AU535">
        <f>'Revenue drivers'!BO388</f>
        <v>0.33115962199852667</v>
      </c>
      <c r="AV535">
        <f>'Revenue drivers'!BP388</f>
        <v>0.27078019583638069</v>
      </c>
      <c r="AW535">
        <f>'Revenue drivers'!BQ388</f>
        <v>0.2253608754758758</v>
      </c>
      <c r="AX535">
        <f>'Revenue drivers'!BR388</f>
        <v>0.16782307627861814</v>
      </c>
      <c r="AY535">
        <f>'Revenue drivers'!BS388</f>
        <v>0.14128155641287621</v>
      </c>
      <c r="AZ535">
        <f>'Revenue drivers'!BT388</f>
        <v>0.12166715134900064</v>
      </c>
    </row>
    <row r="536" spans="9:52" ht="11.25" customHeight="1">
      <c r="I536" t="str">
        <f>'Revenue drivers'!I389</f>
        <v>% change Q/Q</v>
      </c>
      <c r="M536">
        <f>'Revenue drivers'!M389</f>
        <v>0</v>
      </c>
      <c r="N536">
        <f>'Revenue drivers'!N389</f>
        <v>0</v>
      </c>
      <c r="O536">
        <f>'Revenue drivers'!O389</f>
        <v>0</v>
      </c>
      <c r="P536">
        <f>'Revenue drivers'!P389</f>
        <v>0</v>
      </c>
      <c r="Q536">
        <f>'Revenue drivers'!Q389</f>
        <v>0</v>
      </c>
      <c r="R536">
        <f>'Revenue drivers'!R389</f>
        <v>0</v>
      </c>
      <c r="S536">
        <f>'Revenue drivers'!S389</f>
        <v>0</v>
      </c>
      <c r="T536" t="str">
        <f>'Revenue drivers'!T389</f>
        <v>NA</v>
      </c>
      <c r="U536">
        <f>'Revenue drivers'!U389</f>
        <v>0.13869014859658813</v>
      </c>
      <c r="V536">
        <f>'Revenue drivers'!V389</f>
        <v>0.14016433059448929</v>
      </c>
      <c r="W536">
        <f>'Revenue drivers'!W389</f>
        <v>4.196693514201133E-2</v>
      </c>
      <c r="X536">
        <f>'Revenue drivers'!X389</f>
        <v>9.8454027664768295E-2</v>
      </c>
      <c r="Y536">
        <f>'Revenue drivers'!Y389</f>
        <v>7.5185185185182801E-2</v>
      </c>
      <c r="Z536">
        <f>'Revenue drivers'!Z389</f>
        <v>9.404064760592612E-2</v>
      </c>
      <c r="AA536">
        <f>'Revenue drivers'!AA389</f>
        <v>7.7455919395466699E-2</v>
      </c>
      <c r="AB536">
        <f>'Revenue drivers'!AB389</f>
        <v>6.8673290473405535E-2</v>
      </c>
      <c r="AC536">
        <f>'Revenue drivers'!AC389</f>
        <v>0.12113754443533042</v>
      </c>
      <c r="AD536">
        <f>'Revenue drivers'!AD389</f>
        <v>5.9024390243901825E-2</v>
      </c>
      <c r="AE536">
        <f>'Revenue drivers'!AE389</f>
        <v>5.7577153385535818E-2</v>
      </c>
      <c r="AF536">
        <f>'Revenue drivers'!AF389</f>
        <v>8.3842567185945516E-2</v>
      </c>
      <c r="AG536">
        <f>'Revenue drivers'!AG389</f>
        <v>7.8736945222548149E-2</v>
      </c>
      <c r="AH536">
        <f>'Revenue drivers'!AH389</f>
        <v>7.7952276802345288E-2</v>
      </c>
      <c r="AI536">
        <f>'Revenue drivers'!AI389</f>
        <v>7.6846432387589703E-2</v>
      </c>
      <c r="AJ536">
        <f>'Revenue drivers'!AJ389</f>
        <v>6.3068562075035084E-2</v>
      </c>
      <c r="AL536">
        <f>'Revenue drivers'!BF389</f>
        <v>0</v>
      </c>
      <c r="AM536">
        <f>'Revenue drivers'!BG389</f>
        <v>0</v>
      </c>
      <c r="AN536">
        <f>'Revenue drivers'!BH389</f>
        <v>0</v>
      </c>
      <c r="AO536">
        <f>'Revenue drivers'!BI389</f>
        <v>0</v>
      </c>
      <c r="AP536">
        <f>'Revenue drivers'!BJ389</f>
        <v>0</v>
      </c>
      <c r="AQ536">
        <f>'Revenue drivers'!BK389</f>
        <v>0</v>
      </c>
      <c r="AR536">
        <f>'Revenue drivers'!BL389</f>
        <v>0</v>
      </c>
      <c r="AS536">
        <f>'Revenue drivers'!BM389</f>
        <v>0</v>
      </c>
      <c r="AT536">
        <f>'Revenue drivers'!BN389</f>
        <v>0</v>
      </c>
      <c r="AU536">
        <f>'Revenue drivers'!BO389</f>
        <v>0</v>
      </c>
      <c r="AV536">
        <f>'Revenue drivers'!BP389</f>
        <v>0</v>
      </c>
      <c r="AW536">
        <f>'Revenue drivers'!BQ389</f>
        <v>0</v>
      </c>
      <c r="AX536">
        <f>'Revenue drivers'!BR389</f>
        <v>0</v>
      </c>
      <c r="AY536">
        <f>'Revenue drivers'!BS389</f>
        <v>0</v>
      </c>
      <c r="AZ536">
        <f>'Revenue drivers'!BT389</f>
        <v>0</v>
      </c>
    </row>
    <row r="537" spans="9:52" ht="11.25" customHeight="1">
      <c r="I537" t="str">
        <f>'Revenue drivers'!I390</f>
        <v>% of total reviews</v>
      </c>
      <c r="M537">
        <f>'Revenue drivers'!M390</f>
        <v>0</v>
      </c>
      <c r="N537">
        <f>'Revenue drivers'!N390</f>
        <v>0</v>
      </c>
      <c r="O537">
        <f>'Revenue drivers'!O390</f>
        <v>0</v>
      </c>
      <c r="P537">
        <f>'Revenue drivers'!P390</f>
        <v>0</v>
      </c>
      <c r="Q537">
        <f>'Revenue drivers'!Q390</f>
        <v>0</v>
      </c>
      <c r="R537">
        <f>'Revenue drivers'!R390</f>
        <v>0</v>
      </c>
      <c r="S537">
        <f>'Revenue drivers'!S390</f>
        <v>0</v>
      </c>
      <c r="T537">
        <f>'Revenue drivers'!T390</f>
        <v>7.3215940685820213E-2</v>
      </c>
      <c r="U537">
        <f>'Revenue drivers'!U390</f>
        <v>7.5048061228191118E-2</v>
      </c>
      <c r="V537">
        <f>'Revenue drivers'!V390</f>
        <v>7.7960276281436897E-2</v>
      </c>
      <c r="W537">
        <f>'Revenue drivers'!W390</f>
        <v>7.3907029887545966E-2</v>
      </c>
      <c r="X537">
        <f>'Revenue drivers'!X390</f>
        <v>7.5000000000000122E-2</v>
      </c>
      <c r="Y537">
        <f>'Revenue drivers'!Y390</f>
        <v>7.4239828146178008E-2</v>
      </c>
      <c r="Z537">
        <f>'Revenue drivers'!Z390</f>
        <v>7.4683722898932464E-2</v>
      </c>
      <c r="AA537">
        <f>'Revenue drivers'!AA390</f>
        <v>7.2313089049490811E-2</v>
      </c>
      <c r="AB537">
        <f>'Revenue drivers'!AB390</f>
        <v>6.931781564531718E-2</v>
      </c>
      <c r="AC537">
        <f>'Revenue drivers'!AC390</f>
        <v>7.1929824561403538E-2</v>
      </c>
      <c r="AD537">
        <f>'Revenue drivers'!AD390</f>
        <v>7.0783476247921473E-2</v>
      </c>
      <c r="AE537">
        <f>'Revenue drivers'!AE390</f>
        <v>6.8957232099951873E-2</v>
      </c>
      <c r="AF537">
        <f>'Revenue drivers'!AF390</f>
        <v>6.9870354173936666E-2</v>
      </c>
      <c r="AG537">
        <f>'Revenue drivers'!AG390</f>
        <v>6.9413793136944263E-2</v>
      </c>
      <c r="AH537">
        <f>'Revenue drivers'!AH390</f>
        <v>6.9642073655440465E-2</v>
      </c>
      <c r="AI537">
        <f>'Revenue drivers'!AI390</f>
        <v>6.9527933396192371E-2</v>
      </c>
      <c r="AJ537">
        <f>'Revenue drivers'!AJ390</f>
        <v>6.9585003525816425E-2</v>
      </c>
      <c r="AL537">
        <f>'Revenue drivers'!BF390</f>
        <v>0</v>
      </c>
      <c r="AM537">
        <f>'Revenue drivers'!BG390</f>
        <v>0</v>
      </c>
      <c r="AN537">
        <f>'Revenue drivers'!BH390</f>
        <v>0</v>
      </c>
      <c r="AO537">
        <f>'Revenue drivers'!BI390</f>
        <v>0</v>
      </c>
      <c r="AP537">
        <f>'Revenue drivers'!BJ390</f>
        <v>0</v>
      </c>
      <c r="AQ537">
        <f>'Revenue drivers'!BK390</f>
        <v>7.3215940685820213E-2</v>
      </c>
      <c r="AR537">
        <f>'Revenue drivers'!BL390</f>
        <v>7.5000000000000122E-2</v>
      </c>
      <c r="AS537">
        <f>'Revenue drivers'!BM390</f>
        <v>6.931781564531718E-2</v>
      </c>
      <c r="AT537">
        <f>'Revenue drivers'!BN390</f>
        <v>6.9870354173936666E-2</v>
      </c>
      <c r="AU537">
        <f>'Revenue drivers'!BO390</f>
        <v>6.9585003525816425E-2</v>
      </c>
      <c r="AV537">
        <f>'Revenue drivers'!BP390</f>
        <v>6.9567169110308899E-2</v>
      </c>
      <c r="AW537">
        <f>'Revenue drivers'!BQ390</f>
        <v>6.956605445933968E-2</v>
      </c>
      <c r="AX537">
        <f>'Revenue drivers'!BR390</f>
        <v>6.9565984793654112E-2</v>
      </c>
      <c r="AY537">
        <f>'Revenue drivers'!BS390</f>
        <v>6.9565980439548772E-2</v>
      </c>
      <c r="AZ537">
        <f>'Revenue drivers'!BT390</f>
        <v>6.9565980167417191E-2</v>
      </c>
    </row>
    <row r="538" spans="9:52" ht="11.25" customHeight="1">
      <c r="I538">
        <f>'Revenue drivers'!I391</f>
        <v>0</v>
      </c>
      <c r="M538">
        <f>'Revenue drivers'!M391</f>
        <v>0</v>
      </c>
      <c r="N538">
        <f>'Revenue drivers'!N391</f>
        <v>0</v>
      </c>
      <c r="O538">
        <f>'Revenue drivers'!O391</f>
        <v>0</v>
      </c>
      <c r="P538">
        <f>'Revenue drivers'!P391</f>
        <v>0</v>
      </c>
      <c r="Q538">
        <f>'Revenue drivers'!Q391</f>
        <v>0</v>
      </c>
      <c r="R538">
        <f>'Revenue drivers'!R391</f>
        <v>0</v>
      </c>
      <c r="S538">
        <f>'Revenue drivers'!S391</f>
        <v>0</v>
      </c>
      <c r="T538">
        <f>'Revenue drivers'!T391</f>
        <v>0</v>
      </c>
      <c r="U538">
        <f>'Revenue drivers'!U391</f>
        <v>0</v>
      </c>
      <c r="V538">
        <f>'Revenue drivers'!V391</f>
        <v>0</v>
      </c>
      <c r="W538">
        <f>'Revenue drivers'!W391</f>
        <v>0</v>
      </c>
      <c r="X538">
        <f>'Revenue drivers'!X391</f>
        <v>0</v>
      </c>
      <c r="Y538">
        <f>'Revenue drivers'!Y391</f>
        <v>0</v>
      </c>
      <c r="Z538">
        <f>'Revenue drivers'!Z391</f>
        <v>0</v>
      </c>
      <c r="AA538">
        <f>'Revenue drivers'!AA391</f>
        <v>0</v>
      </c>
      <c r="AB538">
        <f>'Revenue drivers'!AB391</f>
        <v>0</v>
      </c>
      <c r="AC538">
        <f>'Revenue drivers'!AC391</f>
        <v>0</v>
      </c>
      <c r="AD538">
        <f>'Revenue drivers'!AD391</f>
        <v>0</v>
      </c>
      <c r="AE538">
        <f>'Revenue drivers'!AE391</f>
        <v>0</v>
      </c>
      <c r="AF538">
        <f>'Revenue drivers'!AF391</f>
        <v>0</v>
      </c>
      <c r="AG538">
        <f>'Revenue drivers'!AG391</f>
        <v>0</v>
      </c>
      <c r="AH538">
        <f>'Revenue drivers'!AH391</f>
        <v>0</v>
      </c>
      <c r="AI538">
        <f>'Revenue drivers'!AI391</f>
        <v>0</v>
      </c>
      <c r="AJ538">
        <f>'Revenue drivers'!AJ391</f>
        <v>0</v>
      </c>
      <c r="AL538">
        <f>'Revenue drivers'!BF391</f>
        <v>0</v>
      </c>
      <c r="AM538">
        <f>'Revenue drivers'!BG391</f>
        <v>0</v>
      </c>
      <c r="AN538">
        <f>'Revenue drivers'!BH391</f>
        <v>0</v>
      </c>
      <c r="AO538">
        <f>'Revenue drivers'!BI391</f>
        <v>0</v>
      </c>
      <c r="AP538">
        <f>'Revenue drivers'!BJ391</f>
        <v>0</v>
      </c>
      <c r="AQ538">
        <f>'Revenue drivers'!BK391</f>
        <v>0</v>
      </c>
      <c r="AR538">
        <f>'Revenue drivers'!BL391</f>
        <v>0</v>
      </c>
      <c r="AS538">
        <f>'Revenue drivers'!BM391</f>
        <v>0</v>
      </c>
      <c r="AT538">
        <f>'Revenue drivers'!BN391</f>
        <v>0</v>
      </c>
      <c r="AU538">
        <f>'Revenue drivers'!BO391</f>
        <v>0</v>
      </c>
      <c r="AV538">
        <f>'Revenue drivers'!BP391</f>
        <v>0</v>
      </c>
      <c r="AW538">
        <f>'Revenue drivers'!BQ391</f>
        <v>0</v>
      </c>
      <c r="AX538">
        <f>'Revenue drivers'!BR391</f>
        <v>0</v>
      </c>
      <c r="AY538">
        <f>'Revenue drivers'!BS391</f>
        <v>0</v>
      </c>
      <c r="AZ538">
        <f>'Revenue drivers'!BT391</f>
        <v>0</v>
      </c>
    </row>
    <row r="539" spans="9:52" ht="11.25" customHeight="1">
      <c r="I539" t="str">
        <f>'Revenue drivers'!I392</f>
        <v>Cumulative reviews per active Yelp market</v>
      </c>
      <c r="M539">
        <f>'Revenue drivers'!M392</f>
        <v>0</v>
      </c>
      <c r="N539">
        <f>'Revenue drivers'!N392</f>
        <v>0</v>
      </c>
      <c r="O539">
        <f>'Revenue drivers'!O392</f>
        <v>0</v>
      </c>
      <c r="P539">
        <f>'Revenue drivers'!P392</f>
        <v>0.30846938775510202</v>
      </c>
      <c r="Q539">
        <f>'Revenue drivers'!Q392</f>
        <v>0</v>
      </c>
      <c r="R539">
        <f>'Revenue drivers'!R392</f>
        <v>0</v>
      </c>
      <c r="S539">
        <f>'Revenue drivers'!S392</f>
        <v>0</v>
      </c>
      <c r="T539">
        <f>'Revenue drivers'!T392</f>
        <v>0.34953521126760562</v>
      </c>
      <c r="U539">
        <f>'Revenue drivers'!U392</f>
        <v>0.3362073170731707</v>
      </c>
      <c r="V539">
        <f>'Revenue drivers'!V392</f>
        <v>0.33621111111111113</v>
      </c>
      <c r="W539">
        <f>'Revenue drivers'!W392</f>
        <v>0.34643750000000001</v>
      </c>
      <c r="X539">
        <f>'Revenue drivers'!X392</f>
        <v>0.37113402061855671</v>
      </c>
      <c r="Y539">
        <f>'Revenue drivers'!Y392</f>
        <v>0.39102999999999999</v>
      </c>
      <c r="Z539">
        <f>'Revenue drivers'!Z392</f>
        <v>0.40118867924528306</v>
      </c>
      <c r="AA539">
        <f>'Revenue drivers'!AA392</f>
        <v>0.42632432432432432</v>
      </c>
      <c r="AB539">
        <f>'Revenue drivers'!AB392</f>
        <v>0.4509145299145299</v>
      </c>
      <c r="AC539">
        <f>'Revenue drivers'!AC392</f>
        <v>0.47499999999999998</v>
      </c>
      <c r="AD539">
        <f>'Revenue drivers'!AD392</f>
        <v>0.49469354838709678</v>
      </c>
      <c r="AE539">
        <f>'Revenue drivers'!AE392</f>
        <v>0.52434645669291335</v>
      </c>
      <c r="AF539">
        <f>'Revenue drivers'!AF392</f>
        <v>0.53963636363636358</v>
      </c>
      <c r="AG539">
        <f>'Revenue drivers'!AG392</f>
        <v>0.56456934306569351</v>
      </c>
      <c r="AH539">
        <f>'Revenue drivers'!AH392</f>
        <v>0.58522535211267612</v>
      </c>
      <c r="AI539">
        <f>'Revenue drivers'!AI392</f>
        <v>0.60976190476190484</v>
      </c>
      <c r="AJ539">
        <f>'Revenue drivers'!AJ392</f>
        <v>0.62638157894736834</v>
      </c>
      <c r="AL539">
        <f>'Revenue drivers'!BF392</f>
        <v>0</v>
      </c>
      <c r="AM539">
        <f>'Revenue drivers'!BG392</f>
        <v>0</v>
      </c>
      <c r="AN539">
        <f>'Revenue drivers'!BH392</f>
        <v>0.24345</v>
      </c>
      <c r="AO539">
        <f>'Revenue drivers'!BI392</f>
        <v>0.32718518518518519</v>
      </c>
      <c r="AP539">
        <f>'Revenue drivers'!BJ392</f>
        <v>0.30846938775510202</v>
      </c>
      <c r="AQ539">
        <f>'Revenue drivers'!BK392</f>
        <v>0.34953521126760562</v>
      </c>
      <c r="AR539">
        <f>'Revenue drivers'!BL392</f>
        <v>0.37113402061855671</v>
      </c>
      <c r="AS539">
        <f>'Revenue drivers'!BM392</f>
        <v>0.4509145299145299</v>
      </c>
      <c r="AT539">
        <f>'Revenue drivers'!BN392</f>
        <v>0.53963636363636358</v>
      </c>
      <c r="AU539">
        <f>'Revenue drivers'!BO392</f>
        <v>0.62638157894736834</v>
      </c>
      <c r="AV539">
        <f>'Revenue drivers'!BP392</f>
        <v>0.70361627906976743</v>
      </c>
      <c r="AW539">
        <f>'Revenue drivers'!BQ392</f>
        <v>0.77238541666666671</v>
      </c>
      <c r="AX539">
        <f>'Revenue drivers'!BR392</f>
        <v>0.81691509433962273</v>
      </c>
      <c r="AY539">
        <f>'Revenue drivers'!BS392</f>
        <v>0.85195689655172424</v>
      </c>
      <c r="AZ539">
        <f>'Revenue drivers'!BT392</f>
        <v>0.87976984126984137</v>
      </c>
    </row>
    <row r="540" spans="9:52" ht="11.25" customHeight="1">
      <c r="I540" t="str">
        <f>'Revenue drivers'!I393</f>
        <v>% change Y/Y</v>
      </c>
      <c r="M540">
        <f>'Revenue drivers'!M393</f>
        <v>0</v>
      </c>
      <c r="N540">
        <f>'Revenue drivers'!N393</f>
        <v>0</v>
      </c>
      <c r="O540">
        <f>'Revenue drivers'!O393</f>
        <v>0</v>
      </c>
      <c r="P540">
        <f>'Revenue drivers'!P393</f>
        <v>0</v>
      </c>
      <c r="Q540">
        <f>'Revenue drivers'!Q393</f>
        <v>0</v>
      </c>
      <c r="R540">
        <f>'Revenue drivers'!R393</f>
        <v>0</v>
      </c>
      <c r="S540">
        <f>'Revenue drivers'!S393</f>
        <v>0</v>
      </c>
      <c r="T540">
        <f>'Revenue drivers'!T393</f>
        <v>0.13312771102300203</v>
      </c>
      <c r="U540" t="str">
        <f>'Revenue drivers'!U393</f>
        <v>NA</v>
      </c>
      <c r="V540" t="str">
        <f>'Revenue drivers'!V393</f>
        <v>NA</v>
      </c>
      <c r="W540" t="str">
        <f>'Revenue drivers'!W393</f>
        <v>NA</v>
      </c>
      <c r="X540">
        <f>'Revenue drivers'!X393</f>
        <v>6.1792942898719838E-2</v>
      </c>
      <c r="Y540">
        <f>'Revenue drivers'!Y393</f>
        <v>0.16306213500671052</v>
      </c>
      <c r="Z540">
        <f>'Revenue drivers'!Z393</f>
        <v>0.19326419022689034</v>
      </c>
      <c r="AA540">
        <f>'Revenue drivers'!AA393</f>
        <v>0.23059519920425564</v>
      </c>
      <c r="AB540">
        <f>'Revenue drivers'!AB393</f>
        <v>0.21496415004748326</v>
      </c>
      <c r="AC540">
        <f>'Revenue drivers'!AC393</f>
        <v>0.21474055699051231</v>
      </c>
      <c r="AD540">
        <f>'Revenue drivers'!AD393</f>
        <v>0.23306956048140548</v>
      </c>
      <c r="AE540">
        <f>'Revenue drivers'!AE393</f>
        <v>0.22992385556217787</v>
      </c>
      <c r="AF540">
        <f>'Revenue drivers'!AF393</f>
        <v>0.19675975786065436</v>
      </c>
      <c r="AG540">
        <f>'Revenue drivers'!AG393</f>
        <v>0.18856703803303909</v>
      </c>
      <c r="AH540">
        <f>'Revenue drivers'!AH393</f>
        <v>0.18300583062130094</v>
      </c>
      <c r="AI540">
        <f>'Revenue drivers'!AI393</f>
        <v>0.16289887531177794</v>
      </c>
      <c r="AJ540">
        <f>'Revenue drivers'!AJ393</f>
        <v>0.16074753511136319</v>
      </c>
      <c r="AL540">
        <f>'Revenue drivers'!BF393</f>
        <v>0</v>
      </c>
      <c r="AM540">
        <f>'Revenue drivers'!BG393</f>
        <v>0</v>
      </c>
      <c r="AN540" t="str">
        <f>'Revenue drivers'!BH393</f>
        <v>NA</v>
      </c>
      <c r="AO540">
        <f>'Revenue drivers'!BI393</f>
        <v>0.34395229075861655</v>
      </c>
      <c r="AP540">
        <f>'Revenue drivers'!BJ393</f>
        <v>-5.720245988365924E-2</v>
      </c>
      <c r="AQ540">
        <f>'Revenue drivers'!BK393</f>
        <v>0.13312771102300203</v>
      </c>
      <c r="AR540">
        <f>'Revenue drivers'!BL393</f>
        <v>6.1792942898719838E-2</v>
      </c>
      <c r="AS540">
        <f>'Revenue drivers'!BM393</f>
        <v>0.21496415004748326</v>
      </c>
      <c r="AT540">
        <f>'Revenue drivers'!BN393</f>
        <v>0.19675975786065436</v>
      </c>
      <c r="AU540">
        <f>'Revenue drivers'!BO393</f>
        <v>0.16074753511136319</v>
      </c>
      <c r="AV540">
        <f>'Revenue drivers'!BP393</f>
        <v>0.12330295576730022</v>
      </c>
      <c r="AW540">
        <f>'Revenue drivers'!BQ393</f>
        <v>9.7736706273790608E-2</v>
      </c>
      <c r="AX540">
        <f>'Revenue drivers'!BR393</f>
        <v>5.7652147117341901E-2</v>
      </c>
      <c r="AY540">
        <f>'Revenue drivers'!BS393</f>
        <v>4.2895280617171849E-2</v>
      </c>
      <c r="AZ540">
        <f>'Revenue drivers'!BT393</f>
        <v>3.2645952900539177E-2</v>
      </c>
    </row>
    <row r="541" spans="9:52" ht="11.25" customHeight="1">
      <c r="I541" t="str">
        <f>'Revenue drivers'!I394</f>
        <v>% change Q/Q</v>
      </c>
      <c r="M541">
        <f>'Revenue drivers'!M394</f>
        <v>0</v>
      </c>
      <c r="N541">
        <f>'Revenue drivers'!N394</f>
        <v>0</v>
      </c>
      <c r="O541">
        <f>'Revenue drivers'!O394</f>
        <v>0</v>
      </c>
      <c r="P541">
        <f>'Revenue drivers'!P394</f>
        <v>0</v>
      </c>
      <c r="Q541">
        <f>'Revenue drivers'!Q394</f>
        <v>0</v>
      </c>
      <c r="R541">
        <f>'Revenue drivers'!R394</f>
        <v>0</v>
      </c>
      <c r="S541">
        <f>'Revenue drivers'!S394</f>
        <v>0</v>
      </c>
      <c r="T541" t="str">
        <f>'Revenue drivers'!T394</f>
        <v>NA</v>
      </c>
      <c r="U541">
        <f>'Revenue drivers'!U394</f>
        <v>-3.8130333553809015E-2</v>
      </c>
      <c r="V541">
        <f>'Revenue drivers'!V394</f>
        <v>1.1284816682444188E-5</v>
      </c>
      <c r="W541">
        <f>'Revenue drivers'!W394</f>
        <v>3.0416570276611932E-2</v>
      </c>
      <c r="X541">
        <f>'Revenue drivers'!X394</f>
        <v>7.1287088200777005E-2</v>
      </c>
      <c r="Y541">
        <f>'Revenue drivers'!Y394</f>
        <v>5.3608611111111149E-2</v>
      </c>
      <c r="Z541">
        <f>'Revenue drivers'!Z394</f>
        <v>2.5979283546743392E-2</v>
      </c>
      <c r="AA541">
        <f>'Revenue drivers'!AA394</f>
        <v>6.2652927112316625E-2</v>
      </c>
      <c r="AB541">
        <f>'Revenue drivers'!AB394</f>
        <v>5.7679574415976154E-2</v>
      </c>
      <c r="AC541">
        <f>'Revenue drivers'!AC394</f>
        <v>5.3414712739541681E-2</v>
      </c>
      <c r="AD541">
        <f>'Revenue drivers'!AD394</f>
        <v>4.1460101867572208E-2</v>
      </c>
      <c r="AE541">
        <f>'Revenue drivers'!AE394</f>
        <v>5.994197499138032E-2</v>
      </c>
      <c r="AF541">
        <f>'Revenue drivers'!AF394</f>
        <v>2.9159931850945675E-2</v>
      </c>
      <c r="AG541">
        <f>'Revenue drivers'!AG394</f>
        <v>4.6203297460011727E-2</v>
      </c>
      <c r="AH541">
        <f>'Revenue drivers'!AH394</f>
        <v>3.6587195710658937E-2</v>
      </c>
      <c r="AI541">
        <f>'Revenue drivers'!AI394</f>
        <v>4.192667416175877E-2</v>
      </c>
      <c r="AJ541">
        <f>'Revenue drivers'!AJ394</f>
        <v>2.7256006083149931E-2</v>
      </c>
      <c r="AL541">
        <f>'Revenue drivers'!BF394</f>
        <v>0</v>
      </c>
      <c r="AM541">
        <f>'Revenue drivers'!BG394</f>
        <v>0</v>
      </c>
      <c r="AN541">
        <f>'Revenue drivers'!BH394</f>
        <v>0</v>
      </c>
      <c r="AO541">
        <f>'Revenue drivers'!BI394</f>
        <v>0</v>
      </c>
      <c r="AP541">
        <f>'Revenue drivers'!BJ394</f>
        <v>0</v>
      </c>
      <c r="AQ541">
        <f>'Revenue drivers'!BK394</f>
        <v>0</v>
      </c>
      <c r="AR541">
        <f>'Revenue drivers'!BL394</f>
        <v>0</v>
      </c>
      <c r="AS541">
        <f>'Revenue drivers'!BM394</f>
        <v>0</v>
      </c>
      <c r="AT541">
        <f>'Revenue drivers'!BN394</f>
        <v>0</v>
      </c>
      <c r="AU541">
        <f>'Revenue drivers'!BO394</f>
        <v>0</v>
      </c>
      <c r="AV541">
        <f>'Revenue drivers'!BP394</f>
        <v>0</v>
      </c>
      <c r="AW541">
        <f>'Revenue drivers'!BQ394</f>
        <v>0</v>
      </c>
      <c r="AX541">
        <f>'Revenue drivers'!BR394</f>
        <v>0</v>
      </c>
      <c r="AY541">
        <f>'Revenue drivers'!BS394</f>
        <v>0</v>
      </c>
      <c r="AZ541">
        <f>'Revenue drivers'!BT394</f>
        <v>0</v>
      </c>
    </row>
    <row r="542" spans="9:52" ht="11.25" customHeight="1">
      <c r="I542">
        <f>'Revenue drivers'!I395</f>
        <v>0</v>
      </c>
      <c r="M542">
        <f>'Revenue drivers'!M395</f>
        <v>0</v>
      </c>
      <c r="N542">
        <f>'Revenue drivers'!N395</f>
        <v>0</v>
      </c>
      <c r="O542">
        <f>'Revenue drivers'!O395</f>
        <v>0</v>
      </c>
      <c r="P542">
        <f>'Revenue drivers'!P395</f>
        <v>0</v>
      </c>
      <c r="Q542">
        <f>'Revenue drivers'!Q395</f>
        <v>0</v>
      </c>
      <c r="R542">
        <f>'Revenue drivers'!R395</f>
        <v>0</v>
      </c>
      <c r="S542">
        <f>'Revenue drivers'!S395</f>
        <v>0</v>
      </c>
      <c r="T542">
        <f>'Revenue drivers'!T395</f>
        <v>0</v>
      </c>
      <c r="U542">
        <f>'Revenue drivers'!U395</f>
        <v>0</v>
      </c>
      <c r="V542">
        <f>'Revenue drivers'!V395</f>
        <v>0</v>
      </c>
      <c r="W542">
        <f>'Revenue drivers'!W395</f>
        <v>0</v>
      </c>
      <c r="X542">
        <f>'Revenue drivers'!X395</f>
        <v>0</v>
      </c>
      <c r="Y542">
        <f>'Revenue drivers'!Y395</f>
        <v>0</v>
      </c>
      <c r="Z542">
        <f>'Revenue drivers'!Z395</f>
        <v>0</v>
      </c>
      <c r="AA542">
        <f>'Revenue drivers'!AA395</f>
        <v>0</v>
      </c>
      <c r="AB542">
        <f>'Revenue drivers'!AB395</f>
        <v>0</v>
      </c>
      <c r="AC542">
        <f>'Revenue drivers'!AC395</f>
        <v>0</v>
      </c>
      <c r="AD542">
        <f>'Revenue drivers'!AD395</f>
        <v>0</v>
      </c>
      <c r="AE542">
        <f>'Revenue drivers'!AE395</f>
        <v>0</v>
      </c>
      <c r="AF542">
        <f>'Revenue drivers'!AF395</f>
        <v>0</v>
      </c>
      <c r="AG542">
        <f>'Revenue drivers'!AG395</f>
        <v>0</v>
      </c>
      <c r="AH542">
        <f>'Revenue drivers'!AH395</f>
        <v>0</v>
      </c>
      <c r="AI542">
        <f>'Revenue drivers'!AI395</f>
        <v>0</v>
      </c>
      <c r="AJ542">
        <f>'Revenue drivers'!AJ395</f>
        <v>0</v>
      </c>
      <c r="AL542">
        <f>'Revenue drivers'!BF395</f>
        <v>0</v>
      </c>
      <c r="AM542">
        <f>'Revenue drivers'!BG395</f>
        <v>0</v>
      </c>
      <c r="AN542">
        <f>'Revenue drivers'!BH395</f>
        <v>0</v>
      </c>
      <c r="AO542">
        <f>'Revenue drivers'!BI395</f>
        <v>0</v>
      </c>
      <c r="AP542">
        <f>'Revenue drivers'!BJ395</f>
        <v>0</v>
      </c>
      <c r="AQ542">
        <f>'Revenue drivers'!BK395</f>
        <v>0</v>
      </c>
      <c r="AR542">
        <f>'Revenue drivers'!BL395</f>
        <v>0</v>
      </c>
      <c r="AS542">
        <f>'Revenue drivers'!BM395</f>
        <v>0</v>
      </c>
      <c r="AT542">
        <f>'Revenue drivers'!BN395</f>
        <v>0</v>
      </c>
      <c r="AU542">
        <f>'Revenue drivers'!BO395</f>
        <v>0</v>
      </c>
      <c r="AV542">
        <f>'Revenue drivers'!BP395</f>
        <v>0</v>
      </c>
      <c r="AW542">
        <f>'Revenue drivers'!BQ395</f>
        <v>0</v>
      </c>
      <c r="AX542">
        <f>'Revenue drivers'!BR395</f>
        <v>0</v>
      </c>
      <c r="AY542">
        <f>'Revenue drivers'!BS395</f>
        <v>0</v>
      </c>
      <c r="AZ542">
        <f>'Revenue drivers'!BT395</f>
        <v>0</v>
      </c>
    </row>
    <row r="543" spans="9:52" ht="11.25" customHeight="1">
      <c r="I543" t="str">
        <f>'Revenue drivers'!I396</f>
        <v>Cumulative reviews per claimed location ('0)</v>
      </c>
      <c r="M543">
        <f>'Revenue drivers'!M396</f>
        <v>64.427672955974842</v>
      </c>
      <c r="N543">
        <f>'Revenue drivers'!N396</f>
        <v>58.773869346733662</v>
      </c>
      <c r="O543">
        <f>'Revenue drivers'!O396</f>
        <v>54.554655870445345</v>
      </c>
      <c r="P543">
        <f>'Revenue drivers'!P396</f>
        <v>49.234527687296421</v>
      </c>
      <c r="Q543">
        <f>'Revenue drivers'!Q396</f>
        <v>45.628947368421052</v>
      </c>
      <c r="R543">
        <f>'Revenue drivers'!R396</f>
        <v>43.498896247240616</v>
      </c>
      <c r="S543">
        <f>'Revenue drivers'!S396</f>
        <v>42.32514177693762</v>
      </c>
      <c r="T543">
        <f>'Revenue drivers'!T396</f>
        <v>40.952145214521451</v>
      </c>
      <c r="U543">
        <f>'Revenue drivers'!U396</f>
        <v>39.384285714285717</v>
      </c>
      <c r="V543">
        <f>'Revenue drivers'!V396</f>
        <v>38.254108723135268</v>
      </c>
      <c r="W543">
        <f>'Revenue drivers'!W396</f>
        <v>37.410573678290213</v>
      </c>
      <c r="X543">
        <f>'Revenue drivers'!X396</f>
        <v>36.217303822937623</v>
      </c>
      <c r="Y543">
        <f>'Revenue drivers'!Y396</f>
        <v>35.451495920217589</v>
      </c>
      <c r="Z543">
        <f>'Revenue drivers'!Z396</f>
        <v>34.800327332242226</v>
      </c>
      <c r="AA543">
        <f>'Revenue drivers'!AA396</f>
        <v>35.209821428571431</v>
      </c>
      <c r="AB543">
        <f>'Revenue drivers'!AB396</f>
        <v>35.454973118279568</v>
      </c>
      <c r="AC543">
        <f>'Revenue drivers'!AC396</f>
        <v>35.625</v>
      </c>
      <c r="AD543">
        <f>'Revenue drivers'!AD396</f>
        <v>35.032552826956028</v>
      </c>
      <c r="AE543">
        <f>'Revenue drivers'!AE396</f>
        <v>35.308589607635206</v>
      </c>
      <c r="AF543">
        <f>'Revenue drivers'!AF396</f>
        <v>35.106949236076886</v>
      </c>
      <c r="AG543">
        <f>'Revenue drivers'!AG396</f>
        <v>35.269493844049251</v>
      </c>
      <c r="AH543">
        <f>'Revenue drivers'!AH396</f>
        <v>35.37760749255002</v>
      </c>
      <c r="AI543">
        <f>'Revenue drivers'!AI396</f>
        <v>35.811026767878545</v>
      </c>
      <c r="AJ543">
        <f>'Revenue drivers'!AJ396</f>
        <v>35.955438066465256</v>
      </c>
      <c r="AL543">
        <f>'Revenue drivers'!BF396</f>
        <v>0</v>
      </c>
      <c r="AM543">
        <f>'Revenue drivers'!BG396</f>
        <v>0</v>
      </c>
      <c r="AN543">
        <f>'Revenue drivers'!BH396</f>
        <v>194.76</v>
      </c>
      <c r="AO543">
        <f>'Revenue drivers'!BI396</f>
        <v>73.61666666666666</v>
      </c>
      <c r="AP543">
        <f>'Revenue drivers'!BJ396</f>
        <v>49.234527687296421</v>
      </c>
      <c r="AQ543">
        <f>'Revenue drivers'!BK396</f>
        <v>40.952145214521451</v>
      </c>
      <c r="AR543">
        <f>'Revenue drivers'!BL396</f>
        <v>36.217303822937623</v>
      </c>
      <c r="AS543">
        <f>'Revenue drivers'!BM396</f>
        <v>35.454973118279568</v>
      </c>
      <c r="AT543">
        <f>'Revenue drivers'!BN396</f>
        <v>35.106949236076886</v>
      </c>
      <c r="AU543">
        <f>'Revenue drivers'!BO396</f>
        <v>35.955438066465256</v>
      </c>
      <c r="AV543">
        <f>'Revenue drivers'!BP396</f>
        <v>35.986321736544753</v>
      </c>
      <c r="AW543">
        <f>'Revenue drivers'!BQ396</f>
        <v>35.401766531391743</v>
      </c>
      <c r="AX543">
        <f>'Revenue drivers'!BR396</f>
        <v>38.735405949452023</v>
      </c>
      <c r="AY543">
        <f>'Revenue drivers'!BS396</f>
        <v>41.585104144750687</v>
      </c>
      <c r="AZ543">
        <f>'Revenue drivers'!BT396</f>
        <v>44.032174776564055</v>
      </c>
    </row>
    <row r="544" spans="9:52" ht="11.25" customHeight="1">
      <c r="I544" t="str">
        <f>'Revenue drivers'!I397</f>
        <v>% change Y/Y</v>
      </c>
      <c r="M544" t="str">
        <f>'Revenue drivers'!M397</f>
        <v>NA</v>
      </c>
      <c r="N544" t="str">
        <f>'Revenue drivers'!N397</f>
        <v>NA</v>
      </c>
      <c r="O544" t="str">
        <f>'Revenue drivers'!O397</f>
        <v>NA</v>
      </c>
      <c r="P544" t="str">
        <f>'Revenue drivers'!P397</f>
        <v>NA</v>
      </c>
      <c r="Q544">
        <f>'Revenue drivers'!Q397</f>
        <v>-0.29178029758112578</v>
      </c>
      <c r="R544">
        <f>'Revenue drivers'!R397</f>
        <v>-0.25989395064971921</v>
      </c>
      <c r="S544">
        <f>'Revenue drivers'!S397</f>
        <v>-0.22416994293850889</v>
      </c>
      <c r="T544">
        <f>'Revenue drivers'!T397</f>
        <v>-0.16822305121679892</v>
      </c>
      <c r="U544">
        <f>'Revenue drivers'!U397</f>
        <v>-0.13685745594160148</v>
      </c>
      <c r="V544">
        <f>'Revenue drivers'!V397</f>
        <v>-0.12057288751178497</v>
      </c>
      <c r="W544">
        <f>'Revenue drivers'!W397</f>
        <v>-0.11611462814580076</v>
      </c>
      <c r="X544">
        <f>'Revenue drivers'!X397</f>
        <v>-0.11561888557439659</v>
      </c>
      <c r="Y544">
        <f>'Revenue drivers'!Y397</f>
        <v>-9.9856826720145397E-2</v>
      </c>
      <c r="Z544">
        <f>'Revenue drivers'!Z397</f>
        <v>-9.0285240100346886E-2</v>
      </c>
      <c r="AA544">
        <f>'Revenue drivers'!AA397</f>
        <v>-5.8827011546094043E-2</v>
      </c>
      <c r="AB544">
        <f>'Revenue drivers'!AB397</f>
        <v>-2.1048797789725238E-2</v>
      </c>
      <c r="AC544">
        <f>'Revenue drivers'!AC397</f>
        <v>4.8941257704011587E-3</v>
      </c>
      <c r="AD544">
        <f>'Revenue drivers'!AD397</f>
        <v>6.6730836321371445E-3</v>
      </c>
      <c r="AE544">
        <f>'Revenue drivers'!AE397</f>
        <v>2.805131496169011E-3</v>
      </c>
      <c r="AF544">
        <f>'Revenue drivers'!AF397</f>
        <v>-9.8159398130597264E-3</v>
      </c>
      <c r="AG544">
        <f>'Revenue drivers'!AG397</f>
        <v>-9.9791201670386132E-3</v>
      </c>
      <c r="AH544">
        <f>'Revenue drivers'!AH397</f>
        <v>9.8495438599177643E-3</v>
      </c>
      <c r="AI544">
        <f>'Revenue drivers'!AI397</f>
        <v>1.4229884734186404E-2</v>
      </c>
      <c r="AJ544">
        <f>'Revenue drivers'!AJ397</f>
        <v>2.4168685939718104E-2</v>
      </c>
      <c r="AL544">
        <f>'Revenue drivers'!BF397</f>
        <v>0</v>
      </c>
      <c r="AM544">
        <f>'Revenue drivers'!BG397</f>
        <v>0</v>
      </c>
      <c r="AN544" t="str">
        <f>'Revenue drivers'!BH397</f>
        <v>NA</v>
      </c>
      <c r="AO544">
        <f>'Revenue drivers'!BI397</f>
        <v>-0.62201341822413914</v>
      </c>
      <c r="AP544">
        <f>'Revenue drivers'!BJ397</f>
        <v>-0.33120406130002589</v>
      </c>
      <c r="AQ544">
        <f>'Revenue drivers'!BK397</f>
        <v>-0.16822305121679892</v>
      </c>
      <c r="AR544">
        <f>'Revenue drivers'!BL397</f>
        <v>-0.11561888557439659</v>
      </c>
      <c r="AS544">
        <f>'Revenue drivers'!BM397</f>
        <v>-2.1048797789725238E-2</v>
      </c>
      <c r="AT544">
        <f>'Revenue drivers'!BN397</f>
        <v>-9.8159398130597264E-3</v>
      </c>
      <c r="AU544">
        <f>'Revenue drivers'!BO397</f>
        <v>2.4168685939718104E-2</v>
      </c>
      <c r="AV544">
        <f>'Revenue drivers'!BP397</f>
        <v>8.5894295106081486E-4</v>
      </c>
      <c r="AW544">
        <f>'Revenue drivers'!BQ397</f>
        <v>-1.6243816454277527E-2</v>
      </c>
      <c r="AX544">
        <f>'Revenue drivers'!BR397</f>
        <v>9.4165905961338003E-2</v>
      </c>
      <c r="AY544">
        <f>'Revenue drivers'!BS397</f>
        <v>7.3568305932236511E-2</v>
      </c>
      <c r="AZ544">
        <f>'Revenue drivers'!BT397</f>
        <v>5.8844884055009983E-2</v>
      </c>
    </row>
    <row r="545" spans="9:52" ht="11.25" customHeight="1">
      <c r="I545" t="str">
        <f>'Revenue drivers'!I398</f>
        <v>% change Q/Q</v>
      </c>
      <c r="M545" t="str">
        <f>'Revenue drivers'!M398</f>
        <v>NA</v>
      </c>
      <c r="N545">
        <f>'Revenue drivers'!N398</f>
        <v>-8.7754273122739868E-2</v>
      </c>
      <c r="O545">
        <f>'Revenue drivers'!O398</f>
        <v>-7.1787233394440375E-2</v>
      </c>
      <c r="P545">
        <f>'Revenue drivers'!P398</f>
        <v>-9.7519232744919027E-2</v>
      </c>
      <c r="Q545">
        <f>'Revenue drivers'!Q398</f>
        <v>-7.3232759371137157E-2</v>
      </c>
      <c r="R545">
        <f>'Revenue drivers'!R398</f>
        <v>-4.6682013152348212E-2</v>
      </c>
      <c r="S545">
        <f>'Revenue drivers'!S398</f>
        <v>-2.698354605669917E-2</v>
      </c>
      <c r="T545">
        <f>'Revenue drivers'!T398</f>
        <v>-3.2439266704696434E-2</v>
      </c>
      <c r="U545">
        <f>'Revenue drivers'!U398</f>
        <v>-3.8285161669132206E-2</v>
      </c>
      <c r="V545">
        <f>'Revenue drivers'!V398</f>
        <v>-2.8696140367997169E-2</v>
      </c>
      <c r="W545">
        <f>'Revenue drivers'!W398</f>
        <v>-2.2050835139047487E-2</v>
      </c>
      <c r="X545">
        <f>'Revenue drivers'!X398</f>
        <v>-3.1896593343209267E-2</v>
      </c>
      <c r="Y545">
        <f>'Revenue drivers'!Y398</f>
        <v>-2.1144807091769802E-2</v>
      </c>
      <c r="Z545">
        <f>'Revenue drivers'!Z398</f>
        <v>-1.8367873373828725E-2</v>
      </c>
      <c r="AA545">
        <f>'Revenue drivers'!AA398</f>
        <v>1.1766961052398273E-2</v>
      </c>
      <c r="AB545">
        <f>'Revenue drivers'!AB398</f>
        <v>6.962593951391316E-3</v>
      </c>
      <c r="AC545">
        <f>'Revenue drivers'!AC398</f>
        <v>4.7955721515628991E-3</v>
      </c>
      <c r="AD545">
        <f>'Revenue drivers'!AD398</f>
        <v>-1.6630096085444857E-2</v>
      </c>
      <c r="AE545">
        <f>'Revenue drivers'!AE398</f>
        <v>7.8794366497545454E-3</v>
      </c>
      <c r="AF545">
        <f>'Revenue drivers'!AF398</f>
        <v>-5.7108022098598665E-3</v>
      </c>
      <c r="AG545">
        <f>'Revenue drivers'!AG398</f>
        <v>4.6299838496171031E-3</v>
      </c>
      <c r="AH545">
        <f>'Revenue drivers'!AH398</f>
        <v>3.0653586631783636E-3</v>
      </c>
      <c r="AI545">
        <f>'Revenue drivers'!AI398</f>
        <v>1.2251231952861596E-2</v>
      </c>
      <c r="AJ545">
        <f>'Revenue drivers'!AJ398</f>
        <v>4.0325930759472772E-3</v>
      </c>
      <c r="AL545">
        <f>'Revenue drivers'!BF398</f>
        <v>0</v>
      </c>
      <c r="AM545">
        <f>'Revenue drivers'!BG398</f>
        <v>0</v>
      </c>
      <c r="AN545">
        <f>'Revenue drivers'!BH398</f>
        <v>0</v>
      </c>
      <c r="AO545">
        <f>'Revenue drivers'!BI398</f>
        <v>0</v>
      </c>
      <c r="AP545">
        <f>'Revenue drivers'!BJ398</f>
        <v>0</v>
      </c>
      <c r="AQ545">
        <f>'Revenue drivers'!BK398</f>
        <v>0</v>
      </c>
      <c r="AR545">
        <f>'Revenue drivers'!BL398</f>
        <v>0</v>
      </c>
      <c r="AS545">
        <f>'Revenue drivers'!BM398</f>
        <v>0</v>
      </c>
      <c r="AT545">
        <f>'Revenue drivers'!BN398</f>
        <v>0</v>
      </c>
      <c r="AU545">
        <f>'Revenue drivers'!BO398</f>
        <v>0</v>
      </c>
      <c r="AV545">
        <f>'Revenue drivers'!BP398</f>
        <v>0</v>
      </c>
      <c r="AW545">
        <f>'Revenue drivers'!BQ398</f>
        <v>0</v>
      </c>
      <c r="AX545">
        <f>'Revenue drivers'!BR398</f>
        <v>0</v>
      </c>
      <c r="AY545">
        <f>'Revenue drivers'!BS398</f>
        <v>0</v>
      </c>
      <c r="AZ545">
        <f>'Revenue drivers'!BT398</f>
        <v>0</v>
      </c>
    </row>
    <row r="547" spans="9:52" ht="11.25" customHeight="1">
      <c r="I547">
        <f>'Revenue drivers'!I399</f>
        <v>0</v>
      </c>
      <c r="M547">
        <f>'Revenue drivers'!M399</f>
        <v>0</v>
      </c>
      <c r="N547">
        <f>'Revenue drivers'!N399</f>
        <v>0</v>
      </c>
      <c r="O547">
        <f>'Revenue drivers'!O399</f>
        <v>0</v>
      </c>
      <c r="P547">
        <f>'Revenue drivers'!P399</f>
        <v>0</v>
      </c>
      <c r="Q547">
        <f>'Revenue drivers'!Q399</f>
        <v>0</v>
      </c>
      <c r="R547">
        <f>'Revenue drivers'!R399</f>
        <v>0</v>
      </c>
      <c r="S547">
        <f>'Revenue drivers'!S399</f>
        <v>0</v>
      </c>
      <c r="T547">
        <f>'Revenue drivers'!T399</f>
        <v>0</v>
      </c>
      <c r="U547">
        <f>'Revenue drivers'!U399</f>
        <v>0</v>
      </c>
      <c r="V547">
        <f>'Revenue drivers'!V399</f>
        <v>0</v>
      </c>
      <c r="W547">
        <f>'Revenue drivers'!W399</f>
        <v>0</v>
      </c>
      <c r="X547">
        <f>'Revenue drivers'!X399</f>
        <v>0</v>
      </c>
      <c r="Y547">
        <f>'Revenue drivers'!Y399</f>
        <v>0</v>
      </c>
      <c r="Z547">
        <f>'Revenue drivers'!Z399</f>
        <v>0</v>
      </c>
      <c r="AA547">
        <f>'Revenue drivers'!AA399</f>
        <v>0</v>
      </c>
      <c r="AB547">
        <f>'Revenue drivers'!AB399</f>
        <v>0</v>
      </c>
      <c r="AC547">
        <f>'Revenue drivers'!AC399</f>
        <v>0</v>
      </c>
      <c r="AD547">
        <f>'Revenue drivers'!AD399</f>
        <v>0</v>
      </c>
      <c r="AE547">
        <f>'Revenue drivers'!AE399</f>
        <v>0</v>
      </c>
      <c r="AF547">
        <f>'Revenue drivers'!AF399</f>
        <v>0</v>
      </c>
      <c r="AG547">
        <f>'Revenue drivers'!AG399</f>
        <v>0</v>
      </c>
      <c r="AH547">
        <f>'Revenue drivers'!AH399</f>
        <v>0</v>
      </c>
      <c r="AI547">
        <f>'Revenue drivers'!AI399</f>
        <v>0</v>
      </c>
      <c r="AJ547">
        <f>'Revenue drivers'!AJ399</f>
        <v>0</v>
      </c>
      <c r="AL547">
        <f>'Revenue drivers'!BF399</f>
        <v>0</v>
      </c>
      <c r="AM547">
        <f>'Revenue drivers'!BG399</f>
        <v>0</v>
      </c>
      <c r="AN547">
        <f>'Revenue drivers'!BH399</f>
        <v>0</v>
      </c>
      <c r="AO547">
        <f>'Revenue drivers'!BI399</f>
        <v>0</v>
      </c>
      <c r="AP547">
        <f>'Revenue drivers'!BJ399</f>
        <v>0</v>
      </c>
      <c r="AQ547">
        <f>'Revenue drivers'!BK399</f>
        <v>0</v>
      </c>
      <c r="AR547">
        <f>'Revenue drivers'!BL399</f>
        <v>0</v>
      </c>
      <c r="AS547">
        <f>'Revenue drivers'!BM399</f>
        <v>0</v>
      </c>
      <c r="AT547">
        <f>'Revenue drivers'!BN399</f>
        <v>0</v>
      </c>
      <c r="AU547">
        <f>'Revenue drivers'!BO399</f>
        <v>0</v>
      </c>
      <c r="AV547">
        <f>'Revenue drivers'!BP399</f>
        <v>0</v>
      </c>
      <c r="AW547">
        <f>'Revenue drivers'!BQ399</f>
        <v>0</v>
      </c>
      <c r="AX547">
        <f>'Revenue drivers'!BR399</f>
        <v>0</v>
      </c>
      <c r="AY547">
        <f>'Revenue drivers'!BS399</f>
        <v>0</v>
      </c>
      <c r="AZ547">
        <f>'Revenue drivers'!BT399</f>
        <v>0</v>
      </c>
    </row>
    <row r="548" spans="9:52" ht="11.25" customHeight="1">
      <c r="I548" t="str">
        <f>'Revenue drivers'!I400</f>
        <v>US vs. International cumulative reviews</v>
      </c>
      <c r="M548">
        <f>'Revenue drivers'!M400</f>
        <v>0</v>
      </c>
      <c r="N548">
        <f>'Revenue drivers'!N400</f>
        <v>0</v>
      </c>
      <c r="O548">
        <f>'Revenue drivers'!O400</f>
        <v>0</v>
      </c>
      <c r="P548">
        <f>'Revenue drivers'!P400</f>
        <v>0</v>
      </c>
      <c r="Q548">
        <f>'Revenue drivers'!Q400</f>
        <v>0</v>
      </c>
      <c r="R548">
        <f>'Revenue drivers'!R400</f>
        <v>0</v>
      </c>
      <c r="S548">
        <f>'Revenue drivers'!S400</f>
        <v>0</v>
      </c>
      <c r="T548">
        <f>'Revenue drivers'!T400</f>
        <v>0</v>
      </c>
      <c r="U548">
        <f>'Revenue drivers'!U400</f>
        <v>0</v>
      </c>
      <c r="V548">
        <f>'Revenue drivers'!V400</f>
        <v>0</v>
      </c>
      <c r="W548">
        <f>'Revenue drivers'!W400</f>
        <v>0</v>
      </c>
      <c r="X548">
        <f>'Revenue drivers'!X400</f>
        <v>0</v>
      </c>
      <c r="Y548">
        <f>'Revenue drivers'!Y400</f>
        <v>0</v>
      </c>
      <c r="Z548">
        <f>'Revenue drivers'!Z400</f>
        <v>0</v>
      </c>
      <c r="AA548">
        <f>'Revenue drivers'!AA400</f>
        <v>0</v>
      </c>
      <c r="AB548">
        <f>'Revenue drivers'!AB400</f>
        <v>0</v>
      </c>
      <c r="AC548">
        <f>'Revenue drivers'!AC400</f>
        <v>0</v>
      </c>
      <c r="AD548">
        <f>'Revenue drivers'!AD400</f>
        <v>0</v>
      </c>
      <c r="AE548">
        <f>'Revenue drivers'!AE400</f>
        <v>0</v>
      </c>
      <c r="AF548">
        <f>'Revenue drivers'!AF400</f>
        <v>0</v>
      </c>
      <c r="AG548">
        <f>'Revenue drivers'!AG400</f>
        <v>0</v>
      </c>
      <c r="AH548">
        <f>'Revenue drivers'!AH400</f>
        <v>0</v>
      </c>
      <c r="AI548">
        <f>'Revenue drivers'!AI400</f>
        <v>0</v>
      </c>
      <c r="AJ548">
        <f>'Revenue drivers'!AJ400</f>
        <v>0</v>
      </c>
      <c r="AL548">
        <f>'Revenue drivers'!BF400</f>
        <v>0</v>
      </c>
      <c r="AM548">
        <f>'Revenue drivers'!BG400</f>
        <v>0</v>
      </c>
      <c r="AN548">
        <f>'Revenue drivers'!BH400</f>
        <v>0</v>
      </c>
      <c r="AO548">
        <f>'Revenue drivers'!BI400</f>
        <v>0</v>
      </c>
      <c r="AP548">
        <f>'Revenue drivers'!BJ400</f>
        <v>0</v>
      </c>
      <c r="AQ548">
        <f>'Revenue drivers'!BK400</f>
        <v>0</v>
      </c>
      <c r="AR548">
        <f>'Revenue drivers'!BL400</f>
        <v>0</v>
      </c>
      <c r="AS548">
        <f>'Revenue drivers'!BM400</f>
        <v>0</v>
      </c>
      <c r="AT548">
        <f>'Revenue drivers'!BN400</f>
        <v>0</v>
      </c>
      <c r="AU548">
        <f>'Revenue drivers'!BO400</f>
        <v>0</v>
      </c>
      <c r="AV548">
        <f>'Revenue drivers'!BP400</f>
        <v>0</v>
      </c>
      <c r="AW548">
        <f>'Revenue drivers'!BQ400</f>
        <v>0</v>
      </c>
      <c r="AX548">
        <f>'Revenue drivers'!BR400</f>
        <v>0</v>
      </c>
      <c r="AY548">
        <f>'Revenue drivers'!BS400</f>
        <v>0</v>
      </c>
      <c r="AZ548">
        <f>'Revenue drivers'!BT400</f>
        <v>0</v>
      </c>
    </row>
    <row r="549" spans="9:52" ht="11.25" customHeight="1">
      <c r="I549">
        <f>'Revenue drivers'!I401</f>
        <v>0</v>
      </c>
      <c r="M549">
        <f>'Revenue drivers'!M401</f>
        <v>0</v>
      </c>
      <c r="N549">
        <f>'Revenue drivers'!N401</f>
        <v>0</v>
      </c>
      <c r="O549">
        <f>'Revenue drivers'!O401</f>
        <v>0</v>
      </c>
      <c r="P549">
        <f>'Revenue drivers'!P401</f>
        <v>0</v>
      </c>
      <c r="Q549">
        <f>'Revenue drivers'!Q401</f>
        <v>0</v>
      </c>
      <c r="R549">
        <f>'Revenue drivers'!R401</f>
        <v>0</v>
      </c>
      <c r="S549">
        <f>'Revenue drivers'!S401</f>
        <v>0</v>
      </c>
      <c r="T549">
        <f>'Revenue drivers'!T401</f>
        <v>0</v>
      </c>
      <c r="U549">
        <f>'Revenue drivers'!U401</f>
        <v>0</v>
      </c>
      <c r="V549">
        <f>'Revenue drivers'!V401</f>
        <v>0</v>
      </c>
      <c r="W549">
        <f>'Revenue drivers'!W401</f>
        <v>0</v>
      </c>
      <c r="X549">
        <f>'Revenue drivers'!X401</f>
        <v>0</v>
      </c>
      <c r="Y549">
        <f>'Revenue drivers'!Y401</f>
        <v>0</v>
      </c>
      <c r="Z549">
        <f>'Revenue drivers'!Z401</f>
        <v>0</v>
      </c>
      <c r="AA549">
        <f>'Revenue drivers'!AA401</f>
        <v>0</v>
      </c>
      <c r="AB549">
        <f>'Revenue drivers'!AB401</f>
        <v>0</v>
      </c>
      <c r="AC549">
        <f>'Revenue drivers'!AC401</f>
        <v>0</v>
      </c>
      <c r="AD549">
        <f>'Revenue drivers'!AD401</f>
        <v>0</v>
      </c>
      <c r="AE549">
        <f>'Revenue drivers'!AE401</f>
        <v>0</v>
      </c>
      <c r="AF549">
        <f>'Revenue drivers'!AF401</f>
        <v>0</v>
      </c>
      <c r="AG549">
        <f>'Revenue drivers'!AG401</f>
        <v>0</v>
      </c>
      <c r="AH549">
        <f>'Revenue drivers'!AH401</f>
        <v>0</v>
      </c>
      <c r="AI549">
        <f>'Revenue drivers'!AI401</f>
        <v>0</v>
      </c>
      <c r="AJ549">
        <f>'Revenue drivers'!AJ401</f>
        <v>0</v>
      </c>
      <c r="AL549">
        <f>'Revenue drivers'!BF401</f>
        <v>0</v>
      </c>
      <c r="AM549">
        <f>'Revenue drivers'!BG401</f>
        <v>0</v>
      </c>
      <c r="AN549">
        <f>'Revenue drivers'!BH401</f>
        <v>0</v>
      </c>
      <c r="AO549">
        <f>'Revenue drivers'!BI401</f>
        <v>0</v>
      </c>
      <c r="AP549">
        <f>'Revenue drivers'!BJ401</f>
        <v>0</v>
      </c>
      <c r="AQ549">
        <f>'Revenue drivers'!BK401</f>
        <v>0</v>
      </c>
      <c r="AR549">
        <f>'Revenue drivers'!BL401</f>
        <v>0</v>
      </c>
      <c r="AS549">
        <f>'Revenue drivers'!BM401</f>
        <v>0</v>
      </c>
      <c r="AT549">
        <f>'Revenue drivers'!BN401</f>
        <v>0</v>
      </c>
      <c r="AU549">
        <f>'Revenue drivers'!BO401</f>
        <v>0</v>
      </c>
      <c r="AV549">
        <f>'Revenue drivers'!BP401</f>
        <v>0</v>
      </c>
      <c r="AW549">
        <f>'Revenue drivers'!BQ401</f>
        <v>0</v>
      </c>
      <c r="AX549">
        <f>'Revenue drivers'!BR401</f>
        <v>0</v>
      </c>
      <c r="AY549">
        <f>'Revenue drivers'!BS401</f>
        <v>0</v>
      </c>
      <c r="AZ549">
        <f>'Revenue drivers'!BT401</f>
        <v>0</v>
      </c>
    </row>
    <row r="550" spans="9:52" ht="11.25" customHeight="1">
      <c r="I550" t="str">
        <f>'Revenue drivers'!I402</f>
        <v>US cumulative reviews</v>
      </c>
      <c r="M550">
        <f>'Revenue drivers'!M402</f>
        <v>0</v>
      </c>
      <c r="N550">
        <f>'Revenue drivers'!N402</f>
        <v>0</v>
      </c>
      <c r="O550">
        <f>'Revenue drivers'!O402</f>
        <v>0</v>
      </c>
      <c r="P550">
        <f>'Revenue drivers'!P402</f>
        <v>0</v>
      </c>
      <c r="Q550">
        <f>'Revenue drivers'!Q402</f>
        <v>0</v>
      </c>
      <c r="R550">
        <f>'Revenue drivers'!R402</f>
        <v>0</v>
      </c>
      <c r="S550">
        <f>'Revenue drivers'!S402</f>
        <v>0</v>
      </c>
      <c r="T550">
        <f>'Revenue drivers'!T402</f>
        <v>0</v>
      </c>
      <c r="U550">
        <f>'Revenue drivers'!U402</f>
        <v>0</v>
      </c>
      <c r="V550">
        <f>'Revenue drivers'!V402</f>
        <v>0</v>
      </c>
      <c r="W550">
        <f>'Revenue drivers'!W402</f>
        <v>0</v>
      </c>
      <c r="X550">
        <f>'Revenue drivers'!X402</f>
        <v>0</v>
      </c>
      <c r="Y550">
        <f>'Revenue drivers'!Y402</f>
        <v>0</v>
      </c>
      <c r="Z550">
        <f>'Revenue drivers'!Z402</f>
        <v>0</v>
      </c>
      <c r="AA550">
        <f>'Revenue drivers'!AA402</f>
        <v>43.536239999999999</v>
      </c>
      <c r="AB550">
        <f>'Revenue drivers'!AB402</f>
        <v>48.272655</v>
      </c>
      <c r="AC550">
        <f>'Revenue drivers'!AC402</f>
        <v>51.87</v>
      </c>
      <c r="AD550">
        <f>'Revenue drivers'!AD402</f>
        <v>55.514510000000001</v>
      </c>
      <c r="AE550">
        <f>'Revenue drivers'!AE402</f>
        <v>59.9328</v>
      </c>
      <c r="AF550">
        <f>'Revenue drivers'!AF402</f>
        <v>63.75264</v>
      </c>
      <c r="AG550">
        <f>'Revenue drivers'!AG402</f>
        <v>68.686999999999998</v>
      </c>
      <c r="AH550">
        <f>'Revenue drivers'!AH402</f>
        <v>73.545270000000002</v>
      </c>
      <c r="AI550">
        <f>'Revenue drivers'!AI402</f>
        <v>78.878799999999998</v>
      </c>
      <c r="AJ550">
        <f>'Revenue drivers'!AJ402</f>
        <v>83.308749999999989</v>
      </c>
      <c r="AL550">
        <f>'Revenue drivers'!BF402</f>
        <v>0</v>
      </c>
      <c r="AM550">
        <f>'Revenue drivers'!BG402</f>
        <v>0</v>
      </c>
      <c r="AN550">
        <f>'Revenue drivers'!BH402</f>
        <v>0</v>
      </c>
      <c r="AO550">
        <f>'Revenue drivers'!BI402</f>
        <v>0</v>
      </c>
      <c r="AP550">
        <f>'Revenue drivers'!BJ402</f>
        <v>0</v>
      </c>
      <c r="AQ550">
        <f>'Revenue drivers'!BK402</f>
        <v>0</v>
      </c>
      <c r="AR550">
        <f>'Revenue drivers'!BL402</f>
        <v>0</v>
      </c>
      <c r="AS550">
        <f>'Revenue drivers'!BM402</f>
        <v>48.272655</v>
      </c>
      <c r="AT550">
        <f>'Revenue drivers'!BN402</f>
        <v>63.75264</v>
      </c>
      <c r="AU550">
        <f>'Revenue drivers'!BO402</f>
        <v>83.308749999999989</v>
      </c>
      <c r="AV550">
        <f>'Revenue drivers'!BP402</f>
        <v>103.776365</v>
      </c>
      <c r="AW550">
        <f>'Revenue drivers'!BQ402</f>
        <v>125.31180999999999</v>
      </c>
      <c r="AX550">
        <f>'Revenue drivers'!BR402</f>
        <v>142.87844999999999</v>
      </c>
      <c r="AY550">
        <f>'Revenue drivers'!BS402</f>
        <v>159.11147</v>
      </c>
      <c r="AZ550">
        <f>'Revenue drivers'!BT402</f>
        <v>174.03607</v>
      </c>
    </row>
    <row r="551" spans="9:52" ht="11.25" customHeight="1">
      <c r="I551" t="str">
        <f>'Revenue drivers'!I403</f>
        <v>% change Y/Y</v>
      </c>
      <c r="M551">
        <f>'Revenue drivers'!M403</f>
        <v>0</v>
      </c>
      <c r="N551">
        <f>'Revenue drivers'!N403</f>
        <v>0</v>
      </c>
      <c r="O551">
        <f>'Revenue drivers'!O403</f>
        <v>0</v>
      </c>
      <c r="P551">
        <f>'Revenue drivers'!P403</f>
        <v>0</v>
      </c>
      <c r="Q551">
        <f>'Revenue drivers'!Q403</f>
        <v>0</v>
      </c>
      <c r="R551">
        <f>'Revenue drivers'!R403</f>
        <v>0</v>
      </c>
      <c r="S551">
        <f>'Revenue drivers'!S403</f>
        <v>0</v>
      </c>
      <c r="T551">
        <f>'Revenue drivers'!T403</f>
        <v>0</v>
      </c>
      <c r="U551">
        <f>'Revenue drivers'!U403</f>
        <v>0</v>
      </c>
      <c r="V551">
        <f>'Revenue drivers'!V403</f>
        <v>0</v>
      </c>
      <c r="W551">
        <f>'Revenue drivers'!W403</f>
        <v>0</v>
      </c>
      <c r="X551">
        <f>'Revenue drivers'!X403</f>
        <v>0</v>
      </c>
      <c r="Y551">
        <f>'Revenue drivers'!Y403</f>
        <v>0</v>
      </c>
      <c r="Z551">
        <f>'Revenue drivers'!Z403</f>
        <v>0</v>
      </c>
      <c r="AA551" t="str">
        <f>'Revenue drivers'!AA403</f>
        <v>NA</v>
      </c>
      <c r="AB551" t="str">
        <f>'Revenue drivers'!AB403</f>
        <v>NA</v>
      </c>
      <c r="AC551" t="str">
        <f>'Revenue drivers'!AC403</f>
        <v>NA</v>
      </c>
      <c r="AD551" t="str">
        <f>'Revenue drivers'!AD403</f>
        <v>NA</v>
      </c>
      <c r="AE551">
        <f>'Revenue drivers'!AE403</f>
        <v>0.37661865149585738</v>
      </c>
      <c r="AF551">
        <f>'Revenue drivers'!AF403</f>
        <v>0.32067813547856439</v>
      </c>
      <c r="AG551">
        <f>'Revenue drivers'!AG403</f>
        <v>0.32421438210911901</v>
      </c>
      <c r="AH551">
        <f>'Revenue drivers'!AH403</f>
        <v>0.32479364404008981</v>
      </c>
      <c r="AI551">
        <f>'Revenue drivers'!AI403</f>
        <v>0.31612072187516671</v>
      </c>
      <c r="AJ551">
        <f>'Revenue drivers'!AJ403</f>
        <v>0.30674980675310048</v>
      </c>
      <c r="AL551">
        <f>'Revenue drivers'!BF403</f>
        <v>0</v>
      </c>
      <c r="AM551">
        <f>'Revenue drivers'!BG403</f>
        <v>0</v>
      </c>
      <c r="AN551">
        <f>'Revenue drivers'!BH403</f>
        <v>0</v>
      </c>
      <c r="AO551">
        <f>'Revenue drivers'!BI403</f>
        <v>0</v>
      </c>
      <c r="AP551">
        <f>'Revenue drivers'!BJ403</f>
        <v>0</v>
      </c>
      <c r="AQ551">
        <f>'Revenue drivers'!BK403</f>
        <v>0</v>
      </c>
      <c r="AR551">
        <f>'Revenue drivers'!BL403</f>
        <v>0</v>
      </c>
      <c r="AS551">
        <f>'Revenue drivers'!BM403</f>
        <v>0</v>
      </c>
      <c r="AT551">
        <f>'Revenue drivers'!BN403</f>
        <v>0.32067813547856439</v>
      </c>
      <c r="AU551">
        <f>'Revenue drivers'!BO403</f>
        <v>0.30674980675310048</v>
      </c>
      <c r="AV551">
        <f>'Revenue drivers'!BP403</f>
        <v>0.24568385673773774</v>
      </c>
      <c r="AW551">
        <f>'Revenue drivers'!BQ403</f>
        <v>0.20751781968851968</v>
      </c>
      <c r="AX551">
        <f>'Revenue drivers'!BR403</f>
        <v>0.14018343522450105</v>
      </c>
      <c r="AY551">
        <f>'Revenue drivers'!BS403</f>
        <v>0.113614194442899</v>
      </c>
      <c r="AZ551">
        <f>'Revenue drivers'!BT403</f>
        <v>9.3799648761965448E-2</v>
      </c>
    </row>
    <row r="552" spans="9:52" ht="11.25" customHeight="1">
      <c r="I552" t="str">
        <f>'Revenue drivers'!I404</f>
        <v>% change Q/Q</v>
      </c>
      <c r="M552">
        <f>'Revenue drivers'!M404</f>
        <v>0</v>
      </c>
      <c r="N552">
        <f>'Revenue drivers'!N404</f>
        <v>0</v>
      </c>
      <c r="O552">
        <f>'Revenue drivers'!O404</f>
        <v>0</v>
      </c>
      <c r="P552">
        <f>'Revenue drivers'!P404</f>
        <v>0</v>
      </c>
      <c r="Q552">
        <f>'Revenue drivers'!Q404</f>
        <v>0</v>
      </c>
      <c r="R552">
        <f>'Revenue drivers'!R404</f>
        <v>0</v>
      </c>
      <c r="S552">
        <f>'Revenue drivers'!S404</f>
        <v>0</v>
      </c>
      <c r="T552">
        <f>'Revenue drivers'!T404</f>
        <v>0</v>
      </c>
      <c r="U552">
        <f>'Revenue drivers'!U404</f>
        <v>0</v>
      </c>
      <c r="V552">
        <f>'Revenue drivers'!V404</f>
        <v>0</v>
      </c>
      <c r="W552">
        <f>'Revenue drivers'!W404</f>
        <v>0</v>
      </c>
      <c r="X552">
        <f>'Revenue drivers'!X404</f>
        <v>0</v>
      </c>
      <c r="Y552">
        <f>'Revenue drivers'!Y404</f>
        <v>0</v>
      </c>
      <c r="Z552">
        <f>'Revenue drivers'!Z404</f>
        <v>0</v>
      </c>
      <c r="AA552" t="str">
        <f>'Revenue drivers'!AA404</f>
        <v>NA</v>
      </c>
      <c r="AB552">
        <f>'Revenue drivers'!AB404</f>
        <v>0.10879246806798193</v>
      </c>
      <c r="AC552">
        <f>'Revenue drivers'!AC404</f>
        <v>7.4521382758002463E-2</v>
      </c>
      <c r="AD552">
        <f>'Revenue drivers'!AD404</f>
        <v>7.0262386736070992E-2</v>
      </c>
      <c r="AE552">
        <f>'Revenue drivers'!AE404</f>
        <v>7.9588021221839167E-2</v>
      </c>
      <c r="AF552">
        <f>'Revenue drivers'!AF404</f>
        <v>6.3735383629665243E-2</v>
      </c>
      <c r="AG552">
        <f>'Revenue drivers'!AG404</f>
        <v>7.7398520280885563E-2</v>
      </c>
      <c r="AH552">
        <f>'Revenue drivers'!AH404</f>
        <v>7.0730560368046369E-2</v>
      </c>
      <c r="AI552">
        <f>'Revenue drivers'!AI404</f>
        <v>7.2520367387324702E-2</v>
      </c>
      <c r="AJ552">
        <f>'Revenue drivers'!AJ404</f>
        <v>5.616147811579264E-2</v>
      </c>
      <c r="AL552">
        <f>'Revenue drivers'!BF404</f>
        <v>0</v>
      </c>
      <c r="AM552">
        <f>'Revenue drivers'!BG404</f>
        <v>0</v>
      </c>
      <c r="AN552">
        <f>'Revenue drivers'!BH404</f>
        <v>0</v>
      </c>
      <c r="AO552">
        <f>'Revenue drivers'!BI404</f>
        <v>0</v>
      </c>
      <c r="AP552">
        <f>'Revenue drivers'!BJ404</f>
        <v>0</v>
      </c>
      <c r="AQ552">
        <f>'Revenue drivers'!BK404</f>
        <v>0</v>
      </c>
      <c r="AR552">
        <f>'Revenue drivers'!BL404</f>
        <v>0</v>
      </c>
      <c r="AS552">
        <f>'Revenue drivers'!BM404</f>
        <v>0</v>
      </c>
      <c r="AT552">
        <f>'Revenue drivers'!BN404</f>
        <v>0</v>
      </c>
      <c r="AU552">
        <f>'Revenue drivers'!BO404</f>
        <v>0</v>
      </c>
      <c r="AV552">
        <f>'Revenue drivers'!BP404</f>
        <v>0</v>
      </c>
      <c r="AW552">
        <f>'Revenue drivers'!BQ404</f>
        <v>0</v>
      </c>
      <c r="AX552">
        <f>'Revenue drivers'!BR404</f>
        <v>0</v>
      </c>
      <c r="AY552">
        <f>'Revenue drivers'!BS404</f>
        <v>0</v>
      </c>
      <c r="AZ552">
        <f>'Revenue drivers'!BT404</f>
        <v>0</v>
      </c>
    </row>
    <row r="553" spans="9:52" ht="11.25" customHeight="1">
      <c r="I553" t="str">
        <f>'Revenue drivers'!I405</f>
        <v>% of total average monthly unique visitors</v>
      </c>
      <c r="M553">
        <f>'Revenue drivers'!M405</f>
        <v>0</v>
      </c>
      <c r="N553">
        <f>'Revenue drivers'!N405</f>
        <v>0</v>
      </c>
      <c r="O553">
        <f>'Revenue drivers'!O405</f>
        <v>0</v>
      </c>
      <c r="P553">
        <f>'Revenue drivers'!P405</f>
        <v>0</v>
      </c>
      <c r="Q553">
        <f>'Revenue drivers'!Q405</f>
        <v>0</v>
      </c>
      <c r="R553">
        <f>'Revenue drivers'!R405</f>
        <v>0</v>
      </c>
      <c r="S553">
        <f>'Revenue drivers'!S405</f>
        <v>0</v>
      </c>
      <c r="T553">
        <f>'Revenue drivers'!T405</f>
        <v>0</v>
      </c>
      <c r="U553">
        <f>'Revenue drivers'!U405</f>
        <v>0</v>
      </c>
      <c r="V553">
        <f>'Revenue drivers'!V405</f>
        <v>0</v>
      </c>
      <c r="W553">
        <f>'Revenue drivers'!W405</f>
        <v>0</v>
      </c>
      <c r="X553">
        <f>'Revenue drivers'!X405</f>
        <v>0</v>
      </c>
      <c r="Y553">
        <f>'Revenue drivers'!Y405</f>
        <v>0</v>
      </c>
      <c r="Z553">
        <f>'Revenue drivers'!Z405</f>
        <v>0</v>
      </c>
      <c r="AA553">
        <f>'Revenue drivers'!AA405</f>
        <v>0.91999999999999993</v>
      </c>
      <c r="AB553">
        <f>'Revenue drivers'!AB405</f>
        <v>0.91500000000000004</v>
      </c>
      <c r="AC553">
        <f>'Revenue drivers'!AC405</f>
        <v>0.90999999999999992</v>
      </c>
      <c r="AD553">
        <f>'Revenue drivers'!AD405</f>
        <v>0.90500000000000003</v>
      </c>
      <c r="AE553">
        <f>'Revenue drivers'!AE405</f>
        <v>0.9</v>
      </c>
      <c r="AF553">
        <f>'Revenue drivers'!AF405</f>
        <v>0.89500000000000002</v>
      </c>
      <c r="AG553">
        <f>'Revenue drivers'!AG405</f>
        <v>0.88804850929589108</v>
      </c>
      <c r="AH553">
        <f>'Revenue drivers'!AH405</f>
        <v>0.88500000000000001</v>
      </c>
      <c r="AI553">
        <f>'Revenue drivers'!AI405</f>
        <v>0.87999999999999989</v>
      </c>
      <c r="AJ553">
        <f>'Revenue drivers'!AJ405</f>
        <v>0.87499999999999989</v>
      </c>
      <c r="AL553">
        <f>'Revenue drivers'!BF405</f>
        <v>0</v>
      </c>
      <c r="AM553">
        <f>'Revenue drivers'!BG405</f>
        <v>0</v>
      </c>
      <c r="AN553">
        <f>'Revenue drivers'!BH405</f>
        <v>0</v>
      </c>
      <c r="AO553">
        <f>'Revenue drivers'!BI405</f>
        <v>0</v>
      </c>
      <c r="AP553">
        <f>'Revenue drivers'!BJ405</f>
        <v>0</v>
      </c>
      <c r="AQ553">
        <f>'Revenue drivers'!BK405</f>
        <v>0</v>
      </c>
      <c r="AR553">
        <f>'Revenue drivers'!BL405</f>
        <v>0</v>
      </c>
      <c r="AS553">
        <f>'Revenue drivers'!BM405</f>
        <v>0.91500000000000004</v>
      </c>
      <c r="AT553">
        <f>'Revenue drivers'!BN405</f>
        <v>0.89500000000000002</v>
      </c>
      <c r="AU553">
        <f>'Revenue drivers'!BO405</f>
        <v>0.87499999999999989</v>
      </c>
      <c r="AV553">
        <f>'Revenue drivers'!BP405</f>
        <v>0.85749999999999993</v>
      </c>
      <c r="AW553">
        <f>'Revenue drivers'!BQ405</f>
        <v>0.84499999999999997</v>
      </c>
      <c r="AX553">
        <f>'Revenue drivers'!BR405</f>
        <v>0.82499999999999984</v>
      </c>
      <c r="AY553">
        <f>'Revenue drivers'!BS405</f>
        <v>0.80499999999999994</v>
      </c>
      <c r="AZ553">
        <f>'Revenue drivers'!BT405</f>
        <v>0.78499999999999992</v>
      </c>
    </row>
    <row r="554" spans="9:52" ht="11.25" customHeight="1">
      <c r="I554">
        <f>'Revenue drivers'!I406</f>
        <v>0</v>
      </c>
      <c r="M554">
        <f>'Revenue drivers'!M406</f>
        <v>0</v>
      </c>
      <c r="N554">
        <f>'Revenue drivers'!N406</f>
        <v>0</v>
      </c>
      <c r="O554">
        <f>'Revenue drivers'!O406</f>
        <v>0</v>
      </c>
      <c r="P554">
        <f>'Revenue drivers'!P406</f>
        <v>0</v>
      </c>
      <c r="Q554">
        <f>'Revenue drivers'!Q406</f>
        <v>0</v>
      </c>
      <c r="R554">
        <f>'Revenue drivers'!R406</f>
        <v>0</v>
      </c>
      <c r="S554">
        <f>'Revenue drivers'!S406</f>
        <v>0</v>
      </c>
      <c r="T554">
        <f>'Revenue drivers'!T406</f>
        <v>0</v>
      </c>
      <c r="U554">
        <f>'Revenue drivers'!U406</f>
        <v>0</v>
      </c>
      <c r="V554">
        <f>'Revenue drivers'!V406</f>
        <v>0</v>
      </c>
      <c r="W554">
        <f>'Revenue drivers'!W406</f>
        <v>0</v>
      </c>
      <c r="X554">
        <f>'Revenue drivers'!X406</f>
        <v>0</v>
      </c>
      <c r="Y554">
        <f>'Revenue drivers'!Y406</f>
        <v>0</v>
      </c>
      <c r="Z554">
        <f>'Revenue drivers'!Z406</f>
        <v>0</v>
      </c>
      <c r="AA554">
        <f>'Revenue drivers'!AA406</f>
        <v>0</v>
      </c>
      <c r="AB554">
        <f>'Revenue drivers'!AB406</f>
        <v>0</v>
      </c>
      <c r="AC554">
        <f>'Revenue drivers'!AC406</f>
        <v>0</v>
      </c>
      <c r="AD554">
        <f>'Revenue drivers'!AD406</f>
        <v>0</v>
      </c>
      <c r="AE554">
        <f>'Revenue drivers'!AE406</f>
        <v>0</v>
      </c>
      <c r="AF554">
        <f>'Revenue drivers'!AF406</f>
        <v>0</v>
      </c>
      <c r="AG554">
        <f>'Revenue drivers'!AG406</f>
        <v>0</v>
      </c>
      <c r="AH554">
        <f>'Revenue drivers'!AH406</f>
        <v>0</v>
      </c>
      <c r="AI554">
        <f>'Revenue drivers'!AI406</f>
        <v>0</v>
      </c>
      <c r="AJ554">
        <f>'Revenue drivers'!AJ406</f>
        <v>0</v>
      </c>
      <c r="AL554">
        <f>'Revenue drivers'!BF406</f>
        <v>0</v>
      </c>
      <c r="AM554">
        <f>'Revenue drivers'!BG406</f>
        <v>0</v>
      </c>
      <c r="AN554">
        <f>'Revenue drivers'!BH406</f>
        <v>0</v>
      </c>
      <c r="AO554">
        <f>'Revenue drivers'!BI406</f>
        <v>0</v>
      </c>
      <c r="AP554">
        <f>'Revenue drivers'!BJ406</f>
        <v>0</v>
      </c>
      <c r="AQ554">
        <f>'Revenue drivers'!BK406</f>
        <v>0</v>
      </c>
      <c r="AR554">
        <f>'Revenue drivers'!BL406</f>
        <v>0</v>
      </c>
      <c r="AS554">
        <f>'Revenue drivers'!BM406</f>
        <v>0</v>
      </c>
      <c r="AT554">
        <f>'Revenue drivers'!BN406</f>
        <v>0</v>
      </c>
      <c r="AU554">
        <f>'Revenue drivers'!BO406</f>
        <v>0</v>
      </c>
      <c r="AV554">
        <f>'Revenue drivers'!BP406</f>
        <v>0</v>
      </c>
      <c r="AW554">
        <f>'Revenue drivers'!BQ406</f>
        <v>0</v>
      </c>
      <c r="AX554">
        <f>'Revenue drivers'!BR406</f>
        <v>0</v>
      </c>
      <c r="AY554">
        <f>'Revenue drivers'!BS406</f>
        <v>0</v>
      </c>
      <c r="AZ554">
        <f>'Revenue drivers'!BT406</f>
        <v>0</v>
      </c>
    </row>
    <row r="555" spans="9:52" ht="11.25" customHeight="1">
      <c r="I555">
        <f>'Revenue drivers'!I407</f>
        <v>0</v>
      </c>
      <c r="M555">
        <f>'Revenue drivers'!M407</f>
        <v>0</v>
      </c>
      <c r="N555">
        <f>'Revenue drivers'!N407</f>
        <v>0</v>
      </c>
      <c r="O555">
        <f>'Revenue drivers'!O407</f>
        <v>0</v>
      </c>
      <c r="P555">
        <f>'Revenue drivers'!P407</f>
        <v>0</v>
      </c>
      <c r="Q555">
        <f>'Revenue drivers'!Q407</f>
        <v>0</v>
      </c>
      <c r="R555">
        <f>'Revenue drivers'!R407</f>
        <v>0</v>
      </c>
      <c r="S555">
        <f>'Revenue drivers'!S407</f>
        <v>0</v>
      </c>
      <c r="T555">
        <f>'Revenue drivers'!T407</f>
        <v>0</v>
      </c>
      <c r="U555">
        <f>'Revenue drivers'!U407</f>
        <v>0</v>
      </c>
      <c r="V555">
        <f>'Revenue drivers'!V407</f>
        <v>0</v>
      </c>
      <c r="W555">
        <f>'Revenue drivers'!W407</f>
        <v>0</v>
      </c>
      <c r="X555">
        <f>'Revenue drivers'!X407</f>
        <v>0</v>
      </c>
      <c r="Y555">
        <f>'Revenue drivers'!Y407</f>
        <v>0</v>
      </c>
      <c r="Z555">
        <f>'Revenue drivers'!Z407</f>
        <v>0</v>
      </c>
      <c r="AA555">
        <f>'Revenue drivers'!AA407</f>
        <v>0</v>
      </c>
      <c r="AB555">
        <f>'Revenue drivers'!AB407</f>
        <v>0</v>
      </c>
      <c r="AC555">
        <f>'Revenue drivers'!AC407</f>
        <v>0</v>
      </c>
      <c r="AD555">
        <f>'Revenue drivers'!AD407</f>
        <v>0</v>
      </c>
      <c r="AE555">
        <f>'Revenue drivers'!AE407</f>
        <v>0</v>
      </c>
      <c r="AF555">
        <f>'Revenue drivers'!AF407</f>
        <v>0</v>
      </c>
      <c r="AG555">
        <f>'Revenue drivers'!AG407</f>
        <v>0</v>
      </c>
      <c r="AH555">
        <f>'Revenue drivers'!AH407</f>
        <v>0</v>
      </c>
      <c r="AI555">
        <f>'Revenue drivers'!AI407</f>
        <v>0</v>
      </c>
      <c r="AJ555">
        <f>'Revenue drivers'!AJ407</f>
        <v>0</v>
      </c>
      <c r="AL555">
        <f>'Revenue drivers'!BF407</f>
        <v>0</v>
      </c>
      <c r="AM555">
        <f>'Revenue drivers'!BG407</f>
        <v>0</v>
      </c>
      <c r="AN555">
        <f>'Revenue drivers'!BH407</f>
        <v>0</v>
      </c>
      <c r="AO555">
        <f>'Revenue drivers'!BI407</f>
        <v>0</v>
      </c>
      <c r="AP555">
        <f>'Revenue drivers'!BJ407</f>
        <v>0</v>
      </c>
      <c r="AQ555">
        <f>'Revenue drivers'!BK407</f>
        <v>0</v>
      </c>
      <c r="AR555">
        <f>'Revenue drivers'!BL407</f>
        <v>0</v>
      </c>
      <c r="AS555">
        <f>'Revenue drivers'!BM407</f>
        <v>0</v>
      </c>
      <c r="AT555">
        <f>'Revenue drivers'!BN407</f>
        <v>0</v>
      </c>
      <c r="AU555">
        <f>'Revenue drivers'!BO407</f>
        <v>0</v>
      </c>
      <c r="AV555">
        <f>'Revenue drivers'!BP407</f>
        <v>0</v>
      </c>
      <c r="AW555">
        <f>'Revenue drivers'!BQ407</f>
        <v>0</v>
      </c>
      <c r="AX555">
        <f>'Revenue drivers'!BR407</f>
        <v>0</v>
      </c>
      <c r="AY555">
        <f>'Revenue drivers'!BS407</f>
        <v>0</v>
      </c>
      <c r="AZ555">
        <f>'Revenue drivers'!BT407</f>
        <v>0</v>
      </c>
    </row>
    <row r="556" spans="9:52" ht="11.25" customHeight="1">
      <c r="I556" t="str">
        <f>'Revenue drivers'!I408</f>
        <v>International cumulative reviews</v>
      </c>
      <c r="M556">
        <f>'Revenue drivers'!M408</f>
        <v>0</v>
      </c>
      <c r="N556">
        <f>'Revenue drivers'!N408</f>
        <v>0</v>
      </c>
      <c r="O556">
        <f>'Revenue drivers'!O408</f>
        <v>0</v>
      </c>
      <c r="P556">
        <f>'Revenue drivers'!P408</f>
        <v>0</v>
      </c>
      <c r="Q556">
        <f>'Revenue drivers'!Q408</f>
        <v>0</v>
      </c>
      <c r="R556">
        <f>'Revenue drivers'!R408</f>
        <v>0</v>
      </c>
      <c r="S556">
        <f>'Revenue drivers'!S408</f>
        <v>0</v>
      </c>
      <c r="T556">
        <f>'Revenue drivers'!T408</f>
        <v>0</v>
      </c>
      <c r="U556">
        <f>'Revenue drivers'!U408</f>
        <v>0</v>
      </c>
      <c r="V556">
        <f>'Revenue drivers'!V408</f>
        <v>0</v>
      </c>
      <c r="W556">
        <f>'Revenue drivers'!W408</f>
        <v>0</v>
      </c>
      <c r="X556">
        <f>'Revenue drivers'!X408</f>
        <v>0</v>
      </c>
      <c r="Y556">
        <f>'Revenue drivers'!Y408</f>
        <v>0</v>
      </c>
      <c r="Z556">
        <f>'Revenue drivers'!Z408</f>
        <v>0</v>
      </c>
      <c r="AA556">
        <f>'Revenue drivers'!AA408</f>
        <v>3.7857600000000002</v>
      </c>
      <c r="AB556">
        <f>'Revenue drivers'!AB408</f>
        <v>4.4843450000000002</v>
      </c>
      <c r="AC556">
        <f>'Revenue drivers'!AC408</f>
        <v>5.1300000000000008</v>
      </c>
      <c r="AD556">
        <f>'Revenue drivers'!AD408</f>
        <v>5.8274900000000009</v>
      </c>
      <c r="AE556">
        <f>'Revenue drivers'!AE408</f>
        <v>6.6592000000000011</v>
      </c>
      <c r="AF556">
        <f>'Revenue drivers'!AF408</f>
        <v>7.4793600000000016</v>
      </c>
      <c r="AG556">
        <f>'Revenue drivers'!AG408</f>
        <v>8.6590000000000007</v>
      </c>
      <c r="AH556">
        <f>'Revenue drivers'!AH408</f>
        <v>9.5567300000000035</v>
      </c>
      <c r="AI556">
        <f>'Revenue drivers'!AI408</f>
        <v>10.756200000000003</v>
      </c>
      <c r="AJ556">
        <f>'Revenue drivers'!AJ408</f>
        <v>11.901250000000001</v>
      </c>
      <c r="AL556">
        <f>'Revenue drivers'!BF408</f>
        <v>0</v>
      </c>
      <c r="AM556">
        <f>'Revenue drivers'!BG408</f>
        <v>0</v>
      </c>
      <c r="AN556">
        <f>'Revenue drivers'!BH408</f>
        <v>0</v>
      </c>
      <c r="AO556">
        <f>'Revenue drivers'!BI408</f>
        <v>0</v>
      </c>
      <c r="AP556">
        <f>'Revenue drivers'!BJ408</f>
        <v>0</v>
      </c>
      <c r="AQ556">
        <f>'Revenue drivers'!BK408</f>
        <v>0</v>
      </c>
      <c r="AR556">
        <f>'Revenue drivers'!BL408</f>
        <v>0</v>
      </c>
      <c r="AS556">
        <f>'Revenue drivers'!BM408</f>
        <v>4.4843450000000002</v>
      </c>
      <c r="AT556">
        <f>'Revenue drivers'!BN408</f>
        <v>7.4793600000000016</v>
      </c>
      <c r="AU556">
        <f>'Revenue drivers'!BO408</f>
        <v>11.901250000000001</v>
      </c>
      <c r="AV556">
        <f>'Revenue drivers'!BP408</f>
        <v>17.245635000000007</v>
      </c>
      <c r="AW556">
        <f>'Revenue drivers'!BQ408</f>
        <v>22.986190000000008</v>
      </c>
      <c r="AX556">
        <f>'Revenue drivers'!BR408</f>
        <v>30.307550000000013</v>
      </c>
      <c r="AY556">
        <f>'Revenue drivers'!BS408</f>
        <v>38.542530000000021</v>
      </c>
      <c r="AZ556">
        <f>'Revenue drivers'!BT408</f>
        <v>47.665930000000031</v>
      </c>
    </row>
    <row r="557" spans="9:52" ht="11.25" customHeight="1">
      <c r="I557" t="str">
        <f>'Revenue drivers'!I409</f>
        <v>% change Y/Y</v>
      </c>
      <c r="M557">
        <f>'Revenue drivers'!M409</f>
        <v>0</v>
      </c>
      <c r="N557">
        <f>'Revenue drivers'!N409</f>
        <v>0</v>
      </c>
      <c r="O557">
        <f>'Revenue drivers'!O409</f>
        <v>0</v>
      </c>
      <c r="P557">
        <f>'Revenue drivers'!P409</f>
        <v>0</v>
      </c>
      <c r="Q557">
        <f>'Revenue drivers'!Q409</f>
        <v>0</v>
      </c>
      <c r="R557">
        <f>'Revenue drivers'!R409</f>
        <v>0</v>
      </c>
      <c r="S557">
        <f>'Revenue drivers'!S409</f>
        <v>0</v>
      </c>
      <c r="T557">
        <f>'Revenue drivers'!T409</f>
        <v>0</v>
      </c>
      <c r="U557">
        <f>'Revenue drivers'!U409</f>
        <v>0</v>
      </c>
      <c r="V557">
        <f>'Revenue drivers'!V409</f>
        <v>0</v>
      </c>
      <c r="W557">
        <f>'Revenue drivers'!W409</f>
        <v>0</v>
      </c>
      <c r="X557">
        <f>'Revenue drivers'!X409</f>
        <v>0</v>
      </c>
      <c r="Y557">
        <f>'Revenue drivers'!Y409</f>
        <v>0</v>
      </c>
      <c r="Z557">
        <f>'Revenue drivers'!Z409</f>
        <v>0</v>
      </c>
      <c r="AA557" t="str">
        <f>'Revenue drivers'!AA409</f>
        <v>NA</v>
      </c>
      <c r="AB557" t="str">
        <f>'Revenue drivers'!AB409</f>
        <v>NA</v>
      </c>
      <c r="AC557" t="str">
        <f>'Revenue drivers'!AC409</f>
        <v>NA</v>
      </c>
      <c r="AD557" t="str">
        <f>'Revenue drivers'!AD409</f>
        <v>NA</v>
      </c>
      <c r="AE557">
        <f>'Revenue drivers'!AE409</f>
        <v>0.75901272135581777</v>
      </c>
      <c r="AF557">
        <f>'Revenue drivers'!AF409</f>
        <v>0.66788237747095747</v>
      </c>
      <c r="AG557">
        <f>'Revenue drivers'!AG409</f>
        <v>0.68791423001949314</v>
      </c>
      <c r="AH557">
        <f>'Revenue drivers'!AH409</f>
        <v>0.63993932207519899</v>
      </c>
      <c r="AI557">
        <f>'Revenue drivers'!AI409</f>
        <v>0.61523906775588677</v>
      </c>
      <c r="AJ557">
        <f>'Revenue drivers'!AJ409</f>
        <v>0.59121234971976189</v>
      </c>
      <c r="AL557">
        <f>'Revenue drivers'!BF409</f>
        <v>0</v>
      </c>
      <c r="AM557">
        <f>'Revenue drivers'!BG409</f>
        <v>0</v>
      </c>
      <c r="AN557">
        <f>'Revenue drivers'!BH409</f>
        <v>0</v>
      </c>
      <c r="AO557">
        <f>'Revenue drivers'!BI409</f>
        <v>0</v>
      </c>
      <c r="AP557">
        <f>'Revenue drivers'!BJ409</f>
        <v>0</v>
      </c>
      <c r="AQ557">
        <f>'Revenue drivers'!BK409</f>
        <v>0</v>
      </c>
      <c r="AR557">
        <f>'Revenue drivers'!BL409</f>
        <v>0</v>
      </c>
      <c r="AS557">
        <f>'Revenue drivers'!BM409</f>
        <v>0</v>
      </c>
      <c r="AT557">
        <f>'Revenue drivers'!BN409</f>
        <v>0.66788237747095747</v>
      </c>
      <c r="AU557">
        <f>'Revenue drivers'!BO409</f>
        <v>0.59121234971976189</v>
      </c>
      <c r="AV557">
        <f>'Revenue drivers'!BP409</f>
        <v>0.4490608129398177</v>
      </c>
      <c r="AW557">
        <f>'Revenue drivers'!BQ409</f>
        <v>0.332870027691065</v>
      </c>
      <c r="AX557">
        <f>'Revenue drivers'!BR409</f>
        <v>0.31851124523028851</v>
      </c>
      <c r="AY557">
        <f>'Revenue drivers'!BS409</f>
        <v>0.27171381388465932</v>
      </c>
      <c r="AZ557">
        <f>'Revenue drivers'!BT409</f>
        <v>0.23670994094056641</v>
      </c>
    </row>
    <row r="558" spans="9:52" ht="11.25" customHeight="1">
      <c r="I558" t="str">
        <f>'Revenue drivers'!I410</f>
        <v>% change Q/Q</v>
      </c>
      <c r="M558">
        <f>'Revenue drivers'!M410</f>
        <v>0</v>
      </c>
      <c r="N558">
        <f>'Revenue drivers'!N410</f>
        <v>0</v>
      </c>
      <c r="O558">
        <f>'Revenue drivers'!O410</f>
        <v>0</v>
      </c>
      <c r="P558">
        <f>'Revenue drivers'!P410</f>
        <v>0</v>
      </c>
      <c r="Q558">
        <f>'Revenue drivers'!Q410</f>
        <v>0</v>
      </c>
      <c r="R558">
        <f>'Revenue drivers'!R410</f>
        <v>0</v>
      </c>
      <c r="S558">
        <f>'Revenue drivers'!S410</f>
        <v>0</v>
      </c>
      <c r="T558">
        <f>'Revenue drivers'!T410</f>
        <v>0</v>
      </c>
      <c r="U558">
        <f>'Revenue drivers'!U410</f>
        <v>0</v>
      </c>
      <c r="V558">
        <f>'Revenue drivers'!V410</f>
        <v>0</v>
      </c>
      <c r="W558">
        <f>'Revenue drivers'!W410</f>
        <v>0</v>
      </c>
      <c r="X558">
        <f>'Revenue drivers'!X410</f>
        <v>0</v>
      </c>
      <c r="Y558">
        <f>'Revenue drivers'!Y410</f>
        <v>0</v>
      </c>
      <c r="Z558">
        <f>'Revenue drivers'!Z410</f>
        <v>0</v>
      </c>
      <c r="AA558" t="str">
        <f>'Revenue drivers'!AA410</f>
        <v>NA</v>
      </c>
      <c r="AB558">
        <f>'Revenue drivers'!AB410</f>
        <v>0.18452965850978398</v>
      </c>
      <c r="AC558">
        <f>'Revenue drivers'!AC410</f>
        <v>0.14397977854067889</v>
      </c>
      <c r="AD558">
        <f>'Revenue drivers'!AD410</f>
        <v>0.13596296296296306</v>
      </c>
      <c r="AE558">
        <f>'Revenue drivers'!AE410</f>
        <v>0.14272182363247299</v>
      </c>
      <c r="AF558">
        <f>'Revenue drivers'!AF410</f>
        <v>0.12316194137433922</v>
      </c>
      <c r="AG558">
        <f>'Revenue drivers'!AG410</f>
        <v>0.15771937705899952</v>
      </c>
      <c r="AH558">
        <f>'Revenue drivers'!AH410</f>
        <v>0.1036759441044004</v>
      </c>
      <c r="AI558">
        <f>'Revenue drivers'!AI410</f>
        <v>0.12551050411594744</v>
      </c>
      <c r="AJ558">
        <f>'Revenue drivers'!AJ410</f>
        <v>0.10645488183559215</v>
      </c>
      <c r="AL558">
        <f>'Revenue drivers'!BF410</f>
        <v>0</v>
      </c>
      <c r="AM558">
        <f>'Revenue drivers'!BG410</f>
        <v>0</v>
      </c>
      <c r="AN558">
        <f>'Revenue drivers'!BH410</f>
        <v>0</v>
      </c>
      <c r="AO558">
        <f>'Revenue drivers'!BI410</f>
        <v>0</v>
      </c>
      <c r="AP558">
        <f>'Revenue drivers'!BJ410</f>
        <v>0</v>
      </c>
      <c r="AQ558">
        <f>'Revenue drivers'!BK410</f>
        <v>0</v>
      </c>
      <c r="AR558">
        <f>'Revenue drivers'!BL410</f>
        <v>0</v>
      </c>
      <c r="AS558">
        <f>'Revenue drivers'!BM410</f>
        <v>0</v>
      </c>
      <c r="AT558">
        <f>'Revenue drivers'!BN410</f>
        <v>0</v>
      </c>
      <c r="AU558">
        <f>'Revenue drivers'!BO410</f>
        <v>0</v>
      </c>
      <c r="AV558">
        <f>'Revenue drivers'!BP410</f>
        <v>0</v>
      </c>
      <c r="AW558">
        <f>'Revenue drivers'!BQ410</f>
        <v>0</v>
      </c>
      <c r="AX558">
        <f>'Revenue drivers'!BR410</f>
        <v>0</v>
      </c>
      <c r="AY558">
        <f>'Revenue drivers'!BS410</f>
        <v>0</v>
      </c>
      <c r="AZ558">
        <f>'Revenue drivers'!BT410</f>
        <v>0</v>
      </c>
    </row>
    <row r="559" spans="9:52" ht="11.25" customHeight="1">
      <c r="I559" t="str">
        <f>'Revenue drivers'!I411</f>
        <v>% of total average monthly unique visitors</v>
      </c>
      <c r="M559">
        <f>'Revenue drivers'!M411</f>
        <v>0</v>
      </c>
      <c r="N559">
        <f>'Revenue drivers'!N411</f>
        <v>0</v>
      </c>
      <c r="O559">
        <f>'Revenue drivers'!O411</f>
        <v>0</v>
      </c>
      <c r="P559">
        <f>'Revenue drivers'!P411</f>
        <v>0</v>
      </c>
      <c r="Q559">
        <f>'Revenue drivers'!Q411</f>
        <v>0</v>
      </c>
      <c r="R559">
        <f>'Revenue drivers'!R411</f>
        <v>0</v>
      </c>
      <c r="S559">
        <f>'Revenue drivers'!S411</f>
        <v>0</v>
      </c>
      <c r="T559">
        <f>'Revenue drivers'!T411</f>
        <v>0</v>
      </c>
      <c r="U559">
        <f>'Revenue drivers'!U411</f>
        <v>0</v>
      </c>
      <c r="V559">
        <f>'Revenue drivers'!V411</f>
        <v>0</v>
      </c>
      <c r="W559">
        <f>'Revenue drivers'!W411</f>
        <v>0</v>
      </c>
      <c r="X559">
        <f>'Revenue drivers'!X411</f>
        <v>0</v>
      </c>
      <c r="Y559">
        <f>'Revenue drivers'!Y411</f>
        <v>0</v>
      </c>
      <c r="Z559">
        <f>'Revenue drivers'!Z411</f>
        <v>0</v>
      </c>
      <c r="AA559">
        <f>'Revenue drivers'!AA411</f>
        <v>0.08</v>
      </c>
      <c r="AB559">
        <f>'Revenue drivers'!AB411</f>
        <v>8.5000000000000006E-2</v>
      </c>
      <c r="AC559">
        <f>'Revenue drivers'!AC411</f>
        <v>9.0000000000000011E-2</v>
      </c>
      <c r="AD559">
        <f>'Revenue drivers'!AD411</f>
        <v>9.5000000000000015E-2</v>
      </c>
      <c r="AE559">
        <f>'Revenue drivers'!AE411</f>
        <v>0.10000000000000002</v>
      </c>
      <c r="AF559">
        <f>'Revenue drivers'!AF411</f>
        <v>0.10500000000000002</v>
      </c>
      <c r="AG559">
        <f>'Revenue drivers'!AG411</f>
        <v>0.11000000000000003</v>
      </c>
      <c r="AH559">
        <f>'Revenue drivers'!AH411</f>
        <v>0.11500000000000003</v>
      </c>
      <c r="AI559">
        <f>'Revenue drivers'!AI411</f>
        <v>0.12000000000000004</v>
      </c>
      <c r="AJ559">
        <f>'Revenue drivers'!AJ411</f>
        <v>0.12500000000000003</v>
      </c>
      <c r="AL559">
        <f>'Revenue drivers'!BF411</f>
        <v>0</v>
      </c>
      <c r="AM559">
        <f>'Revenue drivers'!BG411</f>
        <v>0</v>
      </c>
      <c r="AN559">
        <f>'Revenue drivers'!BH411</f>
        <v>0</v>
      </c>
      <c r="AO559">
        <f>'Revenue drivers'!BI411</f>
        <v>0</v>
      </c>
      <c r="AP559">
        <f>'Revenue drivers'!BJ411</f>
        <v>0</v>
      </c>
      <c r="AQ559">
        <f>'Revenue drivers'!BK411</f>
        <v>0</v>
      </c>
      <c r="AR559">
        <f>'Revenue drivers'!BL411</f>
        <v>0</v>
      </c>
      <c r="AS559">
        <f>'Revenue drivers'!BM411</f>
        <v>8.5000000000000006E-2</v>
      </c>
      <c r="AT559">
        <f>'Revenue drivers'!BN411</f>
        <v>0.10500000000000002</v>
      </c>
      <c r="AU559">
        <f>'Revenue drivers'!BO411</f>
        <v>0.12500000000000003</v>
      </c>
      <c r="AV559">
        <f>'Revenue drivers'!BP411</f>
        <v>0.14250000000000004</v>
      </c>
      <c r="AW559">
        <f>'Revenue drivers'!BQ411</f>
        <v>0.15500000000000005</v>
      </c>
      <c r="AX559">
        <f>'Revenue drivers'!BR411</f>
        <v>0.17500000000000007</v>
      </c>
      <c r="AY559">
        <f>'Revenue drivers'!BS411</f>
        <v>0.19500000000000009</v>
      </c>
      <c r="AZ559">
        <f>'Revenue drivers'!BT411</f>
        <v>0.21500000000000011</v>
      </c>
    </row>
    <row r="560" spans="9:52" ht="11.25" customHeight="1">
      <c r="I560">
        <f>'Revenue drivers'!I412</f>
        <v>0</v>
      </c>
      <c r="M560">
        <f>'Revenue drivers'!M412</f>
        <v>0</v>
      </c>
      <c r="N560">
        <f>'Revenue drivers'!N412</f>
        <v>0</v>
      </c>
      <c r="O560">
        <f>'Revenue drivers'!O412</f>
        <v>0</v>
      </c>
      <c r="P560">
        <f>'Revenue drivers'!P412</f>
        <v>0</v>
      </c>
      <c r="Q560">
        <f>'Revenue drivers'!Q412</f>
        <v>0</v>
      </c>
      <c r="R560">
        <f>'Revenue drivers'!R412</f>
        <v>0</v>
      </c>
      <c r="S560">
        <f>'Revenue drivers'!S412</f>
        <v>0</v>
      </c>
      <c r="T560">
        <f>'Revenue drivers'!T412</f>
        <v>0</v>
      </c>
      <c r="U560">
        <f>'Revenue drivers'!U412</f>
        <v>0</v>
      </c>
      <c r="V560">
        <f>'Revenue drivers'!V412</f>
        <v>0</v>
      </c>
      <c r="W560">
        <f>'Revenue drivers'!W412</f>
        <v>0</v>
      </c>
      <c r="X560">
        <f>'Revenue drivers'!X412</f>
        <v>0</v>
      </c>
      <c r="Y560">
        <f>'Revenue drivers'!Y412</f>
        <v>0</v>
      </c>
      <c r="Z560">
        <f>'Revenue drivers'!Z412</f>
        <v>0</v>
      </c>
      <c r="AA560">
        <f>'Revenue drivers'!AA412</f>
        <v>0</v>
      </c>
      <c r="AB560">
        <f>'Revenue drivers'!AB412</f>
        <v>0</v>
      </c>
      <c r="AC560">
        <f>'Revenue drivers'!AC412</f>
        <v>0</v>
      </c>
      <c r="AD560">
        <f>'Revenue drivers'!AD412</f>
        <v>0</v>
      </c>
      <c r="AE560">
        <f>'Revenue drivers'!AE412</f>
        <v>0</v>
      </c>
      <c r="AF560">
        <f>'Revenue drivers'!AF412</f>
        <v>0</v>
      </c>
      <c r="AG560">
        <f>'Revenue drivers'!AG412</f>
        <v>0</v>
      </c>
      <c r="AH560">
        <f>'Revenue drivers'!AH412</f>
        <v>0</v>
      </c>
      <c r="AI560">
        <f>'Revenue drivers'!AI412</f>
        <v>0</v>
      </c>
      <c r="AJ560">
        <f>'Revenue drivers'!AJ412</f>
        <v>0</v>
      </c>
      <c r="AL560">
        <f>'Revenue drivers'!BF412</f>
        <v>0</v>
      </c>
      <c r="AM560">
        <f>'Revenue drivers'!BG412</f>
        <v>0</v>
      </c>
      <c r="AN560">
        <f>'Revenue drivers'!BH412</f>
        <v>0</v>
      </c>
      <c r="AO560">
        <f>'Revenue drivers'!BI412</f>
        <v>0</v>
      </c>
      <c r="AP560">
        <f>'Revenue drivers'!BJ412</f>
        <v>0</v>
      </c>
      <c r="AQ560">
        <f>'Revenue drivers'!BK412</f>
        <v>0</v>
      </c>
      <c r="AR560">
        <f>'Revenue drivers'!BL412</f>
        <v>0</v>
      </c>
      <c r="AS560">
        <f>'Revenue drivers'!BM412</f>
        <v>0</v>
      </c>
      <c r="AT560">
        <f>'Revenue drivers'!BN412</f>
        <v>0</v>
      </c>
      <c r="AU560">
        <f>'Revenue drivers'!BO412</f>
        <v>0</v>
      </c>
      <c r="AV560">
        <f>'Revenue drivers'!BP412</f>
        <v>0</v>
      </c>
      <c r="AW560">
        <f>'Revenue drivers'!BQ412</f>
        <v>0</v>
      </c>
      <c r="AX560">
        <f>'Revenue drivers'!BR412</f>
        <v>0</v>
      </c>
      <c r="AY560">
        <f>'Revenue drivers'!BS412</f>
        <v>0</v>
      </c>
      <c r="AZ560">
        <f>'Revenue drivers'!BT412</f>
        <v>0</v>
      </c>
    </row>
    <row r="561" spans="1:61" ht="11.25" customHeight="1">
      <c r="I561">
        <f>'Revenue drivers'!I413</f>
        <v>0</v>
      </c>
      <c r="M561">
        <f>'Revenue drivers'!M413</f>
        <v>0</v>
      </c>
      <c r="N561">
        <f>'Revenue drivers'!N413</f>
        <v>0</v>
      </c>
      <c r="O561">
        <f>'Revenue drivers'!O413</f>
        <v>0</v>
      </c>
      <c r="P561">
        <f>'Revenue drivers'!P413</f>
        <v>0</v>
      </c>
      <c r="Q561">
        <f>'Revenue drivers'!Q413</f>
        <v>0</v>
      </c>
      <c r="R561">
        <f>'Revenue drivers'!R413</f>
        <v>0</v>
      </c>
      <c r="S561">
        <f>'Revenue drivers'!S413</f>
        <v>0</v>
      </c>
      <c r="T561">
        <f>'Revenue drivers'!T413</f>
        <v>0</v>
      </c>
      <c r="U561">
        <f>'Revenue drivers'!U413</f>
        <v>0</v>
      </c>
      <c r="V561">
        <f>'Revenue drivers'!V413</f>
        <v>0</v>
      </c>
      <c r="W561">
        <f>'Revenue drivers'!W413</f>
        <v>0</v>
      </c>
      <c r="X561">
        <f>'Revenue drivers'!X413</f>
        <v>0</v>
      </c>
      <c r="Y561">
        <f>'Revenue drivers'!Y413</f>
        <v>0</v>
      </c>
      <c r="Z561">
        <f>'Revenue drivers'!Z413</f>
        <v>0</v>
      </c>
      <c r="AA561">
        <f>'Revenue drivers'!AA413</f>
        <v>0</v>
      </c>
      <c r="AB561">
        <f>'Revenue drivers'!AB413</f>
        <v>0</v>
      </c>
      <c r="AC561">
        <f>'Revenue drivers'!AC413</f>
        <v>0</v>
      </c>
      <c r="AD561">
        <f>'Revenue drivers'!AD413</f>
        <v>0</v>
      </c>
      <c r="AE561">
        <f>'Revenue drivers'!AE413</f>
        <v>0</v>
      </c>
      <c r="AF561">
        <f>'Revenue drivers'!AF413</f>
        <v>0</v>
      </c>
      <c r="AG561">
        <f>'Revenue drivers'!AG413</f>
        <v>0</v>
      </c>
      <c r="AH561">
        <f>'Revenue drivers'!AH413</f>
        <v>0</v>
      </c>
      <c r="AI561">
        <f>'Revenue drivers'!AI413</f>
        <v>0</v>
      </c>
      <c r="AJ561">
        <f>'Revenue drivers'!AJ413</f>
        <v>0</v>
      </c>
      <c r="AL561">
        <f>'Revenue drivers'!BF413</f>
        <v>0</v>
      </c>
      <c r="AM561">
        <f>'Revenue drivers'!BG413</f>
        <v>0</v>
      </c>
      <c r="AN561">
        <f>'Revenue drivers'!BH413</f>
        <v>0</v>
      </c>
      <c r="AO561">
        <f>'Revenue drivers'!BI413</f>
        <v>0</v>
      </c>
      <c r="AP561">
        <f>'Revenue drivers'!BJ413</f>
        <v>0</v>
      </c>
      <c r="AQ561">
        <f>'Revenue drivers'!BK413</f>
        <v>0</v>
      </c>
      <c r="AR561">
        <f>'Revenue drivers'!BL413</f>
        <v>0</v>
      </c>
      <c r="AS561">
        <f>'Revenue drivers'!BM413</f>
        <v>0</v>
      </c>
      <c r="AT561">
        <f>'Revenue drivers'!BN413</f>
        <v>0</v>
      </c>
      <c r="AU561">
        <f>'Revenue drivers'!BO413</f>
        <v>0</v>
      </c>
      <c r="AV561">
        <f>'Revenue drivers'!BP413</f>
        <v>0</v>
      </c>
      <c r="AW561">
        <f>'Revenue drivers'!BQ413</f>
        <v>0</v>
      </c>
      <c r="AX561">
        <f>'Revenue drivers'!BR413</f>
        <v>0</v>
      </c>
      <c r="AY561">
        <f>'Revenue drivers'!BS413</f>
        <v>0</v>
      </c>
      <c r="AZ561">
        <f>'Revenue drivers'!BT413</f>
        <v>0</v>
      </c>
    </row>
    <row r="562" spans="1:61" ht="11.25" customHeight="1">
      <c r="I562" t="str">
        <f>'Revenue drivers'!I414</f>
        <v>Claimed locations (millions)</v>
      </c>
      <c r="M562">
        <f>'Revenue drivers'!M414</f>
        <v>0</v>
      </c>
      <c r="N562">
        <f>'Revenue drivers'!N414</f>
        <v>0</v>
      </c>
      <c r="O562">
        <f>'Revenue drivers'!O414</f>
        <v>0</v>
      </c>
      <c r="P562">
        <f>'Revenue drivers'!P414</f>
        <v>0</v>
      </c>
      <c r="Q562">
        <f>'Revenue drivers'!Q414</f>
        <v>0</v>
      </c>
      <c r="R562">
        <f>'Revenue drivers'!R414</f>
        <v>0</v>
      </c>
      <c r="S562">
        <f>'Revenue drivers'!S414</f>
        <v>0</v>
      </c>
      <c r="T562">
        <f>'Revenue drivers'!T414</f>
        <v>0</v>
      </c>
      <c r="U562">
        <f>'Revenue drivers'!U414</f>
        <v>0</v>
      </c>
      <c r="V562">
        <f>'Revenue drivers'!V414</f>
        <v>0</v>
      </c>
      <c r="W562">
        <f>'Revenue drivers'!W414</f>
        <v>0</v>
      </c>
      <c r="X562">
        <f>'Revenue drivers'!X414</f>
        <v>0</v>
      </c>
      <c r="Y562">
        <f>'Revenue drivers'!Y414</f>
        <v>0</v>
      </c>
      <c r="Z562">
        <f>'Revenue drivers'!Z414</f>
        <v>0</v>
      </c>
      <c r="AA562">
        <f>'Revenue drivers'!AA414</f>
        <v>0</v>
      </c>
      <c r="AB562">
        <f>'Revenue drivers'!AB414</f>
        <v>0</v>
      </c>
      <c r="AC562">
        <f>'Revenue drivers'!AC414</f>
        <v>0</v>
      </c>
      <c r="AD562">
        <f>'Revenue drivers'!AD414</f>
        <v>0</v>
      </c>
      <c r="AE562">
        <f>'Revenue drivers'!AE414</f>
        <v>0</v>
      </c>
      <c r="AF562">
        <f>'Revenue drivers'!AF414</f>
        <v>0</v>
      </c>
      <c r="AG562">
        <f>'Revenue drivers'!AG414</f>
        <v>0</v>
      </c>
      <c r="AH562">
        <f>'Revenue drivers'!AH414</f>
        <v>0</v>
      </c>
      <c r="AI562">
        <f>'Revenue drivers'!AI414</f>
        <v>0</v>
      </c>
      <c r="AJ562">
        <f>'Revenue drivers'!AJ414</f>
        <v>0</v>
      </c>
      <c r="AL562">
        <f>'Revenue drivers'!BF414</f>
        <v>0</v>
      </c>
      <c r="AM562">
        <f>'Revenue drivers'!BG414</f>
        <v>0</v>
      </c>
      <c r="AN562">
        <f>'Revenue drivers'!BH414</f>
        <v>0</v>
      </c>
      <c r="AO562">
        <f>'Revenue drivers'!BI414</f>
        <v>0</v>
      </c>
      <c r="AP562">
        <f>'Revenue drivers'!BJ414</f>
        <v>0</v>
      </c>
      <c r="AQ562">
        <f>'Revenue drivers'!BK414</f>
        <v>0</v>
      </c>
      <c r="AR562">
        <f>'Revenue drivers'!BL414</f>
        <v>0</v>
      </c>
      <c r="AS562">
        <f>'Revenue drivers'!BM414</f>
        <v>0</v>
      </c>
      <c r="AT562">
        <f>'Revenue drivers'!BN414</f>
        <v>0</v>
      </c>
      <c r="AU562">
        <f>'Revenue drivers'!BO414</f>
        <v>0</v>
      </c>
      <c r="AV562">
        <f>'Revenue drivers'!BP414</f>
        <v>0</v>
      </c>
      <c r="AW562">
        <f>'Revenue drivers'!BQ414</f>
        <v>0</v>
      </c>
      <c r="AX562">
        <f>'Revenue drivers'!BR414</f>
        <v>0</v>
      </c>
      <c r="AY562">
        <f>'Revenue drivers'!BS414</f>
        <v>0</v>
      </c>
      <c r="AZ562">
        <f>'Revenue drivers'!BT414</f>
        <v>0</v>
      </c>
    </row>
    <row r="563" spans="1:61" ht="11.25" customHeight="1">
      <c r="I563">
        <f>'Revenue drivers'!I415</f>
        <v>0</v>
      </c>
      <c r="M563">
        <f>'Revenue drivers'!M415</f>
        <v>0</v>
      </c>
      <c r="N563">
        <f>'Revenue drivers'!N415</f>
        <v>0</v>
      </c>
      <c r="O563">
        <f>'Revenue drivers'!O415</f>
        <v>0</v>
      </c>
      <c r="P563">
        <f>'Revenue drivers'!P415</f>
        <v>0</v>
      </c>
      <c r="Q563">
        <f>'Revenue drivers'!Q415</f>
        <v>0</v>
      </c>
      <c r="R563">
        <f>'Revenue drivers'!R415</f>
        <v>0</v>
      </c>
      <c r="S563">
        <f>'Revenue drivers'!S415</f>
        <v>0</v>
      </c>
      <c r="T563">
        <f>'Revenue drivers'!T415</f>
        <v>0</v>
      </c>
      <c r="U563">
        <f>'Revenue drivers'!U415</f>
        <v>0</v>
      </c>
      <c r="V563">
        <f>'Revenue drivers'!V415</f>
        <v>0</v>
      </c>
      <c r="W563">
        <f>'Revenue drivers'!W415</f>
        <v>0</v>
      </c>
      <c r="X563">
        <f>'Revenue drivers'!X415</f>
        <v>0</v>
      </c>
      <c r="Y563">
        <f>'Revenue drivers'!Y415</f>
        <v>0</v>
      </c>
      <c r="Z563">
        <f>'Revenue drivers'!Z415</f>
        <v>0</v>
      </c>
      <c r="AA563">
        <f>'Revenue drivers'!AA415</f>
        <v>0</v>
      </c>
      <c r="AB563">
        <f>'Revenue drivers'!AB415</f>
        <v>0</v>
      </c>
      <c r="AC563">
        <f>'Revenue drivers'!AC415</f>
        <v>0</v>
      </c>
      <c r="AD563">
        <f>'Revenue drivers'!AD415</f>
        <v>0</v>
      </c>
      <c r="AE563">
        <f>'Revenue drivers'!AE415</f>
        <v>0</v>
      </c>
      <c r="AF563">
        <f>'Revenue drivers'!AF415</f>
        <v>0</v>
      </c>
      <c r="AG563">
        <f>'Revenue drivers'!AG415</f>
        <v>0</v>
      </c>
      <c r="AH563">
        <f>'Revenue drivers'!AH415</f>
        <v>0</v>
      </c>
      <c r="AI563">
        <f>'Revenue drivers'!AI415</f>
        <v>0</v>
      </c>
      <c r="AJ563">
        <f>'Revenue drivers'!AJ415</f>
        <v>0</v>
      </c>
      <c r="AL563">
        <f>'Revenue drivers'!BF415</f>
        <v>0</v>
      </c>
      <c r="AM563">
        <f>'Revenue drivers'!BG415</f>
        <v>0</v>
      </c>
      <c r="AN563">
        <f>'Revenue drivers'!BH415</f>
        <v>0</v>
      </c>
      <c r="AO563">
        <f>'Revenue drivers'!BI415</f>
        <v>0</v>
      </c>
      <c r="AP563">
        <f>'Revenue drivers'!BJ415</f>
        <v>0</v>
      </c>
      <c r="AQ563">
        <f>'Revenue drivers'!BK415</f>
        <v>0</v>
      </c>
      <c r="AR563">
        <f>'Revenue drivers'!BL415</f>
        <v>0</v>
      </c>
      <c r="AS563">
        <f>'Revenue drivers'!BM415</f>
        <v>0</v>
      </c>
      <c r="AT563">
        <f>'Revenue drivers'!BN415</f>
        <v>0</v>
      </c>
      <c r="AU563">
        <f>'Revenue drivers'!BO415</f>
        <v>0</v>
      </c>
      <c r="AV563">
        <f>'Revenue drivers'!BP415</f>
        <v>0</v>
      </c>
      <c r="AW563">
        <f>'Revenue drivers'!BQ415</f>
        <v>0</v>
      </c>
      <c r="AX563">
        <f>'Revenue drivers'!BR415</f>
        <v>0</v>
      </c>
      <c r="AY563">
        <f>'Revenue drivers'!BS415</f>
        <v>0</v>
      </c>
      <c r="AZ563">
        <f>'Revenue drivers'!BT415</f>
        <v>0</v>
      </c>
    </row>
    <row r="564" spans="1:61" ht="11.25" customHeight="1">
      <c r="I564" t="str">
        <f>'Revenue drivers'!I416</f>
        <v>Claimed local business locations</v>
      </c>
      <c r="M564">
        <f>'Revenue drivers'!M416</f>
        <v>0.159</v>
      </c>
      <c r="N564">
        <f>'Revenue drivers'!N416</f>
        <v>0.19900000000000001</v>
      </c>
      <c r="O564">
        <f>'Revenue drivers'!O416</f>
        <v>0.247</v>
      </c>
      <c r="P564">
        <f>'Revenue drivers'!P416</f>
        <v>0.307</v>
      </c>
      <c r="Q564">
        <f>'Revenue drivers'!Q416</f>
        <v>0.38</v>
      </c>
      <c r="R564">
        <f>'Revenue drivers'!R416</f>
        <v>0.45300000000000001</v>
      </c>
      <c r="S564">
        <f>'Revenue drivers'!S416</f>
        <v>0.52900000000000003</v>
      </c>
      <c r="T564">
        <f>'Revenue drivers'!T416</f>
        <v>0.60599999999999998</v>
      </c>
      <c r="U564">
        <f>'Revenue drivers'!U416</f>
        <v>0.7</v>
      </c>
      <c r="V564">
        <f>'Revenue drivers'!V416</f>
        <v>0.79100000000000004</v>
      </c>
      <c r="W564">
        <f>'Revenue drivers'!W416</f>
        <v>0.88900000000000001</v>
      </c>
      <c r="X564">
        <f>'Revenue drivers'!X416</f>
        <v>0.99399999999999999</v>
      </c>
      <c r="Y564">
        <f>'Revenue drivers'!Y416</f>
        <v>1.103</v>
      </c>
      <c r="Z564">
        <f>'Revenue drivers'!Z416</f>
        <v>1.222</v>
      </c>
      <c r="AA564">
        <f>'Revenue drivers'!AA416</f>
        <v>1.3440000000000001</v>
      </c>
      <c r="AB564">
        <f>'Revenue drivers'!AB416</f>
        <v>1.488</v>
      </c>
      <c r="AC564">
        <f>'Revenue drivers'!AC416</f>
        <v>1.6</v>
      </c>
      <c r="AD564">
        <f>'Revenue drivers'!AD416</f>
        <v>1.7509999999999999</v>
      </c>
      <c r="AE564">
        <f>'Revenue drivers'!AE416</f>
        <v>1.8859999999999999</v>
      </c>
      <c r="AF564">
        <f>'Revenue drivers'!AF416</f>
        <v>2.0289999999999999</v>
      </c>
      <c r="AG564">
        <f>'Revenue drivers'!AG416</f>
        <v>2.1930000000000001</v>
      </c>
      <c r="AH564">
        <f>'Revenue drivers'!AH416</f>
        <v>2.3490000000000002</v>
      </c>
      <c r="AI564">
        <f>'Revenue drivers'!AI416</f>
        <v>2.5030000000000001</v>
      </c>
      <c r="AJ564">
        <f>'Revenue drivers'!AJ416</f>
        <v>2.6480000000000001</v>
      </c>
      <c r="AL564">
        <f>'Revenue drivers'!BF416</f>
        <v>0</v>
      </c>
      <c r="AM564">
        <f>'Revenue drivers'!BG416</f>
        <v>0</v>
      </c>
      <c r="AN564">
        <f>'Revenue drivers'!BH416</f>
        <v>2.5000000000000001E-2</v>
      </c>
      <c r="AO564">
        <f>'Revenue drivers'!BI416</f>
        <v>0.12</v>
      </c>
      <c r="AP564">
        <f>'Revenue drivers'!BJ416</f>
        <v>0.307</v>
      </c>
      <c r="AQ564">
        <f>'Revenue drivers'!BK416</f>
        <v>0.60599999999999998</v>
      </c>
      <c r="AR564">
        <f>'Revenue drivers'!BL416</f>
        <v>0.99399999999999999</v>
      </c>
      <c r="AS564">
        <f>'Revenue drivers'!BM416</f>
        <v>1.488</v>
      </c>
      <c r="AT564">
        <f>'Revenue drivers'!BN416</f>
        <v>2.0289999999999999</v>
      </c>
      <c r="AU564">
        <f>'Revenue drivers'!BO416</f>
        <v>2.6480000000000001</v>
      </c>
      <c r="AV564">
        <f>'Revenue drivers'!BP416</f>
        <v>3.363</v>
      </c>
      <c r="AW564">
        <f>'Revenue drivers'!BQ416</f>
        <v>4.1890000000000001</v>
      </c>
      <c r="AX564">
        <f>'Revenue drivers'!BR416</f>
        <v>4.4710000000000001</v>
      </c>
      <c r="AY564">
        <f>'Revenue drivers'!BS416</f>
        <v>4.7530000000000001</v>
      </c>
      <c r="AZ564">
        <f>'Revenue drivers'!BT416</f>
        <v>5.0350000000000001</v>
      </c>
    </row>
    <row r="565" spans="1:61" ht="11.25" customHeight="1">
      <c r="I565" t="str">
        <f>'Revenue drivers'!I417</f>
        <v>Q/Q Abs Growth (DRIVER)</v>
      </c>
      <c r="M565">
        <f>'Revenue drivers'!M417</f>
        <v>0</v>
      </c>
      <c r="N565">
        <f>'Revenue drivers'!N417</f>
        <v>4.0000000000000008E-2</v>
      </c>
      <c r="O565">
        <f>'Revenue drivers'!O417</f>
        <v>4.7999999999999987E-2</v>
      </c>
      <c r="P565">
        <f>'Revenue drivers'!P417</f>
        <v>0.06</v>
      </c>
      <c r="Q565">
        <f>'Revenue drivers'!Q417</f>
        <v>7.3000000000000009E-2</v>
      </c>
      <c r="R565">
        <f>'Revenue drivers'!R417</f>
        <v>7.3000000000000009E-2</v>
      </c>
      <c r="S565">
        <f>'Revenue drivers'!S417</f>
        <v>7.6000000000000012E-2</v>
      </c>
      <c r="T565">
        <f>'Revenue drivers'!T417</f>
        <v>7.6999999999999957E-2</v>
      </c>
      <c r="U565">
        <f>'Revenue drivers'!U417</f>
        <v>9.3999999999999972E-2</v>
      </c>
      <c r="V565">
        <f>'Revenue drivers'!V417</f>
        <v>9.1000000000000081E-2</v>
      </c>
      <c r="W565">
        <f>'Revenue drivers'!W417</f>
        <v>9.7999999999999976E-2</v>
      </c>
      <c r="X565">
        <f>'Revenue drivers'!X417</f>
        <v>0.10499999999999998</v>
      </c>
      <c r="Y565">
        <f>'Revenue drivers'!Y417</f>
        <v>0.10899999999999999</v>
      </c>
      <c r="Z565">
        <f>'Revenue drivers'!Z417</f>
        <v>0.11899999999999999</v>
      </c>
      <c r="AA565">
        <f>'Revenue drivers'!AA417</f>
        <v>0.12200000000000011</v>
      </c>
      <c r="AB565">
        <f>'Revenue drivers'!AB417</f>
        <v>0.14399999999999991</v>
      </c>
      <c r="AC565">
        <f>'Revenue drivers'!AC417</f>
        <v>0.1120000000000001</v>
      </c>
      <c r="AD565">
        <f>'Revenue drivers'!AD417</f>
        <v>0.1509999999999998</v>
      </c>
      <c r="AE565">
        <f>'Revenue drivers'!AE417</f>
        <v>0.13500000000000001</v>
      </c>
      <c r="AF565">
        <f>'Revenue drivers'!AF417</f>
        <v>0.14300000000000002</v>
      </c>
      <c r="AG565">
        <f>'Revenue drivers'!AG417</f>
        <v>0.16400000000000015</v>
      </c>
      <c r="AH565">
        <f>'Revenue drivers'!AH417</f>
        <v>0.15600000000000014</v>
      </c>
      <c r="AI565">
        <f>'Revenue drivers'!AI417</f>
        <v>0.15399999999999991</v>
      </c>
      <c r="AJ565">
        <f>'Revenue drivers'!AJ417</f>
        <v>0.14500000000000002</v>
      </c>
      <c r="AL565">
        <f>'Revenue drivers'!BF417</f>
        <v>0</v>
      </c>
      <c r="AM565">
        <f>'Revenue drivers'!BG417</f>
        <v>0</v>
      </c>
      <c r="AN565">
        <f>'Revenue drivers'!BH417</f>
        <v>0</v>
      </c>
      <c r="AO565">
        <f>'Revenue drivers'!BI417</f>
        <v>0</v>
      </c>
      <c r="AP565">
        <f>'Revenue drivers'!BJ417</f>
        <v>0</v>
      </c>
      <c r="AQ565">
        <f>'Revenue drivers'!BK417</f>
        <v>0</v>
      </c>
      <c r="AR565">
        <f>'Revenue drivers'!BL417</f>
        <v>0</v>
      </c>
      <c r="AS565">
        <f>'Revenue drivers'!BM417</f>
        <v>0</v>
      </c>
      <c r="AT565">
        <f>'Revenue drivers'!BN417</f>
        <v>0</v>
      </c>
      <c r="AU565">
        <f>'Revenue drivers'!BO417</f>
        <v>0.61900000000000022</v>
      </c>
      <c r="AV565">
        <f>'Revenue drivers'!BP417</f>
        <v>0.71499999999999986</v>
      </c>
      <c r="AW565">
        <f>'Revenue drivers'!BQ417</f>
        <v>0.82600000000000007</v>
      </c>
      <c r="AX565">
        <f>'Revenue drivers'!BR417</f>
        <v>0.28200000000000003</v>
      </c>
      <c r="AY565">
        <f>'Revenue drivers'!BS417</f>
        <v>0.28200000000000003</v>
      </c>
      <c r="AZ565">
        <f>'Revenue drivers'!BT417</f>
        <v>0.28200000000000003</v>
      </c>
    </row>
    <row r="566" spans="1:61" ht="11.25" customHeight="1">
      <c r="I566" t="str">
        <f>'Revenue drivers'!I418</f>
        <v>Period-to-period addition Y/Y</v>
      </c>
      <c r="M566">
        <f>'Revenue drivers'!M418</f>
        <v>0</v>
      </c>
      <c r="N566">
        <f>'Revenue drivers'!N418</f>
        <v>0</v>
      </c>
      <c r="O566">
        <f>'Revenue drivers'!O418</f>
        <v>0</v>
      </c>
      <c r="P566">
        <f>'Revenue drivers'!P418</f>
        <v>0</v>
      </c>
      <c r="Q566">
        <f>'Revenue drivers'!Q418</f>
        <v>0</v>
      </c>
      <c r="R566">
        <f>'Revenue drivers'!R418</f>
        <v>0</v>
      </c>
      <c r="S566">
        <f>'Revenue drivers'!S418</f>
        <v>0</v>
      </c>
      <c r="T566">
        <f>'Revenue drivers'!T418</f>
        <v>0</v>
      </c>
      <c r="U566">
        <f>'Revenue drivers'!U418</f>
        <v>0</v>
      </c>
      <c r="V566">
        <f>'Revenue drivers'!V418</f>
        <v>0</v>
      </c>
      <c r="W566">
        <f>'Revenue drivers'!W418</f>
        <v>6.9999999999998952E-3</v>
      </c>
      <c r="X566">
        <f>'Revenue drivers'!X418</f>
        <v>0</v>
      </c>
      <c r="Y566">
        <f>'Revenue drivers'!Y418</f>
        <v>0</v>
      </c>
      <c r="Z566">
        <f>'Revenue drivers'!Z418</f>
        <v>0</v>
      </c>
      <c r="AA566">
        <f>'Revenue drivers'!AA418</f>
        <v>3.0000000000001137E-3</v>
      </c>
      <c r="AB566">
        <f>'Revenue drivers'!AB418</f>
        <v>2.1999999999999797E-2</v>
      </c>
      <c r="AC566">
        <f>'Revenue drivers'!AC418</f>
        <v>-3.1999999999999806E-2</v>
      </c>
      <c r="AD566">
        <f>'Revenue drivers'!AD418</f>
        <v>3.8999999999999702E-2</v>
      </c>
      <c r="AE566">
        <f>'Revenue drivers'!AE418</f>
        <v>-1.5999999999999792E-2</v>
      </c>
      <c r="AF566">
        <f>'Revenue drivers'!AF418</f>
        <v>8.0000000000000071E-3</v>
      </c>
      <c r="AG566">
        <f>'Revenue drivers'!AG418</f>
        <v>2.100000000000013E-2</v>
      </c>
      <c r="AH566">
        <f>'Revenue drivers'!AH418</f>
        <v>-8.0000000000000071E-3</v>
      </c>
      <c r="AI566">
        <f>'Revenue drivers'!AI418</f>
        <v>-2.0000000000002238E-3</v>
      </c>
      <c r="AJ566">
        <f>'Revenue drivers'!AJ418</f>
        <v>-8.999999999999897E-3</v>
      </c>
      <c r="AL566">
        <f>'Revenue drivers'!BF418</f>
        <v>0</v>
      </c>
      <c r="AM566">
        <f>'Revenue drivers'!BG418</f>
        <v>0</v>
      </c>
      <c r="AN566">
        <f>'Revenue drivers'!BH418</f>
        <v>0</v>
      </c>
      <c r="AO566">
        <f>'Revenue drivers'!BI418</f>
        <v>9.5000000000000001E-2</v>
      </c>
      <c r="AP566">
        <f>'Revenue drivers'!BJ418</f>
        <v>0.187</v>
      </c>
      <c r="AQ566">
        <f>'Revenue drivers'!BK418</f>
        <v>0.29899999999999999</v>
      </c>
      <c r="AR566">
        <f>'Revenue drivers'!BL418</f>
        <v>0.38800000000000001</v>
      </c>
      <c r="AS566">
        <f>'Revenue drivers'!BM418</f>
        <v>0.49399999999999999</v>
      </c>
      <c r="AT566">
        <f>'Revenue drivers'!BN418</f>
        <v>0.54099999999999993</v>
      </c>
      <c r="AU566">
        <f>'Revenue drivers'!BO418</f>
        <v>0.61900000000000022</v>
      </c>
      <c r="AV566">
        <f>'Revenue drivers'!BP418</f>
        <v>0.71499999999999986</v>
      </c>
      <c r="AW566">
        <f>'Revenue drivers'!BQ418</f>
        <v>0.82600000000000007</v>
      </c>
      <c r="AX566">
        <f>'Revenue drivers'!BR418</f>
        <v>0.28200000000000003</v>
      </c>
      <c r="AY566">
        <f>'Revenue drivers'!BS418</f>
        <v>0.28200000000000003</v>
      </c>
      <c r="AZ566">
        <f>'Revenue drivers'!BT418</f>
        <v>0.28200000000000003</v>
      </c>
    </row>
    <row r="567" spans="1:61" ht="11.25" customHeight="1">
      <c r="I567" t="str">
        <f>'Revenue drivers'!I419</f>
        <v>% change Y/Y</v>
      </c>
      <c r="M567" t="str">
        <f>'Revenue drivers'!M419</f>
        <v>NA</v>
      </c>
      <c r="N567" t="str">
        <f>'Revenue drivers'!N419</f>
        <v>NA</v>
      </c>
      <c r="O567" t="str">
        <f>'Revenue drivers'!O419</f>
        <v>NA</v>
      </c>
      <c r="P567" t="str">
        <f>'Revenue drivers'!P419</f>
        <v>NA</v>
      </c>
      <c r="Q567">
        <f>'Revenue drivers'!Q419</f>
        <v>1.3899371069182389</v>
      </c>
      <c r="R567">
        <f>'Revenue drivers'!R419</f>
        <v>1.2763819095477387</v>
      </c>
      <c r="S567">
        <f>'Revenue drivers'!S419</f>
        <v>1.1417004048582999</v>
      </c>
      <c r="T567">
        <f>'Revenue drivers'!T419</f>
        <v>0.97394136807817588</v>
      </c>
      <c r="U567">
        <f>'Revenue drivers'!U419</f>
        <v>0.84210526315789469</v>
      </c>
      <c r="V567">
        <f>'Revenue drivers'!V419</f>
        <v>0.74613686534216339</v>
      </c>
      <c r="W567">
        <f>'Revenue drivers'!W419</f>
        <v>0.68052930056710759</v>
      </c>
      <c r="X567">
        <f>'Revenue drivers'!X419</f>
        <v>0.64026402640264024</v>
      </c>
      <c r="Y567">
        <f>'Revenue drivers'!Y419</f>
        <v>0.57571428571428584</v>
      </c>
      <c r="Z567">
        <f>'Revenue drivers'!Z419</f>
        <v>0.54487989886219967</v>
      </c>
      <c r="AA567">
        <f>'Revenue drivers'!AA419</f>
        <v>0.51181102362204722</v>
      </c>
      <c r="AB567">
        <f>'Revenue drivers'!AB419</f>
        <v>0.49698189134808857</v>
      </c>
      <c r="AC567">
        <f>'Revenue drivers'!AC419</f>
        <v>0.45058930190389868</v>
      </c>
      <c r="AD567">
        <f>'Revenue drivers'!AD419</f>
        <v>0.43289689034369871</v>
      </c>
      <c r="AE567">
        <f>'Revenue drivers'!AE419</f>
        <v>0.40327380952380931</v>
      </c>
      <c r="AF567">
        <f>'Revenue drivers'!AF419</f>
        <v>0.36357526881720426</v>
      </c>
      <c r="AG567">
        <f>'Revenue drivers'!AG419</f>
        <v>0.37062499999999998</v>
      </c>
      <c r="AH567">
        <f>'Revenue drivers'!AH419</f>
        <v>0.34151913192461469</v>
      </c>
      <c r="AI567">
        <f>'Revenue drivers'!AI419</f>
        <v>0.32714740190880187</v>
      </c>
      <c r="AJ567">
        <f>'Revenue drivers'!AJ419</f>
        <v>0.30507639231148365</v>
      </c>
      <c r="AL567">
        <f>'Revenue drivers'!BF419</f>
        <v>0</v>
      </c>
      <c r="AM567">
        <f>'Revenue drivers'!BG419</f>
        <v>0</v>
      </c>
      <c r="AN567" t="str">
        <f>'Revenue drivers'!BH419</f>
        <v>NA</v>
      </c>
      <c r="AO567">
        <f>'Revenue drivers'!BI419</f>
        <v>3.8</v>
      </c>
      <c r="AP567">
        <f>'Revenue drivers'!BJ419</f>
        <v>1.5583333333333336</v>
      </c>
      <c r="AQ567">
        <f>'Revenue drivers'!BK419</f>
        <v>0.97394136807817588</v>
      </c>
      <c r="AR567">
        <f>'Revenue drivers'!BL419</f>
        <v>0.64026402640264024</v>
      </c>
      <c r="AS567">
        <f>'Revenue drivers'!BM419</f>
        <v>0.49698189134808857</v>
      </c>
      <c r="AT567">
        <f>'Revenue drivers'!BN419</f>
        <v>0.36357526881720426</v>
      </c>
      <c r="AU567">
        <f>'Revenue drivers'!BO419</f>
        <v>0.30507639231148365</v>
      </c>
      <c r="AV567">
        <f>'Revenue drivers'!BP419</f>
        <v>0.27001510574018117</v>
      </c>
      <c r="AW567">
        <f>'Revenue drivers'!BQ419</f>
        <v>0.2456140350877194</v>
      </c>
      <c r="AX567">
        <f>'Revenue drivers'!BR419</f>
        <v>6.7319169252805011E-2</v>
      </c>
      <c r="AY567">
        <f>'Revenue drivers'!BS419</f>
        <v>6.3073138000447226E-2</v>
      </c>
      <c r="AZ567">
        <f>'Revenue drivers'!BT419</f>
        <v>5.9330948874395162E-2</v>
      </c>
    </row>
    <row r="568" spans="1:61" ht="11.25" customHeight="1">
      <c r="I568" t="str">
        <f>'Revenue drivers'!I420</f>
        <v>% change Q/Q</v>
      </c>
      <c r="M568" t="str">
        <f>'Revenue drivers'!M420</f>
        <v>NA</v>
      </c>
      <c r="N568">
        <f>'Revenue drivers'!N420</f>
        <v>0.2515723270440251</v>
      </c>
      <c r="O568">
        <f>'Revenue drivers'!O420</f>
        <v>0.2412060301507537</v>
      </c>
      <c r="P568">
        <f>'Revenue drivers'!P420</f>
        <v>0.24291497975708509</v>
      </c>
      <c r="Q568">
        <f>'Revenue drivers'!Q420</f>
        <v>0.23778501628664506</v>
      </c>
      <c r="R568">
        <f>'Revenue drivers'!R420</f>
        <v>0.19210526315789478</v>
      </c>
      <c r="S568">
        <f>'Revenue drivers'!S420</f>
        <v>0.16777041942604853</v>
      </c>
      <c r="T568">
        <f>'Revenue drivers'!T420</f>
        <v>0.14555765595463122</v>
      </c>
      <c r="U568">
        <f>'Revenue drivers'!U420</f>
        <v>0.15511551155115511</v>
      </c>
      <c r="V568">
        <f>'Revenue drivers'!V420</f>
        <v>0.13000000000000012</v>
      </c>
      <c r="W568">
        <f>'Revenue drivers'!W420</f>
        <v>0.12389380530973448</v>
      </c>
      <c r="X568">
        <f>'Revenue drivers'!X420</f>
        <v>0.11811023622047245</v>
      </c>
      <c r="Y568">
        <f>'Revenue drivers'!Y420</f>
        <v>0.10965794768611659</v>
      </c>
      <c r="Z568">
        <f>'Revenue drivers'!Z420</f>
        <v>0.10788757932910253</v>
      </c>
      <c r="AA568">
        <f>'Revenue drivers'!AA420</f>
        <v>9.983633387888724E-2</v>
      </c>
      <c r="AB568">
        <f>'Revenue drivers'!AB420</f>
        <v>0.10714285714285698</v>
      </c>
      <c r="AC568">
        <f>'Revenue drivers'!AC420</f>
        <v>7.526881720430123E-2</v>
      </c>
      <c r="AD568">
        <f>'Revenue drivers'!AD420</f>
        <v>9.4374999999999876E-2</v>
      </c>
      <c r="AE568">
        <f>'Revenue drivers'!AE420</f>
        <v>7.7098800685322599E-2</v>
      </c>
      <c r="AF568">
        <f>'Revenue drivers'!AF420</f>
        <v>7.5821845174973479E-2</v>
      </c>
      <c r="AG568">
        <f>'Revenue drivers'!AG420</f>
        <v>8.0827994085756583E-2</v>
      </c>
      <c r="AH568">
        <f>'Revenue drivers'!AH420</f>
        <v>7.1135430916552833E-2</v>
      </c>
      <c r="AI568">
        <f>'Revenue drivers'!AI420</f>
        <v>6.555981268624933E-2</v>
      </c>
      <c r="AJ568">
        <f>'Revenue drivers'!AJ420</f>
        <v>5.793048341989615E-2</v>
      </c>
      <c r="AL568">
        <f>'Revenue drivers'!BF420</f>
        <v>0</v>
      </c>
      <c r="AM568">
        <f>'Revenue drivers'!BG420</f>
        <v>0</v>
      </c>
      <c r="AN568">
        <f>'Revenue drivers'!BH420</f>
        <v>0</v>
      </c>
      <c r="AO568">
        <f>'Revenue drivers'!BI420</f>
        <v>0</v>
      </c>
      <c r="AP568">
        <f>'Revenue drivers'!BJ420</f>
        <v>0</v>
      </c>
      <c r="AQ568">
        <f>'Revenue drivers'!BK420</f>
        <v>0</v>
      </c>
      <c r="AR568">
        <f>'Revenue drivers'!BL420</f>
        <v>0</v>
      </c>
      <c r="AS568">
        <f>'Revenue drivers'!BM420</f>
        <v>0</v>
      </c>
      <c r="AT568">
        <f>'Revenue drivers'!BN420</f>
        <v>0</v>
      </c>
      <c r="AU568">
        <f>'Revenue drivers'!BO420</f>
        <v>0</v>
      </c>
      <c r="AV568">
        <f>'Revenue drivers'!BP420</f>
        <v>0</v>
      </c>
      <c r="AW568">
        <f>'Revenue drivers'!BQ420</f>
        <v>0</v>
      </c>
      <c r="AX568">
        <f>'Revenue drivers'!BR420</f>
        <v>0</v>
      </c>
      <c r="AY568">
        <f>'Revenue drivers'!BS420</f>
        <v>0</v>
      </c>
      <c r="AZ568">
        <f>'Revenue drivers'!BT420</f>
        <v>0</v>
      </c>
    </row>
    <row r="569" spans="1:61" ht="11.25" customHeight="1">
      <c r="I569">
        <f>'Revenue drivers'!I421</f>
        <v>0</v>
      </c>
      <c r="M569">
        <f>'Revenue drivers'!M421</f>
        <v>0</v>
      </c>
      <c r="N569">
        <f>'Revenue drivers'!N421</f>
        <v>0</v>
      </c>
      <c r="O569">
        <f>'Revenue drivers'!O421</f>
        <v>0</v>
      </c>
      <c r="P569">
        <f>'Revenue drivers'!P421</f>
        <v>0</v>
      </c>
      <c r="Q569">
        <f>'Revenue drivers'!Q421</f>
        <v>0</v>
      </c>
      <c r="R569">
        <f>'Revenue drivers'!R421</f>
        <v>0</v>
      </c>
      <c r="S569">
        <f>'Revenue drivers'!S421</f>
        <v>0</v>
      </c>
      <c r="T569">
        <f>'Revenue drivers'!T421</f>
        <v>0</v>
      </c>
      <c r="U569">
        <f>'Revenue drivers'!U421</f>
        <v>0</v>
      </c>
      <c r="V569">
        <f>'Revenue drivers'!V421</f>
        <v>0</v>
      </c>
      <c r="W569">
        <f>'Revenue drivers'!W421</f>
        <v>0</v>
      </c>
      <c r="X569">
        <f>'Revenue drivers'!X421</f>
        <v>0</v>
      </c>
      <c r="Y569">
        <f>'Revenue drivers'!Y421</f>
        <v>0</v>
      </c>
      <c r="Z569">
        <f>'Revenue drivers'!Z421</f>
        <v>0</v>
      </c>
      <c r="AA569">
        <f>'Revenue drivers'!AA421</f>
        <v>0</v>
      </c>
      <c r="AB569">
        <f>'Revenue drivers'!AB421</f>
        <v>0</v>
      </c>
      <c r="AC569">
        <f>'Revenue drivers'!AC421</f>
        <v>0</v>
      </c>
      <c r="AD569">
        <f>'Revenue drivers'!AD421</f>
        <v>0</v>
      </c>
      <c r="AE569">
        <f>'Revenue drivers'!AE421</f>
        <v>0</v>
      </c>
      <c r="AF569">
        <f>'Revenue drivers'!AF421</f>
        <v>0</v>
      </c>
      <c r="AG569">
        <f>'Revenue drivers'!AG421</f>
        <v>0</v>
      </c>
      <c r="AH569">
        <f>'Revenue drivers'!AH421</f>
        <v>0</v>
      </c>
      <c r="AI569">
        <f>'Revenue drivers'!AI421</f>
        <v>0</v>
      </c>
      <c r="AJ569">
        <f>'Revenue drivers'!AJ421</f>
        <v>0</v>
      </c>
      <c r="AL569">
        <f>'Revenue drivers'!BF421</f>
        <v>0</v>
      </c>
      <c r="AM569">
        <f>'Revenue drivers'!BG421</f>
        <v>0</v>
      </c>
      <c r="AN569">
        <f>'Revenue drivers'!BH421</f>
        <v>0</v>
      </c>
      <c r="AO569">
        <f>'Revenue drivers'!BI421</f>
        <v>0</v>
      </c>
      <c r="AP569">
        <f>'Revenue drivers'!BJ421</f>
        <v>0</v>
      </c>
      <c r="AQ569">
        <f>'Revenue drivers'!BK421</f>
        <v>0</v>
      </c>
      <c r="AR569">
        <f>'Revenue drivers'!BL421</f>
        <v>0</v>
      </c>
      <c r="AS569">
        <f>'Revenue drivers'!BM421</f>
        <v>0</v>
      </c>
      <c r="AT569">
        <f>'Revenue drivers'!BN421</f>
        <v>0</v>
      </c>
      <c r="AU569">
        <f>'Revenue drivers'!BO421</f>
        <v>0</v>
      </c>
      <c r="AV569">
        <f>'Revenue drivers'!BP421</f>
        <v>0</v>
      </c>
      <c r="AW569">
        <f>'Revenue drivers'!BQ421</f>
        <v>0</v>
      </c>
      <c r="AX569">
        <f>'Revenue drivers'!BR421</f>
        <v>0</v>
      </c>
      <c r="AY569">
        <f>'Revenue drivers'!BS421</f>
        <v>0</v>
      </c>
      <c r="AZ569">
        <f>'Revenue drivers'!BT421</f>
        <v>0</v>
      </c>
    </row>
    <row r="570" spans="1:61" ht="11.25" customHeight="1">
      <c r="I570" t="str">
        <f>'Revenue drivers'!I422</f>
        <v>Active local business accounts</v>
      </c>
      <c r="M570">
        <f>'Revenue drivers'!M422</f>
        <v>8.0000000000000002E-3</v>
      </c>
      <c r="N570">
        <f>'Revenue drivers'!N422</f>
        <v>8.9999999999999993E-3</v>
      </c>
      <c r="O570">
        <f>'Revenue drivers'!O422</f>
        <v>1.0999999999999999E-2</v>
      </c>
      <c r="P570">
        <f>'Revenue drivers'!P422</f>
        <v>1.0999999999999999E-2</v>
      </c>
      <c r="Q570">
        <f>'Revenue drivers'!Q422</f>
        <v>1.2999999999999999E-2</v>
      </c>
      <c r="R570">
        <f>'Revenue drivers'!R422</f>
        <v>1.4999999999999999E-2</v>
      </c>
      <c r="S570">
        <f>'Revenue drivers'!S422</f>
        <v>1.9E-2</v>
      </c>
      <c r="T570">
        <f>'Revenue drivers'!T422</f>
        <v>2.3699999999999999E-2</v>
      </c>
      <c r="U570">
        <f>'Revenue drivers'!U422</f>
        <v>2.7E-2</v>
      </c>
      <c r="V570">
        <f>'Revenue drivers'!V422</f>
        <v>3.1800000000000002E-2</v>
      </c>
      <c r="W570">
        <f>'Revenue drivers'!W422</f>
        <v>3.5999999999999997E-2</v>
      </c>
      <c r="X570">
        <f>'Revenue drivers'!X422</f>
        <v>3.9799999999999995E-2</v>
      </c>
      <c r="Y570">
        <f>'Revenue drivers'!Y422</f>
        <v>4.4700000000000004E-2</v>
      </c>
      <c r="Z570">
        <f>'Revenue drivers'!Z422</f>
        <v>5.1400000000000001E-2</v>
      </c>
      <c r="AA570">
        <f>'Revenue drivers'!AA422</f>
        <v>5.7200000000000001E-2</v>
      </c>
      <c r="AB570">
        <f>'Revenue drivers'!AB422</f>
        <v>6.720000000000001E-2</v>
      </c>
      <c r="AC570">
        <f>'Revenue drivers'!AC422</f>
        <v>7.3999999999999996E-2</v>
      </c>
      <c r="AD570">
        <f>'Revenue drivers'!AD422</f>
        <v>7.9899999999999999E-2</v>
      </c>
      <c r="AE570">
        <f>'Revenue drivers'!AE422</f>
        <v>8.6199999999999999E-2</v>
      </c>
      <c r="AF570">
        <f>'Revenue drivers'!AF422</f>
        <v>9.3700000000000006E-2</v>
      </c>
      <c r="AG570">
        <f>'Revenue drivers'!AG422</f>
        <v>9.9699999999999997E-2</v>
      </c>
      <c r="AH570">
        <f>'Revenue drivers'!AH422</f>
        <v>0.1057</v>
      </c>
      <c r="AI570">
        <f>'Revenue drivers'!AI422</f>
        <v>0.11270000000000001</v>
      </c>
      <c r="AJ570">
        <f>'Revenue drivers'!AJ422</f>
        <v>0.1217</v>
      </c>
      <c r="AL570">
        <f>'Revenue drivers'!BF422</f>
        <v>0</v>
      </c>
      <c r="AM570">
        <f>'Revenue drivers'!BG422</f>
        <v>0</v>
      </c>
      <c r="AN570">
        <f>'Revenue drivers'!BH422</f>
        <v>4.0000000000000001E-3</v>
      </c>
      <c r="AO570">
        <f>'Revenue drivers'!BI422</f>
        <v>7.0000000000000001E-3</v>
      </c>
      <c r="AP570">
        <f>'Revenue drivers'!BJ422</f>
        <v>1.0999999999999999E-2</v>
      </c>
      <c r="AQ570">
        <f>'Revenue drivers'!BK422</f>
        <v>2.3699999999999999E-2</v>
      </c>
      <c r="AR570">
        <f>'Revenue drivers'!BL422</f>
        <v>3.9799999999999995E-2</v>
      </c>
      <c r="AS570">
        <f>'Revenue drivers'!BM422</f>
        <v>6.720000000000001E-2</v>
      </c>
      <c r="AT570">
        <f>'Revenue drivers'!BN422</f>
        <v>9.3700000000000006E-2</v>
      </c>
      <c r="AU570">
        <f>'Revenue drivers'!BO422</f>
        <v>0.1217</v>
      </c>
      <c r="AV570">
        <f>'Revenue drivers'!BP422</f>
        <v>0.15769999999999998</v>
      </c>
      <c r="AW570">
        <f>'Revenue drivers'!BQ422</f>
        <v>0.19369999999999998</v>
      </c>
      <c r="AX570">
        <f>'Revenue drivers'!BR422</f>
        <v>0.22969999999999999</v>
      </c>
      <c r="AY570">
        <f>'Revenue drivers'!BS422</f>
        <v>0.26569999999999999</v>
      </c>
      <c r="AZ570">
        <f>'Revenue drivers'!BT422</f>
        <v>0.30169999999999997</v>
      </c>
    </row>
    <row r="571" spans="1:61" ht="11.25" customHeight="1">
      <c r="I571" t="str">
        <f>'Revenue drivers'!I423</f>
        <v>% change Y/Y</v>
      </c>
      <c r="M571" t="str">
        <f>'Revenue drivers'!M423</f>
        <v>NA</v>
      </c>
      <c r="N571" t="str">
        <f>'Revenue drivers'!N423</f>
        <v>NA</v>
      </c>
      <c r="O571" t="str">
        <f>'Revenue drivers'!O423</f>
        <v>NA</v>
      </c>
      <c r="P571" t="str">
        <f>'Revenue drivers'!P423</f>
        <v>NA</v>
      </c>
      <c r="Q571">
        <f>'Revenue drivers'!Q423</f>
        <v>0.625</v>
      </c>
      <c r="R571">
        <f>'Revenue drivers'!R423</f>
        <v>0.66666666666666674</v>
      </c>
      <c r="S571">
        <f>'Revenue drivers'!S423</f>
        <v>0.72727272727272729</v>
      </c>
      <c r="T571">
        <f>'Revenue drivers'!T423</f>
        <v>1.1545454545454548</v>
      </c>
      <c r="U571">
        <f>'Revenue drivers'!U423</f>
        <v>1.0769230769230771</v>
      </c>
      <c r="V571">
        <f>'Revenue drivers'!V423</f>
        <v>1.1200000000000001</v>
      </c>
      <c r="W571">
        <f>'Revenue drivers'!W423</f>
        <v>0.89473684210526305</v>
      </c>
      <c r="X571">
        <f>'Revenue drivers'!X423</f>
        <v>0.67932489451476785</v>
      </c>
      <c r="Y571">
        <f>'Revenue drivers'!Y423</f>
        <v>0.65555555555555567</v>
      </c>
      <c r="Z571">
        <f>'Revenue drivers'!Z423</f>
        <v>0.6163522012578615</v>
      </c>
      <c r="AA571">
        <f>'Revenue drivers'!AA423</f>
        <v>0.58888888888888902</v>
      </c>
      <c r="AB571">
        <f>'Revenue drivers'!AB423</f>
        <v>0.68844221105527681</v>
      </c>
      <c r="AC571">
        <f>'Revenue drivers'!AC423</f>
        <v>0.65548098434004443</v>
      </c>
      <c r="AD571">
        <f>'Revenue drivers'!AD423</f>
        <v>0.55447470817120625</v>
      </c>
      <c r="AE571">
        <f>'Revenue drivers'!AE423</f>
        <v>0.50699300699300687</v>
      </c>
      <c r="AF571">
        <f>'Revenue drivers'!AF423</f>
        <v>0.39434523809523792</v>
      </c>
      <c r="AG571">
        <f>'Revenue drivers'!AG423</f>
        <v>0.34729729729729741</v>
      </c>
      <c r="AH571">
        <f>'Revenue drivers'!AH423</f>
        <v>0.3229036295369212</v>
      </c>
      <c r="AI571">
        <f>'Revenue drivers'!AI423</f>
        <v>0.30742459396751753</v>
      </c>
      <c r="AJ571">
        <f>'Revenue drivers'!AJ423</f>
        <v>0.29882604055496254</v>
      </c>
      <c r="AL571">
        <f>'Revenue drivers'!BF423</f>
        <v>0</v>
      </c>
      <c r="AM571">
        <f>'Revenue drivers'!BG423</f>
        <v>0</v>
      </c>
      <c r="AN571" t="str">
        <f>'Revenue drivers'!BH423</f>
        <v>NA</v>
      </c>
      <c r="AO571">
        <f>'Revenue drivers'!BI423</f>
        <v>0.75</v>
      </c>
      <c r="AP571">
        <f>'Revenue drivers'!BJ423</f>
        <v>0.5714285714285714</v>
      </c>
      <c r="AQ571">
        <f>'Revenue drivers'!BK423</f>
        <v>1.1545454545454548</v>
      </c>
      <c r="AR571">
        <f>'Revenue drivers'!BL423</f>
        <v>0.67932489451476785</v>
      </c>
      <c r="AS571">
        <f>'Revenue drivers'!BM423</f>
        <v>0.68844221105527681</v>
      </c>
      <c r="AT571">
        <f>'Revenue drivers'!BN423</f>
        <v>0.39434523809523792</v>
      </c>
      <c r="AU571">
        <f>'Revenue drivers'!BO423</f>
        <v>0.29882604055496254</v>
      </c>
      <c r="AV571">
        <f>'Revenue drivers'!BP423</f>
        <v>0.29580936729663088</v>
      </c>
      <c r="AW571">
        <f>'Revenue drivers'!BQ423</f>
        <v>0.22828154724159799</v>
      </c>
      <c r="AX571">
        <f>'Revenue drivers'!BR423</f>
        <v>0.18585441404233349</v>
      </c>
      <c r="AY571">
        <f>'Revenue drivers'!BS423</f>
        <v>0.1567261645624729</v>
      </c>
      <c r="AZ571">
        <f>'Revenue drivers'!BT423</f>
        <v>0.13549115543846435</v>
      </c>
    </row>
    <row r="572" spans="1:61" ht="11.25" customHeight="1">
      <c r="I572" t="str">
        <f>'Revenue drivers'!I424</f>
        <v>% change Q/Q</v>
      </c>
      <c r="M572" t="str">
        <f>'Revenue drivers'!M424</f>
        <v>NA</v>
      </c>
      <c r="N572">
        <f>'Revenue drivers'!N424</f>
        <v>0.125</v>
      </c>
      <c r="O572">
        <f>'Revenue drivers'!O424</f>
        <v>0.22222222222222232</v>
      </c>
      <c r="P572">
        <f>'Revenue drivers'!P424</f>
        <v>0</v>
      </c>
      <c r="Q572">
        <f>'Revenue drivers'!Q424</f>
        <v>0.18181818181818188</v>
      </c>
      <c r="R572">
        <f>'Revenue drivers'!R424</f>
        <v>0.15384615384615397</v>
      </c>
      <c r="S572">
        <f>'Revenue drivers'!S424</f>
        <v>0.26666666666666661</v>
      </c>
      <c r="T572">
        <f>'Revenue drivers'!T424</f>
        <v>0.24736842105263146</v>
      </c>
      <c r="U572">
        <f>'Revenue drivers'!U424</f>
        <v>0.139240506329114</v>
      </c>
      <c r="V572">
        <f>'Revenue drivers'!V424</f>
        <v>0.17777777777777781</v>
      </c>
      <c r="W572">
        <f>'Revenue drivers'!W424</f>
        <v>0.13207547169811296</v>
      </c>
      <c r="X572">
        <f>'Revenue drivers'!X424</f>
        <v>0.1055555555555554</v>
      </c>
      <c r="Y572">
        <f>'Revenue drivers'!Y424</f>
        <v>0.12311557788944749</v>
      </c>
      <c r="Z572">
        <f>'Revenue drivers'!Z424</f>
        <v>0.14988814317673382</v>
      </c>
      <c r="AA572">
        <f>'Revenue drivers'!AA424</f>
        <v>0.11284046692607008</v>
      </c>
      <c r="AB572">
        <f>'Revenue drivers'!AB424</f>
        <v>0.17482517482517501</v>
      </c>
      <c r="AC572">
        <f>'Revenue drivers'!AC424</f>
        <v>0.10119047619047605</v>
      </c>
      <c r="AD572">
        <f>'Revenue drivers'!AD424</f>
        <v>7.9729729729729693E-2</v>
      </c>
      <c r="AE572">
        <f>'Revenue drivers'!AE424</f>
        <v>7.8848560700876202E-2</v>
      </c>
      <c r="AF572">
        <f>'Revenue drivers'!AF424</f>
        <v>8.7006960556844648E-2</v>
      </c>
      <c r="AG572">
        <f>'Revenue drivers'!AG424</f>
        <v>6.4034151547491813E-2</v>
      </c>
      <c r="AH572">
        <f>'Revenue drivers'!AH424</f>
        <v>6.0180541624874628E-2</v>
      </c>
      <c r="AI572">
        <f>'Revenue drivers'!AI424</f>
        <v>6.6225165562914023E-2</v>
      </c>
      <c r="AJ572">
        <f>'Revenue drivers'!AJ424</f>
        <v>7.9858030168589167E-2</v>
      </c>
      <c r="AL572">
        <f>'Revenue drivers'!BF424</f>
        <v>0</v>
      </c>
      <c r="AM572">
        <f>'Revenue drivers'!BG424</f>
        <v>0</v>
      </c>
      <c r="AN572">
        <f>'Revenue drivers'!BH424</f>
        <v>0</v>
      </c>
      <c r="AO572">
        <f>'Revenue drivers'!BI424</f>
        <v>0</v>
      </c>
      <c r="AP572">
        <f>'Revenue drivers'!BJ424</f>
        <v>0</v>
      </c>
      <c r="AQ572">
        <f>'Revenue drivers'!BK424</f>
        <v>0</v>
      </c>
      <c r="AR572">
        <f>'Revenue drivers'!BL424</f>
        <v>0</v>
      </c>
      <c r="AS572">
        <f>'Revenue drivers'!BM424</f>
        <v>0</v>
      </c>
      <c r="AT572">
        <f>'Revenue drivers'!BN424</f>
        <v>0</v>
      </c>
      <c r="AU572">
        <f>'Revenue drivers'!BO424</f>
        <v>0</v>
      </c>
      <c r="AV572">
        <f>'Revenue drivers'!BP424</f>
        <v>0</v>
      </c>
      <c r="AW572">
        <f>'Revenue drivers'!BQ424</f>
        <v>0</v>
      </c>
      <c r="AX572">
        <f>'Revenue drivers'!BR424</f>
        <v>0</v>
      </c>
      <c r="AY572">
        <f>'Revenue drivers'!BS424</f>
        <v>0</v>
      </c>
      <c r="AZ572">
        <f>'Revenue drivers'!BT424</f>
        <v>0</v>
      </c>
    </row>
    <row r="573" spans="1:61" ht="11.25" customHeight="1">
      <c r="I573" t="str">
        <f>'Revenue drivers'!I425</f>
        <v>Paying business participation rate</v>
      </c>
      <c r="M573">
        <f>'Revenue drivers'!M425</f>
        <v>5.0314465408805034E-2</v>
      </c>
      <c r="N573">
        <f>'Revenue drivers'!N425</f>
        <v>4.5226130653266326E-2</v>
      </c>
      <c r="O573">
        <f>'Revenue drivers'!O425</f>
        <v>4.4534412955465584E-2</v>
      </c>
      <c r="P573">
        <f>'Revenue drivers'!P425</f>
        <v>3.5830618892508138E-2</v>
      </c>
      <c r="Q573">
        <f>'Revenue drivers'!Q425</f>
        <v>3.4210526315789469E-2</v>
      </c>
      <c r="R573">
        <f>'Revenue drivers'!R425</f>
        <v>3.3112582781456949E-2</v>
      </c>
      <c r="S573">
        <f>'Revenue drivers'!S425</f>
        <v>3.5916824196597349E-2</v>
      </c>
      <c r="T573">
        <f>'Revenue drivers'!T425</f>
        <v>3.9108910891089109E-2</v>
      </c>
      <c r="U573">
        <f>'Revenue drivers'!U425</f>
        <v>3.8571428571428576E-2</v>
      </c>
      <c r="V573">
        <f>'Revenue drivers'!V425</f>
        <v>4.0202275600505689E-2</v>
      </c>
      <c r="W573">
        <f>'Revenue drivers'!W425</f>
        <v>4.0494938132733402E-2</v>
      </c>
      <c r="X573">
        <f>'Revenue drivers'!X425</f>
        <v>4.004024144869215E-2</v>
      </c>
      <c r="Y573">
        <f>'Revenue drivers'!Y425</f>
        <v>4.0525838621940168E-2</v>
      </c>
      <c r="Z573">
        <f>'Revenue drivers'!Z425</f>
        <v>4.2062193126022912E-2</v>
      </c>
      <c r="AA573">
        <f>'Revenue drivers'!AA425</f>
        <v>4.2559523809523811E-2</v>
      </c>
      <c r="AB573">
        <f>'Revenue drivers'!AB425</f>
        <v>4.5161290322580649E-2</v>
      </c>
      <c r="AC573">
        <f>'Revenue drivers'!AC425</f>
        <v>4.6249999999999993E-2</v>
      </c>
      <c r="AD573">
        <f>'Revenue drivers'!AD425</f>
        <v>4.5631067961165048E-2</v>
      </c>
      <c r="AE573">
        <f>'Revenue drivers'!AE425</f>
        <v>4.5705196182396608E-2</v>
      </c>
      <c r="AF573">
        <f>'Revenue drivers'!AF425</f>
        <v>4.6180384425825532E-2</v>
      </c>
      <c r="AG573">
        <f>'Revenue drivers'!AG425</f>
        <v>4.5462836297309621E-2</v>
      </c>
      <c r="AH573">
        <f>'Revenue drivers'!AH425</f>
        <v>4.4997871434653038E-2</v>
      </c>
      <c r="AI573">
        <f>'Revenue drivers'!AI425</f>
        <v>4.5025968837395125E-2</v>
      </c>
      <c r="AJ573">
        <f>'Revenue drivers'!AJ425</f>
        <v>4.5959214501510574E-2</v>
      </c>
      <c r="AL573">
        <f>'Revenue drivers'!BF425</f>
        <v>0</v>
      </c>
      <c r="AM573">
        <f>'Revenue drivers'!BG425</f>
        <v>0</v>
      </c>
      <c r="AN573">
        <f>'Revenue drivers'!BH425</f>
        <v>0.16</v>
      </c>
      <c r="AO573">
        <f>'Revenue drivers'!BI425</f>
        <v>5.8333333333333334E-2</v>
      </c>
      <c r="AP573">
        <f>'Revenue drivers'!BJ425</f>
        <v>3.5830618892508138E-2</v>
      </c>
      <c r="AQ573">
        <f>'Revenue drivers'!BK425</f>
        <v>3.9108910891089109E-2</v>
      </c>
      <c r="AR573">
        <f>'Revenue drivers'!BL425</f>
        <v>4.004024144869215E-2</v>
      </c>
      <c r="AS573">
        <f>'Revenue drivers'!BM425</f>
        <v>4.5161290322580649E-2</v>
      </c>
      <c r="AT573">
        <f>'Revenue drivers'!BN425</f>
        <v>4.6180384425825532E-2</v>
      </c>
      <c r="AU573">
        <f>'Revenue drivers'!BO425</f>
        <v>4.5959214501510574E-2</v>
      </c>
      <c r="AV573">
        <f>'Revenue drivers'!BP425</f>
        <v>4.6892655367231632E-2</v>
      </c>
      <c r="AW573">
        <f>'Revenue drivers'!BQ425</f>
        <v>4.6240152781093335E-2</v>
      </c>
      <c r="AX573">
        <f>'Revenue drivers'!BR425</f>
        <v>5.1375531201073583E-2</v>
      </c>
      <c r="AY573">
        <f>'Revenue drivers'!BS425</f>
        <v>5.5901535872080785E-2</v>
      </c>
      <c r="AZ573">
        <f>'Revenue drivers'!BT425</f>
        <v>5.9920556107249244E-2</v>
      </c>
    </row>
    <row r="575" spans="1:61" ht="11.25" customHeight="1">
      <c r="A575" s="36"/>
      <c r="H575" s="1" t="s">
        <v>434</v>
      </c>
      <c r="I575" s="452" t="s">
        <v>436</v>
      </c>
      <c r="J575" s="453"/>
      <c r="K575" s="453"/>
      <c r="L575" s="453"/>
      <c r="M575" s="453"/>
      <c r="N575" s="453"/>
      <c r="O575" s="453"/>
      <c r="P575" s="454"/>
      <c r="Q575" s="453"/>
      <c r="R575" s="453"/>
      <c r="S575" s="453"/>
      <c r="T575" s="453"/>
      <c r="U575" s="452"/>
      <c r="V575" s="453"/>
      <c r="W575" s="453"/>
      <c r="X575" s="454"/>
      <c r="Y575" s="452"/>
      <c r="Z575" s="453"/>
      <c r="AA575" s="453"/>
      <c r="AB575" s="454"/>
      <c r="AC575" s="452"/>
      <c r="AD575" s="453"/>
      <c r="AE575" s="453"/>
      <c r="AF575" s="454"/>
      <c r="AG575" s="452"/>
      <c r="AH575" s="453"/>
      <c r="AI575" s="453"/>
      <c r="AJ575" s="454"/>
      <c r="AK575" s="36"/>
      <c r="AL575" s="726"/>
      <c r="AM575" s="392"/>
      <c r="AN575" s="392"/>
      <c r="AO575" s="392"/>
      <c r="AP575" s="392"/>
      <c r="AQ575" s="393"/>
      <c r="AR575" s="392"/>
      <c r="AS575" s="726"/>
      <c r="AT575" s="392"/>
      <c r="AU575" s="392"/>
      <c r="AV575" s="392"/>
      <c r="AW575" s="392"/>
      <c r="AX575" s="392"/>
      <c r="AY575" s="392"/>
      <c r="AZ575" s="727"/>
      <c r="BA575" s="36"/>
      <c r="BB575" s="36"/>
      <c r="BC575" s="36"/>
      <c r="BD575" s="36"/>
      <c r="BE575" s="36"/>
      <c r="BF575" s="36"/>
      <c r="BG575" s="36"/>
      <c r="BH575" s="36"/>
      <c r="BI575" s="36"/>
    </row>
    <row r="577" spans="9:52" ht="11.25" customHeight="1">
      <c r="I577" t="str">
        <f>'Expense drivers'!I10</f>
        <v>Total revenue</v>
      </c>
      <c r="M577">
        <f>'Expense drivers'!M10</f>
        <v>9.1359999999999992</v>
      </c>
      <c r="N577">
        <f>'Expense drivers'!N10</f>
        <v>10.726999999999999</v>
      </c>
      <c r="O577">
        <f>'Expense drivers'!O10</f>
        <v>12.594000000000001</v>
      </c>
      <c r="P577">
        <f>'Expense drivers'!P10</f>
        <v>15.274000000000001</v>
      </c>
      <c r="Q577">
        <f>'Expense drivers'!Q10</f>
        <v>16.5</v>
      </c>
      <c r="R577">
        <f>'Expense drivers'!R10</f>
        <v>19.577999999999999</v>
      </c>
      <c r="S577">
        <f>'Expense drivers'!S10</f>
        <v>22.302</v>
      </c>
      <c r="T577">
        <f>'Expense drivers'!T10</f>
        <v>24.905000000000001</v>
      </c>
      <c r="U577">
        <f>'Expense drivers'!U10</f>
        <v>27.384999999999998</v>
      </c>
      <c r="V577">
        <f>'Expense drivers'!V10</f>
        <v>32.652999999999999</v>
      </c>
      <c r="W577">
        <f>'Expense drivers'!W10</f>
        <v>36.371000000000002</v>
      </c>
      <c r="X577">
        <f>'Expense drivers'!X10</f>
        <v>41.156999999999996</v>
      </c>
      <c r="Y577">
        <f>'Expense drivers'!Y10</f>
        <v>46.133000000000003</v>
      </c>
      <c r="Z577">
        <f>'Expense drivers'!Z10</f>
        <v>55.023000000000003</v>
      </c>
      <c r="AA577">
        <f>'Expense drivers'!AA10</f>
        <v>61.180999999999997</v>
      </c>
      <c r="AB577">
        <f>'Expense drivers'!AB10</f>
        <v>70.650999999999996</v>
      </c>
      <c r="AC577">
        <f>'Expense drivers'!AC10</f>
        <v>76.406999999999996</v>
      </c>
      <c r="AD577">
        <f>'Expense drivers'!AD10</f>
        <v>88.787000000000006</v>
      </c>
      <c r="AE577">
        <f>'Expense drivers'!AE10</f>
        <v>102.455</v>
      </c>
      <c r="AF577">
        <f>'Expense drivers'!AF10</f>
        <v>109.887</v>
      </c>
      <c r="AG577">
        <f>'Expense drivers'!AG10</f>
        <v>111.8</v>
      </c>
      <c r="AH577">
        <f>'Expense drivers'!AH10</f>
        <v>125.6</v>
      </c>
      <c r="AI577">
        <f>'Expense drivers'!AI10</f>
        <v>134.6</v>
      </c>
      <c r="AJ577">
        <f>'Expense drivers'!AJ10</f>
        <v>146.69999999999999</v>
      </c>
      <c r="AL577">
        <f>'Expense drivers'!BF10</f>
        <v>0.443</v>
      </c>
      <c r="AM577">
        <f>'Expense drivers'!BG10</f>
        <v>3.7450000000000001</v>
      </c>
      <c r="AN577">
        <f>'Expense drivers'!BH10</f>
        <v>12.139000000000001</v>
      </c>
      <c r="AO577">
        <f>'Expense drivers'!BI10</f>
        <v>25.808000000000003</v>
      </c>
      <c r="AP577">
        <f>'Expense drivers'!BJ10</f>
        <v>47.731000000000002</v>
      </c>
      <c r="AQ577">
        <f>'Expense drivers'!BK10</f>
        <v>83.284999999999997</v>
      </c>
      <c r="AR577">
        <f>'Expense drivers'!BL10</f>
        <v>137.56599999999997</v>
      </c>
      <c r="AS577">
        <f>'Expense drivers'!BM10</f>
        <v>232.988</v>
      </c>
      <c r="AT577">
        <f>'Expense drivers'!BN10</f>
        <v>377.536</v>
      </c>
      <c r="AU577">
        <f>'Expense drivers'!BO10</f>
        <v>518.70000000000005</v>
      </c>
      <c r="AV577">
        <f>'Expense drivers'!BP10</f>
        <v>713.06899999999996</v>
      </c>
      <c r="AW577">
        <f>'Expense drivers'!BQ10</f>
        <v>846.81299999999999</v>
      </c>
      <c r="AX577">
        <f>'Expense drivers'!BR10</f>
        <v>960</v>
      </c>
      <c r="AY577">
        <f>'Expense drivers'!BS10</f>
        <v>1116.4000000000001</v>
      </c>
      <c r="AZ577">
        <f>'Expense drivers'!BT10</f>
        <v>1260.5999999999999</v>
      </c>
    </row>
    <row r="578" spans="9:52" ht="11.25" customHeight="1">
      <c r="I578" t="str">
        <f>'Expense drivers'!I11</f>
        <v>% change Y/Y</v>
      </c>
      <c r="M578" t="str">
        <f>'Expense drivers'!M11</f>
        <v>NA</v>
      </c>
      <c r="N578" t="str">
        <f>'Expense drivers'!N11</f>
        <v>NA</v>
      </c>
      <c r="O578" t="str">
        <f>'Expense drivers'!O11</f>
        <v>NA</v>
      </c>
      <c r="P578" t="str">
        <f>'Expense drivers'!P11</f>
        <v>NA</v>
      </c>
      <c r="Q578" t="str">
        <f>'Expense drivers'!Q11</f>
        <v>NA</v>
      </c>
      <c r="R578" t="str">
        <f>'Expense drivers'!R11</f>
        <v>NA</v>
      </c>
      <c r="S578" t="str">
        <f>'Expense drivers'!S11</f>
        <v>NA</v>
      </c>
      <c r="T578">
        <f>'Expense drivers'!T11</f>
        <v>0.6305486447557942</v>
      </c>
      <c r="U578">
        <f>'Expense drivers'!U11</f>
        <v>0.65969696969696967</v>
      </c>
      <c r="V578">
        <f>'Expense drivers'!V11</f>
        <v>0.66784145469404432</v>
      </c>
      <c r="W578">
        <f>'Expense drivers'!W11</f>
        <v>0.6308402833826563</v>
      </c>
      <c r="X578">
        <f>'Expense drivers'!X11</f>
        <v>0.65255972696245723</v>
      </c>
      <c r="Y578">
        <f>'Expense drivers'!Y11</f>
        <v>0.68460836224210353</v>
      </c>
      <c r="Z578">
        <f>'Expense drivers'!Z11</f>
        <v>0.68508253452975243</v>
      </c>
      <c r="AA578">
        <f>'Expense drivers'!AA11</f>
        <v>0.68213686728437484</v>
      </c>
      <c r="AB578">
        <f>'Expense drivers'!AB11</f>
        <v>0.71662171684039166</v>
      </c>
      <c r="AC578">
        <f>'Expense drivers'!AC11</f>
        <v>0.65623306526781255</v>
      </c>
      <c r="AD578">
        <f>'Expense drivers'!AD11</f>
        <v>0.61363429838431194</v>
      </c>
      <c r="AE578">
        <f>'Expense drivers'!AE11</f>
        <v>0.67462120592994568</v>
      </c>
      <c r="AF578">
        <f>'Expense drivers'!AF11</f>
        <v>0.55534953503842832</v>
      </c>
      <c r="AG578">
        <f>'Expense drivers'!AG11</f>
        <v>0.46321672098106204</v>
      </c>
      <c r="AH578">
        <f>'Expense drivers'!AH11</f>
        <v>0.41462150990572932</v>
      </c>
      <c r="AI578">
        <f>'Expense drivers'!AI11</f>
        <v>0.31374749890195686</v>
      </c>
      <c r="AJ578">
        <f>'Expense drivers'!AJ11</f>
        <v>0.33500778072019433</v>
      </c>
      <c r="AL578" t="str">
        <f>'Expense drivers'!BF11</f>
        <v>NA</v>
      </c>
      <c r="AM578">
        <f>'Expense drivers'!BG11</f>
        <v>7.4537246049661405</v>
      </c>
      <c r="AN578">
        <f>'Expense drivers'!BH11</f>
        <v>2.2413885180240323</v>
      </c>
      <c r="AO578">
        <f>'Expense drivers'!BI11</f>
        <v>1.1260400362468079</v>
      </c>
      <c r="AP578">
        <f>'Expense drivers'!BJ11</f>
        <v>0.84946528208307481</v>
      </c>
      <c r="AQ578">
        <f>'Expense drivers'!BK11</f>
        <v>0.74488278058284951</v>
      </c>
      <c r="AR578">
        <f>'Expense drivers'!BL11</f>
        <v>0.65175001500870477</v>
      </c>
      <c r="AS578">
        <f>'Expense drivers'!BM11</f>
        <v>0.69364523210677098</v>
      </c>
      <c r="AT578">
        <f>'Expense drivers'!BN11</f>
        <v>0.62040963483097844</v>
      </c>
      <c r="AU578">
        <f>'Expense drivers'!BO11</f>
        <v>0.37390871334124443</v>
      </c>
      <c r="AV578">
        <f>'Expense drivers'!BP11</f>
        <v>0.37472334682860975</v>
      </c>
      <c r="AW578">
        <f>'Expense drivers'!BQ11</f>
        <v>0.1875610915633692</v>
      </c>
      <c r="AX578">
        <f>'Expense drivers'!BR11</f>
        <v>0.13366233158914653</v>
      </c>
      <c r="AY578">
        <f>'Expense drivers'!BS11</f>
        <v>0.16291666666666682</v>
      </c>
      <c r="AZ578">
        <f>'Expense drivers'!BT11</f>
        <v>0.1291651737728412</v>
      </c>
    </row>
    <row r="579" spans="9:52" ht="11.25" customHeight="1">
      <c r="I579" t="str">
        <f>'Expense drivers'!I12</f>
        <v>% change Q/Q</v>
      </c>
      <c r="M579" t="str">
        <f>'Expense drivers'!M12</f>
        <v>NA</v>
      </c>
      <c r="N579" t="str">
        <f>'Expense drivers'!N12</f>
        <v>NA</v>
      </c>
      <c r="O579" t="str">
        <f>'Expense drivers'!O12</f>
        <v>NA</v>
      </c>
      <c r="P579" t="str">
        <f>'Expense drivers'!P12</f>
        <v>NA</v>
      </c>
      <c r="Q579" t="str">
        <f>'Expense drivers'!Q12</f>
        <v>NA</v>
      </c>
      <c r="R579" t="str">
        <f>'Expense drivers'!R12</f>
        <v>NA</v>
      </c>
      <c r="S579" t="str">
        <f>'Expense drivers'!S12</f>
        <v>NA</v>
      </c>
      <c r="T579">
        <f>'Expense drivers'!T12</f>
        <v>0.11671598959734553</v>
      </c>
      <c r="U579">
        <f>'Expense drivers'!U12</f>
        <v>9.9578397912065686E-2</v>
      </c>
      <c r="V579">
        <f>'Expense drivers'!V12</f>
        <v>0.19236808471791123</v>
      </c>
      <c r="W579">
        <f>'Expense drivers'!W12</f>
        <v>0.11386396349493166</v>
      </c>
      <c r="X579">
        <f>'Expense drivers'!X12</f>
        <v>0.13158835335844477</v>
      </c>
      <c r="Y579">
        <f>'Expense drivers'!Y12</f>
        <v>0.12090288407804284</v>
      </c>
      <c r="Z579">
        <f>'Expense drivers'!Z12</f>
        <v>0.1927037045065354</v>
      </c>
      <c r="AA579">
        <f>'Expense drivers'!AA12</f>
        <v>0.11191683477818359</v>
      </c>
      <c r="AB579">
        <f>'Expense drivers'!AB12</f>
        <v>0.1547866167601053</v>
      </c>
      <c r="AC579">
        <f>'Expense drivers'!AC12</f>
        <v>8.1470892131746186E-2</v>
      </c>
      <c r="AD579">
        <f>'Expense drivers'!AD12</f>
        <v>0.16202703940738417</v>
      </c>
      <c r="AE579">
        <f>'Expense drivers'!AE12</f>
        <v>0.15394145539324433</v>
      </c>
      <c r="AF579">
        <f>'Expense drivers'!AF12</f>
        <v>7.2539163535210616E-2</v>
      </c>
      <c r="AG579">
        <f>'Expense drivers'!AG12</f>
        <v>1.740879266883244E-2</v>
      </c>
      <c r="AH579">
        <f>'Expense drivers'!AH12</f>
        <v>0.1234347048300537</v>
      </c>
      <c r="AI579">
        <f>'Expense drivers'!AI12</f>
        <v>7.1656050955414052E-2</v>
      </c>
      <c r="AJ579">
        <f>'Expense drivers'!AJ12</f>
        <v>8.9895988112927094E-2</v>
      </c>
      <c r="AL579">
        <f>'Expense drivers'!BF12</f>
        <v>0</v>
      </c>
      <c r="AM579">
        <f>'Expense drivers'!BG12</f>
        <v>0</v>
      </c>
      <c r="AN579">
        <f>'Expense drivers'!BH12</f>
        <v>0</v>
      </c>
      <c r="AO579">
        <f>'Expense drivers'!BI12</f>
        <v>0</v>
      </c>
      <c r="AP579">
        <f>'Expense drivers'!BJ12</f>
        <v>0</v>
      </c>
      <c r="AQ579">
        <f>'Expense drivers'!BK12</f>
        <v>0</v>
      </c>
      <c r="AR579">
        <f>'Expense drivers'!BL12</f>
        <v>0</v>
      </c>
      <c r="AS579">
        <f>'Expense drivers'!BM12</f>
        <v>0</v>
      </c>
      <c r="AT579">
        <f>'Expense drivers'!BN12</f>
        <v>0</v>
      </c>
      <c r="AU579">
        <f>'Expense drivers'!BO12</f>
        <v>0</v>
      </c>
      <c r="AV579">
        <f>'Expense drivers'!BP12</f>
        <v>0</v>
      </c>
      <c r="AW579">
        <f>'Expense drivers'!BQ12</f>
        <v>0</v>
      </c>
      <c r="AX579">
        <f>'Expense drivers'!BR12</f>
        <v>0</v>
      </c>
      <c r="AY579">
        <f>'Expense drivers'!BS12</f>
        <v>0</v>
      </c>
      <c r="AZ579">
        <f>'Expense drivers'!BT12</f>
        <v>0</v>
      </c>
    </row>
    <row r="580" spans="9:52" ht="11.25" customHeight="1">
      <c r="I580">
        <f>'Expense drivers'!I16</f>
        <v>0</v>
      </c>
      <c r="M580">
        <f>'Expense drivers'!M16</f>
        <v>0</v>
      </c>
      <c r="N580">
        <f>'Expense drivers'!N16</f>
        <v>0</v>
      </c>
      <c r="O580">
        <f>'Expense drivers'!O16</f>
        <v>0</v>
      </c>
      <c r="P580">
        <f>'Expense drivers'!P16</f>
        <v>0</v>
      </c>
      <c r="Q580">
        <f>'Expense drivers'!Q16</f>
        <v>0</v>
      </c>
      <c r="R580">
        <f>'Expense drivers'!R16</f>
        <v>0</v>
      </c>
      <c r="S580">
        <f>'Expense drivers'!S16</f>
        <v>0</v>
      </c>
      <c r="T580">
        <f>'Expense drivers'!T16</f>
        <v>0</v>
      </c>
      <c r="U580">
        <f>'Expense drivers'!U16</f>
        <v>0</v>
      </c>
      <c r="V580">
        <f>'Expense drivers'!V16</f>
        <v>0</v>
      </c>
      <c r="W580">
        <f>'Expense drivers'!W16</f>
        <v>0</v>
      </c>
      <c r="X580">
        <f>'Expense drivers'!X16</f>
        <v>0</v>
      </c>
      <c r="Y580">
        <f>'Expense drivers'!Y16</f>
        <v>0</v>
      </c>
      <c r="Z580">
        <f>'Expense drivers'!Z16</f>
        <v>0</v>
      </c>
      <c r="AA580">
        <f>'Expense drivers'!AA16</f>
        <v>0</v>
      </c>
      <c r="AB580">
        <f>'Expense drivers'!AB16</f>
        <v>0</v>
      </c>
      <c r="AC580">
        <f>'Expense drivers'!AC16</f>
        <v>0</v>
      </c>
      <c r="AD580">
        <f>'Expense drivers'!AD16</f>
        <v>0</v>
      </c>
      <c r="AE580">
        <f>'Expense drivers'!AE16</f>
        <v>0</v>
      </c>
      <c r="AF580">
        <f>'Expense drivers'!AF16</f>
        <v>0</v>
      </c>
      <c r="AG580">
        <f>'Expense drivers'!AG16</f>
        <v>0</v>
      </c>
      <c r="AH580">
        <f>'Expense drivers'!AH16</f>
        <v>0</v>
      </c>
      <c r="AI580">
        <f>'Expense drivers'!AI16</f>
        <v>0</v>
      </c>
      <c r="AJ580">
        <f>'Expense drivers'!AJ16</f>
        <v>0</v>
      </c>
      <c r="AL580">
        <f>'Expense drivers'!BF16</f>
        <v>0</v>
      </c>
      <c r="AM580">
        <f>'Expense drivers'!BG16</f>
        <v>0</v>
      </c>
      <c r="AN580">
        <f>'Expense drivers'!BH16</f>
        <v>0</v>
      </c>
      <c r="AO580">
        <f>'Expense drivers'!BI16</f>
        <v>0</v>
      </c>
      <c r="AP580">
        <f>'Expense drivers'!BJ16</f>
        <v>0</v>
      </c>
      <c r="AQ580">
        <f>'Expense drivers'!BK16</f>
        <v>0</v>
      </c>
      <c r="AR580">
        <f>'Expense drivers'!BL16</f>
        <v>0</v>
      </c>
      <c r="AS580">
        <f>'Expense drivers'!BM16</f>
        <v>0</v>
      </c>
      <c r="AT580">
        <f>'Expense drivers'!BN16</f>
        <v>0</v>
      </c>
      <c r="AU580">
        <f>'Expense drivers'!BO16</f>
        <v>0</v>
      </c>
      <c r="AV580">
        <f>'Expense drivers'!BP16</f>
        <v>0</v>
      </c>
      <c r="AW580">
        <f>'Expense drivers'!BQ16</f>
        <v>0</v>
      </c>
      <c r="AX580">
        <f>'Expense drivers'!BR16</f>
        <v>0</v>
      </c>
      <c r="AY580">
        <f>'Expense drivers'!BS16</f>
        <v>0</v>
      </c>
      <c r="AZ580">
        <f>'Expense drivers'!BT16</f>
        <v>0</v>
      </c>
    </row>
    <row r="581" spans="9:52" ht="11.25" customHeight="1">
      <c r="I581" t="str">
        <f>'Expense drivers'!I17</f>
        <v>Profitability summary</v>
      </c>
      <c r="M581">
        <f>'Expense drivers'!M17</f>
        <v>0</v>
      </c>
      <c r="N581">
        <f>'Expense drivers'!N17</f>
        <v>0</v>
      </c>
      <c r="O581">
        <f>'Expense drivers'!O17</f>
        <v>0</v>
      </c>
      <c r="P581">
        <f>'Expense drivers'!P17</f>
        <v>0</v>
      </c>
      <c r="Q581">
        <f>'Expense drivers'!Q17</f>
        <v>0</v>
      </c>
      <c r="R581">
        <f>'Expense drivers'!R17</f>
        <v>0</v>
      </c>
      <c r="S581">
        <f>'Expense drivers'!S17</f>
        <v>0</v>
      </c>
      <c r="T581">
        <f>'Expense drivers'!T17</f>
        <v>0</v>
      </c>
      <c r="U581">
        <f>'Expense drivers'!U17</f>
        <v>0</v>
      </c>
      <c r="V581">
        <f>'Expense drivers'!V17</f>
        <v>0</v>
      </c>
      <c r="W581">
        <f>'Expense drivers'!W17</f>
        <v>0</v>
      </c>
      <c r="X581">
        <f>'Expense drivers'!X17</f>
        <v>0</v>
      </c>
      <c r="Y581">
        <f>'Expense drivers'!Y17</f>
        <v>0</v>
      </c>
      <c r="Z581">
        <f>'Expense drivers'!Z17</f>
        <v>0</v>
      </c>
      <c r="AA581">
        <f>'Expense drivers'!AA17</f>
        <v>0</v>
      </c>
      <c r="AB581">
        <f>'Expense drivers'!AB17</f>
        <v>0</v>
      </c>
      <c r="AC581">
        <f>'Expense drivers'!AC17</f>
        <v>0</v>
      </c>
      <c r="AD581">
        <f>'Expense drivers'!AD17</f>
        <v>0</v>
      </c>
      <c r="AE581">
        <f>'Expense drivers'!AE17</f>
        <v>0</v>
      </c>
      <c r="AF581">
        <f>'Expense drivers'!AF17</f>
        <v>0</v>
      </c>
      <c r="AG581">
        <f>'Expense drivers'!AG17</f>
        <v>0</v>
      </c>
      <c r="AH581">
        <f>'Expense drivers'!AH17</f>
        <v>0</v>
      </c>
      <c r="AI581">
        <f>'Expense drivers'!AI17</f>
        <v>0</v>
      </c>
      <c r="AJ581">
        <f>'Expense drivers'!AJ17</f>
        <v>0</v>
      </c>
      <c r="AL581">
        <f>'Expense drivers'!BF17</f>
        <v>0</v>
      </c>
      <c r="AM581">
        <f>'Expense drivers'!BG17</f>
        <v>0</v>
      </c>
      <c r="AN581">
        <f>'Expense drivers'!BH17</f>
        <v>0</v>
      </c>
      <c r="AO581">
        <f>'Expense drivers'!BI17</f>
        <v>0</v>
      </c>
      <c r="AP581">
        <f>'Expense drivers'!BJ17</f>
        <v>0</v>
      </c>
      <c r="AQ581">
        <f>'Expense drivers'!BK17</f>
        <v>0</v>
      </c>
      <c r="AR581">
        <f>'Expense drivers'!BL17</f>
        <v>0</v>
      </c>
      <c r="AS581">
        <f>'Expense drivers'!BM17</f>
        <v>0</v>
      </c>
      <c r="AT581">
        <f>'Expense drivers'!BN17</f>
        <v>0</v>
      </c>
      <c r="AU581">
        <f>'Expense drivers'!BO17</f>
        <v>0</v>
      </c>
      <c r="AV581">
        <f>'Expense drivers'!BP17</f>
        <v>0</v>
      </c>
      <c r="AW581">
        <f>'Expense drivers'!BQ17</f>
        <v>0</v>
      </c>
      <c r="AX581">
        <f>'Expense drivers'!BR17</f>
        <v>0</v>
      </c>
      <c r="AY581">
        <f>'Expense drivers'!BS17</f>
        <v>0</v>
      </c>
      <c r="AZ581">
        <f>'Expense drivers'!BT17</f>
        <v>0</v>
      </c>
    </row>
    <row r="582" spans="9:52" ht="11.25" customHeight="1">
      <c r="I582" t="str">
        <f>'Expense drivers'!I18</f>
        <v>Adjusted EBITDA</v>
      </c>
      <c r="M582">
        <f>'Expense drivers'!M18</f>
        <v>0</v>
      </c>
      <c r="N582">
        <f>'Expense drivers'!N18</f>
        <v>0</v>
      </c>
      <c r="O582">
        <f>'Expense drivers'!O18</f>
        <v>0</v>
      </c>
      <c r="P582">
        <f>'Expense drivers'!P18</f>
        <v>0</v>
      </c>
      <c r="Q582">
        <f>'Expense drivers'!Q18</f>
        <v>-0.87999999999999812</v>
      </c>
      <c r="R582">
        <f>'Expense drivers'!R18</f>
        <v>0.64900000000000146</v>
      </c>
      <c r="S582">
        <f>'Expense drivers'!S18</f>
        <v>-0.88200000000000567</v>
      </c>
      <c r="T582">
        <f>'Expense drivers'!T18</f>
        <v>-1.499999999999746E-2</v>
      </c>
      <c r="U582">
        <f>'Expense drivers'!U18</f>
        <v>-0.95100000000000118</v>
      </c>
      <c r="V582">
        <f>'Expense drivers'!V18</f>
        <v>1.5809999999999982</v>
      </c>
      <c r="W582">
        <f>'Expense drivers'!W18</f>
        <v>2.1620000000000053</v>
      </c>
      <c r="X582">
        <f>'Expense drivers'!X18</f>
        <v>1.8049999999999931</v>
      </c>
      <c r="Y582">
        <f>'Expense drivers'!Y18</f>
        <v>3.2040000000000064</v>
      </c>
      <c r="Z582">
        <f>'Expense drivers'!Z18</f>
        <v>7.7700000000000031</v>
      </c>
      <c r="AA582">
        <f>'Expense drivers'!AA18</f>
        <v>8.0499999999999936</v>
      </c>
      <c r="AB582">
        <f>'Expense drivers'!AB18</f>
        <v>10.404999999999994</v>
      </c>
      <c r="AC582">
        <f>'Expense drivers'!AC18</f>
        <v>8.5129999999999892</v>
      </c>
      <c r="AD582">
        <f>'Expense drivers'!AD18</f>
        <v>17.243999999999993</v>
      </c>
      <c r="AE582">
        <f>'Expense drivers'!AE18</f>
        <v>20.066000000000003</v>
      </c>
      <c r="AF582">
        <f>'Expense drivers'!AF18</f>
        <v>25.099000000000007</v>
      </c>
      <c r="AG582">
        <f>'Expense drivers'!AG18</f>
        <v>9.6089999999999982</v>
      </c>
      <c r="AH582">
        <f>'Expense drivers'!AH18</f>
        <v>14.419999999999986</v>
      </c>
      <c r="AI582">
        <f>'Expense drivers'!AI18</f>
        <v>3.5740000000000007</v>
      </c>
      <c r="AJ582">
        <f>'Expense drivers'!AJ18</f>
        <v>10.507999999999992</v>
      </c>
      <c r="AL582">
        <f>'Expense drivers'!BF18</f>
        <v>0</v>
      </c>
      <c r="AM582">
        <f>'Expense drivers'!BG18</f>
        <v>0</v>
      </c>
      <c r="AN582">
        <f>'Expense drivers'!BH18</f>
        <v>0</v>
      </c>
      <c r="AO582">
        <f>'Expense drivers'!BI18</f>
        <v>-0.57499999999999618</v>
      </c>
      <c r="AP582">
        <f>'Expense drivers'!BJ18</f>
        <v>-4.4409999999999989</v>
      </c>
      <c r="AQ582">
        <f>'Expense drivers'!BK18</f>
        <v>-1.1280000000000001</v>
      </c>
      <c r="AR582">
        <f>'Expense drivers'!BL18</f>
        <v>4.5969999999999676</v>
      </c>
      <c r="AS582">
        <f>'Expense drivers'!BM18</f>
        <v>29.428999999999988</v>
      </c>
      <c r="AT582">
        <f>'Expense drivers'!BN18</f>
        <v>70.921999999999997</v>
      </c>
      <c r="AU582">
        <f>'Expense drivers'!BO18</f>
        <v>38.111000000000004</v>
      </c>
      <c r="AV582">
        <f>'Expense drivers'!BP18</f>
        <v>120.08199999999995</v>
      </c>
      <c r="AW582">
        <f>'Expense drivers'!BQ18</f>
        <v>156.607</v>
      </c>
      <c r="AX582">
        <f>'Expense drivers'!BR18</f>
        <v>186.58690435868911</v>
      </c>
      <c r="AY582">
        <f>'Expense drivers'!BS18</f>
        <v>234.7880648287065</v>
      </c>
      <c r="AZ582">
        <f>'Expense drivers'!BT18</f>
        <v>283.31739995723177</v>
      </c>
    </row>
    <row r="583" spans="9:52" ht="11.25" customHeight="1">
      <c r="I583" t="str">
        <f>'Expense drivers'!I19</f>
        <v>Adjusted EBITDA margin</v>
      </c>
      <c r="M583">
        <f>'Expense drivers'!M19</f>
        <v>0</v>
      </c>
      <c r="N583">
        <f>'Expense drivers'!N19</f>
        <v>0</v>
      </c>
      <c r="O583">
        <f>'Expense drivers'!O19</f>
        <v>0</v>
      </c>
      <c r="P583">
        <f>'Expense drivers'!P19</f>
        <v>0</v>
      </c>
      <c r="Q583">
        <f>'Expense drivers'!Q19</f>
        <v>-5.3333333333333219E-2</v>
      </c>
      <c r="R583">
        <f>'Expense drivers'!R19</f>
        <v>3.3149453468178644E-2</v>
      </c>
      <c r="S583">
        <f>'Expense drivers'!S19</f>
        <v>-3.954802259887031E-2</v>
      </c>
      <c r="T583">
        <f>'Expense drivers'!T19</f>
        <v>-6.022886970486834E-4</v>
      </c>
      <c r="U583">
        <f>'Expense drivers'!U19</f>
        <v>-3.4727040350556918E-2</v>
      </c>
      <c r="V583">
        <f>'Expense drivers'!V19</f>
        <v>4.841821578415454E-2</v>
      </c>
      <c r="W583">
        <f>'Expense drivers'!W19</f>
        <v>5.9442962800033132E-2</v>
      </c>
      <c r="X583">
        <f>'Expense drivers'!X19</f>
        <v>4.3856452122360549E-2</v>
      </c>
      <c r="Y583">
        <f>'Expense drivers'!Y19</f>
        <v>6.9451368868272301E-2</v>
      </c>
      <c r="Z583">
        <f>'Expense drivers'!Z19</f>
        <v>0.14121367428166409</v>
      </c>
      <c r="AA583">
        <f>'Expense drivers'!AA19</f>
        <v>0.13157679671793521</v>
      </c>
      <c r="AB583">
        <f>'Expense drivers'!AB19</f>
        <v>0.1472732162319004</v>
      </c>
      <c r="AC583">
        <f>'Expense drivers'!AC19</f>
        <v>0.11141649325323583</v>
      </c>
      <c r="AD583">
        <f>'Expense drivers'!AD19</f>
        <v>0.19421762194915912</v>
      </c>
      <c r="AE583">
        <f>'Expense drivers'!AE19</f>
        <v>0.1958518373920258</v>
      </c>
      <c r="AF583">
        <f>'Expense drivers'!AF19</f>
        <v>0.22840736392839925</v>
      </c>
      <c r="AG583">
        <f>'Expense drivers'!AG19</f>
        <v>8.5948121645796044E-2</v>
      </c>
      <c r="AH583">
        <f>'Expense drivers'!AH19</f>
        <v>0.11480891719745212</v>
      </c>
      <c r="AI583">
        <f>'Expense drivers'!AI19</f>
        <v>2.6552748885586931E-2</v>
      </c>
      <c r="AJ583">
        <f>'Expense drivers'!AJ19</f>
        <v>7.1629175187457345E-2</v>
      </c>
      <c r="AL583">
        <f>'Expense drivers'!BF19</f>
        <v>0</v>
      </c>
      <c r="AM583">
        <f>'Expense drivers'!BG19</f>
        <v>0</v>
      </c>
      <c r="AN583">
        <f>'Expense drivers'!BH19</f>
        <v>0</v>
      </c>
      <c r="AO583">
        <f>'Expense drivers'!BI19</f>
        <v>-2.2279913205207537E-2</v>
      </c>
      <c r="AP583">
        <f>'Expense drivers'!BJ19</f>
        <v>-9.3042257652259514E-2</v>
      </c>
      <c r="AQ583">
        <f>'Expense drivers'!BK19</f>
        <v>-1.354385543615297E-2</v>
      </c>
      <c r="AR583">
        <f>'Expense drivers'!BL19</f>
        <v>3.3416687262840881E-2</v>
      </c>
      <c r="AS583">
        <f>'Expense drivers'!BM19</f>
        <v>0.12631122632925296</v>
      </c>
      <c r="AT583">
        <f>'Expense drivers'!BN19</f>
        <v>0.18785493303949821</v>
      </c>
      <c r="AU583">
        <f>'Expense drivers'!BO19</f>
        <v>7.3474069789859264E-2</v>
      </c>
      <c r="AV583">
        <f>'Expense drivers'!BP19</f>
        <v>0.16840165537977383</v>
      </c>
      <c r="AW583">
        <f>'Expense drivers'!BQ19</f>
        <v>0.18493693412831405</v>
      </c>
      <c r="AX583">
        <f>'Expense drivers'!BR19</f>
        <v>0.19436135870696783</v>
      </c>
      <c r="AY583">
        <f>'Expense drivers'!BS19</f>
        <v>0.2103081913549861</v>
      </c>
      <c r="AZ583">
        <f>'Expense drivers'!BT19</f>
        <v>0.2247480564471139</v>
      </c>
    </row>
    <row r="584" spans="9:52" ht="11.25" customHeight="1">
      <c r="I584" t="str">
        <f>'Expense drivers'!I20</f>
        <v>Incremental EBITDA margin</v>
      </c>
      <c r="M584">
        <f>'Expense drivers'!M20</f>
        <v>0</v>
      </c>
      <c r="N584">
        <f>'Expense drivers'!N20</f>
        <v>0</v>
      </c>
      <c r="O584">
        <f>'Expense drivers'!O20</f>
        <v>0</v>
      </c>
      <c r="P584">
        <f>'Expense drivers'!P20</f>
        <v>0</v>
      </c>
      <c r="Q584" t="str">
        <f>'Expense drivers'!Q20</f>
        <v>NM</v>
      </c>
      <c r="R584" t="str">
        <f>'Expense drivers'!R20</f>
        <v>NM</v>
      </c>
      <c r="S584" t="str">
        <f>'Expense drivers'!S20</f>
        <v>NM</v>
      </c>
      <c r="T584" t="str">
        <f>'Expense drivers'!T20</f>
        <v>NM</v>
      </c>
      <c r="U584" t="str">
        <f>'Expense drivers'!U20</f>
        <v>NM</v>
      </c>
      <c r="V584">
        <f>'Expense drivers'!V20</f>
        <v>7.1281070745697644E-2</v>
      </c>
      <c r="W584" t="str">
        <f>'Expense drivers'!W20</f>
        <v>NM</v>
      </c>
      <c r="X584" t="str">
        <f>'Expense drivers'!X20</f>
        <v>NM</v>
      </c>
      <c r="Y584" t="str">
        <f>'Expense drivers'!Y20</f>
        <v>NM</v>
      </c>
      <c r="Z584">
        <f>'Expense drivers'!Z20</f>
        <v>0.27666517657577133</v>
      </c>
      <c r="AA584">
        <f>'Expense drivers'!AA20</f>
        <v>0.23732365981459047</v>
      </c>
      <c r="AB584">
        <f>'Expense drivers'!AB20</f>
        <v>0.2915847290974436</v>
      </c>
      <c r="AC584">
        <f>'Expense drivers'!AC20</f>
        <v>0.17536499966968305</v>
      </c>
      <c r="AD584">
        <f>'Expense drivers'!AD20</f>
        <v>0.28059471626584492</v>
      </c>
      <c r="AE584">
        <f>'Expense drivers'!AE20</f>
        <v>0.29112758637398867</v>
      </c>
      <c r="AF584">
        <f>'Expense drivers'!AF20</f>
        <v>0.37450300744214526</v>
      </c>
      <c r="AG584">
        <f>'Expense drivers'!AG20</f>
        <v>3.0966575311502528E-2</v>
      </c>
      <c r="AH584">
        <f>'Expense drivers'!AH20</f>
        <v>-7.6712031075978807E-2</v>
      </c>
      <c r="AI584">
        <f>'Expense drivers'!AI20</f>
        <v>-0.51305024109503816</v>
      </c>
      <c r="AJ584">
        <f>'Expense drivers'!AJ20</f>
        <v>-0.39635454866487435</v>
      </c>
      <c r="AL584">
        <f>'Expense drivers'!BF20</f>
        <v>0</v>
      </c>
      <c r="AM584">
        <f>'Expense drivers'!BG20</f>
        <v>0</v>
      </c>
      <c r="AN584">
        <f>'Expense drivers'!BH20</f>
        <v>0</v>
      </c>
      <c r="AO584" t="str">
        <f>'Expense drivers'!BI20</f>
        <v>NM</v>
      </c>
      <c r="AP584" t="str">
        <f>'Expense drivers'!BJ20</f>
        <v>NM</v>
      </c>
      <c r="AQ584" t="str">
        <f>'Expense drivers'!BK20</f>
        <v>NM</v>
      </c>
      <c r="AR584" t="str">
        <f>'Expense drivers'!BL20</f>
        <v>NM</v>
      </c>
      <c r="AS584">
        <f>'Expense drivers'!BM20</f>
        <v>0.26023348913248534</v>
      </c>
      <c r="AT584">
        <f>'Expense drivers'!BN20</f>
        <v>0.28705343553698431</v>
      </c>
      <c r="AU584">
        <f>'Expense drivers'!BO20</f>
        <v>-0.23243178147403007</v>
      </c>
      <c r="AV584">
        <f>'Expense drivers'!BP20</f>
        <v>0.42172877362130784</v>
      </c>
      <c r="AW584">
        <f>'Expense drivers'!BQ20</f>
        <v>0.27309636320134018</v>
      </c>
      <c r="AX584">
        <f>'Expense drivers'!BR20</f>
        <v>0.26487056250884916</v>
      </c>
      <c r="AY584">
        <f>'Expense drivers'!BS20</f>
        <v>0.30819156310752788</v>
      </c>
      <c r="AZ584">
        <f>'Expense drivers'!BT20</f>
        <v>0.33654185248630608</v>
      </c>
    </row>
    <row r="585" spans="9:52" ht="11.25" customHeight="1">
      <c r="I585" t="str">
        <f>'Expense drivers'!I21</f>
        <v>% change Y/Y</v>
      </c>
      <c r="M585" t="str">
        <f>'Expense drivers'!M21</f>
        <v>NA</v>
      </c>
      <c r="N585" t="str">
        <f>'Expense drivers'!N21</f>
        <v>NA</v>
      </c>
      <c r="O585" t="str">
        <f>'Expense drivers'!O21</f>
        <v>NA</v>
      </c>
      <c r="P585" t="str">
        <f>'Expense drivers'!P21</f>
        <v>NA</v>
      </c>
      <c r="Q585" t="str">
        <f>'Expense drivers'!Q21</f>
        <v>NA</v>
      </c>
      <c r="R585" t="str">
        <f>'Expense drivers'!R21</f>
        <v>NA</v>
      </c>
      <c r="S585" t="str">
        <f>'Expense drivers'!S21</f>
        <v>NA</v>
      </c>
      <c r="T585" t="str">
        <f>'Expense drivers'!T21</f>
        <v>NA</v>
      </c>
      <c r="U585" t="str">
        <f>'Expense drivers'!U21</f>
        <v>NM</v>
      </c>
      <c r="V585">
        <f>'Expense drivers'!V21</f>
        <v>1.4360554699537667</v>
      </c>
      <c r="W585">
        <f>'Expense drivers'!W21</f>
        <v>-3.45124716553287</v>
      </c>
      <c r="X585">
        <f>'Expense drivers'!X21</f>
        <v>-121.33333333335325</v>
      </c>
      <c r="Y585">
        <f>'Expense drivers'!Y21</f>
        <v>-4.3690851735015794</v>
      </c>
      <c r="Z585">
        <f>'Expense drivers'!Z21</f>
        <v>3.9146110056926071</v>
      </c>
      <c r="AA585">
        <f>'Expense drivers'!AA21</f>
        <v>2.7234042553191369</v>
      </c>
      <c r="AB585">
        <f>'Expense drivers'!AB21</f>
        <v>4.7645429362881071</v>
      </c>
      <c r="AC585">
        <f>'Expense drivers'!AC21</f>
        <v>1.6569912609238364</v>
      </c>
      <c r="AD585">
        <f>'Expense drivers'!AD21</f>
        <v>1.2193050193050174</v>
      </c>
      <c r="AE585">
        <f>'Expense drivers'!AE21</f>
        <v>1.4926708074534183</v>
      </c>
      <c r="AF585">
        <f>'Expense drivers'!AF21</f>
        <v>1.412205670350795</v>
      </c>
      <c r="AG585">
        <f>'Expense drivers'!AG21</f>
        <v>0.12874427346411488</v>
      </c>
      <c r="AH585">
        <f>'Expense drivers'!AH21</f>
        <v>-0.1637671073996757</v>
      </c>
      <c r="AI585">
        <f>'Expense drivers'!AI21</f>
        <v>-0.82188777035781913</v>
      </c>
      <c r="AJ585">
        <f>'Expense drivers'!AJ21</f>
        <v>-0.58133790190844303</v>
      </c>
      <c r="AL585">
        <f>'Expense drivers'!BF21</f>
        <v>0</v>
      </c>
      <c r="AM585">
        <f>'Expense drivers'!BG21</f>
        <v>0</v>
      </c>
      <c r="AN585">
        <f>'Expense drivers'!BH21</f>
        <v>0</v>
      </c>
      <c r="AO585" t="str">
        <f>'Expense drivers'!BI21</f>
        <v>NA</v>
      </c>
      <c r="AP585" t="str">
        <f>'Expense drivers'!BJ21</f>
        <v>NM</v>
      </c>
      <c r="AQ585" t="str">
        <f>'Expense drivers'!BK21</f>
        <v>NM</v>
      </c>
      <c r="AR585">
        <f>'Expense drivers'!BL21</f>
        <v>-5.0753546099290485</v>
      </c>
      <c r="AS585">
        <f>'Expense drivers'!BM21</f>
        <v>5.4017837720252766</v>
      </c>
      <c r="AT585">
        <f>'Expense drivers'!BN21</f>
        <v>1.4099357776343071</v>
      </c>
      <c r="AU585">
        <f>'Expense drivers'!BO21</f>
        <v>-0.46263500747299846</v>
      </c>
      <c r="AV585">
        <f>'Expense drivers'!BP21</f>
        <v>2.1508488362939819</v>
      </c>
      <c r="AW585">
        <f>'Expense drivers'!BQ21</f>
        <v>0.30416715244582915</v>
      </c>
      <c r="AX585">
        <f>'Expense drivers'!BR21</f>
        <v>0.19143399949356743</v>
      </c>
      <c r="AY585">
        <f>'Expense drivers'!BS21</f>
        <v>0.25833088680948846</v>
      </c>
      <c r="AZ585">
        <f>'Expense drivers'!BT21</f>
        <v>0.20669421660735043</v>
      </c>
    </row>
    <row r="586" spans="9:52" ht="11.25" customHeight="1">
      <c r="I586" t="str">
        <f>'Expense drivers'!I22</f>
        <v>% change Q/Q</v>
      </c>
      <c r="M586" t="str">
        <f>'Expense drivers'!M22</f>
        <v>NA</v>
      </c>
      <c r="N586" t="str">
        <f>'Expense drivers'!N22</f>
        <v>NA</v>
      </c>
      <c r="O586" t="str">
        <f>'Expense drivers'!O22</f>
        <v>NA</v>
      </c>
      <c r="P586" t="str">
        <f>'Expense drivers'!P22</f>
        <v>NA</v>
      </c>
      <c r="Q586" t="str">
        <f>'Expense drivers'!Q22</f>
        <v>NA</v>
      </c>
      <c r="R586">
        <f>'Expense drivers'!R22</f>
        <v>-1.7375000000000034</v>
      </c>
      <c r="S586" t="str">
        <f>'Expense drivers'!S22</f>
        <v>NM</v>
      </c>
      <c r="T586" t="str">
        <f>'Expense drivers'!T22</f>
        <v>NM</v>
      </c>
      <c r="U586" t="str">
        <f>'Expense drivers'!U22</f>
        <v>NM</v>
      </c>
      <c r="V586">
        <f>'Expense drivers'!V22</f>
        <v>-2.6624605678233397</v>
      </c>
      <c r="W586">
        <f>'Expense drivers'!W22</f>
        <v>0.36748893105629832</v>
      </c>
      <c r="X586">
        <f>'Expense drivers'!X22</f>
        <v>-0.16512488436633277</v>
      </c>
      <c r="Y586">
        <f>'Expense drivers'!Y22</f>
        <v>0.7750692520775726</v>
      </c>
      <c r="Z586">
        <f>'Expense drivers'!Z22</f>
        <v>1.4250936329587978</v>
      </c>
      <c r="AA586">
        <f>'Expense drivers'!AA22</f>
        <v>3.603603603603478E-2</v>
      </c>
      <c r="AB586">
        <f>'Expense drivers'!AB22</f>
        <v>0.29254658385093202</v>
      </c>
      <c r="AC586">
        <f>'Expense drivers'!AC22</f>
        <v>-0.18183565593464734</v>
      </c>
      <c r="AD586">
        <f>'Expense drivers'!AD22</f>
        <v>1.0256078938094695</v>
      </c>
      <c r="AE586">
        <f>'Expense drivers'!AE22</f>
        <v>0.16365112502899626</v>
      </c>
      <c r="AF586">
        <f>'Expense drivers'!AF22</f>
        <v>0.25082228645469962</v>
      </c>
      <c r="AG586">
        <f>'Expense drivers'!AG22</f>
        <v>-0.61715606199450201</v>
      </c>
      <c r="AH586">
        <f>'Expense drivers'!AH22</f>
        <v>0.50067644916224263</v>
      </c>
      <c r="AI586">
        <f>'Expense drivers'!AI22</f>
        <v>-0.75214979195561693</v>
      </c>
      <c r="AJ586">
        <f>'Expense drivers'!AJ22</f>
        <v>1.9401231113598181</v>
      </c>
      <c r="AL586">
        <f>'Expense drivers'!BF22</f>
        <v>0</v>
      </c>
      <c r="AM586">
        <f>'Expense drivers'!BG22</f>
        <v>0</v>
      </c>
      <c r="AN586">
        <f>'Expense drivers'!BH22</f>
        <v>0</v>
      </c>
      <c r="AO586">
        <f>'Expense drivers'!BI22</f>
        <v>0</v>
      </c>
      <c r="AP586">
        <f>'Expense drivers'!BJ22</f>
        <v>0</v>
      </c>
      <c r="AQ586">
        <f>'Expense drivers'!BK22</f>
        <v>0</v>
      </c>
      <c r="AR586">
        <f>'Expense drivers'!BL22</f>
        <v>0</v>
      </c>
      <c r="AS586">
        <f>'Expense drivers'!BM22</f>
        <v>0</v>
      </c>
      <c r="AT586">
        <f>'Expense drivers'!BN22</f>
        <v>0</v>
      </c>
      <c r="AU586">
        <f>'Expense drivers'!BO22</f>
        <v>0</v>
      </c>
      <c r="AV586">
        <f>'Expense drivers'!BP22</f>
        <v>0</v>
      </c>
      <c r="AW586">
        <f>'Expense drivers'!BQ22</f>
        <v>0</v>
      </c>
      <c r="AX586">
        <f>'Expense drivers'!BR22</f>
        <v>0</v>
      </c>
      <c r="AY586">
        <f>'Expense drivers'!BS22</f>
        <v>0</v>
      </c>
      <c r="AZ586">
        <f>'Expense drivers'!BT22</f>
        <v>0</v>
      </c>
    </row>
    <row r="587" spans="9:52" ht="11.25" customHeight="1">
      <c r="I587">
        <f>'Expense drivers'!I23</f>
        <v>0</v>
      </c>
      <c r="M587">
        <f>'Expense drivers'!M23</f>
        <v>0</v>
      </c>
      <c r="N587">
        <f>'Expense drivers'!N23</f>
        <v>0</v>
      </c>
      <c r="O587">
        <f>'Expense drivers'!O23</f>
        <v>0</v>
      </c>
      <c r="P587">
        <f>'Expense drivers'!P23</f>
        <v>0</v>
      </c>
      <c r="Q587">
        <f>'Expense drivers'!Q23</f>
        <v>0</v>
      </c>
      <c r="R587">
        <f>'Expense drivers'!R23</f>
        <v>0</v>
      </c>
      <c r="S587">
        <f>'Expense drivers'!S23</f>
        <v>0</v>
      </c>
      <c r="T587">
        <f>'Expense drivers'!T23</f>
        <v>0</v>
      </c>
      <c r="U587">
        <f>'Expense drivers'!U23</f>
        <v>0</v>
      </c>
      <c r="V587">
        <f>'Expense drivers'!V23</f>
        <v>0</v>
      </c>
      <c r="W587">
        <f>'Expense drivers'!W23</f>
        <v>0</v>
      </c>
      <c r="X587">
        <f>'Expense drivers'!X23</f>
        <v>0</v>
      </c>
      <c r="Y587">
        <f>'Expense drivers'!Y23</f>
        <v>0</v>
      </c>
      <c r="Z587">
        <f>'Expense drivers'!Z23</f>
        <v>0</v>
      </c>
      <c r="AA587">
        <f>'Expense drivers'!AA23</f>
        <v>0</v>
      </c>
      <c r="AB587">
        <f>'Expense drivers'!AB23</f>
        <v>0</v>
      </c>
      <c r="AC587">
        <f>'Expense drivers'!AC23</f>
        <v>0</v>
      </c>
      <c r="AD587">
        <f>'Expense drivers'!AD23</f>
        <v>0</v>
      </c>
      <c r="AE587">
        <f>'Expense drivers'!AE23</f>
        <v>0</v>
      </c>
      <c r="AF587">
        <f>'Expense drivers'!AF23</f>
        <v>0</v>
      </c>
      <c r="AG587">
        <f>'Expense drivers'!AG23</f>
        <v>0</v>
      </c>
      <c r="AH587">
        <f>'Expense drivers'!AH23</f>
        <v>0</v>
      </c>
      <c r="AI587">
        <f>'Expense drivers'!AI23</f>
        <v>0</v>
      </c>
      <c r="AJ587">
        <f>'Expense drivers'!AJ23</f>
        <v>0</v>
      </c>
      <c r="AL587">
        <f>'Expense drivers'!BF23</f>
        <v>0</v>
      </c>
      <c r="AM587">
        <f>'Expense drivers'!BG23</f>
        <v>0</v>
      </c>
      <c r="AN587">
        <f>'Expense drivers'!BH23</f>
        <v>0</v>
      </c>
      <c r="AO587">
        <f>'Expense drivers'!BI23</f>
        <v>0</v>
      </c>
      <c r="AP587">
        <f>'Expense drivers'!BJ23</f>
        <v>0</v>
      </c>
      <c r="AQ587">
        <f>'Expense drivers'!BK23</f>
        <v>0</v>
      </c>
      <c r="AR587">
        <f>'Expense drivers'!BL23</f>
        <v>0</v>
      </c>
      <c r="AS587">
        <f>'Expense drivers'!BM23</f>
        <v>0</v>
      </c>
      <c r="AT587">
        <f>'Expense drivers'!BN23</f>
        <v>0</v>
      </c>
      <c r="AU587">
        <f>'Expense drivers'!BO23</f>
        <v>0</v>
      </c>
      <c r="AV587">
        <f>'Expense drivers'!BP23</f>
        <v>0</v>
      </c>
      <c r="AW587">
        <f>'Expense drivers'!BQ23</f>
        <v>0</v>
      </c>
      <c r="AX587">
        <f>'Expense drivers'!BR23</f>
        <v>0</v>
      </c>
      <c r="AY587">
        <f>'Expense drivers'!BS23</f>
        <v>0</v>
      </c>
      <c r="AZ587">
        <f>'Expense drivers'!BT23</f>
        <v>0</v>
      </c>
    </row>
    <row r="600" spans="9:52" ht="11.25" customHeight="1">
      <c r="I600">
        <f>'Expense drivers'!I24</f>
        <v>0</v>
      </c>
      <c r="M600">
        <f>'Expense drivers'!M24</f>
        <v>0</v>
      </c>
      <c r="N600">
        <f>'Expense drivers'!N24</f>
        <v>0</v>
      </c>
      <c r="O600">
        <f>'Expense drivers'!O24</f>
        <v>0</v>
      </c>
      <c r="P600">
        <f>'Expense drivers'!P24</f>
        <v>0</v>
      </c>
      <c r="Q600">
        <f>'Expense drivers'!Q24</f>
        <v>0</v>
      </c>
      <c r="R600">
        <f>'Expense drivers'!R24</f>
        <v>0</v>
      </c>
      <c r="S600">
        <f>'Expense drivers'!S24</f>
        <v>0</v>
      </c>
      <c r="T600">
        <f>'Expense drivers'!T24</f>
        <v>0</v>
      </c>
      <c r="U600">
        <f>'Expense drivers'!U24</f>
        <v>0</v>
      </c>
      <c r="V600">
        <f>'Expense drivers'!V24</f>
        <v>0</v>
      </c>
      <c r="W600">
        <f>'Expense drivers'!W24</f>
        <v>0</v>
      </c>
      <c r="X600">
        <f>'Expense drivers'!X24</f>
        <v>0</v>
      </c>
      <c r="Y600">
        <f>'Expense drivers'!Y24</f>
        <v>0</v>
      </c>
      <c r="Z600">
        <f>'Expense drivers'!Z24</f>
        <v>0</v>
      </c>
      <c r="AA600">
        <f>'Expense drivers'!AA24</f>
        <v>0</v>
      </c>
      <c r="AB600">
        <f>'Expense drivers'!AB24</f>
        <v>0</v>
      </c>
      <c r="AC600">
        <f>'Expense drivers'!AC24</f>
        <v>0</v>
      </c>
      <c r="AD600">
        <f>'Expense drivers'!AD24</f>
        <v>0</v>
      </c>
      <c r="AE600">
        <f>'Expense drivers'!AE24</f>
        <v>0</v>
      </c>
      <c r="AF600">
        <f>'Expense drivers'!AF24</f>
        <v>0</v>
      </c>
      <c r="AG600">
        <f>'Expense drivers'!AG24</f>
        <v>0</v>
      </c>
      <c r="AH600">
        <f>'Expense drivers'!AH24</f>
        <v>0</v>
      </c>
      <c r="AI600">
        <f>'Expense drivers'!AI24</f>
        <v>0</v>
      </c>
      <c r="AJ600">
        <f>'Expense drivers'!AJ24</f>
        <v>0</v>
      </c>
      <c r="AL600">
        <f>'Expense drivers'!BF24</f>
        <v>0</v>
      </c>
      <c r="AM600">
        <f>'Expense drivers'!BG24</f>
        <v>0</v>
      </c>
      <c r="AN600">
        <f>'Expense drivers'!BH24</f>
        <v>0</v>
      </c>
      <c r="AO600">
        <f>'Expense drivers'!BI24</f>
        <v>0</v>
      </c>
      <c r="AP600">
        <f>'Expense drivers'!BJ24</f>
        <v>0</v>
      </c>
      <c r="AQ600">
        <f>'Expense drivers'!BK24</f>
        <v>0</v>
      </c>
      <c r="AR600">
        <f>'Expense drivers'!BL24</f>
        <v>0</v>
      </c>
      <c r="AS600">
        <f>'Expense drivers'!BM24</f>
        <v>0</v>
      </c>
      <c r="AT600">
        <f>'Expense drivers'!BN24</f>
        <v>0</v>
      </c>
      <c r="AU600">
        <f>'Expense drivers'!BO24</f>
        <v>0</v>
      </c>
      <c r="AV600">
        <f>'Expense drivers'!BP24</f>
        <v>0</v>
      </c>
      <c r="AW600">
        <f>'Expense drivers'!BQ24</f>
        <v>0</v>
      </c>
      <c r="AX600">
        <f>'Expense drivers'!BR24</f>
        <v>0</v>
      </c>
      <c r="AY600">
        <f>'Expense drivers'!BS24</f>
        <v>0</v>
      </c>
      <c r="AZ600">
        <f>'Expense drivers'!BT24</f>
        <v>0</v>
      </c>
    </row>
    <row r="601" spans="9:52" ht="11.25" customHeight="1">
      <c r="I601">
        <f>'Expense drivers'!I25</f>
        <v>0</v>
      </c>
      <c r="M601">
        <f>'Expense drivers'!M25</f>
        <v>0</v>
      </c>
      <c r="N601">
        <f>'Expense drivers'!N25</f>
        <v>0</v>
      </c>
      <c r="O601">
        <f>'Expense drivers'!O25</f>
        <v>0</v>
      </c>
      <c r="P601">
        <f>'Expense drivers'!P25</f>
        <v>0</v>
      </c>
      <c r="Q601">
        <f>'Expense drivers'!Q25</f>
        <v>0</v>
      </c>
      <c r="R601">
        <f>'Expense drivers'!R25</f>
        <v>0</v>
      </c>
      <c r="S601">
        <f>'Expense drivers'!S25</f>
        <v>0</v>
      </c>
      <c r="T601">
        <f>'Expense drivers'!T25</f>
        <v>0</v>
      </c>
      <c r="U601">
        <f>'Expense drivers'!U25</f>
        <v>0</v>
      </c>
      <c r="V601">
        <f>'Expense drivers'!V25</f>
        <v>0</v>
      </c>
      <c r="W601">
        <f>'Expense drivers'!W25</f>
        <v>0</v>
      </c>
      <c r="X601">
        <f>'Expense drivers'!X25</f>
        <v>0</v>
      </c>
      <c r="Y601">
        <f>'Expense drivers'!Y25</f>
        <v>0</v>
      </c>
      <c r="Z601">
        <f>'Expense drivers'!Z25</f>
        <v>0</v>
      </c>
      <c r="AA601">
        <f>'Expense drivers'!AA25</f>
        <v>0</v>
      </c>
      <c r="AB601">
        <f>'Expense drivers'!AB25</f>
        <v>0</v>
      </c>
      <c r="AC601">
        <f>'Expense drivers'!AC25</f>
        <v>0</v>
      </c>
      <c r="AD601">
        <f>'Expense drivers'!AD25</f>
        <v>0</v>
      </c>
      <c r="AE601">
        <f>'Expense drivers'!AE25</f>
        <v>0</v>
      </c>
      <c r="AF601">
        <f>'Expense drivers'!AF25</f>
        <v>0</v>
      </c>
      <c r="AG601">
        <f>'Expense drivers'!AG25</f>
        <v>0</v>
      </c>
      <c r="AH601">
        <f>'Expense drivers'!AH25</f>
        <v>0</v>
      </c>
      <c r="AI601">
        <f>'Expense drivers'!AI25</f>
        <v>0</v>
      </c>
      <c r="AJ601">
        <f>'Expense drivers'!AJ25</f>
        <v>0</v>
      </c>
      <c r="AL601">
        <f>'Expense drivers'!BF25</f>
        <v>0</v>
      </c>
      <c r="AM601">
        <f>'Expense drivers'!BG25</f>
        <v>0</v>
      </c>
      <c r="AN601">
        <f>'Expense drivers'!BH25</f>
        <v>0</v>
      </c>
      <c r="AO601">
        <f>'Expense drivers'!BI25</f>
        <v>0</v>
      </c>
      <c r="AP601">
        <f>'Expense drivers'!BJ25</f>
        <v>0</v>
      </c>
      <c r="AQ601">
        <f>'Expense drivers'!BK25</f>
        <v>0</v>
      </c>
      <c r="AR601">
        <f>'Expense drivers'!BL25</f>
        <v>0</v>
      </c>
      <c r="AS601">
        <f>'Expense drivers'!BM25</f>
        <v>0</v>
      </c>
      <c r="AT601">
        <f>'Expense drivers'!BN25</f>
        <v>0</v>
      </c>
      <c r="AU601">
        <f>'Expense drivers'!BO25</f>
        <v>0</v>
      </c>
      <c r="AV601">
        <f>'Expense drivers'!BP25</f>
        <v>0</v>
      </c>
      <c r="AW601">
        <f>'Expense drivers'!BQ25</f>
        <v>0</v>
      </c>
      <c r="AX601">
        <f>'Expense drivers'!BR25</f>
        <v>0</v>
      </c>
      <c r="AY601">
        <f>'Expense drivers'!BS25</f>
        <v>0</v>
      </c>
      <c r="AZ601">
        <f>'Expense drivers'!BT25</f>
        <v>0</v>
      </c>
    </row>
    <row r="602" spans="9:52" ht="11.25" customHeight="1">
      <c r="I602" t="str">
        <f>'Expense drivers'!I26</f>
        <v>Operating expense drivers</v>
      </c>
      <c r="M602">
        <f>'Expense drivers'!M26</f>
        <v>0</v>
      </c>
      <c r="N602">
        <f>'Expense drivers'!N26</f>
        <v>0</v>
      </c>
      <c r="O602">
        <f>'Expense drivers'!O26</f>
        <v>0</v>
      </c>
      <c r="P602">
        <f>'Expense drivers'!P26</f>
        <v>0</v>
      </c>
      <c r="Q602">
        <f>'Expense drivers'!Q26</f>
        <v>0</v>
      </c>
      <c r="R602">
        <f>'Expense drivers'!R26</f>
        <v>0</v>
      </c>
      <c r="S602">
        <f>'Expense drivers'!S26</f>
        <v>0</v>
      </c>
      <c r="T602">
        <f>'Expense drivers'!T26</f>
        <v>0</v>
      </c>
      <c r="U602">
        <f>'Expense drivers'!U26</f>
        <v>0</v>
      </c>
      <c r="V602">
        <f>'Expense drivers'!V26</f>
        <v>0</v>
      </c>
      <c r="W602">
        <f>'Expense drivers'!W26</f>
        <v>0</v>
      </c>
      <c r="X602">
        <f>'Expense drivers'!X26</f>
        <v>0</v>
      </c>
      <c r="Y602">
        <f>'Expense drivers'!Y26</f>
        <v>0</v>
      </c>
      <c r="Z602">
        <f>'Expense drivers'!Z26</f>
        <v>0</v>
      </c>
      <c r="AA602">
        <f>'Expense drivers'!AA26</f>
        <v>0</v>
      </c>
      <c r="AB602">
        <f>'Expense drivers'!AB26</f>
        <v>0</v>
      </c>
      <c r="AC602">
        <f>'Expense drivers'!AC26</f>
        <v>0</v>
      </c>
      <c r="AD602">
        <f>'Expense drivers'!AD26</f>
        <v>0</v>
      </c>
      <c r="AE602">
        <f>'Expense drivers'!AE26</f>
        <v>0</v>
      </c>
      <c r="AF602">
        <f>'Expense drivers'!AF26</f>
        <v>0</v>
      </c>
      <c r="AG602">
        <f>'Expense drivers'!AG26</f>
        <v>0</v>
      </c>
      <c r="AH602">
        <f>'Expense drivers'!AH26</f>
        <v>0</v>
      </c>
      <c r="AI602">
        <f>'Expense drivers'!AI26</f>
        <v>0</v>
      </c>
      <c r="AJ602">
        <f>'Expense drivers'!AJ26</f>
        <v>0</v>
      </c>
      <c r="AL602">
        <f>'Expense drivers'!BF26</f>
        <v>0</v>
      </c>
      <c r="AM602">
        <f>'Expense drivers'!BG26</f>
        <v>0</v>
      </c>
      <c r="AN602">
        <f>'Expense drivers'!BH26</f>
        <v>0</v>
      </c>
      <c r="AO602">
        <f>'Expense drivers'!BI26</f>
        <v>0</v>
      </c>
      <c r="AP602">
        <f>'Expense drivers'!BJ26</f>
        <v>0</v>
      </c>
      <c r="AQ602">
        <f>'Expense drivers'!BK26</f>
        <v>0</v>
      </c>
      <c r="AR602">
        <f>'Expense drivers'!BL26</f>
        <v>0</v>
      </c>
      <c r="AS602">
        <f>'Expense drivers'!BM26</f>
        <v>0</v>
      </c>
      <c r="AT602">
        <f>'Expense drivers'!BN26</f>
        <v>0</v>
      </c>
      <c r="AU602">
        <f>'Expense drivers'!BO26</f>
        <v>0</v>
      </c>
      <c r="AV602">
        <f>'Expense drivers'!BP26</f>
        <v>0</v>
      </c>
      <c r="AW602">
        <f>'Expense drivers'!BQ26</f>
        <v>0</v>
      </c>
      <c r="AX602">
        <f>'Expense drivers'!BR26</f>
        <v>0</v>
      </c>
      <c r="AY602">
        <f>'Expense drivers'!BS26</f>
        <v>0</v>
      </c>
      <c r="AZ602">
        <f>'Expense drivers'!BT26</f>
        <v>0</v>
      </c>
    </row>
    <row r="603" spans="9:52" ht="11.25" customHeight="1">
      <c r="I603">
        <f>'Expense drivers'!I27</f>
        <v>0</v>
      </c>
      <c r="M603">
        <f>'Expense drivers'!M27</f>
        <v>0</v>
      </c>
      <c r="N603">
        <f>'Expense drivers'!N27</f>
        <v>0</v>
      </c>
      <c r="O603">
        <f>'Expense drivers'!O27</f>
        <v>0</v>
      </c>
      <c r="P603">
        <f>'Expense drivers'!P27</f>
        <v>0</v>
      </c>
      <c r="Q603">
        <f>'Expense drivers'!Q27</f>
        <v>0</v>
      </c>
      <c r="R603">
        <f>'Expense drivers'!R27</f>
        <v>0</v>
      </c>
      <c r="S603">
        <f>'Expense drivers'!S27</f>
        <v>0</v>
      </c>
      <c r="T603">
        <f>'Expense drivers'!T27</f>
        <v>0</v>
      </c>
      <c r="U603">
        <f>'Expense drivers'!U27</f>
        <v>0</v>
      </c>
      <c r="V603">
        <f>'Expense drivers'!V27</f>
        <v>0</v>
      </c>
      <c r="W603">
        <f>'Expense drivers'!W27</f>
        <v>0</v>
      </c>
      <c r="X603">
        <f>'Expense drivers'!X27</f>
        <v>0</v>
      </c>
      <c r="Y603">
        <f>'Expense drivers'!Y27</f>
        <v>0</v>
      </c>
      <c r="Z603">
        <f>'Expense drivers'!Z27</f>
        <v>0</v>
      </c>
      <c r="AA603">
        <f>'Expense drivers'!AA27</f>
        <v>0</v>
      </c>
      <c r="AB603">
        <f>'Expense drivers'!AB27</f>
        <v>0</v>
      </c>
      <c r="AC603">
        <f>'Expense drivers'!AC27</f>
        <v>0</v>
      </c>
      <c r="AD603">
        <f>'Expense drivers'!AD27</f>
        <v>0</v>
      </c>
      <c r="AE603">
        <f>'Expense drivers'!AE27</f>
        <v>0</v>
      </c>
      <c r="AF603">
        <f>'Expense drivers'!AF27</f>
        <v>0</v>
      </c>
      <c r="AG603">
        <f>'Expense drivers'!AG27</f>
        <v>0</v>
      </c>
      <c r="AH603">
        <f>'Expense drivers'!AH27</f>
        <v>0</v>
      </c>
      <c r="AI603">
        <f>'Expense drivers'!AI27</f>
        <v>0</v>
      </c>
      <c r="AJ603">
        <f>'Expense drivers'!AJ27</f>
        <v>0</v>
      </c>
      <c r="AL603">
        <f>'Expense drivers'!BF27</f>
        <v>0</v>
      </c>
      <c r="AM603">
        <f>'Expense drivers'!BG27</f>
        <v>0</v>
      </c>
      <c r="AN603">
        <f>'Expense drivers'!BH27</f>
        <v>0</v>
      </c>
      <c r="AO603">
        <f>'Expense drivers'!BI27</f>
        <v>0</v>
      </c>
      <c r="AP603">
        <f>'Expense drivers'!BJ27</f>
        <v>0</v>
      </c>
      <c r="AQ603">
        <f>'Expense drivers'!BK27</f>
        <v>0</v>
      </c>
      <c r="AR603">
        <f>'Expense drivers'!BL27</f>
        <v>0</v>
      </c>
      <c r="AS603">
        <f>'Expense drivers'!BM27</f>
        <v>0</v>
      </c>
      <c r="AT603">
        <f>'Expense drivers'!BN27</f>
        <v>0</v>
      </c>
      <c r="AU603">
        <f>'Expense drivers'!BO27</f>
        <v>0</v>
      </c>
      <c r="AV603">
        <f>'Expense drivers'!BP27</f>
        <v>0</v>
      </c>
      <c r="AW603">
        <f>'Expense drivers'!BQ27</f>
        <v>0</v>
      </c>
      <c r="AX603">
        <f>'Expense drivers'!BR27</f>
        <v>0</v>
      </c>
      <c r="AY603">
        <f>'Expense drivers'!BS27</f>
        <v>0</v>
      </c>
      <c r="AZ603">
        <f>'Expense drivers'!BT27</f>
        <v>0</v>
      </c>
    </row>
    <row r="604" spans="9:52" ht="11.25" customHeight="1">
      <c r="I604" t="str">
        <f>'Expense drivers'!I28</f>
        <v>Cost of revenue (ex-SBC)</v>
      </c>
      <c r="M604">
        <f>'Expense drivers'!M28</f>
        <v>0.56699999999999995</v>
      </c>
      <c r="N604">
        <f>'Expense drivers'!N28</f>
        <v>0.71299999999999997</v>
      </c>
      <c r="O604">
        <f>'Expense drivers'!O28</f>
        <v>0.87</v>
      </c>
      <c r="P604">
        <f>'Expense drivers'!P28</f>
        <v>0.96099999999999997</v>
      </c>
      <c r="Q604">
        <f>'Expense drivers'!Q28</f>
        <v>1.2670000000000001</v>
      </c>
      <c r="R604">
        <f>'Expense drivers'!R28</f>
        <v>1.274</v>
      </c>
      <c r="S604">
        <f>'Expense drivers'!S28</f>
        <v>1.524</v>
      </c>
      <c r="T604">
        <f>'Expense drivers'!T28</f>
        <v>1.8160000000000001</v>
      </c>
      <c r="U604">
        <f>'Expense drivers'!U28</f>
        <v>2.1029999999999998</v>
      </c>
      <c r="V604">
        <f>'Expense drivers'!V28</f>
        <v>2.2629999999999999</v>
      </c>
      <c r="W604">
        <f>'Expense drivers'!W28</f>
        <v>2.4739999999999998</v>
      </c>
      <c r="X604">
        <f>'Expense drivers'!X28</f>
        <v>2.9650000000000003</v>
      </c>
      <c r="Y604">
        <f>'Expense drivers'!Y28</f>
        <v>3.2679999999999998</v>
      </c>
      <c r="Z604">
        <f>'Expense drivers'!Z28</f>
        <v>3.9129999999999998</v>
      </c>
      <c r="AA604">
        <f>'Expense drivers'!AA28</f>
        <v>4.173</v>
      </c>
      <c r="AB604">
        <f>'Expense drivers'!AB28</f>
        <v>4.7860000000000005</v>
      </c>
      <c r="AC604">
        <f>'Expense drivers'!AC28</f>
        <v>4.9269999999999996</v>
      </c>
      <c r="AD604">
        <f>'Expense drivers'!AD28</f>
        <v>5.726</v>
      </c>
      <c r="AE604">
        <f>'Expense drivers'!AE28</f>
        <v>5.9210000000000003</v>
      </c>
      <c r="AF604">
        <f>'Expense drivers'!AF28</f>
        <v>7.0789999999999997</v>
      </c>
      <c r="AG604">
        <f>'Expense drivers'!AG28</f>
        <v>8.5749999999999993</v>
      </c>
      <c r="AH604">
        <f>'Expense drivers'!AH28</f>
        <v>12.835000000000001</v>
      </c>
      <c r="AI604">
        <f>'Expense drivers'!AI28</f>
        <v>13.824</v>
      </c>
      <c r="AJ604">
        <f>'Expense drivers'!AJ28</f>
        <v>14.664</v>
      </c>
      <c r="AL604">
        <f>'Expense drivers'!BF28</f>
        <v>0</v>
      </c>
      <c r="AM604">
        <f>'Expense drivers'!BG28</f>
        <v>0.23200000000000001</v>
      </c>
      <c r="AN604">
        <f>'Expense drivers'!BH28</f>
        <v>0.60799999999999998</v>
      </c>
      <c r="AO604">
        <f>'Expense drivers'!BI28</f>
        <v>1.121</v>
      </c>
      <c r="AP604">
        <f>'Expense drivers'!BJ28</f>
        <v>3.1109999999999998</v>
      </c>
      <c r="AQ604">
        <f>'Expense drivers'!BK28</f>
        <v>5.8810000000000002</v>
      </c>
      <c r="AR604">
        <f>'Expense drivers'!BL28</f>
        <v>9.8049999999999997</v>
      </c>
      <c r="AS604">
        <f>'Expense drivers'!BM28</f>
        <v>16.14</v>
      </c>
      <c r="AT604">
        <f>'Expense drivers'!BN28</f>
        <v>23.652999999999999</v>
      </c>
      <c r="AU604">
        <f>'Expense drivers'!BO28</f>
        <v>49.898000000000003</v>
      </c>
      <c r="AV604">
        <f>'Expense drivers'!BP28</f>
        <v>57.916999999999994</v>
      </c>
      <c r="AW604">
        <f>'Expense drivers'!BQ28</f>
        <v>66.50800000000001</v>
      </c>
      <c r="AX604">
        <f>'Expense drivers'!BR28</f>
        <v>71.642123828768007</v>
      </c>
      <c r="AY604">
        <f>'Expense drivers'!BS28</f>
        <v>81.141267769257837</v>
      </c>
      <c r="AZ604">
        <f>'Expense drivers'!BT28</f>
        <v>89.131574163532534</v>
      </c>
    </row>
    <row r="605" spans="9:52" ht="11.25" customHeight="1">
      <c r="I605" t="str">
        <f>'Expense drivers'!I31</f>
        <v>% change Y/Y</v>
      </c>
      <c r="M605" t="str">
        <f>'Expense drivers'!M31</f>
        <v>NA</v>
      </c>
      <c r="N605" t="str">
        <f>'Expense drivers'!N31</f>
        <v>NA</v>
      </c>
      <c r="O605" t="str">
        <f>'Expense drivers'!O31</f>
        <v>NA</v>
      </c>
      <c r="P605" t="str">
        <f>'Expense drivers'!P31</f>
        <v>NA</v>
      </c>
      <c r="Q605">
        <f>'Expense drivers'!Q31</f>
        <v>1.2345679012345685</v>
      </c>
      <c r="R605">
        <f>'Expense drivers'!R31</f>
        <v>0.78681626928471249</v>
      </c>
      <c r="S605">
        <f>'Expense drivers'!S31</f>
        <v>0.75172413793103443</v>
      </c>
      <c r="T605">
        <f>'Expense drivers'!T31</f>
        <v>0.88969823100936529</v>
      </c>
      <c r="U605">
        <f>'Expense drivers'!U31</f>
        <v>0.65982636148381979</v>
      </c>
      <c r="V605">
        <f>'Expense drivers'!V31</f>
        <v>0.77629513343799039</v>
      </c>
      <c r="W605">
        <f>'Expense drivers'!W31</f>
        <v>0.62335958005249315</v>
      </c>
      <c r="X605">
        <f>'Expense drivers'!X31</f>
        <v>0.6327092511013217</v>
      </c>
      <c r="Y605">
        <f>'Expense drivers'!Y31</f>
        <v>0.55397051830718036</v>
      </c>
      <c r="Z605">
        <f>'Expense drivers'!Z31</f>
        <v>0.72912063632346436</v>
      </c>
      <c r="AA605">
        <f>'Expense drivers'!AA31</f>
        <v>0.68674211802748597</v>
      </c>
      <c r="AB605">
        <f>'Expense drivers'!AB31</f>
        <v>0.61416526138279925</v>
      </c>
      <c r="AC605">
        <f>'Expense drivers'!AC31</f>
        <v>0.50764993880048959</v>
      </c>
      <c r="AD605">
        <f>'Expense drivers'!AD31</f>
        <v>0.46332737030411453</v>
      </c>
      <c r="AE605">
        <f>'Expense drivers'!AE31</f>
        <v>0.41888329738797037</v>
      </c>
      <c r="AF605">
        <f>'Expense drivers'!AF31</f>
        <v>0.4791057250313413</v>
      </c>
      <c r="AG605">
        <f>'Expense drivers'!AG31</f>
        <v>0.74040998579257145</v>
      </c>
      <c r="AH605">
        <f>'Expense drivers'!AH31</f>
        <v>1.2415298637792529</v>
      </c>
      <c r="AI605">
        <f>'Expense drivers'!AI31</f>
        <v>1.3347407532511397</v>
      </c>
      <c r="AJ605">
        <f>'Expense drivers'!AJ31</f>
        <v>1.0714790224607995</v>
      </c>
      <c r="AL605">
        <f>'Expense drivers'!BF31</f>
        <v>0</v>
      </c>
      <c r="AM605" t="str">
        <f>'Expense drivers'!BG31</f>
        <v>NA</v>
      </c>
      <c r="AN605">
        <f>'Expense drivers'!BH31</f>
        <v>1.6206896551724137</v>
      </c>
      <c r="AO605">
        <f>'Expense drivers'!BI31</f>
        <v>0.84375</v>
      </c>
      <c r="AP605">
        <f>'Expense drivers'!BJ31</f>
        <v>1.7752007136485277</v>
      </c>
      <c r="AQ605">
        <f>'Expense drivers'!BK31</f>
        <v>0.8903889424622311</v>
      </c>
      <c r="AR605">
        <f>'Expense drivers'!BL31</f>
        <v>0.66723346369665015</v>
      </c>
      <c r="AS605">
        <f>'Expense drivers'!BM31</f>
        <v>0.6460989291177972</v>
      </c>
      <c r="AT605">
        <f>'Expense drivers'!BN31</f>
        <v>0.46548946716232953</v>
      </c>
      <c r="AU605">
        <f>'Expense drivers'!BO31</f>
        <v>1.1095844078975183</v>
      </c>
      <c r="AV605">
        <f>'Expense drivers'!BP31</f>
        <v>0.16070784400176352</v>
      </c>
      <c r="AW605">
        <f>'Expense drivers'!BQ31</f>
        <v>0.1483329592347673</v>
      </c>
      <c r="AX605">
        <f>'Expense drivers'!BR31</f>
        <v>7.7195582918866856E-2</v>
      </c>
      <c r="AY605">
        <f>'Expense drivers'!BS31</f>
        <v>0.13259160160011096</v>
      </c>
      <c r="AZ605">
        <f>'Expense drivers'!BT31</f>
        <v>9.8474014689994727E-2</v>
      </c>
    </row>
    <row r="606" spans="9:52" ht="11.25" customHeight="1">
      <c r="I606" t="str">
        <f>'Expense drivers'!I32</f>
        <v>% change Q/Q</v>
      </c>
      <c r="M606" t="str">
        <f>'Expense drivers'!M32</f>
        <v>NA</v>
      </c>
      <c r="N606">
        <f>'Expense drivers'!N32</f>
        <v>0.25749559082892426</v>
      </c>
      <c r="O606">
        <f>'Expense drivers'!O32</f>
        <v>0.22019635343618527</v>
      </c>
      <c r="P606">
        <f>'Expense drivers'!P32</f>
        <v>0.10459770114942524</v>
      </c>
      <c r="Q606">
        <f>'Expense drivers'!Q32</f>
        <v>0.31841831425598355</v>
      </c>
      <c r="R606">
        <f>'Expense drivers'!R32</f>
        <v>5.5248618784529135E-3</v>
      </c>
      <c r="S606">
        <f>'Expense drivers'!S32</f>
        <v>0.19623233908948201</v>
      </c>
      <c r="T606">
        <f>'Expense drivers'!T32</f>
        <v>0.19160104986876636</v>
      </c>
      <c r="U606">
        <f>'Expense drivers'!U32</f>
        <v>0.15803964757709243</v>
      </c>
      <c r="V606">
        <f>'Expense drivers'!V32</f>
        <v>7.6081787922016142E-2</v>
      </c>
      <c r="W606">
        <f>'Expense drivers'!W32</f>
        <v>9.3239063190455163E-2</v>
      </c>
      <c r="X606">
        <f>'Expense drivers'!X32</f>
        <v>0.19846402586903822</v>
      </c>
      <c r="Y606">
        <f>'Expense drivers'!Y32</f>
        <v>0.10219224283305217</v>
      </c>
      <c r="Z606">
        <f>'Expense drivers'!Z32</f>
        <v>0.19736842105263164</v>
      </c>
      <c r="AA606">
        <f>'Expense drivers'!AA32</f>
        <v>6.6445182724252483E-2</v>
      </c>
      <c r="AB606">
        <f>'Expense drivers'!AB32</f>
        <v>0.14689671699017515</v>
      </c>
      <c r="AC606">
        <f>'Expense drivers'!AC32</f>
        <v>2.9460927705808437E-2</v>
      </c>
      <c r="AD606">
        <f>'Expense drivers'!AD32</f>
        <v>0.16216764765577429</v>
      </c>
      <c r="AE606">
        <f>'Expense drivers'!AE32</f>
        <v>3.4055186866922771E-2</v>
      </c>
      <c r="AF606">
        <f>'Expense drivers'!AF32</f>
        <v>0.19557507177841571</v>
      </c>
      <c r="AG606">
        <f>'Expense drivers'!AG32</f>
        <v>0.21132928379714633</v>
      </c>
      <c r="AH606">
        <f>'Expense drivers'!AH32</f>
        <v>0.49679300291545214</v>
      </c>
      <c r="AI606">
        <f>'Expense drivers'!AI32</f>
        <v>7.7054927931437422E-2</v>
      </c>
      <c r="AJ606">
        <f>'Expense drivers'!AJ32</f>
        <v>6.076388888888884E-2</v>
      </c>
      <c r="AL606">
        <f>'Expense drivers'!BF32</f>
        <v>0</v>
      </c>
      <c r="AM606">
        <f>'Expense drivers'!BG32</f>
        <v>0</v>
      </c>
      <c r="AN606">
        <f>'Expense drivers'!BH32</f>
        <v>0</v>
      </c>
      <c r="AO606">
        <f>'Expense drivers'!BI32</f>
        <v>0</v>
      </c>
      <c r="AP606">
        <f>'Expense drivers'!BJ32</f>
        <v>0</v>
      </c>
      <c r="AQ606">
        <f>'Expense drivers'!BK32</f>
        <v>0</v>
      </c>
      <c r="AR606">
        <f>'Expense drivers'!BL32</f>
        <v>0</v>
      </c>
      <c r="AS606">
        <f>'Expense drivers'!BM32</f>
        <v>0</v>
      </c>
      <c r="AT606">
        <f>'Expense drivers'!BN32</f>
        <v>0</v>
      </c>
      <c r="AU606">
        <f>'Expense drivers'!BO32</f>
        <v>0</v>
      </c>
      <c r="AV606">
        <f>'Expense drivers'!BP32</f>
        <v>0</v>
      </c>
      <c r="AW606">
        <f>'Expense drivers'!BQ32</f>
        <v>0</v>
      </c>
      <c r="AX606">
        <f>'Expense drivers'!BR32</f>
        <v>0</v>
      </c>
      <c r="AY606">
        <f>'Expense drivers'!BS32</f>
        <v>0</v>
      </c>
      <c r="AZ606">
        <f>'Expense drivers'!BT32</f>
        <v>0</v>
      </c>
    </row>
    <row r="607" spans="9:52" ht="11.25" customHeight="1">
      <c r="I607" t="str">
        <f>'Expense drivers'!I33</f>
        <v>Y/Y Abs Growth</v>
      </c>
      <c r="M607">
        <f>'Expense drivers'!M33</f>
        <v>0</v>
      </c>
      <c r="N607">
        <f>'Expense drivers'!N33</f>
        <v>0</v>
      </c>
      <c r="O607">
        <f>'Expense drivers'!O33</f>
        <v>0</v>
      </c>
      <c r="P607">
        <f>'Expense drivers'!P33</f>
        <v>0</v>
      </c>
      <c r="Q607">
        <f>'Expense drivers'!Q33</f>
        <v>0.70000000000000018</v>
      </c>
      <c r="R607">
        <f>'Expense drivers'!R33</f>
        <v>0.56100000000000005</v>
      </c>
      <c r="S607">
        <f>'Expense drivers'!S33</f>
        <v>0.65400000000000003</v>
      </c>
      <c r="T607">
        <f>'Expense drivers'!T33</f>
        <v>0.85500000000000009</v>
      </c>
      <c r="U607">
        <f>'Expense drivers'!U33</f>
        <v>0.83599999999999963</v>
      </c>
      <c r="V607">
        <f>'Expense drivers'!V33</f>
        <v>0.98899999999999988</v>
      </c>
      <c r="W607">
        <f>'Expense drivers'!W33</f>
        <v>0.94999999999999973</v>
      </c>
      <c r="X607">
        <f>'Expense drivers'!X33</f>
        <v>1.1490000000000002</v>
      </c>
      <c r="Y607">
        <f>'Expense drivers'!Y33</f>
        <v>1.165</v>
      </c>
      <c r="Z607">
        <f>'Expense drivers'!Z33</f>
        <v>1.65</v>
      </c>
      <c r="AA607">
        <f>'Expense drivers'!AA33</f>
        <v>1.6990000000000003</v>
      </c>
      <c r="AB607">
        <f>'Expense drivers'!AB33</f>
        <v>1.8210000000000002</v>
      </c>
      <c r="AC607">
        <f>'Expense drivers'!AC33</f>
        <v>1.6589999999999998</v>
      </c>
      <c r="AD607">
        <f>'Expense drivers'!AD33</f>
        <v>1.8130000000000002</v>
      </c>
      <c r="AE607">
        <f>'Expense drivers'!AE33</f>
        <v>1.7480000000000002</v>
      </c>
      <c r="AF607">
        <f>'Expense drivers'!AF33</f>
        <v>2.2929999999999993</v>
      </c>
      <c r="AG607">
        <f>'Expense drivers'!AG33</f>
        <v>3.6479999999999997</v>
      </c>
      <c r="AH607">
        <f>'Expense drivers'!AH33</f>
        <v>7.1090000000000009</v>
      </c>
      <c r="AI607">
        <f>'Expense drivers'!AI33</f>
        <v>7.9029999999999996</v>
      </c>
      <c r="AJ607">
        <f>'Expense drivers'!AJ33</f>
        <v>7.585</v>
      </c>
      <c r="AL607">
        <f>'Expense drivers'!BF33</f>
        <v>0</v>
      </c>
      <c r="AM607">
        <f>'Expense drivers'!BG33</f>
        <v>0</v>
      </c>
      <c r="AN607">
        <f>'Expense drivers'!BH33</f>
        <v>0.376</v>
      </c>
      <c r="AO607">
        <f>'Expense drivers'!BI33</f>
        <v>0.51300000000000001</v>
      </c>
      <c r="AP607">
        <f>'Expense drivers'!BJ33</f>
        <v>1.9899999999999998</v>
      </c>
      <c r="AQ607">
        <f>'Expense drivers'!BK33</f>
        <v>2.7700000000000005</v>
      </c>
      <c r="AR607">
        <f>'Expense drivers'!BL33</f>
        <v>3.9239999999999995</v>
      </c>
      <c r="AS607">
        <f>'Expense drivers'!BM33</f>
        <v>6.3350000000000009</v>
      </c>
      <c r="AT607">
        <f>'Expense drivers'!BN33</f>
        <v>7.5129999999999981</v>
      </c>
      <c r="AU607">
        <f>'Expense drivers'!BO33</f>
        <v>26.245000000000005</v>
      </c>
      <c r="AV607">
        <f>'Expense drivers'!BP33</f>
        <v>8.0189999999999912</v>
      </c>
      <c r="AW607">
        <f>'Expense drivers'!BQ33</f>
        <v>8.5910000000000153</v>
      </c>
      <c r="AX607">
        <f>'Expense drivers'!BR33</f>
        <v>5.1341238287679971</v>
      </c>
      <c r="AY607">
        <f>'Expense drivers'!BS33</f>
        <v>9.4991439404898301</v>
      </c>
      <c r="AZ607">
        <f>'Expense drivers'!BT33</f>
        <v>7.9903063942746968</v>
      </c>
    </row>
    <row r="608" spans="9:52" ht="11.25" customHeight="1">
      <c r="I608" t="str">
        <f>'Expense drivers'!I34</f>
        <v>Q/Q Abs Growth</v>
      </c>
      <c r="M608">
        <f>'Expense drivers'!M34</f>
        <v>0</v>
      </c>
      <c r="N608">
        <f>'Expense drivers'!N34</f>
        <v>0.14600000000000002</v>
      </c>
      <c r="O608">
        <f>'Expense drivers'!O34</f>
        <v>0.15700000000000003</v>
      </c>
      <c r="P608">
        <f>'Expense drivers'!P34</f>
        <v>9.099999999999997E-2</v>
      </c>
      <c r="Q608">
        <f>'Expense drivers'!Q34</f>
        <v>0.30600000000000016</v>
      </c>
      <c r="R608">
        <f>'Expense drivers'!R34</f>
        <v>6.9999999999998952E-3</v>
      </c>
      <c r="S608">
        <f>'Expense drivers'!S34</f>
        <v>0.25</v>
      </c>
      <c r="T608">
        <f>'Expense drivers'!T34</f>
        <v>0.29200000000000004</v>
      </c>
      <c r="U608">
        <f>'Expense drivers'!U34</f>
        <v>0.2869999999999997</v>
      </c>
      <c r="V608">
        <f>'Expense drivers'!V34</f>
        <v>0.16000000000000014</v>
      </c>
      <c r="W608">
        <f>'Expense drivers'!W34</f>
        <v>0.21099999999999985</v>
      </c>
      <c r="X608">
        <f>'Expense drivers'!X34</f>
        <v>0.49100000000000055</v>
      </c>
      <c r="Y608">
        <f>'Expense drivers'!Y34</f>
        <v>0.30299999999999949</v>
      </c>
      <c r="Z608">
        <f>'Expense drivers'!Z34</f>
        <v>0.64500000000000002</v>
      </c>
      <c r="AA608">
        <f>'Expense drivers'!AA34</f>
        <v>0.26000000000000023</v>
      </c>
      <c r="AB608">
        <f>'Expense drivers'!AB34</f>
        <v>0.61300000000000043</v>
      </c>
      <c r="AC608">
        <f>'Expense drivers'!AC34</f>
        <v>0.14099999999999913</v>
      </c>
      <c r="AD608">
        <f>'Expense drivers'!AD34</f>
        <v>0.79900000000000038</v>
      </c>
      <c r="AE608">
        <f>'Expense drivers'!AE34</f>
        <v>0.19500000000000028</v>
      </c>
      <c r="AF608">
        <f>'Expense drivers'!AF34</f>
        <v>1.1579999999999995</v>
      </c>
      <c r="AG608">
        <f>'Expense drivers'!AG34</f>
        <v>1.4959999999999996</v>
      </c>
      <c r="AH608">
        <f>'Expense drivers'!AH34</f>
        <v>4.2600000000000016</v>
      </c>
      <c r="AI608">
        <f>'Expense drivers'!AI34</f>
        <v>0.98899999999999899</v>
      </c>
      <c r="AJ608">
        <f>'Expense drivers'!AJ34</f>
        <v>0.83999999999999986</v>
      </c>
      <c r="AL608">
        <f>'Expense drivers'!BF34</f>
        <v>0</v>
      </c>
      <c r="AM608">
        <f>'Expense drivers'!BG34</f>
        <v>0</v>
      </c>
      <c r="AN608">
        <f>'Expense drivers'!BH34</f>
        <v>0</v>
      </c>
      <c r="AO608">
        <f>'Expense drivers'!BI34</f>
        <v>0</v>
      </c>
      <c r="AP608">
        <f>'Expense drivers'!BJ34</f>
        <v>0</v>
      </c>
      <c r="AQ608">
        <f>'Expense drivers'!BK34</f>
        <v>0</v>
      </c>
      <c r="AR608">
        <f>'Expense drivers'!BL34</f>
        <v>0</v>
      </c>
      <c r="AS608">
        <f>'Expense drivers'!BM34</f>
        <v>0</v>
      </c>
      <c r="AT608">
        <f>'Expense drivers'!BN34</f>
        <v>0</v>
      </c>
      <c r="AU608">
        <f>'Expense drivers'!BO34</f>
        <v>0</v>
      </c>
      <c r="AV608">
        <f>'Expense drivers'!BP34</f>
        <v>0</v>
      </c>
      <c r="AW608">
        <f>'Expense drivers'!BQ34</f>
        <v>0</v>
      </c>
      <c r="AX608">
        <f>'Expense drivers'!BR34</f>
        <v>0</v>
      </c>
      <c r="AY608">
        <f>'Expense drivers'!BS34</f>
        <v>0</v>
      </c>
      <c r="AZ608">
        <f>'Expense drivers'!BT34</f>
        <v>0</v>
      </c>
    </row>
    <row r="609" spans="9:52" ht="11.25" customHeight="1">
      <c r="I609">
        <f>'Expense drivers'!I35</f>
        <v>0</v>
      </c>
      <c r="M609">
        <f>'Expense drivers'!M35</f>
        <v>0</v>
      </c>
      <c r="N609">
        <f>'Expense drivers'!N35</f>
        <v>0</v>
      </c>
      <c r="O609">
        <f>'Expense drivers'!O35</f>
        <v>0</v>
      </c>
      <c r="P609">
        <f>'Expense drivers'!P35</f>
        <v>0</v>
      </c>
      <c r="Q609">
        <f>'Expense drivers'!Q35</f>
        <v>0</v>
      </c>
      <c r="R609">
        <f>'Expense drivers'!R35</f>
        <v>0</v>
      </c>
      <c r="S609">
        <f>'Expense drivers'!S35</f>
        <v>0</v>
      </c>
      <c r="T609">
        <f>'Expense drivers'!T35</f>
        <v>0</v>
      </c>
      <c r="U609">
        <f>'Expense drivers'!U35</f>
        <v>0</v>
      </c>
      <c r="V609">
        <f>'Expense drivers'!V35</f>
        <v>0</v>
      </c>
      <c r="W609">
        <f>'Expense drivers'!W35</f>
        <v>0</v>
      </c>
      <c r="X609">
        <f>'Expense drivers'!X35</f>
        <v>0</v>
      </c>
      <c r="Y609">
        <f>'Expense drivers'!Y35</f>
        <v>0</v>
      </c>
      <c r="Z609">
        <f>'Expense drivers'!Z35</f>
        <v>0</v>
      </c>
      <c r="AA609">
        <f>'Expense drivers'!AA35</f>
        <v>0</v>
      </c>
      <c r="AB609">
        <f>'Expense drivers'!AB35</f>
        <v>0</v>
      </c>
      <c r="AC609">
        <f>'Expense drivers'!AC35</f>
        <v>0</v>
      </c>
      <c r="AD609">
        <f>'Expense drivers'!AD35</f>
        <v>0</v>
      </c>
      <c r="AE609">
        <f>'Expense drivers'!AE35</f>
        <v>0</v>
      </c>
      <c r="AF609">
        <f>'Expense drivers'!AF35</f>
        <v>0</v>
      </c>
      <c r="AG609">
        <f>'Expense drivers'!AG35</f>
        <v>0</v>
      </c>
      <c r="AH609">
        <f>'Expense drivers'!AH35</f>
        <v>0</v>
      </c>
      <c r="AI609">
        <f>'Expense drivers'!AI35</f>
        <v>0</v>
      </c>
      <c r="AJ609">
        <f>'Expense drivers'!AJ35</f>
        <v>0</v>
      </c>
      <c r="AL609">
        <f>'Expense drivers'!BF35</f>
        <v>0</v>
      </c>
      <c r="AM609">
        <f>'Expense drivers'!BG35</f>
        <v>0</v>
      </c>
      <c r="AN609">
        <f>'Expense drivers'!BH35</f>
        <v>0</v>
      </c>
      <c r="AO609">
        <f>'Expense drivers'!BI35</f>
        <v>0</v>
      </c>
      <c r="AP609">
        <f>'Expense drivers'!BJ35</f>
        <v>0</v>
      </c>
      <c r="AQ609">
        <f>'Expense drivers'!BK35</f>
        <v>0</v>
      </c>
      <c r="AR609">
        <f>'Expense drivers'!BL35</f>
        <v>0</v>
      </c>
      <c r="AS609">
        <f>'Expense drivers'!BM35</f>
        <v>0</v>
      </c>
      <c r="AT609">
        <f>'Expense drivers'!BN35</f>
        <v>0</v>
      </c>
      <c r="AU609">
        <f>'Expense drivers'!BO35</f>
        <v>0</v>
      </c>
      <c r="AV609">
        <f>'Expense drivers'!BP35</f>
        <v>0</v>
      </c>
      <c r="AW609">
        <f>'Expense drivers'!BQ35</f>
        <v>0</v>
      </c>
      <c r="AX609">
        <f>'Expense drivers'!BR35</f>
        <v>0</v>
      </c>
      <c r="AY609">
        <f>'Expense drivers'!BS35</f>
        <v>0</v>
      </c>
      <c r="AZ609">
        <f>'Expense drivers'!BT35</f>
        <v>0</v>
      </c>
    </row>
    <row r="610" spans="9:52" ht="11.25" customHeight="1">
      <c r="I610" t="str">
        <f>'Expense drivers'!I36</f>
        <v>Gross margin</v>
      </c>
      <c r="M610">
        <f>'Expense drivers'!M36</f>
        <v>0.93793782837127848</v>
      </c>
      <c r="N610">
        <f>'Expense drivers'!N36</f>
        <v>0.93353220844597751</v>
      </c>
      <c r="O610">
        <f>'Expense drivers'!O36</f>
        <v>0.93091948546927117</v>
      </c>
      <c r="P610">
        <f>'Expense drivers'!P36</f>
        <v>0.93708262406704201</v>
      </c>
      <c r="Q610">
        <f>'Expense drivers'!Q36</f>
        <v>0.92321212121212126</v>
      </c>
      <c r="R610">
        <f>'Expense drivers'!R36</f>
        <v>0.93492695883134125</v>
      </c>
      <c r="S610">
        <f>'Expense drivers'!S36</f>
        <v>0.93166532149582992</v>
      </c>
      <c r="T610">
        <f>'Expense drivers'!T36</f>
        <v>0.92708291507729379</v>
      </c>
      <c r="U610">
        <f>'Expense drivers'!U36</f>
        <v>0.92320613474529845</v>
      </c>
      <c r="V610">
        <f>'Expense drivers'!V36</f>
        <v>0.93069549505405325</v>
      </c>
      <c r="W610">
        <f>'Expense drivers'!W36</f>
        <v>0.93197877429820475</v>
      </c>
      <c r="X610">
        <f>'Expense drivers'!X36</f>
        <v>0.92795879194304731</v>
      </c>
      <c r="Y610">
        <f>'Expense drivers'!Y36</f>
        <v>0.92916133787093835</v>
      </c>
      <c r="Z610">
        <f>'Expense drivers'!Z36</f>
        <v>0.92888428475364859</v>
      </c>
      <c r="AA610">
        <f>'Expense drivers'!AA36</f>
        <v>0.93179254997466532</v>
      </c>
      <c r="AB610">
        <f>'Expense drivers'!AB36</f>
        <v>0.93225856675772456</v>
      </c>
      <c r="AC610">
        <f>'Expense drivers'!AC36</f>
        <v>0.93551637938932286</v>
      </c>
      <c r="AD610">
        <f>'Expense drivers'!AD36</f>
        <v>0.93550857670604937</v>
      </c>
      <c r="AE610">
        <f>'Expense drivers'!AE36</f>
        <v>0.94220877458396368</v>
      </c>
      <c r="AF610">
        <f>'Expense drivers'!AF36</f>
        <v>0.93557927689353615</v>
      </c>
      <c r="AG610">
        <f>'Expense drivers'!AG36</f>
        <v>0.92330053667262968</v>
      </c>
      <c r="AH610">
        <f>'Expense drivers'!AH36</f>
        <v>0.8978105095541401</v>
      </c>
      <c r="AI610">
        <f>'Expense drivers'!AI36</f>
        <v>0.89729569093610695</v>
      </c>
      <c r="AJ610">
        <f>'Expense drivers'!AJ36</f>
        <v>0.90004089979550106</v>
      </c>
      <c r="AL610">
        <f>'Expense drivers'!BF36</f>
        <v>0</v>
      </c>
      <c r="AM610">
        <f>'Expense drivers'!BG36</f>
        <v>0.93805073431241648</v>
      </c>
      <c r="AN610">
        <f>'Expense drivers'!BH36</f>
        <v>0.94991350193590907</v>
      </c>
      <c r="AO610">
        <f>'Expense drivers'!BI36</f>
        <v>0.95656385616862993</v>
      </c>
      <c r="AP610">
        <f>'Expense drivers'!BJ36</f>
        <v>0.93482223293038069</v>
      </c>
      <c r="AQ610">
        <f>'Expense drivers'!BK36</f>
        <v>0.92938704448580178</v>
      </c>
      <c r="AR610">
        <f>'Expense drivers'!BL36</f>
        <v>0.92872512103281324</v>
      </c>
      <c r="AS610">
        <f>'Expense drivers'!BM36</f>
        <v>0.9307260459766169</v>
      </c>
      <c r="AT610">
        <f>'Expense drivers'!BN36</f>
        <v>0.93734902102051187</v>
      </c>
      <c r="AU610">
        <f>'Expense drivers'!BO36</f>
        <v>0.90380181222286482</v>
      </c>
      <c r="AV610">
        <f>'Expense drivers'!BP36</f>
        <v>0.91877784618318836</v>
      </c>
      <c r="AW610">
        <f>'Expense drivers'!BQ36</f>
        <v>0.92146081838611349</v>
      </c>
      <c r="AX610">
        <f>'Expense drivers'!BR36</f>
        <v>0.92537278767836662</v>
      </c>
      <c r="AY610">
        <f>'Expense drivers'!BS36</f>
        <v>0.9273188214177196</v>
      </c>
      <c r="AZ610">
        <f>'Expense drivers'!BT36</f>
        <v>0.92929432479491303</v>
      </c>
    </row>
    <row r="611" spans="9:52" ht="11.25" customHeight="1">
      <c r="I611" t="str">
        <f>'Expense drivers'!I37</f>
        <v>bps change Y/Y</v>
      </c>
      <c r="M611">
        <f>'Expense drivers'!M37</f>
        <v>0</v>
      </c>
      <c r="N611">
        <f>'Expense drivers'!N37</f>
        <v>0</v>
      </c>
      <c r="O611">
        <f>'Expense drivers'!O37</f>
        <v>0</v>
      </c>
      <c r="P611">
        <f>'Expense drivers'!P37</f>
        <v>0</v>
      </c>
      <c r="Q611">
        <f>'Expense drivers'!Q37</f>
        <v>-147.25707159157218</v>
      </c>
      <c r="R611">
        <f>'Expense drivers'!R37</f>
        <v>13.947503853637411</v>
      </c>
      <c r="S611">
        <f>'Expense drivers'!S37</f>
        <v>7.4583602655875492</v>
      </c>
      <c r="T611">
        <f>'Expense drivers'!T37</f>
        <v>-99.99708989748224</v>
      </c>
      <c r="U611">
        <f>'Expense drivers'!U37</f>
        <v>-5.9864668228160056E-2</v>
      </c>
      <c r="V611">
        <f>'Expense drivers'!V37</f>
        <v>-42.314637772880026</v>
      </c>
      <c r="W611">
        <f>'Expense drivers'!W37</f>
        <v>3.1345280237482509</v>
      </c>
      <c r="X611">
        <f>'Expense drivers'!X37</f>
        <v>8.7587686575352208</v>
      </c>
      <c r="Y611">
        <f>'Expense drivers'!Y37</f>
        <v>59.552031256399076</v>
      </c>
      <c r="Z611">
        <f>'Expense drivers'!Z37</f>
        <v>-18.112103004046531</v>
      </c>
      <c r="AA611">
        <f>'Expense drivers'!AA37</f>
        <v>-1.8622432353943008</v>
      </c>
      <c r="AB611">
        <f>'Expense drivers'!AB37</f>
        <v>42.997748146772487</v>
      </c>
      <c r="AC611">
        <f>'Expense drivers'!AC37</f>
        <v>63.550415183845075</v>
      </c>
      <c r="AD611">
        <f>'Expense drivers'!AD37</f>
        <v>66.242919524007732</v>
      </c>
      <c r="AE611">
        <f>'Expense drivers'!AE37</f>
        <v>104.16224609298364</v>
      </c>
      <c r="AF611">
        <f>'Expense drivers'!AF37</f>
        <v>33.207101358115885</v>
      </c>
      <c r="AG611">
        <f>'Expense drivers'!AG37</f>
        <v>-122.15842716693182</v>
      </c>
      <c r="AH611">
        <f>'Expense drivers'!AH37</f>
        <v>-376.98067151909265</v>
      </c>
      <c r="AI611">
        <f>'Expense drivers'!AI37</f>
        <v>-449.13083647856735</v>
      </c>
      <c r="AJ611">
        <f>'Expense drivers'!AJ37</f>
        <v>-355.3837709803509</v>
      </c>
      <c r="AL611">
        <f>'Expense drivers'!BF37</f>
        <v>0</v>
      </c>
      <c r="AM611">
        <f>'Expense drivers'!BG37</f>
        <v>0</v>
      </c>
      <c r="AN611">
        <f>'Expense drivers'!BH37</f>
        <v>118.62767623492587</v>
      </c>
      <c r="AO611">
        <f>'Expense drivers'!BI37</f>
        <v>66.503542327208677</v>
      </c>
      <c r="AP611">
        <f>'Expense drivers'!BJ37</f>
        <v>-217.41623238249241</v>
      </c>
      <c r="AQ611">
        <f>'Expense drivers'!BK37</f>
        <v>-54.351884445789089</v>
      </c>
      <c r="AR611">
        <f>'Expense drivers'!BL37</f>
        <v>-6.6192345298854427</v>
      </c>
      <c r="AS611">
        <f>'Expense drivers'!BM37</f>
        <v>20.009249438036612</v>
      </c>
      <c r="AT611">
        <f>'Expense drivers'!BN37</f>
        <v>66.229750438949736</v>
      </c>
      <c r="AU611">
        <f>'Expense drivers'!BO37</f>
        <v>-335.47208797647056</v>
      </c>
      <c r="AV611">
        <f>'Expense drivers'!BP37</f>
        <v>149.76033960323542</v>
      </c>
      <c r="AW611">
        <f>'Expense drivers'!BQ37</f>
        <v>26.829722029251268</v>
      </c>
      <c r="AX611">
        <f>'Expense drivers'!BR37</f>
        <v>39.119692922531257</v>
      </c>
      <c r="AY611">
        <f>'Expense drivers'!BS37</f>
        <v>19.460337393529812</v>
      </c>
      <c r="AZ611">
        <f>'Expense drivers'!BT37</f>
        <v>19.755033771934329</v>
      </c>
    </row>
    <row r="612" spans="9:52" ht="11.25" customHeight="1">
      <c r="I612" t="str">
        <f>'Expense drivers'!I38</f>
        <v>bps change Q/Q</v>
      </c>
      <c r="M612">
        <f>'Expense drivers'!M38</f>
        <v>0</v>
      </c>
      <c r="N612">
        <f>'Expense drivers'!N38</f>
        <v>-44.056199253009744</v>
      </c>
      <c r="O612">
        <f>'Expense drivers'!O38</f>
        <v>-26.127229767063387</v>
      </c>
      <c r="P612">
        <f>'Expense drivers'!P38</f>
        <v>61.631385977708455</v>
      </c>
      <c r="Q612">
        <f>'Expense drivers'!Q38</f>
        <v>-138.70502854920753</v>
      </c>
      <c r="R612">
        <f>'Expense drivers'!R38</f>
        <v>117.14837619219986</v>
      </c>
      <c r="S612">
        <f>'Expense drivers'!S38</f>
        <v>-32.616373355113247</v>
      </c>
      <c r="T612">
        <f>'Expense drivers'!T38</f>
        <v>-45.824064185361337</v>
      </c>
      <c r="U612">
        <f>'Expense drivers'!U38</f>
        <v>-38.767803319953444</v>
      </c>
      <c r="V612">
        <f>'Expense drivers'!V38</f>
        <v>74.893603087548001</v>
      </c>
      <c r="W612">
        <f>'Expense drivers'!W38</f>
        <v>12.832792441515029</v>
      </c>
      <c r="X612">
        <f>'Expense drivers'!X38</f>
        <v>-40.199823551574369</v>
      </c>
      <c r="Y612">
        <f>'Expense drivers'!Y38</f>
        <v>12.025459278910411</v>
      </c>
      <c r="Z612">
        <f>'Expense drivers'!Z38</f>
        <v>-2.7705311728976056</v>
      </c>
      <c r="AA612">
        <f>'Expense drivers'!AA38</f>
        <v>29.082652210167261</v>
      </c>
      <c r="AB612">
        <f>'Expense drivers'!AB38</f>
        <v>4.660167830592421</v>
      </c>
      <c r="AC612">
        <f>'Expense drivers'!AC38</f>
        <v>32.578126315982999</v>
      </c>
      <c r="AD612">
        <f>'Expense drivers'!AD38</f>
        <v>-7.8026832734945373E-2</v>
      </c>
      <c r="AE612">
        <f>'Expense drivers'!AE38</f>
        <v>67.001978779143158</v>
      </c>
      <c r="AF612">
        <f>'Expense drivers'!AF38</f>
        <v>-66.29497690427533</v>
      </c>
      <c r="AG612">
        <f>'Expense drivers'!AG38</f>
        <v>-122.78740220906469</v>
      </c>
      <c r="AH612">
        <f>'Expense drivers'!AH38</f>
        <v>-254.90027118489579</v>
      </c>
      <c r="AI612">
        <f>'Expense drivers'!AI38</f>
        <v>-5.1481861803315265</v>
      </c>
      <c r="AJ612">
        <f>'Expense drivers'!AJ38</f>
        <v>27.452088593941106</v>
      </c>
      <c r="AL612">
        <f>'Expense drivers'!BF38</f>
        <v>0</v>
      </c>
      <c r="AM612">
        <f>'Expense drivers'!BG38</f>
        <v>0</v>
      </c>
      <c r="AN612">
        <f>'Expense drivers'!BH38</f>
        <v>0</v>
      </c>
      <c r="AO612">
        <f>'Expense drivers'!BI38</f>
        <v>0</v>
      </c>
      <c r="AP612">
        <f>'Expense drivers'!BJ38</f>
        <v>0</v>
      </c>
      <c r="AQ612">
        <f>'Expense drivers'!BK38</f>
        <v>0</v>
      </c>
      <c r="AR612">
        <f>'Expense drivers'!BL38</f>
        <v>0</v>
      </c>
      <c r="AS612">
        <f>'Expense drivers'!BM38</f>
        <v>0</v>
      </c>
      <c r="AT612">
        <f>'Expense drivers'!BN38</f>
        <v>0</v>
      </c>
      <c r="AU612">
        <f>'Expense drivers'!AH39</f>
        <v>0</v>
      </c>
      <c r="AV612">
        <f>'Expense drivers'!BP38</f>
        <v>0</v>
      </c>
      <c r="AW612">
        <f>'Expense drivers'!BQ38</f>
        <v>0</v>
      </c>
      <c r="AX612">
        <f>'Expense drivers'!BR38</f>
        <v>0</v>
      </c>
      <c r="AY612">
        <f>'Expense drivers'!BS38</f>
        <v>0</v>
      </c>
      <c r="AZ612">
        <f>'Expense drivers'!BT38</f>
        <v>0</v>
      </c>
    </row>
    <row r="613" spans="9:52" ht="11.25" customHeight="1">
      <c r="I613">
        <f>'Expense drivers'!I39</f>
        <v>0</v>
      </c>
      <c r="M613">
        <f>'Expense drivers'!M39</f>
        <v>0</v>
      </c>
      <c r="N613">
        <f>'Expense drivers'!N39</f>
        <v>0</v>
      </c>
      <c r="O613">
        <f>'Expense drivers'!O39</f>
        <v>0</v>
      </c>
      <c r="P613">
        <f>'Expense drivers'!P39</f>
        <v>0</v>
      </c>
      <c r="Q613">
        <f>'Expense drivers'!Q39</f>
        <v>0</v>
      </c>
      <c r="R613">
        <f>'Expense drivers'!R39</f>
        <v>0</v>
      </c>
      <c r="S613">
        <f>'Expense drivers'!S39</f>
        <v>0</v>
      </c>
      <c r="T613">
        <f>'Expense drivers'!T39</f>
        <v>0</v>
      </c>
      <c r="U613">
        <f>'Expense drivers'!U39</f>
        <v>0</v>
      </c>
      <c r="V613">
        <f>'Expense drivers'!V39</f>
        <v>0</v>
      </c>
      <c r="W613">
        <f>'Expense drivers'!W39</f>
        <v>0</v>
      </c>
      <c r="X613">
        <f>'Expense drivers'!X39</f>
        <v>0</v>
      </c>
      <c r="Y613">
        <f>'Expense drivers'!Y39</f>
        <v>0</v>
      </c>
      <c r="Z613">
        <f>'Expense drivers'!Z39</f>
        <v>0</v>
      </c>
      <c r="AA613">
        <f>'Expense drivers'!AA39</f>
        <v>0</v>
      </c>
      <c r="AB613">
        <f>'Expense drivers'!AB39</f>
        <v>0</v>
      </c>
      <c r="AC613">
        <f>'Expense drivers'!AC39</f>
        <v>0</v>
      </c>
      <c r="AD613">
        <f>'Expense drivers'!AD39</f>
        <v>0</v>
      </c>
      <c r="AE613">
        <f>'Expense drivers'!AE39</f>
        <v>0</v>
      </c>
      <c r="AF613">
        <f>'Expense drivers'!AF39</f>
        <v>0</v>
      </c>
      <c r="AG613">
        <f>'Expense drivers'!AG39</f>
        <v>0</v>
      </c>
      <c r="AI613">
        <f>'Expense drivers'!AI39</f>
        <v>0</v>
      </c>
      <c r="AJ613">
        <f>'Expense drivers'!AJ39</f>
        <v>0</v>
      </c>
      <c r="AL613">
        <f>'Expense drivers'!BF39</f>
        <v>0</v>
      </c>
      <c r="AM613">
        <f>'Expense drivers'!BG39</f>
        <v>0</v>
      </c>
      <c r="AN613">
        <f>'Expense drivers'!BH39</f>
        <v>0</v>
      </c>
      <c r="AO613">
        <f>'Expense drivers'!BI39</f>
        <v>0</v>
      </c>
      <c r="AP613">
        <f>'Expense drivers'!BJ39</f>
        <v>0</v>
      </c>
      <c r="AQ613">
        <f>'Expense drivers'!BK39</f>
        <v>0</v>
      </c>
      <c r="AR613">
        <f>'Expense drivers'!BL39</f>
        <v>0</v>
      </c>
      <c r="AS613">
        <f>'Expense drivers'!BM39</f>
        <v>0</v>
      </c>
      <c r="AT613">
        <f>'Expense drivers'!BN39</f>
        <v>0</v>
      </c>
      <c r="AU613">
        <f>'Expense drivers'!BO39</f>
        <v>0</v>
      </c>
      <c r="AV613">
        <f>'Expense drivers'!BP39</f>
        <v>0</v>
      </c>
      <c r="AW613">
        <f>'Expense drivers'!BQ39</f>
        <v>0</v>
      </c>
      <c r="AX613">
        <f>'Expense drivers'!BR39</f>
        <v>0</v>
      </c>
      <c r="AY613">
        <f>'Expense drivers'!BS39</f>
        <v>0</v>
      </c>
      <c r="AZ613">
        <f>'Expense drivers'!BT39</f>
        <v>0</v>
      </c>
    </row>
    <row r="614" spans="9:52" ht="11.25" customHeight="1">
      <c r="I614">
        <f>'Expense drivers'!I40</f>
        <v>0</v>
      </c>
      <c r="M614">
        <f>'Expense drivers'!M40</f>
        <v>0</v>
      </c>
      <c r="N614">
        <f>'Expense drivers'!N40</f>
        <v>0</v>
      </c>
      <c r="O614">
        <f>'Expense drivers'!O40</f>
        <v>0</v>
      </c>
      <c r="P614">
        <f>'Expense drivers'!P40</f>
        <v>0</v>
      </c>
      <c r="Q614">
        <f>'Expense drivers'!Q40</f>
        <v>0</v>
      </c>
      <c r="R614">
        <f>'Expense drivers'!R40</f>
        <v>0</v>
      </c>
      <c r="S614">
        <f>'Expense drivers'!S40</f>
        <v>0</v>
      </c>
      <c r="T614">
        <f>'Expense drivers'!T40</f>
        <v>0</v>
      </c>
      <c r="U614">
        <f>'Expense drivers'!U40</f>
        <v>0</v>
      </c>
      <c r="V614">
        <f>'Expense drivers'!V40</f>
        <v>0</v>
      </c>
      <c r="W614">
        <f>'Expense drivers'!W40</f>
        <v>0</v>
      </c>
      <c r="X614">
        <f>'Expense drivers'!X40</f>
        <v>0</v>
      </c>
      <c r="Y614">
        <f>'Expense drivers'!Y40</f>
        <v>0</v>
      </c>
      <c r="Z614">
        <f>'Expense drivers'!Z40</f>
        <v>0</v>
      </c>
      <c r="AA614">
        <f>'Expense drivers'!AA40</f>
        <v>0</v>
      </c>
      <c r="AB614">
        <f>'Expense drivers'!AB40</f>
        <v>0</v>
      </c>
      <c r="AC614">
        <f>'Expense drivers'!AC40</f>
        <v>0</v>
      </c>
      <c r="AD614">
        <f>'Expense drivers'!AD40</f>
        <v>0</v>
      </c>
      <c r="AE614">
        <f>'Expense drivers'!AE40</f>
        <v>0</v>
      </c>
      <c r="AF614">
        <f>'Expense drivers'!AF40</f>
        <v>0</v>
      </c>
      <c r="AG614">
        <f>'Expense drivers'!AG40</f>
        <v>0</v>
      </c>
      <c r="AH614">
        <f>'Expense drivers'!AH40</f>
        <v>0</v>
      </c>
      <c r="AI614">
        <f>'Expense drivers'!AL40</f>
        <v>0</v>
      </c>
      <c r="AJ614">
        <f>'Expense drivers'!AJ40</f>
        <v>0</v>
      </c>
      <c r="AL614">
        <f>'Expense drivers'!BF40</f>
        <v>0</v>
      </c>
      <c r="AM614">
        <f>'Expense drivers'!BG40</f>
        <v>0</v>
      </c>
      <c r="AN614">
        <f>'Expense drivers'!BH40</f>
        <v>0</v>
      </c>
      <c r="AO614">
        <f>'Expense drivers'!BI40</f>
        <v>0</v>
      </c>
      <c r="AP614">
        <f>'Expense drivers'!BJ40</f>
        <v>0</v>
      </c>
      <c r="AQ614">
        <f>'Expense drivers'!BK40</f>
        <v>0</v>
      </c>
      <c r="AR614">
        <f>'Expense drivers'!BL40</f>
        <v>0</v>
      </c>
      <c r="AS614">
        <f>'Expense drivers'!BM40</f>
        <v>0</v>
      </c>
      <c r="AT614">
        <f>'Expense drivers'!BN40</f>
        <v>0</v>
      </c>
      <c r="AU614">
        <f>'Expense drivers'!BO40</f>
        <v>0</v>
      </c>
      <c r="AV614">
        <f>'Expense drivers'!BP40</f>
        <v>0</v>
      </c>
      <c r="AW614">
        <f>'Expense drivers'!BQ40</f>
        <v>0</v>
      </c>
      <c r="AX614">
        <f>'Expense drivers'!BR40</f>
        <v>0</v>
      </c>
      <c r="AY614">
        <f>'Expense drivers'!BS40</f>
        <v>0</v>
      </c>
      <c r="AZ614">
        <f>'Expense drivers'!BT40</f>
        <v>0</v>
      </c>
    </row>
    <row r="615" spans="9:52" ht="11.25" customHeight="1">
      <c r="I615" t="str">
        <f>'Expense drivers'!I64</f>
        <v>Sales and marketing (ex-SBC)</v>
      </c>
      <c r="M615">
        <f>'Expense drivers'!M64</f>
        <v>6.5660000000000007</v>
      </c>
      <c r="N615">
        <f>'Expense drivers'!N64</f>
        <v>7.7779999999999996</v>
      </c>
      <c r="O615">
        <f>'Expense drivers'!O64</f>
        <v>9.3360000000000003</v>
      </c>
      <c r="P615">
        <f>'Expense drivers'!P64</f>
        <v>9.577</v>
      </c>
      <c r="Q615">
        <f>'Expense drivers'!Q64</f>
        <v>11</v>
      </c>
      <c r="R615">
        <f>'Expense drivers'!R64</f>
        <v>12.065999999999999</v>
      </c>
      <c r="S615">
        <f>'Expense drivers'!S64</f>
        <v>14.338000000000001</v>
      </c>
      <c r="T615">
        <f>'Expense drivers'!T64</f>
        <v>15.528</v>
      </c>
      <c r="U615">
        <f>'Expense drivers'!U64</f>
        <v>17.646000000000001</v>
      </c>
      <c r="V615">
        <f>'Expense drivers'!V64</f>
        <v>19.437999999999999</v>
      </c>
      <c r="W615">
        <f>'Expense drivers'!W64</f>
        <v>20.149999999999999</v>
      </c>
      <c r="X615">
        <f>'Expense drivers'!X64</f>
        <v>23.765000000000001</v>
      </c>
      <c r="Y615">
        <f>'Expense drivers'!Y64</f>
        <v>26.206</v>
      </c>
      <c r="Z615">
        <f>'Expense drivers'!Z64</f>
        <v>28.521000000000001</v>
      </c>
      <c r="AA615">
        <f>'Expense drivers'!AA64</f>
        <v>31.465999999999998</v>
      </c>
      <c r="AB615">
        <f>'Expense drivers'!AB64</f>
        <v>35.646000000000001</v>
      </c>
      <c r="AC615">
        <f>'Expense drivers'!AC64</f>
        <v>41.724000000000004</v>
      </c>
      <c r="AD615">
        <f>'Expense drivers'!AD64</f>
        <v>44.07</v>
      </c>
      <c r="AE615">
        <f>'Expense drivers'!AE64</f>
        <v>50.667999999999999</v>
      </c>
      <c r="AF615">
        <f>'Expense drivers'!AF64</f>
        <v>49.585000000000001</v>
      </c>
      <c r="AG615">
        <f>'Expense drivers'!AG64</f>
        <v>58.329000000000001</v>
      </c>
      <c r="AH615">
        <f>'Expense drivers'!AH64</f>
        <v>62.36</v>
      </c>
      <c r="AI615">
        <f>'Expense drivers'!AI64</f>
        <v>77.381</v>
      </c>
      <c r="AJ615">
        <f>'Expense drivers'!AJ64</f>
        <v>81.731999999999999</v>
      </c>
      <c r="AL615">
        <f>'Expense drivers'!BF64</f>
        <v>0</v>
      </c>
      <c r="AM615">
        <f>'Expense drivers'!BG64</f>
        <v>3.9359999999999999</v>
      </c>
      <c r="AN615">
        <f>'Expense drivers'!BH64</f>
        <v>9.8979999999999997</v>
      </c>
      <c r="AO615">
        <f>'Expense drivers'!BI64</f>
        <v>17.757999999999999</v>
      </c>
      <c r="AP615">
        <f>'Expense drivers'!BJ64</f>
        <v>33.256999999999998</v>
      </c>
      <c r="AQ615">
        <f>'Expense drivers'!BK64</f>
        <v>52.931999999999995</v>
      </c>
      <c r="AR615">
        <f>'Expense drivers'!BL64</f>
        <v>80.998999999999995</v>
      </c>
      <c r="AS615">
        <f>'Expense drivers'!BM64</f>
        <v>121.839</v>
      </c>
      <c r="AT615">
        <f>'Expense drivers'!BN64</f>
        <v>186.04700000000003</v>
      </c>
      <c r="AU615">
        <f>'Expense drivers'!BO64</f>
        <v>279.80200000000002</v>
      </c>
      <c r="AV615">
        <f>'Expense drivers'!BP64</f>
        <v>355.75599999999997</v>
      </c>
      <c r="AW615">
        <f>'Expense drivers'!BQ64</f>
        <v>410.54300000000001</v>
      </c>
      <c r="AX615">
        <f>'Expense drivers'!BR64</f>
        <v>469.61597181254285</v>
      </c>
      <c r="AY615">
        <f>'Expense drivers'!BS64</f>
        <v>540.81566740203561</v>
      </c>
      <c r="AZ615">
        <f>'Expense drivers'!BT64</f>
        <v>604.49602587923562</v>
      </c>
    </row>
    <row r="616" spans="9:52" ht="11.25" customHeight="1">
      <c r="I616" t="str">
        <f>'Expense drivers'!I65</f>
        <v>DRIVER: Base case - % of total revenue</v>
      </c>
      <c r="M616">
        <f>'Expense drivers'!M65</f>
        <v>0.71869527145359036</v>
      </c>
      <c r="N616">
        <f>'Expense drivers'!N65</f>
        <v>0.72508623100587311</v>
      </c>
      <c r="O616">
        <f>'Expense drivers'!O65</f>
        <v>0.74130538351595998</v>
      </c>
      <c r="P616">
        <f>'Expense drivers'!P65</f>
        <v>0.62701322508838542</v>
      </c>
      <c r="Q616">
        <f>'Expense drivers'!Q65</f>
        <v>0.66666666666666663</v>
      </c>
      <c r="R616">
        <f>'Expense drivers'!R65</f>
        <v>0.6163040147103892</v>
      </c>
      <c r="S616">
        <f>'Expense drivers'!S65</f>
        <v>0.64290198188503278</v>
      </c>
      <c r="T616">
        <f>'Expense drivers'!T65</f>
        <v>0.62348925918490261</v>
      </c>
      <c r="U616">
        <f>'Expense drivers'!U65</f>
        <v>0.64436735439109005</v>
      </c>
      <c r="V616">
        <f>'Expense drivers'!V65</f>
        <v>0.5952898661684991</v>
      </c>
      <c r="W616">
        <f>'Expense drivers'!W65</f>
        <v>0.55401281240548783</v>
      </c>
      <c r="X616">
        <f>'Expense drivers'!X65</f>
        <v>0.57742303860825628</v>
      </c>
      <c r="Y616">
        <f>'Expense drivers'!Y65</f>
        <v>0.5680532373788828</v>
      </c>
      <c r="Z616">
        <f>'Expense drivers'!Z65</f>
        <v>0.51834687312578376</v>
      </c>
      <c r="AA616">
        <f>'Expense drivers'!AA65</f>
        <v>0.51430999820205614</v>
      </c>
      <c r="AB616">
        <f>'Expense drivers'!AB65</f>
        <v>0.50453638306605708</v>
      </c>
      <c r="AC616">
        <f>'Expense drivers'!AC65</f>
        <v>0.54607562134359422</v>
      </c>
      <c r="AD616">
        <f>'Expense drivers'!AD65</f>
        <v>0.49635644857918387</v>
      </c>
      <c r="AE616">
        <f>'Expense drivers'!AE65</f>
        <v>0.49453906593138452</v>
      </c>
      <c r="AF616">
        <f>'Expense drivers'!AF65</f>
        <v>0.45123626998644062</v>
      </c>
      <c r="AG616">
        <f>'Expense drivers'!AG65</f>
        <v>0.52172629695885508</v>
      </c>
      <c r="AH616">
        <f>'Expense drivers'!AH65</f>
        <v>0.4964968152866242</v>
      </c>
      <c r="AI616">
        <f>'Expense drivers'!AI65</f>
        <v>0.57489598811292719</v>
      </c>
      <c r="AJ616">
        <f>'Expense drivers'!AJ65</f>
        <v>0.55713701431492846</v>
      </c>
      <c r="AL616">
        <f>'Expense drivers'!BF65</f>
        <v>0</v>
      </c>
      <c r="AM616">
        <f>'Expense drivers'!BG65</f>
        <v>1.0510013351134846</v>
      </c>
      <c r="AN616">
        <f>'Expense drivers'!BH65</f>
        <v>0.8153884174973226</v>
      </c>
      <c r="AO616">
        <f>'Expense drivers'!BI65</f>
        <v>0.6880812151270923</v>
      </c>
      <c r="AP616">
        <f>'Expense drivers'!BJ65</f>
        <v>0.69675891977959814</v>
      </c>
      <c r="AQ616">
        <f>'Expense drivers'!BK65</f>
        <v>0.63555262051990147</v>
      </c>
      <c r="AR616">
        <f>'Expense drivers'!BL65</f>
        <v>0.58880101187793499</v>
      </c>
      <c r="AS616">
        <f>'Expense drivers'!BM65</f>
        <v>0.52294109567874736</v>
      </c>
      <c r="AT616">
        <f>'Expense drivers'!BN65</f>
        <v>0.49279274029496534</v>
      </c>
      <c r="AU616">
        <f>'Expense drivers'!BO65</f>
        <v>0.53942934258723729</v>
      </c>
      <c r="AV616">
        <f>'Expense drivers'!BP65</f>
        <v>0.49890824029652109</v>
      </c>
      <c r="AW616">
        <f>'Expense drivers'!BQ65</f>
        <v>0.48480951520583648</v>
      </c>
      <c r="AX616">
        <f>'Expense drivers'!BR65</f>
        <v>0.48918330397139881</v>
      </c>
      <c r="AY616">
        <f>'Expense drivers'!BS65</f>
        <v>0.4844282223235718</v>
      </c>
      <c r="AZ616">
        <f>'Expense drivers'!BT65</f>
        <v>0.47953040288690757</v>
      </c>
    </row>
    <row r="617" spans="9:52" ht="11.25" customHeight="1">
      <c r="I617" t="str">
        <f>'Expense drivers'!I68</f>
        <v>% change Y/Y</v>
      </c>
      <c r="M617" t="str">
        <f>'Expense drivers'!M68</f>
        <v>NA</v>
      </c>
      <c r="N617" t="str">
        <f>'Expense drivers'!N68</f>
        <v>NA</v>
      </c>
      <c r="O617" t="str">
        <f>'Expense drivers'!O68</f>
        <v>NA</v>
      </c>
      <c r="P617" t="str">
        <f>'Expense drivers'!P68</f>
        <v>NA</v>
      </c>
      <c r="Q617">
        <f>'Expense drivers'!Q68</f>
        <v>0.67529698446542774</v>
      </c>
      <c r="R617">
        <f>'Expense drivers'!R68</f>
        <v>0.55129853432759068</v>
      </c>
      <c r="S617">
        <f>'Expense drivers'!S68</f>
        <v>0.53577549271636671</v>
      </c>
      <c r="T617">
        <f>'Expense drivers'!T68</f>
        <v>0.62138456719223134</v>
      </c>
      <c r="U617">
        <f>'Expense drivers'!U68</f>
        <v>0.60418181818181815</v>
      </c>
      <c r="V617">
        <f>'Expense drivers'!V68</f>
        <v>0.61097298193270344</v>
      </c>
      <c r="W617">
        <f>'Expense drivers'!W68</f>
        <v>0.40535639559213266</v>
      </c>
      <c r="X617">
        <f>'Expense drivers'!X68</f>
        <v>0.53046110252447187</v>
      </c>
      <c r="Y617">
        <f>'Expense drivers'!Y68</f>
        <v>0.48509577241301138</v>
      </c>
      <c r="Z617">
        <f>'Expense drivers'!Z68</f>
        <v>0.46728058442226583</v>
      </c>
      <c r="AA617">
        <f>'Expense drivers'!AA68</f>
        <v>0.56158808933002491</v>
      </c>
      <c r="AB617">
        <f>'Expense drivers'!AB68</f>
        <v>0.49993688196928265</v>
      </c>
      <c r="AC617">
        <f>'Expense drivers'!AC68</f>
        <v>0.59215446844234165</v>
      </c>
      <c r="AD617">
        <f>'Expense drivers'!AD68</f>
        <v>0.54517723782476057</v>
      </c>
      <c r="AE617">
        <f>'Expense drivers'!AE68</f>
        <v>0.61024597978770756</v>
      </c>
      <c r="AF617">
        <f>'Expense drivers'!AF68</f>
        <v>0.3910396678449195</v>
      </c>
      <c r="AG617">
        <f>'Expense drivers'!AG68</f>
        <v>0.39797238999137186</v>
      </c>
      <c r="AH617">
        <f>'Expense drivers'!AH68</f>
        <v>0.41502155661447704</v>
      </c>
      <c r="AI617">
        <f>'Expense drivers'!AI68</f>
        <v>0.52721638904239354</v>
      </c>
      <c r="AJ617">
        <f>'Expense drivers'!AJ68</f>
        <v>0.64832106483815677</v>
      </c>
      <c r="AL617">
        <f>'Expense drivers'!BF68</f>
        <v>0</v>
      </c>
      <c r="AM617" t="str">
        <f>'Expense drivers'!BG68</f>
        <v>NA</v>
      </c>
      <c r="AN617">
        <f>'Expense drivers'!BH68</f>
        <v>1.5147357723577235</v>
      </c>
      <c r="AO617">
        <f>'Expense drivers'!BI68</f>
        <v>0.79409981814507979</v>
      </c>
      <c r="AP617">
        <f>'Expense drivers'!BJ68</f>
        <v>0.87278972857303749</v>
      </c>
      <c r="AQ617">
        <f>'Expense drivers'!BK68</f>
        <v>0.59160477493460029</v>
      </c>
      <c r="AR617">
        <f>'Expense drivers'!BL68</f>
        <v>0.53024635381243868</v>
      </c>
      <c r="AS617">
        <f>'Expense drivers'!BM68</f>
        <v>0.50420375560192099</v>
      </c>
      <c r="AT617">
        <f>'Expense drivers'!BN68</f>
        <v>0.52699053669186413</v>
      </c>
      <c r="AU617">
        <f>'Expense drivers'!BO68</f>
        <v>0.50393180217901912</v>
      </c>
      <c r="AV617">
        <f>'Expense drivers'!BP68</f>
        <v>0.27145624405829816</v>
      </c>
      <c r="AW617">
        <f>'Expense drivers'!BQ68</f>
        <v>0.15400161908723975</v>
      </c>
      <c r="AX617">
        <f>'Expense drivers'!BR68</f>
        <v>0.14388985273782007</v>
      </c>
      <c r="AY617">
        <f>'Expense drivers'!BS68</f>
        <v>0.15161259382786407</v>
      </c>
      <c r="AZ617">
        <f>'Expense drivers'!BT68</f>
        <v>0.11774873088109117</v>
      </c>
    </row>
    <row r="618" spans="9:52" ht="11.25" customHeight="1">
      <c r="I618" t="str">
        <f>'Expense drivers'!I69</f>
        <v>% change Q/Q</v>
      </c>
      <c r="M618" t="str">
        <f>'Expense drivers'!M69</f>
        <v>NA</v>
      </c>
      <c r="N618">
        <f>'Expense drivers'!N69</f>
        <v>0.18458726774291789</v>
      </c>
      <c r="O618">
        <f>'Expense drivers'!O69</f>
        <v>0.20030856261249697</v>
      </c>
      <c r="P618">
        <f>'Expense drivers'!P69</f>
        <v>2.5814053127677816E-2</v>
      </c>
      <c r="Q618">
        <f>'Expense drivers'!Q69</f>
        <v>0.14858515192649047</v>
      </c>
      <c r="R618">
        <f>'Expense drivers'!R69</f>
        <v>9.6909090909090834E-2</v>
      </c>
      <c r="S618">
        <f>'Expense drivers'!S69</f>
        <v>0.18829769600530444</v>
      </c>
      <c r="T618">
        <f>'Expense drivers'!T69</f>
        <v>8.2996233784349283E-2</v>
      </c>
      <c r="U618">
        <f>'Expense drivers'!U69</f>
        <v>0.13639876352395675</v>
      </c>
      <c r="V618">
        <f>'Expense drivers'!V69</f>
        <v>0.10155275983225653</v>
      </c>
      <c r="W618">
        <f>'Expense drivers'!W69</f>
        <v>3.6629282848029687E-2</v>
      </c>
      <c r="X618">
        <f>'Expense drivers'!X69</f>
        <v>0.17940446650124087</v>
      </c>
      <c r="Y618">
        <f>'Expense drivers'!Y69</f>
        <v>0.10271407532084997</v>
      </c>
      <c r="Z618">
        <f>'Expense drivers'!Z69</f>
        <v>8.833854842402511E-2</v>
      </c>
      <c r="AA618">
        <f>'Expense drivers'!AA69</f>
        <v>0.10325724904456357</v>
      </c>
      <c r="AB618">
        <f>'Expense drivers'!AB69</f>
        <v>0.13284179749570968</v>
      </c>
      <c r="AC618">
        <f>'Expense drivers'!AC69</f>
        <v>0.17051001514896491</v>
      </c>
      <c r="AD618">
        <f>'Expense drivers'!AD69</f>
        <v>5.6226632154155798E-2</v>
      </c>
      <c r="AE618">
        <f>'Expense drivers'!AE69</f>
        <v>0.14971636033582936</v>
      </c>
      <c r="AF618">
        <f>'Expense drivers'!AF69</f>
        <v>-2.1374437514802169E-2</v>
      </c>
      <c r="AG618">
        <f>'Expense drivers'!AG69</f>
        <v>0.1763436523142079</v>
      </c>
      <c r="AH618">
        <f>'Expense drivers'!AH69</f>
        <v>6.9107990879322401E-2</v>
      </c>
      <c r="AI618">
        <f>'Expense drivers'!AI69</f>
        <v>0.24087556125721621</v>
      </c>
      <c r="AJ618">
        <f>'Expense drivers'!AJ69</f>
        <v>5.6228273090293435E-2</v>
      </c>
      <c r="AL618">
        <f>'Expense drivers'!BF69</f>
        <v>0</v>
      </c>
      <c r="AM618">
        <f>'Expense drivers'!BG69</f>
        <v>0</v>
      </c>
      <c r="AN618">
        <f>'Expense drivers'!BH69</f>
        <v>0</v>
      </c>
      <c r="AO618">
        <f>'Expense drivers'!BI69</f>
        <v>0</v>
      </c>
      <c r="AP618">
        <f>'Expense drivers'!BJ69</f>
        <v>0</v>
      </c>
      <c r="AQ618">
        <f>'Expense drivers'!BK69</f>
        <v>0</v>
      </c>
      <c r="AR618">
        <f>'Expense drivers'!BL69</f>
        <v>0</v>
      </c>
      <c r="AS618">
        <f>'Expense drivers'!BM69</f>
        <v>0</v>
      </c>
      <c r="AT618">
        <f>'Expense drivers'!BN69</f>
        <v>0</v>
      </c>
      <c r="AU618">
        <f>'Expense drivers'!BO69</f>
        <v>0</v>
      </c>
      <c r="AV618">
        <f>'Expense drivers'!BP69</f>
        <v>0</v>
      </c>
      <c r="AW618">
        <f>'Expense drivers'!BQ69</f>
        <v>0</v>
      </c>
      <c r="AX618">
        <f>'Expense drivers'!BR69</f>
        <v>0</v>
      </c>
      <c r="AY618">
        <f>'Expense drivers'!BS69</f>
        <v>0</v>
      </c>
      <c r="AZ618">
        <f>'Expense drivers'!BT69</f>
        <v>0</v>
      </c>
    </row>
    <row r="619" spans="9:52" ht="11.25" customHeight="1">
      <c r="I619" t="str">
        <f>'Expense drivers'!I70</f>
        <v>Y/Y Abs Growth</v>
      </c>
      <c r="M619">
        <f>'Expense drivers'!M70</f>
        <v>0</v>
      </c>
      <c r="N619">
        <f>'Expense drivers'!N70</f>
        <v>0</v>
      </c>
      <c r="O619">
        <f>'Expense drivers'!O70</f>
        <v>0</v>
      </c>
      <c r="P619">
        <f>'Expense drivers'!P70</f>
        <v>0</v>
      </c>
      <c r="Q619">
        <f>'Expense drivers'!Q70</f>
        <v>4.4339999999999993</v>
      </c>
      <c r="R619">
        <f>'Expense drivers'!R70</f>
        <v>4.2879999999999994</v>
      </c>
      <c r="S619">
        <f>'Expense drivers'!S70</f>
        <v>5.0020000000000007</v>
      </c>
      <c r="T619">
        <f>'Expense drivers'!T70</f>
        <v>5.9510000000000005</v>
      </c>
      <c r="U619">
        <f>'Expense drivers'!U70</f>
        <v>6.6460000000000008</v>
      </c>
      <c r="V619">
        <f>'Expense drivers'!V70</f>
        <v>7.3719999999999999</v>
      </c>
      <c r="W619">
        <f>'Expense drivers'!W70</f>
        <v>5.8119999999999976</v>
      </c>
      <c r="X619">
        <f>'Expense drivers'!X70</f>
        <v>8.2370000000000001</v>
      </c>
      <c r="Y619">
        <f>'Expense drivers'!Y70</f>
        <v>8.5599999999999987</v>
      </c>
      <c r="Z619">
        <f>'Expense drivers'!Z70</f>
        <v>9.083000000000002</v>
      </c>
      <c r="AA619">
        <f>'Expense drivers'!AA70</f>
        <v>11.315999999999999</v>
      </c>
      <c r="AB619">
        <f>'Expense drivers'!AB70</f>
        <v>11.881</v>
      </c>
      <c r="AC619">
        <f>'Expense drivers'!AC70</f>
        <v>15.518000000000004</v>
      </c>
      <c r="AD619">
        <f>'Expense drivers'!AD70</f>
        <v>15.548999999999999</v>
      </c>
      <c r="AE619">
        <f>'Expense drivers'!AE70</f>
        <v>19.202000000000002</v>
      </c>
      <c r="AF619">
        <f>'Expense drivers'!AF70</f>
        <v>13.939</v>
      </c>
      <c r="AG619">
        <f>'Expense drivers'!AG70</f>
        <v>16.604999999999997</v>
      </c>
      <c r="AH619">
        <f>'Expense drivers'!AH70</f>
        <v>18.29</v>
      </c>
      <c r="AI619">
        <f>'Expense drivers'!AI70</f>
        <v>26.713000000000001</v>
      </c>
      <c r="AJ619">
        <f>'Expense drivers'!AJ70</f>
        <v>32.146999999999998</v>
      </c>
      <c r="AL619">
        <f>'Expense drivers'!BF70</f>
        <v>0</v>
      </c>
      <c r="AM619">
        <f>'Expense drivers'!BG70</f>
        <v>0</v>
      </c>
      <c r="AN619">
        <f>'Expense drivers'!BH70</f>
        <v>5.9619999999999997</v>
      </c>
      <c r="AO619">
        <f>'Expense drivers'!BI70</f>
        <v>7.8599999999999994</v>
      </c>
      <c r="AP619">
        <f>'Expense drivers'!BJ70</f>
        <v>15.498999999999999</v>
      </c>
      <c r="AQ619">
        <f>'Expense drivers'!BK70</f>
        <v>19.674999999999997</v>
      </c>
      <c r="AR619">
        <f>'Expense drivers'!BL70</f>
        <v>28.067</v>
      </c>
      <c r="AS619">
        <f>'Expense drivers'!BM70</f>
        <v>40.840000000000003</v>
      </c>
      <c r="AT619">
        <f>'Expense drivers'!BN70</f>
        <v>64.208000000000027</v>
      </c>
      <c r="AU619">
        <f>'Expense drivers'!BO70</f>
        <v>93.754999999999995</v>
      </c>
      <c r="AV619">
        <f>'Expense drivers'!BP70</f>
        <v>75.953999999999951</v>
      </c>
      <c r="AW619">
        <f>'Expense drivers'!BQ70</f>
        <v>54.787000000000035</v>
      </c>
      <c r="AX619">
        <f>'Expense drivers'!BR70</f>
        <v>59.072971812542846</v>
      </c>
      <c r="AY619">
        <f>'Expense drivers'!BS70</f>
        <v>71.199695589492762</v>
      </c>
      <c r="AZ619">
        <f>'Expense drivers'!BT70</f>
        <v>63.680358477200002</v>
      </c>
    </row>
    <row r="620" spans="9:52" ht="11.25" customHeight="1">
      <c r="I620" t="str">
        <f>'Expense drivers'!I71</f>
        <v>Q/Q Abs Growth</v>
      </c>
      <c r="M620">
        <f>'Expense drivers'!M71</f>
        <v>0</v>
      </c>
      <c r="N620">
        <f>'Expense drivers'!N71</f>
        <v>1.2119999999999989</v>
      </c>
      <c r="O620">
        <f>'Expense drivers'!O71</f>
        <v>1.5580000000000007</v>
      </c>
      <c r="P620">
        <f>'Expense drivers'!P71</f>
        <v>0.24099999999999966</v>
      </c>
      <c r="Q620">
        <f>'Expense drivers'!Q71</f>
        <v>1.423</v>
      </c>
      <c r="R620">
        <f>'Expense drivers'!R71</f>
        <v>1.0659999999999989</v>
      </c>
      <c r="S620">
        <f>'Expense drivers'!S71</f>
        <v>2.272000000000002</v>
      </c>
      <c r="T620">
        <f>'Expense drivers'!T71</f>
        <v>1.1899999999999995</v>
      </c>
      <c r="U620">
        <f>'Expense drivers'!U71</f>
        <v>2.1180000000000003</v>
      </c>
      <c r="V620">
        <f>'Expense drivers'!V71</f>
        <v>1.791999999999998</v>
      </c>
      <c r="W620">
        <f>'Expense drivers'!W71</f>
        <v>0.71199999999999974</v>
      </c>
      <c r="X620">
        <f>'Expense drivers'!X71</f>
        <v>3.615000000000002</v>
      </c>
      <c r="Y620">
        <f>'Expense drivers'!Y71</f>
        <v>2.4409999999999989</v>
      </c>
      <c r="Z620">
        <f>'Expense drivers'!Z71</f>
        <v>2.3150000000000013</v>
      </c>
      <c r="AA620">
        <f>'Expense drivers'!AA71</f>
        <v>2.9449999999999967</v>
      </c>
      <c r="AB620">
        <f>'Expense drivers'!AB71</f>
        <v>4.1800000000000033</v>
      </c>
      <c r="AC620">
        <f>'Expense drivers'!AC71</f>
        <v>6.078000000000003</v>
      </c>
      <c r="AD620">
        <f>'Expense drivers'!AD71</f>
        <v>2.3459999999999965</v>
      </c>
      <c r="AE620">
        <f>'Expense drivers'!AE71</f>
        <v>6.597999999999999</v>
      </c>
      <c r="AF620">
        <f>'Expense drivers'!AF71</f>
        <v>-1.0829999999999984</v>
      </c>
      <c r="AG620">
        <f>'Expense drivers'!AG71</f>
        <v>8.7439999999999998</v>
      </c>
      <c r="AH620">
        <f>'Expense drivers'!AH71</f>
        <v>4.0309999999999988</v>
      </c>
      <c r="AI620">
        <f>'Expense drivers'!AI71</f>
        <v>15.021000000000001</v>
      </c>
      <c r="AJ620">
        <f>'Expense drivers'!AJ71</f>
        <v>4.3509999999999991</v>
      </c>
      <c r="AL620">
        <f>'Expense drivers'!BF71</f>
        <v>0</v>
      </c>
      <c r="AM620">
        <f>'Expense drivers'!BG71</f>
        <v>0</v>
      </c>
      <c r="AN620">
        <f>'Expense drivers'!BH71</f>
        <v>0</v>
      </c>
      <c r="AO620">
        <f>'Expense drivers'!BI71</f>
        <v>0</v>
      </c>
      <c r="AP620">
        <f>'Expense drivers'!BJ71</f>
        <v>0</v>
      </c>
      <c r="AQ620">
        <f>'Expense drivers'!BK71</f>
        <v>0</v>
      </c>
      <c r="AR620">
        <f>'Expense drivers'!BL71</f>
        <v>0</v>
      </c>
      <c r="AS620">
        <f>'Expense drivers'!BM71</f>
        <v>0</v>
      </c>
      <c r="AT620">
        <f>'Expense drivers'!BN71</f>
        <v>0</v>
      </c>
      <c r="AU620">
        <f>'Expense drivers'!BO71</f>
        <v>0</v>
      </c>
      <c r="AV620">
        <f>'Expense drivers'!BP71</f>
        <v>0</v>
      </c>
      <c r="AW620">
        <f>'Expense drivers'!BQ71</f>
        <v>0</v>
      </c>
      <c r="AX620">
        <f>'Expense drivers'!BR71</f>
        <v>0</v>
      </c>
      <c r="AY620">
        <f>'Expense drivers'!BS71</f>
        <v>0</v>
      </c>
      <c r="AZ620">
        <f>'Expense drivers'!BT71</f>
        <v>0</v>
      </c>
    </row>
    <row r="623" spans="9:52" ht="11.25" customHeight="1">
      <c r="I623" t="str">
        <f>'Expense drivers'!I73</f>
        <v>Offline and Online  Advertising Spend</v>
      </c>
      <c r="M623">
        <f>'Expense drivers'!M73</f>
        <v>0</v>
      </c>
      <c r="N623">
        <f>'Expense drivers'!N73</f>
        <v>0</v>
      </c>
      <c r="O623">
        <f>'Expense drivers'!O73</f>
        <v>0</v>
      </c>
      <c r="P623">
        <f>'Expense drivers'!P73</f>
        <v>0</v>
      </c>
      <c r="Q623">
        <f>'Expense drivers'!Q73</f>
        <v>0</v>
      </c>
      <c r="R623">
        <f>'Expense drivers'!R73</f>
        <v>0</v>
      </c>
      <c r="S623">
        <f>'Expense drivers'!S73</f>
        <v>0</v>
      </c>
      <c r="T623">
        <f>'Expense drivers'!T73</f>
        <v>0</v>
      </c>
      <c r="U623">
        <f>'Expense drivers'!U73</f>
        <v>0</v>
      </c>
      <c r="V623">
        <f>'Expense drivers'!V73</f>
        <v>0</v>
      </c>
      <c r="W623">
        <f>'Expense drivers'!W73</f>
        <v>0</v>
      </c>
      <c r="X623">
        <f>'Expense drivers'!X73</f>
        <v>0</v>
      </c>
      <c r="Y623">
        <f>'Expense drivers'!Y73</f>
        <v>0</v>
      </c>
      <c r="Z623">
        <f>'Expense drivers'!Z73</f>
        <v>0</v>
      </c>
      <c r="AA623">
        <f>'Expense drivers'!AA73</f>
        <v>0</v>
      </c>
      <c r="AB623">
        <f>'Expense drivers'!AB73</f>
        <v>0</v>
      </c>
      <c r="AC623">
        <f>'Expense drivers'!AC73</f>
        <v>3</v>
      </c>
      <c r="AD623">
        <f>'Expense drivers'!AD73</f>
        <v>2</v>
      </c>
      <c r="AE623">
        <f>'Expense drivers'!AE73</f>
        <v>3</v>
      </c>
      <c r="AF623">
        <f>'Expense drivers'!AF73</f>
        <v>2</v>
      </c>
      <c r="AG623">
        <f>'Expense drivers'!AG73</f>
        <v>2</v>
      </c>
      <c r="AH623">
        <f>'Expense drivers'!AH73</f>
        <v>8</v>
      </c>
      <c r="AI623">
        <f>'Expense drivers'!AI73</f>
        <v>10</v>
      </c>
      <c r="AJ623">
        <f>'Expense drivers'!AJ73</f>
        <v>13</v>
      </c>
      <c r="AL623">
        <f>'Expense drivers'!BF73</f>
        <v>0</v>
      </c>
      <c r="AM623">
        <f>'Expense drivers'!BG73</f>
        <v>0</v>
      </c>
      <c r="AN623">
        <f>'Expense drivers'!BH73</f>
        <v>0</v>
      </c>
      <c r="AO623">
        <f>'Expense drivers'!BI73</f>
        <v>0</v>
      </c>
      <c r="AP623">
        <f>'Expense drivers'!BJ73</f>
        <v>0</v>
      </c>
      <c r="AQ623">
        <f>'Expense drivers'!BK73</f>
        <v>0</v>
      </c>
      <c r="AR623">
        <f>'Expense drivers'!BL73</f>
        <v>0</v>
      </c>
      <c r="AS623">
        <f>'Expense drivers'!BM73</f>
        <v>0</v>
      </c>
      <c r="AT623">
        <f>'Expense drivers'!BN73</f>
        <v>10</v>
      </c>
      <c r="AU623">
        <f>'Expense drivers'!BO73</f>
        <v>33</v>
      </c>
      <c r="AV623">
        <f>'Expense drivers'!BP73</f>
        <v>49.4</v>
      </c>
      <c r="AW623">
        <f>'Expense drivers'!BQ73</f>
        <v>52</v>
      </c>
      <c r="AX623">
        <f>'Expense drivers'!BR73</f>
        <v>56</v>
      </c>
      <c r="AY623">
        <f>'Expense drivers'!BS73</f>
        <v>72</v>
      </c>
      <c r="AZ623">
        <f>'Expense drivers'!BT73</f>
        <v>84</v>
      </c>
    </row>
    <row r="625" spans="9:52" ht="11.25" customHeight="1">
      <c r="I625" t="str">
        <f>'Expense drivers'!I119</f>
        <v>Product development (ex-SBC)</v>
      </c>
      <c r="M625">
        <f>'Expense drivers'!M119</f>
        <v>1.1520000000000001</v>
      </c>
      <c r="N625">
        <f>'Expense drivers'!N119</f>
        <v>1.484</v>
      </c>
      <c r="O625">
        <f>'Expense drivers'!O119</f>
        <v>1.847</v>
      </c>
      <c r="P625">
        <f>'Expense drivers'!P119</f>
        <v>1.8169999999999999</v>
      </c>
      <c r="Q625">
        <f>'Expense drivers'!Q119</f>
        <v>2.1720000000000002</v>
      </c>
      <c r="R625">
        <f>'Expense drivers'!R119</f>
        <v>2.488</v>
      </c>
      <c r="S625">
        <f>'Expense drivers'!S119</f>
        <v>3.2069999999999999</v>
      </c>
      <c r="T625">
        <f>'Expense drivers'!T119</f>
        <v>2.9979999999999998</v>
      </c>
      <c r="U625">
        <f>'Expense drivers'!U119</f>
        <v>3.8969999999999998</v>
      </c>
      <c r="V625">
        <f>'Expense drivers'!V119</f>
        <v>4.0360000000000005</v>
      </c>
      <c r="W625">
        <f>'Expense drivers'!W119</f>
        <v>5.2869999999999999</v>
      </c>
      <c r="X625">
        <f>'Expense drivers'!X119</f>
        <v>5.548</v>
      </c>
      <c r="Y625">
        <f>'Expense drivers'!Y119</f>
        <v>6.42</v>
      </c>
      <c r="Z625">
        <f>'Expense drivers'!Z119</f>
        <v>6.9569999999999999</v>
      </c>
      <c r="AA625">
        <f>'Expense drivers'!AA119</f>
        <v>9.4990000000000006</v>
      </c>
      <c r="AB625">
        <f>'Expense drivers'!AB119</f>
        <v>9.0969999999999995</v>
      </c>
      <c r="AC625">
        <f>'Expense drivers'!AC119</f>
        <v>10.94</v>
      </c>
      <c r="AD625">
        <f>'Expense drivers'!AD119</f>
        <v>11.270000000000001</v>
      </c>
      <c r="AE625">
        <f>'Expense drivers'!AE119</f>
        <v>13.561999999999998</v>
      </c>
      <c r="AF625">
        <f>'Expense drivers'!AF119</f>
        <v>14.525</v>
      </c>
      <c r="AG625">
        <f>'Expense drivers'!AG119</f>
        <v>18.855</v>
      </c>
      <c r="AH625">
        <f>'Expense drivers'!AH119</f>
        <v>20.279999999999998</v>
      </c>
      <c r="AI625">
        <f>'Expense drivers'!AI119</f>
        <v>22.564</v>
      </c>
      <c r="AJ625">
        <f>'Expense drivers'!AJ119</f>
        <v>22.655999999999999</v>
      </c>
      <c r="AL625">
        <f>'Expense drivers'!BF119</f>
        <v>0</v>
      </c>
      <c r="AM625">
        <f>'Expense drivers'!BG119</f>
        <v>1.456</v>
      </c>
      <c r="AN625">
        <f>'Expense drivers'!BH119</f>
        <v>1.9830000000000001</v>
      </c>
      <c r="AO625">
        <f>'Expense drivers'!BI119</f>
        <v>3.0640000000000001</v>
      </c>
      <c r="AP625">
        <f>'Expense drivers'!BJ119</f>
        <v>6.3000000000000007</v>
      </c>
      <c r="AQ625">
        <f>'Expense drivers'!BK119</f>
        <v>10.865</v>
      </c>
      <c r="AR625">
        <f>'Expense drivers'!BL119</f>
        <v>18.768000000000001</v>
      </c>
      <c r="AS625">
        <f>'Expense drivers'!BM119</f>
        <v>31.972999999999999</v>
      </c>
      <c r="AT625">
        <f>'Expense drivers'!BN119</f>
        <v>50.296999999999997</v>
      </c>
      <c r="AU625">
        <f>'Expense drivers'!BO119</f>
        <v>84.35499999999999</v>
      </c>
      <c r="AV625">
        <f>'Expense drivers'!BP119</f>
        <v>102.22699999999999</v>
      </c>
      <c r="AW625">
        <f>'Expense drivers'!BQ119</f>
        <v>128.50700000000001</v>
      </c>
      <c r="AX625">
        <f>'Expense drivers'!BR119</f>
        <v>140.50700000000001</v>
      </c>
      <c r="AY625">
        <f>'Expense drivers'!BS119</f>
        <v>156.00700000000001</v>
      </c>
      <c r="AZ625">
        <f>'Expense drivers'!BT119</f>
        <v>168.00700000000001</v>
      </c>
    </row>
    <row r="626" spans="9:52" ht="11.25" customHeight="1">
      <c r="I626" t="str">
        <f>'Expense drivers'!I120</f>
        <v>DRIVER: Base case - % of revenue</v>
      </c>
      <c r="M626">
        <f>'Expense drivers'!M120</f>
        <v>0.12609457092819618</v>
      </c>
      <c r="N626">
        <f>'Expense drivers'!N120</f>
        <v>0.1383425002330568</v>
      </c>
      <c r="O626">
        <f>'Expense drivers'!O120</f>
        <v>0.14665713831983482</v>
      </c>
      <c r="P626">
        <f>'Expense drivers'!P120</f>
        <v>0.11896032473484351</v>
      </c>
      <c r="Q626">
        <f>'Expense drivers'!Q120</f>
        <v>0.13163636363636363</v>
      </c>
      <c r="R626">
        <f>'Expense drivers'!R120</f>
        <v>0.12708141791807132</v>
      </c>
      <c r="S626">
        <f>'Expense drivers'!S120</f>
        <v>0.14379876244283024</v>
      </c>
      <c r="T626">
        <f>'Expense drivers'!T120</f>
        <v>0.12037743425015056</v>
      </c>
      <c r="U626">
        <f>'Expense drivers'!U120</f>
        <v>0.14230418112105167</v>
      </c>
      <c r="V626">
        <f>'Expense drivers'!V120</f>
        <v>0.12360273175512206</v>
      </c>
      <c r="W626">
        <f>'Expense drivers'!W120</f>
        <v>0.14536306397954413</v>
      </c>
      <c r="X626">
        <f>'Expense drivers'!X120</f>
        <v>0.13480088441820348</v>
      </c>
      <c r="Y626">
        <f>'Expense drivers'!Y120</f>
        <v>0.13916285522294236</v>
      </c>
      <c r="Z626">
        <f>'Expense drivers'!Z120</f>
        <v>0.12643803500354397</v>
      </c>
      <c r="AA626">
        <f>'Expense drivers'!AA120</f>
        <v>0.15526062012716368</v>
      </c>
      <c r="AB626">
        <f>'Expense drivers'!AB120</f>
        <v>0.12875967785310893</v>
      </c>
      <c r="AC626">
        <f>'Expense drivers'!AC120</f>
        <v>0.1431805986362506</v>
      </c>
      <c r="AD626">
        <f>'Expense drivers'!AD120</f>
        <v>0.12693299694775137</v>
      </c>
      <c r="AE626">
        <f>'Expense drivers'!AE120</f>
        <v>0.13237030891610949</v>
      </c>
      <c r="AF626">
        <f>'Expense drivers'!AF120</f>
        <v>0.13218124072911264</v>
      </c>
      <c r="AG626">
        <f>'Expense drivers'!AG120</f>
        <v>0.16864937388193202</v>
      </c>
      <c r="AH626">
        <f>'Expense drivers'!AH120</f>
        <v>0.16146496815286623</v>
      </c>
      <c r="AI626">
        <f>'Expense drivers'!AI120</f>
        <v>0.16763744427934621</v>
      </c>
      <c r="AJ626">
        <f>'Expense drivers'!AJ120</f>
        <v>0.15443762781186093</v>
      </c>
      <c r="AL626">
        <f>'Expense drivers'!BF120</f>
        <v>0</v>
      </c>
      <c r="AM626">
        <f>'Expense drivers'!BG120</f>
        <v>0.38878504672897196</v>
      </c>
      <c r="AN626">
        <f>'Expense drivers'!BH120</f>
        <v>0.16335777246890187</v>
      </c>
      <c r="AO626">
        <f>'Expense drivers'!BI120</f>
        <v>0.11872287662740234</v>
      </c>
      <c r="AP626">
        <f>'Expense drivers'!BJ120</f>
        <v>0.13198969223355891</v>
      </c>
      <c r="AQ626">
        <f>'Expense drivers'!BK120</f>
        <v>0.13045566428528546</v>
      </c>
      <c r="AR626">
        <f>'Expense drivers'!BL120</f>
        <v>0.13642905950598261</v>
      </c>
      <c r="AS626">
        <f>'Expense drivers'!BM120</f>
        <v>0.13723024361769703</v>
      </c>
      <c r="AT626">
        <f>'Expense drivers'!BN120</f>
        <v>0.13322438125105948</v>
      </c>
      <c r="AU626">
        <f>'Expense drivers'!BO120</f>
        <v>0.16262772315403892</v>
      </c>
      <c r="AV626">
        <f>'Expense drivers'!BP120</f>
        <v>0.14336200283563019</v>
      </c>
      <c r="AW626">
        <f>'Expense drivers'!BQ120</f>
        <v>0.15175369296409008</v>
      </c>
      <c r="AX626">
        <f>'Expense drivers'!BR120</f>
        <v>0.14636145833333333</v>
      </c>
      <c r="AY626">
        <f>'Expense drivers'!BS120</f>
        <v>0.13974113221067716</v>
      </c>
      <c r="AZ626">
        <f>'Expense drivers'!BT120</f>
        <v>0.13327542440107887</v>
      </c>
    </row>
    <row r="627" spans="9:52" ht="11.25" customHeight="1">
      <c r="I627" t="str">
        <f>'Expense drivers'!I121</f>
        <v>% change Y/Y</v>
      </c>
      <c r="M627" t="str">
        <f>'Expense drivers'!M121</f>
        <v>NA</v>
      </c>
      <c r="N627" t="str">
        <f>'Expense drivers'!N121</f>
        <v>NA</v>
      </c>
      <c r="O627" t="str">
        <f>'Expense drivers'!O121</f>
        <v>NA</v>
      </c>
      <c r="P627" t="str">
        <f>'Expense drivers'!P121</f>
        <v>NA</v>
      </c>
      <c r="Q627">
        <f>'Expense drivers'!Q121</f>
        <v>0.88541666666666652</v>
      </c>
      <c r="R627">
        <f>'Expense drivers'!R121</f>
        <v>0.67654986522911043</v>
      </c>
      <c r="S627">
        <f>'Expense drivers'!S121</f>
        <v>0.73632918245804002</v>
      </c>
      <c r="T627">
        <f>'Expense drivers'!T121</f>
        <v>0.64997248211337366</v>
      </c>
      <c r="U627">
        <f>'Expense drivers'!U121</f>
        <v>0.7941988950276242</v>
      </c>
      <c r="V627">
        <f>'Expense drivers'!V121</f>
        <v>0.62218649517684899</v>
      </c>
      <c r="W627">
        <f>'Expense drivers'!W121</f>
        <v>0.64858122856251965</v>
      </c>
      <c r="X627">
        <f>'Expense drivers'!X121</f>
        <v>0.85056704469646438</v>
      </c>
      <c r="Y627">
        <f>'Expense drivers'!Y121</f>
        <v>0.64742109314857599</v>
      </c>
      <c r="Z627">
        <f>'Expense drivers'!Z121</f>
        <v>0.72373637264618407</v>
      </c>
      <c r="AA627">
        <f>'Expense drivers'!AA121</f>
        <v>0.79667108000756581</v>
      </c>
      <c r="AB627">
        <f>'Expense drivers'!AB121</f>
        <v>0.63968997837058383</v>
      </c>
      <c r="AC627">
        <f>'Expense drivers'!AC121</f>
        <v>0.70404984423675998</v>
      </c>
      <c r="AD627">
        <f>'Expense drivers'!AD121</f>
        <v>0.6199511283599255</v>
      </c>
      <c r="AE627">
        <f>'Expense drivers'!AE121</f>
        <v>0.42772923465627932</v>
      </c>
      <c r="AF627">
        <f>'Expense drivers'!AF121</f>
        <v>0.59668022424975287</v>
      </c>
      <c r="AG627">
        <f>'Expense drivers'!AG121</f>
        <v>0.72349177330895809</v>
      </c>
      <c r="AH627">
        <f>'Expense drivers'!AH121</f>
        <v>0.79946761313220893</v>
      </c>
      <c r="AI627">
        <f>'Expense drivers'!AI121</f>
        <v>0.66376640613478877</v>
      </c>
      <c r="AJ627">
        <f>'Expense drivers'!AJ121</f>
        <v>0.5597934595524956</v>
      </c>
      <c r="AL627">
        <f>'Expense drivers'!BF121</f>
        <v>0</v>
      </c>
      <c r="AM627" t="str">
        <f>'Expense drivers'!BG121</f>
        <v>NA</v>
      </c>
      <c r="AN627">
        <f>'Expense drivers'!BH121</f>
        <v>0.3619505494505495</v>
      </c>
      <c r="AO627">
        <f>'Expense drivers'!BI121</f>
        <v>0.54513363590519415</v>
      </c>
      <c r="AP627">
        <f>'Expense drivers'!BJ121</f>
        <v>1.0561357702349872</v>
      </c>
      <c r="AQ627">
        <f>'Expense drivers'!BK121</f>
        <v>0.72460317460317447</v>
      </c>
      <c r="AR627">
        <f>'Expense drivers'!BL121</f>
        <v>0.72738150023009673</v>
      </c>
      <c r="AS627">
        <f>'Expense drivers'!BM121</f>
        <v>0.70359121909633404</v>
      </c>
      <c r="AT627">
        <f>'Expense drivers'!BN121</f>
        <v>0.57310856034779345</v>
      </c>
      <c r="AU627">
        <f>'Expense drivers'!BO121</f>
        <v>0.67713780145933145</v>
      </c>
      <c r="AV627">
        <f>'Expense drivers'!BP121</f>
        <v>0.21186651650761656</v>
      </c>
      <c r="AW627">
        <f>'Expense drivers'!BQ121</f>
        <v>0.25707494106253748</v>
      </c>
      <c r="AX627">
        <f>'Expense drivers'!BR121</f>
        <v>9.3380127152606462E-2</v>
      </c>
      <c r="AY627">
        <f>'Expense drivers'!BS121</f>
        <v>0.11031478858704546</v>
      </c>
      <c r="AZ627">
        <f>'Expense drivers'!BT121</f>
        <v>7.6919625401424385E-2</v>
      </c>
    </row>
    <row r="628" spans="9:52" ht="11.25" customHeight="1">
      <c r="I628" t="str">
        <f>'Expense drivers'!I122</f>
        <v>% change Q/Q</v>
      </c>
      <c r="M628" t="str">
        <f>'Expense drivers'!M122</f>
        <v>NA</v>
      </c>
      <c r="N628">
        <f>'Expense drivers'!N122</f>
        <v>0.2881944444444442</v>
      </c>
      <c r="O628">
        <f>'Expense drivers'!O122</f>
        <v>0.24460916442048508</v>
      </c>
      <c r="P628">
        <f>'Expense drivers'!P122</f>
        <v>-1.6242555495397992E-2</v>
      </c>
      <c r="Q628">
        <f>'Expense drivers'!Q122</f>
        <v>0.19537699504678052</v>
      </c>
      <c r="R628">
        <f>'Expense drivers'!R122</f>
        <v>0.14548802946592998</v>
      </c>
      <c r="S628">
        <f>'Expense drivers'!S122</f>
        <v>0.28898713826366551</v>
      </c>
      <c r="T628">
        <f>'Expense drivers'!T122</f>
        <v>-6.5169940754599365E-2</v>
      </c>
      <c r="U628">
        <f>'Expense drivers'!U122</f>
        <v>0.29986657771847902</v>
      </c>
      <c r="V628">
        <f>'Expense drivers'!V122</f>
        <v>3.5668462920195099E-2</v>
      </c>
      <c r="W628">
        <f>'Expense drivers'!W122</f>
        <v>0.30996035678889977</v>
      </c>
      <c r="X628">
        <f>'Expense drivers'!X122</f>
        <v>4.9366370342349253E-2</v>
      </c>
      <c r="Y628">
        <f>'Expense drivers'!Y122</f>
        <v>0.15717375630857955</v>
      </c>
      <c r="Z628">
        <f>'Expense drivers'!Z122</f>
        <v>8.3644859813084116E-2</v>
      </c>
      <c r="AA628">
        <f>'Expense drivers'!AA122</f>
        <v>0.36538737961765144</v>
      </c>
      <c r="AB628">
        <f>'Expense drivers'!AB122</f>
        <v>-4.2320244236235482E-2</v>
      </c>
      <c r="AC628">
        <f>'Expense drivers'!AC122</f>
        <v>0.20259426184456419</v>
      </c>
      <c r="AD628">
        <f>'Expense drivers'!AD122</f>
        <v>3.0164533820841166E-2</v>
      </c>
      <c r="AE628">
        <f>'Expense drivers'!AE122</f>
        <v>0.20337178349600671</v>
      </c>
      <c r="AF628">
        <f>'Expense drivers'!AF122</f>
        <v>7.1007226072850926E-2</v>
      </c>
      <c r="AG628">
        <f>'Expense drivers'!AG122</f>
        <v>0.2981067125645438</v>
      </c>
      <c r="AH628">
        <f>'Expense drivers'!AH122</f>
        <v>7.5576770087509848E-2</v>
      </c>
      <c r="AI628">
        <f>'Expense drivers'!AI122</f>
        <v>0.1126232741617359</v>
      </c>
      <c r="AJ628">
        <f>'Expense drivers'!AJ122</f>
        <v>4.0772912604147837E-3</v>
      </c>
      <c r="AL628">
        <f>'Expense drivers'!BF122</f>
        <v>0</v>
      </c>
      <c r="AM628">
        <f>'Expense drivers'!BG122</f>
        <v>0</v>
      </c>
      <c r="AN628">
        <f>'Expense drivers'!BH122</f>
        <v>0</v>
      </c>
      <c r="AO628">
        <f>'Expense drivers'!BI122</f>
        <v>0</v>
      </c>
      <c r="AP628">
        <f>'Expense drivers'!BJ122</f>
        <v>0</v>
      </c>
      <c r="AQ628">
        <f>'Expense drivers'!BK122</f>
        <v>0</v>
      </c>
      <c r="AR628">
        <f>'Expense drivers'!BL122</f>
        <v>0</v>
      </c>
      <c r="AS628">
        <f>'Expense drivers'!BM122</f>
        <v>0</v>
      </c>
      <c r="AT628">
        <f>'Expense drivers'!BN122</f>
        <v>0</v>
      </c>
      <c r="AU628">
        <f>'Expense drivers'!BO122</f>
        <v>0</v>
      </c>
      <c r="AV628">
        <f>'Expense drivers'!BP122</f>
        <v>0</v>
      </c>
      <c r="AW628">
        <f>'Expense drivers'!BQ122</f>
        <v>0</v>
      </c>
      <c r="AX628">
        <f>'Expense drivers'!BR122</f>
        <v>0</v>
      </c>
      <c r="AY628">
        <f>'Expense drivers'!BS122</f>
        <v>0</v>
      </c>
      <c r="AZ628">
        <f>'Expense drivers'!BT122</f>
        <v>0</v>
      </c>
    </row>
    <row r="629" spans="9:52" ht="11.25" customHeight="1">
      <c r="I629" t="str">
        <f>'Expense drivers'!I123</f>
        <v>Y/Y Abs Growth</v>
      </c>
      <c r="M629">
        <f>'Expense drivers'!M123</f>
        <v>0</v>
      </c>
      <c r="N629">
        <f>'Expense drivers'!N123</f>
        <v>0</v>
      </c>
      <c r="O629">
        <f>'Expense drivers'!O123</f>
        <v>0</v>
      </c>
      <c r="P629">
        <f>'Expense drivers'!P123</f>
        <v>0</v>
      </c>
      <c r="Q629">
        <f>'Expense drivers'!Q123</f>
        <v>1.02</v>
      </c>
      <c r="R629">
        <f>'Expense drivers'!R123</f>
        <v>1.004</v>
      </c>
      <c r="S629">
        <f>'Expense drivers'!S123</f>
        <v>1.3599999999999999</v>
      </c>
      <c r="T629">
        <f>'Expense drivers'!T123</f>
        <v>1.1809999999999998</v>
      </c>
      <c r="U629">
        <f>'Expense drivers'!U123</f>
        <v>1.7249999999999996</v>
      </c>
      <c r="V629">
        <f>'Expense drivers'!V123</f>
        <v>1.5480000000000005</v>
      </c>
      <c r="W629">
        <f>'Expense drivers'!W123</f>
        <v>2.08</v>
      </c>
      <c r="X629">
        <f>'Expense drivers'!X123</f>
        <v>2.5500000000000003</v>
      </c>
      <c r="Y629">
        <f>'Expense drivers'!Y123</f>
        <v>2.5230000000000001</v>
      </c>
      <c r="Z629">
        <f>'Expense drivers'!Z123</f>
        <v>2.9209999999999994</v>
      </c>
      <c r="AA629">
        <f>'Expense drivers'!AA123</f>
        <v>4.2120000000000006</v>
      </c>
      <c r="AB629">
        <f>'Expense drivers'!AB123</f>
        <v>3.5489999999999995</v>
      </c>
      <c r="AC629">
        <f>'Expense drivers'!AC123</f>
        <v>4.5199999999999996</v>
      </c>
      <c r="AD629">
        <f>'Expense drivers'!AD123</f>
        <v>4.3130000000000015</v>
      </c>
      <c r="AE629">
        <f>'Expense drivers'!AE123</f>
        <v>4.0629999999999971</v>
      </c>
      <c r="AF629">
        <f>'Expense drivers'!AF123</f>
        <v>5.4280000000000008</v>
      </c>
      <c r="AG629">
        <f>'Expense drivers'!AG123</f>
        <v>7.9150000000000009</v>
      </c>
      <c r="AH629">
        <f>'Expense drivers'!AH123</f>
        <v>9.0099999999999962</v>
      </c>
      <c r="AI629">
        <f>'Expense drivers'!AI123</f>
        <v>9.0020000000000024</v>
      </c>
      <c r="AJ629">
        <f>'Expense drivers'!AJ123</f>
        <v>8.1309999999999985</v>
      </c>
      <c r="AL629">
        <f>'Expense drivers'!BF123</f>
        <v>0</v>
      </c>
      <c r="AM629">
        <f>'Expense drivers'!BG123</f>
        <v>0</v>
      </c>
      <c r="AN629">
        <f>'Expense drivers'!BH123</f>
        <v>0.52700000000000014</v>
      </c>
      <c r="AO629">
        <f>'Expense drivers'!BI123</f>
        <v>1.081</v>
      </c>
      <c r="AP629">
        <f>'Expense drivers'!BJ123</f>
        <v>3.2360000000000007</v>
      </c>
      <c r="AQ629">
        <f>'Expense drivers'!BK123</f>
        <v>4.5649999999999995</v>
      </c>
      <c r="AR629">
        <f>'Expense drivers'!BL123</f>
        <v>7.9030000000000005</v>
      </c>
      <c r="AS629">
        <f>'Expense drivers'!BM123</f>
        <v>13.204999999999998</v>
      </c>
      <c r="AT629">
        <f>'Expense drivers'!BN123</f>
        <v>18.323999999999998</v>
      </c>
      <c r="AU629">
        <f>'Expense drivers'!BO123</f>
        <v>34.057999999999993</v>
      </c>
      <c r="AV629">
        <f>'Expense drivers'!BP123</f>
        <v>17.872</v>
      </c>
      <c r="AW629">
        <f>'Expense drivers'!BQ123</f>
        <v>26.280000000000015</v>
      </c>
      <c r="AX629">
        <f>'Expense drivers'!BR123</f>
        <v>12</v>
      </c>
      <c r="AY629">
        <f>'Expense drivers'!BS123</f>
        <v>15.5</v>
      </c>
      <c r="AZ629">
        <f>'Expense drivers'!BT123</f>
        <v>12</v>
      </c>
    </row>
    <row r="630" spans="9:52" ht="11.25" customHeight="1">
      <c r="I630" t="str">
        <f>'Expense drivers'!I124</f>
        <v>Q/Q Abs Growth</v>
      </c>
      <c r="M630">
        <f>'Expense drivers'!M124</f>
        <v>0</v>
      </c>
      <c r="N630">
        <f>'Expense drivers'!N124</f>
        <v>0.33199999999999985</v>
      </c>
      <c r="O630">
        <f>'Expense drivers'!O124</f>
        <v>0.36299999999999999</v>
      </c>
      <c r="P630">
        <f>'Expense drivers'!P124</f>
        <v>-3.0000000000000027E-2</v>
      </c>
      <c r="Q630">
        <f>'Expense drivers'!Q124</f>
        <v>0.3550000000000002</v>
      </c>
      <c r="R630">
        <f>'Expense drivers'!R124</f>
        <v>0.31599999999999984</v>
      </c>
      <c r="S630">
        <f>'Expense drivers'!S124</f>
        <v>0.71899999999999986</v>
      </c>
      <c r="T630">
        <f>'Expense drivers'!T124</f>
        <v>-0.20900000000000007</v>
      </c>
      <c r="U630">
        <f>'Expense drivers'!U124</f>
        <v>0.89900000000000002</v>
      </c>
      <c r="V630">
        <f>'Expense drivers'!V124</f>
        <v>0.13900000000000068</v>
      </c>
      <c r="W630">
        <f>'Expense drivers'!W124</f>
        <v>1.2509999999999994</v>
      </c>
      <c r="X630">
        <f>'Expense drivers'!X124</f>
        <v>0.26100000000000012</v>
      </c>
      <c r="Y630">
        <f>'Expense drivers'!Y124</f>
        <v>0.87199999999999989</v>
      </c>
      <c r="Z630">
        <f>'Expense drivers'!Z124</f>
        <v>0.53699999999999992</v>
      </c>
      <c r="AA630">
        <f>'Expense drivers'!AA124</f>
        <v>2.5420000000000007</v>
      </c>
      <c r="AB630">
        <f>'Expense drivers'!AB124</f>
        <v>-0.40200000000000102</v>
      </c>
      <c r="AC630">
        <f>'Expense drivers'!AC124</f>
        <v>1.843</v>
      </c>
      <c r="AD630">
        <f>'Expense drivers'!AD124</f>
        <v>0.33000000000000185</v>
      </c>
      <c r="AE630">
        <f>'Expense drivers'!AE124</f>
        <v>2.2919999999999963</v>
      </c>
      <c r="AF630">
        <f>'Expense drivers'!AF124</f>
        <v>0.96300000000000274</v>
      </c>
      <c r="AG630">
        <f>'Expense drivers'!AG124</f>
        <v>4.33</v>
      </c>
      <c r="AH630">
        <f>'Expense drivers'!AH124</f>
        <v>1.4249999999999972</v>
      </c>
      <c r="AI630">
        <f>'Expense drivers'!AI124</f>
        <v>2.2840000000000025</v>
      </c>
      <c r="AJ630">
        <f>'Expense drivers'!AJ124</f>
        <v>9.1999999999998749E-2</v>
      </c>
      <c r="AL630">
        <f>'Expense drivers'!BF124</f>
        <v>0</v>
      </c>
      <c r="AM630">
        <f>'Expense drivers'!BG124</f>
        <v>0</v>
      </c>
      <c r="AN630">
        <f>'Expense drivers'!BH124</f>
        <v>0</v>
      </c>
      <c r="AO630">
        <f>'Expense drivers'!BI124</f>
        <v>0</v>
      </c>
      <c r="AP630">
        <f>'Expense drivers'!BJ124</f>
        <v>0</v>
      </c>
      <c r="AQ630">
        <f>'Expense drivers'!BK124</f>
        <v>0</v>
      </c>
      <c r="AR630">
        <f>'Expense drivers'!BL124</f>
        <v>0</v>
      </c>
      <c r="AS630">
        <f>'Expense drivers'!BM124</f>
        <v>0</v>
      </c>
      <c r="AT630">
        <f>'Expense drivers'!BN124</f>
        <v>0</v>
      </c>
      <c r="AU630">
        <f>'Expense drivers'!BO124</f>
        <v>0</v>
      </c>
      <c r="AV630">
        <f>'Expense drivers'!BP124</f>
        <v>0</v>
      </c>
      <c r="AW630">
        <f>'Expense drivers'!BQ124</f>
        <v>0</v>
      </c>
      <c r="AX630">
        <f>'Expense drivers'!BR124</f>
        <v>0</v>
      </c>
      <c r="AY630">
        <f>'Expense drivers'!BS124</f>
        <v>0</v>
      </c>
      <c r="AZ630">
        <f>'Expense drivers'!BT124</f>
        <v>0</v>
      </c>
    </row>
    <row r="631" spans="9:52" ht="11.25" customHeight="1">
      <c r="I631" t="str">
        <f>'Expense drivers'!I125</f>
        <v>bps change Y/Y - % of revenue</v>
      </c>
      <c r="M631">
        <f>'Expense drivers'!M125</f>
        <v>0</v>
      </c>
      <c r="N631">
        <f>'Expense drivers'!N125</f>
        <v>0</v>
      </c>
      <c r="O631">
        <f>'Expense drivers'!O125</f>
        <v>0</v>
      </c>
      <c r="P631">
        <f>'Expense drivers'!P125</f>
        <v>0</v>
      </c>
      <c r="Q631">
        <f>'Expense drivers'!Q125</f>
        <v>55.417927081674591</v>
      </c>
      <c r="R631">
        <f>'Expense drivers'!R125</f>
        <v>-112.61082314985488</v>
      </c>
      <c r="S631">
        <f>'Expense drivers'!S125</f>
        <v>-28.583758770045765</v>
      </c>
      <c r="T631">
        <f>'Expense drivers'!T125</f>
        <v>14.171095153070468</v>
      </c>
      <c r="U631">
        <f>'Expense drivers'!U125</f>
        <v>106.67817484688035</v>
      </c>
      <c r="V631">
        <f>'Expense drivers'!V125</f>
        <v>-34.786861629492599</v>
      </c>
      <c r="W631">
        <f>'Expense drivers'!W125</f>
        <v>15.643015367138858</v>
      </c>
      <c r="X631">
        <f>'Expense drivers'!X125</f>
        <v>144.23450168052923</v>
      </c>
      <c r="Y631">
        <f>'Expense drivers'!Y125</f>
        <v>-31.413258981093094</v>
      </c>
      <c r="Z631">
        <f>'Expense drivers'!Z125</f>
        <v>28.353032484219192</v>
      </c>
      <c r="AA631">
        <f>'Expense drivers'!AA125</f>
        <v>98.975561476195566</v>
      </c>
      <c r="AB631">
        <f>'Expense drivers'!AB125</f>
        <v>-60.412065650945479</v>
      </c>
      <c r="AC631">
        <f>'Expense drivers'!AC125</f>
        <v>40.177434133082393</v>
      </c>
      <c r="AD631">
        <f>'Expense drivers'!AD125</f>
        <v>4.9496194420739492</v>
      </c>
      <c r="AE631">
        <f>'Expense drivers'!AE125</f>
        <v>-228.903112110542</v>
      </c>
      <c r="AF631">
        <f>'Expense drivers'!AF125</f>
        <v>34.215628760037035</v>
      </c>
      <c r="AG631">
        <f>'Expense drivers'!AG125</f>
        <v>254.6877524568142</v>
      </c>
      <c r="AH631">
        <f>'Expense drivers'!AH125</f>
        <v>345.31971205114866</v>
      </c>
      <c r="AI631">
        <f>'Expense drivers'!AI125</f>
        <v>352.67135363236724</v>
      </c>
      <c r="AJ631">
        <f>'Expense drivers'!AJ125</f>
        <v>222.56387082748296</v>
      </c>
      <c r="AL631">
        <f>'Expense drivers'!BF125</f>
        <v>0</v>
      </c>
      <c r="AM631">
        <f>'Expense drivers'!BG125</f>
        <v>0</v>
      </c>
      <c r="AN631">
        <f>'Expense drivers'!BH125</f>
        <v>-2254.2727426007009</v>
      </c>
      <c r="AO631">
        <f>'Expense drivers'!BI125</f>
        <v>-446.34895841499531</v>
      </c>
      <c r="AP631">
        <f>'Expense drivers'!BJ125</f>
        <v>132.6681560615657</v>
      </c>
      <c r="AQ631">
        <f>'Expense drivers'!BK125</f>
        <v>-15.34027948273453</v>
      </c>
      <c r="AR631">
        <f>'Expense drivers'!BL125</f>
        <v>59.733952206971473</v>
      </c>
      <c r="AS631">
        <f>'Expense drivers'!BM125</f>
        <v>8.0118411171442574</v>
      </c>
      <c r="AT631">
        <f>'Expense drivers'!BN125</f>
        <v>-40.058623666375524</v>
      </c>
      <c r="AU631">
        <f>'Expense drivers'!BO125</f>
        <v>294.0334190297944</v>
      </c>
      <c r="AV631">
        <f>'Expense drivers'!BP125</f>
        <v>-192.65720318408731</v>
      </c>
      <c r="AW631">
        <f>'Expense drivers'!BQ125</f>
        <v>83.916901284598893</v>
      </c>
      <c r="AX631">
        <f>'Expense drivers'!BR125</f>
        <v>-53.92234630756748</v>
      </c>
      <c r="AY631">
        <f>'Expense drivers'!BS125</f>
        <v>-66.203261226561722</v>
      </c>
      <c r="AZ631">
        <f>'Expense drivers'!BT125</f>
        <v>-64.657078095982925</v>
      </c>
    </row>
    <row r="632" spans="9:52" ht="11.25" customHeight="1">
      <c r="I632" t="str">
        <f>'Expense drivers'!I126</f>
        <v>bps change Q/Q - % of revenue</v>
      </c>
      <c r="M632">
        <f>'Expense drivers'!M126</f>
        <v>0</v>
      </c>
      <c r="N632">
        <f>'Expense drivers'!N126</f>
        <v>122.47929304860628</v>
      </c>
      <c r="O632">
        <f>'Expense drivers'!O126</f>
        <v>83.146380867780152</v>
      </c>
      <c r="P632">
        <f>'Expense drivers'!P126</f>
        <v>-276.96813584991304</v>
      </c>
      <c r="Q632">
        <f>'Expense drivers'!Q126</f>
        <v>126.76038901520123</v>
      </c>
      <c r="R632">
        <f>'Expense drivers'!R126</f>
        <v>-45.549457182923192</v>
      </c>
      <c r="S632">
        <f>'Expense drivers'!S126</f>
        <v>167.17344524758926</v>
      </c>
      <c r="T632">
        <f>'Expense drivers'!T126</f>
        <v>-234.21328192679684</v>
      </c>
      <c r="U632">
        <f>'Expense drivers'!U126</f>
        <v>219.26746870901113</v>
      </c>
      <c r="V632">
        <f>'Expense drivers'!V126</f>
        <v>-187.01449365929614</v>
      </c>
      <c r="W632">
        <f>'Expense drivers'!W126</f>
        <v>217.60332224422072</v>
      </c>
      <c r="X632">
        <f>'Expense drivers'!X126</f>
        <v>-105.62179561340645</v>
      </c>
      <c r="Y632">
        <f>'Expense drivers'!Y126</f>
        <v>43.619708047388798</v>
      </c>
      <c r="Z632">
        <f>'Expense drivers'!Z126</f>
        <v>-127.24820219398386</v>
      </c>
      <c r="AA632">
        <f>'Expense drivers'!AA126</f>
        <v>288.22585123619712</v>
      </c>
      <c r="AB632">
        <f>'Expense drivers'!AB126</f>
        <v>-265.00942274054751</v>
      </c>
      <c r="AC632">
        <f>'Expense drivers'!AC126</f>
        <v>144.20920783141668</v>
      </c>
      <c r="AD632">
        <f>'Expense drivers'!AD126</f>
        <v>-162.4760168849923</v>
      </c>
      <c r="AE632">
        <f>'Expense drivers'!AE126</f>
        <v>54.373119683581159</v>
      </c>
      <c r="AF632">
        <f>'Expense drivers'!AF126</f>
        <v>-1.8906818699684913</v>
      </c>
      <c r="AG632">
        <f>'Expense drivers'!AG126</f>
        <v>364.68133152819382</v>
      </c>
      <c r="AH632">
        <f>'Expense drivers'!AH126</f>
        <v>-71.844057290657844</v>
      </c>
      <c r="AI632">
        <f>'Expense drivers'!AI126</f>
        <v>61.724761264799753</v>
      </c>
      <c r="AJ632">
        <f>'Expense drivers'!AJ126</f>
        <v>-131.99816467485275</v>
      </c>
      <c r="AL632">
        <f>'Expense drivers'!BF126</f>
        <v>0</v>
      </c>
      <c r="AM632">
        <f>'Expense drivers'!BG126</f>
        <v>0</v>
      </c>
      <c r="AN632">
        <f>'Expense drivers'!BH126</f>
        <v>0</v>
      </c>
      <c r="AO632">
        <f>'Expense drivers'!BI126</f>
        <v>0</v>
      </c>
      <c r="AP632">
        <f>'Expense drivers'!BJ126</f>
        <v>0</v>
      </c>
      <c r="AQ632">
        <f>'Expense drivers'!BK126</f>
        <v>0</v>
      </c>
      <c r="AR632">
        <f>'Expense drivers'!BL126</f>
        <v>0</v>
      </c>
      <c r="AS632">
        <f>'Expense drivers'!BM126</f>
        <v>0</v>
      </c>
      <c r="AT632">
        <f>'Expense drivers'!BN126</f>
        <v>0</v>
      </c>
      <c r="AU632">
        <f>'Expense drivers'!BO126</f>
        <v>0</v>
      </c>
      <c r="AV632">
        <f>'Expense drivers'!BP126</f>
        <v>0</v>
      </c>
      <c r="AW632">
        <f>'Expense drivers'!BQ126</f>
        <v>0</v>
      </c>
      <c r="AX632">
        <f>'Expense drivers'!BR126</f>
        <v>0</v>
      </c>
      <c r="AY632">
        <f>'Expense drivers'!BS126</f>
        <v>0</v>
      </c>
      <c r="AZ632">
        <f>'Expense drivers'!BT126</f>
        <v>0</v>
      </c>
    </row>
    <row r="633" spans="9:52" ht="11.25" customHeight="1">
      <c r="I633">
        <f>'Expense drivers'!I127</f>
        <v>0</v>
      </c>
      <c r="M633">
        <f>'Expense drivers'!M127</f>
        <v>0</v>
      </c>
      <c r="N633">
        <f>'Expense drivers'!N127</f>
        <v>0</v>
      </c>
      <c r="O633">
        <f>'Expense drivers'!O127</f>
        <v>0</v>
      </c>
      <c r="P633">
        <f>'Expense drivers'!P127</f>
        <v>0</v>
      </c>
      <c r="Q633">
        <f>'Expense drivers'!Q127</f>
        <v>0</v>
      </c>
      <c r="R633">
        <f>'Expense drivers'!R127</f>
        <v>0</v>
      </c>
      <c r="S633">
        <f>'Expense drivers'!S127</f>
        <v>0</v>
      </c>
      <c r="T633">
        <f>'Expense drivers'!T127</f>
        <v>0</v>
      </c>
      <c r="U633">
        <f>'Expense drivers'!U127</f>
        <v>0</v>
      </c>
      <c r="V633">
        <f>'Expense drivers'!V127</f>
        <v>0</v>
      </c>
      <c r="W633">
        <f>'Expense drivers'!W127</f>
        <v>0</v>
      </c>
      <c r="X633">
        <f>'Expense drivers'!X127</f>
        <v>0</v>
      </c>
      <c r="Y633">
        <f>'Expense drivers'!Y127</f>
        <v>0</v>
      </c>
      <c r="Z633">
        <f>'Expense drivers'!Z127</f>
        <v>0</v>
      </c>
      <c r="AA633">
        <f>'Expense drivers'!AA127</f>
        <v>0</v>
      </c>
      <c r="AB633">
        <f>'Expense drivers'!AB127</f>
        <v>0</v>
      </c>
      <c r="AC633">
        <f>'Expense drivers'!AC127</f>
        <v>0</v>
      </c>
      <c r="AD633">
        <f>'Expense drivers'!AD127</f>
        <v>0</v>
      </c>
      <c r="AE633">
        <f>'Expense drivers'!AE127</f>
        <v>0</v>
      </c>
      <c r="AF633">
        <f>'Expense drivers'!AF127</f>
        <v>0</v>
      </c>
      <c r="AG633">
        <f>'Expense drivers'!AG127</f>
        <v>0</v>
      </c>
      <c r="AH633">
        <f>'Expense drivers'!AH127</f>
        <v>0</v>
      </c>
      <c r="AI633">
        <f>'Expense drivers'!AI127</f>
        <v>0</v>
      </c>
      <c r="AJ633">
        <f>'Expense drivers'!AJ127</f>
        <v>0</v>
      </c>
      <c r="AL633">
        <f>'Expense drivers'!BF127</f>
        <v>0</v>
      </c>
      <c r="AM633">
        <f>'Expense drivers'!BG127</f>
        <v>0</v>
      </c>
      <c r="AN633">
        <f>'Expense drivers'!BH127</f>
        <v>0</v>
      </c>
      <c r="AO633">
        <f>'Expense drivers'!BI127</f>
        <v>0</v>
      </c>
      <c r="AP633">
        <f>'Expense drivers'!BJ127</f>
        <v>0</v>
      </c>
      <c r="AQ633">
        <f>'Expense drivers'!BK127</f>
        <v>0</v>
      </c>
      <c r="AR633">
        <f>'Expense drivers'!BL127</f>
        <v>0</v>
      </c>
      <c r="AS633">
        <f>'Expense drivers'!BM127</f>
        <v>0</v>
      </c>
      <c r="AT633">
        <f>'Expense drivers'!BN127</f>
        <v>0</v>
      </c>
      <c r="AU633">
        <f>'Expense drivers'!BO127</f>
        <v>0</v>
      </c>
      <c r="AV633">
        <f>'Expense drivers'!BP127</f>
        <v>0</v>
      </c>
      <c r="AW633">
        <f>'Expense drivers'!BQ127</f>
        <v>0</v>
      </c>
      <c r="AX633">
        <f>'Expense drivers'!BR127</f>
        <v>0</v>
      </c>
      <c r="AY633">
        <f>'Expense drivers'!BS127</f>
        <v>0</v>
      </c>
      <c r="AZ633">
        <f>'Expense drivers'!BT127</f>
        <v>0</v>
      </c>
    </row>
    <row r="634" spans="9:52" ht="11.25" customHeight="1">
      <c r="I634" t="str">
        <f>'Expense drivers'!I128</f>
        <v>Product Development (GAAP)</v>
      </c>
      <c r="M634">
        <f>'Expense drivers'!M128</f>
        <v>1.2070000000000001</v>
      </c>
      <c r="N634">
        <f>'Expense drivers'!N128</f>
        <v>1.522</v>
      </c>
      <c r="O634">
        <f>'Expense drivers'!O128</f>
        <v>1.9219999999999999</v>
      </c>
      <c r="P634">
        <f>'Expense drivers'!P128</f>
        <v>1.909</v>
      </c>
      <c r="Q634">
        <f>'Expense drivers'!Q128</f>
        <v>2.319</v>
      </c>
      <c r="R634">
        <f>'Expense drivers'!R128</f>
        <v>2.661</v>
      </c>
      <c r="S634">
        <f>'Expense drivers'!S128</f>
        <v>3.444</v>
      </c>
      <c r="T634">
        <f>'Expense drivers'!T128</f>
        <v>3.1619999999999999</v>
      </c>
      <c r="U634">
        <f>'Expense drivers'!U128</f>
        <v>4.1399999999999997</v>
      </c>
      <c r="V634">
        <f>'Expense drivers'!V128</f>
        <v>4.3360000000000003</v>
      </c>
      <c r="W634">
        <f>'Expense drivers'!W128</f>
        <v>5.7530000000000001</v>
      </c>
      <c r="X634">
        <f>'Expense drivers'!X128</f>
        <v>6.2439999999999998</v>
      </c>
      <c r="Y634">
        <f>'Expense drivers'!Y128</f>
        <v>7.2359999999999998</v>
      </c>
      <c r="Z634">
        <f>'Expense drivers'!Z128</f>
        <v>7.9969999999999999</v>
      </c>
      <c r="AA634">
        <f>'Expense drivers'!AA128</f>
        <v>11.208</v>
      </c>
      <c r="AB634">
        <f>'Expense drivers'!AB128</f>
        <v>11.802</v>
      </c>
      <c r="AC634">
        <f>'Expense drivers'!AC128</f>
        <v>13.981999999999999</v>
      </c>
      <c r="AD634">
        <f>'Expense drivers'!AD128</f>
        <v>14.726000000000001</v>
      </c>
      <c r="AE634">
        <f>'Expense drivers'!AE128</f>
        <v>17.396999999999998</v>
      </c>
      <c r="AF634">
        <f>'Expense drivers'!AF128</f>
        <v>19.076000000000001</v>
      </c>
      <c r="AG634">
        <f>'Expense drivers'!AG128</f>
        <v>23.96</v>
      </c>
      <c r="AH634">
        <f>'Expense drivers'!AH128</f>
        <v>26.344999999999999</v>
      </c>
      <c r="AI634">
        <f>'Expense drivers'!AI128</f>
        <v>28.510999999999999</v>
      </c>
      <c r="AJ634">
        <f>'Expense drivers'!AJ128</f>
        <v>28.97</v>
      </c>
      <c r="AL634">
        <f>'Expense drivers'!BF128</f>
        <v>0</v>
      </c>
      <c r="AM634">
        <f>'Expense drivers'!BG128</f>
        <v>0</v>
      </c>
      <c r="AN634">
        <f>'Expense drivers'!BH128</f>
        <v>0</v>
      </c>
      <c r="AO634">
        <f>'Expense drivers'!BI128</f>
        <v>0</v>
      </c>
      <c r="AP634">
        <f>'Expense drivers'!BJ128</f>
        <v>0</v>
      </c>
      <c r="AQ634">
        <f>'Expense drivers'!BK128</f>
        <v>11.585999999999999</v>
      </c>
      <c r="AR634">
        <f>'Expense drivers'!BL128</f>
        <v>20.472999999999999</v>
      </c>
      <c r="AS634">
        <f>'Expense drivers'!BM128</f>
        <v>38.243000000000002</v>
      </c>
      <c r="AT634">
        <f>'Expense drivers'!BN128</f>
        <v>65.180999999999997</v>
      </c>
      <c r="AU634">
        <f>'Expense drivers'!BO128</f>
        <v>107.786</v>
      </c>
      <c r="AV634">
        <f>'Expense drivers'!BP128</f>
        <v>138.54899999999998</v>
      </c>
      <c r="AW634">
        <f>'Expense drivers'!BQ128</f>
        <v>175.78700000000001</v>
      </c>
      <c r="AX634">
        <f>'Expense drivers'!BR128</f>
        <v>198.30167529224232</v>
      </c>
      <c r="AY634">
        <f>'Expense drivers'!BS128</f>
        <v>220.73703632731139</v>
      </c>
      <c r="AZ634">
        <f>'Expense drivers'!BT128</f>
        <v>239.21003996004254</v>
      </c>
    </row>
    <row r="635" spans="9:52" ht="11.25" customHeight="1">
      <c r="I635" t="str">
        <f>'Expense drivers'!I151</f>
        <v>General and administrative (ex-SBC)</v>
      </c>
      <c r="M635">
        <f>'Expense drivers'!M151</f>
        <v>1.72</v>
      </c>
      <c r="N635">
        <f>'Expense drivers'!N151</f>
        <v>2.718</v>
      </c>
      <c r="O635">
        <f>'Expense drivers'!O151</f>
        <v>2.5350000000000001</v>
      </c>
      <c r="P635">
        <f>'Expense drivers'!P151</f>
        <v>2.5310000000000001</v>
      </c>
      <c r="Q635">
        <f>'Expense drivers'!Q151</f>
        <v>2.9409999999999998</v>
      </c>
      <c r="R635">
        <f>'Expense drivers'!R151</f>
        <v>3.101</v>
      </c>
      <c r="S635">
        <f>'Expense drivers'!S151</f>
        <v>4.1150000000000002</v>
      </c>
      <c r="T635">
        <f>'Expense drivers'!T151</f>
        <v>4.5780000000000003</v>
      </c>
      <c r="U635">
        <f>'Expense drivers'!U151</f>
        <v>4.6899999999999995</v>
      </c>
      <c r="V635">
        <f>'Expense drivers'!V151</f>
        <v>5.335</v>
      </c>
      <c r="W635">
        <f>'Expense drivers'!W151</f>
        <v>6.298</v>
      </c>
      <c r="X635">
        <f>'Expense drivers'!X151</f>
        <v>7.0739999999999998</v>
      </c>
      <c r="Y635">
        <f>'Expense drivers'!Y151</f>
        <v>7.0349999999999993</v>
      </c>
      <c r="Z635">
        <f>'Expense drivers'!Z151</f>
        <v>7.8620000000000001</v>
      </c>
      <c r="AA635">
        <f>'Expense drivers'!AA151</f>
        <v>7.9930000000000003</v>
      </c>
      <c r="AB635">
        <f>'Expense drivers'!AB151</f>
        <v>10.717000000000001</v>
      </c>
      <c r="AC635">
        <f>'Expense drivers'!AC151</f>
        <v>10.303000000000001</v>
      </c>
      <c r="AD635">
        <f>'Expense drivers'!AD151</f>
        <v>10.477</v>
      </c>
      <c r="AE635">
        <f>'Expense drivers'!AE151</f>
        <v>12.238</v>
      </c>
      <c r="AF635">
        <f>'Expense drivers'!AF151</f>
        <v>13.598999999999998</v>
      </c>
      <c r="AG635">
        <f>'Expense drivers'!AG151</f>
        <v>16.432000000000002</v>
      </c>
      <c r="AH635">
        <f>'Expense drivers'!AH151</f>
        <v>15.705000000000002</v>
      </c>
      <c r="AI635">
        <f>'Expense drivers'!AI151</f>
        <v>17.256999999999998</v>
      </c>
      <c r="AJ635">
        <f>'Expense drivers'!AJ151</f>
        <v>17.14</v>
      </c>
      <c r="AL635">
        <f>'Expense drivers'!BF151</f>
        <v>0</v>
      </c>
      <c r="AM635">
        <f>'Expense drivers'!BG151</f>
        <v>1.772</v>
      </c>
      <c r="AN635">
        <f>'Expense drivers'!BH151</f>
        <v>4.9530000000000003</v>
      </c>
      <c r="AO635">
        <f>'Expense drivers'!BI151</f>
        <v>4.4400000000000004</v>
      </c>
      <c r="AP635">
        <f>'Expense drivers'!BJ151</f>
        <v>9.5039999999999996</v>
      </c>
      <c r="AQ635">
        <f>'Expense drivers'!BK151</f>
        <v>14.734999999999999</v>
      </c>
      <c r="AR635">
        <f>'Expense drivers'!BL151</f>
        <v>23.396999999999998</v>
      </c>
      <c r="AS635">
        <f>'Expense drivers'!BM151</f>
        <v>33.606999999999999</v>
      </c>
      <c r="AT635">
        <f>'Expense drivers'!BN151</f>
        <v>46.616999999999997</v>
      </c>
      <c r="AU635">
        <f>'Expense drivers'!BO151</f>
        <v>66.533999999999992</v>
      </c>
      <c r="AV635">
        <f>'Expense drivers'!BP151</f>
        <v>77.086999999999989</v>
      </c>
      <c r="AW635">
        <f>'Expense drivers'!BQ151</f>
        <v>84.647999999999996</v>
      </c>
      <c r="AX635">
        <f>'Expense drivers'!BR151</f>
        <v>91.647999999999996</v>
      </c>
      <c r="AY635">
        <f>'Expense drivers'!BS151</f>
        <v>103.648</v>
      </c>
      <c r="AZ635">
        <f>'Expense drivers'!BT151</f>
        <v>115.648</v>
      </c>
    </row>
    <row r="636" spans="9:52" ht="11.25" customHeight="1">
      <c r="I636" t="str">
        <f>'Expense drivers'!I152</f>
        <v>DRIVER: Base case - % of revenue</v>
      </c>
      <c r="M636">
        <f>'Expense drivers'!M152</f>
        <v>0.18826619964973731</v>
      </c>
      <c r="N636">
        <f>'Expense drivers'!N152</f>
        <v>0.25337932320313233</v>
      </c>
      <c r="O636">
        <f>'Expense drivers'!O152</f>
        <v>0.20128632682229633</v>
      </c>
      <c r="P636">
        <f>'Expense drivers'!P152</f>
        <v>0.1657064292261359</v>
      </c>
      <c r="Q636">
        <f>'Expense drivers'!Q152</f>
        <v>0.17824242424242423</v>
      </c>
      <c r="R636">
        <f>'Expense drivers'!R152</f>
        <v>0.15839207273470221</v>
      </c>
      <c r="S636">
        <f>'Expense drivers'!S152</f>
        <v>0.18451259976683707</v>
      </c>
      <c r="T636">
        <f>'Expense drivers'!T152</f>
        <v>0.18381851033928931</v>
      </c>
      <c r="U636">
        <f>'Expense drivers'!U152</f>
        <v>0.17126163958371371</v>
      </c>
      <c r="V636">
        <f>'Expense drivers'!V152</f>
        <v>0.16338468134627754</v>
      </c>
      <c r="W636">
        <f>'Expense drivers'!W152</f>
        <v>0.17315993511313957</v>
      </c>
      <c r="X636">
        <f>'Expense drivers'!X152</f>
        <v>0.171878416794227</v>
      </c>
      <c r="Y636">
        <f>'Expense drivers'!Y152</f>
        <v>0.15249387640084103</v>
      </c>
      <c r="Z636">
        <f>'Expense drivers'!Z152</f>
        <v>0.14288570234265671</v>
      </c>
      <c r="AA636">
        <f>'Expense drivers'!AA152</f>
        <v>0.13064513492751018</v>
      </c>
      <c r="AB636">
        <f>'Expense drivers'!AB152</f>
        <v>0.15168928960665809</v>
      </c>
      <c r="AC636">
        <f>'Expense drivers'!AC152</f>
        <v>0.13484366615624224</v>
      </c>
      <c r="AD636">
        <f>'Expense drivers'!AD152</f>
        <v>0.11800150922995484</v>
      </c>
      <c r="AE636">
        <f>'Expense drivers'!AE152</f>
        <v>0.1194475623444439</v>
      </c>
      <c r="AF636">
        <f>'Expense drivers'!AF152</f>
        <v>0.12375440224958364</v>
      </c>
      <c r="AG636">
        <f>'Expense drivers'!AG152</f>
        <v>0.14697674418604653</v>
      </c>
      <c r="AH636">
        <f>'Expense drivers'!AH152</f>
        <v>0.12503980891719746</v>
      </c>
      <c r="AI636">
        <f>'Expense drivers'!AI152</f>
        <v>0.12820950965824665</v>
      </c>
      <c r="AJ636">
        <f>'Expense drivers'!AJ152</f>
        <v>0.11683708248125427</v>
      </c>
      <c r="AL636">
        <f>'Expense drivers'!BF152</f>
        <v>0</v>
      </c>
      <c r="AM636">
        <f>'Expense drivers'!BG152</f>
        <v>0.47316421895861149</v>
      </c>
      <c r="AN636">
        <f>'Expense drivers'!BH152</f>
        <v>0.4080237251832935</v>
      </c>
      <c r="AO636">
        <f>'Expense drivers'!BI152</f>
        <v>0.17203967761934283</v>
      </c>
      <c r="AP636">
        <f>'Expense drivers'!BJ152</f>
        <v>0.19911587856948312</v>
      </c>
      <c r="AQ636">
        <f>'Expense drivers'!BK152</f>
        <v>0.17692261511676771</v>
      </c>
      <c r="AR636">
        <f>'Expense drivers'!BL152</f>
        <v>0.17007836238605473</v>
      </c>
      <c r="AS636">
        <f>'Expense drivers'!BM152</f>
        <v>0.14424348035091936</v>
      </c>
      <c r="AT636">
        <f>'Expense drivers'!BN152</f>
        <v>0.12347696643498897</v>
      </c>
      <c r="AU636">
        <f>'Expense drivers'!BO152</f>
        <v>0.12827067669172929</v>
      </c>
      <c r="AV636">
        <f>'Expense drivers'!BP152</f>
        <v>0.10810594767126322</v>
      </c>
      <c r="AW636">
        <f>'Expense drivers'!BQ152</f>
        <v>9.9960676087872999E-2</v>
      </c>
      <c r="AX636">
        <f>'Expense drivers'!BR152</f>
        <v>9.5466666666666658E-2</v>
      </c>
      <c r="AY636">
        <f>'Expense drivers'!BS152</f>
        <v>9.284127552848441E-2</v>
      </c>
      <c r="AZ636">
        <f>'Expense drivers'!BT152</f>
        <v>9.1740441059812786E-2</v>
      </c>
    </row>
    <row r="637" spans="9:52" ht="11.25" customHeight="1">
      <c r="I637" t="str">
        <f>'Expense drivers'!I153</f>
        <v>% change Y/Y</v>
      </c>
      <c r="M637" t="str">
        <f>'Expense drivers'!M153</f>
        <v>NA</v>
      </c>
      <c r="N637" t="str">
        <f>'Expense drivers'!N153</f>
        <v>NA</v>
      </c>
      <c r="O637" t="str">
        <f>'Expense drivers'!O153</f>
        <v>NA</v>
      </c>
      <c r="P637" t="str">
        <f>'Expense drivers'!P153</f>
        <v>NA</v>
      </c>
      <c r="Q637">
        <f>'Expense drivers'!Q153</f>
        <v>0.70988372093023244</v>
      </c>
      <c r="R637">
        <f>'Expense drivers'!R153</f>
        <v>0.14091243561442246</v>
      </c>
      <c r="S637">
        <f>'Expense drivers'!S153</f>
        <v>0.62327416173570027</v>
      </c>
      <c r="T637">
        <f>'Expense drivers'!T153</f>
        <v>0.80877123666534967</v>
      </c>
      <c r="U637">
        <f>'Expense drivers'!U153</f>
        <v>0.59469568174090437</v>
      </c>
      <c r="V637">
        <f>'Expense drivers'!V153</f>
        <v>0.72041277007416959</v>
      </c>
      <c r="W637">
        <f>'Expense drivers'!W153</f>
        <v>0.53049817739975702</v>
      </c>
      <c r="X637">
        <f>'Expense drivers'!X153</f>
        <v>0.54521625163826992</v>
      </c>
      <c r="Y637">
        <f>'Expense drivers'!Y153</f>
        <v>0.5</v>
      </c>
      <c r="Z637">
        <f>'Expense drivers'!Z153</f>
        <v>0.47366447985004689</v>
      </c>
      <c r="AA637">
        <f>'Expense drivers'!AA153</f>
        <v>0.26913305811368682</v>
      </c>
      <c r="AB637">
        <f>'Expense drivers'!AB153</f>
        <v>0.51498445009895399</v>
      </c>
      <c r="AC637">
        <f>'Expense drivers'!AC153</f>
        <v>0.46453447050461993</v>
      </c>
      <c r="AD637">
        <f>'Expense drivers'!AD153</f>
        <v>0.33261256677690154</v>
      </c>
      <c r="AE637">
        <f>'Expense drivers'!AE153</f>
        <v>0.53108970349055418</v>
      </c>
      <c r="AF637">
        <f>'Expense drivers'!AF153</f>
        <v>0.26891854063637188</v>
      </c>
      <c r="AG637">
        <f>'Expense drivers'!AG153</f>
        <v>0.59487527904493853</v>
      </c>
      <c r="AH637">
        <f>'Expense drivers'!AH153</f>
        <v>0.49899780471509025</v>
      </c>
      <c r="AI637">
        <f>'Expense drivers'!AI153</f>
        <v>0.41011603203137748</v>
      </c>
      <c r="AJ637">
        <f>'Expense drivers'!AJ153</f>
        <v>0.26038679314655511</v>
      </c>
      <c r="AL637">
        <f>'Expense drivers'!BF153</f>
        <v>0</v>
      </c>
      <c r="AM637" t="str">
        <f>'Expense drivers'!BG153</f>
        <v>NA</v>
      </c>
      <c r="AN637">
        <f>'Expense drivers'!BH153</f>
        <v>1.7951467268623027</v>
      </c>
      <c r="AO637">
        <f>'Expense drivers'!BI153</f>
        <v>-0.10357359176256808</v>
      </c>
      <c r="AP637">
        <f>'Expense drivers'!BJ153</f>
        <v>1.1405405405405404</v>
      </c>
      <c r="AQ637">
        <f>'Expense drivers'!BK153</f>
        <v>0.55039983164983175</v>
      </c>
      <c r="AR637">
        <f>'Expense drivers'!BL153</f>
        <v>0.58785205293518827</v>
      </c>
      <c r="AS637">
        <f>'Expense drivers'!BM153</f>
        <v>0.43638073257255217</v>
      </c>
      <c r="AT637">
        <f>'Expense drivers'!BN153</f>
        <v>0.38712173059184085</v>
      </c>
      <c r="AU637">
        <f>'Expense drivers'!BO153</f>
        <v>0.42724757062874041</v>
      </c>
      <c r="AV637">
        <f>'Expense drivers'!BP153</f>
        <v>0.15861063516397622</v>
      </c>
      <c r="AW637">
        <f>'Expense drivers'!BQ153</f>
        <v>9.8083983032158484E-2</v>
      </c>
      <c r="AX637">
        <f>'Expense drivers'!BR153</f>
        <v>8.2695397410452731E-2</v>
      </c>
      <c r="AY637">
        <f>'Expense drivers'!BS153</f>
        <v>0.13093575418994408</v>
      </c>
      <c r="AZ637">
        <f>'Expense drivers'!BT153</f>
        <v>0.11577647422043835</v>
      </c>
    </row>
    <row r="638" spans="9:52" ht="11.25" customHeight="1">
      <c r="I638" t="str">
        <f>'Expense drivers'!I154</f>
        <v>% change Q/Q</v>
      </c>
      <c r="M638" t="str">
        <f>'Expense drivers'!M154</f>
        <v>NA</v>
      </c>
      <c r="N638">
        <f>'Expense drivers'!N154</f>
        <v>0.58023255813953489</v>
      </c>
      <c r="O638">
        <f>'Expense drivers'!O154</f>
        <v>-6.7328918322295706E-2</v>
      </c>
      <c r="P638">
        <f>'Expense drivers'!P154</f>
        <v>-1.5779092702169484E-3</v>
      </c>
      <c r="Q638">
        <f>'Expense drivers'!Q154</f>
        <v>0.16199130778348469</v>
      </c>
      <c r="R638">
        <f>'Expense drivers'!R154</f>
        <v>5.4403264195851841E-2</v>
      </c>
      <c r="S638">
        <f>'Expense drivers'!S154</f>
        <v>0.32699129313124797</v>
      </c>
      <c r="T638">
        <f>'Expense drivers'!T154</f>
        <v>0.11251518833535856</v>
      </c>
      <c r="U638">
        <f>'Expense drivers'!U154</f>
        <v>2.4464831804281273E-2</v>
      </c>
      <c r="V638">
        <f>'Expense drivers'!V154</f>
        <v>0.13752665245202578</v>
      </c>
      <c r="W638">
        <f>'Expense drivers'!W154</f>
        <v>0.18050609184629796</v>
      </c>
      <c r="X638">
        <f>'Expense drivers'!X154</f>
        <v>0.12321371864083841</v>
      </c>
      <c r="Y638">
        <f>'Expense drivers'!Y154</f>
        <v>-5.5131467345208574E-3</v>
      </c>
      <c r="Z638">
        <f>'Expense drivers'!Z154</f>
        <v>0.11755508173418638</v>
      </c>
      <c r="AA638">
        <f>'Expense drivers'!AA154</f>
        <v>1.6662426863393476E-2</v>
      </c>
      <c r="AB638">
        <f>'Expense drivers'!AB154</f>
        <v>0.34079819842362058</v>
      </c>
      <c r="AC638">
        <f>'Expense drivers'!AC154</f>
        <v>-3.8630213679201275E-2</v>
      </c>
      <c r="AD638">
        <f>'Expense drivers'!AD154</f>
        <v>1.6888284965544065E-2</v>
      </c>
      <c r="AE638">
        <f>'Expense drivers'!AE154</f>
        <v>0.16808246635487256</v>
      </c>
      <c r="AF638">
        <f>'Expense drivers'!AF154</f>
        <v>0.11121098218663161</v>
      </c>
      <c r="AG638">
        <f>'Expense drivers'!AG154</f>
        <v>0.20832414148099154</v>
      </c>
      <c r="AH638">
        <f>'Expense drivers'!AH154</f>
        <v>-4.4242940603700154E-2</v>
      </c>
      <c r="AI638">
        <f>'Expense drivers'!AI154</f>
        <v>9.8822031200254346E-2</v>
      </c>
      <c r="AJ638">
        <f>'Expense drivers'!AJ154</f>
        <v>-6.7798574491508834E-3</v>
      </c>
      <c r="AL638">
        <f>'Expense drivers'!BF154</f>
        <v>0</v>
      </c>
      <c r="AM638">
        <f>'Expense drivers'!BG154</f>
        <v>0</v>
      </c>
      <c r="AN638">
        <f>'Expense drivers'!BH154</f>
        <v>0</v>
      </c>
      <c r="AO638">
        <f>'Expense drivers'!BI154</f>
        <v>0</v>
      </c>
      <c r="AP638">
        <f>'Expense drivers'!BJ154</f>
        <v>0</v>
      </c>
      <c r="AQ638">
        <f>'Expense drivers'!BK154</f>
        <v>0</v>
      </c>
      <c r="AR638">
        <f>'Expense drivers'!BL154</f>
        <v>0</v>
      </c>
      <c r="AS638">
        <f>'Expense drivers'!BM154</f>
        <v>0</v>
      </c>
      <c r="AT638">
        <f>'Expense drivers'!BN154</f>
        <v>0</v>
      </c>
      <c r="AU638">
        <f>'Expense drivers'!BO154</f>
        <v>0</v>
      </c>
      <c r="AV638">
        <f>'Expense drivers'!BP154</f>
        <v>0</v>
      </c>
      <c r="AW638">
        <f>'Expense drivers'!BQ154</f>
        <v>0</v>
      </c>
      <c r="AX638">
        <f>'Expense drivers'!BR154</f>
        <v>0</v>
      </c>
      <c r="AY638">
        <f>'Expense drivers'!BS154</f>
        <v>0</v>
      </c>
      <c r="AZ638">
        <f>'Expense drivers'!BT154</f>
        <v>0</v>
      </c>
    </row>
    <row r="639" spans="9:52" ht="11.25" customHeight="1">
      <c r="I639" t="str">
        <f>'Expense drivers'!I155</f>
        <v>Y/Y Abs Growth</v>
      </c>
      <c r="M639">
        <f>'Expense drivers'!M155</f>
        <v>0</v>
      </c>
      <c r="N639">
        <f>'Expense drivers'!N155</f>
        <v>0</v>
      </c>
      <c r="O639">
        <f>'Expense drivers'!O155</f>
        <v>0</v>
      </c>
      <c r="P639">
        <f>'Expense drivers'!P155</f>
        <v>0</v>
      </c>
      <c r="Q639">
        <f>'Expense drivers'!Q155</f>
        <v>1.2209999999999999</v>
      </c>
      <c r="R639">
        <f>'Expense drivers'!R155</f>
        <v>0.38300000000000001</v>
      </c>
      <c r="S639">
        <f>'Expense drivers'!S155</f>
        <v>1.58</v>
      </c>
      <c r="T639">
        <f>'Expense drivers'!T155</f>
        <v>2.0470000000000002</v>
      </c>
      <c r="U639">
        <f>'Expense drivers'!U155</f>
        <v>1.7489999999999997</v>
      </c>
      <c r="V639">
        <f>'Expense drivers'!V155</f>
        <v>2.234</v>
      </c>
      <c r="W639">
        <f>'Expense drivers'!W155</f>
        <v>2.1829999999999998</v>
      </c>
      <c r="X639">
        <f>'Expense drivers'!X155</f>
        <v>2.4959999999999996</v>
      </c>
      <c r="Y639">
        <f>'Expense drivers'!Y155</f>
        <v>2.3449999999999998</v>
      </c>
      <c r="Z639">
        <f>'Expense drivers'!Z155</f>
        <v>2.5270000000000001</v>
      </c>
      <c r="AA639">
        <f>'Expense drivers'!AA155</f>
        <v>1.6950000000000003</v>
      </c>
      <c r="AB639">
        <f>'Expense drivers'!AB155</f>
        <v>3.6430000000000007</v>
      </c>
      <c r="AC639">
        <f>'Expense drivers'!AC155</f>
        <v>3.2680000000000016</v>
      </c>
      <c r="AD639">
        <f>'Expense drivers'!AD155</f>
        <v>2.6150000000000002</v>
      </c>
      <c r="AE639">
        <f>'Expense drivers'!AE155</f>
        <v>4.2449999999999992</v>
      </c>
      <c r="AF639">
        <f>'Expense drivers'!AF155</f>
        <v>2.8819999999999979</v>
      </c>
      <c r="AG639">
        <f>'Expense drivers'!AG155</f>
        <v>6.1290000000000013</v>
      </c>
      <c r="AH639">
        <f>'Expense drivers'!AH155</f>
        <v>5.2280000000000015</v>
      </c>
      <c r="AI639">
        <f>'Expense drivers'!AI155</f>
        <v>5.0189999999999984</v>
      </c>
      <c r="AJ639">
        <f>'Expense drivers'!AJ155</f>
        <v>3.5410000000000021</v>
      </c>
      <c r="AL639">
        <f>'Expense drivers'!BF155</f>
        <v>0</v>
      </c>
      <c r="AM639">
        <f>'Expense drivers'!BG155</f>
        <v>0</v>
      </c>
      <c r="AN639">
        <f>'Expense drivers'!BH155</f>
        <v>3.181</v>
      </c>
      <c r="AO639">
        <f>'Expense drivers'!BI155</f>
        <v>-0.5129999999999999</v>
      </c>
      <c r="AP639">
        <f>'Expense drivers'!BJ155</f>
        <v>5.0639999999999992</v>
      </c>
      <c r="AQ639">
        <f>'Expense drivers'!BK155</f>
        <v>5.2309999999999999</v>
      </c>
      <c r="AR639">
        <f>'Expense drivers'!BL155</f>
        <v>8.661999999999999</v>
      </c>
      <c r="AS639">
        <f>'Expense drivers'!BM155</f>
        <v>10.210000000000001</v>
      </c>
      <c r="AT639">
        <f>'Expense drivers'!BN155</f>
        <v>13.009999999999998</v>
      </c>
      <c r="AU639">
        <f>'Expense drivers'!BO155</f>
        <v>19.916999999999994</v>
      </c>
      <c r="AV639">
        <f>'Expense drivers'!BP155</f>
        <v>10.552999999999997</v>
      </c>
      <c r="AW639">
        <f>'Expense drivers'!BQ155</f>
        <v>7.561000000000007</v>
      </c>
      <c r="AX639">
        <f>'Expense drivers'!BR155</f>
        <v>7</v>
      </c>
      <c r="AY639">
        <f>'Expense drivers'!BS155</f>
        <v>12</v>
      </c>
      <c r="AZ639">
        <f>'Expense drivers'!BT155</f>
        <v>12</v>
      </c>
    </row>
    <row r="640" spans="9:52" ht="11.25" customHeight="1">
      <c r="I640" t="str">
        <f>'Expense drivers'!I156</f>
        <v>Q/Q Abs Growth</v>
      </c>
      <c r="M640">
        <f>'Expense drivers'!M156</f>
        <v>0</v>
      </c>
      <c r="N640">
        <f>'Expense drivers'!N156</f>
        <v>0.998</v>
      </c>
      <c r="O640">
        <f>'Expense drivers'!O156</f>
        <v>-0.18299999999999983</v>
      </c>
      <c r="P640">
        <f>'Expense drivers'!P156</f>
        <v>-4.0000000000000036E-3</v>
      </c>
      <c r="Q640">
        <f>'Expense drivers'!Q156</f>
        <v>0.4099999999999997</v>
      </c>
      <c r="R640">
        <f>'Expense drivers'!R156</f>
        <v>0.16000000000000014</v>
      </c>
      <c r="S640">
        <f>'Expense drivers'!S156</f>
        <v>1.0140000000000002</v>
      </c>
      <c r="T640">
        <f>'Expense drivers'!T156</f>
        <v>0.46300000000000008</v>
      </c>
      <c r="U640">
        <f>'Expense drivers'!U156</f>
        <v>0.11199999999999921</v>
      </c>
      <c r="V640">
        <f>'Expense drivers'!V156</f>
        <v>0.64500000000000046</v>
      </c>
      <c r="W640">
        <f>'Expense drivers'!W156</f>
        <v>0.96300000000000008</v>
      </c>
      <c r="X640">
        <f>'Expense drivers'!X156</f>
        <v>0.7759999999999998</v>
      </c>
      <c r="Y640">
        <f>'Expense drivers'!Y156</f>
        <v>-3.900000000000059E-2</v>
      </c>
      <c r="Z640">
        <f>'Expense drivers'!Z156</f>
        <v>0.82700000000000085</v>
      </c>
      <c r="AA640">
        <f>'Expense drivers'!AA156</f>
        <v>0.13100000000000023</v>
      </c>
      <c r="AB640">
        <f>'Expense drivers'!AB156</f>
        <v>2.7240000000000002</v>
      </c>
      <c r="AC640">
        <f>'Expense drivers'!AC156</f>
        <v>-0.4139999999999997</v>
      </c>
      <c r="AD640">
        <f>'Expense drivers'!AD156</f>
        <v>0.17399999999999949</v>
      </c>
      <c r="AE640">
        <f>'Expense drivers'!AE156</f>
        <v>1.7609999999999992</v>
      </c>
      <c r="AF640">
        <f>'Expense drivers'!AF156</f>
        <v>1.3609999999999989</v>
      </c>
      <c r="AG640">
        <f>'Expense drivers'!AG156</f>
        <v>2.8330000000000037</v>
      </c>
      <c r="AH640">
        <f>'Expense drivers'!AH156</f>
        <v>-0.72700000000000031</v>
      </c>
      <c r="AI640">
        <f>'Expense drivers'!AI156</f>
        <v>1.551999999999996</v>
      </c>
      <c r="AJ640">
        <f>'Expense drivers'!AJ156</f>
        <v>-0.11699999999999733</v>
      </c>
      <c r="AL640">
        <f>'Expense drivers'!BF156</f>
        <v>0</v>
      </c>
      <c r="AM640">
        <f>'Expense drivers'!BG156</f>
        <v>0</v>
      </c>
      <c r="AN640">
        <f>'Expense drivers'!BH156</f>
        <v>0</v>
      </c>
      <c r="AO640">
        <f>'Expense drivers'!BI156</f>
        <v>0</v>
      </c>
      <c r="AP640">
        <f>'Expense drivers'!BJ156</f>
        <v>0</v>
      </c>
      <c r="AQ640">
        <f>'Expense drivers'!BK156</f>
        <v>0</v>
      </c>
      <c r="AR640">
        <f>'Expense drivers'!BL156</f>
        <v>0</v>
      </c>
      <c r="AS640">
        <f>'Expense drivers'!BM156</f>
        <v>0</v>
      </c>
      <c r="AT640">
        <f>'Expense drivers'!BN156</f>
        <v>0</v>
      </c>
      <c r="AU640">
        <f>'Expense drivers'!BO156</f>
        <v>0</v>
      </c>
      <c r="AV640">
        <f>'Expense drivers'!BP156</f>
        <v>0</v>
      </c>
      <c r="AW640">
        <f>'Expense drivers'!BQ156</f>
        <v>0</v>
      </c>
      <c r="AX640">
        <f>'Expense drivers'!BR156</f>
        <v>0</v>
      </c>
      <c r="AY640">
        <f>'Expense drivers'!BS156</f>
        <v>0</v>
      </c>
      <c r="AZ640">
        <f>'Expense drivers'!BT156</f>
        <v>0</v>
      </c>
    </row>
    <row r="641" spans="9:52" ht="11.25" customHeight="1">
      <c r="I641" t="str">
        <f>'Expense drivers'!I157</f>
        <v>bps change Y/Y - % of revenue</v>
      </c>
      <c r="M641">
        <f>'Expense drivers'!M157</f>
        <v>0</v>
      </c>
      <c r="N641">
        <f>'Expense drivers'!N157</f>
        <v>0</v>
      </c>
      <c r="O641">
        <f>'Expense drivers'!O157</f>
        <v>0</v>
      </c>
      <c r="P641">
        <f>'Expense drivers'!P157</f>
        <v>0</v>
      </c>
      <c r="Q641">
        <f>'Expense drivers'!Q157</f>
        <v>-100.23775407313084</v>
      </c>
      <c r="R641">
        <f>'Expense drivers'!R157</f>
        <v>-949.87250468430125</v>
      </c>
      <c r="S641">
        <f>'Expense drivers'!S157</f>
        <v>-167.73727055459264</v>
      </c>
      <c r="T641">
        <f>'Expense drivers'!T157</f>
        <v>181.12081113153405</v>
      </c>
      <c r="U641">
        <f>'Expense drivers'!U157</f>
        <v>-69.807846587105203</v>
      </c>
      <c r="V641">
        <f>'Expense drivers'!V157</f>
        <v>49.926086115753279</v>
      </c>
      <c r="W641">
        <f>'Expense drivers'!W157</f>
        <v>-113.52664653697498</v>
      </c>
      <c r="X641">
        <f>'Expense drivers'!X157</f>
        <v>-119.40093545062314</v>
      </c>
      <c r="Y641">
        <f>'Expense drivers'!Y157</f>
        <v>-187.67763182872682</v>
      </c>
      <c r="Z641">
        <f>'Expense drivers'!Z157</f>
        <v>-204.98979003620826</v>
      </c>
      <c r="AA641">
        <f>'Expense drivers'!AA157</f>
        <v>-425.14800185629394</v>
      </c>
      <c r="AB641">
        <f>'Expense drivers'!AB157</f>
        <v>-201.89127187568906</v>
      </c>
      <c r="AC641">
        <f>'Expense drivers'!AC157</f>
        <v>-176.50210244598784</v>
      </c>
      <c r="AD641">
        <f>'Expense drivers'!AD157</f>
        <v>-248.84193112701874</v>
      </c>
      <c r="AE641">
        <f>'Expense drivers'!AE157</f>
        <v>-111.97572583066278</v>
      </c>
      <c r="AF641">
        <f>'Expense drivers'!AF157</f>
        <v>-279.34887357074444</v>
      </c>
      <c r="AG641">
        <f>'Expense drivers'!AG157</f>
        <v>121.3307802980429</v>
      </c>
      <c r="AH641">
        <f>'Expense drivers'!AH157</f>
        <v>70.382996872426219</v>
      </c>
      <c r="AI641">
        <f>'Expense drivers'!AI157</f>
        <v>87.61947313802753</v>
      </c>
      <c r="AJ641">
        <f>'Expense drivers'!AJ157</f>
        <v>-69.173197683293779</v>
      </c>
      <c r="AL641">
        <f>'Expense drivers'!BF157</f>
        <v>0</v>
      </c>
      <c r="AM641">
        <f>'Expense drivers'!BG157</f>
        <v>0</v>
      </c>
      <c r="AN641">
        <f>'Expense drivers'!BH157</f>
        <v>-651.40493775317998</v>
      </c>
      <c r="AO641">
        <f>'Expense drivers'!BI157</f>
        <v>-2359.8404756395066</v>
      </c>
      <c r="AP641">
        <f>'Expense drivers'!BJ157</f>
        <v>270.76200950140293</v>
      </c>
      <c r="AQ641">
        <f>'Expense drivers'!BK157</f>
        <v>-221.93263452715411</v>
      </c>
      <c r="AR641">
        <f>'Expense drivers'!BL157</f>
        <v>-68.442527307129851</v>
      </c>
      <c r="AS641">
        <f>'Expense drivers'!BM157</f>
        <v>-258.34882035135371</v>
      </c>
      <c r="AT641">
        <f>'Expense drivers'!BN157</f>
        <v>-207.66513915930386</v>
      </c>
      <c r="AU641">
        <f>'Expense drivers'!BO157</f>
        <v>47.937102567403159</v>
      </c>
      <c r="AV641">
        <f>'Expense drivers'!BP157</f>
        <v>-201.64729020466066</v>
      </c>
      <c r="AW641">
        <f>'Expense drivers'!BQ157</f>
        <v>-81.452715833902204</v>
      </c>
      <c r="AX641">
        <f>'Expense drivers'!BR157</f>
        <v>-44.940094212063407</v>
      </c>
      <c r="AY641">
        <f>'Expense drivers'!BS157</f>
        <v>-26.25391138182248</v>
      </c>
      <c r="AZ641">
        <f>'Expense drivers'!BT157</f>
        <v>-11.008344686716242</v>
      </c>
    </row>
    <row r="642" spans="9:52" ht="11.25" customHeight="1">
      <c r="I642" t="str">
        <f>'Expense drivers'!I158</f>
        <v>bps change Q/Q - % of revenue</v>
      </c>
      <c r="M642">
        <f>'Expense drivers'!M158</f>
        <v>0</v>
      </c>
      <c r="N642">
        <f>'Expense drivers'!N158</f>
        <v>651.13123553395019</v>
      </c>
      <c r="O642">
        <f>'Expense drivers'!O158</f>
        <v>-520.92996380836007</v>
      </c>
      <c r="P642">
        <f>'Expense drivers'!P158</f>
        <v>-355.79897596160424</v>
      </c>
      <c r="Q642">
        <f>'Expense drivers'!Q158</f>
        <v>125.35995016288327</v>
      </c>
      <c r="R642">
        <f>'Expense drivers'!R158</f>
        <v>-198.50351507722019</v>
      </c>
      <c r="S642">
        <f>'Expense drivers'!S158</f>
        <v>261.20527032134856</v>
      </c>
      <c r="T642">
        <f>'Expense drivers'!T158</f>
        <v>-6.9408942754775609</v>
      </c>
      <c r="U642">
        <f>'Expense drivers'!U158</f>
        <v>-125.56870755575599</v>
      </c>
      <c r="V642">
        <f>'Expense drivers'!V158</f>
        <v>-78.769582374361718</v>
      </c>
      <c r="W642">
        <f>'Expense drivers'!W158</f>
        <v>97.752537668620292</v>
      </c>
      <c r="X642">
        <f>'Expense drivers'!X158</f>
        <v>-12.815183189125722</v>
      </c>
      <c r="Y642">
        <f>'Expense drivers'!Y158</f>
        <v>-193.84540393385967</v>
      </c>
      <c r="Z642">
        <f>'Expense drivers'!Z158</f>
        <v>-96.08174058184315</v>
      </c>
      <c r="AA642">
        <f>'Expense drivers'!AA158</f>
        <v>-122.40567415146536</v>
      </c>
      <c r="AB642">
        <f>'Expense drivers'!AB158</f>
        <v>210.44154679147914</v>
      </c>
      <c r="AC642">
        <f>'Expense drivers'!AC158</f>
        <v>-168.45623450415849</v>
      </c>
      <c r="AD642">
        <f>'Expense drivers'!AD158</f>
        <v>-168.42156926287404</v>
      </c>
      <c r="AE642">
        <f>'Expense drivers'!AE158</f>
        <v>14.460531144890599</v>
      </c>
      <c r="AF642">
        <f>'Expense drivers'!AF158</f>
        <v>43.068399051397478</v>
      </c>
      <c r="AG642">
        <f>'Expense drivers'!AG158</f>
        <v>232.22341936462888</v>
      </c>
      <c r="AH642">
        <f>'Expense drivers'!AH158</f>
        <v>-219.36935268849072</v>
      </c>
      <c r="AI642">
        <f>'Expense drivers'!AI158</f>
        <v>31.697007410491917</v>
      </c>
      <c r="AJ642">
        <f>'Expense drivers'!AJ158</f>
        <v>-113.72427176992383</v>
      </c>
      <c r="AL642">
        <f>'Expense drivers'!BF158</f>
        <v>0</v>
      </c>
      <c r="AM642">
        <f>'Expense drivers'!BG158</f>
        <v>0</v>
      </c>
      <c r="AN642">
        <f>'Expense drivers'!BH158</f>
        <v>0</v>
      </c>
      <c r="AO642">
        <f>'Expense drivers'!BI158</f>
        <v>0</v>
      </c>
      <c r="AP642">
        <f>'Expense drivers'!BJ158</f>
        <v>0</v>
      </c>
      <c r="AQ642">
        <f>'Expense drivers'!BK158</f>
        <v>0</v>
      </c>
      <c r="AR642">
        <f>'Expense drivers'!BL158</f>
        <v>0</v>
      </c>
      <c r="AS642">
        <f>'Expense drivers'!BM158</f>
        <v>0</v>
      </c>
      <c r="AT642">
        <f>'Expense drivers'!BN158</f>
        <v>0</v>
      </c>
      <c r="AU642">
        <f>'Expense drivers'!BO158</f>
        <v>0</v>
      </c>
      <c r="AV642">
        <f>'Expense drivers'!BP158</f>
        <v>0</v>
      </c>
      <c r="AW642">
        <f>'Expense drivers'!BQ158</f>
        <v>0</v>
      </c>
      <c r="AX642">
        <f>'Expense drivers'!BR158</f>
        <v>0</v>
      </c>
      <c r="AY642">
        <f>'Expense drivers'!BS158</f>
        <v>0</v>
      </c>
      <c r="AZ642">
        <f>'Expense drivers'!BT158</f>
        <v>0</v>
      </c>
    </row>
    <row r="643" spans="9:52" ht="11.25" customHeight="1">
      <c r="I643">
        <f>'Expense drivers'!I159</f>
        <v>0</v>
      </c>
      <c r="M643">
        <f>'Expense drivers'!M159</f>
        <v>0</v>
      </c>
      <c r="N643">
        <f>'Expense drivers'!N159</f>
        <v>0</v>
      </c>
      <c r="O643">
        <f>'Expense drivers'!O159</f>
        <v>0</v>
      </c>
      <c r="P643">
        <f>'Expense drivers'!P159</f>
        <v>0</v>
      </c>
      <c r="Q643">
        <f>'Expense drivers'!Q159</f>
        <v>0</v>
      </c>
      <c r="R643">
        <f>'Expense drivers'!R159</f>
        <v>0</v>
      </c>
      <c r="S643">
        <f>'Expense drivers'!S159</f>
        <v>0</v>
      </c>
      <c r="T643">
        <f>'Expense drivers'!T159</f>
        <v>0</v>
      </c>
      <c r="U643">
        <f>'Expense drivers'!U159</f>
        <v>0</v>
      </c>
      <c r="V643">
        <f>'Expense drivers'!V159</f>
        <v>0</v>
      </c>
      <c r="W643">
        <f>'Expense drivers'!W159</f>
        <v>0</v>
      </c>
      <c r="X643">
        <f>'Expense drivers'!X159</f>
        <v>0</v>
      </c>
      <c r="Y643">
        <f>'Expense drivers'!Y159</f>
        <v>0</v>
      </c>
      <c r="Z643">
        <f>'Expense drivers'!Z159</f>
        <v>0</v>
      </c>
      <c r="AA643">
        <f>'Expense drivers'!AA159</f>
        <v>0</v>
      </c>
      <c r="AB643">
        <f>'Expense drivers'!AB159</f>
        <v>0</v>
      </c>
      <c r="AC643">
        <f>'Expense drivers'!AC159</f>
        <v>0</v>
      </c>
      <c r="AD643">
        <f>'Expense drivers'!AD159</f>
        <v>0</v>
      </c>
      <c r="AE643">
        <f>'Expense drivers'!AE159</f>
        <v>0</v>
      </c>
      <c r="AF643">
        <f>'Expense drivers'!AF159</f>
        <v>0</v>
      </c>
      <c r="AG643">
        <f>'Expense drivers'!AG159</f>
        <v>0</v>
      </c>
      <c r="AH643">
        <f>'Expense drivers'!AH159</f>
        <v>0</v>
      </c>
      <c r="AI643">
        <f>'Expense drivers'!AI159</f>
        <v>0</v>
      </c>
      <c r="AJ643">
        <f>'Expense drivers'!AJ159</f>
        <v>0</v>
      </c>
      <c r="AL643">
        <f>'Expense drivers'!BF159</f>
        <v>0</v>
      </c>
      <c r="AM643">
        <f>'Expense drivers'!BG159</f>
        <v>0</v>
      </c>
      <c r="AN643">
        <f>'Expense drivers'!BH159</f>
        <v>0</v>
      </c>
      <c r="AO643">
        <f>'Expense drivers'!BI159</f>
        <v>0</v>
      </c>
      <c r="AP643">
        <f>'Expense drivers'!BJ159</f>
        <v>0</v>
      </c>
      <c r="AQ643">
        <f>'Expense drivers'!BK159</f>
        <v>0</v>
      </c>
      <c r="AR643">
        <f>'Expense drivers'!BL159</f>
        <v>0</v>
      </c>
      <c r="AS643">
        <f>'Expense drivers'!BM159</f>
        <v>0</v>
      </c>
      <c r="AT643">
        <f>'Expense drivers'!BN159</f>
        <v>0</v>
      </c>
      <c r="AU643">
        <f>'Expense drivers'!BO159</f>
        <v>0</v>
      </c>
      <c r="AV643">
        <f>'Expense drivers'!BP159</f>
        <v>0</v>
      </c>
      <c r="AW643">
        <f>'Expense drivers'!BQ159</f>
        <v>0</v>
      </c>
      <c r="AX643">
        <f>'Expense drivers'!BR159</f>
        <v>0</v>
      </c>
      <c r="AY643">
        <f>'Expense drivers'!BS159</f>
        <v>0</v>
      </c>
      <c r="AZ643">
        <f>'Expense drivers'!BT159</f>
        <v>0</v>
      </c>
    </row>
    <row r="644" spans="9:52" ht="11.25" customHeight="1">
      <c r="I644">
        <f>'Expense drivers'!I170</f>
        <v>0</v>
      </c>
      <c r="M644">
        <f>'Expense drivers'!M170</f>
        <v>0</v>
      </c>
      <c r="N644">
        <f>'Expense drivers'!N170</f>
        <v>0</v>
      </c>
      <c r="O644">
        <f>'Expense drivers'!O170</f>
        <v>0</v>
      </c>
      <c r="P644">
        <f>'Expense drivers'!P170</f>
        <v>0</v>
      </c>
      <c r="Q644">
        <f>'Expense drivers'!Q170</f>
        <v>0</v>
      </c>
      <c r="R644">
        <f>'Expense drivers'!R170</f>
        <v>0</v>
      </c>
      <c r="S644">
        <f>'Expense drivers'!S170</f>
        <v>0</v>
      </c>
      <c r="T644">
        <f>'Expense drivers'!T170</f>
        <v>0</v>
      </c>
      <c r="U644">
        <f>'Expense drivers'!U170</f>
        <v>0</v>
      </c>
      <c r="V644">
        <f>'Expense drivers'!V170</f>
        <v>0</v>
      </c>
      <c r="W644">
        <f>'Expense drivers'!W170</f>
        <v>0</v>
      </c>
      <c r="X644">
        <f>'Expense drivers'!X170</f>
        <v>0</v>
      </c>
      <c r="Y644">
        <f>'Expense drivers'!Y170</f>
        <v>0</v>
      </c>
      <c r="Z644">
        <f>'Expense drivers'!Z170</f>
        <v>0</v>
      </c>
      <c r="AA644">
        <f>'Expense drivers'!AA170</f>
        <v>0</v>
      </c>
      <c r="AB644">
        <f>'Expense drivers'!AB170</f>
        <v>0</v>
      </c>
      <c r="AC644">
        <f>'Expense drivers'!AC170</f>
        <v>0</v>
      </c>
      <c r="AD644">
        <f>'Expense drivers'!AD170</f>
        <v>0</v>
      </c>
      <c r="AE644">
        <f>'Expense drivers'!AE170</f>
        <v>0</v>
      </c>
      <c r="AF644">
        <f>'Expense drivers'!AF170</f>
        <v>0</v>
      </c>
      <c r="AG644">
        <f>'Expense drivers'!AG170</f>
        <v>0</v>
      </c>
      <c r="AH644">
        <f>'Expense drivers'!AH170</f>
        <v>0</v>
      </c>
      <c r="AI644">
        <f>'Expense drivers'!AI170</f>
        <v>0</v>
      </c>
      <c r="AJ644">
        <f>'Expense drivers'!AJ170</f>
        <v>0</v>
      </c>
      <c r="AL644">
        <f>'Expense drivers'!BF170</f>
        <v>0</v>
      </c>
      <c r="AM644">
        <f>'Expense drivers'!BG170</f>
        <v>0</v>
      </c>
      <c r="AN644">
        <f>'Expense drivers'!BH170</f>
        <v>0</v>
      </c>
      <c r="AO644">
        <f>'Expense drivers'!BI170</f>
        <v>0</v>
      </c>
      <c r="AP644">
        <f>'Expense drivers'!BJ170</f>
        <v>0</v>
      </c>
      <c r="AQ644">
        <f>'Expense drivers'!BK170</f>
        <v>0</v>
      </c>
      <c r="AR644">
        <f>'Expense drivers'!BL170</f>
        <v>0</v>
      </c>
      <c r="AS644">
        <f>'Expense drivers'!BM170</f>
        <v>0</v>
      </c>
      <c r="AT644">
        <f>'Expense drivers'!BN170</f>
        <v>0</v>
      </c>
      <c r="AU644">
        <f>'Expense drivers'!BO170</f>
        <v>0</v>
      </c>
      <c r="AV644">
        <f>'Expense drivers'!BP170</f>
        <v>0</v>
      </c>
      <c r="AW644">
        <f>'Expense drivers'!BQ170</f>
        <v>0</v>
      </c>
      <c r="AX644">
        <f>'Expense drivers'!BR170</f>
        <v>0</v>
      </c>
      <c r="AY644">
        <f>'Expense drivers'!BS170</f>
        <v>0</v>
      </c>
      <c r="AZ644">
        <f>'Expense drivers'!BT170</f>
        <v>0</v>
      </c>
    </row>
    <row r="645" spans="9:52" ht="11.25" customHeight="1">
      <c r="I645" t="str">
        <f>'Expense drivers'!I176</f>
        <v>Non-Sales Employees</v>
      </c>
      <c r="M645">
        <f>'Expense drivers'!M176</f>
        <v>0</v>
      </c>
      <c r="N645">
        <f>'Expense drivers'!N176</f>
        <v>0</v>
      </c>
      <c r="O645">
        <f>'Expense drivers'!O176</f>
        <v>0</v>
      </c>
      <c r="P645">
        <f>'Expense drivers'!P176</f>
        <v>0</v>
      </c>
      <c r="Q645">
        <f>'Expense drivers'!Q176</f>
        <v>0</v>
      </c>
      <c r="R645">
        <f>'Expense drivers'!R176</f>
        <v>0</v>
      </c>
      <c r="S645">
        <f>'Expense drivers'!S176</f>
        <v>0</v>
      </c>
      <c r="T645">
        <f>'Expense drivers'!T176</f>
        <v>0</v>
      </c>
      <c r="U645">
        <f>'Expense drivers'!U176</f>
        <v>0</v>
      </c>
      <c r="V645">
        <f>'Expense drivers'!V176</f>
        <v>0</v>
      </c>
      <c r="W645">
        <f>'Expense drivers'!W176</f>
        <v>0</v>
      </c>
      <c r="X645">
        <f>'Expense drivers'!X176</f>
        <v>0</v>
      </c>
      <c r="Y645">
        <f>'Expense drivers'!Y176</f>
        <v>679</v>
      </c>
      <c r="Z645">
        <f>'Expense drivers'!Z176</f>
        <v>686</v>
      </c>
      <c r="AA645">
        <f>'Expense drivers'!AA176</f>
        <v>756</v>
      </c>
      <c r="AB645">
        <f>'Expense drivers'!AB176</f>
        <v>884</v>
      </c>
      <c r="AC645">
        <f>'Expense drivers'!AC176</f>
        <v>904</v>
      </c>
      <c r="AD645">
        <f>'Expense drivers'!AD176</f>
        <v>995</v>
      </c>
      <c r="AE645">
        <f>'Expense drivers'!AE176</f>
        <v>1089</v>
      </c>
      <c r="AF645">
        <f>'Expense drivers'!AF176</f>
        <v>1161</v>
      </c>
      <c r="AG645">
        <f>'Expense drivers'!AG176</f>
        <v>1521</v>
      </c>
      <c r="AH645">
        <f>'Expense drivers'!AH176</f>
        <v>1500</v>
      </c>
      <c r="AI645">
        <f>'Expense drivers'!AI176</f>
        <v>1550</v>
      </c>
      <c r="AJ645">
        <f>'Expense drivers'!AJ176</f>
        <v>1626</v>
      </c>
      <c r="AL645">
        <f>'Expense drivers'!BF176</f>
        <v>0</v>
      </c>
      <c r="AM645">
        <f>'Expense drivers'!BG176</f>
        <v>0</v>
      </c>
      <c r="AN645">
        <f>'Expense drivers'!BH176</f>
        <v>0</v>
      </c>
      <c r="AO645">
        <f>'Expense drivers'!BI176</f>
        <v>0</v>
      </c>
      <c r="AP645">
        <f>'Expense drivers'!BJ176</f>
        <v>0</v>
      </c>
      <c r="AQ645">
        <f>'Expense drivers'!BK176</f>
        <v>0</v>
      </c>
      <c r="AR645">
        <f>'Expense drivers'!BL176</f>
        <v>617.76923076923072</v>
      </c>
      <c r="AS645">
        <f>'Expense drivers'!BM176</f>
        <v>884</v>
      </c>
      <c r="AT645">
        <f>'Expense drivers'!BN176</f>
        <v>1161</v>
      </c>
      <c r="AU645">
        <f>'Expense drivers'!BO176</f>
        <v>1626</v>
      </c>
      <c r="AV645">
        <f>'Expense drivers'!BP176</f>
        <v>1800</v>
      </c>
      <c r="AW645">
        <f>'Expense drivers'!BQ176</f>
        <v>1900</v>
      </c>
      <c r="AX645">
        <f>'Expense drivers'!BR176</f>
        <v>2000</v>
      </c>
      <c r="AY645">
        <f>'Expense drivers'!BS176</f>
        <v>1730</v>
      </c>
      <c r="AZ645">
        <f>'Expense drivers'!BT176</f>
        <v>1790</v>
      </c>
    </row>
    <row r="646" spans="9:52" ht="11.25" customHeight="1">
      <c r="I646" t="str">
        <f>'Expense drivers'!I185</f>
        <v>Stock-based compensation</v>
      </c>
      <c r="M646">
        <f>'Expense drivers'!M185</f>
        <v>0.253</v>
      </c>
      <c r="N646">
        <f>'Expense drivers'!N185</f>
        <v>0.25700000000000001</v>
      </c>
      <c r="O646">
        <f>'Expense drivers'!O185</f>
        <v>0.36699999999999999</v>
      </c>
      <c r="P646">
        <f>'Expense drivers'!P185</f>
        <v>0.55400000000000005</v>
      </c>
      <c r="Q646">
        <f>'Expense drivers'!Q185</f>
        <v>1.1030000000000002</v>
      </c>
      <c r="R646">
        <f>'Expense drivers'!R185</f>
        <v>0.94799999999999995</v>
      </c>
      <c r="S646">
        <f>'Expense drivers'!S185</f>
        <v>1.46</v>
      </c>
      <c r="T646">
        <f>'Expense drivers'!T185</f>
        <v>1.3660000000000001</v>
      </c>
      <c r="U646">
        <f>'Expense drivers'!U185</f>
        <v>7.4290000000000003</v>
      </c>
      <c r="V646">
        <f>'Expense drivers'!V185</f>
        <v>1.8580000000000001</v>
      </c>
      <c r="W646">
        <f>'Expense drivers'!W185</f>
        <v>2.3339999999999996</v>
      </c>
      <c r="X646">
        <f>'Expense drivers'!X185</f>
        <v>3.258</v>
      </c>
      <c r="Y646">
        <f>'Expense drivers'!Y185</f>
        <v>5.16</v>
      </c>
      <c r="Z646">
        <f>'Expense drivers'!Z185</f>
        <v>5.7130000000000001</v>
      </c>
      <c r="AA646">
        <f>'Expense drivers'!AA185</f>
        <v>7.0150000000000006</v>
      </c>
      <c r="AB646">
        <f>'Expense drivers'!AB185</f>
        <v>8.7889999999999997</v>
      </c>
      <c r="AC646">
        <f>'Expense drivers'!AC185</f>
        <v>9.4559999999999995</v>
      </c>
      <c r="AD646">
        <f>'Expense drivers'!AD185</f>
        <v>10.083</v>
      </c>
      <c r="AE646">
        <f>'Expense drivers'!AE185</f>
        <v>10.917999999999999</v>
      </c>
      <c r="AF646">
        <f>'Expense drivers'!AF185</f>
        <v>11.816000000000001</v>
      </c>
      <c r="AG646">
        <f>'Expense drivers'!AG185</f>
        <v>13.670999999999999</v>
      </c>
      <c r="AH646">
        <f>'Expense drivers'!AH185</f>
        <v>15.516000000000002</v>
      </c>
      <c r="AI646">
        <f>'Expense drivers'!AI185</f>
        <v>15.683</v>
      </c>
      <c r="AJ646">
        <f>'Expense drivers'!AJ185</f>
        <v>15.972</v>
      </c>
      <c r="AL646">
        <f>'Expense drivers'!BF185</f>
        <v>0</v>
      </c>
      <c r="AM646">
        <f>'Expense drivers'!BG185</f>
        <v>9.4E-2</v>
      </c>
      <c r="AN646">
        <f>'Expense drivers'!BH185</f>
        <v>0.36499999999999999</v>
      </c>
      <c r="AO646">
        <f>'Expense drivers'!BI185</f>
        <v>0.55700000000000005</v>
      </c>
      <c r="AP646">
        <f>'Expense drivers'!BJ185</f>
        <v>1.431</v>
      </c>
      <c r="AQ646">
        <f>'Expense drivers'!BK185</f>
        <v>4.8770000000000007</v>
      </c>
      <c r="AR646">
        <f>'Expense drivers'!BL185</f>
        <v>14.879000000000001</v>
      </c>
      <c r="AS646">
        <f>'Expense drivers'!BM185</f>
        <v>26.677</v>
      </c>
      <c r="AT646">
        <f>'Expense drivers'!BN185</f>
        <v>42.273000000000003</v>
      </c>
      <c r="AU646">
        <f>'Expense drivers'!BO185</f>
        <v>60.842000000000006</v>
      </c>
      <c r="AV646">
        <f>'Expense drivers'!BP185</f>
        <v>86.26</v>
      </c>
      <c r="AW646">
        <f>'Expense drivers'!BQ185</f>
        <v>100.41500000000001</v>
      </c>
      <c r="AX646">
        <f>'Expense drivers'!BR185</f>
        <v>114.26265000000001</v>
      </c>
      <c r="AY646">
        <f>'Expense drivers'!BS185</f>
        <v>127.97416800000002</v>
      </c>
      <c r="AZ646">
        <f>'Expense drivers'!BT185</f>
        <v>140.77158480000003</v>
      </c>
    </row>
    <row r="647" spans="9:52" ht="11.25" customHeight="1">
      <c r="I647" t="str">
        <f>'Expense drivers'!I186</f>
        <v>% of revenue</v>
      </c>
      <c r="M647">
        <f>'Expense drivers'!M186</f>
        <v>2.7692644483362526E-2</v>
      </c>
      <c r="N647">
        <f>'Expense drivers'!N186</f>
        <v>2.3958236226344742E-2</v>
      </c>
      <c r="O647">
        <f>'Expense drivers'!O186</f>
        <v>2.9140860727330471E-2</v>
      </c>
      <c r="P647">
        <f>'Expense drivers'!P186</f>
        <v>3.6270786958229675E-2</v>
      </c>
      <c r="Q647">
        <f>'Expense drivers'!Q186</f>
        <v>6.6848484848484865E-2</v>
      </c>
      <c r="R647">
        <f>'Expense drivers'!R186</f>
        <v>4.8421697824088263E-2</v>
      </c>
      <c r="S647">
        <f>'Expense drivers'!S186</f>
        <v>6.5464980719218011E-2</v>
      </c>
      <c r="T647">
        <f>'Expense drivers'!T186</f>
        <v>5.4848424011242722E-2</v>
      </c>
      <c r="U647">
        <f>'Expense drivers'!U186</f>
        <v>0.27127989775424505</v>
      </c>
      <c r="V647">
        <f>'Expense drivers'!V186</f>
        <v>5.69013566900438E-2</v>
      </c>
      <c r="W647">
        <f>'Expense drivers'!W186</f>
        <v>6.4172005168953272E-2</v>
      </c>
      <c r="X647">
        <f>'Expense drivers'!X186</f>
        <v>7.9160288650776303E-2</v>
      </c>
      <c r="Y647">
        <f>'Expense drivers'!Y186</f>
        <v>0.11185051915114994</v>
      </c>
      <c r="Z647">
        <f>'Expense drivers'!Z186</f>
        <v>0.1038293077440343</v>
      </c>
      <c r="AA647">
        <f>'Expense drivers'!AA186</f>
        <v>0.11465977999705793</v>
      </c>
      <c r="AB647">
        <f>'Expense drivers'!AB186</f>
        <v>0.12440022080366873</v>
      </c>
      <c r="AC647">
        <f>'Expense drivers'!AC186</f>
        <v>0.12375829439711021</v>
      </c>
      <c r="AD647">
        <f>'Expense drivers'!AD186</f>
        <v>0.11356392264633336</v>
      </c>
      <c r="AE647">
        <f>'Expense drivers'!AE186</f>
        <v>0.10656385730320628</v>
      </c>
      <c r="AF647">
        <f>'Expense drivers'!AF186</f>
        <v>0.10752864306059862</v>
      </c>
      <c r="AG647">
        <f>'Expense drivers'!AG186</f>
        <v>0.12228085867620751</v>
      </c>
      <c r="AH647">
        <f>'Expense drivers'!AH186</f>
        <v>0.12353503184713378</v>
      </c>
      <c r="AI647">
        <f>'Expense drivers'!AI186</f>
        <v>0.11651560178306092</v>
      </c>
      <c r="AJ647">
        <f>'Expense drivers'!AJ186</f>
        <v>0.10887525562372188</v>
      </c>
      <c r="AL647">
        <f>'Expense drivers'!BF186</f>
        <v>0</v>
      </c>
      <c r="AM647">
        <f>'Expense drivers'!BG186</f>
        <v>2.5100133511348464E-2</v>
      </c>
      <c r="AN647">
        <f>'Expense drivers'!BH186</f>
        <v>3.0068374660186175E-2</v>
      </c>
      <c r="AO647">
        <f>'Expense drivers'!BI186</f>
        <v>2.1582455052696837E-2</v>
      </c>
      <c r="AP647">
        <f>'Expense drivers'!BJ186</f>
        <v>2.998051580733695E-2</v>
      </c>
      <c r="AQ647">
        <f>'Expense drivers'!BK186</f>
        <v>5.8557963618898971E-2</v>
      </c>
      <c r="AR647">
        <f>'Expense drivers'!BL186</f>
        <v>0.10815899277437742</v>
      </c>
      <c r="AS647">
        <f>'Expense drivers'!BM186</f>
        <v>0.11449945919961543</v>
      </c>
      <c r="AT647">
        <f>'Expense drivers'!BN186</f>
        <v>0.11197077894558401</v>
      </c>
      <c r="AU647">
        <f>'Expense drivers'!BO186</f>
        <v>0.11729708887603625</v>
      </c>
      <c r="AV647">
        <f>'Expense drivers'!BP186</f>
        <v>0.12097006040088688</v>
      </c>
      <c r="AW647">
        <f>'Expense drivers'!BQ186</f>
        <v>0.11857989898596268</v>
      </c>
      <c r="AX647">
        <f>'Expense drivers'!BR186</f>
        <v>0.11902359375</v>
      </c>
      <c r="AY647">
        <f>'Expense drivers'!BS186</f>
        <v>0.11463110713006092</v>
      </c>
      <c r="AZ647">
        <f>'Expense drivers'!BT186</f>
        <v>0.11167030366492149</v>
      </c>
    </row>
    <row r="648" spans="9:52" ht="11.25" customHeight="1">
      <c r="I648" t="str">
        <f>'Expense drivers'!I187</f>
        <v>% change Y/Y</v>
      </c>
      <c r="M648" t="str">
        <f>'Expense drivers'!M187</f>
        <v>NA</v>
      </c>
      <c r="N648" t="str">
        <f>'Expense drivers'!N187</f>
        <v>NA</v>
      </c>
      <c r="O648" t="str">
        <f>'Expense drivers'!O187</f>
        <v>NA</v>
      </c>
      <c r="P648" t="str">
        <f>'Expense drivers'!P187</f>
        <v>NA</v>
      </c>
      <c r="Q648">
        <f>'Expense drivers'!Q187</f>
        <v>3.3596837944664042</v>
      </c>
      <c r="R648">
        <f>'Expense drivers'!R187</f>
        <v>2.6887159533073928</v>
      </c>
      <c r="S648">
        <f>'Expense drivers'!S187</f>
        <v>2.9782016348773843</v>
      </c>
      <c r="T648">
        <f>'Expense drivers'!T187</f>
        <v>1.4657039711191335</v>
      </c>
      <c r="U648">
        <f>'Expense drivers'!U187</f>
        <v>5.7352674524025371</v>
      </c>
      <c r="V648">
        <f>'Expense drivers'!V187</f>
        <v>0.95991561181434615</v>
      </c>
      <c r="W648">
        <f>'Expense drivers'!W187</f>
        <v>0.59863013698630119</v>
      </c>
      <c r="X648">
        <f>'Expense drivers'!X187</f>
        <v>1.3850658857979501</v>
      </c>
      <c r="Y648">
        <f>'Expense drivers'!Y187</f>
        <v>-0.30542468703728631</v>
      </c>
      <c r="Z648">
        <f>'Expense drivers'!Z187</f>
        <v>2.0748116254036599</v>
      </c>
      <c r="AA648">
        <f>'Expense drivers'!AA187</f>
        <v>2.0055698371893751</v>
      </c>
      <c r="AB648">
        <f>'Expense drivers'!AB187</f>
        <v>1.6976672805402084</v>
      </c>
      <c r="AC648">
        <f>'Expense drivers'!AC187</f>
        <v>0.83255813953488356</v>
      </c>
      <c r="AD648">
        <f>'Expense drivers'!AD187</f>
        <v>0.76492210747418166</v>
      </c>
      <c r="AE648">
        <f>'Expense drivers'!AE187</f>
        <v>0.55637918745545245</v>
      </c>
      <c r="AF648">
        <f>'Expense drivers'!AF187</f>
        <v>0.34440778245534198</v>
      </c>
      <c r="AG648">
        <f>'Expense drivers'!AG187</f>
        <v>0.44574873096446699</v>
      </c>
      <c r="AH648">
        <f>'Expense drivers'!AH187</f>
        <v>0.53882772984230898</v>
      </c>
      <c r="AI648">
        <f>'Expense drivers'!AI187</f>
        <v>0.43643524455028393</v>
      </c>
      <c r="AJ648">
        <f>'Expense drivers'!AJ187</f>
        <v>0.35172647257955303</v>
      </c>
      <c r="AL648">
        <f>'Expense drivers'!BF187</f>
        <v>0</v>
      </c>
      <c r="AM648" t="str">
        <f>'Expense drivers'!BG187</f>
        <v>NA</v>
      </c>
      <c r="AN648">
        <f>'Expense drivers'!BH187</f>
        <v>2.8829787234042552</v>
      </c>
      <c r="AO648">
        <f>'Expense drivers'!BI187</f>
        <v>0.52602739726027425</v>
      </c>
      <c r="AP648">
        <f>'Expense drivers'!BJ187</f>
        <v>1.5691202872531416</v>
      </c>
      <c r="AQ648">
        <f>'Expense drivers'!BK187</f>
        <v>2.4081062194269744</v>
      </c>
      <c r="AR648">
        <f>'Expense drivers'!BL187</f>
        <v>2.0508509329505844</v>
      </c>
      <c r="AS648">
        <f>'Expense drivers'!BM187</f>
        <v>0.79292963236776637</v>
      </c>
      <c r="AT648">
        <f>'Expense drivers'!BN187</f>
        <v>0.5846234584098664</v>
      </c>
      <c r="AU648">
        <f>'Expense drivers'!BO187</f>
        <v>0.43926383270645575</v>
      </c>
      <c r="AV648">
        <f>'Expense drivers'!BP187</f>
        <v>0.41777061898030965</v>
      </c>
      <c r="AW648">
        <f>'Expense drivers'!BQ187</f>
        <v>0.16409691629955958</v>
      </c>
      <c r="AX648">
        <f>'Expense drivers'!BR187</f>
        <v>0.1379041975800428</v>
      </c>
      <c r="AY648">
        <f>'Expense drivers'!BS187</f>
        <v>0.12000000000000011</v>
      </c>
      <c r="AZ648">
        <f>'Expense drivers'!BT187</f>
        <v>0.10000000000000009</v>
      </c>
    </row>
    <row r="649" spans="9:52" ht="11.25" customHeight="1">
      <c r="I649" t="str">
        <f>'Expense drivers'!I188</f>
        <v>% change Q/Q</v>
      </c>
      <c r="M649" t="str">
        <f>'Expense drivers'!M188</f>
        <v>NA</v>
      </c>
      <c r="N649">
        <f>'Expense drivers'!N188</f>
        <v>1.5810276679841806E-2</v>
      </c>
      <c r="O649">
        <f>'Expense drivers'!O188</f>
        <v>0.42801556420233466</v>
      </c>
      <c r="P649">
        <f>'Expense drivers'!P188</f>
        <v>0.5095367847411445</v>
      </c>
      <c r="Q649">
        <f>'Expense drivers'!Q188</f>
        <v>0.99097472924187735</v>
      </c>
      <c r="R649">
        <f>'Expense drivers'!R188</f>
        <v>-0.14052583862194035</v>
      </c>
      <c r="S649">
        <f>'Expense drivers'!S188</f>
        <v>0.54008438818565407</v>
      </c>
      <c r="T649">
        <f>'Expense drivers'!T188</f>
        <v>-6.4383561643835518E-2</v>
      </c>
      <c r="U649">
        <f>'Expense drivers'!U188</f>
        <v>4.438506588579795</v>
      </c>
      <c r="V649">
        <f>'Expense drivers'!V188</f>
        <v>-0.74989904428590659</v>
      </c>
      <c r="W649">
        <f>'Expense drivers'!W188</f>
        <v>0.2561894510226046</v>
      </c>
      <c r="X649">
        <f>'Expense drivers'!X188</f>
        <v>0.39588688946015438</v>
      </c>
      <c r="Y649">
        <f>'Expense drivers'!Y188</f>
        <v>0.58379373848987104</v>
      </c>
      <c r="Z649">
        <f>'Expense drivers'!Z188</f>
        <v>0.10717054263565884</v>
      </c>
      <c r="AA649">
        <f>'Expense drivers'!AA188</f>
        <v>0.22790127778750224</v>
      </c>
      <c r="AB649">
        <f>'Expense drivers'!AB188</f>
        <v>0.25288667141838905</v>
      </c>
      <c r="AC649">
        <f>'Expense drivers'!AC188</f>
        <v>7.5890317442257382E-2</v>
      </c>
      <c r="AD649">
        <f>'Expense drivers'!AD188</f>
        <v>6.6307106598984866E-2</v>
      </c>
      <c r="AE649">
        <f>'Expense drivers'!AE188</f>
        <v>8.2812654963800414E-2</v>
      </c>
      <c r="AF649">
        <f>'Expense drivers'!AF188</f>
        <v>8.2249496244733544E-2</v>
      </c>
      <c r="AG649">
        <f>'Expense drivers'!AG188</f>
        <v>0.15699052132701419</v>
      </c>
      <c r="AH649">
        <f>'Expense drivers'!AH188</f>
        <v>0.13495720868992778</v>
      </c>
      <c r="AI649">
        <f>'Expense drivers'!AI188</f>
        <v>1.0763083268883644E-2</v>
      </c>
      <c r="AJ649">
        <f>'Expense drivers'!AJ188</f>
        <v>1.8427596760823839E-2</v>
      </c>
      <c r="AL649">
        <f>'Expense drivers'!BF188</f>
        <v>0</v>
      </c>
      <c r="AM649">
        <f>'Expense drivers'!BG188</f>
        <v>0</v>
      </c>
      <c r="AN649">
        <f>'Expense drivers'!BH188</f>
        <v>0</v>
      </c>
      <c r="AO649">
        <f>'Expense drivers'!BI188</f>
        <v>0</v>
      </c>
      <c r="AP649">
        <f>'Expense drivers'!BJ188</f>
        <v>0</v>
      </c>
      <c r="AQ649">
        <f>'Expense drivers'!BK188</f>
        <v>0</v>
      </c>
      <c r="AR649">
        <f>'Expense drivers'!BL188</f>
        <v>0</v>
      </c>
      <c r="AS649">
        <f>'Expense drivers'!BM188</f>
        <v>0</v>
      </c>
      <c r="AT649">
        <f>'Expense drivers'!BN188</f>
        <v>0</v>
      </c>
      <c r="AU649">
        <f>'Expense drivers'!BO188</f>
        <v>0</v>
      </c>
      <c r="AV649">
        <f>'Expense drivers'!BP188</f>
        <v>0</v>
      </c>
      <c r="AW649">
        <f>'Expense drivers'!BQ188</f>
        <v>0</v>
      </c>
      <c r="AX649">
        <f>'Expense drivers'!BR188</f>
        <v>0</v>
      </c>
      <c r="AY649">
        <f>'Expense drivers'!BS188</f>
        <v>0</v>
      </c>
      <c r="AZ649">
        <f>'Expense drivers'!BT188</f>
        <v>0</v>
      </c>
    </row>
    <row r="650" spans="9:52" ht="11.25" customHeight="1">
      <c r="I650" t="str">
        <f>'Expense drivers'!I189</f>
        <v>Y/Y Abs Growth</v>
      </c>
      <c r="M650">
        <f>'Expense drivers'!M189</f>
        <v>0</v>
      </c>
      <c r="N650">
        <f>'Expense drivers'!N189</f>
        <v>0</v>
      </c>
      <c r="O650">
        <f>'Expense drivers'!O189</f>
        <v>0</v>
      </c>
      <c r="P650">
        <f>'Expense drivers'!P189</f>
        <v>0</v>
      </c>
      <c r="Q650">
        <f>'Expense drivers'!Q189</f>
        <v>0.8500000000000002</v>
      </c>
      <c r="R650">
        <f>'Expense drivers'!R189</f>
        <v>0.69099999999999995</v>
      </c>
      <c r="S650">
        <f>'Expense drivers'!S189</f>
        <v>1.093</v>
      </c>
      <c r="T650">
        <f>'Expense drivers'!T189</f>
        <v>0.81200000000000006</v>
      </c>
      <c r="U650">
        <f>'Expense drivers'!U189</f>
        <v>6.3260000000000005</v>
      </c>
      <c r="V650">
        <f>'Expense drivers'!V189</f>
        <v>0.91000000000000014</v>
      </c>
      <c r="W650">
        <f>'Expense drivers'!W189</f>
        <v>0.87399999999999967</v>
      </c>
      <c r="X650">
        <f>'Expense drivers'!X189</f>
        <v>1.8919999999999999</v>
      </c>
      <c r="Y650">
        <f>'Expense drivers'!Y189</f>
        <v>-2.2690000000000001</v>
      </c>
      <c r="Z650">
        <f>'Expense drivers'!Z189</f>
        <v>3.855</v>
      </c>
      <c r="AA650">
        <f>'Expense drivers'!AA189</f>
        <v>4.6810000000000009</v>
      </c>
      <c r="AB650">
        <f>'Expense drivers'!AB189</f>
        <v>5.5309999999999997</v>
      </c>
      <c r="AC650">
        <f>'Expense drivers'!AC189</f>
        <v>4.2959999999999994</v>
      </c>
      <c r="AD650">
        <f>'Expense drivers'!AD189</f>
        <v>4.37</v>
      </c>
      <c r="AE650">
        <f>'Expense drivers'!AE189</f>
        <v>3.9029999999999987</v>
      </c>
      <c r="AF650">
        <f>'Expense drivers'!AF189</f>
        <v>3.027000000000001</v>
      </c>
      <c r="AG650">
        <f>'Expense drivers'!AG189</f>
        <v>4.2149999999999999</v>
      </c>
      <c r="AH650">
        <f>'Expense drivers'!AH189</f>
        <v>5.4330000000000016</v>
      </c>
      <c r="AI650">
        <f>'Expense drivers'!AI189</f>
        <v>4.7650000000000006</v>
      </c>
      <c r="AJ650">
        <f>'Expense drivers'!AJ189</f>
        <v>4.1559999999999988</v>
      </c>
      <c r="AL650">
        <f>'Expense drivers'!BF189</f>
        <v>0</v>
      </c>
      <c r="AM650">
        <f>'Expense drivers'!BG189</f>
        <v>0</v>
      </c>
      <c r="AN650">
        <f>'Expense drivers'!BH189</f>
        <v>0.27100000000000002</v>
      </c>
      <c r="AO650">
        <f>'Expense drivers'!BI189</f>
        <v>0.19200000000000006</v>
      </c>
      <c r="AP650">
        <f>'Expense drivers'!BJ189</f>
        <v>0.874</v>
      </c>
      <c r="AQ650">
        <f>'Expense drivers'!BK189</f>
        <v>3.4460000000000006</v>
      </c>
      <c r="AR650">
        <f>'Expense drivers'!BL189</f>
        <v>10.002000000000001</v>
      </c>
      <c r="AS650">
        <f>'Expense drivers'!BM189</f>
        <v>11.797999999999998</v>
      </c>
      <c r="AT650">
        <f>'Expense drivers'!BN189</f>
        <v>15.596000000000004</v>
      </c>
      <c r="AU650">
        <f>'Expense drivers'!BO189</f>
        <v>18.569000000000003</v>
      </c>
      <c r="AV650">
        <f>'Expense drivers'!BP189</f>
        <v>25.417999999999999</v>
      </c>
      <c r="AW650">
        <f>'Expense drivers'!BQ189</f>
        <v>14.155000000000001</v>
      </c>
      <c r="AX650">
        <f>'Expense drivers'!BR189</f>
        <v>13.847650000000002</v>
      </c>
      <c r="AY650">
        <f>'Expense drivers'!BS189</f>
        <v>13.711518000000012</v>
      </c>
      <c r="AZ650">
        <f>'Expense drivers'!BT189</f>
        <v>12.797416800000008</v>
      </c>
    </row>
    <row r="651" spans="9:52" ht="11.25" customHeight="1">
      <c r="I651" t="str">
        <f>'Expense drivers'!I190</f>
        <v>Q/Q Abs Growth</v>
      </c>
      <c r="M651">
        <f>'Expense drivers'!M190</f>
        <v>0</v>
      </c>
      <c r="N651">
        <f>'Expense drivers'!N190</f>
        <v>4.0000000000000036E-3</v>
      </c>
      <c r="O651">
        <f>'Expense drivers'!O190</f>
        <v>0.10999999999999999</v>
      </c>
      <c r="P651">
        <f>'Expense drivers'!P190</f>
        <v>0.18700000000000006</v>
      </c>
      <c r="Q651">
        <f>'Expense drivers'!Q190</f>
        <v>0.54900000000000015</v>
      </c>
      <c r="R651">
        <f>'Expense drivers'!R190</f>
        <v>-0.15500000000000025</v>
      </c>
      <c r="S651">
        <f>'Expense drivers'!S190</f>
        <v>0.51200000000000001</v>
      </c>
      <c r="T651">
        <f>'Expense drivers'!T190</f>
        <v>-9.3999999999999861E-2</v>
      </c>
      <c r="U651">
        <f>'Expense drivers'!U190</f>
        <v>6.0630000000000006</v>
      </c>
      <c r="V651">
        <f>'Expense drivers'!V190</f>
        <v>-5.5709999999999997</v>
      </c>
      <c r="W651">
        <f>'Expense drivers'!W190</f>
        <v>0.47599999999999953</v>
      </c>
      <c r="X651">
        <f>'Expense drivers'!X190</f>
        <v>0.92400000000000038</v>
      </c>
      <c r="Y651">
        <f>'Expense drivers'!Y190</f>
        <v>1.9020000000000001</v>
      </c>
      <c r="Z651">
        <f>'Expense drivers'!Z190</f>
        <v>0.55299999999999994</v>
      </c>
      <c r="AA651">
        <f>'Expense drivers'!AA190</f>
        <v>1.3020000000000005</v>
      </c>
      <c r="AB651">
        <f>'Expense drivers'!AB190</f>
        <v>1.7739999999999991</v>
      </c>
      <c r="AC651">
        <f>'Expense drivers'!AC190</f>
        <v>0.66699999999999982</v>
      </c>
      <c r="AD651">
        <f>'Expense drivers'!AD190</f>
        <v>0.62700000000000067</v>
      </c>
      <c r="AE651">
        <f>'Expense drivers'!AE190</f>
        <v>0.83499999999999908</v>
      </c>
      <c r="AF651">
        <f>'Expense drivers'!AF190</f>
        <v>0.89800000000000146</v>
      </c>
      <c r="AG651">
        <f>'Expense drivers'!AG190</f>
        <v>1.8549999999999986</v>
      </c>
      <c r="AH651">
        <f>'Expense drivers'!AH190</f>
        <v>1.8450000000000024</v>
      </c>
      <c r="AI651">
        <f>'Expense drivers'!AI190</f>
        <v>0.16699999999999804</v>
      </c>
      <c r="AJ651">
        <f>'Expense drivers'!AJ190</f>
        <v>0.2889999999999997</v>
      </c>
      <c r="AL651">
        <f>'Expense drivers'!BF190</f>
        <v>0</v>
      </c>
      <c r="AM651">
        <f>'Expense drivers'!BG190</f>
        <v>0</v>
      </c>
      <c r="AN651">
        <f>'Expense drivers'!BH190</f>
        <v>0</v>
      </c>
      <c r="AO651">
        <f>'Expense drivers'!BI190</f>
        <v>0</v>
      </c>
      <c r="AP651">
        <f>'Expense drivers'!BJ190</f>
        <v>0</v>
      </c>
      <c r="AQ651">
        <f>'Expense drivers'!BK190</f>
        <v>0</v>
      </c>
      <c r="AR651">
        <f>'Expense drivers'!BL190</f>
        <v>0</v>
      </c>
      <c r="AS651">
        <f>'Expense drivers'!BM190</f>
        <v>0</v>
      </c>
      <c r="AT651">
        <f>'Expense drivers'!BN190</f>
        <v>0</v>
      </c>
      <c r="AU651">
        <f>'Expense drivers'!BO190</f>
        <v>0</v>
      </c>
      <c r="AV651">
        <f>'Expense drivers'!BP190</f>
        <v>0</v>
      </c>
      <c r="AW651">
        <f>'Expense drivers'!BQ190</f>
        <v>0</v>
      </c>
      <c r="AX651">
        <f>'Expense drivers'!BR190</f>
        <v>0</v>
      </c>
      <c r="AY651">
        <f>'Expense drivers'!BS190</f>
        <v>0</v>
      </c>
      <c r="AZ651">
        <f>'Expense drivers'!BT190</f>
        <v>0</v>
      </c>
    </row>
    <row r="652" spans="9:52" ht="11.25" customHeight="1">
      <c r="I652" t="str">
        <f>'Expense drivers'!I191</f>
        <v>bps change Y/Y - % of revenue</v>
      </c>
      <c r="M652">
        <f>'Expense drivers'!M191</f>
        <v>0</v>
      </c>
      <c r="N652">
        <f>'Expense drivers'!N191</f>
        <v>0</v>
      </c>
      <c r="O652">
        <f>'Expense drivers'!O191</f>
        <v>0</v>
      </c>
      <c r="P652">
        <f>'Expense drivers'!P191</f>
        <v>0</v>
      </c>
      <c r="Q652">
        <f>'Expense drivers'!Q191</f>
        <v>391.55840365122339</v>
      </c>
      <c r="R652">
        <f>'Expense drivers'!R191</f>
        <v>244.6346159774352</v>
      </c>
      <c r="S652">
        <f>'Expense drivers'!S191</f>
        <v>363.2411999188754</v>
      </c>
      <c r="T652">
        <f>'Expense drivers'!T191</f>
        <v>185.77637053013046</v>
      </c>
      <c r="U652">
        <f>'Expense drivers'!U191</f>
        <v>2044.3141290576016</v>
      </c>
      <c r="V652">
        <f>'Expense drivers'!V191</f>
        <v>84.796588659555368</v>
      </c>
      <c r="W652">
        <f>'Expense drivers'!W191</f>
        <v>-12.929755502647383</v>
      </c>
      <c r="X652">
        <f>'Expense drivers'!X191</f>
        <v>243.11864639533582</v>
      </c>
      <c r="Y652">
        <f>'Expense drivers'!Y191</f>
        <v>-1594.2937860309512</v>
      </c>
      <c r="Z652">
        <f>'Expense drivers'!Z191</f>
        <v>469.279510539905</v>
      </c>
      <c r="AA652">
        <f>'Expense drivers'!AA191</f>
        <v>504.87774828104654</v>
      </c>
      <c r="AB652">
        <f>'Expense drivers'!AB191</f>
        <v>452.3993215289243</v>
      </c>
      <c r="AC652">
        <f>'Expense drivers'!AC191</f>
        <v>119.07775245960275</v>
      </c>
      <c r="AD652">
        <f>'Expense drivers'!AD191</f>
        <v>97.346149022990573</v>
      </c>
      <c r="AE652">
        <f>'Expense drivers'!AE191</f>
        <v>-80.95922693851648</v>
      </c>
      <c r="AF652">
        <f>'Expense drivers'!AF191</f>
        <v>-168.71577743070117</v>
      </c>
      <c r="AG652">
        <f>'Expense drivers'!AG191</f>
        <v>-14.774357209026977</v>
      </c>
      <c r="AH652">
        <f>'Expense drivers'!AH191</f>
        <v>99.711092008004243</v>
      </c>
      <c r="AI652">
        <f>'Expense drivers'!AI191</f>
        <v>99.517444798546407</v>
      </c>
      <c r="AJ652">
        <f>'Expense drivers'!AJ191</f>
        <v>13.466125631232673</v>
      </c>
      <c r="AL652">
        <f>'Expense drivers'!BF191</f>
        <v>0</v>
      </c>
      <c r="AM652">
        <f>'Expense drivers'!BG191</f>
        <v>0</v>
      </c>
      <c r="AN652">
        <f>'Expense drivers'!BH191</f>
        <v>49.682411488377113</v>
      </c>
      <c r="AO652">
        <f>'Expense drivers'!BI191</f>
        <v>-84.859196074893376</v>
      </c>
      <c r="AP652">
        <f>'Expense drivers'!BJ191</f>
        <v>83.980607546401131</v>
      </c>
      <c r="AQ652">
        <f>'Expense drivers'!BK191</f>
        <v>285.77447811562024</v>
      </c>
      <c r="AR652">
        <f>'Expense drivers'!BL191</f>
        <v>496.01029155478449</v>
      </c>
      <c r="AS652">
        <f>'Expense drivers'!BM191</f>
        <v>63.404664252380144</v>
      </c>
      <c r="AT652">
        <f>'Expense drivers'!BN191</f>
        <v>-25.286802540314262</v>
      </c>
      <c r="AU652">
        <f>'Expense drivers'!BO191</f>
        <v>53.263099304522441</v>
      </c>
      <c r="AV652">
        <f>'Expense drivers'!BP191</f>
        <v>36.729715248506324</v>
      </c>
      <c r="AW652">
        <f>'Expense drivers'!BQ191</f>
        <v>-23.901614149242079</v>
      </c>
      <c r="AX652">
        <f>'Expense drivers'!BR191</f>
        <v>4.4369476403732788</v>
      </c>
      <c r="AY652">
        <f>'Expense drivers'!BS191</f>
        <v>-43.92486619939087</v>
      </c>
      <c r="AZ652">
        <f>'Expense drivers'!BT191</f>
        <v>-29.608034651394249</v>
      </c>
    </row>
    <row r="653" spans="9:52" ht="11.25" customHeight="1">
      <c r="I653" t="str">
        <f>'Expense drivers'!I192</f>
        <v>bps change Q/Q - % of revenue</v>
      </c>
      <c r="M653">
        <f>'Expense drivers'!M192</f>
        <v>0</v>
      </c>
      <c r="N653">
        <f>'Expense drivers'!N192</f>
        <v>-37.344082570177839</v>
      </c>
      <c r="O653">
        <f>'Expense drivers'!O192</f>
        <v>51.826245009857288</v>
      </c>
      <c r="P653">
        <f>'Expense drivers'!P192</f>
        <v>71.299262308992041</v>
      </c>
      <c r="Q653">
        <f>'Expense drivers'!Q192</f>
        <v>305.77697890255189</v>
      </c>
      <c r="R653">
        <f>'Expense drivers'!R192</f>
        <v>-184.26787024396603</v>
      </c>
      <c r="S653">
        <f>'Expense drivers'!S192</f>
        <v>170.43282895129747</v>
      </c>
      <c r="T653">
        <f>'Expense drivers'!T192</f>
        <v>-106.16556707975289</v>
      </c>
      <c r="U653">
        <f>'Expense drivers'!U192</f>
        <v>2164.3147374300233</v>
      </c>
      <c r="V653">
        <f>'Expense drivers'!V192</f>
        <v>-2143.7854106420123</v>
      </c>
      <c r="W653">
        <f>'Expense drivers'!W192</f>
        <v>72.706484789094716</v>
      </c>
      <c r="X653">
        <f>'Expense drivers'!X192</f>
        <v>149.88283481823032</v>
      </c>
      <c r="Y653">
        <f>'Expense drivers'!Y192</f>
        <v>326.90230500373633</v>
      </c>
      <c r="Z653">
        <f>'Expense drivers'!Z192</f>
        <v>-80.212114071156336</v>
      </c>
      <c r="AA653">
        <f>'Expense drivers'!AA192</f>
        <v>108.30472253023623</v>
      </c>
      <c r="AB653">
        <f>'Expense drivers'!AB192</f>
        <v>97.40440806610809</v>
      </c>
      <c r="AC653">
        <f>'Expense drivers'!AC192</f>
        <v>-6.4192640655852395</v>
      </c>
      <c r="AD653">
        <f>'Expense drivers'!AD192</f>
        <v>-101.94371750776851</v>
      </c>
      <c r="AE653">
        <f>'Expense drivers'!AE192</f>
        <v>-70.00065343127082</v>
      </c>
      <c r="AF653">
        <f>'Expense drivers'!AF192</f>
        <v>9.6478575739233907</v>
      </c>
      <c r="AG653">
        <f>'Expense drivers'!AG192</f>
        <v>147.52215615608895</v>
      </c>
      <c r="AH653">
        <f>'Expense drivers'!AH192</f>
        <v>12.541731709262704</v>
      </c>
      <c r="AI653">
        <f>'Expense drivers'!AI192</f>
        <v>-70.194300640728656</v>
      </c>
      <c r="AJ653">
        <f>'Expense drivers'!AJ192</f>
        <v>-76.403461593390347</v>
      </c>
      <c r="AL653">
        <f>'Expense drivers'!BF192</f>
        <v>0</v>
      </c>
      <c r="AM653">
        <f>'Expense drivers'!BG192</f>
        <v>0</v>
      </c>
      <c r="AN653">
        <f>'Expense drivers'!BH192</f>
        <v>0</v>
      </c>
      <c r="AO653">
        <f>'Expense drivers'!BI192</f>
        <v>0</v>
      </c>
      <c r="AP653">
        <f>'Expense drivers'!BJ192</f>
        <v>0</v>
      </c>
      <c r="AQ653">
        <f>'Expense drivers'!BK192</f>
        <v>0</v>
      </c>
      <c r="AR653">
        <f>'Expense drivers'!BL192</f>
        <v>0</v>
      </c>
      <c r="AS653">
        <f>'Expense drivers'!BM192</f>
        <v>0</v>
      </c>
      <c r="AT653">
        <f>'Expense drivers'!BN192</f>
        <v>0</v>
      </c>
      <c r="AU653">
        <f>'Expense drivers'!BO192</f>
        <v>0</v>
      </c>
      <c r="AV653">
        <f>'Expense drivers'!BP192</f>
        <v>0</v>
      </c>
      <c r="AW653">
        <f>'Expense drivers'!BQ192</f>
        <v>0</v>
      </c>
      <c r="AX653">
        <f>'Expense drivers'!BR192</f>
        <v>0</v>
      </c>
      <c r="AY653">
        <f>'Expense drivers'!BS192</f>
        <v>0</v>
      </c>
      <c r="AZ653">
        <f>'Expense drivers'!BT192</f>
        <v>0</v>
      </c>
    </row>
    <row r="654" spans="9:52" ht="11.25" customHeight="1">
      <c r="I654">
        <f>'Expense drivers'!I198</f>
        <v>0</v>
      </c>
      <c r="M654">
        <f>'Expense drivers'!M198</f>
        <v>0</v>
      </c>
      <c r="N654">
        <f>'Expense drivers'!N198</f>
        <v>0</v>
      </c>
      <c r="O654">
        <f>'Expense drivers'!O198</f>
        <v>0</v>
      </c>
      <c r="P654">
        <f>'Expense drivers'!P198</f>
        <v>0</v>
      </c>
      <c r="Q654">
        <f>'Expense drivers'!Q198</f>
        <v>0</v>
      </c>
      <c r="R654">
        <f>'Expense drivers'!R198</f>
        <v>0</v>
      </c>
      <c r="S654">
        <f>'Expense drivers'!S198</f>
        <v>0</v>
      </c>
      <c r="T654">
        <f>'Expense drivers'!T198</f>
        <v>0</v>
      </c>
      <c r="U654">
        <f>'Expense drivers'!U198</f>
        <v>0</v>
      </c>
      <c r="V654">
        <f>'Expense drivers'!V198</f>
        <v>0</v>
      </c>
      <c r="W654">
        <f>'Expense drivers'!W198</f>
        <v>0</v>
      </c>
      <c r="X654">
        <f>'Expense drivers'!X198</f>
        <v>0</v>
      </c>
      <c r="Y654">
        <f>'Expense drivers'!Y198</f>
        <v>0</v>
      </c>
      <c r="Z654">
        <f>'Expense drivers'!Z198</f>
        <v>0</v>
      </c>
      <c r="AA654">
        <f>'Expense drivers'!AA198</f>
        <v>0</v>
      </c>
      <c r="AB654">
        <f>'Expense drivers'!AB198</f>
        <v>0</v>
      </c>
      <c r="AC654">
        <f>'Expense drivers'!AC198</f>
        <v>0</v>
      </c>
      <c r="AD654">
        <f>'Expense drivers'!AD198</f>
        <v>0</v>
      </c>
      <c r="AE654">
        <f>'Expense drivers'!AE198</f>
        <v>0</v>
      </c>
      <c r="AF654">
        <f>'Expense drivers'!AF198</f>
        <v>0</v>
      </c>
      <c r="AG654">
        <f>'Expense drivers'!AG198</f>
        <v>0</v>
      </c>
      <c r="AH654">
        <f>'Expense drivers'!AH198</f>
        <v>0</v>
      </c>
      <c r="AI654">
        <f>'Expense drivers'!AI198</f>
        <v>0</v>
      </c>
      <c r="AJ654">
        <f>'Expense drivers'!AJ198</f>
        <v>0</v>
      </c>
      <c r="AL654">
        <f>'Expense drivers'!BF198</f>
        <v>0</v>
      </c>
      <c r="AM654">
        <f>'Expense drivers'!BG198</f>
        <v>0</v>
      </c>
      <c r="AN654">
        <f>'Expense drivers'!BH198</f>
        <v>0</v>
      </c>
      <c r="AO654">
        <f>'Expense drivers'!BI198</f>
        <v>0</v>
      </c>
      <c r="AP654">
        <f>'Expense drivers'!BJ198</f>
        <v>0</v>
      </c>
      <c r="AQ654">
        <f>'Expense drivers'!BK198</f>
        <v>0</v>
      </c>
      <c r="AR654">
        <f>'Expense drivers'!BL198</f>
        <v>0</v>
      </c>
      <c r="AS654">
        <f>'Expense drivers'!BM198</f>
        <v>0</v>
      </c>
      <c r="AT654">
        <f>'Expense drivers'!BN198</f>
        <v>0</v>
      </c>
      <c r="AU654">
        <f>'Expense drivers'!BO198</f>
        <v>0</v>
      </c>
      <c r="AV654">
        <f>'Expense drivers'!BP198</f>
        <v>0</v>
      </c>
      <c r="AW654">
        <f>'Expense drivers'!BQ198</f>
        <v>0</v>
      </c>
      <c r="AX654">
        <f>'Expense drivers'!BR198</f>
        <v>0</v>
      </c>
      <c r="AY654">
        <f>'Expense drivers'!BS198</f>
        <v>0</v>
      </c>
      <c r="AZ654">
        <f>'Expense drivers'!BT198</f>
        <v>0</v>
      </c>
    </row>
    <row r="655" spans="9:52" ht="11.25" customHeight="1">
      <c r="I655">
        <f>'Expense drivers'!I199</f>
        <v>0</v>
      </c>
      <c r="M655">
        <f>'Expense drivers'!M199</f>
        <v>0</v>
      </c>
      <c r="N655">
        <f>'Expense drivers'!N199</f>
        <v>0</v>
      </c>
      <c r="O655">
        <f>'Expense drivers'!O199</f>
        <v>0</v>
      </c>
      <c r="P655">
        <f>'Expense drivers'!P199</f>
        <v>0</v>
      </c>
      <c r="Q655">
        <f>'Expense drivers'!Q199</f>
        <v>0</v>
      </c>
      <c r="R655">
        <f>'Expense drivers'!R199</f>
        <v>0</v>
      </c>
      <c r="S655">
        <f>'Expense drivers'!S199</f>
        <v>0</v>
      </c>
      <c r="T655">
        <f>'Expense drivers'!T199</f>
        <v>0</v>
      </c>
      <c r="U655">
        <f>'Expense drivers'!U199</f>
        <v>0</v>
      </c>
      <c r="V655">
        <f>'Expense drivers'!V199</f>
        <v>0</v>
      </c>
      <c r="W655">
        <f>'Expense drivers'!W199</f>
        <v>0</v>
      </c>
      <c r="X655">
        <f>'Expense drivers'!X199</f>
        <v>0</v>
      </c>
      <c r="Y655">
        <f>'Expense drivers'!Y199</f>
        <v>0</v>
      </c>
      <c r="Z655">
        <f>'Expense drivers'!Z199</f>
        <v>0</v>
      </c>
      <c r="AA655">
        <f>'Expense drivers'!AA199</f>
        <v>0</v>
      </c>
      <c r="AB655">
        <f>'Expense drivers'!AB199</f>
        <v>0</v>
      </c>
      <c r="AC655">
        <f>'Expense drivers'!AC199</f>
        <v>0</v>
      </c>
      <c r="AD655">
        <f>'Expense drivers'!AD199</f>
        <v>0</v>
      </c>
      <c r="AE655">
        <f>'Expense drivers'!AE199</f>
        <v>0</v>
      </c>
      <c r="AF655">
        <f>'Expense drivers'!AF199</f>
        <v>0</v>
      </c>
      <c r="AG655">
        <f>'Expense drivers'!AG199</f>
        <v>0</v>
      </c>
      <c r="AH655">
        <f>'Expense drivers'!AH199</f>
        <v>0</v>
      </c>
      <c r="AI655">
        <f>'Expense drivers'!AI199</f>
        <v>0</v>
      </c>
      <c r="AJ655">
        <f>'Expense drivers'!AJ199</f>
        <v>0</v>
      </c>
      <c r="AL655">
        <f>'Expense drivers'!BF199</f>
        <v>0</v>
      </c>
      <c r="AM655">
        <f>'Expense drivers'!BG199</f>
        <v>0</v>
      </c>
      <c r="AN655">
        <f>'Expense drivers'!BH199</f>
        <v>0</v>
      </c>
      <c r="AO655">
        <f>'Expense drivers'!BI199</f>
        <v>0</v>
      </c>
      <c r="AP655">
        <f>'Expense drivers'!BJ199</f>
        <v>0</v>
      </c>
      <c r="AQ655">
        <f>'Expense drivers'!BK199</f>
        <v>0</v>
      </c>
      <c r="AR655">
        <f>'Expense drivers'!BL199</f>
        <v>0</v>
      </c>
      <c r="AS655">
        <f>'Expense drivers'!BM199</f>
        <v>0</v>
      </c>
      <c r="AT655">
        <f>'Expense drivers'!BN199</f>
        <v>0</v>
      </c>
      <c r="AU655">
        <f>'Expense drivers'!BO199</f>
        <v>0</v>
      </c>
      <c r="AV655">
        <f>'Expense drivers'!BP199</f>
        <v>0</v>
      </c>
      <c r="AW655">
        <f>'Expense drivers'!BQ199</f>
        <v>0</v>
      </c>
      <c r="AX655">
        <f>'Expense drivers'!BR199</f>
        <v>0</v>
      </c>
      <c r="AY655">
        <f>'Expense drivers'!BS199</f>
        <v>0</v>
      </c>
      <c r="AZ655">
        <f>'Expense drivers'!BT199</f>
        <v>0</v>
      </c>
    </row>
    <row r="656" spans="9:52" ht="11.25" customHeight="1">
      <c r="I656">
        <f>'Expense drivers'!I200</f>
        <v>0</v>
      </c>
      <c r="M656">
        <f>'Expense drivers'!M200</f>
        <v>0</v>
      </c>
      <c r="N656">
        <f>'Expense drivers'!N200</f>
        <v>0</v>
      </c>
      <c r="O656">
        <f>'Expense drivers'!O200</f>
        <v>0</v>
      </c>
      <c r="P656">
        <f>'Expense drivers'!P200</f>
        <v>0</v>
      </c>
      <c r="Q656">
        <f>'Expense drivers'!Q200</f>
        <v>0</v>
      </c>
      <c r="R656">
        <f>'Expense drivers'!R200</f>
        <v>0</v>
      </c>
      <c r="S656">
        <f>'Expense drivers'!S200</f>
        <v>0</v>
      </c>
      <c r="T656">
        <f>'Expense drivers'!T200</f>
        <v>0</v>
      </c>
      <c r="U656">
        <f>'Expense drivers'!U200</f>
        <v>0</v>
      </c>
      <c r="V656">
        <f>'Expense drivers'!V200</f>
        <v>0</v>
      </c>
      <c r="W656">
        <f>'Expense drivers'!W200</f>
        <v>0</v>
      </c>
      <c r="X656">
        <f>'Expense drivers'!X200</f>
        <v>0</v>
      </c>
      <c r="Y656">
        <f>'Expense drivers'!Y200</f>
        <v>0</v>
      </c>
      <c r="Z656">
        <f>'Expense drivers'!Z200</f>
        <v>0</v>
      </c>
      <c r="AA656">
        <f>'Expense drivers'!AA200</f>
        <v>0</v>
      </c>
      <c r="AB656">
        <f>'Expense drivers'!AB200</f>
        <v>0</v>
      </c>
      <c r="AC656">
        <f>'Expense drivers'!AC200</f>
        <v>0</v>
      </c>
      <c r="AD656">
        <f>'Expense drivers'!AD200</f>
        <v>0</v>
      </c>
      <c r="AE656">
        <f>'Expense drivers'!AE200</f>
        <v>0</v>
      </c>
      <c r="AF656">
        <f>'Expense drivers'!AF200</f>
        <v>0</v>
      </c>
      <c r="AG656">
        <f>'Expense drivers'!AG200</f>
        <v>0</v>
      </c>
      <c r="AH656">
        <f>'Expense drivers'!AH200</f>
        <v>0</v>
      </c>
      <c r="AI656">
        <f>'Expense drivers'!AI200</f>
        <v>0</v>
      </c>
      <c r="AJ656">
        <f>'Expense drivers'!AJ200</f>
        <v>0</v>
      </c>
      <c r="AL656">
        <f>'Expense drivers'!BF200</f>
        <v>0</v>
      </c>
      <c r="AM656">
        <f>'Expense drivers'!BG200</f>
        <v>0</v>
      </c>
      <c r="AN656">
        <f>'Expense drivers'!BH200</f>
        <v>0</v>
      </c>
      <c r="AO656">
        <f>'Expense drivers'!BI200</f>
        <v>0</v>
      </c>
      <c r="AP656">
        <f>'Expense drivers'!BJ200</f>
        <v>0</v>
      </c>
      <c r="AQ656">
        <f>'Expense drivers'!BK200</f>
        <v>0</v>
      </c>
      <c r="AR656">
        <f>'Expense drivers'!BL200</f>
        <v>0</v>
      </c>
      <c r="AS656">
        <f>'Expense drivers'!BM200</f>
        <v>0</v>
      </c>
      <c r="AT656">
        <f>'Expense drivers'!BN200</f>
        <v>0</v>
      </c>
      <c r="AU656">
        <f>'Expense drivers'!BO200</f>
        <v>0</v>
      </c>
      <c r="AV656">
        <f>'Expense drivers'!BP200</f>
        <v>0</v>
      </c>
      <c r="AW656">
        <f>'Expense drivers'!BQ200</f>
        <v>0</v>
      </c>
      <c r="AX656">
        <f>'Expense drivers'!BR200</f>
        <v>0</v>
      </c>
      <c r="AY656">
        <f>'Expense drivers'!BS200</f>
        <v>0</v>
      </c>
      <c r="AZ656">
        <f>'Expense drivers'!BT200</f>
        <v>0</v>
      </c>
    </row>
    <row r="657" spans="9:52" ht="11.25" customHeight="1">
      <c r="I657" t="str">
        <f>'Expense drivers'!I201</f>
        <v>GAAP operating expenses</v>
      </c>
      <c r="M657">
        <f>'Expense drivers'!M201</f>
        <v>0</v>
      </c>
      <c r="N657">
        <f>'Expense drivers'!N201</f>
        <v>0</v>
      </c>
      <c r="O657">
        <f>'Expense drivers'!O201</f>
        <v>0</v>
      </c>
      <c r="P657">
        <f>'Expense drivers'!P201</f>
        <v>0</v>
      </c>
      <c r="Q657">
        <f>'Expense drivers'!Q201</f>
        <v>0</v>
      </c>
      <c r="R657">
        <f>'Expense drivers'!R201</f>
        <v>0</v>
      </c>
      <c r="S657">
        <f>'Expense drivers'!S201</f>
        <v>0</v>
      </c>
      <c r="T657">
        <f>'Expense drivers'!T201</f>
        <v>0</v>
      </c>
      <c r="U657">
        <f>'Expense drivers'!U201</f>
        <v>0</v>
      </c>
      <c r="V657">
        <f>'Expense drivers'!V201</f>
        <v>0</v>
      </c>
      <c r="W657">
        <f>'Expense drivers'!W201</f>
        <v>0</v>
      </c>
      <c r="X657">
        <f>'Expense drivers'!X201</f>
        <v>0</v>
      </c>
      <c r="Y657">
        <f>'Expense drivers'!Y201</f>
        <v>0</v>
      </c>
      <c r="Z657">
        <f>'Expense drivers'!Z201</f>
        <v>0</v>
      </c>
      <c r="AA657">
        <f>'Expense drivers'!AA201</f>
        <v>0</v>
      </c>
      <c r="AB657">
        <f>'Expense drivers'!AB201</f>
        <v>0</v>
      </c>
      <c r="AC657">
        <f>'Expense drivers'!AC201</f>
        <v>0</v>
      </c>
      <c r="AD657">
        <f>'Expense drivers'!AD201</f>
        <v>0</v>
      </c>
      <c r="AE657">
        <f>'Expense drivers'!AE201</f>
        <v>0</v>
      </c>
      <c r="AF657">
        <f>'Expense drivers'!AF201</f>
        <v>0</v>
      </c>
      <c r="AG657">
        <f>'Expense drivers'!AG201</f>
        <v>0</v>
      </c>
      <c r="AH657">
        <f>'Expense drivers'!AH201</f>
        <v>0</v>
      </c>
      <c r="AI657">
        <f>'Expense drivers'!AI201</f>
        <v>0</v>
      </c>
      <c r="AJ657">
        <f>'Expense drivers'!AJ201</f>
        <v>0</v>
      </c>
      <c r="AL657">
        <f>'Expense drivers'!BF201</f>
        <v>0</v>
      </c>
      <c r="AM657">
        <f>'Expense drivers'!BG201</f>
        <v>0</v>
      </c>
      <c r="AN657">
        <f>'Expense drivers'!BH201</f>
        <v>0</v>
      </c>
      <c r="AO657">
        <f>'Expense drivers'!BI201</f>
        <v>0</v>
      </c>
      <c r="AP657">
        <f>'Expense drivers'!BJ201</f>
        <v>0</v>
      </c>
      <c r="AQ657">
        <f>'Expense drivers'!BK201</f>
        <v>0</v>
      </c>
      <c r="AR657">
        <f>'Expense drivers'!BL201</f>
        <v>0</v>
      </c>
      <c r="AS657">
        <f>'Expense drivers'!BM201</f>
        <v>0</v>
      </c>
      <c r="AT657">
        <f>'Expense drivers'!BN201</f>
        <v>0</v>
      </c>
      <c r="AU657">
        <f>'Expense drivers'!BO201</f>
        <v>0</v>
      </c>
      <c r="AV657">
        <f>'Expense drivers'!BP201</f>
        <v>0</v>
      </c>
      <c r="AW657">
        <f>'Expense drivers'!BQ201</f>
        <v>0</v>
      </c>
      <c r="AX657">
        <f>'Expense drivers'!BR201</f>
        <v>0</v>
      </c>
      <c r="AY657">
        <f>'Expense drivers'!BS201</f>
        <v>0</v>
      </c>
      <c r="AZ657">
        <f>'Expense drivers'!BT201</f>
        <v>0</v>
      </c>
    </row>
    <row r="658" spans="9:52" ht="11.25" customHeight="1">
      <c r="I658">
        <f>'Expense drivers'!I202</f>
        <v>0</v>
      </c>
      <c r="M658">
        <f>'Expense drivers'!M202</f>
        <v>0</v>
      </c>
      <c r="N658">
        <f>'Expense drivers'!N202</f>
        <v>0</v>
      </c>
      <c r="O658">
        <f>'Expense drivers'!O202</f>
        <v>0</v>
      </c>
      <c r="P658">
        <f>'Expense drivers'!P202</f>
        <v>0</v>
      </c>
      <c r="Q658">
        <f>'Expense drivers'!Q202</f>
        <v>0</v>
      </c>
      <c r="R658">
        <f>'Expense drivers'!R202</f>
        <v>0</v>
      </c>
      <c r="S658">
        <f>'Expense drivers'!S202</f>
        <v>0</v>
      </c>
      <c r="T658">
        <f>'Expense drivers'!T202</f>
        <v>0</v>
      </c>
      <c r="U658">
        <f>'Expense drivers'!U202</f>
        <v>0</v>
      </c>
      <c r="V658">
        <f>'Expense drivers'!V202</f>
        <v>0</v>
      </c>
      <c r="W658">
        <f>'Expense drivers'!W202</f>
        <v>0</v>
      </c>
      <c r="X658">
        <f>'Expense drivers'!X202</f>
        <v>0</v>
      </c>
      <c r="Y658">
        <f>'Expense drivers'!Y202</f>
        <v>0</v>
      </c>
      <c r="Z658">
        <f>'Expense drivers'!Z202</f>
        <v>0</v>
      </c>
      <c r="AA658">
        <f>'Expense drivers'!AA202</f>
        <v>0</v>
      </c>
      <c r="AB658">
        <f>'Expense drivers'!AB202</f>
        <v>0</v>
      </c>
      <c r="AC658">
        <f>'Expense drivers'!AC202</f>
        <v>0</v>
      </c>
      <c r="AD658">
        <f>'Expense drivers'!AD202</f>
        <v>0</v>
      </c>
      <c r="AE658">
        <f>'Expense drivers'!AE202</f>
        <v>0</v>
      </c>
      <c r="AF658">
        <f>'Expense drivers'!AF202</f>
        <v>0</v>
      </c>
      <c r="AG658">
        <f>'Expense drivers'!AG202</f>
        <v>0</v>
      </c>
      <c r="AH658">
        <f>'Expense drivers'!AH202</f>
        <v>0</v>
      </c>
      <c r="AI658">
        <f>'Expense drivers'!AI202</f>
        <v>0</v>
      </c>
      <c r="AJ658">
        <f>'Expense drivers'!AJ202</f>
        <v>0</v>
      </c>
      <c r="AL658">
        <f>'Expense drivers'!BF202</f>
        <v>0</v>
      </c>
      <c r="AM658">
        <f>'Expense drivers'!BG202</f>
        <v>0</v>
      </c>
      <c r="AN658">
        <f>'Expense drivers'!BH202</f>
        <v>0</v>
      </c>
      <c r="AO658">
        <f>'Expense drivers'!BI202</f>
        <v>0</v>
      </c>
      <c r="AP658">
        <f>'Expense drivers'!BJ202</f>
        <v>0</v>
      </c>
      <c r="AQ658">
        <f>'Expense drivers'!BK202</f>
        <v>0</v>
      </c>
      <c r="AR658">
        <f>'Expense drivers'!BL202</f>
        <v>0</v>
      </c>
      <c r="AS658">
        <f>'Expense drivers'!BM202</f>
        <v>0</v>
      </c>
      <c r="AT658">
        <f>'Expense drivers'!BN202</f>
        <v>0</v>
      </c>
      <c r="AU658">
        <f>'Expense drivers'!BO202</f>
        <v>0</v>
      </c>
      <c r="AV658">
        <f>'Expense drivers'!BP202</f>
        <v>0</v>
      </c>
      <c r="AW658">
        <f>'Expense drivers'!BQ202</f>
        <v>0</v>
      </c>
      <c r="AX658">
        <f>'Expense drivers'!BR202</f>
        <v>0</v>
      </c>
      <c r="AY658">
        <f>'Expense drivers'!BS202</f>
        <v>0</v>
      </c>
      <c r="AZ658">
        <f>'Expense drivers'!BT202</f>
        <v>0</v>
      </c>
    </row>
    <row r="659" spans="9:52" ht="11.25" customHeight="1">
      <c r="I659" t="str">
        <f>'Expense drivers'!I203</f>
        <v>Total GAAP operating expenses</v>
      </c>
      <c r="M659">
        <f>'Expense drivers'!M203</f>
        <v>12.002000000000002</v>
      </c>
      <c r="N659">
        <f>'Expense drivers'!N203</f>
        <v>13.402999999999999</v>
      </c>
      <c r="O659">
        <f>'Expense drivers'!O203</f>
        <v>15.541</v>
      </c>
      <c r="P659">
        <f>'Expense drivers'!P203</f>
        <v>16.291</v>
      </c>
      <c r="Q659">
        <f>'Expense drivers'!Q203</f>
        <v>19.302</v>
      </c>
      <c r="R659">
        <f>'Expense drivers'!R203</f>
        <v>20.800999999999998</v>
      </c>
      <c r="S659">
        <f>'Expense drivers'!S203</f>
        <v>25.690999999999999</v>
      </c>
      <c r="T659">
        <f>'Expense drivers'!T203</f>
        <v>33.661999999999999</v>
      </c>
      <c r="U659">
        <f>'Expense drivers'!U203</f>
        <v>37.125999999999998</v>
      </c>
      <c r="V659">
        <f>'Expense drivers'!V203</f>
        <v>34.591000000000001</v>
      </c>
      <c r="W659">
        <f>'Expense drivers'!W203</f>
        <v>38.323</v>
      </c>
      <c r="X659">
        <f>'Expense drivers'!X203</f>
        <v>46.292999999999999</v>
      </c>
      <c r="Y659">
        <f>'Expense drivers'!Y203</f>
        <v>50.686999999999991</v>
      </c>
      <c r="Z659">
        <f>'Expense drivers'!Z203</f>
        <v>55.602999999999994</v>
      </c>
      <c r="AA659">
        <f>'Expense drivers'!AA203</f>
        <v>62.962000000000003</v>
      </c>
      <c r="AB659">
        <f>'Expense drivers'!AB203</f>
        <v>72.558999999999997</v>
      </c>
      <c r="AC659">
        <f>'Expense drivers'!AC203</f>
        <v>81.01100000000001</v>
      </c>
      <c r="AD659">
        <f>'Expense drivers'!AD203</f>
        <v>85.660000000000011</v>
      </c>
      <c r="AE659">
        <f>'Expense drivers'!AE203</f>
        <v>97.911000000000001</v>
      </c>
      <c r="AF659">
        <f>'Expense drivers'!AF203</f>
        <v>101.89500000000001</v>
      </c>
      <c r="AG659">
        <f>'Expense drivers'!AG203</f>
        <v>122.75700000000001</v>
      </c>
      <c r="AH659">
        <f>'Expense drivers'!AH203</f>
        <v>133.863</v>
      </c>
      <c r="AI659">
        <f>'Expense drivers'!AI203</f>
        <v>154.27100000000002</v>
      </c>
      <c r="AJ659">
        <f>'Expense drivers'!AJ203</f>
        <v>160.14399999999998</v>
      </c>
      <c r="AL659">
        <f>'Expense drivers'!BF203</f>
        <v>2.6709999999999998</v>
      </c>
      <c r="AM659">
        <f>'Expense drivers'!BG203</f>
        <v>7.6649999999999991</v>
      </c>
      <c r="AN659">
        <f>'Expense drivers'!BH203</f>
        <v>18.378000000000004</v>
      </c>
      <c r="AO659">
        <f>'Expense drivers'!BI203</f>
        <v>28.140999999999998</v>
      </c>
      <c r="AP659">
        <f>'Expense drivers'!BJ203</f>
        <v>57.237000000000002</v>
      </c>
      <c r="AQ659">
        <f>'Expense drivers'!BK203</f>
        <v>99.455999999999989</v>
      </c>
      <c r="AR659">
        <f>'Expense drivers'!BL203</f>
        <v>156.333</v>
      </c>
      <c r="AS659">
        <f>'Expense drivers'!BM203</f>
        <v>241.81100000000001</v>
      </c>
      <c r="AT659">
        <f>'Expense drivers'!BN203</f>
        <v>366.47699999999998</v>
      </c>
      <c r="AU659">
        <f>'Expense drivers'!BO203</f>
        <v>571.03500000000008</v>
      </c>
      <c r="AV659">
        <f>'Expense drivers'!BP203</f>
        <v>718.048</v>
      </c>
      <c r="AW659">
        <f>'Expense drivers'!BQ203</f>
        <v>667.32799999999997</v>
      </c>
      <c r="AX659">
        <f>'Expense drivers'!BR203</f>
        <v>933.27574564131089</v>
      </c>
      <c r="AY659">
        <f>'Expense drivers'!BS203</f>
        <v>1042.2587174313649</v>
      </c>
      <c r="AZ659">
        <f>'Expense drivers'!BT203</f>
        <v>1155.061989792885</v>
      </c>
    </row>
    <row r="660" spans="9:52" ht="11.25" customHeight="1">
      <c r="I660" t="str">
        <f>'Expense drivers'!I204</f>
        <v>Cost of revenue</v>
      </c>
      <c r="M660">
        <f>'Expense drivers'!M204</f>
        <v>0.57199999999999995</v>
      </c>
      <c r="N660">
        <f>'Expense drivers'!N204</f>
        <v>0.71799999999999997</v>
      </c>
      <c r="O660">
        <f>'Expense drivers'!O204</f>
        <v>0.878</v>
      </c>
      <c r="P660">
        <f>'Expense drivers'!P204</f>
        <v>0.96899999999999997</v>
      </c>
      <c r="Q660">
        <f>'Expense drivers'!Q204</f>
        <v>1.276</v>
      </c>
      <c r="R660">
        <f>'Expense drivers'!R204</f>
        <v>1.2849999999999999</v>
      </c>
      <c r="S660">
        <f>'Expense drivers'!S204</f>
        <v>1.5369999999999999</v>
      </c>
      <c r="T660">
        <f>'Expense drivers'!T204</f>
        <v>1.833</v>
      </c>
      <c r="U660">
        <f>'Expense drivers'!U204</f>
        <v>2.1259999999999999</v>
      </c>
      <c r="V660">
        <f>'Expense drivers'!V204</f>
        <v>2.298</v>
      </c>
      <c r="W660">
        <f>'Expense drivers'!W204</f>
        <v>2.5009999999999999</v>
      </c>
      <c r="X660">
        <f>'Expense drivers'!X204</f>
        <v>3.0030000000000001</v>
      </c>
      <c r="Y660">
        <f>'Expense drivers'!Y204</f>
        <v>3.34</v>
      </c>
      <c r="Z660">
        <f>'Expense drivers'!Z204</f>
        <v>4.0179999999999998</v>
      </c>
      <c r="AA660">
        <f>'Expense drivers'!AA204</f>
        <v>4.2770000000000001</v>
      </c>
      <c r="AB660">
        <f>'Expense drivers'!AB204</f>
        <v>4.9260000000000002</v>
      </c>
      <c r="AC660">
        <f>'Expense drivers'!AC204</f>
        <v>5.077</v>
      </c>
      <c r="AD660">
        <f>'Expense drivers'!AD204</f>
        <v>5.8449999999999998</v>
      </c>
      <c r="AE660">
        <f>'Expense drivers'!AE204</f>
        <v>6.1740000000000004</v>
      </c>
      <c r="AF660">
        <f>'Expense drivers'!AF204</f>
        <v>7.2859999999999996</v>
      </c>
      <c r="AG660">
        <f>'Expense drivers'!AG204</f>
        <v>8.6989999999999998</v>
      </c>
      <c r="AH660">
        <f>'Expense drivers'!AH204</f>
        <v>13.057</v>
      </c>
      <c r="AI660">
        <f>'Expense drivers'!AI204</f>
        <v>14.259</v>
      </c>
      <c r="AJ660">
        <f>'Expense drivers'!AJ204</f>
        <v>15</v>
      </c>
      <c r="AL660">
        <f>'Expense drivers'!BF204</f>
        <v>0</v>
      </c>
      <c r="AM660">
        <f>'Expense drivers'!BG204</f>
        <v>0.23200000000000001</v>
      </c>
      <c r="AN660">
        <f>'Expense drivers'!BH204</f>
        <v>0.60799999999999998</v>
      </c>
      <c r="AO660">
        <f>'Expense drivers'!BI204</f>
        <v>1.121</v>
      </c>
      <c r="AP660">
        <f>'Expense drivers'!BJ204</f>
        <v>3.137</v>
      </c>
      <c r="AQ660">
        <f>'Expense drivers'!BK204</f>
        <v>5.931</v>
      </c>
      <c r="AR660">
        <f>'Expense drivers'!BL204</f>
        <v>9.927999999999999</v>
      </c>
      <c r="AS660">
        <f>'Expense drivers'!BM204</f>
        <v>16.561</v>
      </c>
      <c r="AT660">
        <f>'Expense drivers'!BN204</f>
        <v>24.381999999999998</v>
      </c>
      <c r="AU660">
        <f>'Expense drivers'!BO204</f>
        <v>51.015000000000001</v>
      </c>
      <c r="AV660">
        <f>'Expense drivers'!BP204</f>
        <v>60.363</v>
      </c>
      <c r="AW660">
        <f>'Expense drivers'!BQ204</f>
        <v>70.518000000000001</v>
      </c>
      <c r="AX660">
        <f>'Expense drivers'!BR204</f>
        <v>76.494699864899772</v>
      </c>
      <c r="AY660">
        <f>'Expense drivers'!BS204</f>
        <v>86.576152929725424</v>
      </c>
      <c r="AZ660">
        <f>'Expense drivers'!BT204</f>
        <v>95.109947840046885</v>
      </c>
    </row>
    <row r="661" spans="9:52" ht="11.25" customHeight="1">
      <c r="I661" t="str">
        <f>'Expense drivers'!I205</f>
        <v>Sales and marketing</v>
      </c>
      <c r="M661">
        <f>'Expense drivers'!M205</f>
        <v>6.6870000000000003</v>
      </c>
      <c r="N661">
        <f>'Expense drivers'!N205</f>
        <v>7.9169999999999998</v>
      </c>
      <c r="O661">
        <f>'Expense drivers'!O205</f>
        <v>9.4649999999999999</v>
      </c>
      <c r="P661">
        <f>'Expense drivers'!P205</f>
        <v>9.85</v>
      </c>
      <c r="Q661">
        <f>'Expense drivers'!Q205</f>
        <v>11.271000000000001</v>
      </c>
      <c r="R661">
        <f>'Expense drivers'!R205</f>
        <v>12.347</v>
      </c>
      <c r="S661">
        <f>'Expense drivers'!S205</f>
        <v>14.897</v>
      </c>
      <c r="T661">
        <f>'Expense drivers'!T205</f>
        <v>16.024000000000001</v>
      </c>
      <c r="U661">
        <f>'Expense drivers'!U205</f>
        <v>18.77</v>
      </c>
      <c r="V661">
        <f>'Expense drivers'!V205</f>
        <v>20.332999999999998</v>
      </c>
      <c r="W661">
        <f>'Expense drivers'!W205</f>
        <v>21.302</v>
      </c>
      <c r="X661">
        <f>'Expense drivers'!X205</f>
        <v>25.510999999999999</v>
      </c>
      <c r="Y661">
        <f>'Expense drivers'!Y205</f>
        <v>28.193999999999999</v>
      </c>
      <c r="Z661">
        <f>'Expense drivers'!Z205</f>
        <v>30.803000000000001</v>
      </c>
      <c r="AA661">
        <f>'Expense drivers'!AA205</f>
        <v>34.125999999999998</v>
      </c>
      <c r="AB661">
        <f>'Expense drivers'!AB205</f>
        <v>38.847000000000001</v>
      </c>
      <c r="AC661">
        <f>'Expense drivers'!AC205</f>
        <v>45.121000000000002</v>
      </c>
      <c r="AD661">
        <f>'Expense drivers'!AD205</f>
        <v>47.798000000000002</v>
      </c>
      <c r="AE661">
        <f>'Expense drivers'!AE205</f>
        <v>54.551000000000002</v>
      </c>
      <c r="AF661">
        <f>'Expense drivers'!AF205</f>
        <v>53.58</v>
      </c>
      <c r="AG661">
        <f>'Expense drivers'!AG205</f>
        <v>63.265999999999998</v>
      </c>
      <c r="AH661">
        <f>'Expense drivers'!AH205</f>
        <v>68.013999999999996</v>
      </c>
      <c r="AI661">
        <f>'Expense drivers'!AI205</f>
        <v>82.948999999999998</v>
      </c>
      <c r="AJ661">
        <f>'Expense drivers'!AJ205</f>
        <v>87.534999999999997</v>
      </c>
      <c r="AL661">
        <f>'Expense drivers'!BF205</f>
        <v>1.0780000000000001</v>
      </c>
      <c r="AM661">
        <f>'Expense drivers'!BG205</f>
        <v>3.9769999999999999</v>
      </c>
      <c r="AN661">
        <f>'Expense drivers'!BH205</f>
        <v>10.039</v>
      </c>
      <c r="AO661">
        <f>'Expense drivers'!BI205</f>
        <v>17.978999999999999</v>
      </c>
      <c r="AP661">
        <f>'Expense drivers'!BJ205</f>
        <v>33.918999999999997</v>
      </c>
      <c r="AQ661">
        <f>'Expense drivers'!BK205</f>
        <v>54.539000000000001</v>
      </c>
      <c r="AR661">
        <f>'Expense drivers'!BL205</f>
        <v>85.915999999999997</v>
      </c>
      <c r="AS661">
        <f>'Expense drivers'!BM205</f>
        <v>131.97</v>
      </c>
      <c r="AT661">
        <f>'Expense drivers'!BN205</f>
        <v>201.05</v>
      </c>
      <c r="AU661">
        <f>'Expense drivers'!BO205</f>
        <v>301.76400000000001</v>
      </c>
      <c r="AV661">
        <f>'Expense drivers'!BP205</f>
        <v>382.85399999999998</v>
      </c>
      <c r="AW661">
        <f>'Expense drivers'!BQ205</f>
        <v>438.64299999999997</v>
      </c>
      <c r="AX661">
        <f>'Expense drivers'!BR205</f>
        <v>499.59490773177777</v>
      </c>
      <c r="AY661">
        <f>'Expense drivers'!BS205</f>
        <v>574.39207563157868</v>
      </c>
      <c r="AZ661">
        <f>'Expense drivers'!BT205</f>
        <v>641.43007493173297</v>
      </c>
    </row>
    <row r="662" spans="9:52" ht="11.25" customHeight="1">
      <c r="I662" t="str">
        <f>'Expense drivers'!I206</f>
        <v>Product development</v>
      </c>
      <c r="M662">
        <f>'Expense drivers'!M206</f>
        <v>1.2070000000000001</v>
      </c>
      <c r="N662">
        <f>'Expense drivers'!N206</f>
        <v>1.522</v>
      </c>
      <c r="O662">
        <f>'Expense drivers'!O206</f>
        <v>1.9219999999999999</v>
      </c>
      <c r="P662">
        <f>'Expense drivers'!P206</f>
        <v>1.909</v>
      </c>
      <c r="Q662">
        <f>'Expense drivers'!Q206</f>
        <v>2.319</v>
      </c>
      <c r="R662">
        <f>'Expense drivers'!R206</f>
        <v>2.661</v>
      </c>
      <c r="S662">
        <f>'Expense drivers'!S206</f>
        <v>3.444</v>
      </c>
      <c r="T662">
        <f>'Expense drivers'!T206</f>
        <v>3.1619999999999999</v>
      </c>
      <c r="U662">
        <f>'Expense drivers'!U206</f>
        <v>4.1399999999999997</v>
      </c>
      <c r="V662">
        <f>'Expense drivers'!V206</f>
        <v>4.3360000000000003</v>
      </c>
      <c r="W662">
        <f>'Expense drivers'!W206</f>
        <v>5.7530000000000001</v>
      </c>
      <c r="X662">
        <f>'Expense drivers'!X206</f>
        <v>6.2439999999999998</v>
      </c>
      <c r="Y662">
        <f>'Expense drivers'!Y206</f>
        <v>7.2359999999999998</v>
      </c>
      <c r="Z662">
        <f>'Expense drivers'!Z206</f>
        <v>7.9969999999999999</v>
      </c>
      <c r="AA662">
        <f>'Expense drivers'!AA206</f>
        <v>11.208</v>
      </c>
      <c r="AB662">
        <f>'Expense drivers'!AB206</f>
        <v>11.802</v>
      </c>
      <c r="AC662">
        <f>'Expense drivers'!AC206</f>
        <v>13.981999999999999</v>
      </c>
      <c r="AD662">
        <f>'Expense drivers'!AD206</f>
        <v>14.726000000000001</v>
      </c>
      <c r="AE662">
        <f>'Expense drivers'!AE206</f>
        <v>17.396999999999998</v>
      </c>
      <c r="AF662">
        <f>'Expense drivers'!AF206</f>
        <v>19.076000000000001</v>
      </c>
      <c r="AG662">
        <f>'Expense drivers'!AG206</f>
        <v>23.96</v>
      </c>
      <c r="AH662">
        <f>'Expense drivers'!AH206</f>
        <v>26.344999999999999</v>
      </c>
      <c r="AI662">
        <f>'Expense drivers'!AI206</f>
        <v>28.510999999999999</v>
      </c>
      <c r="AJ662">
        <f>'Expense drivers'!AJ206</f>
        <v>28.97</v>
      </c>
      <c r="AL662">
        <f>'Expense drivers'!BF206</f>
        <v>0.86899999999999999</v>
      </c>
      <c r="AM662">
        <f>'Expense drivers'!BG206</f>
        <v>1.472</v>
      </c>
      <c r="AN662">
        <f>'Expense drivers'!BH206</f>
        <v>2.0470000000000002</v>
      </c>
      <c r="AO662">
        <f>'Expense drivers'!BI206</f>
        <v>3.2429999999999999</v>
      </c>
      <c r="AP662">
        <f>'Expense drivers'!BJ206</f>
        <v>6.56</v>
      </c>
      <c r="AQ662">
        <f>'Expense drivers'!BK206</f>
        <v>11.585999999999999</v>
      </c>
      <c r="AR662">
        <f>'Expense drivers'!BL206</f>
        <v>20.472999999999999</v>
      </c>
      <c r="AS662">
        <f>'Expense drivers'!BM206</f>
        <v>38.243000000000002</v>
      </c>
      <c r="AT662">
        <f>'Expense drivers'!BN206</f>
        <v>65.180999999999997</v>
      </c>
      <c r="AU662">
        <f>'Expense drivers'!BO206</f>
        <v>107.786</v>
      </c>
      <c r="AV662">
        <f>'Expense drivers'!BP206</f>
        <v>138.54899999999998</v>
      </c>
      <c r="AW662">
        <f>'Expense drivers'!BQ206</f>
        <v>175.78700000000001</v>
      </c>
      <c r="AX662">
        <f>'Expense drivers'!BR206</f>
        <v>198.30167529224232</v>
      </c>
      <c r="AY662">
        <f>'Expense drivers'!BS206</f>
        <v>220.73703632731139</v>
      </c>
      <c r="AZ662">
        <f>'Expense drivers'!BT206</f>
        <v>239.21003996004254</v>
      </c>
    </row>
    <row r="663" spans="9:52" ht="11.25" customHeight="1">
      <c r="I663" t="str">
        <f>'Expense drivers'!I207</f>
        <v>General and administrative</v>
      </c>
      <c r="M663">
        <f>'Expense drivers'!M207</f>
        <v>1.792</v>
      </c>
      <c r="N663">
        <f>'Expense drivers'!N207</f>
        <v>2.7930000000000001</v>
      </c>
      <c r="O663">
        <f>'Expense drivers'!O207</f>
        <v>2.69</v>
      </c>
      <c r="P663">
        <f>'Expense drivers'!P207</f>
        <v>2.7120000000000002</v>
      </c>
      <c r="Q663">
        <f>'Expense drivers'!Q207</f>
        <v>3.617</v>
      </c>
      <c r="R663">
        <f>'Expense drivers'!R207</f>
        <v>3.5840000000000001</v>
      </c>
      <c r="S663">
        <f>'Expense drivers'!S207</f>
        <v>4.766</v>
      </c>
      <c r="T663">
        <f>'Expense drivers'!T207</f>
        <v>5.2670000000000003</v>
      </c>
      <c r="U663">
        <f>'Expense drivers'!U207</f>
        <v>10.728999999999999</v>
      </c>
      <c r="V663">
        <f>'Expense drivers'!V207</f>
        <v>5.9630000000000001</v>
      </c>
      <c r="W663">
        <f>'Expense drivers'!W207</f>
        <v>6.9870000000000001</v>
      </c>
      <c r="X663">
        <f>'Expense drivers'!X207</f>
        <v>7.8520000000000003</v>
      </c>
      <c r="Y663">
        <f>'Expense drivers'!Y207</f>
        <v>8.7639999999999993</v>
      </c>
      <c r="Z663">
        <f>'Expense drivers'!Z207</f>
        <v>10.148</v>
      </c>
      <c r="AA663">
        <f>'Expense drivers'!AA207</f>
        <v>10.535</v>
      </c>
      <c r="AB663">
        <f>'Expense drivers'!AB207</f>
        <v>13.46</v>
      </c>
      <c r="AC663">
        <f>'Expense drivers'!AC207</f>
        <v>13.17</v>
      </c>
      <c r="AD663">
        <f>'Expense drivers'!AD207</f>
        <v>13.257</v>
      </c>
      <c r="AE663">
        <f>'Expense drivers'!AE207</f>
        <v>15.185</v>
      </c>
      <c r="AF663">
        <f>'Expense drivers'!AF207</f>
        <v>16.661999999999999</v>
      </c>
      <c r="AG663">
        <f>'Expense drivers'!AG207</f>
        <v>19.937000000000001</v>
      </c>
      <c r="AH663">
        <f>'Expense drivers'!AH207</f>
        <v>19.28</v>
      </c>
      <c r="AI663">
        <f>'Expense drivers'!AI207</f>
        <v>20.99</v>
      </c>
      <c r="AJ663">
        <f>'Expense drivers'!AJ207</f>
        <v>20.658999999999999</v>
      </c>
      <c r="AL663">
        <f>'Expense drivers'!BF207</f>
        <v>0.71399999999999997</v>
      </c>
      <c r="AM663">
        <f>'Expense drivers'!BG207</f>
        <v>1.8089999999999999</v>
      </c>
      <c r="AN663">
        <f>'Expense drivers'!BH207</f>
        <v>5.1130000000000004</v>
      </c>
      <c r="AO663">
        <f>'Expense drivers'!BI207</f>
        <v>4.5970000000000004</v>
      </c>
      <c r="AP663">
        <f>'Expense drivers'!BJ207</f>
        <v>9.9870000000000001</v>
      </c>
      <c r="AQ663">
        <f>'Expense drivers'!BK207</f>
        <v>17.234000000000002</v>
      </c>
      <c r="AR663">
        <f>'Expense drivers'!BL207</f>
        <v>31.531000000000002</v>
      </c>
      <c r="AS663">
        <f>'Expense drivers'!BM207</f>
        <v>42.906999999999996</v>
      </c>
      <c r="AT663">
        <f>'Expense drivers'!BN207</f>
        <v>58.274000000000001</v>
      </c>
      <c r="AU663">
        <f>'Expense drivers'!BO207</f>
        <v>80.865999999999985</v>
      </c>
      <c r="AV663">
        <f>'Expense drivers'!BP207</f>
        <v>97.480999999999995</v>
      </c>
      <c r="AW663">
        <f>'Expense drivers'!BQ207</f>
        <v>105.673</v>
      </c>
      <c r="AX663">
        <f>'Expense drivers'!BR207</f>
        <v>113.28446275239108</v>
      </c>
      <c r="AY663">
        <f>'Expense drivers'!BS207</f>
        <v>127.880838282678</v>
      </c>
      <c r="AZ663">
        <f>'Expense drivers'!BT207</f>
        <v>142.3041221109458</v>
      </c>
    </row>
    <row r="664" spans="9:52" ht="11.25" customHeight="1">
      <c r="I664" t="str">
        <f>'Expense drivers'!I209</f>
        <v>Non-recurring items</v>
      </c>
      <c r="M664">
        <f>'Expense drivers'!M209</f>
        <v>1.3</v>
      </c>
      <c r="N664">
        <f>'Expense drivers'!N209</f>
        <v>0</v>
      </c>
      <c r="O664">
        <f>'Expense drivers'!O209</f>
        <v>0</v>
      </c>
      <c r="P664">
        <f>'Expense drivers'!P209</f>
        <v>0</v>
      </c>
      <c r="Q664">
        <f>'Expense drivers'!Q209</f>
        <v>0</v>
      </c>
      <c r="R664">
        <f>'Expense drivers'!R209</f>
        <v>0</v>
      </c>
      <c r="S664">
        <f>'Expense drivers'!S209</f>
        <v>0</v>
      </c>
      <c r="T664">
        <f>'Expense drivers'!T209</f>
        <v>5.9279999999999999</v>
      </c>
      <c r="U664">
        <f>'Expense drivers'!U209</f>
        <v>0</v>
      </c>
      <c r="V664">
        <f>'Expense drivers'!V209</f>
        <v>0</v>
      </c>
      <c r="W664">
        <f>'Expense drivers'!W209</f>
        <v>0</v>
      </c>
      <c r="X664">
        <f>'Expense drivers'!X209</f>
        <v>1.262</v>
      </c>
      <c r="Y664">
        <f>'Expense drivers'!Y209</f>
        <v>0.67500000000000004</v>
      </c>
      <c r="Z664">
        <f>'Expense drivers'!Z209</f>
        <v>0</v>
      </c>
      <c r="AA664">
        <f>'Expense drivers'!AA209</f>
        <v>0</v>
      </c>
      <c r="AB664">
        <f>'Expense drivers'!AB209</f>
        <v>0</v>
      </c>
      <c r="AC664">
        <f>'Expense drivers'!AC209</f>
        <v>0</v>
      </c>
      <c r="AD664">
        <f>'Expense drivers'!AD209</f>
        <v>0</v>
      </c>
      <c r="AE664">
        <f>'Expense drivers'!AE209</f>
        <v>0</v>
      </c>
      <c r="AF664">
        <f>'Expense drivers'!AF209</f>
        <v>0</v>
      </c>
      <c r="AG664">
        <f>'Expense drivers'!AG209</f>
        <v>0</v>
      </c>
      <c r="AH664">
        <f>'Expense drivers'!AH209</f>
        <v>0</v>
      </c>
      <c r="AI664">
        <f>'Expense drivers'!AI209</f>
        <v>0</v>
      </c>
      <c r="AJ664">
        <f>'Expense drivers'!AJ209</f>
        <v>0</v>
      </c>
      <c r="AL664">
        <f>'Expense drivers'!BF209</f>
        <v>0</v>
      </c>
      <c r="AM664">
        <f>'Expense drivers'!BG209</f>
        <v>0</v>
      </c>
      <c r="AN664">
        <f>'Expense drivers'!BH209</f>
        <v>0</v>
      </c>
      <c r="AO664">
        <f>'Expense drivers'!BI209</f>
        <v>0</v>
      </c>
      <c r="AP664">
        <f>'Expense drivers'!BJ209</f>
        <v>1.3</v>
      </c>
      <c r="AQ664">
        <f>'Expense drivers'!BK209</f>
        <v>5.9279999999999999</v>
      </c>
      <c r="AR664">
        <f>'Expense drivers'!BL209</f>
        <v>1.262</v>
      </c>
      <c r="AS664">
        <f>'Expense drivers'!BM209</f>
        <v>0.67500000000000004</v>
      </c>
      <c r="AT664">
        <f>'Expense drivers'!BN209</f>
        <v>0</v>
      </c>
      <c r="AU664">
        <f>'Expense drivers'!BO209</f>
        <v>0</v>
      </c>
      <c r="AV664">
        <f>'Expense drivers'!BP209</f>
        <v>0</v>
      </c>
      <c r="AW664">
        <f>'Expense drivers'!BQ209</f>
        <v>-164.72199999999998</v>
      </c>
      <c r="AX664">
        <f>'Expense drivers'!BR209</f>
        <v>0</v>
      </c>
      <c r="AY664">
        <f>'Expense drivers'!BS209</f>
        <v>0</v>
      </c>
      <c r="AZ664">
        <f>'Expense drivers'!BT209</f>
        <v>0</v>
      </c>
    </row>
    <row r="665" spans="9:52" ht="11.25" customHeight="1">
      <c r="I665" t="str">
        <f>'Expense drivers'!I208</f>
        <v>Depreciation and amortization</v>
      </c>
      <c r="M665">
        <f>'Expense drivers'!M208</f>
        <v>0.44400000000000001</v>
      </c>
      <c r="N665">
        <f>'Expense drivers'!N208</f>
        <v>0.45300000000000001</v>
      </c>
      <c r="O665">
        <f>'Expense drivers'!O208</f>
        <v>0.58599999999999997</v>
      </c>
      <c r="P665">
        <f>'Expense drivers'!P208</f>
        <v>0.85099999999999998</v>
      </c>
      <c r="Q665">
        <f>'Expense drivers'!Q208</f>
        <v>0.81899999999999995</v>
      </c>
      <c r="R665">
        <f>'Expense drivers'!R208</f>
        <v>0.92400000000000004</v>
      </c>
      <c r="S665">
        <f>'Expense drivers'!S208</f>
        <v>1.0469999999999999</v>
      </c>
      <c r="T665">
        <f>'Expense drivers'!T208</f>
        <v>1.448</v>
      </c>
      <c r="U665">
        <f>'Expense drivers'!U208</f>
        <v>1.361</v>
      </c>
      <c r="V665">
        <f>'Expense drivers'!V208</f>
        <v>1.661</v>
      </c>
      <c r="W665">
        <f>'Expense drivers'!W208</f>
        <v>1.78</v>
      </c>
      <c r="X665">
        <f>'Expense drivers'!X208</f>
        <v>2.4209999999999998</v>
      </c>
      <c r="Y665">
        <f>'Expense drivers'!Y208</f>
        <v>2.4780000000000002</v>
      </c>
      <c r="Z665">
        <f>'Expense drivers'!Z208</f>
        <v>2.637</v>
      </c>
      <c r="AA665">
        <f>'Expense drivers'!AA208</f>
        <v>2.8159999999999998</v>
      </c>
      <c r="AB665">
        <f>'Expense drivers'!AB208</f>
        <v>3.524</v>
      </c>
      <c r="AC665">
        <f>'Expense drivers'!AC208</f>
        <v>3.661</v>
      </c>
      <c r="AD665">
        <f>'Expense drivers'!AD208</f>
        <v>4.0339999999999998</v>
      </c>
      <c r="AE665">
        <f>'Expense drivers'!AE208</f>
        <v>4.6040000000000001</v>
      </c>
      <c r="AF665">
        <f>'Expense drivers'!AF208</f>
        <v>5.2910000000000004</v>
      </c>
      <c r="AG665">
        <f>'Expense drivers'!AG208</f>
        <v>6.8949999999999996</v>
      </c>
      <c r="AH665">
        <f>'Expense drivers'!AH208</f>
        <v>7.1669999999999998</v>
      </c>
      <c r="AI665">
        <f>'Expense drivers'!AI208</f>
        <v>7.5620000000000003</v>
      </c>
      <c r="AJ665">
        <f>'Expense drivers'!AJ208</f>
        <v>7.98</v>
      </c>
      <c r="AL665">
        <f>'Expense drivers'!BF208</f>
        <v>0.01</v>
      </c>
      <c r="AM665">
        <f>'Expense drivers'!BG208</f>
        <v>0.17499999999999999</v>
      </c>
      <c r="AN665">
        <f>'Expense drivers'!BH208</f>
        <v>0.57099999999999995</v>
      </c>
      <c r="AO665">
        <f>'Expense drivers'!BI208</f>
        <v>1.2010000000000001</v>
      </c>
      <c r="AP665">
        <f>'Expense drivers'!BJ208</f>
        <v>2.3340000000000001</v>
      </c>
      <c r="AQ665">
        <f>'Expense drivers'!BK208</f>
        <v>4.2379999999999995</v>
      </c>
      <c r="AR665">
        <f>'Expense drivers'!BL208</f>
        <v>7.2230000000000008</v>
      </c>
      <c r="AS665">
        <f>'Expense drivers'!BM208</f>
        <v>11.455</v>
      </c>
      <c r="AT665">
        <f>'Expense drivers'!BN208</f>
        <v>17.59</v>
      </c>
      <c r="AU665">
        <f>'Expense drivers'!BO208</f>
        <v>29.603999999999999</v>
      </c>
      <c r="AV665">
        <f>'Expense drivers'!BP208</f>
        <v>38.801000000000002</v>
      </c>
      <c r="AW665">
        <f>'Expense drivers'!BQ208</f>
        <v>41.429000000000002</v>
      </c>
      <c r="AX665">
        <f>'Expense drivers'!BR208</f>
        <v>45.6</v>
      </c>
      <c r="AY665">
        <f>'Expense drivers'!BS208</f>
        <v>32.672614260071192</v>
      </c>
      <c r="AZ665">
        <f>'Expense drivers'!BT208</f>
        <v>37.007804950116949</v>
      </c>
    </row>
    <row r="666" spans="9:52" ht="11.25" customHeight="1">
      <c r="I666">
        <f>'Expense drivers'!I210</f>
        <v>0</v>
      </c>
      <c r="M666">
        <f>'Expense drivers'!M210</f>
        <v>0</v>
      </c>
      <c r="N666">
        <f>'Expense drivers'!N210</f>
        <v>0</v>
      </c>
      <c r="O666">
        <f>'Expense drivers'!O210</f>
        <v>0</v>
      </c>
      <c r="P666">
        <f>'Expense drivers'!P210</f>
        <v>0</v>
      </c>
      <c r="Q666">
        <f>'Expense drivers'!Q210</f>
        <v>0</v>
      </c>
      <c r="R666">
        <f>'Expense drivers'!R210</f>
        <v>0</v>
      </c>
      <c r="S666">
        <f>'Expense drivers'!S210</f>
        <v>0</v>
      </c>
      <c r="T666">
        <f>'Expense drivers'!T210</f>
        <v>0</v>
      </c>
      <c r="U666">
        <f>'Expense drivers'!U210</f>
        <v>0</v>
      </c>
      <c r="V666">
        <f>'Expense drivers'!V210</f>
        <v>0</v>
      </c>
      <c r="W666">
        <f>'Expense drivers'!W210</f>
        <v>0</v>
      </c>
      <c r="X666">
        <f>'Expense drivers'!X210</f>
        <v>0</v>
      </c>
      <c r="Y666">
        <f>'Expense drivers'!Y210</f>
        <v>0</v>
      </c>
      <c r="Z666">
        <f>'Expense drivers'!Z210</f>
        <v>0</v>
      </c>
      <c r="AA666">
        <f>'Expense drivers'!AA210</f>
        <v>0</v>
      </c>
      <c r="AB666">
        <f>'Expense drivers'!AB210</f>
        <v>0</v>
      </c>
      <c r="AC666">
        <f>'Expense drivers'!AC210</f>
        <v>0</v>
      </c>
      <c r="AD666">
        <f>'Expense drivers'!AD210</f>
        <v>0</v>
      </c>
      <c r="AE666">
        <f>'Expense drivers'!AE210</f>
        <v>0</v>
      </c>
      <c r="AF666">
        <f>'Expense drivers'!AF210</f>
        <v>0</v>
      </c>
      <c r="AG666">
        <f>'Expense drivers'!AG210</f>
        <v>0</v>
      </c>
      <c r="AH666">
        <f>'Expense drivers'!AH210</f>
        <v>0</v>
      </c>
      <c r="AI666">
        <f>'Expense drivers'!AI210</f>
        <v>0</v>
      </c>
      <c r="AJ666">
        <f>'Expense drivers'!AJ210</f>
        <v>0</v>
      </c>
      <c r="AL666">
        <f>'Expense drivers'!BF210</f>
        <v>0</v>
      </c>
      <c r="AM666">
        <f>'Expense drivers'!BG210</f>
        <v>0</v>
      </c>
      <c r="AN666">
        <f>'Expense drivers'!BH210</f>
        <v>0</v>
      </c>
      <c r="AO666">
        <f>'Expense drivers'!BI210</f>
        <v>0</v>
      </c>
      <c r="AP666">
        <f>'Expense drivers'!BJ210</f>
        <v>0</v>
      </c>
      <c r="AQ666">
        <f>'Expense drivers'!BK210</f>
        <v>0</v>
      </c>
      <c r="AR666">
        <f>'Expense drivers'!BL210</f>
        <v>0</v>
      </c>
      <c r="AS666">
        <f>'Expense drivers'!BM210</f>
        <v>0</v>
      </c>
      <c r="AT666">
        <f>'Expense drivers'!BN210</f>
        <v>0</v>
      </c>
      <c r="AU666">
        <f>'Expense drivers'!BO210</f>
        <v>0</v>
      </c>
      <c r="AV666">
        <f>'Expense drivers'!BP210</f>
        <v>0</v>
      </c>
      <c r="AW666">
        <f>'Expense drivers'!BQ210</f>
        <v>0</v>
      </c>
      <c r="AX666">
        <f>'Expense drivers'!BR210</f>
        <v>0</v>
      </c>
      <c r="AY666">
        <f>'Expense drivers'!BS210</f>
        <v>0</v>
      </c>
      <c r="AZ666">
        <f>'Expense drivers'!BT210</f>
        <v>0</v>
      </c>
    </row>
    <row r="667" spans="9:52" ht="11.25" customHeight="1">
      <c r="I667" t="str">
        <f>'Expense drivers'!I211</f>
        <v>Stock-based compensation allocation</v>
      </c>
      <c r="M667">
        <f>'Expense drivers'!M211</f>
        <v>0</v>
      </c>
      <c r="N667">
        <f>'Expense drivers'!N211</f>
        <v>0</v>
      </c>
      <c r="O667">
        <f>'Expense drivers'!O211</f>
        <v>0</v>
      </c>
      <c r="P667">
        <f>'Expense drivers'!P211</f>
        <v>0</v>
      </c>
      <c r="Q667">
        <f>'Expense drivers'!Q211</f>
        <v>0</v>
      </c>
      <c r="R667">
        <f>'Expense drivers'!R211</f>
        <v>0</v>
      </c>
      <c r="S667">
        <f>'Expense drivers'!S211</f>
        <v>0</v>
      </c>
      <c r="T667">
        <f>'Expense drivers'!T211</f>
        <v>0</v>
      </c>
      <c r="U667">
        <f>'Expense drivers'!U211</f>
        <v>0</v>
      </c>
      <c r="V667">
        <f>'Expense drivers'!V211</f>
        <v>0</v>
      </c>
      <c r="W667">
        <f>'Expense drivers'!W211</f>
        <v>0</v>
      </c>
      <c r="X667">
        <f>'Expense drivers'!X211</f>
        <v>0</v>
      </c>
      <c r="Y667">
        <f>'Expense drivers'!Y211</f>
        <v>0</v>
      </c>
      <c r="Z667">
        <f>'Expense drivers'!Z211</f>
        <v>0</v>
      </c>
      <c r="AA667">
        <f>'Expense drivers'!AA211</f>
        <v>0</v>
      </c>
      <c r="AB667">
        <f>'Expense drivers'!AB211</f>
        <v>0</v>
      </c>
      <c r="AC667">
        <f>'Expense drivers'!AC211</f>
        <v>0</v>
      </c>
      <c r="AD667">
        <f>'Expense drivers'!AD211</f>
        <v>0</v>
      </c>
      <c r="AE667">
        <f>'Expense drivers'!AE211</f>
        <v>0</v>
      </c>
      <c r="AF667">
        <f>'Expense drivers'!AF211</f>
        <v>0</v>
      </c>
      <c r="AG667">
        <f>'Expense drivers'!AG211</f>
        <v>0</v>
      </c>
      <c r="AH667">
        <f>'Expense drivers'!AH211</f>
        <v>0</v>
      </c>
      <c r="AI667">
        <f>'Expense drivers'!AI211</f>
        <v>0</v>
      </c>
      <c r="AJ667">
        <f>'Expense drivers'!AJ211</f>
        <v>0</v>
      </c>
      <c r="AL667">
        <f>'Expense drivers'!BF211</f>
        <v>0</v>
      </c>
      <c r="AM667">
        <f>'Expense drivers'!BG211</f>
        <v>0</v>
      </c>
      <c r="AN667">
        <f>'Expense drivers'!BH211</f>
        <v>0</v>
      </c>
      <c r="AO667">
        <f>'Expense drivers'!BI211</f>
        <v>0</v>
      </c>
      <c r="AP667">
        <f>'Expense drivers'!BJ211</f>
        <v>0</v>
      </c>
      <c r="AQ667">
        <f>'Expense drivers'!BK211</f>
        <v>0</v>
      </c>
      <c r="AR667">
        <f>'Expense drivers'!BL211</f>
        <v>0</v>
      </c>
      <c r="AS667">
        <f>'Expense drivers'!BM211</f>
        <v>0</v>
      </c>
      <c r="AT667">
        <f>'Expense drivers'!BN211</f>
        <v>0</v>
      </c>
      <c r="AU667">
        <f>'Expense drivers'!BO211</f>
        <v>0</v>
      </c>
      <c r="AV667">
        <f>'Expense drivers'!BP211</f>
        <v>0</v>
      </c>
      <c r="AW667">
        <f>'Expense drivers'!BQ211</f>
        <v>0</v>
      </c>
      <c r="AX667">
        <f>'Expense drivers'!BR211</f>
        <v>0</v>
      </c>
      <c r="AY667">
        <f>'Expense drivers'!BS211</f>
        <v>0</v>
      </c>
      <c r="AZ667">
        <f>'Expense drivers'!BT211</f>
        <v>0</v>
      </c>
    </row>
    <row r="668" spans="9:52" ht="11.25" customHeight="1">
      <c r="I668" t="str">
        <f>'Expense drivers'!I212</f>
        <v>Cost of revenue</v>
      </c>
      <c r="M668">
        <f>'Expense drivers'!M212</f>
        <v>5.0000000000000001E-3</v>
      </c>
      <c r="N668">
        <f>'Expense drivers'!N212</f>
        <v>5.0000000000000001E-3</v>
      </c>
      <c r="O668">
        <f>'Expense drivers'!O212</f>
        <v>8.0000000000000002E-3</v>
      </c>
      <c r="P668">
        <f>'Expense drivers'!P212</f>
        <v>8.0000000000000002E-3</v>
      </c>
      <c r="Q668">
        <f>'Expense drivers'!Q212</f>
        <v>8.9999999999999993E-3</v>
      </c>
      <c r="R668">
        <f>'Expense drivers'!R212</f>
        <v>1.0999999999999999E-2</v>
      </c>
      <c r="S668">
        <f>'Expense drivers'!S212</f>
        <v>1.2999999999999999E-2</v>
      </c>
      <c r="T668">
        <f>'Expense drivers'!T212</f>
        <v>1.7000000000000001E-2</v>
      </c>
      <c r="U668">
        <f>'Expense drivers'!U212</f>
        <v>2.3E-2</v>
      </c>
      <c r="V668">
        <f>'Expense drivers'!V212</f>
        <v>3.5000000000000003E-2</v>
      </c>
      <c r="W668">
        <f>'Expense drivers'!W212</f>
        <v>2.7E-2</v>
      </c>
      <c r="X668">
        <f>'Expense drivers'!X212</f>
        <v>3.7999999999999999E-2</v>
      </c>
      <c r="Y668">
        <f>'Expense drivers'!Y212</f>
        <v>7.1999999999999995E-2</v>
      </c>
      <c r="Z668">
        <f>'Expense drivers'!Z212</f>
        <v>0.105</v>
      </c>
      <c r="AA668">
        <f>'Expense drivers'!AA212</f>
        <v>0.104</v>
      </c>
      <c r="AB668">
        <f>'Expense drivers'!AB212</f>
        <v>0.14000000000000001</v>
      </c>
      <c r="AC668">
        <f>'Expense drivers'!AC212</f>
        <v>0.15</v>
      </c>
      <c r="AD668">
        <f>'Expense drivers'!AD212</f>
        <v>0.11899999999999999</v>
      </c>
      <c r="AE668">
        <f>'Expense drivers'!AE212</f>
        <v>0.253</v>
      </c>
      <c r="AF668">
        <f>'Expense drivers'!AF212</f>
        <v>0.20699999999999999</v>
      </c>
      <c r="AG668">
        <f>'Expense drivers'!AG212</f>
        <v>0.124</v>
      </c>
      <c r="AH668">
        <f>'Expense drivers'!AH212</f>
        <v>0.222</v>
      </c>
      <c r="AI668">
        <f>'Expense drivers'!AI212</f>
        <v>0.435</v>
      </c>
      <c r="AJ668">
        <f>'Expense drivers'!AJ212</f>
        <v>0.33600000000000002</v>
      </c>
      <c r="AL668">
        <f>'Expense drivers'!BF212</f>
        <v>0</v>
      </c>
      <c r="AM668">
        <f>'Expense drivers'!BG212</f>
        <v>0</v>
      </c>
      <c r="AN668">
        <f>'Expense drivers'!BH212</f>
        <v>0</v>
      </c>
      <c r="AO668">
        <f>'Expense drivers'!BI212</f>
        <v>0</v>
      </c>
      <c r="AP668">
        <f>'Expense drivers'!BJ212</f>
        <v>2.6000000000000002E-2</v>
      </c>
      <c r="AQ668">
        <f>'Expense drivers'!BK212</f>
        <v>4.9999999999999996E-2</v>
      </c>
      <c r="AR668">
        <f>'Expense drivers'!BL212</f>
        <v>0.123</v>
      </c>
      <c r="AS668">
        <f>'Expense drivers'!BM212</f>
        <v>0.42099999999999999</v>
      </c>
      <c r="AT668">
        <f>'Expense drivers'!BN212</f>
        <v>0.72899999999999998</v>
      </c>
      <c r="AU668">
        <f>'Expense drivers'!BO212</f>
        <v>1.117</v>
      </c>
      <c r="AV668">
        <f>'Expense drivers'!BP212</f>
        <v>2.4460000000000002</v>
      </c>
      <c r="AW668">
        <f>'Expense drivers'!BQ212</f>
        <v>4.01</v>
      </c>
      <c r="AX668">
        <f>'Expense drivers'!BR212</f>
        <v>4.852576036131774</v>
      </c>
      <c r="AY668">
        <f>'Expense drivers'!BS212</f>
        <v>5.4348851604675863</v>
      </c>
      <c r="AZ668">
        <f>'Expense drivers'!BT212</f>
        <v>5.9783736765143463</v>
      </c>
    </row>
    <row r="669" spans="9:52" ht="11.25" customHeight="1">
      <c r="I669" t="str">
        <f>'Expense drivers'!I213</f>
        <v>Sales and marketing</v>
      </c>
      <c r="M669">
        <f>'Expense drivers'!M213</f>
        <v>0.121</v>
      </c>
      <c r="N669">
        <f>'Expense drivers'!N213</f>
        <v>0.13900000000000001</v>
      </c>
      <c r="O669">
        <f>'Expense drivers'!O213</f>
        <v>0.129</v>
      </c>
      <c r="P669">
        <f>'Expense drivers'!P213</f>
        <v>0.27300000000000002</v>
      </c>
      <c r="Q669">
        <f>'Expense drivers'!Q213</f>
        <v>0.27100000000000002</v>
      </c>
      <c r="R669">
        <f>'Expense drivers'!R213</f>
        <v>0.28100000000000003</v>
      </c>
      <c r="S669">
        <f>'Expense drivers'!S213</f>
        <v>0.55900000000000005</v>
      </c>
      <c r="T669">
        <f>'Expense drivers'!T213</f>
        <v>0.496</v>
      </c>
      <c r="U669">
        <f>'Expense drivers'!U213</f>
        <v>1.1240000000000001</v>
      </c>
      <c r="V669">
        <f>'Expense drivers'!V213</f>
        <v>0.89500000000000002</v>
      </c>
      <c r="W669">
        <f>'Expense drivers'!W213</f>
        <v>1.1519999999999999</v>
      </c>
      <c r="X669">
        <f>'Expense drivers'!X213</f>
        <v>1.746</v>
      </c>
      <c r="Y669">
        <f>'Expense drivers'!Y213</f>
        <v>1.988</v>
      </c>
      <c r="Z669">
        <f>'Expense drivers'!Z213</f>
        <v>2.282</v>
      </c>
      <c r="AA669">
        <f>'Expense drivers'!AA213</f>
        <v>2.66</v>
      </c>
      <c r="AB669">
        <f>'Expense drivers'!AB213</f>
        <v>3.2010000000000001</v>
      </c>
      <c r="AC669">
        <f>'Expense drivers'!AC213</f>
        <v>3.3969999999999998</v>
      </c>
      <c r="AD669">
        <f>'Expense drivers'!AD213</f>
        <v>3.7280000000000002</v>
      </c>
      <c r="AE669">
        <f>'Expense drivers'!AE213</f>
        <v>3.883</v>
      </c>
      <c r="AF669">
        <f>'Expense drivers'!AF213</f>
        <v>3.9950000000000001</v>
      </c>
      <c r="AG669">
        <f>'Expense drivers'!AG213</f>
        <v>4.9370000000000003</v>
      </c>
      <c r="AH669">
        <f>'Expense drivers'!AH213</f>
        <v>5.6539999999999999</v>
      </c>
      <c r="AI669">
        <f>'Expense drivers'!AI213</f>
        <v>5.5679999999999996</v>
      </c>
      <c r="AJ669">
        <f>'Expense drivers'!AJ213</f>
        <v>5.8029999999999999</v>
      </c>
      <c r="AL669">
        <f>'Expense drivers'!BF213</f>
        <v>0</v>
      </c>
      <c r="AM669">
        <f>'Expense drivers'!BG213</f>
        <v>4.1000000000000002E-2</v>
      </c>
      <c r="AN669">
        <f>'Expense drivers'!BH213</f>
        <v>0.14099999999999999</v>
      </c>
      <c r="AO669">
        <f>'Expense drivers'!BI213</f>
        <v>0.221</v>
      </c>
      <c r="AP669">
        <f>'Expense drivers'!BJ213</f>
        <v>0.66200000000000003</v>
      </c>
      <c r="AQ669">
        <f>'Expense drivers'!BK213</f>
        <v>1.6070000000000002</v>
      </c>
      <c r="AR669">
        <f>'Expense drivers'!BL213</f>
        <v>4.9169999999999998</v>
      </c>
      <c r="AS669">
        <f>'Expense drivers'!BM213</f>
        <v>10.131</v>
      </c>
      <c r="AT669">
        <f>'Expense drivers'!BN213</f>
        <v>15.003</v>
      </c>
      <c r="AU669">
        <f>'Expense drivers'!BO213</f>
        <v>21.962</v>
      </c>
      <c r="AV669">
        <f>'Expense drivers'!BP213</f>
        <v>27.097999999999999</v>
      </c>
      <c r="AW669">
        <f>'Expense drivers'!BQ213</f>
        <v>28.1</v>
      </c>
      <c r="AX669">
        <f>'Expense drivers'!BR213</f>
        <v>29.978935919234864</v>
      </c>
      <c r="AY669">
        <f>'Expense drivers'!BS213</f>
        <v>33.576408229543048</v>
      </c>
      <c r="AZ669">
        <f>'Expense drivers'!BT213</f>
        <v>36.934049052497357</v>
      </c>
    </row>
    <row r="670" spans="9:52" ht="11.25" customHeight="1">
      <c r="I670" t="str">
        <f>'Expense drivers'!I214</f>
        <v>Product development</v>
      </c>
      <c r="M670">
        <f>'Expense drivers'!M214</f>
        <v>5.5E-2</v>
      </c>
      <c r="N670">
        <f>'Expense drivers'!N214</f>
        <v>3.7999999999999999E-2</v>
      </c>
      <c r="O670">
        <f>'Expense drivers'!O214</f>
        <v>7.4999999999999997E-2</v>
      </c>
      <c r="P670">
        <f>'Expense drivers'!P214</f>
        <v>9.1999999999999998E-2</v>
      </c>
      <c r="Q670">
        <f>'Expense drivers'!Q214</f>
        <v>0.14699999999999999</v>
      </c>
      <c r="R670">
        <f>'Expense drivers'!R214</f>
        <v>0.17299999999999999</v>
      </c>
      <c r="S670">
        <f>'Expense drivers'!S214</f>
        <v>0.23699999999999999</v>
      </c>
      <c r="T670">
        <f>'Expense drivers'!T214</f>
        <v>0.16400000000000001</v>
      </c>
      <c r="U670">
        <f>'Expense drivers'!U214</f>
        <v>0.24299999999999999</v>
      </c>
      <c r="V670">
        <f>'Expense drivers'!V214</f>
        <v>0.3</v>
      </c>
      <c r="W670">
        <f>'Expense drivers'!W214</f>
        <v>0.46600000000000003</v>
      </c>
      <c r="X670">
        <f>'Expense drivers'!X214</f>
        <v>0.69599999999999995</v>
      </c>
      <c r="Y670">
        <f>'Expense drivers'!Y214</f>
        <v>0.81599999999999995</v>
      </c>
      <c r="Z670">
        <f>'Expense drivers'!Z214</f>
        <v>1.04</v>
      </c>
      <c r="AA670">
        <f>'Expense drivers'!AA214</f>
        <v>1.7090000000000001</v>
      </c>
      <c r="AB670">
        <f>'Expense drivers'!AB214</f>
        <v>2.7050000000000001</v>
      </c>
      <c r="AC670">
        <f>'Expense drivers'!AC214</f>
        <v>3.0419999999999998</v>
      </c>
      <c r="AD670">
        <f>'Expense drivers'!AD214</f>
        <v>3.456</v>
      </c>
      <c r="AE670">
        <f>'Expense drivers'!AE214</f>
        <v>3.835</v>
      </c>
      <c r="AF670">
        <f>'Expense drivers'!AF214</f>
        <v>4.5510000000000002</v>
      </c>
      <c r="AG670">
        <f>'Expense drivers'!AG214</f>
        <v>5.1050000000000004</v>
      </c>
      <c r="AH670">
        <f>'Expense drivers'!AH214</f>
        <v>6.0650000000000004</v>
      </c>
      <c r="AI670">
        <f>'Expense drivers'!AI214</f>
        <v>5.9470000000000001</v>
      </c>
      <c r="AJ670">
        <f>'Expense drivers'!AJ214</f>
        <v>6.3140000000000001</v>
      </c>
      <c r="AL670">
        <f>'Expense drivers'!BF214</f>
        <v>0</v>
      </c>
      <c r="AM670">
        <f>'Expense drivers'!BG214</f>
        <v>1.6E-2</v>
      </c>
      <c r="AN670">
        <f>'Expense drivers'!BH214</f>
        <v>6.4000000000000001E-2</v>
      </c>
      <c r="AO670">
        <f>'Expense drivers'!BI214</f>
        <v>0.17899999999999999</v>
      </c>
      <c r="AP670">
        <f>'Expense drivers'!BJ214</f>
        <v>0.26</v>
      </c>
      <c r="AQ670">
        <f>'Expense drivers'!BK214</f>
        <v>0.72099999999999997</v>
      </c>
      <c r="AR670">
        <f>'Expense drivers'!BL214</f>
        <v>1.7049999999999998</v>
      </c>
      <c r="AS670">
        <f>'Expense drivers'!BM214</f>
        <v>6.27</v>
      </c>
      <c r="AT670">
        <f>'Expense drivers'!BN214</f>
        <v>14.883999999999999</v>
      </c>
      <c r="AU670">
        <f>'Expense drivers'!BO214</f>
        <v>23.431000000000001</v>
      </c>
      <c r="AV670">
        <f>'Expense drivers'!BP214</f>
        <v>36.321999999999996</v>
      </c>
      <c r="AW670">
        <f>'Expense drivers'!BQ214</f>
        <v>47.28</v>
      </c>
      <c r="AX670">
        <f>'Expense drivers'!BR214</f>
        <v>57.794675292242303</v>
      </c>
      <c r="AY670">
        <f>'Expense drivers'!BS214</f>
        <v>64.730036327311382</v>
      </c>
      <c r="AZ670">
        <f>'Expense drivers'!BT214</f>
        <v>71.203039960042517</v>
      </c>
    </row>
    <row r="671" spans="9:52" ht="11.25" customHeight="1">
      <c r="I671" t="str">
        <f>'Expense drivers'!I215</f>
        <v>General and administrative</v>
      </c>
      <c r="M671">
        <f>'Expense drivers'!M215</f>
        <v>7.1999999999999995E-2</v>
      </c>
      <c r="N671">
        <f>'Expense drivers'!N215</f>
        <v>7.4999999999999997E-2</v>
      </c>
      <c r="O671">
        <f>'Expense drivers'!O215</f>
        <v>0.155</v>
      </c>
      <c r="P671">
        <f>'Expense drivers'!P215</f>
        <v>0.18099999999999999</v>
      </c>
      <c r="Q671">
        <f>'Expense drivers'!Q215</f>
        <v>0.67600000000000005</v>
      </c>
      <c r="R671">
        <f>'Expense drivers'!R215</f>
        <v>0.48299999999999998</v>
      </c>
      <c r="S671">
        <f>'Expense drivers'!S215</f>
        <v>0.65100000000000002</v>
      </c>
      <c r="T671">
        <f>'Expense drivers'!T215</f>
        <v>0.68899999999999995</v>
      </c>
      <c r="U671">
        <f>'Expense drivers'!U215</f>
        <v>0.5389999999999997</v>
      </c>
      <c r="V671">
        <f>'Expense drivers'!V215</f>
        <v>0.628</v>
      </c>
      <c r="W671">
        <f>'Expense drivers'!W215</f>
        <v>0.68899999999999995</v>
      </c>
      <c r="X671">
        <f>'Expense drivers'!X215</f>
        <v>0.77800000000000002</v>
      </c>
      <c r="Y671">
        <f>'Expense drivers'!Y215</f>
        <v>1.7290000000000001</v>
      </c>
      <c r="Z671">
        <f>'Expense drivers'!Z215</f>
        <v>2.286</v>
      </c>
      <c r="AA671">
        <f>'Expense drivers'!AA215</f>
        <v>2.5419999999999998</v>
      </c>
      <c r="AB671">
        <f>'Expense drivers'!AB215</f>
        <v>2.7429999999999999</v>
      </c>
      <c r="AC671">
        <f>'Expense drivers'!AC215</f>
        <v>2.867</v>
      </c>
      <c r="AD671">
        <f>'Expense drivers'!AD215</f>
        <v>2.78</v>
      </c>
      <c r="AE671">
        <f>'Expense drivers'!AE215</f>
        <v>2.9470000000000001</v>
      </c>
      <c r="AF671">
        <f>'Expense drivers'!AF215</f>
        <v>3.0630000000000002</v>
      </c>
      <c r="AG671">
        <f>'Expense drivers'!AG215</f>
        <v>3.5049999999999999</v>
      </c>
      <c r="AH671">
        <f>'Expense drivers'!AH215</f>
        <v>3.5750000000000002</v>
      </c>
      <c r="AI671">
        <f>'Expense drivers'!AI215</f>
        <v>3.7330000000000001</v>
      </c>
      <c r="AJ671">
        <f>'Expense drivers'!AJ215</f>
        <v>3.5190000000000001</v>
      </c>
      <c r="AL671">
        <f>'Expense drivers'!BF215</f>
        <v>0</v>
      </c>
      <c r="AM671">
        <f>'Expense drivers'!BG215</f>
        <v>3.6999999999999998E-2</v>
      </c>
      <c r="AN671">
        <f>'Expense drivers'!BH215</f>
        <v>0.16</v>
      </c>
      <c r="AO671">
        <f>'Expense drivers'!BI215</f>
        <v>0.157</v>
      </c>
      <c r="AP671">
        <f>'Expense drivers'!BJ215</f>
        <v>0.48299999999999998</v>
      </c>
      <c r="AQ671">
        <f>'Expense drivers'!BK215</f>
        <v>2.4990000000000001</v>
      </c>
      <c r="AR671">
        <f>'Expense drivers'!BL215</f>
        <v>2.6339999999999999</v>
      </c>
      <c r="AS671">
        <f>'Expense drivers'!BM215</f>
        <v>9.3000000000000007</v>
      </c>
      <c r="AT671">
        <f>'Expense drivers'!BN215</f>
        <v>11.657000000000002</v>
      </c>
      <c r="AU671">
        <f>'Expense drivers'!BO215</f>
        <v>14.332000000000001</v>
      </c>
      <c r="AV671">
        <f>'Expense drivers'!BP215</f>
        <v>20.393999999999998</v>
      </c>
      <c r="AW671">
        <f>'Expense drivers'!BQ215</f>
        <v>21.024999999999999</v>
      </c>
      <c r="AX671">
        <f>'Expense drivers'!BR215</f>
        <v>21.636462752391076</v>
      </c>
      <c r="AY671">
        <f>'Expense drivers'!BS215</f>
        <v>24.23283828267801</v>
      </c>
      <c r="AZ671">
        <f>'Expense drivers'!BT215</f>
        <v>26.656122110945809</v>
      </c>
    </row>
    <row r="672" spans="9:52" ht="11.25" customHeight="1">
      <c r="I672" t="str">
        <f>'Expense drivers'!I216</f>
        <v>Non-recurring items</v>
      </c>
      <c r="M672">
        <f>'Expense drivers'!M216</f>
        <v>0</v>
      </c>
      <c r="N672">
        <f>'Expense drivers'!N216</f>
        <v>0</v>
      </c>
      <c r="O672">
        <f>'Expense drivers'!O216</f>
        <v>0</v>
      </c>
      <c r="P672">
        <f>'Expense drivers'!P216</f>
        <v>0</v>
      </c>
      <c r="Q672">
        <f>'Expense drivers'!Q216</f>
        <v>0</v>
      </c>
      <c r="R672">
        <f>'Expense drivers'!R216</f>
        <v>0</v>
      </c>
      <c r="S672">
        <f>'Expense drivers'!S216</f>
        <v>0</v>
      </c>
      <c r="T672">
        <f>'Expense drivers'!T216</f>
        <v>0</v>
      </c>
      <c r="U672">
        <f>'Expense drivers'!U216</f>
        <v>5.5</v>
      </c>
      <c r="V672">
        <f>'Expense drivers'!V216</f>
        <v>0</v>
      </c>
      <c r="W672">
        <f>'Expense drivers'!W216</f>
        <v>0</v>
      </c>
      <c r="X672">
        <f>'Expense drivers'!X216</f>
        <v>0</v>
      </c>
      <c r="Y672">
        <f>'Expense drivers'!Y216</f>
        <v>0.55500000000000005</v>
      </c>
      <c r="Z672">
        <f>'Expense drivers'!Z216</f>
        <v>0</v>
      </c>
      <c r="AA672">
        <f>'Expense drivers'!AA216</f>
        <v>0</v>
      </c>
      <c r="AB672">
        <f>'Expense drivers'!AB216</f>
        <v>0</v>
      </c>
      <c r="AC672">
        <f>'Expense drivers'!AC216</f>
        <v>0</v>
      </c>
      <c r="AD672">
        <f>'Expense drivers'!AD216</f>
        <v>0</v>
      </c>
      <c r="AE672">
        <f>'Expense drivers'!AE216</f>
        <v>0</v>
      </c>
      <c r="AF672">
        <f>'Expense drivers'!AF216</f>
        <v>0</v>
      </c>
      <c r="AG672">
        <f>'Expense drivers'!AG216</f>
        <v>0</v>
      </c>
      <c r="AH672">
        <f>'Expense drivers'!AH216</f>
        <v>0</v>
      </c>
      <c r="AI672">
        <f>'Expense drivers'!AI216</f>
        <v>0</v>
      </c>
      <c r="AJ672">
        <f>'Expense drivers'!AJ216</f>
        <v>0</v>
      </c>
      <c r="AL672">
        <f>'Expense drivers'!BF216</f>
        <v>0</v>
      </c>
      <c r="AM672">
        <f>'Expense drivers'!BG216</f>
        <v>0</v>
      </c>
      <c r="AN672">
        <f>'Expense drivers'!BH216</f>
        <v>0</v>
      </c>
      <c r="AO672">
        <f>'Expense drivers'!BI216</f>
        <v>0</v>
      </c>
      <c r="AP672">
        <f>'Expense drivers'!BJ216</f>
        <v>0</v>
      </c>
      <c r="AQ672">
        <f>'Expense drivers'!BK216</f>
        <v>0</v>
      </c>
      <c r="AR672">
        <f>'Expense drivers'!BL216</f>
        <v>5.5</v>
      </c>
      <c r="AS672">
        <f>'Expense drivers'!BM216</f>
        <v>0.55500000000000005</v>
      </c>
      <c r="AT672">
        <f>'Expense drivers'!BN216</f>
        <v>0</v>
      </c>
      <c r="AU672">
        <f>'Expense drivers'!BO216</f>
        <v>0</v>
      </c>
      <c r="AV672">
        <f>'Expense drivers'!BP216</f>
        <v>0</v>
      </c>
      <c r="AW672">
        <f>'Expense drivers'!BQ216</f>
        <v>0</v>
      </c>
      <c r="AX672">
        <f>'Expense drivers'!BR216</f>
        <v>0</v>
      </c>
      <c r="AY672">
        <f>'Expense drivers'!BS216</f>
        <v>0</v>
      </c>
      <c r="AZ672">
        <f>'Expense drivers'!BT216</f>
        <v>0</v>
      </c>
    </row>
    <row r="673" spans="9:52" ht="11.25" customHeight="1">
      <c r="I673" t="str">
        <f>'Expense drivers'!I217</f>
        <v>Total stock-based compensation</v>
      </c>
      <c r="M673">
        <f>'Expense drivers'!M217</f>
        <v>0.253</v>
      </c>
      <c r="N673">
        <f>'Expense drivers'!N217</f>
        <v>0.25700000000000001</v>
      </c>
      <c r="O673">
        <f>'Expense drivers'!O217</f>
        <v>0.36699999999999999</v>
      </c>
      <c r="P673">
        <f>'Expense drivers'!P217</f>
        <v>0.55400000000000005</v>
      </c>
      <c r="Q673">
        <f>'Expense drivers'!Q217</f>
        <v>1.1030000000000002</v>
      </c>
      <c r="R673">
        <f>'Expense drivers'!R217</f>
        <v>0.94799999999999995</v>
      </c>
      <c r="S673">
        <f>'Expense drivers'!S217</f>
        <v>1.46</v>
      </c>
      <c r="T673">
        <f>'Expense drivers'!T217</f>
        <v>1.3660000000000001</v>
      </c>
      <c r="U673">
        <f>'Expense drivers'!U217</f>
        <v>7.4290000000000003</v>
      </c>
      <c r="V673">
        <f>'Expense drivers'!V217</f>
        <v>1.8580000000000001</v>
      </c>
      <c r="W673">
        <f>'Expense drivers'!W217</f>
        <v>2.3339999999999996</v>
      </c>
      <c r="X673">
        <f>'Expense drivers'!X217</f>
        <v>3.258</v>
      </c>
      <c r="Y673">
        <f>'Expense drivers'!Y217</f>
        <v>5.16</v>
      </c>
      <c r="Z673">
        <f>'Expense drivers'!Z217</f>
        <v>5.7130000000000001</v>
      </c>
      <c r="AA673">
        <f>'Expense drivers'!AA217</f>
        <v>7.0150000000000006</v>
      </c>
      <c r="AB673">
        <f>'Expense drivers'!AB217</f>
        <v>8.7889999999999997</v>
      </c>
      <c r="AC673">
        <f>'Expense drivers'!AC217</f>
        <v>9.4559999999999995</v>
      </c>
      <c r="AD673">
        <f>'Expense drivers'!AD217</f>
        <v>10.083</v>
      </c>
      <c r="AE673">
        <f>'Expense drivers'!AE217</f>
        <v>10.917999999999999</v>
      </c>
      <c r="AF673">
        <f>'Expense drivers'!AF217</f>
        <v>11.816000000000001</v>
      </c>
      <c r="AG673">
        <f>'Expense drivers'!AG217</f>
        <v>13.670999999999999</v>
      </c>
      <c r="AH673">
        <f>'Expense drivers'!AH217</f>
        <v>15.516000000000002</v>
      </c>
      <c r="AI673">
        <f>'Expense drivers'!AI217</f>
        <v>15.683</v>
      </c>
      <c r="AJ673">
        <f>'Expense drivers'!AJ217</f>
        <v>15.972</v>
      </c>
      <c r="AL673">
        <f>'Expense drivers'!BF217</f>
        <v>0</v>
      </c>
      <c r="AM673">
        <f>'Expense drivers'!BG217</f>
        <v>9.4E-2</v>
      </c>
      <c r="AN673">
        <f>'Expense drivers'!BH217</f>
        <v>0.36499999999999999</v>
      </c>
      <c r="AO673">
        <f>'Expense drivers'!BI217</f>
        <v>0.55700000000000005</v>
      </c>
      <c r="AP673">
        <f>'Expense drivers'!BJ217</f>
        <v>1.431</v>
      </c>
      <c r="AQ673">
        <f>'Expense drivers'!BK217</f>
        <v>4.8770000000000007</v>
      </c>
      <c r="AR673">
        <f>'Expense drivers'!BL217</f>
        <v>14.879</v>
      </c>
      <c r="AS673">
        <f>'Expense drivers'!BM217</f>
        <v>26.677</v>
      </c>
      <c r="AT673">
        <f>'Expense drivers'!BN217</f>
        <v>42.273000000000003</v>
      </c>
      <c r="AU673">
        <f>'Expense drivers'!BO217</f>
        <v>60.842000000000006</v>
      </c>
      <c r="AV673">
        <f>'Expense drivers'!BP217</f>
        <v>86.259999999999991</v>
      </c>
      <c r="AW673">
        <f>'Expense drivers'!BQ217</f>
        <v>100.41499999999999</v>
      </c>
      <c r="AX673">
        <f>'Expense drivers'!BR217</f>
        <v>114.26265000000001</v>
      </c>
      <c r="AY673">
        <f>'Expense drivers'!BS217</f>
        <v>127.97416800000002</v>
      </c>
      <c r="AZ673">
        <f>'Expense drivers'!BT217</f>
        <v>140.77158480000003</v>
      </c>
    </row>
    <row r="674" spans="9:52" ht="11.25" customHeight="1">
      <c r="I674">
        <f>'Expense drivers'!I218</f>
        <v>0</v>
      </c>
      <c r="M674">
        <f>'Expense drivers'!M218</f>
        <v>0</v>
      </c>
      <c r="N674">
        <f>'Expense drivers'!N218</f>
        <v>0</v>
      </c>
      <c r="O674">
        <f>'Expense drivers'!O218</f>
        <v>0</v>
      </c>
      <c r="P674">
        <f>'Expense drivers'!P218</f>
        <v>0</v>
      </c>
      <c r="Q674">
        <f>'Expense drivers'!Q218</f>
        <v>0</v>
      </c>
      <c r="R674">
        <f>'Expense drivers'!R218</f>
        <v>0</v>
      </c>
      <c r="S674">
        <f>'Expense drivers'!S218</f>
        <v>0</v>
      </c>
      <c r="T674">
        <f>'Expense drivers'!T218</f>
        <v>0</v>
      </c>
      <c r="U674">
        <f>'Expense drivers'!U218</f>
        <v>0</v>
      </c>
      <c r="V674">
        <f>'Expense drivers'!V218</f>
        <v>0</v>
      </c>
      <c r="W674">
        <f>'Expense drivers'!W218</f>
        <v>0</v>
      </c>
      <c r="X674">
        <f>'Expense drivers'!X218</f>
        <v>0</v>
      </c>
      <c r="Y674">
        <f>'Expense drivers'!Y218</f>
        <v>0</v>
      </c>
      <c r="Z674">
        <f>'Expense drivers'!Z218</f>
        <v>0</v>
      </c>
      <c r="AA674">
        <f>'Expense drivers'!AA218</f>
        <v>0</v>
      </c>
      <c r="AB674">
        <f>'Expense drivers'!AB218</f>
        <v>0</v>
      </c>
      <c r="AC674">
        <f>'Expense drivers'!AC218</f>
        <v>0</v>
      </c>
      <c r="AD674">
        <f>'Expense drivers'!AD218</f>
        <v>0</v>
      </c>
      <c r="AE674">
        <f>'Expense drivers'!AE218</f>
        <v>0</v>
      </c>
      <c r="AF674">
        <f>'Expense drivers'!AF218</f>
        <v>0</v>
      </c>
      <c r="AG674">
        <f>'Expense drivers'!AG218</f>
        <v>0</v>
      </c>
      <c r="AH674">
        <f>'Expense drivers'!AH218</f>
        <v>0</v>
      </c>
      <c r="AI674">
        <f>'Expense drivers'!AI218</f>
        <v>0</v>
      </c>
      <c r="AJ674">
        <f>'Expense drivers'!AJ218</f>
        <v>0</v>
      </c>
      <c r="AL674">
        <f>'Expense drivers'!BF218</f>
        <v>0</v>
      </c>
      <c r="AM674">
        <f>'Expense drivers'!BG218</f>
        <v>0</v>
      </c>
      <c r="AN674">
        <f>'Expense drivers'!BH218</f>
        <v>0</v>
      </c>
      <c r="AO674">
        <f>'Expense drivers'!BI218</f>
        <v>0</v>
      </c>
      <c r="AP674">
        <f>'Expense drivers'!BJ218</f>
        <v>0</v>
      </c>
      <c r="AQ674">
        <f>'Expense drivers'!BK218</f>
        <v>0</v>
      </c>
      <c r="AR674">
        <f>'Expense drivers'!BL218</f>
        <v>0</v>
      </c>
      <c r="AS674">
        <f>'Expense drivers'!BM218</f>
        <v>0</v>
      </c>
      <c r="AT674">
        <f>'Expense drivers'!BN218</f>
        <v>0</v>
      </c>
      <c r="AU674">
        <f>'Expense drivers'!BO218</f>
        <v>0</v>
      </c>
      <c r="AV674">
        <f>'Expense drivers'!BP218</f>
        <v>0</v>
      </c>
      <c r="AW674">
        <f>'Expense drivers'!BQ218</f>
        <v>0</v>
      </c>
      <c r="AX674">
        <f>'Expense drivers'!BR218</f>
        <v>0</v>
      </c>
      <c r="AY674">
        <f>'Expense drivers'!BS218</f>
        <v>0</v>
      </c>
      <c r="AZ674">
        <f>'Expense drivers'!BT218</f>
        <v>0</v>
      </c>
    </row>
    <row r="675" spans="9:52" ht="11.25" customHeight="1">
      <c r="I675" t="str">
        <f>'Expense drivers'!I219</f>
        <v>Operating expenses ex-SBC/D&amp;A/non-recurring items</v>
      </c>
      <c r="M675">
        <f>'Expense drivers'!M219</f>
        <v>0</v>
      </c>
      <c r="N675">
        <f>'Expense drivers'!N219</f>
        <v>0</v>
      </c>
      <c r="O675">
        <f>'Expense drivers'!O219</f>
        <v>0</v>
      </c>
      <c r="P675">
        <f>'Expense drivers'!P219</f>
        <v>0</v>
      </c>
      <c r="Q675">
        <f>'Expense drivers'!Q219</f>
        <v>0</v>
      </c>
      <c r="R675">
        <f>'Expense drivers'!R219</f>
        <v>0</v>
      </c>
      <c r="S675">
        <f>'Expense drivers'!S219</f>
        <v>0</v>
      </c>
      <c r="T675">
        <f>'Expense drivers'!T219</f>
        <v>0</v>
      </c>
      <c r="U675">
        <f>'Expense drivers'!U219</f>
        <v>0</v>
      </c>
      <c r="V675">
        <f>'Expense drivers'!V219</f>
        <v>0</v>
      </c>
      <c r="W675">
        <f>'Expense drivers'!W219</f>
        <v>0</v>
      </c>
      <c r="X675">
        <f>'Expense drivers'!X219</f>
        <v>0</v>
      </c>
      <c r="Y675">
        <f>'Expense drivers'!Y219</f>
        <v>0</v>
      </c>
      <c r="Z675">
        <f>'Expense drivers'!Z219</f>
        <v>0</v>
      </c>
      <c r="AA675">
        <f>'Expense drivers'!AA219</f>
        <v>0</v>
      </c>
      <c r="AB675">
        <f>'Expense drivers'!AB219</f>
        <v>0</v>
      </c>
      <c r="AC675">
        <f>'Expense drivers'!AC219</f>
        <v>0</v>
      </c>
      <c r="AD675">
        <f>'Expense drivers'!AD219</f>
        <v>0</v>
      </c>
      <c r="AE675">
        <f>'Expense drivers'!AE219</f>
        <v>0</v>
      </c>
      <c r="AF675">
        <f>'Expense drivers'!AF219</f>
        <v>0</v>
      </c>
      <c r="AG675">
        <f>'Expense drivers'!AG219</f>
        <v>0</v>
      </c>
      <c r="AH675">
        <f>'Expense drivers'!AH219</f>
        <v>0</v>
      </c>
      <c r="AI675">
        <f>'Expense drivers'!AI219</f>
        <v>0</v>
      </c>
      <c r="AJ675">
        <f>'Expense drivers'!AJ219</f>
        <v>0</v>
      </c>
      <c r="AL675">
        <f>'Expense drivers'!BF219</f>
        <v>0</v>
      </c>
      <c r="AM675">
        <f>'Expense drivers'!BG219</f>
        <v>0</v>
      </c>
      <c r="AN675">
        <f>'Expense drivers'!BH219</f>
        <v>0</v>
      </c>
      <c r="AO675">
        <f>'Expense drivers'!BI219</f>
        <v>0</v>
      </c>
      <c r="AP675">
        <f>'Expense drivers'!BJ219</f>
        <v>0</v>
      </c>
      <c r="AQ675">
        <f>'Expense drivers'!BK219</f>
        <v>0</v>
      </c>
      <c r="AR675">
        <f>'Expense drivers'!BL219</f>
        <v>0</v>
      </c>
      <c r="AS675">
        <f>'Expense drivers'!BM219</f>
        <v>0</v>
      </c>
      <c r="AT675">
        <f>'Expense drivers'!BN219</f>
        <v>0</v>
      </c>
      <c r="AU675">
        <f>'Expense drivers'!BO219</f>
        <v>0</v>
      </c>
      <c r="AV675">
        <f>'Expense drivers'!BP219</f>
        <v>0</v>
      </c>
      <c r="AW675">
        <f>'Expense drivers'!BQ219</f>
        <v>0</v>
      </c>
      <c r="AX675">
        <f>'Expense drivers'!BR219</f>
        <v>0</v>
      </c>
      <c r="AY675">
        <f>'Expense drivers'!BS219</f>
        <v>0</v>
      </c>
      <c r="AZ675">
        <f>'Expense drivers'!BT219</f>
        <v>0</v>
      </c>
    </row>
    <row r="676" spans="9:52" ht="11.25" customHeight="1">
      <c r="I676" t="str">
        <f>'Expense drivers'!I220</f>
        <v>Cost of revenue (ex-SBC)</v>
      </c>
      <c r="M676">
        <f>'Expense drivers'!M220</f>
        <v>0.56699999999999995</v>
      </c>
      <c r="N676">
        <f>'Expense drivers'!N220</f>
        <v>0.71299999999999997</v>
      </c>
      <c r="O676">
        <f>'Expense drivers'!O220</f>
        <v>0.87</v>
      </c>
      <c r="P676">
        <f>'Expense drivers'!P220</f>
        <v>0.96099999999999997</v>
      </c>
      <c r="Q676">
        <f>'Expense drivers'!Q220</f>
        <v>1.2670000000000001</v>
      </c>
      <c r="R676">
        <f>'Expense drivers'!R220</f>
        <v>1.274</v>
      </c>
      <c r="S676">
        <f>'Expense drivers'!S220</f>
        <v>1.524</v>
      </c>
      <c r="T676">
        <f>'Expense drivers'!T220</f>
        <v>1.8160000000000001</v>
      </c>
      <c r="U676">
        <f>'Expense drivers'!U220</f>
        <v>2.1029999999999998</v>
      </c>
      <c r="V676">
        <f>'Expense drivers'!V220</f>
        <v>2.2629999999999999</v>
      </c>
      <c r="W676">
        <f>'Expense drivers'!W220</f>
        <v>2.4739999999999998</v>
      </c>
      <c r="X676">
        <f>'Expense drivers'!X220</f>
        <v>2.9650000000000003</v>
      </c>
      <c r="Y676">
        <f>'Expense drivers'!Y220</f>
        <v>3.2679999999999998</v>
      </c>
      <c r="Z676">
        <f>'Expense drivers'!Z220</f>
        <v>3.9129999999999998</v>
      </c>
      <c r="AA676">
        <f>'Expense drivers'!AA220</f>
        <v>4.173</v>
      </c>
      <c r="AB676">
        <f>'Expense drivers'!AB220</f>
        <v>4.7860000000000005</v>
      </c>
      <c r="AC676">
        <f>'Expense drivers'!AC220</f>
        <v>4.9269999999999996</v>
      </c>
      <c r="AD676">
        <f>'Expense drivers'!AD220</f>
        <v>5.726</v>
      </c>
      <c r="AE676">
        <f>'Expense drivers'!AE220</f>
        <v>5.9210000000000003</v>
      </c>
      <c r="AF676">
        <f>'Expense drivers'!AF220</f>
        <v>7.0789999999999997</v>
      </c>
      <c r="AG676">
        <f>'Expense drivers'!AG220</f>
        <v>8.5749999999999993</v>
      </c>
      <c r="AH676">
        <f>'Expense drivers'!AH220</f>
        <v>12.835000000000001</v>
      </c>
      <c r="AI676">
        <f>'Expense drivers'!AI220</f>
        <v>13.824</v>
      </c>
      <c r="AJ676">
        <f>'Expense drivers'!AJ220</f>
        <v>14.664</v>
      </c>
      <c r="AL676">
        <f>'Expense drivers'!BF220</f>
        <v>0</v>
      </c>
      <c r="AM676">
        <f>'Expense drivers'!BG220</f>
        <v>0.23200000000000001</v>
      </c>
      <c r="AN676">
        <f>'Expense drivers'!BH220</f>
        <v>0.60799999999999998</v>
      </c>
      <c r="AO676">
        <f>'Expense drivers'!BI220</f>
        <v>1.121</v>
      </c>
      <c r="AP676">
        <f>'Expense drivers'!BJ220</f>
        <v>3.1109999999999998</v>
      </c>
      <c r="AQ676">
        <f>'Expense drivers'!BK220</f>
        <v>5.8810000000000002</v>
      </c>
      <c r="AR676">
        <f>'Expense drivers'!BL220</f>
        <v>9.8049999999999997</v>
      </c>
      <c r="AS676">
        <f>'Expense drivers'!BM220</f>
        <v>16.14</v>
      </c>
      <c r="AT676">
        <f>'Expense drivers'!BN220</f>
        <v>23.652999999999999</v>
      </c>
      <c r="AU676">
        <f>'Expense drivers'!BO220</f>
        <v>49.898000000000003</v>
      </c>
      <c r="AV676">
        <f>'Expense drivers'!BP220</f>
        <v>57.916999999999994</v>
      </c>
      <c r="AW676">
        <f>'Expense drivers'!BQ220</f>
        <v>66.50800000000001</v>
      </c>
      <c r="AX676">
        <f>'Expense drivers'!BR220</f>
        <v>71.642123828768007</v>
      </c>
      <c r="AY676">
        <f>'Expense drivers'!BS220</f>
        <v>81.141267769257837</v>
      </c>
      <c r="AZ676">
        <f>'Expense drivers'!BT220</f>
        <v>89.131574163532534</v>
      </c>
    </row>
    <row r="677" spans="9:52" ht="11.25" customHeight="1">
      <c r="I677" t="str">
        <f>'Expense drivers'!I221</f>
        <v>Sales and marketing (ex-SBC)</v>
      </c>
      <c r="M677">
        <f>'Expense drivers'!M221</f>
        <v>6.5660000000000007</v>
      </c>
      <c r="N677">
        <f>'Expense drivers'!N221</f>
        <v>7.7779999999999996</v>
      </c>
      <c r="O677">
        <f>'Expense drivers'!O221</f>
        <v>9.3360000000000003</v>
      </c>
      <c r="P677">
        <f>'Expense drivers'!P221</f>
        <v>9.577</v>
      </c>
      <c r="Q677">
        <f>'Expense drivers'!Q221</f>
        <v>11</v>
      </c>
      <c r="R677">
        <f>'Expense drivers'!R221</f>
        <v>12.065999999999999</v>
      </c>
      <c r="S677">
        <f>'Expense drivers'!S221</f>
        <v>14.338000000000001</v>
      </c>
      <c r="T677">
        <f>'Expense drivers'!T221</f>
        <v>15.528</v>
      </c>
      <c r="U677">
        <f>'Expense drivers'!U221</f>
        <v>17.646000000000001</v>
      </c>
      <c r="V677">
        <f>'Expense drivers'!V221</f>
        <v>19.437999999999999</v>
      </c>
      <c r="W677">
        <f>'Expense drivers'!W221</f>
        <v>20.149999999999999</v>
      </c>
      <c r="X677">
        <f>'Expense drivers'!X221</f>
        <v>23.765000000000001</v>
      </c>
      <c r="Y677">
        <f>'Expense drivers'!Y221</f>
        <v>26.206</v>
      </c>
      <c r="Z677">
        <f>'Expense drivers'!Z221</f>
        <v>28.521000000000001</v>
      </c>
      <c r="AA677">
        <f>'Expense drivers'!AA221</f>
        <v>31.465999999999998</v>
      </c>
      <c r="AB677">
        <f>'Expense drivers'!AB221</f>
        <v>35.646000000000001</v>
      </c>
      <c r="AC677">
        <f>'Expense drivers'!AC221</f>
        <v>41.724000000000004</v>
      </c>
      <c r="AD677">
        <f>'Expense drivers'!AD221</f>
        <v>44.07</v>
      </c>
      <c r="AE677">
        <f>'Expense drivers'!AE221</f>
        <v>50.667999999999999</v>
      </c>
      <c r="AF677">
        <f>'Expense drivers'!AF221</f>
        <v>49.585000000000001</v>
      </c>
      <c r="AG677">
        <f>'Expense drivers'!AG221</f>
        <v>58.329000000000001</v>
      </c>
      <c r="AH677">
        <f>'Expense drivers'!AH221</f>
        <v>62.36</v>
      </c>
      <c r="AI677">
        <f>'Expense drivers'!AI221</f>
        <v>77.381</v>
      </c>
      <c r="AJ677">
        <f>'Expense drivers'!AJ221</f>
        <v>81.731999999999999</v>
      </c>
      <c r="AL677">
        <f>'Expense drivers'!BF221</f>
        <v>1.0780000000000001</v>
      </c>
      <c r="AM677">
        <f>'Expense drivers'!BG221</f>
        <v>3.9359999999999999</v>
      </c>
      <c r="AN677">
        <f>'Expense drivers'!BH221</f>
        <v>9.8979999999999997</v>
      </c>
      <c r="AO677">
        <f>'Expense drivers'!BI221</f>
        <v>17.757999999999999</v>
      </c>
      <c r="AP677">
        <f>'Expense drivers'!BJ221</f>
        <v>33.256999999999998</v>
      </c>
      <c r="AQ677">
        <f>'Expense drivers'!BK221</f>
        <v>52.931999999999995</v>
      </c>
      <c r="AR677">
        <f>'Expense drivers'!BL221</f>
        <v>80.998999999999995</v>
      </c>
      <c r="AS677">
        <f>'Expense drivers'!BM221</f>
        <v>121.839</v>
      </c>
      <c r="AT677">
        <f>'Expense drivers'!BN221</f>
        <v>186.04700000000003</v>
      </c>
      <c r="AU677">
        <f>'Expense drivers'!BO221</f>
        <v>279.80200000000002</v>
      </c>
      <c r="AV677">
        <f>'Expense drivers'!BP221</f>
        <v>355.75599999999997</v>
      </c>
      <c r="AW677">
        <f>'Expense drivers'!BQ221</f>
        <v>410.54300000000001</v>
      </c>
      <c r="AX677">
        <f>'Expense drivers'!BR221</f>
        <v>469.61597181254285</v>
      </c>
      <c r="AY677">
        <f>'Expense drivers'!BS221</f>
        <v>540.81566740203561</v>
      </c>
      <c r="AZ677">
        <f>'Expense drivers'!BT221</f>
        <v>604.49602587923562</v>
      </c>
    </row>
    <row r="678" spans="9:52" ht="11.25" customHeight="1">
      <c r="I678" t="str">
        <f>'Expense drivers'!I222</f>
        <v>Product development (ex-SBC)</v>
      </c>
      <c r="M678">
        <f>'Expense drivers'!M222</f>
        <v>1.1520000000000001</v>
      </c>
      <c r="N678">
        <f>'Expense drivers'!N222</f>
        <v>1.484</v>
      </c>
      <c r="O678">
        <f>'Expense drivers'!O222</f>
        <v>1.847</v>
      </c>
      <c r="P678">
        <f>'Expense drivers'!P222</f>
        <v>1.8169999999999999</v>
      </c>
      <c r="Q678">
        <f>'Expense drivers'!Q222</f>
        <v>2.1720000000000002</v>
      </c>
      <c r="R678">
        <f>'Expense drivers'!R222</f>
        <v>2.488</v>
      </c>
      <c r="S678">
        <f>'Expense drivers'!S222</f>
        <v>3.2069999999999999</v>
      </c>
      <c r="T678">
        <f>'Expense drivers'!T222</f>
        <v>2.9979999999999998</v>
      </c>
      <c r="U678">
        <f>'Expense drivers'!U222</f>
        <v>3.8969999999999998</v>
      </c>
      <c r="V678">
        <f>'Expense drivers'!V222</f>
        <v>4.0360000000000005</v>
      </c>
      <c r="W678">
        <f>'Expense drivers'!W222</f>
        <v>5.2869999999999999</v>
      </c>
      <c r="X678">
        <f>'Expense drivers'!X222</f>
        <v>5.548</v>
      </c>
      <c r="Y678">
        <f>'Expense drivers'!Y222</f>
        <v>6.42</v>
      </c>
      <c r="Z678">
        <f>'Expense drivers'!Z222</f>
        <v>6.9569999999999999</v>
      </c>
      <c r="AA678">
        <f>'Expense drivers'!AA222</f>
        <v>9.4990000000000006</v>
      </c>
      <c r="AB678">
        <f>'Expense drivers'!AB222</f>
        <v>9.0969999999999995</v>
      </c>
      <c r="AC678">
        <f>'Expense drivers'!AC222</f>
        <v>10.94</v>
      </c>
      <c r="AD678">
        <f>'Expense drivers'!AD222</f>
        <v>11.270000000000001</v>
      </c>
      <c r="AE678">
        <f>'Expense drivers'!AE222</f>
        <v>13.561999999999998</v>
      </c>
      <c r="AF678">
        <f>'Expense drivers'!AF222</f>
        <v>14.525</v>
      </c>
      <c r="AG678">
        <f>'Expense drivers'!AG222</f>
        <v>18.855</v>
      </c>
      <c r="AH678">
        <f>'Expense drivers'!AH222</f>
        <v>20.279999999999998</v>
      </c>
      <c r="AI678">
        <f>'Expense drivers'!AI222</f>
        <v>22.564</v>
      </c>
      <c r="AJ678">
        <f>'Expense drivers'!AJ222</f>
        <v>22.655999999999999</v>
      </c>
      <c r="AL678">
        <f>'Expense drivers'!BF222</f>
        <v>0.86899999999999999</v>
      </c>
      <c r="AM678">
        <f>'Expense drivers'!BG222</f>
        <v>1.456</v>
      </c>
      <c r="AN678">
        <f>'Expense drivers'!BH222</f>
        <v>1.9830000000000001</v>
      </c>
      <c r="AO678">
        <f>'Expense drivers'!BI222</f>
        <v>3.0640000000000001</v>
      </c>
      <c r="AP678">
        <f>'Expense drivers'!BJ222</f>
        <v>6.3000000000000007</v>
      </c>
      <c r="AQ678">
        <f>'Expense drivers'!BK222</f>
        <v>10.865</v>
      </c>
      <c r="AR678">
        <f>'Expense drivers'!BL222</f>
        <v>18.768000000000001</v>
      </c>
      <c r="AS678">
        <f>'Expense drivers'!BM222</f>
        <v>31.972999999999999</v>
      </c>
      <c r="AT678">
        <f>'Expense drivers'!BN222</f>
        <v>50.296999999999997</v>
      </c>
      <c r="AU678">
        <f>'Expense drivers'!BO222</f>
        <v>84.35499999999999</v>
      </c>
      <c r="AV678">
        <f>'Expense drivers'!BP222</f>
        <v>102.22699999999999</v>
      </c>
      <c r="AW678">
        <f>'Expense drivers'!BQ222</f>
        <v>128.50700000000001</v>
      </c>
      <c r="AX678">
        <f>'Expense drivers'!BR222</f>
        <v>140.50700000000001</v>
      </c>
      <c r="AY678">
        <f>'Expense drivers'!BS222</f>
        <v>156.00700000000001</v>
      </c>
      <c r="AZ678">
        <f>'Expense drivers'!BT222</f>
        <v>168.00700000000001</v>
      </c>
    </row>
    <row r="679" spans="9:52" ht="11.25" customHeight="1">
      <c r="I679" t="str">
        <f>'Expense drivers'!I223</f>
        <v>General and administrative (ex-SBC)</v>
      </c>
      <c r="M679">
        <f>'Expense drivers'!M223</f>
        <v>1.72</v>
      </c>
      <c r="N679">
        <f>'Expense drivers'!N223</f>
        <v>2.718</v>
      </c>
      <c r="O679">
        <f>'Expense drivers'!O223</f>
        <v>2.5350000000000001</v>
      </c>
      <c r="P679">
        <f>'Expense drivers'!P223</f>
        <v>2.5310000000000001</v>
      </c>
      <c r="Q679">
        <f>'Expense drivers'!Q223</f>
        <v>2.9409999999999998</v>
      </c>
      <c r="R679">
        <f>'Expense drivers'!R223</f>
        <v>3.101</v>
      </c>
      <c r="S679">
        <f>'Expense drivers'!S223</f>
        <v>4.1150000000000002</v>
      </c>
      <c r="T679">
        <f>'Expense drivers'!T223</f>
        <v>4.5780000000000003</v>
      </c>
      <c r="U679">
        <f>'Expense drivers'!U223</f>
        <v>4.6899999999999995</v>
      </c>
      <c r="V679">
        <f>'Expense drivers'!V223</f>
        <v>5.335</v>
      </c>
      <c r="W679">
        <f>'Expense drivers'!W223</f>
        <v>6.298</v>
      </c>
      <c r="X679">
        <f>'Expense drivers'!X223</f>
        <v>7.0739999999999998</v>
      </c>
      <c r="Y679">
        <f>'Expense drivers'!Y223</f>
        <v>7.0349999999999993</v>
      </c>
      <c r="Z679">
        <f>'Expense drivers'!Z223</f>
        <v>7.8620000000000001</v>
      </c>
      <c r="AA679">
        <f>'Expense drivers'!AA223</f>
        <v>7.9930000000000003</v>
      </c>
      <c r="AB679">
        <f>'Expense drivers'!AB223</f>
        <v>10.717000000000001</v>
      </c>
      <c r="AC679">
        <f>'Expense drivers'!AC223</f>
        <v>10.303000000000001</v>
      </c>
      <c r="AD679">
        <f>'Expense drivers'!AD223</f>
        <v>10.477</v>
      </c>
      <c r="AE679">
        <f>'Expense drivers'!AE223</f>
        <v>12.238</v>
      </c>
      <c r="AF679">
        <f>'Expense drivers'!AF223</f>
        <v>13.598999999999998</v>
      </c>
      <c r="AG679">
        <f>'Expense drivers'!AG223</f>
        <v>16.432000000000002</v>
      </c>
      <c r="AH679">
        <f>'Expense drivers'!AH223</f>
        <v>15.705000000000002</v>
      </c>
      <c r="AI679">
        <f>'Expense drivers'!AI223</f>
        <v>17.256999999999998</v>
      </c>
      <c r="AJ679">
        <f>'Expense drivers'!AJ223</f>
        <v>17.14</v>
      </c>
      <c r="AL679">
        <f>'Expense drivers'!BF223</f>
        <v>0.71399999999999997</v>
      </c>
      <c r="AM679">
        <f>'Expense drivers'!BG223</f>
        <v>1.772</v>
      </c>
      <c r="AN679">
        <f>'Expense drivers'!BH223</f>
        <v>4.9530000000000003</v>
      </c>
      <c r="AO679">
        <f>'Expense drivers'!BI223</f>
        <v>4.4400000000000004</v>
      </c>
      <c r="AP679">
        <f>'Expense drivers'!BJ223</f>
        <v>9.5039999999999996</v>
      </c>
      <c r="AQ679">
        <f>'Expense drivers'!BK223</f>
        <v>14.734999999999999</v>
      </c>
      <c r="AR679">
        <f>'Expense drivers'!BL223</f>
        <v>23.396999999999998</v>
      </c>
      <c r="AS679">
        <f>'Expense drivers'!BM223</f>
        <v>33.606999999999999</v>
      </c>
      <c r="AT679">
        <f>'Expense drivers'!BN223</f>
        <v>46.616999999999997</v>
      </c>
      <c r="AU679">
        <f>'Expense drivers'!BO223</f>
        <v>66.533999999999992</v>
      </c>
      <c r="AV679">
        <f>'Expense drivers'!BP223</f>
        <v>77.086999999999989</v>
      </c>
      <c r="AW679">
        <f>'Expense drivers'!BQ223</f>
        <v>84.647999999999996</v>
      </c>
      <c r="AX679">
        <f>'Expense drivers'!BR223</f>
        <v>91.647999999999996</v>
      </c>
      <c r="AY679">
        <f>'Expense drivers'!BS223</f>
        <v>103.648</v>
      </c>
      <c r="AZ679">
        <f>'Expense drivers'!BT223</f>
        <v>115.648</v>
      </c>
    </row>
    <row r="680" spans="9:52" ht="11.25" customHeight="1">
      <c r="I680" t="str">
        <f>'Expense drivers'!I224</f>
        <v>Total adjusted operating expenses</v>
      </c>
      <c r="M680">
        <f>'Expense drivers'!M224</f>
        <v>10.005000000000001</v>
      </c>
      <c r="N680">
        <f>'Expense drivers'!N224</f>
        <v>12.693</v>
      </c>
      <c r="O680">
        <f>'Expense drivers'!O224</f>
        <v>14.587999999999999</v>
      </c>
      <c r="P680">
        <f>'Expense drivers'!P224</f>
        <v>14.886000000000001</v>
      </c>
      <c r="Q680">
        <f>'Expense drivers'!Q224</f>
        <v>17.38</v>
      </c>
      <c r="R680">
        <f>'Expense drivers'!R224</f>
        <v>18.928999999999998</v>
      </c>
      <c r="S680">
        <f>'Expense drivers'!S224</f>
        <v>23.184000000000005</v>
      </c>
      <c r="T680">
        <f>'Expense drivers'!T224</f>
        <v>24.92</v>
      </c>
      <c r="U680">
        <f>'Expense drivers'!U224</f>
        <v>28.335999999999999</v>
      </c>
      <c r="V680">
        <f>'Expense drivers'!V224</f>
        <v>31.072000000000003</v>
      </c>
      <c r="W680">
        <f>'Expense drivers'!W224</f>
        <v>34.208999999999996</v>
      </c>
      <c r="X680">
        <f>'Expense drivers'!X224</f>
        <v>39.351999999999997</v>
      </c>
      <c r="Y680">
        <f>'Expense drivers'!Y224</f>
        <v>42.928999999999995</v>
      </c>
      <c r="Z680">
        <f>'Expense drivers'!Z224</f>
        <v>47.253</v>
      </c>
      <c r="AA680">
        <f>'Expense drivers'!AA224</f>
        <v>53.131</v>
      </c>
      <c r="AB680">
        <f>'Expense drivers'!AB224</f>
        <v>60.246000000000002</v>
      </c>
      <c r="AC680">
        <f>'Expense drivers'!AC224</f>
        <v>67.894000000000005</v>
      </c>
      <c r="AD680">
        <f>'Expense drivers'!AD224</f>
        <v>71.543000000000006</v>
      </c>
      <c r="AE680">
        <f>'Expense drivers'!AE224</f>
        <v>82.388999999999996</v>
      </c>
      <c r="AF680">
        <f>'Expense drivers'!AF224</f>
        <v>84.788000000000011</v>
      </c>
      <c r="AG680">
        <f>'Expense drivers'!AG224</f>
        <v>102.191</v>
      </c>
      <c r="AH680">
        <f>'Expense drivers'!AH224</f>
        <v>111.17999999999999</v>
      </c>
      <c r="AI680">
        <f>'Expense drivers'!AI224</f>
        <v>131.02600000000001</v>
      </c>
      <c r="AJ680">
        <f>'Expense drivers'!AJ224</f>
        <v>136.19200000000001</v>
      </c>
      <c r="AL680">
        <f>'Expense drivers'!BF224</f>
        <v>2.661</v>
      </c>
      <c r="AM680">
        <f>'Expense drivers'!BG224</f>
        <v>7.3960000000000008</v>
      </c>
      <c r="AN680">
        <f>'Expense drivers'!BH224</f>
        <v>17.442</v>
      </c>
      <c r="AO680">
        <f>'Expense drivers'!BI224</f>
        <v>26.382999999999999</v>
      </c>
      <c r="AP680">
        <f>'Expense drivers'!BJ224</f>
        <v>52.17199999999999</v>
      </c>
      <c r="AQ680">
        <f>'Expense drivers'!BK224</f>
        <v>84.412999999999997</v>
      </c>
      <c r="AR680">
        <f>'Expense drivers'!BL224</f>
        <v>132.96899999999999</v>
      </c>
      <c r="AS680">
        <f>'Expense drivers'!BM224</f>
        <v>203.559</v>
      </c>
      <c r="AT680">
        <f>'Expense drivers'!BN224</f>
        <v>306.61400000000003</v>
      </c>
      <c r="AU680">
        <f>'Expense drivers'!BO224</f>
        <v>480.58900000000006</v>
      </c>
      <c r="AV680">
        <f>'Expense drivers'!BP224</f>
        <v>592.98699999999997</v>
      </c>
      <c r="AW680">
        <f>'Expense drivers'!BQ224</f>
        <v>690.20600000000002</v>
      </c>
      <c r="AX680">
        <f>'Expense drivers'!BR224</f>
        <v>773.41309564131086</v>
      </c>
      <c r="AY680">
        <f>'Expense drivers'!BS224</f>
        <v>881.61193517129357</v>
      </c>
      <c r="AZ680">
        <f>'Expense drivers'!BT224</f>
        <v>977.28260004276819</v>
      </c>
    </row>
    <row r="681" spans="9:52" ht="11.25" customHeight="1">
      <c r="I681">
        <f>'Expense drivers'!I225</f>
        <v>0</v>
      </c>
      <c r="M681">
        <f>'Expense drivers'!M225</f>
        <v>0</v>
      </c>
      <c r="N681">
        <f>'Expense drivers'!N225</f>
        <v>0</v>
      </c>
      <c r="O681">
        <f>'Expense drivers'!O225</f>
        <v>0</v>
      </c>
      <c r="P681">
        <f>'Expense drivers'!P225</f>
        <v>0</v>
      </c>
      <c r="Q681">
        <f>'Expense drivers'!Q225</f>
        <v>0</v>
      </c>
      <c r="R681">
        <f>'Expense drivers'!R225</f>
        <v>0</v>
      </c>
      <c r="S681">
        <f>'Expense drivers'!S225</f>
        <v>0</v>
      </c>
      <c r="T681">
        <f>'Expense drivers'!T225</f>
        <v>0</v>
      </c>
      <c r="U681">
        <f>'Expense drivers'!U225</f>
        <v>0</v>
      </c>
      <c r="V681">
        <f>'Expense drivers'!V225</f>
        <v>0</v>
      </c>
      <c r="W681">
        <f>'Expense drivers'!W225</f>
        <v>0</v>
      </c>
      <c r="X681">
        <f>'Expense drivers'!X225</f>
        <v>0</v>
      </c>
      <c r="Y681">
        <f>'Expense drivers'!Y225</f>
        <v>0</v>
      </c>
      <c r="Z681">
        <f>'Expense drivers'!Z225</f>
        <v>0</v>
      </c>
      <c r="AA681">
        <f>'Expense drivers'!AA225</f>
        <v>0</v>
      </c>
      <c r="AB681">
        <f>'Expense drivers'!AB225</f>
        <v>0</v>
      </c>
      <c r="AC681">
        <f>'Expense drivers'!AC225</f>
        <v>0</v>
      </c>
      <c r="AD681">
        <f>'Expense drivers'!AD225</f>
        <v>0</v>
      </c>
      <c r="AE681">
        <f>'Expense drivers'!AE225</f>
        <v>0</v>
      </c>
      <c r="AF681">
        <f>'Expense drivers'!AF225</f>
        <v>0</v>
      </c>
      <c r="AG681">
        <f>'Expense drivers'!AG225</f>
        <v>0</v>
      </c>
      <c r="AH681">
        <f>'Expense drivers'!AH225</f>
        <v>0</v>
      </c>
      <c r="AI681">
        <f>'Expense drivers'!AI225</f>
        <v>0</v>
      </c>
      <c r="AJ681">
        <f>'Expense drivers'!AJ225</f>
        <v>0</v>
      </c>
      <c r="AL681">
        <f>'Expense drivers'!BF225</f>
        <v>0</v>
      </c>
      <c r="AM681">
        <f>'Expense drivers'!BG225</f>
        <v>0</v>
      </c>
      <c r="AN681">
        <f>'Expense drivers'!BH225</f>
        <v>0</v>
      </c>
      <c r="AO681">
        <f>'Expense drivers'!BI225</f>
        <v>0</v>
      </c>
      <c r="AP681">
        <f>'Expense drivers'!BJ225</f>
        <v>0</v>
      </c>
      <c r="AQ681">
        <f>'Expense drivers'!BK225</f>
        <v>0</v>
      </c>
      <c r="AR681">
        <f>'Expense drivers'!BL225</f>
        <v>0</v>
      </c>
      <c r="AS681">
        <f>'Expense drivers'!BM225</f>
        <v>0</v>
      </c>
      <c r="AT681">
        <f>'Expense drivers'!BN225</f>
        <v>0</v>
      </c>
      <c r="AU681">
        <f>'Expense drivers'!BO225</f>
        <v>0</v>
      </c>
      <c r="AV681">
        <f>'Expense drivers'!BP225</f>
        <v>0</v>
      </c>
      <c r="AW681">
        <f>'Expense drivers'!BQ225</f>
        <v>0</v>
      </c>
      <c r="AX681">
        <f>'Expense drivers'!BR225</f>
        <v>0</v>
      </c>
      <c r="AY681">
        <f>'Expense drivers'!BS225</f>
        <v>0</v>
      </c>
      <c r="AZ681">
        <f>'Expense drivers'!BT225</f>
        <v>0</v>
      </c>
    </row>
    <row r="682" spans="9:52" ht="11.25" customHeight="1">
      <c r="I682" t="str">
        <f>'Expense drivers'!I226</f>
        <v>Employee metrics</v>
      </c>
      <c r="M682">
        <f>'Expense drivers'!M226</f>
        <v>0</v>
      </c>
      <c r="N682">
        <f>'Expense drivers'!N226</f>
        <v>0</v>
      </c>
      <c r="O682">
        <f>'Expense drivers'!O226</f>
        <v>0</v>
      </c>
      <c r="P682">
        <f>'Expense drivers'!P226</f>
        <v>0</v>
      </c>
      <c r="Q682">
        <f>'Expense drivers'!Q226</f>
        <v>0</v>
      </c>
      <c r="R682">
        <f>'Expense drivers'!R226</f>
        <v>0</v>
      </c>
      <c r="S682">
        <f>'Expense drivers'!S226</f>
        <v>0</v>
      </c>
      <c r="T682">
        <f>'Expense drivers'!T226</f>
        <v>0</v>
      </c>
      <c r="U682">
        <f>'Expense drivers'!U226</f>
        <v>0</v>
      </c>
      <c r="V682">
        <f>'Expense drivers'!V226</f>
        <v>0</v>
      </c>
      <c r="W682">
        <f>'Expense drivers'!W226</f>
        <v>0</v>
      </c>
      <c r="X682">
        <f>'Expense drivers'!X226</f>
        <v>0</v>
      </c>
      <c r="Y682">
        <f>'Expense drivers'!Y226</f>
        <v>0</v>
      </c>
      <c r="Z682">
        <f>'Expense drivers'!Z226</f>
        <v>0</v>
      </c>
      <c r="AA682">
        <f>'Expense drivers'!AA226</f>
        <v>0</v>
      </c>
      <c r="AB682">
        <f>'Expense drivers'!AB226</f>
        <v>0</v>
      </c>
      <c r="AC682">
        <f>'Expense drivers'!AC226</f>
        <v>0</v>
      </c>
      <c r="AD682">
        <f>'Expense drivers'!AD226</f>
        <v>0</v>
      </c>
      <c r="AE682">
        <f>'Expense drivers'!AE226</f>
        <v>0</v>
      </c>
      <c r="AF682">
        <f>'Expense drivers'!AF226</f>
        <v>0</v>
      </c>
      <c r="AG682">
        <f>'Expense drivers'!AG226</f>
        <v>0</v>
      </c>
      <c r="AH682">
        <f>'Expense drivers'!AH226</f>
        <v>0</v>
      </c>
      <c r="AI682">
        <f>'Expense drivers'!AI226</f>
        <v>0</v>
      </c>
      <c r="AJ682">
        <f>'Expense drivers'!AJ226</f>
        <v>0</v>
      </c>
      <c r="AL682">
        <f>'Expense drivers'!BF226</f>
        <v>0</v>
      </c>
      <c r="AM682">
        <f>'Expense drivers'!BG226</f>
        <v>0</v>
      </c>
      <c r="AN682">
        <f>'Expense drivers'!BH226</f>
        <v>0</v>
      </c>
      <c r="AO682">
        <f>'Expense drivers'!BI226</f>
        <v>0</v>
      </c>
      <c r="AP682">
        <f>'Expense drivers'!BJ226</f>
        <v>0</v>
      </c>
      <c r="AQ682">
        <f>'Expense drivers'!BK226</f>
        <v>0</v>
      </c>
      <c r="AR682">
        <f>'Expense drivers'!BL226</f>
        <v>0</v>
      </c>
      <c r="AS682">
        <f>'Expense drivers'!BM226</f>
        <v>0</v>
      </c>
      <c r="AT682">
        <f>'Expense drivers'!BN226</f>
        <v>0</v>
      </c>
      <c r="AU682">
        <f>'Expense drivers'!BO226</f>
        <v>0</v>
      </c>
      <c r="AV682">
        <f>'Expense drivers'!BP226</f>
        <v>0</v>
      </c>
      <c r="AW682">
        <f>'Expense drivers'!BQ226</f>
        <v>0</v>
      </c>
      <c r="AX682">
        <f>'Expense drivers'!BR226</f>
        <v>0</v>
      </c>
      <c r="AY682">
        <f>'Expense drivers'!BS226</f>
        <v>0</v>
      </c>
      <c r="AZ682">
        <f>'Expense drivers'!BT226</f>
        <v>0</v>
      </c>
    </row>
    <row r="683" spans="9:52" ht="11.25" customHeight="1">
      <c r="I683" t="str">
        <f>'Expense drivers'!I231</f>
        <v>Full-time employees</v>
      </c>
      <c r="M683">
        <f>'Expense drivers'!M231</f>
        <v>0</v>
      </c>
      <c r="N683">
        <f>'Expense drivers'!N231</f>
        <v>0</v>
      </c>
      <c r="O683">
        <f>'Expense drivers'!O231</f>
        <v>0</v>
      </c>
      <c r="P683">
        <f>'Expense drivers'!P231</f>
        <v>0</v>
      </c>
      <c r="Q683">
        <f>'Expense drivers'!Q231</f>
        <v>669.1275167785235</v>
      </c>
      <c r="R683">
        <f>'Expense drivers'!R231</f>
        <v>740.54054054054052</v>
      </c>
      <c r="S683">
        <f>'Expense drivers'!S231</f>
        <v>854.92957746478874</v>
      </c>
      <c r="T683">
        <f>'Expense drivers'!T231</f>
        <v>918</v>
      </c>
      <c r="U683">
        <f>'Expense drivers'!U231</f>
        <v>997</v>
      </c>
      <c r="V683">
        <f>'Expense drivers'!V231</f>
        <v>1096</v>
      </c>
      <c r="W683">
        <f>'Expense drivers'!W231</f>
        <v>1214</v>
      </c>
      <c r="X683">
        <f>'Expense drivers'!X231</f>
        <v>1387</v>
      </c>
      <c r="Y683">
        <f>'Expense drivers'!Y231</f>
        <v>1479</v>
      </c>
      <c r="Z683">
        <f>'Expense drivers'!Z231</f>
        <v>1536</v>
      </c>
      <c r="AA683">
        <f>'Expense drivers'!AA231</f>
        <v>1806</v>
      </c>
      <c r="AB683">
        <f>'Expense drivers'!AB231</f>
        <v>1984</v>
      </c>
      <c r="AC683">
        <f>'Expense drivers'!AC231</f>
        <v>2154</v>
      </c>
      <c r="AD683">
        <f>'Expense drivers'!AD231</f>
        <v>2345</v>
      </c>
      <c r="AE683">
        <f>'Expense drivers'!AE231</f>
        <v>2639</v>
      </c>
      <c r="AF683">
        <f>'Expense drivers'!AF231</f>
        <v>2711</v>
      </c>
      <c r="AG683">
        <f>'Expense drivers'!AG231</f>
        <v>3121</v>
      </c>
      <c r="AH683">
        <f>'Expense drivers'!AH231</f>
        <v>3250</v>
      </c>
      <c r="AI683">
        <f>'Expense drivers'!AI231</f>
        <v>3650</v>
      </c>
      <c r="AJ683">
        <f>'Expense drivers'!AJ231</f>
        <v>3826</v>
      </c>
      <c r="AL683">
        <f>'Expense drivers'!BF231</f>
        <v>0</v>
      </c>
      <c r="AM683">
        <f>'Expense drivers'!BG231</f>
        <v>0</v>
      </c>
      <c r="AN683">
        <f>'Expense drivers'!BH231</f>
        <v>0</v>
      </c>
      <c r="AO683">
        <f>'Expense drivers'!BI231</f>
        <v>0</v>
      </c>
      <c r="AP683">
        <f>'Expense drivers'!BJ231</f>
        <v>0</v>
      </c>
      <c r="AQ683">
        <f>'Expense drivers'!BK231</f>
        <v>918</v>
      </c>
      <c r="AR683">
        <f>'Expense drivers'!BL231</f>
        <v>1387</v>
      </c>
      <c r="AS683">
        <f>'Expense drivers'!BM231</f>
        <v>1984</v>
      </c>
      <c r="AT683">
        <f>'Expense drivers'!BN231</f>
        <v>2711</v>
      </c>
      <c r="AU683">
        <f>'Expense drivers'!BO231</f>
        <v>3826</v>
      </c>
      <c r="AV683">
        <f>'Expense drivers'!BP231</f>
        <v>4250</v>
      </c>
      <c r="AW683">
        <f>'Expense drivers'!BQ231</f>
        <v>5200</v>
      </c>
      <c r="AX683">
        <f>'Expense drivers'!BR231</f>
        <v>5550</v>
      </c>
      <c r="AY683">
        <f>'Expense drivers'!BS231</f>
        <v>5605</v>
      </c>
      <c r="AZ683">
        <f>'Expense drivers'!BT231</f>
        <v>5915</v>
      </c>
    </row>
    <row r="684" spans="9:52" ht="11.25" customHeight="1">
      <c r="I684" t="str">
        <f>'Expense drivers'!I232</f>
        <v>Period-to-period Addition</v>
      </c>
      <c r="M684">
        <f>'Expense drivers'!M232</f>
        <v>0</v>
      </c>
      <c r="N684">
        <f>'Expense drivers'!N232</f>
        <v>0</v>
      </c>
      <c r="O684">
        <f>'Expense drivers'!O232</f>
        <v>0</v>
      </c>
      <c r="P684">
        <f>'Expense drivers'!P232</f>
        <v>0</v>
      </c>
      <c r="Q684">
        <f>'Expense drivers'!Q232</f>
        <v>0</v>
      </c>
      <c r="R684">
        <f>'Expense drivers'!R232</f>
        <v>71.413023762017019</v>
      </c>
      <c r="S684">
        <f>'Expense drivers'!S232</f>
        <v>114.38903692424822</v>
      </c>
      <c r="T684">
        <f>'Expense drivers'!T232</f>
        <v>63.070422535211264</v>
      </c>
      <c r="U684">
        <f>'Expense drivers'!U232</f>
        <v>79</v>
      </c>
      <c r="V684">
        <f>'Expense drivers'!V232</f>
        <v>99</v>
      </c>
      <c r="W684">
        <f>'Expense drivers'!W232</f>
        <v>118</v>
      </c>
      <c r="X684">
        <f>'Expense drivers'!X232</f>
        <v>173</v>
      </c>
      <c r="Y684">
        <f>'Expense drivers'!Y232</f>
        <v>92</v>
      </c>
      <c r="Z684">
        <f>'Expense drivers'!Z232</f>
        <v>57</v>
      </c>
      <c r="AA684">
        <f>'Expense drivers'!AA232</f>
        <v>270</v>
      </c>
      <c r="AB684">
        <f>'Expense drivers'!AB232</f>
        <v>178</v>
      </c>
      <c r="AC684">
        <f>'Expense drivers'!AC232</f>
        <v>170</v>
      </c>
      <c r="AD684">
        <f>'Expense drivers'!AD232</f>
        <v>191</v>
      </c>
      <c r="AE684">
        <f>'Expense drivers'!AE232</f>
        <v>294</v>
      </c>
      <c r="AF684">
        <f>'Expense drivers'!AF232</f>
        <v>72</v>
      </c>
      <c r="AG684">
        <f>'Expense drivers'!AG232</f>
        <v>410</v>
      </c>
      <c r="AH684">
        <f>'Expense drivers'!AH232</f>
        <v>129</v>
      </c>
      <c r="AI684">
        <f>'Expense drivers'!AI232</f>
        <v>400</v>
      </c>
      <c r="AJ684">
        <f>'Expense drivers'!AJ232</f>
        <v>176</v>
      </c>
      <c r="AL684">
        <f>'Expense drivers'!BF232</f>
        <v>0</v>
      </c>
      <c r="AM684">
        <f>'Expense drivers'!BG232</f>
        <v>0</v>
      </c>
      <c r="AN684">
        <f>'Expense drivers'!BH232</f>
        <v>0</v>
      </c>
      <c r="AO684">
        <f>'Expense drivers'!BI232</f>
        <v>0</v>
      </c>
      <c r="AP684">
        <f>'Expense drivers'!BJ232</f>
        <v>0</v>
      </c>
      <c r="AQ684">
        <f>'Expense drivers'!BK232</f>
        <v>0</v>
      </c>
      <c r="AR684">
        <f>'Expense drivers'!BL232</f>
        <v>469</v>
      </c>
      <c r="AS684">
        <f>'Expense drivers'!BM232</f>
        <v>597</v>
      </c>
      <c r="AT684">
        <f>'Expense drivers'!BN232</f>
        <v>727</v>
      </c>
      <c r="AU684">
        <f>'Expense drivers'!BO232</f>
        <v>1115</v>
      </c>
      <c r="AV684">
        <f>'Expense drivers'!BP232</f>
        <v>424</v>
      </c>
      <c r="AW684">
        <f>'Expense drivers'!BQ232</f>
        <v>950</v>
      </c>
      <c r="AX684">
        <f>'Expense drivers'!BR232</f>
        <v>350</v>
      </c>
      <c r="AY684">
        <f>'Expense drivers'!BS232</f>
        <v>55</v>
      </c>
      <c r="AZ684">
        <f>'Expense drivers'!BT232</f>
        <v>310</v>
      </c>
    </row>
    <row r="685" spans="9:52" ht="11.25" customHeight="1">
      <c r="I685" t="str">
        <f>'Expense drivers'!I233</f>
        <v>% change Y/Y</v>
      </c>
      <c r="M685">
        <f>'Expense drivers'!M233</f>
        <v>0</v>
      </c>
      <c r="N685">
        <f>'Expense drivers'!N233</f>
        <v>0</v>
      </c>
      <c r="O685">
        <f>'Expense drivers'!O233</f>
        <v>0</v>
      </c>
      <c r="P685">
        <f>'Expense drivers'!P233</f>
        <v>0</v>
      </c>
      <c r="Q685">
        <f>'Expense drivers'!Q233</f>
        <v>0</v>
      </c>
      <c r="R685" t="str">
        <f>'Expense drivers'!R233</f>
        <v>NA</v>
      </c>
      <c r="S685" t="str">
        <f>'Expense drivers'!S233</f>
        <v>NA</v>
      </c>
      <c r="T685" t="str">
        <f>'Expense drivers'!T233</f>
        <v>NA</v>
      </c>
      <c r="U685">
        <f>'Expense drivers'!U233</f>
        <v>0.49</v>
      </c>
      <c r="V685">
        <f>'Expense drivers'!V233</f>
        <v>0.48</v>
      </c>
      <c r="W685">
        <f>'Expense drivers'!W233</f>
        <v>0.41999999999999993</v>
      </c>
      <c r="X685">
        <f>'Expense drivers'!X233</f>
        <v>0.51089324618736387</v>
      </c>
      <c r="Y685">
        <f>'Expense drivers'!Y233</f>
        <v>0.48345035105315959</v>
      </c>
      <c r="Z685">
        <f>'Expense drivers'!Z233</f>
        <v>0.4014598540145986</v>
      </c>
      <c r="AA685">
        <f>'Expense drivers'!AA233</f>
        <v>0.48764415156507424</v>
      </c>
      <c r="AB685">
        <f>'Expense drivers'!AB233</f>
        <v>0.43042537851478002</v>
      </c>
      <c r="AC685">
        <f>'Expense drivers'!AC233</f>
        <v>0.45638945233265726</v>
      </c>
      <c r="AD685">
        <f>'Expense drivers'!AD233</f>
        <v>0.52669270833333326</v>
      </c>
      <c r="AE685">
        <f>'Expense drivers'!AE233</f>
        <v>0.46124031007751931</v>
      </c>
      <c r="AF685">
        <f>'Expense drivers'!AF233</f>
        <v>0.36643145161290325</v>
      </c>
      <c r="AG685">
        <f>'Expense drivers'!AG233</f>
        <v>0.44893221912720516</v>
      </c>
      <c r="AH685">
        <f>'Expense drivers'!AH233</f>
        <v>0.38592750533049047</v>
      </c>
      <c r="AI685">
        <f>'Expense drivers'!AI233</f>
        <v>0.38309965896172793</v>
      </c>
      <c r="AJ685">
        <f>'Expense drivers'!AJ233</f>
        <v>0.41128734784212462</v>
      </c>
      <c r="AL685">
        <f>'Expense drivers'!BF233</f>
        <v>0</v>
      </c>
      <c r="AM685">
        <f>'Expense drivers'!BG233</f>
        <v>0</v>
      </c>
      <c r="AN685">
        <f>'Expense drivers'!BH233</f>
        <v>0</v>
      </c>
      <c r="AO685">
        <f>'Expense drivers'!BI233</f>
        <v>0</v>
      </c>
      <c r="AP685">
        <f>'Expense drivers'!BJ233</f>
        <v>0</v>
      </c>
      <c r="AQ685">
        <f>'Expense drivers'!BK233</f>
        <v>0</v>
      </c>
      <c r="AR685">
        <f>'Expense drivers'!BL233</f>
        <v>0.51089324618736387</v>
      </c>
      <c r="AS685">
        <f>'Expense drivers'!BM233</f>
        <v>0.43042537851478002</v>
      </c>
      <c r="AT685">
        <f>'Expense drivers'!BN233</f>
        <v>0.36643145161290325</v>
      </c>
      <c r="AU685">
        <f>'Expense drivers'!BO233</f>
        <v>0.41128734784212462</v>
      </c>
      <c r="AV685">
        <f>'Expense drivers'!BP233</f>
        <v>0.11082070047046533</v>
      </c>
      <c r="AW685">
        <f>'Expense drivers'!BQ233</f>
        <v>0.22352941176470598</v>
      </c>
      <c r="AX685">
        <f>'Expense drivers'!BR233</f>
        <v>6.7307692307692291E-2</v>
      </c>
      <c r="AY685">
        <f>'Expense drivers'!BS233</f>
        <v>9.9099099099098087E-3</v>
      </c>
      <c r="AZ685">
        <f>'Expense drivers'!BT233</f>
        <v>5.5307760927743033E-2</v>
      </c>
    </row>
    <row r="686" spans="9:52" ht="11.25" customHeight="1">
      <c r="I686" t="str">
        <f>'Expense drivers'!I234</f>
        <v>% change Q/Q</v>
      </c>
      <c r="M686">
        <f>'Expense drivers'!M234</f>
        <v>0</v>
      </c>
      <c r="N686">
        <f>'Expense drivers'!N234</f>
        <v>0</v>
      </c>
      <c r="O686">
        <f>'Expense drivers'!O234</f>
        <v>0</v>
      </c>
      <c r="P686">
        <f>'Expense drivers'!P234</f>
        <v>0</v>
      </c>
      <c r="Q686">
        <f>'Expense drivers'!Q234</f>
        <v>0</v>
      </c>
      <c r="R686">
        <f>'Expense drivers'!R234</f>
        <v>0.1067255821518609</v>
      </c>
      <c r="S686">
        <f>'Expense drivers'!S234</f>
        <v>0.15446694767142999</v>
      </c>
      <c r="T686">
        <f>'Expense drivers'!T234</f>
        <v>7.3772652388797377E-2</v>
      </c>
      <c r="U686">
        <f>'Expense drivers'!U234</f>
        <v>8.6056644880174282E-2</v>
      </c>
      <c r="V686">
        <f>'Expense drivers'!V234</f>
        <v>9.9297893681043137E-2</v>
      </c>
      <c r="W686">
        <f>'Expense drivers'!W234</f>
        <v>0.10766423357664223</v>
      </c>
      <c r="X686">
        <f>'Expense drivers'!X234</f>
        <v>0.14250411861614487</v>
      </c>
      <c r="Y686">
        <f>'Expense drivers'!Y234</f>
        <v>6.6330209084354719E-2</v>
      </c>
      <c r="Z686">
        <f>'Expense drivers'!Z234</f>
        <v>3.8539553752535483E-2</v>
      </c>
      <c r="AA686">
        <f>'Expense drivers'!AA234</f>
        <v>0.17578125</v>
      </c>
      <c r="AB686">
        <f>'Expense drivers'!AB234</f>
        <v>9.8560354374307879E-2</v>
      </c>
      <c r="AC686">
        <f>'Expense drivers'!AC234</f>
        <v>8.5685483870967749E-2</v>
      </c>
      <c r="AD686">
        <f>'Expense drivers'!AD234</f>
        <v>8.8672237697307255E-2</v>
      </c>
      <c r="AE686">
        <f>'Expense drivers'!AE234</f>
        <v>0.12537313432835817</v>
      </c>
      <c r="AF686">
        <f>'Expense drivers'!AF234</f>
        <v>2.7283061765820404E-2</v>
      </c>
      <c r="AG686">
        <f>'Expense drivers'!AG234</f>
        <v>0.15123570638140915</v>
      </c>
      <c r="AH686">
        <f>'Expense drivers'!AH234</f>
        <v>4.1332906119833313E-2</v>
      </c>
      <c r="AI686">
        <f>'Expense drivers'!AI234</f>
        <v>0.12307692307692308</v>
      </c>
      <c r="AJ686">
        <f>'Expense drivers'!AJ234</f>
        <v>4.8219178082191672E-2</v>
      </c>
      <c r="AL686">
        <f>'Expense drivers'!BF234</f>
        <v>0</v>
      </c>
      <c r="AM686">
        <f>'Expense drivers'!BG234</f>
        <v>0</v>
      </c>
      <c r="AN686">
        <f>'Expense drivers'!BH234</f>
        <v>0</v>
      </c>
      <c r="AO686">
        <f>'Expense drivers'!BI234</f>
        <v>0</v>
      </c>
      <c r="AP686">
        <f>'Expense drivers'!BJ234</f>
        <v>0</v>
      </c>
      <c r="AQ686">
        <f>'Expense drivers'!BK234</f>
        <v>0</v>
      </c>
      <c r="AR686">
        <f>'Expense drivers'!BL234</f>
        <v>0</v>
      </c>
      <c r="AS686">
        <f>'Expense drivers'!BM234</f>
        <v>0</v>
      </c>
      <c r="AT686">
        <f>'Expense drivers'!BN234</f>
        <v>0</v>
      </c>
      <c r="AU686">
        <f>'Expense drivers'!BO234</f>
        <v>0</v>
      </c>
      <c r="AV686">
        <f>'Expense drivers'!BP234</f>
        <v>0</v>
      </c>
      <c r="AW686">
        <f>'Expense drivers'!BQ234</f>
        <v>0</v>
      </c>
      <c r="AX686">
        <f>'Expense drivers'!BR234</f>
        <v>0</v>
      </c>
      <c r="AY686">
        <f>'Expense drivers'!BS234</f>
        <v>0</v>
      </c>
      <c r="AZ686">
        <f>'Expense drivers'!BT234</f>
        <v>0</v>
      </c>
    </row>
    <row r="689" spans="9:77" ht="11.25" customHeight="1">
      <c r="I689" t="str">
        <f>'Expense drivers'!I236</f>
        <v>Paying accounts per full-time employee</v>
      </c>
      <c r="M689">
        <f>'Expense drivers'!M236</f>
        <v>0</v>
      </c>
      <c r="N689">
        <f>'Expense drivers'!N236</f>
        <v>0</v>
      </c>
      <c r="O689">
        <f>'Expense drivers'!O236</f>
        <v>0</v>
      </c>
      <c r="P689">
        <f>'Expense drivers'!P236</f>
        <v>0</v>
      </c>
      <c r="Q689">
        <f>'Expense drivers'!Q236</f>
        <v>19.428284854563692</v>
      </c>
      <c r="R689">
        <f>'Expense drivers'!R236</f>
        <v>20.255474452554743</v>
      </c>
      <c r="S689">
        <f>'Expense drivers'!S236</f>
        <v>22.224052718286657</v>
      </c>
      <c r="T689">
        <f>'Expense drivers'!T236</f>
        <v>25.816993464052288</v>
      </c>
      <c r="U689">
        <f>'Expense drivers'!U236</f>
        <v>27.081243731193581</v>
      </c>
      <c r="V689">
        <f>'Expense drivers'!V236</f>
        <v>29.014598540145986</v>
      </c>
      <c r="W689">
        <f>'Expense drivers'!W236</f>
        <v>29.654036243822077</v>
      </c>
      <c r="X689">
        <f>'Expense drivers'!X236</f>
        <v>28.695025234318674</v>
      </c>
      <c r="Y689">
        <f>'Expense drivers'!Y236</f>
        <v>30.223123732251523</v>
      </c>
      <c r="Z689">
        <f>'Expense drivers'!Z236</f>
        <v>33.463541666666664</v>
      </c>
      <c r="AA689">
        <f>'Expense drivers'!AA236</f>
        <v>31.672203765227021</v>
      </c>
      <c r="AB689">
        <f>'Expense drivers'!AB236</f>
        <v>33.87096774193548</v>
      </c>
      <c r="AC689">
        <f>'Expense drivers'!AC236</f>
        <v>34.354688950789232</v>
      </c>
      <c r="AD689">
        <f>'Expense drivers'!AD236</f>
        <v>34.072494669509595</v>
      </c>
      <c r="AE689">
        <f>'Expense drivers'!AE236</f>
        <v>32.663887836301626</v>
      </c>
      <c r="AF689">
        <f>'Expense drivers'!AF236</f>
        <v>34.562891921800073</v>
      </c>
      <c r="AG689">
        <f>'Expense drivers'!AG236</f>
        <v>31.944889458506889</v>
      </c>
      <c r="AH689">
        <f>'Expense drivers'!AH236</f>
        <v>32.523076923076921</v>
      </c>
      <c r="AI689">
        <f>'Expense drivers'!AI236</f>
        <v>30.876712328767123</v>
      </c>
      <c r="AJ689">
        <f>'Expense drivers'!AJ236</f>
        <v>31.808677469942499</v>
      </c>
      <c r="AL689">
        <f>'Expense drivers'!BF236</f>
        <v>0</v>
      </c>
      <c r="AM689">
        <f>'Expense drivers'!BG236</f>
        <v>0</v>
      </c>
      <c r="AN689">
        <f>'Expense drivers'!BH236</f>
        <v>0</v>
      </c>
      <c r="AO689">
        <f>'Expense drivers'!BI236</f>
        <v>0</v>
      </c>
      <c r="AP689">
        <f>'Expense drivers'!BJ236</f>
        <v>0</v>
      </c>
      <c r="AQ689">
        <f>'Expense drivers'!BK236</f>
        <v>25.816993464052288</v>
      </c>
      <c r="AR689">
        <f>'Expense drivers'!BL236</f>
        <v>28.695025234318674</v>
      </c>
      <c r="AS689">
        <f>'Expense drivers'!BM236</f>
        <v>33.87096774193548</v>
      </c>
      <c r="AT689">
        <f>'Expense drivers'!BN236</f>
        <v>34.562891921800073</v>
      </c>
      <c r="AU689">
        <f>'Expense drivers'!BO236</f>
        <v>31.808677469942499</v>
      </c>
      <c r="AV689">
        <f>'Expense drivers'!BP236</f>
        <v>0</v>
      </c>
      <c r="AW689">
        <f>'Expense drivers'!BQ236</f>
        <v>0</v>
      </c>
      <c r="AX689">
        <f>'Expense drivers'!BR236</f>
        <v>0</v>
      </c>
      <c r="AY689">
        <f>'Expense drivers'!BS236</f>
        <v>0</v>
      </c>
      <c r="AZ689">
        <f>'Expense drivers'!BT236</f>
        <v>0</v>
      </c>
    </row>
    <row r="690" spans="9:77" ht="11.25" customHeight="1">
      <c r="I690" t="str">
        <f>'Expense drivers'!I237</f>
        <v>% change Y/Y</v>
      </c>
      <c r="M690">
        <f>'Expense drivers'!M237</f>
        <v>0</v>
      </c>
      <c r="N690">
        <f>'Expense drivers'!N237</f>
        <v>0</v>
      </c>
      <c r="O690">
        <f>'Expense drivers'!O237</f>
        <v>0</v>
      </c>
      <c r="P690">
        <f>'Expense drivers'!P237</f>
        <v>0</v>
      </c>
      <c r="Q690" t="str">
        <f>'Expense drivers'!Q237</f>
        <v>NA</v>
      </c>
      <c r="R690" t="str">
        <f>'Expense drivers'!R237</f>
        <v>NA</v>
      </c>
      <c r="S690" t="str">
        <f>'Expense drivers'!S237</f>
        <v>NA</v>
      </c>
      <c r="T690" t="str">
        <f>'Expense drivers'!T237</f>
        <v>NA</v>
      </c>
      <c r="U690">
        <f>'Expense drivers'!U237</f>
        <v>0.39390810531750131</v>
      </c>
      <c r="V690">
        <f>'Expense drivers'!V237</f>
        <v>0.43243243243243246</v>
      </c>
      <c r="W690">
        <f>'Expense drivers'!W237</f>
        <v>0.33432171979243885</v>
      </c>
      <c r="X690">
        <f>'Expense drivers'!X237</f>
        <v>0.11147819262044489</v>
      </c>
      <c r="Y690">
        <f>'Expense drivers'!Y237</f>
        <v>0.11601682818721359</v>
      </c>
      <c r="Z690">
        <f>'Expense drivers'!Z237</f>
        <v>0.15333464360587001</v>
      </c>
      <c r="AA690">
        <f>'Expense drivers'!AA237</f>
        <v>6.8057093638488997E-2</v>
      </c>
      <c r="AB690">
        <f>'Expense drivers'!AB237</f>
        <v>0.18037769492624389</v>
      </c>
      <c r="AC690">
        <f>'Expense drivers'!AC237</f>
        <v>0.13670212434490536</v>
      </c>
      <c r="AD690">
        <f>'Expense drivers'!AD237</f>
        <v>1.8197506077173964E-2</v>
      </c>
      <c r="AE690">
        <f>'Expense drivers'!AE237</f>
        <v>3.1310864202110711E-2</v>
      </c>
      <c r="AF690">
        <f>'Expense drivers'!AF237</f>
        <v>2.0428237691240358E-2</v>
      </c>
      <c r="AG690">
        <f>'Expense drivers'!AG237</f>
        <v>-7.014470414021845E-2</v>
      </c>
      <c r="AH690">
        <f>'Expense drivers'!AH237</f>
        <v>-4.5474150380283129E-2</v>
      </c>
      <c r="AI690">
        <f>'Expense drivers'!AI237</f>
        <v>-5.4714108635540049E-2</v>
      </c>
      <c r="AJ690">
        <f>'Expense drivers'!AJ237</f>
        <v>-7.968703712898495E-2</v>
      </c>
      <c r="AL690">
        <f>'Expense drivers'!BF237</f>
        <v>0</v>
      </c>
      <c r="AM690">
        <f>'Expense drivers'!BG237</f>
        <v>0</v>
      </c>
      <c r="AN690">
        <f>'Expense drivers'!BH237</f>
        <v>0</v>
      </c>
      <c r="AO690">
        <f>'Expense drivers'!BI237</f>
        <v>0</v>
      </c>
      <c r="AP690">
        <f>'Expense drivers'!BJ237</f>
        <v>0</v>
      </c>
      <c r="AQ690" t="str">
        <f>'Expense drivers'!BK237</f>
        <v>NA</v>
      </c>
      <c r="AR690">
        <f>'Expense drivers'!BL237</f>
        <v>0.11147819262044489</v>
      </c>
      <c r="AS690">
        <f>'Expense drivers'!BM237</f>
        <v>0.18037769492624389</v>
      </c>
      <c r="AT690">
        <f>'Expense drivers'!BN237</f>
        <v>2.0428237691240358E-2</v>
      </c>
      <c r="AU690">
        <f>'Expense drivers'!BO237</f>
        <v>-7.968703712898495E-2</v>
      </c>
      <c r="AV690" t="str">
        <f>'Expense drivers'!BP237</f>
        <v>NM</v>
      </c>
      <c r="AW690" t="str">
        <f>'Expense drivers'!BQ237</f>
        <v>NA</v>
      </c>
      <c r="AX690" t="str">
        <f>'Expense drivers'!BR237</f>
        <v>NA</v>
      </c>
      <c r="AY690" t="str">
        <f>'Expense drivers'!BS237</f>
        <v>NA</v>
      </c>
      <c r="AZ690" t="str">
        <f>'Expense drivers'!BT237</f>
        <v>NA</v>
      </c>
    </row>
    <row r="691" spans="9:77" ht="11.25" customHeight="1">
      <c r="I691" t="str">
        <f>'Expense drivers'!I238</f>
        <v>% change Q/Q</v>
      </c>
      <c r="M691">
        <f>'Expense drivers'!M238</f>
        <v>0</v>
      </c>
      <c r="N691">
        <f>'Expense drivers'!N238</f>
        <v>0</v>
      </c>
      <c r="O691">
        <f>'Expense drivers'!O238</f>
        <v>0</v>
      </c>
      <c r="P691">
        <f>'Expense drivers'!P238</f>
        <v>0</v>
      </c>
      <c r="Q691" t="str">
        <f>'Expense drivers'!Q238</f>
        <v>NA</v>
      </c>
      <c r="R691">
        <f>'Expense drivers'!R238</f>
        <v>4.2576563200675155E-2</v>
      </c>
      <c r="S691">
        <f>'Expense drivers'!S238</f>
        <v>9.7187467533431438E-2</v>
      </c>
      <c r="T691">
        <f>'Expense drivers'!T238</f>
        <v>0.16166901650702292</v>
      </c>
      <c r="U691">
        <f>'Expense drivers'!U238</f>
        <v>4.8969693891802057E-2</v>
      </c>
      <c r="V691">
        <f>'Expense drivers'!V238</f>
        <v>7.1390916463909271E-2</v>
      </c>
      <c r="W691">
        <f>'Expense drivers'!W238</f>
        <v>2.2038481862546977E-2</v>
      </c>
      <c r="X691">
        <f>'Expense drivers'!X238</f>
        <v>-3.2339982376031418E-2</v>
      </c>
      <c r="Y691">
        <f>'Expense drivers'!Y238</f>
        <v>5.3253080819921195E-2</v>
      </c>
      <c r="Z691">
        <f>'Expense drivers'!Z238</f>
        <v>0.10721651286353451</v>
      </c>
      <c r="AA691">
        <f>'Expense drivers'!AA238</f>
        <v>-5.3531031451581557E-2</v>
      </c>
      <c r="AB691">
        <f>'Expense drivers'!AB238</f>
        <v>6.9422512970899852E-2</v>
      </c>
      <c r="AC691">
        <f>'Expense drivers'!AC238</f>
        <v>1.4281292832825088E-2</v>
      </c>
      <c r="AD691">
        <f>'Expense drivers'!AD238</f>
        <v>-8.2141416469775352E-3</v>
      </c>
      <c r="AE691">
        <f>'Expense drivers'!AE238</f>
        <v>-4.1341464629195079E-2</v>
      </c>
      <c r="AF691">
        <f>'Expense drivers'!AF238</f>
        <v>5.8137723684807519E-2</v>
      </c>
      <c r="AG691">
        <f>'Expense drivers'!AG238</f>
        <v>-7.5746047790691828E-2</v>
      </c>
      <c r="AH691">
        <f>'Expense drivers'!AH238</f>
        <v>1.8099529357302524E-2</v>
      </c>
      <c r="AI691">
        <f>'Expense drivers'!AI238</f>
        <v>-5.0621427923432716E-2</v>
      </c>
      <c r="AJ691">
        <f>'Expense drivers'!AJ238</f>
        <v>3.0183431812689676E-2</v>
      </c>
      <c r="AL691">
        <f>'Expense drivers'!BF238</f>
        <v>0</v>
      </c>
      <c r="AM691">
        <f>'Expense drivers'!BG238</f>
        <v>0</v>
      </c>
      <c r="AN691">
        <f>'Expense drivers'!BH238</f>
        <v>0</v>
      </c>
      <c r="AO691">
        <f>'Expense drivers'!BI238</f>
        <v>0</v>
      </c>
      <c r="AP691">
        <f>'Expense drivers'!BJ238</f>
        <v>0</v>
      </c>
      <c r="AQ691">
        <f>'Expense drivers'!BK238</f>
        <v>0</v>
      </c>
      <c r="AR691">
        <f>'Expense drivers'!BL238</f>
        <v>0</v>
      </c>
      <c r="AS691">
        <f>'Expense drivers'!BM238</f>
        <v>0</v>
      </c>
      <c r="AT691">
        <f>'Expense drivers'!BN238</f>
        <v>0</v>
      </c>
      <c r="AU691">
        <f>'Expense drivers'!BO238</f>
        <v>0</v>
      </c>
      <c r="AV691">
        <f>'Expense drivers'!BP238</f>
        <v>0</v>
      </c>
      <c r="AW691">
        <f>'Expense drivers'!BQ238</f>
        <v>0</v>
      </c>
      <c r="AX691">
        <f>'Expense drivers'!BR238</f>
        <v>0</v>
      </c>
      <c r="AY691">
        <f>'Expense drivers'!BS238</f>
        <v>0</v>
      </c>
      <c r="AZ691">
        <f>'Expense drivers'!BT238</f>
        <v>0</v>
      </c>
    </row>
    <row r="692" spans="9:77" ht="11.25" customHeight="1">
      <c r="I692">
        <f>'Expense drivers'!I239</f>
        <v>0</v>
      </c>
      <c r="M692">
        <f>'Expense drivers'!M239</f>
        <v>0</v>
      </c>
      <c r="N692">
        <f>'Expense drivers'!N239</f>
        <v>0</v>
      </c>
      <c r="O692">
        <f>'Expense drivers'!O239</f>
        <v>0</v>
      </c>
      <c r="P692">
        <f>'Expense drivers'!P239</f>
        <v>0</v>
      </c>
      <c r="Q692">
        <f>'Expense drivers'!Q239</f>
        <v>0</v>
      </c>
      <c r="R692">
        <f>'Expense drivers'!R239</f>
        <v>0</v>
      </c>
      <c r="S692">
        <f>'Expense drivers'!S239</f>
        <v>0</v>
      </c>
      <c r="T692">
        <f>'Expense drivers'!T239</f>
        <v>0</v>
      </c>
      <c r="U692">
        <f>'Expense drivers'!U239</f>
        <v>0</v>
      </c>
      <c r="V692">
        <f>'Expense drivers'!V239</f>
        <v>0</v>
      </c>
      <c r="W692">
        <f>'Expense drivers'!W239</f>
        <v>0</v>
      </c>
      <c r="X692">
        <f>'Expense drivers'!X239</f>
        <v>0</v>
      </c>
      <c r="Y692">
        <f>'Expense drivers'!Y239</f>
        <v>0</v>
      </c>
      <c r="Z692">
        <f>'Expense drivers'!Z239</f>
        <v>0</v>
      </c>
      <c r="AA692">
        <f>'Expense drivers'!AA239</f>
        <v>0</v>
      </c>
      <c r="AB692">
        <f>'Expense drivers'!AB239</f>
        <v>0</v>
      </c>
      <c r="AC692">
        <f>'Expense drivers'!AC239</f>
        <v>0</v>
      </c>
      <c r="AD692">
        <f>'Expense drivers'!AD239</f>
        <v>0</v>
      </c>
      <c r="AE692">
        <f>'Expense drivers'!AE239</f>
        <v>0</v>
      </c>
      <c r="AF692">
        <f>'Expense drivers'!AF239</f>
        <v>0</v>
      </c>
      <c r="AG692">
        <f>'Expense drivers'!AG239</f>
        <v>0</v>
      </c>
      <c r="AH692">
        <f>'Expense drivers'!AH239</f>
        <v>0</v>
      </c>
      <c r="AI692">
        <f>'Expense drivers'!AI239</f>
        <v>0</v>
      </c>
      <c r="AJ692">
        <f>'Expense drivers'!AJ239</f>
        <v>0</v>
      </c>
      <c r="AL692">
        <f>'Expense drivers'!BF239</f>
        <v>0</v>
      </c>
      <c r="AM692">
        <f>'Expense drivers'!BG239</f>
        <v>0</v>
      </c>
      <c r="AN692">
        <f>'Expense drivers'!BH239</f>
        <v>0</v>
      </c>
      <c r="AO692">
        <f>'Expense drivers'!BI239</f>
        <v>0</v>
      </c>
      <c r="AP692">
        <f>'Expense drivers'!BJ239</f>
        <v>0</v>
      </c>
      <c r="AQ692">
        <f>'Expense drivers'!BK239</f>
        <v>0</v>
      </c>
      <c r="AR692">
        <f>'Expense drivers'!BL239</f>
        <v>0</v>
      </c>
      <c r="AS692">
        <f>'Expense drivers'!BM239</f>
        <v>0</v>
      </c>
      <c r="AT692">
        <f>'Expense drivers'!BN239</f>
        <v>0</v>
      </c>
      <c r="AU692">
        <f>'Expense drivers'!BO239</f>
        <v>0</v>
      </c>
      <c r="AV692">
        <f>'Expense drivers'!BP239</f>
        <v>0</v>
      </c>
      <c r="AW692">
        <f>'Expense drivers'!BQ239</f>
        <v>0</v>
      </c>
      <c r="AX692">
        <f>'Expense drivers'!BR239</f>
        <v>0</v>
      </c>
      <c r="AY692">
        <f>'Expense drivers'!BS239</f>
        <v>0</v>
      </c>
      <c r="AZ692">
        <f>'Expense drivers'!BT239</f>
        <v>0</v>
      </c>
    </row>
    <row r="693" spans="9:77" ht="11.25" customHeight="1">
      <c r="I693" t="str">
        <f>'Revenue drivers'!I7</f>
        <v>Morgan Stanley | Yelp revenue drivers</v>
      </c>
      <c r="J693">
        <f>'Revenue drivers'!J7</f>
        <v>0</v>
      </c>
      <c r="K693">
        <f>'Revenue drivers'!K7</f>
        <v>0</v>
      </c>
      <c r="L693">
        <f>'Revenue drivers'!L7</f>
        <v>0</v>
      </c>
      <c r="M693">
        <f>'Revenue drivers'!M7</f>
        <v>2010</v>
      </c>
      <c r="N693">
        <f>'Revenue drivers'!N7</f>
        <v>0</v>
      </c>
      <c r="O693">
        <f>'Revenue drivers'!O7</f>
        <v>0</v>
      </c>
      <c r="P693">
        <f>'Revenue drivers'!P7</f>
        <v>0</v>
      </c>
      <c r="Q693">
        <f>'Revenue drivers'!Q7</f>
        <v>2011</v>
      </c>
      <c r="R693">
        <f>'Revenue drivers'!R7</f>
        <v>0</v>
      </c>
      <c r="S693">
        <f>'Revenue drivers'!S7</f>
        <v>0</v>
      </c>
      <c r="T693">
        <f>'Revenue drivers'!T7</f>
        <v>0</v>
      </c>
      <c r="U693">
        <f>'Revenue drivers'!U7</f>
        <v>2012</v>
      </c>
      <c r="V693">
        <f>'Revenue drivers'!V7</f>
        <v>0</v>
      </c>
      <c r="W693">
        <f>'Revenue drivers'!W7</f>
        <v>0</v>
      </c>
      <c r="X693">
        <f>'Revenue drivers'!X7</f>
        <v>0</v>
      </c>
      <c r="Y693">
        <f>'Revenue drivers'!Y7</f>
        <v>2013</v>
      </c>
      <c r="Z693">
        <f>'Revenue drivers'!Z7</f>
        <v>0</v>
      </c>
      <c r="AA693">
        <f>'Revenue drivers'!AA7</f>
        <v>0</v>
      </c>
      <c r="AB693">
        <f>'Revenue drivers'!AB7</f>
        <v>0</v>
      </c>
      <c r="AC693" t="str">
        <f>'Revenue drivers'!AC7</f>
        <v>2014</v>
      </c>
      <c r="AD693">
        <f>'Revenue drivers'!AD7</f>
        <v>0</v>
      </c>
      <c r="AE693">
        <f>'Revenue drivers'!AE7</f>
        <v>0</v>
      </c>
      <c r="AF693">
        <f>'Revenue drivers'!AF7</f>
        <v>0</v>
      </c>
      <c r="AG693" t="str">
        <f>'Revenue drivers'!AG7</f>
        <v>2015</v>
      </c>
      <c r="AH693">
        <f>'Revenue drivers'!AH7</f>
        <v>0</v>
      </c>
      <c r="AI693">
        <f>'Revenue drivers'!AI7</f>
        <v>0</v>
      </c>
      <c r="AJ693">
        <f>'Revenue drivers'!AJ7</f>
        <v>0</v>
      </c>
      <c r="AK693" t="str">
        <f>'Revenue drivers'!AK7</f>
        <v>2016</v>
      </c>
      <c r="AL693">
        <f>'Revenue drivers'!AL7</f>
        <v>0</v>
      </c>
      <c r="AM693">
        <f>'Revenue drivers'!AM7</f>
        <v>0</v>
      </c>
      <c r="AN693">
        <f>'Revenue drivers'!AN7</f>
        <v>0</v>
      </c>
      <c r="AO693" t="str">
        <f>'Revenue drivers'!AO7</f>
        <v>2017</v>
      </c>
      <c r="AP693">
        <f>'Revenue drivers'!AP7</f>
        <v>0</v>
      </c>
      <c r="AQ693">
        <f>'Revenue drivers'!AQ7</f>
        <v>0</v>
      </c>
      <c r="AR693">
        <f>'Revenue drivers'!AR7</f>
        <v>0</v>
      </c>
      <c r="AS693" t="str">
        <f>'Revenue drivers'!AS7</f>
        <v>2018E</v>
      </c>
      <c r="AT693">
        <f>'Revenue drivers'!AT7</f>
        <v>0</v>
      </c>
      <c r="AU693">
        <f>'Revenue drivers'!AU7</f>
        <v>0</v>
      </c>
      <c r="AV693">
        <f>'Revenue drivers'!AV7</f>
        <v>0</v>
      </c>
      <c r="AW693" t="str">
        <f>'Revenue drivers'!AW7</f>
        <v>2019E</v>
      </c>
      <c r="AX693">
        <f>'Revenue drivers'!AX7</f>
        <v>0</v>
      </c>
      <c r="AY693">
        <f>'Revenue drivers'!AY7</f>
        <v>0</v>
      </c>
      <c r="AZ693">
        <f>'Revenue drivers'!AZ7</f>
        <v>0</v>
      </c>
      <c r="BA693" t="str">
        <f>'Revenue drivers'!BA7</f>
        <v>2020E</v>
      </c>
      <c r="BB693">
        <f>'Revenue drivers'!BB7</f>
        <v>0</v>
      </c>
      <c r="BC693">
        <f>'Revenue drivers'!BC7</f>
        <v>0</v>
      </c>
      <c r="BD693">
        <f>'Revenue drivers'!BD7</f>
        <v>0</v>
      </c>
      <c r="BE693">
        <f>'Revenue drivers'!BE7</f>
        <v>0</v>
      </c>
      <c r="BF693">
        <f>'Revenue drivers'!BF7</f>
        <v>0</v>
      </c>
      <c r="BG693">
        <f>'Revenue drivers'!BG7</f>
        <v>0</v>
      </c>
      <c r="BH693">
        <f>'Revenue drivers'!BH7</f>
        <v>0</v>
      </c>
      <c r="BI693">
        <f>'Revenue drivers'!BI7</f>
        <v>0</v>
      </c>
      <c r="BJ693">
        <f>'Revenue drivers'!BJ7</f>
        <v>0</v>
      </c>
      <c r="BK693">
        <f>'Revenue drivers'!BK7</f>
        <v>0</v>
      </c>
      <c r="BL693">
        <f>'Revenue drivers'!BL7</f>
        <v>0</v>
      </c>
      <c r="BM693">
        <f>'Revenue drivers'!BM7</f>
        <v>0</v>
      </c>
      <c r="BN693">
        <f>'Revenue drivers'!BN7</f>
        <v>0</v>
      </c>
      <c r="BO693">
        <f>'Revenue drivers'!BO7</f>
        <v>0</v>
      </c>
      <c r="BP693">
        <f>'Revenue drivers'!BP7</f>
        <v>0</v>
      </c>
      <c r="BQ693">
        <f>'Revenue drivers'!BQ7</f>
        <v>0</v>
      </c>
      <c r="BR693">
        <f>'Revenue drivers'!BR7</f>
        <v>0</v>
      </c>
      <c r="BS693">
        <f>'Revenue drivers'!BS7</f>
        <v>0</v>
      </c>
      <c r="BT693">
        <f>'Revenue drivers'!BT7</f>
        <v>0</v>
      </c>
      <c r="BU693">
        <f>'Revenue drivers'!BU7</f>
        <v>0</v>
      </c>
      <c r="BV693">
        <f>'Revenue drivers'!BV7</f>
        <v>0</v>
      </c>
      <c r="BW693">
        <f>'Revenue drivers'!BW7</f>
        <v>0</v>
      </c>
      <c r="BX693">
        <f>'Revenue drivers'!BX7</f>
        <v>0</v>
      </c>
      <c r="BY693">
        <f>'Revenue drivers'!BY7</f>
        <v>0</v>
      </c>
    </row>
    <row r="694" spans="9:77" ht="11.25" customHeight="1">
      <c r="I694" t="str">
        <f>'Revenue drivers'!I8</f>
        <v>(USD millions)</v>
      </c>
      <c r="J694">
        <f>'Revenue drivers'!J8</f>
        <v>0</v>
      </c>
      <c r="K694">
        <f>'Revenue drivers'!K8</f>
        <v>0</v>
      </c>
      <c r="L694">
        <f>'Revenue drivers'!L8</f>
        <v>0</v>
      </c>
      <c r="M694">
        <f>'Revenue drivers'!M8</f>
        <v>1</v>
      </c>
      <c r="N694">
        <f>'Revenue drivers'!N8</f>
        <v>2</v>
      </c>
      <c r="O694">
        <f>'Revenue drivers'!O8</f>
        <v>3</v>
      </c>
      <c r="P694">
        <f>'Revenue drivers'!P8</f>
        <v>4</v>
      </c>
      <c r="Q694">
        <f>'Revenue drivers'!Q8</f>
        <v>1</v>
      </c>
      <c r="R694">
        <f>'Revenue drivers'!R8</f>
        <v>2</v>
      </c>
      <c r="S694">
        <f>'Revenue drivers'!S8</f>
        <v>3</v>
      </c>
      <c r="T694">
        <f>'Revenue drivers'!T8</f>
        <v>4</v>
      </c>
      <c r="U694">
        <f>'Revenue drivers'!U8</f>
        <v>1</v>
      </c>
      <c r="V694">
        <f>'Revenue drivers'!V8</f>
        <v>2</v>
      </c>
      <c r="W694">
        <f>'Revenue drivers'!W8</f>
        <v>3</v>
      </c>
      <c r="X694">
        <f>'Revenue drivers'!X8</f>
        <v>4</v>
      </c>
      <c r="Y694">
        <f>'Revenue drivers'!Y8</f>
        <v>1</v>
      </c>
      <c r="Z694">
        <f>'Revenue drivers'!Z8</f>
        <v>2</v>
      </c>
      <c r="AA694">
        <f>'Revenue drivers'!AA8</f>
        <v>3</v>
      </c>
      <c r="AB694">
        <f>'Revenue drivers'!AB8</f>
        <v>4</v>
      </c>
      <c r="AC694">
        <f>'Revenue drivers'!AC8</f>
        <v>1</v>
      </c>
      <c r="AD694">
        <f>'Revenue drivers'!AD8</f>
        <v>2</v>
      </c>
      <c r="AE694">
        <f>'Revenue drivers'!AE8</f>
        <v>3</v>
      </c>
      <c r="AF694">
        <f>'Revenue drivers'!AF8</f>
        <v>4</v>
      </c>
      <c r="AG694">
        <f>'Revenue drivers'!AG8</f>
        <v>1</v>
      </c>
      <c r="AH694">
        <f>'Revenue drivers'!AH8</f>
        <v>2</v>
      </c>
      <c r="AI694">
        <f>'Revenue drivers'!AI8</f>
        <v>3</v>
      </c>
      <c r="AJ694">
        <f>'Revenue drivers'!AJ8</f>
        <v>4</v>
      </c>
      <c r="AK694">
        <f>'Revenue drivers'!AK8</f>
        <v>1</v>
      </c>
      <c r="AL694">
        <f>'Revenue drivers'!AL8</f>
        <v>2</v>
      </c>
      <c r="AM694">
        <f>'Revenue drivers'!AM8</f>
        <v>3</v>
      </c>
      <c r="AN694">
        <f>'Revenue drivers'!AN8</f>
        <v>4</v>
      </c>
      <c r="AO694">
        <f>'Revenue drivers'!AO8</f>
        <v>1</v>
      </c>
      <c r="AP694">
        <f>'Revenue drivers'!AP8</f>
        <v>2</v>
      </c>
      <c r="AQ694">
        <f>'Revenue drivers'!AQ8</f>
        <v>3</v>
      </c>
      <c r="AR694">
        <f>'Revenue drivers'!AR8</f>
        <v>4</v>
      </c>
      <c r="AS694">
        <f>'Revenue drivers'!AS8</f>
        <v>1</v>
      </c>
      <c r="AT694">
        <f>'Revenue drivers'!AT8</f>
        <v>2</v>
      </c>
      <c r="AU694">
        <f>'Revenue drivers'!AU8</f>
        <v>3</v>
      </c>
      <c r="AV694">
        <f>'Revenue drivers'!AV8</f>
        <v>4</v>
      </c>
      <c r="AW694">
        <f>'Revenue drivers'!AW8</f>
        <v>1</v>
      </c>
      <c r="AX694">
        <f>'Revenue drivers'!AX8</f>
        <v>2</v>
      </c>
      <c r="AY694">
        <f>'Revenue drivers'!AY8</f>
        <v>3</v>
      </c>
      <c r="AZ694">
        <f>'Revenue drivers'!AZ8</f>
        <v>4</v>
      </c>
      <c r="BA694">
        <f>'Revenue drivers'!BA8</f>
        <v>1</v>
      </c>
      <c r="BB694">
        <f>'Revenue drivers'!BB8</f>
        <v>2</v>
      </c>
      <c r="BC694">
        <f>'Revenue drivers'!BC8</f>
        <v>3</v>
      </c>
      <c r="BD694">
        <f>'Revenue drivers'!BD8</f>
        <v>4</v>
      </c>
      <c r="BE694">
        <f>'Revenue drivers'!BE8</f>
        <v>0</v>
      </c>
      <c r="BF694">
        <f>'Revenue drivers'!BF8</f>
        <v>39082</v>
      </c>
      <c r="BG694">
        <f>'Revenue drivers'!BG8</f>
        <v>39447</v>
      </c>
      <c r="BH694">
        <f>'Revenue drivers'!BH8</f>
        <v>39813</v>
      </c>
      <c r="BI694">
        <f>'Revenue drivers'!BI8</f>
        <v>40178</v>
      </c>
      <c r="BJ694">
        <f>'Revenue drivers'!BJ8</f>
        <v>40543</v>
      </c>
      <c r="BK694">
        <f>'Revenue drivers'!BK8</f>
        <v>40908</v>
      </c>
      <c r="BL694">
        <f>'Revenue drivers'!BL8</f>
        <v>41274</v>
      </c>
      <c r="BM694">
        <f>'Revenue drivers'!BM8</f>
        <v>41639</v>
      </c>
      <c r="BN694">
        <f>'Revenue drivers'!BN8</f>
        <v>42004</v>
      </c>
      <c r="BO694">
        <f>'Revenue drivers'!BO8</f>
        <v>42369</v>
      </c>
      <c r="BP694">
        <f>'Revenue drivers'!BP8</f>
        <v>42734</v>
      </c>
      <c r="BQ694">
        <f>'Revenue drivers'!BQ8</f>
        <v>43099</v>
      </c>
      <c r="BR694">
        <f>'Revenue drivers'!BR8</f>
        <v>43465</v>
      </c>
      <c r="BS694">
        <f>'Revenue drivers'!BS8</f>
        <v>43830</v>
      </c>
      <c r="BT694">
        <f>'Revenue drivers'!BT8</f>
        <v>44196</v>
      </c>
      <c r="BU694">
        <f>'Revenue drivers'!BU8</f>
        <v>44561</v>
      </c>
      <c r="BV694">
        <f>'Revenue drivers'!BV8</f>
        <v>44926</v>
      </c>
      <c r="BW694">
        <f>'Revenue drivers'!BW8</f>
        <v>45291</v>
      </c>
      <c r="BX694">
        <f>'Revenue drivers'!BX8</f>
        <v>45657</v>
      </c>
      <c r="BY694">
        <f>'Revenue drivers'!BY8</f>
        <v>46022</v>
      </c>
    </row>
    <row r="695" spans="9:77" ht="11.25" customHeight="1">
      <c r="I695">
        <f>'Revenue drivers'!I9</f>
        <v>0</v>
      </c>
      <c r="J695">
        <f>'Revenue drivers'!J9</f>
        <v>0</v>
      </c>
      <c r="K695">
        <f>'Revenue drivers'!K9</f>
        <v>0</v>
      </c>
      <c r="L695">
        <f>'Revenue drivers'!L9</f>
        <v>0</v>
      </c>
      <c r="M695">
        <f>'Revenue drivers'!M9</f>
        <v>0</v>
      </c>
      <c r="N695">
        <f>'Revenue drivers'!N9</f>
        <v>0</v>
      </c>
      <c r="O695">
        <f>'Revenue drivers'!O9</f>
        <v>0</v>
      </c>
      <c r="P695">
        <f>'Revenue drivers'!P9</f>
        <v>0</v>
      </c>
      <c r="Q695">
        <f>'Revenue drivers'!Q9</f>
        <v>0</v>
      </c>
      <c r="R695">
        <f>'Revenue drivers'!R9</f>
        <v>0</v>
      </c>
      <c r="S695">
        <f>'Revenue drivers'!S9</f>
        <v>0</v>
      </c>
      <c r="T695">
        <f>'Revenue drivers'!T9</f>
        <v>0</v>
      </c>
      <c r="U695">
        <f>'Revenue drivers'!U9</f>
        <v>0</v>
      </c>
      <c r="V695">
        <f>'Revenue drivers'!V9</f>
        <v>0</v>
      </c>
      <c r="W695">
        <f>'Revenue drivers'!W9</f>
        <v>0</v>
      </c>
      <c r="X695">
        <f>'Revenue drivers'!X9</f>
        <v>0</v>
      </c>
      <c r="Y695">
        <f>'Revenue drivers'!Y9</f>
        <v>0</v>
      </c>
      <c r="Z695">
        <f>'Revenue drivers'!Z9</f>
        <v>0</v>
      </c>
      <c r="AA695">
        <f>'Revenue drivers'!AA9</f>
        <v>0</v>
      </c>
      <c r="AB695">
        <f>'Revenue drivers'!AB9</f>
        <v>0</v>
      </c>
      <c r="AC695">
        <f>'Revenue drivers'!AC9</f>
        <v>0</v>
      </c>
      <c r="AD695">
        <f>'Revenue drivers'!AD9</f>
        <v>0</v>
      </c>
      <c r="AE695">
        <f>'Revenue drivers'!AE9</f>
        <v>0</v>
      </c>
      <c r="AF695">
        <f>'Revenue drivers'!AF9</f>
        <v>0</v>
      </c>
      <c r="AG695">
        <f>'Revenue drivers'!AG9</f>
        <v>0</v>
      </c>
      <c r="AH695">
        <f>'Revenue drivers'!AH9</f>
        <v>0</v>
      </c>
      <c r="AI695">
        <f>'Revenue drivers'!AI9</f>
        <v>0</v>
      </c>
      <c r="AJ695">
        <f>'Revenue drivers'!AJ9</f>
        <v>0</v>
      </c>
      <c r="AK695">
        <f>'Revenue drivers'!AK9</f>
        <v>0</v>
      </c>
      <c r="AL695">
        <f>'Revenue drivers'!AL9</f>
        <v>0</v>
      </c>
      <c r="AM695">
        <f>'Revenue drivers'!AM9</f>
        <v>0</v>
      </c>
      <c r="AN695">
        <f>'Revenue drivers'!AN9</f>
        <v>0</v>
      </c>
      <c r="AO695">
        <f>'Revenue drivers'!AO9</f>
        <v>0</v>
      </c>
      <c r="AP695">
        <f>'Revenue drivers'!AP9</f>
        <v>0</v>
      </c>
      <c r="AQ695">
        <f>'Revenue drivers'!AQ9</f>
        <v>0</v>
      </c>
      <c r="AR695">
        <f>'Revenue drivers'!AR9</f>
        <v>0</v>
      </c>
      <c r="AS695">
        <f>'Revenue drivers'!AS9</f>
        <v>0</v>
      </c>
      <c r="AT695">
        <f>'Revenue drivers'!AT9</f>
        <v>0</v>
      </c>
      <c r="AU695">
        <f>'Revenue drivers'!AU9</f>
        <v>0</v>
      </c>
      <c r="AV695">
        <f>'Revenue drivers'!AV9</f>
        <v>0</v>
      </c>
      <c r="AW695">
        <f>'Revenue drivers'!AW9</f>
        <v>0</v>
      </c>
      <c r="AX695">
        <f>'Revenue drivers'!AX9</f>
        <v>0</v>
      </c>
      <c r="AY695">
        <f>'Revenue drivers'!AY9</f>
        <v>0</v>
      </c>
      <c r="AZ695">
        <f>'Revenue drivers'!AZ9</f>
        <v>0</v>
      </c>
      <c r="BA695">
        <f>'Revenue drivers'!BA9</f>
        <v>0</v>
      </c>
      <c r="BB695">
        <f>'Revenue drivers'!BB9</f>
        <v>0</v>
      </c>
      <c r="BC695">
        <f>'Revenue drivers'!BC9</f>
        <v>0</v>
      </c>
      <c r="BD695">
        <f>'Revenue drivers'!BD9</f>
        <v>0</v>
      </c>
      <c r="BE695">
        <f>'Revenue drivers'!BE9</f>
        <v>0</v>
      </c>
      <c r="BF695">
        <f>'Revenue drivers'!BF9</f>
        <v>0</v>
      </c>
      <c r="BG695">
        <f>'Revenue drivers'!BG9</f>
        <v>0</v>
      </c>
      <c r="BH695">
        <f>'Revenue drivers'!BH9</f>
        <v>0</v>
      </c>
      <c r="BI695">
        <f>'Revenue drivers'!BI9</f>
        <v>0</v>
      </c>
      <c r="BJ695">
        <f>'Revenue drivers'!BJ9</f>
        <v>0</v>
      </c>
      <c r="BK695">
        <f>'Revenue drivers'!BK9</f>
        <v>0</v>
      </c>
      <c r="BL695">
        <f>'Revenue drivers'!BL9</f>
        <v>0</v>
      </c>
      <c r="BM695">
        <f>'Revenue drivers'!BM9</f>
        <v>0</v>
      </c>
      <c r="BN695">
        <f>'Revenue drivers'!BN9</f>
        <v>0</v>
      </c>
      <c r="BO695">
        <f>'Revenue drivers'!BO9</f>
        <v>0</v>
      </c>
      <c r="BP695">
        <f>'Revenue drivers'!BP9</f>
        <v>0</v>
      </c>
      <c r="BQ695">
        <f>'Revenue drivers'!BQ9</f>
        <v>0</v>
      </c>
      <c r="BR695">
        <f>'Revenue drivers'!BR9</f>
        <v>0</v>
      </c>
      <c r="BS695">
        <f>'Revenue drivers'!BS9</f>
        <v>0</v>
      </c>
      <c r="BT695">
        <f>'Revenue drivers'!BT9</f>
        <v>0</v>
      </c>
      <c r="BU695">
        <f>'Revenue drivers'!BU9</f>
        <v>0</v>
      </c>
      <c r="BV695">
        <f>'Revenue drivers'!BV9</f>
        <v>0</v>
      </c>
      <c r="BW695">
        <f>'Revenue drivers'!BW9</f>
        <v>0</v>
      </c>
      <c r="BX695">
        <f>'Revenue drivers'!BX9</f>
        <v>0</v>
      </c>
      <c r="BY695">
        <f>'Revenue drivers'!BY9</f>
        <v>0</v>
      </c>
    </row>
    <row r="696" spans="9:77" ht="11.25" customHeight="1">
      <c r="I696" t="str">
        <f>'Revenue drivers'!I10</f>
        <v>REVENUE SUMMARY</v>
      </c>
      <c r="J696">
        <f>'Revenue drivers'!J10</f>
        <v>0</v>
      </c>
      <c r="K696">
        <f>'Revenue drivers'!K10</f>
        <v>0</v>
      </c>
      <c r="L696">
        <f>'Revenue drivers'!L10</f>
        <v>0</v>
      </c>
      <c r="M696">
        <f>'Revenue drivers'!M10</f>
        <v>0</v>
      </c>
      <c r="N696">
        <f>'Revenue drivers'!N10</f>
        <v>0</v>
      </c>
      <c r="O696">
        <f>'Revenue drivers'!O10</f>
        <v>0</v>
      </c>
      <c r="P696">
        <f>'Revenue drivers'!P10</f>
        <v>0</v>
      </c>
      <c r="Q696">
        <f>'Revenue drivers'!Q10</f>
        <v>0</v>
      </c>
      <c r="R696">
        <f>'Revenue drivers'!R10</f>
        <v>0</v>
      </c>
      <c r="S696">
        <f>'Revenue drivers'!S10</f>
        <v>0</v>
      </c>
      <c r="T696">
        <f>'Revenue drivers'!T10</f>
        <v>0</v>
      </c>
      <c r="U696">
        <f>'Revenue drivers'!U10</f>
        <v>0</v>
      </c>
      <c r="V696">
        <f>'Revenue drivers'!V10</f>
        <v>0</v>
      </c>
      <c r="W696">
        <f>'Revenue drivers'!W10</f>
        <v>0</v>
      </c>
      <c r="X696">
        <f>'Revenue drivers'!X10</f>
        <v>0</v>
      </c>
      <c r="Y696">
        <f>'Revenue drivers'!Y10</f>
        <v>0</v>
      </c>
      <c r="Z696">
        <f>'Revenue drivers'!Z10</f>
        <v>0</v>
      </c>
      <c r="AA696">
        <f>'Revenue drivers'!AA10</f>
        <v>0</v>
      </c>
      <c r="AB696">
        <f>'Revenue drivers'!AB10</f>
        <v>0</v>
      </c>
      <c r="AC696">
        <f>'Revenue drivers'!AC10</f>
        <v>0</v>
      </c>
      <c r="AD696">
        <f>'Revenue drivers'!AD10</f>
        <v>0</v>
      </c>
      <c r="AE696">
        <f>'Revenue drivers'!AE10</f>
        <v>0</v>
      </c>
      <c r="AF696">
        <f>'Revenue drivers'!AF10</f>
        <v>0</v>
      </c>
      <c r="AG696">
        <f>'Revenue drivers'!AG10</f>
        <v>0</v>
      </c>
      <c r="AH696">
        <f>'Revenue drivers'!AH10</f>
        <v>0</v>
      </c>
      <c r="AI696">
        <f>'Revenue drivers'!AI10</f>
        <v>0</v>
      </c>
      <c r="AJ696">
        <f>'Revenue drivers'!AJ10</f>
        <v>0</v>
      </c>
      <c r="AK696">
        <f>'Revenue drivers'!AK10</f>
        <v>0</v>
      </c>
      <c r="AL696">
        <f>'Revenue drivers'!AL10</f>
        <v>0</v>
      </c>
      <c r="AM696">
        <f>'Revenue drivers'!AM10</f>
        <v>0</v>
      </c>
      <c r="AN696">
        <f>'Revenue drivers'!AN10</f>
        <v>0</v>
      </c>
      <c r="AO696">
        <f>'Revenue drivers'!AO10</f>
        <v>0</v>
      </c>
      <c r="AP696">
        <f>'Revenue drivers'!AP10</f>
        <v>0</v>
      </c>
      <c r="AQ696">
        <f>'Revenue drivers'!AQ10</f>
        <v>0</v>
      </c>
      <c r="AR696">
        <f>'Revenue drivers'!AR10</f>
        <v>0</v>
      </c>
      <c r="AS696">
        <f>'Revenue drivers'!AS10</f>
        <v>0</v>
      </c>
      <c r="AT696">
        <f>'Revenue drivers'!AT10</f>
        <v>0</v>
      </c>
      <c r="AU696">
        <f>'Revenue drivers'!AU10</f>
        <v>0</v>
      </c>
      <c r="AV696">
        <f>'Revenue drivers'!AV10</f>
        <v>0</v>
      </c>
      <c r="AW696">
        <f>'Revenue drivers'!AW10</f>
        <v>0</v>
      </c>
      <c r="AX696">
        <f>'Revenue drivers'!AX10</f>
        <v>0</v>
      </c>
      <c r="AY696">
        <f>'Revenue drivers'!AY10</f>
        <v>0</v>
      </c>
      <c r="AZ696">
        <f>'Revenue drivers'!AZ10</f>
        <v>0</v>
      </c>
      <c r="BA696">
        <f>'Revenue drivers'!BA10</f>
        <v>0</v>
      </c>
      <c r="BB696">
        <f>'Revenue drivers'!BB10</f>
        <v>0</v>
      </c>
      <c r="BC696">
        <f>'Revenue drivers'!BC10</f>
        <v>0</v>
      </c>
      <c r="BD696">
        <f>'Revenue drivers'!BD10</f>
        <v>0</v>
      </c>
      <c r="BE696">
        <f>'Revenue drivers'!BE10</f>
        <v>0</v>
      </c>
      <c r="BF696">
        <f>'Revenue drivers'!BF10</f>
        <v>0</v>
      </c>
      <c r="BG696">
        <f>'Revenue drivers'!BG10</f>
        <v>0</v>
      </c>
      <c r="BH696">
        <f>'Revenue drivers'!BH10</f>
        <v>0</v>
      </c>
      <c r="BI696">
        <f>'Revenue drivers'!BI10</f>
        <v>0</v>
      </c>
      <c r="BJ696">
        <f>'Revenue drivers'!BJ10</f>
        <v>0</v>
      </c>
      <c r="BK696">
        <f>'Revenue drivers'!BK10</f>
        <v>0</v>
      </c>
      <c r="BL696">
        <f>'Revenue drivers'!BL10</f>
        <v>0</v>
      </c>
      <c r="BM696">
        <f>'Revenue drivers'!BM10</f>
        <v>0</v>
      </c>
      <c r="BN696">
        <f>'Revenue drivers'!BN10</f>
        <v>0</v>
      </c>
      <c r="BO696">
        <f>'Revenue drivers'!BO10</f>
        <v>0</v>
      </c>
      <c r="BP696">
        <f>'Revenue drivers'!BP10</f>
        <v>0</v>
      </c>
      <c r="BQ696">
        <f>'Revenue drivers'!BQ10</f>
        <v>0</v>
      </c>
      <c r="BR696">
        <f>'Revenue drivers'!BR10</f>
        <v>0</v>
      </c>
      <c r="BS696">
        <f>'Revenue drivers'!BS10</f>
        <v>0</v>
      </c>
      <c r="BT696">
        <f>'Revenue drivers'!BT10</f>
        <v>0</v>
      </c>
      <c r="BU696">
        <f>'Revenue drivers'!BU10</f>
        <v>0</v>
      </c>
      <c r="BV696">
        <f>'Revenue drivers'!BV10</f>
        <v>0</v>
      </c>
      <c r="BW696">
        <f>'Revenue drivers'!BW10</f>
        <v>0</v>
      </c>
      <c r="BX696">
        <f>'Revenue drivers'!BX10</f>
        <v>0</v>
      </c>
      <c r="BY696">
        <f>'Revenue drivers'!BY10</f>
        <v>0</v>
      </c>
    </row>
    <row r="697" spans="9:77" ht="11.25" customHeight="1">
      <c r="I697">
        <f>'Revenue drivers'!I11</f>
        <v>0</v>
      </c>
      <c r="J697">
        <f>'Revenue drivers'!J11</f>
        <v>0</v>
      </c>
      <c r="K697">
        <f>'Revenue drivers'!K11</f>
        <v>0</v>
      </c>
      <c r="L697">
        <f>'Revenue drivers'!L11</f>
        <v>0</v>
      </c>
      <c r="M697">
        <f>'Revenue drivers'!M11</f>
        <v>0</v>
      </c>
      <c r="N697">
        <f>'Revenue drivers'!N11</f>
        <v>0</v>
      </c>
      <c r="O697">
        <f>'Revenue drivers'!O11</f>
        <v>0</v>
      </c>
      <c r="P697">
        <f>'Revenue drivers'!P11</f>
        <v>0</v>
      </c>
      <c r="Q697">
        <f>'Revenue drivers'!Q11</f>
        <v>0</v>
      </c>
      <c r="R697">
        <f>'Revenue drivers'!R11</f>
        <v>0</v>
      </c>
      <c r="S697">
        <f>'Revenue drivers'!S11</f>
        <v>0</v>
      </c>
      <c r="T697">
        <f>'Revenue drivers'!T11</f>
        <v>0</v>
      </c>
      <c r="U697">
        <f>'Revenue drivers'!U11</f>
        <v>0</v>
      </c>
      <c r="V697">
        <f>'Revenue drivers'!V11</f>
        <v>0</v>
      </c>
      <c r="W697">
        <f>'Revenue drivers'!W11</f>
        <v>0</v>
      </c>
      <c r="X697">
        <f>'Revenue drivers'!X11</f>
        <v>0</v>
      </c>
      <c r="Y697">
        <f>'Revenue drivers'!Y11</f>
        <v>0</v>
      </c>
      <c r="Z697">
        <f>'Revenue drivers'!Z11</f>
        <v>0</v>
      </c>
      <c r="AA697">
        <f>'Revenue drivers'!AA11</f>
        <v>0</v>
      </c>
      <c r="AB697">
        <f>'Revenue drivers'!AB11</f>
        <v>0</v>
      </c>
      <c r="AC697">
        <f>'Revenue drivers'!AC11</f>
        <v>0</v>
      </c>
      <c r="AD697">
        <f>'Revenue drivers'!AD11</f>
        <v>0</v>
      </c>
      <c r="AE697">
        <f>'Revenue drivers'!AE11</f>
        <v>0</v>
      </c>
      <c r="AF697">
        <f>'Revenue drivers'!AF11</f>
        <v>0</v>
      </c>
      <c r="AG697">
        <f>'Revenue drivers'!AG11</f>
        <v>0</v>
      </c>
      <c r="AH697">
        <f>'Revenue drivers'!AH11</f>
        <v>0</v>
      </c>
      <c r="AI697">
        <f>'Revenue drivers'!AI11</f>
        <v>0</v>
      </c>
      <c r="AJ697">
        <f>'Revenue drivers'!AJ11</f>
        <v>0</v>
      </c>
      <c r="AK697">
        <f>'Revenue drivers'!AK11</f>
        <v>0</v>
      </c>
      <c r="AL697">
        <f>'Revenue drivers'!AL11</f>
        <v>0</v>
      </c>
      <c r="AM697">
        <f>'Revenue drivers'!AM11</f>
        <v>0</v>
      </c>
      <c r="AN697">
        <f>'Revenue drivers'!AN11</f>
        <v>0</v>
      </c>
      <c r="AO697">
        <f>'Revenue drivers'!AO11</f>
        <v>0</v>
      </c>
      <c r="AP697">
        <f>'Revenue drivers'!AP11</f>
        <v>0</v>
      </c>
      <c r="AQ697">
        <f>'Revenue drivers'!AQ11</f>
        <v>0</v>
      </c>
      <c r="AR697">
        <f>'Revenue drivers'!AR11</f>
        <v>0</v>
      </c>
      <c r="AS697">
        <f>'Revenue drivers'!AS11</f>
        <v>0</v>
      </c>
      <c r="AT697">
        <f>'Revenue drivers'!AT11</f>
        <v>0</v>
      </c>
      <c r="AU697">
        <f>'Revenue drivers'!AU11</f>
        <v>0</v>
      </c>
      <c r="AV697">
        <f>'Revenue drivers'!AV11</f>
        <v>0</v>
      </c>
      <c r="AW697">
        <f>'Revenue drivers'!AW11</f>
        <v>0</v>
      </c>
      <c r="AX697">
        <f>'Revenue drivers'!AX11</f>
        <v>0</v>
      </c>
      <c r="AY697">
        <f>'Revenue drivers'!AY11</f>
        <v>0</v>
      </c>
      <c r="AZ697">
        <f>'Revenue drivers'!AZ11</f>
        <v>0</v>
      </c>
      <c r="BA697">
        <f>'Revenue drivers'!BA11</f>
        <v>0</v>
      </c>
      <c r="BB697">
        <f>'Revenue drivers'!BB11</f>
        <v>0</v>
      </c>
      <c r="BC697">
        <f>'Revenue drivers'!BC11</f>
        <v>0</v>
      </c>
      <c r="BD697">
        <f>'Revenue drivers'!BD11</f>
        <v>0</v>
      </c>
      <c r="BE697">
        <f>'Revenue drivers'!BE11</f>
        <v>0</v>
      </c>
      <c r="BF697">
        <f>'Revenue drivers'!BF11</f>
        <v>0</v>
      </c>
      <c r="BG697">
        <f>'Revenue drivers'!BG11</f>
        <v>0</v>
      </c>
      <c r="BH697">
        <f>'Revenue drivers'!BH11</f>
        <v>0</v>
      </c>
      <c r="BI697">
        <f>'Revenue drivers'!BI11</f>
        <v>0</v>
      </c>
      <c r="BJ697">
        <f>'Revenue drivers'!BJ11</f>
        <v>0</v>
      </c>
      <c r="BK697">
        <f>'Revenue drivers'!BK11</f>
        <v>0</v>
      </c>
      <c r="BL697">
        <f>'Revenue drivers'!BL11</f>
        <v>0</v>
      </c>
      <c r="BM697">
        <f>'Revenue drivers'!BM11</f>
        <v>0</v>
      </c>
      <c r="BN697">
        <f>'Revenue drivers'!BN11</f>
        <v>0</v>
      </c>
      <c r="BO697">
        <f>'Revenue drivers'!BO11</f>
        <v>0</v>
      </c>
      <c r="BP697">
        <f>'Revenue drivers'!BP11</f>
        <v>0</v>
      </c>
      <c r="BQ697">
        <f>'Revenue drivers'!BQ11</f>
        <v>0</v>
      </c>
      <c r="BR697">
        <f>'Revenue drivers'!BR11</f>
        <v>0</v>
      </c>
      <c r="BS697">
        <f>'Revenue drivers'!BS11</f>
        <v>0</v>
      </c>
      <c r="BT697">
        <f>'Revenue drivers'!BT11</f>
        <v>0</v>
      </c>
      <c r="BU697">
        <f>'Revenue drivers'!BU11</f>
        <v>0</v>
      </c>
      <c r="BV697">
        <f>'Revenue drivers'!BV11</f>
        <v>0</v>
      </c>
      <c r="BW697">
        <f>'Revenue drivers'!BW11</f>
        <v>0</v>
      </c>
      <c r="BX697">
        <f>'Revenue drivers'!BX11</f>
        <v>0</v>
      </c>
      <c r="BY697">
        <f>'Revenue drivers'!BY11</f>
        <v>0</v>
      </c>
    </row>
    <row r="698" spans="9:77" ht="11.25" customHeight="1">
      <c r="I698" t="str">
        <f>'Revenue drivers'!I12</f>
        <v>Total revenue</v>
      </c>
      <c r="J698">
        <f>'Revenue drivers'!J12</f>
        <v>0</v>
      </c>
      <c r="K698">
        <f>'Revenue drivers'!K12</f>
        <v>0</v>
      </c>
      <c r="L698">
        <f>'Revenue drivers'!L12</f>
        <v>0</v>
      </c>
      <c r="M698">
        <f>'Revenue drivers'!M12</f>
        <v>9.1359999999999992</v>
      </c>
      <c r="N698">
        <f>'Revenue drivers'!N12</f>
        <v>10.726999999999999</v>
      </c>
      <c r="O698">
        <f>'Revenue drivers'!O12</f>
        <v>12.594000000000001</v>
      </c>
      <c r="P698">
        <f>'Revenue drivers'!P12</f>
        <v>15.274000000000001</v>
      </c>
      <c r="Q698">
        <f>'Revenue drivers'!Q12</f>
        <v>16.5</v>
      </c>
      <c r="R698">
        <f>'Revenue drivers'!R12</f>
        <v>19.577999999999999</v>
      </c>
      <c r="S698">
        <f>'Revenue drivers'!S12</f>
        <v>22.302</v>
      </c>
      <c r="T698">
        <f>'Revenue drivers'!T12</f>
        <v>24.905000000000001</v>
      </c>
      <c r="U698">
        <f>'Revenue drivers'!U12</f>
        <v>27.384999999999998</v>
      </c>
      <c r="V698">
        <f>'Revenue drivers'!V12</f>
        <v>32.652999999999999</v>
      </c>
      <c r="W698">
        <f>'Revenue drivers'!W12</f>
        <v>36.371000000000002</v>
      </c>
      <c r="X698">
        <f>'Revenue drivers'!X12</f>
        <v>41.156999999999996</v>
      </c>
      <c r="Y698">
        <f>'Revenue drivers'!Y12</f>
        <v>46.133000000000003</v>
      </c>
      <c r="Z698">
        <f>'Revenue drivers'!Z12</f>
        <v>55.023000000000003</v>
      </c>
      <c r="AA698">
        <f>'Revenue drivers'!AA12</f>
        <v>61.180999999999997</v>
      </c>
      <c r="AB698">
        <f>'Revenue drivers'!AB12</f>
        <v>70.650999999999996</v>
      </c>
      <c r="AC698">
        <f>'Revenue drivers'!AC12</f>
        <v>76.406999999999996</v>
      </c>
      <c r="AD698">
        <f>'Revenue drivers'!AD12</f>
        <v>88.787000000000006</v>
      </c>
      <c r="AE698">
        <f>'Revenue drivers'!AE12</f>
        <v>102.455</v>
      </c>
      <c r="AF698">
        <f>'Revenue drivers'!AF12</f>
        <v>109.887</v>
      </c>
      <c r="AG698">
        <f>'Revenue drivers'!AG12</f>
        <v>111.8</v>
      </c>
      <c r="AH698">
        <f>'Revenue drivers'!AH12</f>
        <v>125.6</v>
      </c>
      <c r="AI698">
        <f>'Revenue drivers'!AI12</f>
        <v>134.6</v>
      </c>
      <c r="AJ698">
        <f>'Revenue drivers'!AJ12</f>
        <v>146.69999999999999</v>
      </c>
      <c r="AK698">
        <f>'Revenue drivers'!AK12</f>
        <v>158.613</v>
      </c>
      <c r="AL698">
        <f>'Revenue drivers'!AL12</f>
        <v>173.428</v>
      </c>
      <c r="AM698">
        <f>'Revenue drivers'!AM12</f>
        <v>186.232</v>
      </c>
      <c r="AN698">
        <f>'Revenue drivers'!AN12</f>
        <v>194.79599999999999</v>
      </c>
      <c r="AO698">
        <f>'Revenue drivers'!AO12</f>
        <v>197.32300000000001</v>
      </c>
      <c r="AP698">
        <f>'Revenue drivers'!AP12</f>
        <v>208.864</v>
      </c>
      <c r="AQ698">
        <f>'Revenue drivers'!AQ12</f>
        <v>222.38</v>
      </c>
      <c r="AR698">
        <f>'Revenue drivers'!AR12</f>
        <v>218.24600000000001</v>
      </c>
      <c r="AS698">
        <f>'Revenue drivers'!AS12</f>
        <v>221.2</v>
      </c>
      <c r="AT698">
        <f>'Revenue drivers'!AT12</f>
        <v>231.4</v>
      </c>
      <c r="AU698">
        <f>'Revenue drivers'!AU12</f>
        <v>248</v>
      </c>
      <c r="AV698">
        <f>'Revenue drivers'!AV12</f>
        <v>259.39999999999998</v>
      </c>
      <c r="AW698">
        <f>'Revenue drivers'!AW12</f>
        <v>262.2</v>
      </c>
      <c r="AX698">
        <f>'Revenue drivers'!AX12</f>
        <v>271</v>
      </c>
      <c r="AY698">
        <f>'Revenue drivers'!AY12</f>
        <v>286.8</v>
      </c>
      <c r="AZ698">
        <f>'Revenue drivers'!AZ12</f>
        <v>296.39999999999998</v>
      </c>
      <c r="BA698">
        <f>'Revenue drivers'!BA12</f>
        <v>298.39999999999998</v>
      </c>
      <c r="BB698">
        <f>'Revenue drivers'!BB12</f>
        <v>307.40000000000003</v>
      </c>
      <c r="BC698">
        <f>'Revenue drivers'!BC12</f>
        <v>322.8</v>
      </c>
      <c r="BD698">
        <f>'Revenue drivers'!BD12</f>
        <v>332</v>
      </c>
      <c r="BE698">
        <f>'Revenue drivers'!BE12</f>
        <v>0</v>
      </c>
      <c r="BF698">
        <f>'Revenue drivers'!BF12</f>
        <v>0.443</v>
      </c>
      <c r="BG698">
        <f>'Revenue drivers'!BG12</f>
        <v>3.7450000000000001</v>
      </c>
      <c r="BH698">
        <f>'Revenue drivers'!BH12</f>
        <v>12.139000000000001</v>
      </c>
      <c r="BI698">
        <f>'Revenue drivers'!BI12</f>
        <v>25.808000000000003</v>
      </c>
      <c r="BJ698">
        <f>'Revenue drivers'!BJ12</f>
        <v>47.731000000000002</v>
      </c>
      <c r="BK698">
        <f>'Revenue drivers'!BK12</f>
        <v>83.284999999999997</v>
      </c>
      <c r="BL698">
        <f>'Revenue drivers'!BL12</f>
        <v>137.56599999999997</v>
      </c>
      <c r="BM698">
        <f>'Revenue drivers'!BM12</f>
        <v>232.988</v>
      </c>
      <c r="BN698">
        <f>'Revenue drivers'!BN12</f>
        <v>377.536</v>
      </c>
      <c r="BO698">
        <f>'Revenue drivers'!BO12</f>
        <v>518.70000000000005</v>
      </c>
      <c r="BP698">
        <f>'Revenue drivers'!BP12</f>
        <v>713.06899999999996</v>
      </c>
      <c r="BQ698">
        <f>'Revenue drivers'!BQ12</f>
        <v>846.81299999999999</v>
      </c>
      <c r="BR698">
        <f>'Revenue drivers'!BR12</f>
        <v>960</v>
      </c>
      <c r="BS698">
        <f>'Revenue drivers'!BS12</f>
        <v>1116.4000000000001</v>
      </c>
      <c r="BT698">
        <f>'Revenue drivers'!BT12</f>
        <v>1260.5999999999999</v>
      </c>
      <c r="BU698">
        <f>'Revenue drivers'!BU12</f>
        <v>1400.6</v>
      </c>
      <c r="BV698">
        <f>'Revenue drivers'!BV12</f>
        <v>1537.6</v>
      </c>
      <c r="BW698">
        <f>'Revenue drivers'!BW12</f>
        <v>1670.6</v>
      </c>
      <c r="BX698">
        <f>'Revenue drivers'!BX12</f>
        <v>1799.6</v>
      </c>
      <c r="BY698">
        <f>'Revenue drivers'!BY12</f>
        <v>1925.6</v>
      </c>
    </row>
    <row r="699" spans="9:77" ht="11.25" customHeight="1">
      <c r="I699" t="str">
        <f>'Revenue drivers'!I15</f>
        <v>% change Y/Y</v>
      </c>
      <c r="J699">
        <f>'Revenue drivers'!J15</f>
        <v>0</v>
      </c>
      <c r="K699">
        <f>'Revenue drivers'!K15</f>
        <v>0</v>
      </c>
      <c r="L699">
        <f>'Revenue drivers'!L15</f>
        <v>0</v>
      </c>
      <c r="M699">
        <f>'Revenue drivers'!M15</f>
        <v>0</v>
      </c>
      <c r="N699" t="str">
        <f>'Revenue drivers'!N15</f>
        <v>NA</v>
      </c>
      <c r="O699" t="str">
        <f>'Revenue drivers'!O15</f>
        <v>NA</v>
      </c>
      <c r="P699" t="str">
        <f>'Revenue drivers'!P15</f>
        <v>NA</v>
      </c>
      <c r="Q699">
        <f>'Revenue drivers'!Q15</f>
        <v>0.80604203152364295</v>
      </c>
      <c r="R699">
        <f>'Revenue drivers'!R15</f>
        <v>0.82511419781858875</v>
      </c>
      <c r="S699">
        <f>'Revenue drivers'!S15</f>
        <v>0.77084325869461634</v>
      </c>
      <c r="T699">
        <f>'Revenue drivers'!T15</f>
        <v>0.6305486447557942</v>
      </c>
      <c r="U699">
        <f>'Revenue drivers'!U15</f>
        <v>0.65969696969696967</v>
      </c>
      <c r="V699">
        <f>'Revenue drivers'!V15</f>
        <v>0.66784145469404432</v>
      </c>
      <c r="W699">
        <f>'Revenue drivers'!W15</f>
        <v>0.6308402833826563</v>
      </c>
      <c r="X699">
        <f>'Revenue drivers'!X15</f>
        <v>0.65255972696245723</v>
      </c>
      <c r="Y699">
        <f>'Revenue drivers'!Y15</f>
        <v>0.68460836224210353</v>
      </c>
      <c r="Z699">
        <f>'Revenue drivers'!Z15</f>
        <v>0.68508253452975243</v>
      </c>
      <c r="AA699">
        <f>'Revenue drivers'!AA15</f>
        <v>0.68213686728437484</v>
      </c>
      <c r="AB699">
        <f>'Revenue drivers'!AB15</f>
        <v>0.71662171684039166</v>
      </c>
      <c r="AC699">
        <f>'Revenue drivers'!AC15</f>
        <v>0.65623306526781255</v>
      </c>
      <c r="AD699">
        <f>'Revenue drivers'!AD15</f>
        <v>0.61363429838431194</v>
      </c>
      <c r="AE699">
        <f>'Revenue drivers'!AE15</f>
        <v>0.67462120592994568</v>
      </c>
      <c r="AF699">
        <f>'Revenue drivers'!AF15</f>
        <v>0.55534953503842832</v>
      </c>
      <c r="AG699">
        <f>'Revenue drivers'!AG15</f>
        <v>0.46321672098106204</v>
      </c>
      <c r="AH699">
        <f>'Revenue drivers'!AH15</f>
        <v>0.41462150990572932</v>
      </c>
      <c r="AI699">
        <f>'Revenue drivers'!AI15</f>
        <v>0.31374749890195686</v>
      </c>
      <c r="AJ699">
        <f>'Revenue drivers'!AJ15</f>
        <v>0.33500778072019433</v>
      </c>
      <c r="AK699">
        <f>'Revenue drivers'!AK15</f>
        <v>0.41872093023255808</v>
      </c>
      <c r="AL699">
        <f>'Revenue drivers'!AL15</f>
        <v>0.38079617834394908</v>
      </c>
      <c r="AM699">
        <f>'Revenue drivers'!AM15</f>
        <v>0.38359583952451715</v>
      </c>
      <c r="AN699">
        <f>'Revenue drivers'!AN15</f>
        <v>0.32785276073619629</v>
      </c>
      <c r="AO699">
        <f>'Revenue drivers'!AO15</f>
        <v>0.24405313561940067</v>
      </c>
      <c r="AP699">
        <f>'Revenue drivers'!AP15</f>
        <v>0.20432686763383079</v>
      </c>
      <c r="AQ699">
        <f>'Revenue drivers'!AQ15</f>
        <v>0.19410198032561543</v>
      </c>
      <c r="AR699">
        <f>'Revenue drivers'!AR15</f>
        <v>0.12038234871352604</v>
      </c>
      <c r="AS699">
        <f>'Revenue drivers'!AS15</f>
        <v>0.12100464720280946</v>
      </c>
      <c r="AT699">
        <f>'Revenue drivers'!AT15</f>
        <v>0.10789796231040305</v>
      </c>
      <c r="AU699">
        <f>'Revenue drivers'!AU15</f>
        <v>0.11520820217645467</v>
      </c>
      <c r="AV699">
        <f>'Revenue drivers'!AV15</f>
        <v>0.18856702986538121</v>
      </c>
      <c r="AW699">
        <f>'Revenue drivers'!AW15</f>
        <v>0.18535262206148273</v>
      </c>
      <c r="AX699">
        <f>'Revenue drivers'!AX15</f>
        <v>0.17113223854796877</v>
      </c>
      <c r="AY699">
        <f>'Revenue drivers'!AY15</f>
        <v>0.15645161290322585</v>
      </c>
      <c r="AZ699">
        <f>'Revenue drivers'!AZ15</f>
        <v>0.14263685427910566</v>
      </c>
      <c r="BA699">
        <f>'Revenue drivers'!BA15</f>
        <v>0.13806254767353154</v>
      </c>
      <c r="BB699">
        <f>'Revenue drivers'!BB15</f>
        <v>0.13431734317343191</v>
      </c>
      <c r="BC699">
        <f>'Revenue drivers'!BC15</f>
        <v>0.12552301255230125</v>
      </c>
      <c r="BD699">
        <f>'Revenue drivers'!BD15</f>
        <v>0.12010796221322551</v>
      </c>
      <c r="BE699">
        <f>'Revenue drivers'!BE15</f>
        <v>0</v>
      </c>
      <c r="BF699">
        <f>'Revenue drivers'!BF15</f>
        <v>0</v>
      </c>
      <c r="BG699">
        <f>'Revenue drivers'!BG15</f>
        <v>7.4537246049661405</v>
      </c>
      <c r="BH699">
        <f>'Revenue drivers'!BH15</f>
        <v>2.2413885180240323</v>
      </c>
      <c r="BI699">
        <f>'Revenue drivers'!BI15</f>
        <v>1.1260400362468079</v>
      </c>
      <c r="BJ699">
        <f>'Revenue drivers'!BJ15</f>
        <v>0.84946528208307481</v>
      </c>
      <c r="BK699">
        <f>'Revenue drivers'!BK15</f>
        <v>0.74488278058284951</v>
      </c>
      <c r="BL699">
        <f>'Revenue drivers'!BL15</f>
        <v>0.65175001500870477</v>
      </c>
      <c r="BM699">
        <f>'Revenue drivers'!BM15</f>
        <v>0.69364523210677098</v>
      </c>
      <c r="BN699">
        <f>'Revenue drivers'!BN15</f>
        <v>0.62040963483097844</v>
      </c>
      <c r="BO699">
        <f>'Revenue drivers'!BO15</f>
        <v>0.37390871334124443</v>
      </c>
      <c r="BP699">
        <f>'Revenue drivers'!BP15</f>
        <v>0.37472334682860975</v>
      </c>
      <c r="BQ699">
        <f>'Revenue drivers'!BQ15</f>
        <v>0.1875610915633692</v>
      </c>
      <c r="BR699">
        <f>'Revenue drivers'!BR15</f>
        <v>0.13366233158914653</v>
      </c>
      <c r="BS699">
        <f>'Revenue drivers'!BS15</f>
        <v>0.16291666666666682</v>
      </c>
      <c r="BT699">
        <f>'Revenue drivers'!BT15</f>
        <v>0.1291651737728412</v>
      </c>
      <c r="BU699">
        <f>'Revenue drivers'!BU15</f>
        <v>0.11105822624147232</v>
      </c>
      <c r="BV699">
        <f>'Revenue drivers'!BV15</f>
        <v>9.7815222047693773E-2</v>
      </c>
      <c r="BW699">
        <f>'Revenue drivers'!BW15</f>
        <v>8.6498439125910487E-2</v>
      </c>
      <c r="BX699">
        <f>'Revenue drivers'!BX15</f>
        <v>7.7217766072069871E-2</v>
      </c>
      <c r="BY699">
        <f>'Revenue drivers'!BY15</f>
        <v>7.0015559013113959E-2</v>
      </c>
    </row>
    <row r="700" spans="9:77" ht="11.25" customHeight="1">
      <c r="I700" t="str">
        <f>'Revenue drivers'!I16</f>
        <v>% change Q/Q</v>
      </c>
      <c r="J700">
        <f>'Revenue drivers'!J16</f>
        <v>0</v>
      </c>
      <c r="K700">
        <f>'Revenue drivers'!K16</f>
        <v>0</v>
      </c>
      <c r="L700">
        <f>'Revenue drivers'!L16</f>
        <v>0</v>
      </c>
      <c r="M700">
        <f>'Revenue drivers'!M16</f>
        <v>0</v>
      </c>
      <c r="N700">
        <f>'Revenue drivers'!N16</f>
        <v>0.17414623467600698</v>
      </c>
      <c r="O700">
        <f>'Revenue drivers'!O16</f>
        <v>0.17404679779994425</v>
      </c>
      <c r="P700">
        <f>'Revenue drivers'!P16</f>
        <v>0.21279974591075113</v>
      </c>
      <c r="Q700">
        <f>'Revenue drivers'!Q16</f>
        <v>8.0267120597093067E-2</v>
      </c>
      <c r="R700">
        <f>'Revenue drivers'!R16</f>
        <v>0.18654545454545457</v>
      </c>
      <c r="S700">
        <f>'Revenue drivers'!S16</f>
        <v>0.13913576463377253</v>
      </c>
      <c r="T700">
        <f>'Revenue drivers'!T16</f>
        <v>0.11671598959734553</v>
      </c>
      <c r="U700">
        <f>'Revenue drivers'!U16</f>
        <v>9.9578397912065686E-2</v>
      </c>
      <c r="V700">
        <f>'Revenue drivers'!V16</f>
        <v>0.19236808471791123</v>
      </c>
      <c r="W700">
        <f>'Revenue drivers'!W16</f>
        <v>0.11386396349493166</v>
      </c>
      <c r="X700">
        <f>'Revenue drivers'!X16</f>
        <v>0.13158835335844477</v>
      </c>
      <c r="Y700">
        <f>'Revenue drivers'!Y16</f>
        <v>0.12090288407804284</v>
      </c>
      <c r="Z700">
        <f>'Revenue drivers'!Z16</f>
        <v>0.1927037045065354</v>
      </c>
      <c r="AA700">
        <f>'Revenue drivers'!AA16</f>
        <v>0.11191683477818359</v>
      </c>
      <c r="AB700">
        <f>'Revenue drivers'!AB16</f>
        <v>0.1547866167601053</v>
      </c>
      <c r="AC700">
        <f>'Revenue drivers'!AC16</f>
        <v>8.1470892131746186E-2</v>
      </c>
      <c r="AD700">
        <f>'Revenue drivers'!AD16</f>
        <v>0.16202703940738417</v>
      </c>
      <c r="AE700">
        <f>'Revenue drivers'!AE16</f>
        <v>0.15394145539324433</v>
      </c>
      <c r="AF700">
        <f>'Revenue drivers'!AF16</f>
        <v>7.2539163535210616E-2</v>
      </c>
      <c r="AG700">
        <f>'Revenue drivers'!AG16</f>
        <v>1.740879266883244E-2</v>
      </c>
      <c r="AH700">
        <f>'Revenue drivers'!AH16</f>
        <v>0.1234347048300537</v>
      </c>
      <c r="AI700">
        <f>'Revenue drivers'!AI16</f>
        <v>7.1656050955414052E-2</v>
      </c>
      <c r="AJ700">
        <f>'Revenue drivers'!AJ16</f>
        <v>8.9895988112927094E-2</v>
      </c>
      <c r="AK700">
        <f>'Revenue drivers'!AK16</f>
        <v>8.120654396728022E-2</v>
      </c>
      <c r="AL700">
        <f>'Revenue drivers'!AL16</f>
        <v>9.3403441079860983E-2</v>
      </c>
      <c r="AM700">
        <f>'Revenue drivers'!AM16</f>
        <v>7.3828908826717665E-2</v>
      </c>
      <c r="AN700">
        <f>'Revenue drivers'!AN16</f>
        <v>4.5985652304652236E-2</v>
      </c>
      <c r="AO700">
        <f>'Revenue drivers'!AO16</f>
        <v>1.2972545637487398E-2</v>
      </c>
      <c r="AP700">
        <f>'Revenue drivers'!AP16</f>
        <v>5.8487860006182668E-2</v>
      </c>
      <c r="AQ700">
        <f>'Revenue drivers'!AQ16</f>
        <v>6.4711965681017336E-2</v>
      </c>
      <c r="AR700">
        <f>'Revenue drivers'!AR16</f>
        <v>-1.8589801241118753E-2</v>
      </c>
      <c r="AS700">
        <f>'Revenue drivers'!AS16</f>
        <v>1.3535185066392952E-2</v>
      </c>
      <c r="AT700">
        <f>'Revenue drivers'!AT16</f>
        <v>4.6112115732368952E-2</v>
      </c>
      <c r="AU700">
        <f>'Revenue drivers'!AU16</f>
        <v>7.1737251512532296E-2</v>
      </c>
      <c r="AV700">
        <f>'Revenue drivers'!AV16</f>
        <v>4.5967741935483808E-2</v>
      </c>
      <c r="AW700">
        <f>'Revenue drivers'!AW16</f>
        <v>1.0794140323824308E-2</v>
      </c>
      <c r="AX700">
        <f>'Revenue drivers'!AX16</f>
        <v>3.3562166285278527E-2</v>
      </c>
      <c r="AY700">
        <f>'Revenue drivers'!AY16</f>
        <v>5.8302583025830357E-2</v>
      </c>
      <c r="AZ700">
        <f>'Revenue drivers'!AZ16</f>
        <v>3.34728033472802E-2</v>
      </c>
      <c r="BA700">
        <f>'Revenue drivers'!BA16</f>
        <v>6.7476383265856477E-3</v>
      </c>
      <c r="BB700">
        <f>'Revenue drivers'!BB16</f>
        <v>3.0160857908847483E-2</v>
      </c>
      <c r="BC700">
        <f>'Revenue drivers'!BC16</f>
        <v>5.0097592713077344E-2</v>
      </c>
      <c r="BD700">
        <f>'Revenue drivers'!BD16</f>
        <v>2.8500619578686548E-2</v>
      </c>
      <c r="BE700">
        <f>'Revenue drivers'!BE16</f>
        <v>0</v>
      </c>
      <c r="BF700">
        <f>'Revenue drivers'!BF16</f>
        <v>0</v>
      </c>
      <c r="BG700">
        <f>'Revenue drivers'!BG16</f>
        <v>0</v>
      </c>
      <c r="BH700">
        <f>'Revenue drivers'!BH16</f>
        <v>0</v>
      </c>
      <c r="BI700">
        <f>'Revenue drivers'!BI16</f>
        <v>0</v>
      </c>
      <c r="BJ700">
        <f>'Revenue drivers'!BJ16</f>
        <v>0</v>
      </c>
      <c r="BK700">
        <f>'Revenue drivers'!BK16</f>
        <v>0</v>
      </c>
      <c r="BL700">
        <f>'Revenue drivers'!BL16</f>
        <v>0</v>
      </c>
      <c r="BM700">
        <f>'Revenue drivers'!BM16</f>
        <v>0</v>
      </c>
      <c r="BN700">
        <f>'Revenue drivers'!BN16</f>
        <v>0</v>
      </c>
      <c r="BO700">
        <f>'Revenue drivers'!BO16</f>
        <v>0</v>
      </c>
      <c r="BP700">
        <f>'Revenue drivers'!BP16</f>
        <v>0</v>
      </c>
      <c r="BQ700">
        <f>'Revenue drivers'!BQ16</f>
        <v>0</v>
      </c>
      <c r="BR700">
        <f>'Revenue drivers'!BR16</f>
        <v>0</v>
      </c>
      <c r="BS700">
        <f>'Revenue drivers'!BS16</f>
        <v>0</v>
      </c>
      <c r="BT700">
        <f>'Revenue drivers'!BT16</f>
        <v>0</v>
      </c>
      <c r="BU700">
        <f>'Revenue drivers'!BU16</f>
        <v>0</v>
      </c>
      <c r="BV700">
        <f>'Revenue drivers'!BV16</f>
        <v>0</v>
      </c>
      <c r="BW700">
        <f>'Revenue drivers'!BW16</f>
        <v>0</v>
      </c>
      <c r="BX700">
        <f>'Revenue drivers'!BX16</f>
        <v>0</v>
      </c>
      <c r="BY700">
        <f>'Revenue drivers'!BY16</f>
        <v>0</v>
      </c>
    </row>
    <row r="702" spans="9:77" ht="11.25" customHeight="1">
      <c r="I702" t="str">
        <f>'Revenue drivers'!I40</f>
        <v>Organic Revenue</v>
      </c>
      <c r="J702">
        <f>'Revenue drivers'!J40</f>
        <v>0</v>
      </c>
      <c r="K702">
        <f>'Revenue drivers'!K40</f>
        <v>0</v>
      </c>
      <c r="L702">
        <f>'Revenue drivers'!L40</f>
        <v>0</v>
      </c>
      <c r="M702">
        <f>'Revenue drivers'!M40</f>
        <v>0</v>
      </c>
      <c r="N702">
        <f>'Revenue drivers'!N40</f>
        <v>0</v>
      </c>
      <c r="O702">
        <f>'Revenue drivers'!O40</f>
        <v>0</v>
      </c>
      <c r="P702">
        <f>'Revenue drivers'!P40</f>
        <v>0</v>
      </c>
      <c r="Q702">
        <f>'Revenue drivers'!Q40</f>
        <v>0</v>
      </c>
      <c r="R702">
        <f>'Revenue drivers'!R40</f>
        <v>0</v>
      </c>
      <c r="S702">
        <f>'Revenue drivers'!S40</f>
        <v>0</v>
      </c>
      <c r="T702">
        <f>'Revenue drivers'!T40</f>
        <v>0</v>
      </c>
      <c r="U702">
        <f>'Revenue drivers'!U40</f>
        <v>0</v>
      </c>
      <c r="V702">
        <f>'Revenue drivers'!V40</f>
        <v>0</v>
      </c>
      <c r="W702">
        <f>'Revenue drivers'!W40</f>
        <v>0</v>
      </c>
      <c r="X702">
        <f>'Revenue drivers'!X40</f>
        <v>0</v>
      </c>
      <c r="Y702">
        <f>'Revenue drivers'!Y40</f>
        <v>0</v>
      </c>
      <c r="Z702">
        <f>'Revenue drivers'!Z40</f>
        <v>0</v>
      </c>
      <c r="AA702">
        <f>'Revenue drivers'!AA40</f>
        <v>0</v>
      </c>
      <c r="AB702">
        <f>'Revenue drivers'!AB40</f>
        <v>0</v>
      </c>
      <c r="AC702">
        <f>'Revenue drivers'!AC40</f>
        <v>0</v>
      </c>
      <c r="AD702">
        <f>'Revenue drivers'!AD40</f>
        <v>0</v>
      </c>
      <c r="AE702">
        <f>'Revenue drivers'!AE40</f>
        <v>0</v>
      </c>
      <c r="AF702">
        <f>'Revenue drivers'!AF40</f>
        <v>0</v>
      </c>
      <c r="AG702" t="e">
        <f>'Revenue drivers'!AG40</f>
        <v>#REF!</v>
      </c>
      <c r="AH702" t="e">
        <f>'Revenue drivers'!AH40</f>
        <v>#REF!</v>
      </c>
      <c r="AI702" t="e">
        <f>'Revenue drivers'!AI40</f>
        <v>#REF!</v>
      </c>
      <c r="AJ702" t="e">
        <f>'Revenue drivers'!AJ40</f>
        <v>#REF!</v>
      </c>
      <c r="AK702" t="e">
        <f>'Revenue drivers'!AK40</f>
        <v>#REF!</v>
      </c>
      <c r="AL702" t="e">
        <f>'Revenue drivers'!AL40</f>
        <v>#REF!</v>
      </c>
      <c r="AM702" t="e">
        <f>'Revenue drivers'!AM40</f>
        <v>#REF!</v>
      </c>
      <c r="AN702" t="e">
        <f>'Revenue drivers'!AN40</f>
        <v>#REF!</v>
      </c>
      <c r="AO702" t="e">
        <f>'Revenue drivers'!AO40</f>
        <v>#REF!</v>
      </c>
      <c r="AP702" t="e">
        <f>'Revenue drivers'!AP40</f>
        <v>#REF!</v>
      </c>
      <c r="AQ702" t="e">
        <f>'Revenue drivers'!AQ40</f>
        <v>#REF!</v>
      </c>
      <c r="AR702" t="e">
        <f>'Revenue drivers'!AR40</f>
        <v>#REF!</v>
      </c>
      <c r="AS702" t="e">
        <f>'Revenue drivers'!AS40</f>
        <v>#REF!</v>
      </c>
      <c r="AT702" t="e">
        <f>'Revenue drivers'!AT40</f>
        <v>#REF!</v>
      </c>
      <c r="AU702" t="e">
        <f>'Revenue drivers'!AU40</f>
        <v>#REF!</v>
      </c>
      <c r="AV702" t="e">
        <f>'Revenue drivers'!AV40</f>
        <v>#REF!</v>
      </c>
      <c r="AW702" t="e">
        <f>'Revenue drivers'!AW40</f>
        <v>#REF!</v>
      </c>
      <c r="AX702" t="e">
        <f>'Revenue drivers'!AX40</f>
        <v>#REF!</v>
      </c>
      <c r="AY702" t="e">
        <f>'Revenue drivers'!AY40</f>
        <v>#REF!</v>
      </c>
      <c r="AZ702" t="e">
        <f>'Revenue drivers'!AZ40</f>
        <v>#REF!</v>
      </c>
      <c r="BA702" t="e">
        <f>'Revenue drivers'!BA40</f>
        <v>#REF!</v>
      </c>
      <c r="BB702" t="e">
        <f>'Revenue drivers'!BB40</f>
        <v>#REF!</v>
      </c>
      <c r="BC702" t="e">
        <f>'Revenue drivers'!BC40</f>
        <v>#REF!</v>
      </c>
      <c r="BD702" t="e">
        <f>'Revenue drivers'!BD40</f>
        <v>#REF!</v>
      </c>
      <c r="BE702">
        <f>'Revenue drivers'!BE40</f>
        <v>0</v>
      </c>
      <c r="BF702">
        <f>'Revenue drivers'!BF40</f>
        <v>0</v>
      </c>
      <c r="BG702">
        <f>'Revenue drivers'!BG40</f>
        <v>0</v>
      </c>
      <c r="BH702">
        <f>'Revenue drivers'!BH40</f>
        <v>0</v>
      </c>
      <c r="BI702">
        <f>'Revenue drivers'!BI40</f>
        <v>0</v>
      </c>
      <c r="BJ702">
        <f>'Revenue drivers'!BJ40</f>
        <v>0</v>
      </c>
      <c r="BK702">
        <f>'Revenue drivers'!BK40</f>
        <v>0</v>
      </c>
      <c r="BL702">
        <f>'Revenue drivers'!BL40</f>
        <v>0</v>
      </c>
      <c r="BM702">
        <f>'Revenue drivers'!BM40</f>
        <v>0</v>
      </c>
      <c r="BN702">
        <f>'Revenue drivers'!BN40</f>
        <v>0</v>
      </c>
      <c r="BO702" t="e">
        <f>'Revenue drivers'!BO40</f>
        <v>#REF!</v>
      </c>
      <c r="BP702" t="e">
        <f>'Revenue drivers'!BP40</f>
        <v>#REF!</v>
      </c>
      <c r="BQ702" t="e">
        <f>'Revenue drivers'!BQ40</f>
        <v>#REF!</v>
      </c>
      <c r="BR702" t="e">
        <f>'Revenue drivers'!BR40</f>
        <v>#REF!</v>
      </c>
      <c r="BS702" t="e">
        <f>'Revenue drivers'!BS40</f>
        <v>#REF!</v>
      </c>
      <c r="BT702" t="e">
        <f>'Revenue drivers'!BT40</f>
        <v>#REF!</v>
      </c>
      <c r="BU702" t="e">
        <f>'Revenue drivers'!BU40</f>
        <v>#REF!</v>
      </c>
      <c r="BV702" t="e">
        <f>'Revenue drivers'!BV40</f>
        <v>#REF!</v>
      </c>
      <c r="BW702" t="e">
        <f>'Revenue drivers'!BW40</f>
        <v>#REF!</v>
      </c>
      <c r="BX702" t="e">
        <f>'Revenue drivers'!BX40</f>
        <v>#REF!</v>
      </c>
      <c r="BY702" t="e">
        <f>'Revenue drivers'!BY40</f>
        <v>#REF!</v>
      </c>
    </row>
    <row r="703" spans="9:77" ht="11.25" customHeight="1">
      <c r="I703" t="str">
        <f>'Revenue drivers'!I41</f>
        <v>% Change Y/Y</v>
      </c>
      <c r="J703">
        <f>'Revenue drivers'!J41</f>
        <v>0</v>
      </c>
      <c r="K703">
        <f>'Revenue drivers'!K41</f>
        <v>0</v>
      </c>
      <c r="L703">
        <f>'Revenue drivers'!L41</f>
        <v>0</v>
      </c>
      <c r="M703">
        <f>'Revenue drivers'!M41</f>
        <v>0</v>
      </c>
      <c r="N703">
        <f>'Revenue drivers'!N41</f>
        <v>0</v>
      </c>
      <c r="O703">
        <f>'Revenue drivers'!O41</f>
        <v>0</v>
      </c>
      <c r="P703">
        <f>'Revenue drivers'!P41</f>
        <v>0</v>
      </c>
      <c r="Q703">
        <f>'Revenue drivers'!Q41</f>
        <v>0</v>
      </c>
      <c r="R703">
        <f>'Revenue drivers'!R41</f>
        <v>0</v>
      </c>
      <c r="S703">
        <f>'Revenue drivers'!S41</f>
        <v>0</v>
      </c>
      <c r="T703">
        <f>'Revenue drivers'!T41</f>
        <v>0</v>
      </c>
      <c r="U703">
        <f>'Revenue drivers'!U41</f>
        <v>0</v>
      </c>
      <c r="V703">
        <f>'Revenue drivers'!V41</f>
        <v>0</v>
      </c>
      <c r="W703">
        <f>'Revenue drivers'!W41</f>
        <v>0</v>
      </c>
      <c r="X703">
        <f>'Revenue drivers'!X41</f>
        <v>0</v>
      </c>
      <c r="Y703">
        <f>'Revenue drivers'!Y41</f>
        <v>0</v>
      </c>
      <c r="Z703">
        <f>'Revenue drivers'!Z41</f>
        <v>0</v>
      </c>
      <c r="AA703">
        <f>'Revenue drivers'!AA41</f>
        <v>0</v>
      </c>
      <c r="AB703">
        <f>'Revenue drivers'!AB41</f>
        <v>0</v>
      </c>
      <c r="AC703">
        <f>'Revenue drivers'!AC41</f>
        <v>0</v>
      </c>
      <c r="AD703">
        <f>'Revenue drivers'!AD41</f>
        <v>0</v>
      </c>
      <c r="AE703">
        <f>'Revenue drivers'!AE41</f>
        <v>0</v>
      </c>
      <c r="AF703">
        <f>'Revenue drivers'!AF41</f>
        <v>0</v>
      </c>
      <c r="AG703" t="e">
        <f>'Revenue drivers'!AG41</f>
        <v>#REF!</v>
      </c>
      <c r="AH703" t="e">
        <f>'Revenue drivers'!AH41</f>
        <v>#REF!</v>
      </c>
      <c r="AI703" t="e">
        <f>'Revenue drivers'!AI41</f>
        <v>#REF!</v>
      </c>
      <c r="AJ703" t="e">
        <f>'Revenue drivers'!AJ41</f>
        <v>#REF!</v>
      </c>
      <c r="AK703" t="e">
        <f>'Revenue drivers'!AK41</f>
        <v>#REF!</v>
      </c>
      <c r="AL703" t="e">
        <f>'Revenue drivers'!AL41</f>
        <v>#REF!</v>
      </c>
      <c r="AM703" t="e">
        <f>'Revenue drivers'!AM41</f>
        <v>#REF!</v>
      </c>
      <c r="AN703" t="e">
        <f>'Revenue drivers'!AN41</f>
        <v>#REF!</v>
      </c>
      <c r="AO703" t="e">
        <f>'Revenue drivers'!AO41</f>
        <v>#REF!</v>
      </c>
      <c r="AP703" t="e">
        <f>'Revenue drivers'!AP41</f>
        <v>#REF!</v>
      </c>
      <c r="AQ703" t="e">
        <f>'Revenue drivers'!AQ41</f>
        <v>#REF!</v>
      </c>
      <c r="AR703" t="e">
        <f>'Revenue drivers'!AR41</f>
        <v>#REF!</v>
      </c>
      <c r="AS703" t="e">
        <f>'Revenue drivers'!AS41</f>
        <v>#REF!</v>
      </c>
      <c r="AT703" t="e">
        <f>'Revenue drivers'!AT41</f>
        <v>#REF!</v>
      </c>
      <c r="AU703" t="e">
        <f>'Revenue drivers'!AU41</f>
        <v>#REF!</v>
      </c>
      <c r="AV703" t="e">
        <f>'Revenue drivers'!AV41</f>
        <v>#REF!</v>
      </c>
      <c r="AW703" t="e">
        <f>'Revenue drivers'!AW41</f>
        <v>#REF!</v>
      </c>
      <c r="AX703" t="e">
        <f>'Revenue drivers'!AX41</f>
        <v>#REF!</v>
      </c>
      <c r="AY703" t="e">
        <f>'Revenue drivers'!AY41</f>
        <v>#REF!</v>
      </c>
      <c r="AZ703" t="e">
        <f>'Revenue drivers'!AZ41</f>
        <v>#REF!</v>
      </c>
      <c r="BA703" t="e">
        <f>'Revenue drivers'!BA41</f>
        <v>#REF!</v>
      </c>
      <c r="BB703" t="e">
        <f>'Revenue drivers'!BB41</f>
        <v>#REF!</v>
      </c>
      <c r="BC703" t="e">
        <f>'Revenue drivers'!BC41</f>
        <v>#REF!</v>
      </c>
      <c r="BD703" t="e">
        <f>'Revenue drivers'!BD41</f>
        <v>#REF!</v>
      </c>
      <c r="BE703">
        <f>'Revenue drivers'!BE41</f>
        <v>0</v>
      </c>
      <c r="BF703">
        <f>'Revenue drivers'!BF41</f>
        <v>0</v>
      </c>
      <c r="BG703">
        <f>'Revenue drivers'!BG41</f>
        <v>0</v>
      </c>
      <c r="BH703">
        <f>'Revenue drivers'!BH41</f>
        <v>0</v>
      </c>
      <c r="BI703">
        <f>'Revenue drivers'!BI41</f>
        <v>0</v>
      </c>
      <c r="BJ703">
        <f>'Revenue drivers'!BJ41</f>
        <v>0</v>
      </c>
      <c r="BK703">
        <f>'Revenue drivers'!BK41</f>
        <v>0</v>
      </c>
      <c r="BL703">
        <f>'Revenue drivers'!BL41</f>
        <v>0</v>
      </c>
      <c r="BM703">
        <f>'Revenue drivers'!BM41</f>
        <v>0</v>
      </c>
      <c r="BN703">
        <f>'Revenue drivers'!BN41</f>
        <v>0</v>
      </c>
      <c r="BO703" t="e">
        <f>'Revenue drivers'!BO41</f>
        <v>#REF!</v>
      </c>
      <c r="BP703" t="e">
        <f>'Revenue drivers'!BP41</f>
        <v>#REF!</v>
      </c>
      <c r="BQ703" t="e">
        <f>'Revenue drivers'!BQ41</f>
        <v>#REF!</v>
      </c>
      <c r="BR703" t="e">
        <f>'Revenue drivers'!BR41</f>
        <v>#REF!</v>
      </c>
      <c r="BS703" t="e">
        <f>'Revenue drivers'!BS41</f>
        <v>#REF!</v>
      </c>
      <c r="BT703" t="e">
        <f>'Revenue drivers'!BT41</f>
        <v>#REF!</v>
      </c>
      <c r="BU703" t="e">
        <f>'Revenue drivers'!BU41</f>
        <v>#REF!</v>
      </c>
      <c r="BV703" t="e">
        <f>'Revenue drivers'!BV41</f>
        <v>#REF!</v>
      </c>
      <c r="BW703" t="e">
        <f>'Revenue drivers'!BW41</f>
        <v>#REF!</v>
      </c>
      <c r="BX703" t="e">
        <f>'Revenue drivers'!BX41</f>
        <v>#REF!</v>
      </c>
      <c r="BY703" t="e">
        <f>'Revenue drivers'!BY41</f>
        <v>#REF!</v>
      </c>
    </row>
    <row r="704" spans="9:77" ht="11.25" customHeight="1">
      <c r="I704" t="str">
        <f>'Revenue drivers'!I42</f>
        <v>Eat24</v>
      </c>
      <c r="J704">
        <f>'Revenue drivers'!J42</f>
        <v>0</v>
      </c>
      <c r="K704">
        <f>'Revenue drivers'!K42</f>
        <v>0</v>
      </c>
      <c r="L704">
        <f>'Revenue drivers'!L42</f>
        <v>0</v>
      </c>
      <c r="M704">
        <f>'Revenue drivers'!M42</f>
        <v>0</v>
      </c>
      <c r="N704">
        <f>'Revenue drivers'!N42</f>
        <v>0</v>
      </c>
      <c r="O704">
        <f>'Revenue drivers'!O42</f>
        <v>0</v>
      </c>
      <c r="P704">
        <f>'Revenue drivers'!P42</f>
        <v>0</v>
      </c>
      <c r="Q704">
        <f>'Revenue drivers'!Q42</f>
        <v>0</v>
      </c>
      <c r="R704">
        <f>'Revenue drivers'!R42</f>
        <v>0</v>
      </c>
      <c r="S704">
        <f>'Revenue drivers'!S42</f>
        <v>0</v>
      </c>
      <c r="T704">
        <f>'Revenue drivers'!T42</f>
        <v>0</v>
      </c>
      <c r="U704">
        <f>'Revenue drivers'!U42</f>
        <v>0</v>
      </c>
      <c r="V704">
        <f>'Revenue drivers'!V42</f>
        <v>0</v>
      </c>
      <c r="W704">
        <f>'Revenue drivers'!W42</f>
        <v>0</v>
      </c>
      <c r="X704">
        <f>'Revenue drivers'!X42</f>
        <v>0</v>
      </c>
      <c r="Y704">
        <f>'Revenue drivers'!Y42</f>
        <v>0</v>
      </c>
      <c r="Z704">
        <f>'Revenue drivers'!Z42</f>
        <v>0</v>
      </c>
      <c r="AA704">
        <f>'Revenue drivers'!AA42</f>
        <v>0</v>
      </c>
      <c r="AB704">
        <f>'Revenue drivers'!AB42</f>
        <v>0</v>
      </c>
      <c r="AC704">
        <f>'Revenue drivers'!AC42</f>
        <v>0</v>
      </c>
      <c r="AD704" t="e">
        <f>'Revenue drivers'!AD42</f>
        <v>#REF!</v>
      </c>
      <c r="AE704" t="e">
        <f>'Revenue drivers'!AE42</f>
        <v>#REF!</v>
      </c>
      <c r="AF704">
        <f>'Revenue drivers'!AF42</f>
        <v>0</v>
      </c>
      <c r="AG704" t="e">
        <f>'Revenue drivers'!AG42</f>
        <v>#REF!</v>
      </c>
      <c r="AH704" t="e">
        <f>'Revenue drivers'!AH42</f>
        <v>#REF!</v>
      </c>
      <c r="AI704" t="e">
        <f>'Revenue drivers'!AI42</f>
        <v>#REF!</v>
      </c>
      <c r="AJ704" t="e">
        <f>'Revenue drivers'!AJ42</f>
        <v>#REF!</v>
      </c>
      <c r="AK704" t="e">
        <f>'Revenue drivers'!AK42</f>
        <v>#REF!</v>
      </c>
      <c r="AL704" t="e">
        <f>'Revenue drivers'!AL42</f>
        <v>#REF!</v>
      </c>
      <c r="AM704" t="e">
        <f>'Revenue drivers'!AM42</f>
        <v>#REF!</v>
      </c>
      <c r="AN704" t="e">
        <f>'Revenue drivers'!AN42</f>
        <v>#REF!</v>
      </c>
      <c r="AO704" t="e">
        <f>'Revenue drivers'!AO42</f>
        <v>#REF!</v>
      </c>
      <c r="AP704" t="e">
        <f>'Revenue drivers'!AP42</f>
        <v>#REF!</v>
      </c>
      <c r="AQ704" t="e">
        <f>'Revenue drivers'!AQ42</f>
        <v>#REF!</v>
      </c>
      <c r="AR704" t="e">
        <f>'Revenue drivers'!AR42</f>
        <v>#REF!</v>
      </c>
      <c r="AS704" t="e">
        <f>'Revenue drivers'!AS42</f>
        <v>#REF!</v>
      </c>
      <c r="AT704" t="e">
        <f>'Revenue drivers'!AT42</f>
        <v>#REF!</v>
      </c>
      <c r="AU704" t="e">
        <f>'Revenue drivers'!AU42</f>
        <v>#REF!</v>
      </c>
      <c r="AV704" t="e">
        <f>'Revenue drivers'!AV42</f>
        <v>#REF!</v>
      </c>
      <c r="AW704" t="e">
        <f>'Revenue drivers'!AW42</f>
        <v>#REF!</v>
      </c>
      <c r="AX704" t="e">
        <f>'Revenue drivers'!AX42</f>
        <v>#REF!</v>
      </c>
      <c r="AY704" t="e">
        <f>'Revenue drivers'!AY42</f>
        <v>#REF!</v>
      </c>
      <c r="AZ704" t="e">
        <f>'Revenue drivers'!AZ42</f>
        <v>#REF!</v>
      </c>
      <c r="BA704" t="e">
        <f>'Revenue drivers'!BA42</f>
        <v>#REF!</v>
      </c>
      <c r="BB704" t="e">
        <f>'Revenue drivers'!BB42</f>
        <v>#REF!</v>
      </c>
      <c r="BC704" t="e">
        <f>'Revenue drivers'!BC42</f>
        <v>#REF!</v>
      </c>
      <c r="BD704" t="e">
        <f>'Revenue drivers'!BD42</f>
        <v>#REF!</v>
      </c>
      <c r="BE704">
        <f>'Revenue drivers'!BE42</f>
        <v>0</v>
      </c>
      <c r="BF704">
        <f>'Revenue drivers'!BF42</f>
        <v>0</v>
      </c>
      <c r="BG704">
        <f>'Revenue drivers'!BG42</f>
        <v>0</v>
      </c>
      <c r="BH704">
        <f>'Revenue drivers'!BH42</f>
        <v>0</v>
      </c>
      <c r="BI704">
        <f>'Revenue drivers'!BI42</f>
        <v>0</v>
      </c>
      <c r="BJ704">
        <f>'Revenue drivers'!BJ42</f>
        <v>0</v>
      </c>
      <c r="BK704">
        <f>'Revenue drivers'!BK42</f>
        <v>0</v>
      </c>
      <c r="BL704">
        <f>'Revenue drivers'!BL42</f>
        <v>0</v>
      </c>
      <c r="BM704">
        <f>'Revenue drivers'!BM42</f>
        <v>0</v>
      </c>
      <c r="BN704">
        <f>'Revenue drivers'!BN42</f>
        <v>0</v>
      </c>
      <c r="BO704" t="e">
        <f>'Revenue drivers'!BO42</f>
        <v>#REF!</v>
      </c>
      <c r="BP704" t="e">
        <f>'Revenue drivers'!BP42</f>
        <v>#REF!</v>
      </c>
      <c r="BQ704" t="e">
        <f>'Revenue drivers'!BQ42</f>
        <v>#REF!</v>
      </c>
      <c r="BR704" t="e">
        <f>'Revenue drivers'!BR42</f>
        <v>#REF!</v>
      </c>
      <c r="BS704" t="e">
        <f>'Revenue drivers'!BS42</f>
        <v>#REF!</v>
      </c>
      <c r="BT704" t="e">
        <f>'Revenue drivers'!BT42</f>
        <v>#REF!</v>
      </c>
      <c r="BU704" t="e">
        <f>'Revenue drivers'!BU42</f>
        <v>#REF!</v>
      </c>
      <c r="BV704" t="e">
        <f>'Revenue drivers'!BV42</f>
        <v>#REF!</v>
      </c>
      <c r="BW704" t="e">
        <f>'Revenue drivers'!BW42</f>
        <v>#REF!</v>
      </c>
      <c r="BX704" t="e">
        <f>'Revenue drivers'!BX42</f>
        <v>#REF!</v>
      </c>
      <c r="BY704" t="e">
        <f>'Revenue drivers'!BY42</f>
        <v>#REF!</v>
      </c>
    </row>
    <row r="705" spans="9:77" ht="11.25" customHeight="1">
      <c r="I705">
        <f>'Revenue drivers'!I43</f>
        <v>0</v>
      </c>
      <c r="J705">
        <f>'Revenue drivers'!J43</f>
        <v>0</v>
      </c>
      <c r="K705">
        <f>'Revenue drivers'!K43</f>
        <v>0</v>
      </c>
      <c r="L705">
        <f>'Revenue drivers'!L43</f>
        <v>0</v>
      </c>
      <c r="M705">
        <f>'Revenue drivers'!M43</f>
        <v>0</v>
      </c>
      <c r="N705">
        <f>'Revenue drivers'!N43</f>
        <v>0</v>
      </c>
      <c r="O705">
        <f>'Revenue drivers'!O43</f>
        <v>0</v>
      </c>
      <c r="P705">
        <f>'Revenue drivers'!P43</f>
        <v>0</v>
      </c>
      <c r="Q705">
        <f>'Revenue drivers'!Q43</f>
        <v>0</v>
      </c>
      <c r="R705">
        <f>'Revenue drivers'!R43</f>
        <v>0</v>
      </c>
      <c r="S705">
        <f>'Revenue drivers'!S43</f>
        <v>0</v>
      </c>
      <c r="T705">
        <f>'Revenue drivers'!T43</f>
        <v>0</v>
      </c>
      <c r="U705">
        <f>'Revenue drivers'!U43</f>
        <v>0</v>
      </c>
      <c r="V705">
        <f>'Revenue drivers'!V43</f>
        <v>0</v>
      </c>
      <c r="W705">
        <f>'Revenue drivers'!W43</f>
        <v>0</v>
      </c>
      <c r="X705">
        <f>'Revenue drivers'!X43</f>
        <v>0</v>
      </c>
      <c r="Y705">
        <f>'Revenue drivers'!Y43</f>
        <v>0</v>
      </c>
      <c r="Z705">
        <f>'Revenue drivers'!Z43</f>
        <v>0</v>
      </c>
      <c r="AA705">
        <f>'Revenue drivers'!AA43</f>
        <v>0</v>
      </c>
      <c r="AB705">
        <f>'Revenue drivers'!AB43</f>
        <v>0</v>
      </c>
      <c r="AC705">
        <f>'Revenue drivers'!AC43</f>
        <v>0</v>
      </c>
      <c r="AD705">
        <f>'Revenue drivers'!AD43</f>
        <v>0</v>
      </c>
      <c r="AE705">
        <f>'Revenue drivers'!AE43</f>
        <v>0</v>
      </c>
      <c r="AF705">
        <f>'Revenue drivers'!AF43</f>
        <v>0</v>
      </c>
      <c r="AG705">
        <f>'Revenue drivers'!AG43</f>
        <v>0</v>
      </c>
      <c r="AH705">
        <f>'Revenue drivers'!AH43</f>
        <v>0</v>
      </c>
      <c r="AI705">
        <f>'Revenue drivers'!AI43</f>
        <v>0</v>
      </c>
      <c r="AJ705">
        <f>'Revenue drivers'!AJ43</f>
        <v>0</v>
      </c>
      <c r="AK705">
        <f>'Revenue drivers'!AK43</f>
        <v>0</v>
      </c>
      <c r="AL705">
        <f>'Revenue drivers'!AL43</f>
        <v>0</v>
      </c>
      <c r="AM705">
        <f>'Revenue drivers'!AM43</f>
        <v>0</v>
      </c>
      <c r="AN705">
        <f>'Revenue drivers'!AN43</f>
        <v>0</v>
      </c>
      <c r="AO705">
        <f>'Revenue drivers'!AO43</f>
        <v>0</v>
      </c>
      <c r="AP705">
        <f>'Revenue drivers'!AP43</f>
        <v>0</v>
      </c>
      <c r="AQ705">
        <f>'Revenue drivers'!AQ43</f>
        <v>0</v>
      </c>
      <c r="AR705">
        <f>'Revenue drivers'!AR43</f>
        <v>0</v>
      </c>
      <c r="AS705">
        <f>'Revenue drivers'!AS43</f>
        <v>0</v>
      </c>
      <c r="AT705">
        <f>'Revenue drivers'!AT43</f>
        <v>0</v>
      </c>
      <c r="AU705">
        <f>'Revenue drivers'!AU43</f>
        <v>0</v>
      </c>
      <c r="AV705">
        <f>'Revenue drivers'!AV43</f>
        <v>0</v>
      </c>
      <c r="AW705">
        <f>'Revenue drivers'!AW43</f>
        <v>0</v>
      </c>
      <c r="AX705">
        <f>'Revenue drivers'!AX43</f>
        <v>0</v>
      </c>
      <c r="AY705">
        <f>'Revenue drivers'!AY43</f>
        <v>0</v>
      </c>
      <c r="AZ705">
        <f>'Revenue drivers'!AZ43</f>
        <v>0</v>
      </c>
      <c r="BA705">
        <f>'Revenue drivers'!BA43</f>
        <v>0</v>
      </c>
      <c r="BB705">
        <f>'Revenue drivers'!BB43</f>
        <v>0</v>
      </c>
      <c r="BC705">
        <f>'Revenue drivers'!BC43</f>
        <v>0</v>
      </c>
      <c r="BD705">
        <f>'Revenue drivers'!BD43</f>
        <v>0</v>
      </c>
      <c r="BE705">
        <f>'Revenue drivers'!BE43</f>
        <v>0</v>
      </c>
      <c r="BF705">
        <f>'Revenue drivers'!BF43</f>
        <v>0</v>
      </c>
      <c r="BG705">
        <f>'Revenue drivers'!BG43</f>
        <v>0</v>
      </c>
      <c r="BH705">
        <f>'Revenue drivers'!BH43</f>
        <v>0</v>
      </c>
      <c r="BI705">
        <f>'Revenue drivers'!BI43</f>
        <v>0</v>
      </c>
      <c r="BJ705">
        <f>'Revenue drivers'!BJ43</f>
        <v>0</v>
      </c>
      <c r="BK705">
        <f>'Revenue drivers'!BK43</f>
        <v>0</v>
      </c>
      <c r="BL705">
        <f>'Revenue drivers'!BL43</f>
        <v>0</v>
      </c>
      <c r="BM705">
        <f>'Revenue drivers'!BM43</f>
        <v>0</v>
      </c>
      <c r="BN705">
        <f>'Revenue drivers'!BN43</f>
        <v>0</v>
      </c>
      <c r="BO705">
        <f>'Revenue drivers'!BO43</f>
        <v>0</v>
      </c>
      <c r="BP705">
        <f>'Revenue drivers'!BP43</f>
        <v>0</v>
      </c>
      <c r="BQ705">
        <f>'Revenue drivers'!BQ43</f>
        <v>0</v>
      </c>
      <c r="BR705">
        <f>'Revenue drivers'!BR43</f>
        <v>0</v>
      </c>
      <c r="BS705">
        <f>'Revenue drivers'!BS43</f>
        <v>0</v>
      </c>
      <c r="BT705">
        <f>'Revenue drivers'!BT43</f>
        <v>0</v>
      </c>
      <c r="BU705">
        <f>'Revenue drivers'!BU43</f>
        <v>0</v>
      </c>
      <c r="BV705">
        <f>'Revenue drivers'!BV43</f>
        <v>0</v>
      </c>
      <c r="BW705">
        <f>'Revenue drivers'!BW43</f>
        <v>0</v>
      </c>
      <c r="BX705">
        <f>'Revenue drivers'!BX43</f>
        <v>0</v>
      </c>
      <c r="BY705">
        <f>'Revenue drivers'!BY43</f>
        <v>0</v>
      </c>
    </row>
    <row r="706" spans="9:77" ht="11.25" customHeight="1">
      <c r="I706">
        <f>'Revenue drivers'!I46</f>
        <v>0</v>
      </c>
      <c r="J706">
        <f>'Revenue drivers'!J46</f>
        <v>0</v>
      </c>
      <c r="K706">
        <f>'Revenue drivers'!K46</f>
        <v>0</v>
      </c>
      <c r="L706">
        <f>'Revenue drivers'!L46</f>
        <v>0</v>
      </c>
      <c r="M706">
        <f>'Revenue drivers'!M46</f>
        <v>0</v>
      </c>
      <c r="N706">
        <f>'Revenue drivers'!N46</f>
        <v>0</v>
      </c>
      <c r="O706">
        <f>'Revenue drivers'!O46</f>
        <v>0</v>
      </c>
      <c r="P706">
        <f>'Revenue drivers'!P46</f>
        <v>0</v>
      </c>
      <c r="Q706">
        <f>'Revenue drivers'!Q46</f>
        <v>0</v>
      </c>
      <c r="R706">
        <f>'Revenue drivers'!R46</f>
        <v>0</v>
      </c>
      <c r="S706">
        <f>'Revenue drivers'!S46</f>
        <v>0</v>
      </c>
      <c r="T706">
        <f>'Revenue drivers'!T46</f>
        <v>0</v>
      </c>
      <c r="U706">
        <f>'Revenue drivers'!U46</f>
        <v>0</v>
      </c>
      <c r="V706">
        <f>'Revenue drivers'!V46</f>
        <v>0</v>
      </c>
      <c r="W706">
        <f>'Revenue drivers'!W46</f>
        <v>0</v>
      </c>
      <c r="X706">
        <f>'Revenue drivers'!X46</f>
        <v>0</v>
      </c>
      <c r="Y706">
        <f>'Revenue drivers'!Y46</f>
        <v>0</v>
      </c>
      <c r="Z706">
        <f>'Revenue drivers'!Z46</f>
        <v>0</v>
      </c>
      <c r="AA706">
        <f>'Revenue drivers'!AA46</f>
        <v>0</v>
      </c>
      <c r="AB706">
        <f>'Revenue drivers'!AB46</f>
        <v>0</v>
      </c>
      <c r="AC706">
        <f>'Revenue drivers'!AC46</f>
        <v>0</v>
      </c>
      <c r="AD706">
        <f>'Revenue drivers'!AD46</f>
        <v>0</v>
      </c>
      <c r="AE706">
        <f>'Revenue drivers'!AE46</f>
        <v>0</v>
      </c>
      <c r="AF706">
        <f>'Revenue drivers'!AF46</f>
        <v>0</v>
      </c>
      <c r="AG706">
        <f>'Revenue drivers'!AG46</f>
        <v>0</v>
      </c>
      <c r="AH706">
        <f>'Revenue drivers'!AH46</f>
        <v>0</v>
      </c>
      <c r="AI706">
        <f>'Revenue drivers'!AI46</f>
        <v>0</v>
      </c>
      <c r="AJ706">
        <f>'Revenue drivers'!AJ46</f>
        <v>0</v>
      </c>
      <c r="AK706">
        <f>'Revenue drivers'!AK46</f>
        <v>0</v>
      </c>
      <c r="AL706">
        <f>'Revenue drivers'!AL46</f>
        <v>0</v>
      </c>
      <c r="AM706">
        <f>'Revenue drivers'!AM46</f>
        <v>0</v>
      </c>
      <c r="AN706">
        <f>'Revenue drivers'!AN46</f>
        <v>0</v>
      </c>
      <c r="AO706">
        <f>'Revenue drivers'!AO46</f>
        <v>0</v>
      </c>
      <c r="AP706">
        <f>'Revenue drivers'!AP46</f>
        <v>0</v>
      </c>
      <c r="AQ706">
        <f>'Revenue drivers'!AQ46</f>
        <v>0</v>
      </c>
      <c r="AR706">
        <f>'Revenue drivers'!AR46</f>
        <v>0</v>
      </c>
      <c r="AS706">
        <f>'Revenue drivers'!AS46</f>
        <v>0</v>
      </c>
      <c r="AT706">
        <f>'Revenue drivers'!AT46</f>
        <v>0</v>
      </c>
      <c r="AU706">
        <f>'Revenue drivers'!AU46</f>
        <v>0</v>
      </c>
      <c r="AV706">
        <f>'Revenue drivers'!AV46</f>
        <v>0</v>
      </c>
      <c r="AW706">
        <f>'Revenue drivers'!AW46</f>
        <v>0</v>
      </c>
      <c r="AX706">
        <f>'Revenue drivers'!AX46</f>
        <v>0</v>
      </c>
      <c r="AY706">
        <f>'Revenue drivers'!AY46</f>
        <v>0</v>
      </c>
      <c r="AZ706">
        <f>'Revenue drivers'!AZ46</f>
        <v>0</v>
      </c>
      <c r="BA706">
        <f>'Revenue drivers'!BA46</f>
        <v>0</v>
      </c>
      <c r="BB706">
        <f>'Revenue drivers'!BB46</f>
        <v>0</v>
      </c>
      <c r="BC706">
        <f>'Revenue drivers'!BC46</f>
        <v>0</v>
      </c>
      <c r="BD706">
        <f>'Revenue drivers'!BD46</f>
        <v>0</v>
      </c>
      <c r="BE706">
        <f>'Revenue drivers'!BE46</f>
        <v>0</v>
      </c>
      <c r="BF706">
        <f>'Revenue drivers'!BF46</f>
        <v>0</v>
      </c>
      <c r="BG706">
        <f>'Revenue drivers'!BG46</f>
        <v>0</v>
      </c>
      <c r="BH706">
        <f>'Revenue drivers'!BH46</f>
        <v>0</v>
      </c>
      <c r="BI706">
        <f>'Revenue drivers'!BI46</f>
        <v>0</v>
      </c>
      <c r="BJ706">
        <f>'Revenue drivers'!BJ46</f>
        <v>0</v>
      </c>
      <c r="BK706">
        <f>'Revenue drivers'!BK46</f>
        <v>0</v>
      </c>
      <c r="BL706">
        <f>'Revenue drivers'!BL46</f>
        <v>0</v>
      </c>
      <c r="BM706">
        <f>'Revenue drivers'!BM46</f>
        <v>0</v>
      </c>
      <c r="BN706">
        <f>'Revenue drivers'!BN46</f>
        <v>0</v>
      </c>
      <c r="BO706">
        <f>'Revenue drivers'!BO46</f>
        <v>0</v>
      </c>
      <c r="BP706">
        <f>'Revenue drivers'!BP46</f>
        <v>0</v>
      </c>
      <c r="BQ706">
        <f>'Revenue drivers'!BQ46</f>
        <v>0</v>
      </c>
      <c r="BR706">
        <f>'Revenue drivers'!BR46</f>
        <v>0</v>
      </c>
      <c r="BS706">
        <f>'Revenue drivers'!BS46</f>
        <v>0</v>
      </c>
      <c r="BT706">
        <f>'Revenue drivers'!BT46</f>
        <v>0</v>
      </c>
      <c r="BU706">
        <f>'Revenue drivers'!BU46</f>
        <v>0</v>
      </c>
      <c r="BV706">
        <f>'Revenue drivers'!BV46</f>
        <v>0</v>
      </c>
      <c r="BW706">
        <f>'Revenue drivers'!BW46</f>
        <v>0</v>
      </c>
      <c r="BX706">
        <f>'Revenue drivers'!BX46</f>
        <v>0</v>
      </c>
      <c r="BY706">
        <f>'Revenue drivers'!BY46</f>
        <v>0</v>
      </c>
    </row>
    <row r="707" spans="9:77" ht="11.25" customHeight="1">
      <c r="I707" t="str">
        <f>'Revenue drivers'!I47</f>
        <v>US vs. International total revenue</v>
      </c>
      <c r="J707">
        <f>'Revenue drivers'!J47</f>
        <v>0</v>
      </c>
      <c r="K707">
        <f>'Revenue drivers'!K47</f>
        <v>0</v>
      </c>
      <c r="L707">
        <f>'Revenue drivers'!L47</f>
        <v>0</v>
      </c>
      <c r="M707">
        <f>'Revenue drivers'!M47</f>
        <v>0</v>
      </c>
      <c r="N707">
        <f>'Revenue drivers'!N47</f>
        <v>0</v>
      </c>
      <c r="O707">
        <f>'Revenue drivers'!O47</f>
        <v>0</v>
      </c>
      <c r="P707">
        <f>'Revenue drivers'!P47</f>
        <v>0</v>
      </c>
      <c r="Q707">
        <f>'Revenue drivers'!Q47</f>
        <v>0</v>
      </c>
      <c r="R707">
        <f>'Revenue drivers'!R47</f>
        <v>0</v>
      </c>
      <c r="S707">
        <f>'Revenue drivers'!S47</f>
        <v>0</v>
      </c>
      <c r="T707">
        <f>'Revenue drivers'!T47</f>
        <v>0</v>
      </c>
      <c r="U707">
        <f>'Revenue drivers'!U47</f>
        <v>0</v>
      </c>
      <c r="V707">
        <f>'Revenue drivers'!V47</f>
        <v>0</v>
      </c>
      <c r="W707">
        <f>'Revenue drivers'!W47</f>
        <v>0</v>
      </c>
      <c r="X707">
        <f>'Revenue drivers'!X47</f>
        <v>0</v>
      </c>
      <c r="Y707">
        <f>'Revenue drivers'!Y47</f>
        <v>0</v>
      </c>
      <c r="Z707">
        <f>'Revenue drivers'!Z47</f>
        <v>0</v>
      </c>
      <c r="AA707">
        <f>'Revenue drivers'!AA47</f>
        <v>0</v>
      </c>
      <c r="AB707">
        <f>'Revenue drivers'!AB47</f>
        <v>0</v>
      </c>
      <c r="AC707">
        <f>'Revenue drivers'!AC47</f>
        <v>0</v>
      </c>
      <c r="AD707">
        <f>'Revenue drivers'!AD47</f>
        <v>0</v>
      </c>
      <c r="AE707">
        <f>'Revenue drivers'!AE47</f>
        <v>0</v>
      </c>
      <c r="AF707">
        <f>'Revenue drivers'!AF47</f>
        <v>0</v>
      </c>
      <c r="AG707">
        <f>'Revenue drivers'!AG47</f>
        <v>0</v>
      </c>
      <c r="AH707">
        <f>'Revenue drivers'!AH47</f>
        <v>0</v>
      </c>
      <c r="AI707">
        <f>'Revenue drivers'!AI47</f>
        <v>0</v>
      </c>
      <c r="AJ707">
        <f>'Revenue drivers'!AJ47</f>
        <v>0</v>
      </c>
      <c r="AK707">
        <f>'Revenue drivers'!AK47</f>
        <v>0</v>
      </c>
      <c r="AL707">
        <f>'Revenue drivers'!AL47</f>
        <v>0</v>
      </c>
      <c r="AM707">
        <f>'Revenue drivers'!AM47</f>
        <v>0</v>
      </c>
      <c r="AN707">
        <f>'Revenue drivers'!AN47</f>
        <v>0</v>
      </c>
      <c r="AO707">
        <f>'Revenue drivers'!AO47</f>
        <v>0</v>
      </c>
      <c r="AP707">
        <f>'Revenue drivers'!AP47</f>
        <v>0</v>
      </c>
      <c r="AQ707">
        <f>'Revenue drivers'!AQ47</f>
        <v>0</v>
      </c>
      <c r="AR707">
        <f>'Revenue drivers'!AR47</f>
        <v>0</v>
      </c>
      <c r="AS707">
        <f>'Revenue drivers'!AS47</f>
        <v>0</v>
      </c>
      <c r="AT707">
        <f>'Revenue drivers'!AT47</f>
        <v>0</v>
      </c>
      <c r="AU707">
        <f>'Revenue drivers'!AU47</f>
        <v>0</v>
      </c>
      <c r="AV707">
        <f>'Revenue drivers'!AV47</f>
        <v>0</v>
      </c>
      <c r="AW707">
        <f>'Revenue drivers'!AW47</f>
        <v>0</v>
      </c>
      <c r="AX707">
        <f>'Revenue drivers'!AX47</f>
        <v>0</v>
      </c>
      <c r="AY707">
        <f>'Revenue drivers'!AY47</f>
        <v>0</v>
      </c>
      <c r="AZ707">
        <f>'Revenue drivers'!AZ47</f>
        <v>0</v>
      </c>
      <c r="BA707">
        <f>'Revenue drivers'!BA47</f>
        <v>0</v>
      </c>
      <c r="BB707">
        <f>'Revenue drivers'!BB47</f>
        <v>0</v>
      </c>
      <c r="BC707">
        <f>'Revenue drivers'!BC47</f>
        <v>0</v>
      </c>
      <c r="BD707">
        <f>'Revenue drivers'!BD47</f>
        <v>0</v>
      </c>
      <c r="BE707">
        <f>'Revenue drivers'!BE47</f>
        <v>0</v>
      </c>
      <c r="BF707">
        <f>'Revenue drivers'!BF47</f>
        <v>0</v>
      </c>
      <c r="BG707">
        <f>'Revenue drivers'!BG47</f>
        <v>0</v>
      </c>
      <c r="BH707">
        <f>'Revenue drivers'!BH47</f>
        <v>0</v>
      </c>
      <c r="BI707">
        <f>'Revenue drivers'!BI47</f>
        <v>0</v>
      </c>
      <c r="BJ707">
        <f>'Revenue drivers'!BJ47</f>
        <v>0</v>
      </c>
      <c r="BK707">
        <f>'Revenue drivers'!BK47</f>
        <v>0</v>
      </c>
      <c r="BL707">
        <f>'Revenue drivers'!BL47</f>
        <v>0</v>
      </c>
      <c r="BM707">
        <f>'Revenue drivers'!BM47</f>
        <v>0</v>
      </c>
      <c r="BN707">
        <f>'Revenue drivers'!BN47</f>
        <v>0</v>
      </c>
      <c r="BO707">
        <f>'Revenue drivers'!BO47</f>
        <v>0</v>
      </c>
      <c r="BP707">
        <f>'Revenue drivers'!BP47</f>
        <v>0</v>
      </c>
      <c r="BQ707">
        <f>'Revenue drivers'!BQ47</f>
        <v>0</v>
      </c>
      <c r="BR707">
        <f>'Revenue drivers'!BR47</f>
        <v>0</v>
      </c>
      <c r="BS707">
        <f>'Revenue drivers'!BS47</f>
        <v>0</v>
      </c>
      <c r="BT707">
        <f>'Revenue drivers'!BT47</f>
        <v>0</v>
      </c>
      <c r="BU707">
        <f>'Revenue drivers'!BU47</f>
        <v>0</v>
      </c>
      <c r="BV707">
        <f>'Revenue drivers'!BV47</f>
        <v>0</v>
      </c>
      <c r="BW707">
        <f>'Revenue drivers'!BW47</f>
        <v>0</v>
      </c>
      <c r="BX707">
        <f>'Revenue drivers'!BX47</f>
        <v>0</v>
      </c>
      <c r="BY707">
        <f>'Revenue drivers'!BY47</f>
        <v>0</v>
      </c>
    </row>
    <row r="708" spans="9:77" ht="11.25" customHeight="1">
      <c r="I708">
        <f>'Revenue drivers'!I48</f>
        <v>0</v>
      </c>
      <c r="J708">
        <f>'Revenue drivers'!J48</f>
        <v>0</v>
      </c>
      <c r="K708">
        <f>'Revenue drivers'!K48</f>
        <v>0</v>
      </c>
      <c r="L708">
        <f>'Revenue drivers'!L48</f>
        <v>0</v>
      </c>
      <c r="M708">
        <f>'Revenue drivers'!M48</f>
        <v>0</v>
      </c>
      <c r="N708">
        <f>'Revenue drivers'!N48</f>
        <v>0</v>
      </c>
      <c r="O708">
        <f>'Revenue drivers'!O48</f>
        <v>0</v>
      </c>
      <c r="P708">
        <f>'Revenue drivers'!P48</f>
        <v>0</v>
      </c>
      <c r="Q708">
        <f>'Revenue drivers'!Q48</f>
        <v>0</v>
      </c>
      <c r="R708">
        <f>'Revenue drivers'!R48</f>
        <v>0</v>
      </c>
      <c r="S708">
        <f>'Revenue drivers'!S48</f>
        <v>0</v>
      </c>
      <c r="T708">
        <f>'Revenue drivers'!T48</f>
        <v>0</v>
      </c>
      <c r="U708">
        <f>'Revenue drivers'!U48</f>
        <v>0</v>
      </c>
      <c r="V708">
        <f>'Revenue drivers'!V48</f>
        <v>0</v>
      </c>
      <c r="W708">
        <f>'Revenue drivers'!W48</f>
        <v>0</v>
      </c>
      <c r="X708">
        <f>'Revenue drivers'!X48</f>
        <v>0</v>
      </c>
      <c r="Y708">
        <f>'Revenue drivers'!Y48</f>
        <v>0</v>
      </c>
      <c r="Z708">
        <f>'Revenue drivers'!Z48</f>
        <v>0</v>
      </c>
      <c r="AA708">
        <f>'Revenue drivers'!AA48</f>
        <v>0</v>
      </c>
      <c r="AB708">
        <f>'Revenue drivers'!AB48</f>
        <v>0</v>
      </c>
      <c r="AC708">
        <f>'Revenue drivers'!AC48</f>
        <v>0</v>
      </c>
      <c r="AD708">
        <f>'Revenue drivers'!AD48</f>
        <v>0</v>
      </c>
      <c r="AE708">
        <f>'Revenue drivers'!AE48</f>
        <v>0</v>
      </c>
      <c r="AF708">
        <f>'Revenue drivers'!AF48</f>
        <v>0</v>
      </c>
      <c r="AG708">
        <f>'Revenue drivers'!AG48</f>
        <v>0</v>
      </c>
      <c r="AH708">
        <f>'Revenue drivers'!AH48</f>
        <v>0</v>
      </c>
      <c r="AI708">
        <f>'Revenue drivers'!AI48</f>
        <v>0</v>
      </c>
      <c r="AJ708">
        <f>'Revenue drivers'!AJ48</f>
        <v>0</v>
      </c>
      <c r="AK708">
        <f>'Revenue drivers'!AK48</f>
        <v>0</v>
      </c>
      <c r="AL708">
        <f>'Revenue drivers'!AL48</f>
        <v>0</v>
      </c>
      <c r="AM708">
        <f>'Revenue drivers'!AM48</f>
        <v>0</v>
      </c>
      <c r="AN708">
        <f>'Revenue drivers'!AN48</f>
        <v>0</v>
      </c>
      <c r="AO708">
        <f>'Revenue drivers'!AO48</f>
        <v>0</v>
      </c>
      <c r="AP708">
        <f>'Revenue drivers'!AP48</f>
        <v>0</v>
      </c>
      <c r="AQ708">
        <f>'Revenue drivers'!AQ48</f>
        <v>0</v>
      </c>
      <c r="AR708">
        <f>'Revenue drivers'!AR48</f>
        <v>0</v>
      </c>
      <c r="AS708">
        <f>'Revenue drivers'!AS48</f>
        <v>0</v>
      </c>
      <c r="AT708">
        <f>'Revenue drivers'!AT48</f>
        <v>0</v>
      </c>
      <c r="AU708">
        <f>'Revenue drivers'!AU48</f>
        <v>0</v>
      </c>
      <c r="AV708">
        <f>'Revenue drivers'!AV48</f>
        <v>0</v>
      </c>
      <c r="AW708">
        <f>'Revenue drivers'!AW48</f>
        <v>0</v>
      </c>
      <c r="AX708">
        <f>'Revenue drivers'!AX48</f>
        <v>0</v>
      </c>
      <c r="AY708">
        <f>'Revenue drivers'!AY48</f>
        <v>0</v>
      </c>
      <c r="AZ708">
        <f>'Revenue drivers'!AZ48</f>
        <v>0</v>
      </c>
      <c r="BA708">
        <f>'Revenue drivers'!BA48</f>
        <v>0</v>
      </c>
      <c r="BB708">
        <f>'Revenue drivers'!BB48</f>
        <v>0</v>
      </c>
      <c r="BC708">
        <f>'Revenue drivers'!BC48</f>
        <v>0</v>
      </c>
      <c r="BD708">
        <f>'Revenue drivers'!BD48</f>
        <v>0</v>
      </c>
      <c r="BE708">
        <f>'Revenue drivers'!BE48</f>
        <v>0</v>
      </c>
      <c r="BF708">
        <f>'Revenue drivers'!BF48</f>
        <v>0</v>
      </c>
      <c r="BG708">
        <f>'Revenue drivers'!BG48</f>
        <v>0</v>
      </c>
      <c r="BH708">
        <f>'Revenue drivers'!BH48</f>
        <v>0</v>
      </c>
      <c r="BI708">
        <f>'Revenue drivers'!BI48</f>
        <v>0</v>
      </c>
      <c r="BJ708">
        <f>'Revenue drivers'!BJ48</f>
        <v>0</v>
      </c>
      <c r="BK708">
        <f>'Revenue drivers'!BK48</f>
        <v>0</v>
      </c>
      <c r="BL708">
        <f>'Revenue drivers'!BL48</f>
        <v>0</v>
      </c>
      <c r="BM708">
        <f>'Revenue drivers'!BM48</f>
        <v>0</v>
      </c>
      <c r="BN708">
        <f>'Revenue drivers'!BN48</f>
        <v>0</v>
      </c>
      <c r="BO708">
        <f>'Revenue drivers'!BO48</f>
        <v>0</v>
      </c>
      <c r="BP708">
        <f>'Revenue drivers'!BP48</f>
        <v>0</v>
      </c>
      <c r="BQ708">
        <f>'Revenue drivers'!BQ48</f>
        <v>0</v>
      </c>
      <c r="BR708">
        <f>'Revenue drivers'!BR48</f>
        <v>0</v>
      </c>
      <c r="BS708">
        <f>'Revenue drivers'!BS48</f>
        <v>0</v>
      </c>
      <c r="BT708">
        <f>'Revenue drivers'!BT48</f>
        <v>0</v>
      </c>
      <c r="BU708">
        <f>'Revenue drivers'!BU48</f>
        <v>0</v>
      </c>
      <c r="BV708">
        <f>'Revenue drivers'!BV48</f>
        <v>0</v>
      </c>
      <c r="BW708">
        <f>'Revenue drivers'!BW48</f>
        <v>0</v>
      </c>
      <c r="BX708">
        <f>'Revenue drivers'!BX48</f>
        <v>0</v>
      </c>
      <c r="BY708">
        <f>'Revenue drivers'!BY48</f>
        <v>0</v>
      </c>
    </row>
    <row r="709" spans="9:77" ht="11.25" customHeight="1">
      <c r="I709" t="str">
        <f>'Revenue drivers'!I49</f>
        <v>Total US revenue</v>
      </c>
      <c r="J709">
        <f>'Revenue drivers'!J49</f>
        <v>0</v>
      </c>
      <c r="K709">
        <f>'Revenue drivers'!K49</f>
        <v>0</v>
      </c>
      <c r="L709">
        <f>'Revenue drivers'!L49</f>
        <v>0</v>
      </c>
      <c r="M709">
        <f>'Revenue drivers'!M49</f>
        <v>0</v>
      </c>
      <c r="N709">
        <f>'Revenue drivers'!N49</f>
        <v>0</v>
      </c>
      <c r="O709">
        <f>'Revenue drivers'!O49</f>
        <v>0</v>
      </c>
      <c r="P709">
        <f>'Revenue drivers'!P49</f>
        <v>0</v>
      </c>
      <c r="Q709">
        <f>'Revenue drivers'!Q49</f>
        <v>0</v>
      </c>
      <c r="R709">
        <f>'Revenue drivers'!R49</f>
        <v>0</v>
      </c>
      <c r="S709">
        <f>'Revenue drivers'!S49</f>
        <v>0</v>
      </c>
      <c r="T709">
        <f>'Revenue drivers'!T49</f>
        <v>0</v>
      </c>
      <c r="U709">
        <f>'Revenue drivers'!U49</f>
        <v>0</v>
      </c>
      <c r="V709">
        <f>'Revenue drivers'!V49</f>
        <v>0</v>
      </c>
      <c r="W709">
        <f>'Revenue drivers'!W49</f>
        <v>0</v>
      </c>
      <c r="X709">
        <f>'Revenue drivers'!X49</f>
        <v>0</v>
      </c>
      <c r="Y709">
        <f>'Revenue drivers'!Y49</f>
        <v>43.826350000000005</v>
      </c>
      <c r="Z709">
        <f>'Revenue drivers'!Z49</f>
        <v>52.271850000000001</v>
      </c>
      <c r="AA709">
        <f>'Revenue drivers'!AA49</f>
        <v>58.121949999999998</v>
      </c>
      <c r="AB709">
        <f>'Revenue drivers'!AB49</f>
        <v>68.036912999999998</v>
      </c>
      <c r="AC709">
        <f>'Revenue drivers'!AC49</f>
        <v>73.88556899999999</v>
      </c>
      <c r="AD709">
        <f>'Revenue drivers'!AD49</f>
        <v>86.123390000000001</v>
      </c>
      <c r="AE709">
        <f>'Revenue drivers'!AE49</f>
        <v>99.381349999999998</v>
      </c>
      <c r="AF709">
        <f>'Revenue drivers'!AF49</f>
        <v>106.59039</v>
      </c>
      <c r="AG709">
        <f>'Revenue drivers'!AG49</f>
        <v>108.6</v>
      </c>
      <c r="AH709">
        <f>'Revenue drivers'!AH49</f>
        <v>122.6</v>
      </c>
      <c r="AI709">
        <f>'Revenue drivers'!AI49</f>
        <v>131.69999999999999</v>
      </c>
      <c r="AJ709">
        <f>'Revenue drivers'!AJ49</f>
        <v>143.69999999999999</v>
      </c>
      <c r="AK709">
        <f>'Revenue drivers'!AK49</f>
        <v>155.41300000000001</v>
      </c>
      <c r="AL709">
        <f>'Revenue drivers'!AL49</f>
        <v>169.72800000000001</v>
      </c>
      <c r="AM709">
        <f>'Revenue drivers'!AM49</f>
        <v>182.33199999999999</v>
      </c>
      <c r="AN709">
        <f>'Revenue drivers'!AN49</f>
        <v>190.89599999999999</v>
      </c>
      <c r="AO709">
        <f>'Revenue drivers'!AO49</f>
        <v>197.32300000000001</v>
      </c>
      <c r="AP709">
        <f>'Revenue drivers'!AP49</f>
        <v>208.864</v>
      </c>
      <c r="AQ709">
        <f>'Revenue drivers'!AQ49</f>
        <v>222.38</v>
      </c>
      <c r="AR709">
        <f>'Revenue drivers'!AR49</f>
        <v>218.24600000000001</v>
      </c>
      <c r="AS709">
        <f>'Revenue drivers'!AS49</f>
        <v>221.2</v>
      </c>
      <c r="AT709">
        <f>'Revenue drivers'!AT49</f>
        <v>231.4</v>
      </c>
      <c r="AU709">
        <f>'Revenue drivers'!AU49</f>
        <v>248</v>
      </c>
      <c r="AV709">
        <f>'Revenue drivers'!AV49</f>
        <v>259.39999999999998</v>
      </c>
      <c r="AW709">
        <f>'Revenue drivers'!AW49</f>
        <v>262.2</v>
      </c>
      <c r="AX709">
        <f>'Revenue drivers'!AX49</f>
        <v>271</v>
      </c>
      <c r="AY709">
        <f>'Revenue drivers'!AY49</f>
        <v>286.8</v>
      </c>
      <c r="AZ709">
        <f>'Revenue drivers'!AZ49</f>
        <v>296.39999999999998</v>
      </c>
      <c r="BA709">
        <f>'Revenue drivers'!BA49</f>
        <v>298.39999999999998</v>
      </c>
      <c r="BB709">
        <f>'Revenue drivers'!BB49</f>
        <v>307.40000000000003</v>
      </c>
      <c r="BC709">
        <f>'Revenue drivers'!BC49</f>
        <v>322.8</v>
      </c>
      <c r="BD709">
        <f>'Revenue drivers'!BD49</f>
        <v>332</v>
      </c>
      <c r="BE709">
        <f>'Revenue drivers'!BE49</f>
        <v>0</v>
      </c>
      <c r="BF709">
        <f>'Revenue drivers'!BF49</f>
        <v>0</v>
      </c>
      <c r="BG709">
        <f>'Revenue drivers'!BG49</f>
        <v>0</v>
      </c>
      <c r="BH709">
        <f>'Revenue drivers'!BH49</f>
        <v>0</v>
      </c>
      <c r="BI709">
        <f>'Revenue drivers'!BI49</f>
        <v>0</v>
      </c>
      <c r="BJ709">
        <f>'Revenue drivers'!BJ49</f>
        <v>0</v>
      </c>
      <c r="BK709">
        <f>'Revenue drivers'!BK49</f>
        <v>0</v>
      </c>
      <c r="BL709">
        <f>'Revenue drivers'!BL49</f>
        <v>0</v>
      </c>
      <c r="BM709">
        <f>'Revenue drivers'!BM49</f>
        <v>222.25706299999999</v>
      </c>
      <c r="BN709">
        <f>'Revenue drivers'!BN49</f>
        <v>365.98069900000002</v>
      </c>
      <c r="BO709">
        <f>'Revenue drivers'!BO49</f>
        <v>506.59999999999997</v>
      </c>
      <c r="BP709">
        <f>'Revenue drivers'!BP49</f>
        <v>698.36900000000003</v>
      </c>
      <c r="BQ709">
        <f>'Revenue drivers'!BQ49</f>
        <v>846.81299999999999</v>
      </c>
      <c r="BR709">
        <f>'Revenue drivers'!BR49</f>
        <v>960</v>
      </c>
      <c r="BS709">
        <f>'Revenue drivers'!BS49</f>
        <v>1116.4000000000001</v>
      </c>
      <c r="BT709">
        <f>'Revenue drivers'!BT49</f>
        <v>1260.5999999999999</v>
      </c>
      <c r="BU709">
        <f>'Revenue drivers'!BU49</f>
        <v>1393.597</v>
      </c>
      <c r="BV709">
        <f>'Revenue drivers'!BV49</f>
        <v>1522.2239999999999</v>
      </c>
      <c r="BW709">
        <f>'Revenue drivers'!BW49</f>
        <v>1645.5409999999999</v>
      </c>
      <c r="BX709">
        <f>'Revenue drivers'!BX49</f>
        <v>1763.6079999999999</v>
      </c>
      <c r="BY709">
        <f>'Revenue drivers'!BY49</f>
        <v>1877.4599999999998</v>
      </c>
    </row>
    <row r="710" spans="9:77" ht="11.25" customHeight="1">
      <c r="I710" t="str">
        <f>'Revenue drivers'!I50</f>
        <v>% change Y/Y</v>
      </c>
      <c r="J710">
        <f>'Revenue drivers'!J50</f>
        <v>0</v>
      </c>
      <c r="K710">
        <f>'Revenue drivers'!K50</f>
        <v>0</v>
      </c>
      <c r="L710">
        <f>'Revenue drivers'!L50</f>
        <v>0</v>
      </c>
      <c r="M710">
        <f>'Revenue drivers'!M50</f>
        <v>0</v>
      </c>
      <c r="N710">
        <f>'Revenue drivers'!N50</f>
        <v>0</v>
      </c>
      <c r="O710">
        <f>'Revenue drivers'!O50</f>
        <v>0</v>
      </c>
      <c r="P710">
        <f>'Revenue drivers'!P50</f>
        <v>0</v>
      </c>
      <c r="Q710">
        <f>'Revenue drivers'!Q50</f>
        <v>0</v>
      </c>
      <c r="R710">
        <f>'Revenue drivers'!R50</f>
        <v>0</v>
      </c>
      <c r="S710">
        <f>'Revenue drivers'!S50</f>
        <v>0</v>
      </c>
      <c r="T710">
        <f>'Revenue drivers'!T50</f>
        <v>0</v>
      </c>
      <c r="U710">
        <f>'Revenue drivers'!U50</f>
        <v>0</v>
      </c>
      <c r="V710">
        <f>'Revenue drivers'!V50</f>
        <v>0</v>
      </c>
      <c r="W710">
        <f>'Revenue drivers'!W50</f>
        <v>0</v>
      </c>
      <c r="X710">
        <f>'Revenue drivers'!X50</f>
        <v>0</v>
      </c>
      <c r="Y710">
        <f>'Revenue drivers'!Y50</f>
        <v>0</v>
      </c>
      <c r="Z710" t="str">
        <f>'Revenue drivers'!Z50</f>
        <v>NA</v>
      </c>
      <c r="AA710" t="str">
        <f>'Revenue drivers'!AA50</f>
        <v>NA</v>
      </c>
      <c r="AB710" t="str">
        <f>'Revenue drivers'!AB50</f>
        <v>NA</v>
      </c>
      <c r="AC710">
        <f>'Revenue drivers'!AC50</f>
        <v>0.68587092011997308</v>
      </c>
      <c r="AD710">
        <f>'Revenue drivers'!AD50</f>
        <v>0.64760554677135018</v>
      </c>
      <c r="AE710">
        <f>'Revenue drivers'!AE50</f>
        <v>0.70987638921268137</v>
      </c>
      <c r="AF710">
        <f>'Revenue drivers'!AF50</f>
        <v>0.56665529489852084</v>
      </c>
      <c r="AG710">
        <f>'Revenue drivers'!AG50</f>
        <v>0.46984047723852562</v>
      </c>
      <c r="AH710">
        <f>'Revenue drivers'!AH50</f>
        <v>0.42353894801400638</v>
      </c>
      <c r="AI710">
        <f>'Revenue drivers'!AI50</f>
        <v>0.32519833952748667</v>
      </c>
      <c r="AJ710">
        <f>'Revenue drivers'!AJ50</f>
        <v>0.34815155475085513</v>
      </c>
      <c r="AK710">
        <f>'Revenue drivers'!AK50</f>
        <v>0.43105893186003708</v>
      </c>
      <c r="AL710">
        <f>'Revenue drivers'!AL50</f>
        <v>0.38440456769983711</v>
      </c>
      <c r="AM710">
        <f>'Revenue drivers'!AM50</f>
        <v>0.38444950645406228</v>
      </c>
      <c r="AN710">
        <f>'Revenue drivers'!AN50</f>
        <v>0.32843423799582472</v>
      </c>
      <c r="AO710">
        <f>'Revenue drivers'!AO50</f>
        <v>0.26966856054512811</v>
      </c>
      <c r="AP710">
        <f>'Revenue drivers'!AP50</f>
        <v>0.230580693815988</v>
      </c>
      <c r="AQ710">
        <f>'Revenue drivers'!AQ50</f>
        <v>0.21964328806792</v>
      </c>
      <c r="AR710">
        <f>'Revenue drivers'!AR50</f>
        <v>0.14327172910904373</v>
      </c>
      <c r="AS710">
        <f>'Revenue drivers'!AS50</f>
        <v>0.12100464720280946</v>
      </c>
      <c r="AT710">
        <f>'Revenue drivers'!AT50</f>
        <v>0.10789796231040305</v>
      </c>
      <c r="AU710">
        <f>'Revenue drivers'!AU50</f>
        <v>0.11520820217645467</v>
      </c>
      <c r="AV710">
        <f>'Revenue drivers'!AV50</f>
        <v>0.18856702986538121</v>
      </c>
      <c r="AW710">
        <f>'Revenue drivers'!AW50</f>
        <v>0.18535262206148273</v>
      </c>
      <c r="AX710">
        <f>'Revenue drivers'!AX50</f>
        <v>0.17113223854796877</v>
      </c>
      <c r="AY710">
        <f>'Revenue drivers'!AY50</f>
        <v>0.15645161290322585</v>
      </c>
      <c r="AZ710">
        <f>'Revenue drivers'!AZ50</f>
        <v>0.14263685427910566</v>
      </c>
      <c r="BA710">
        <f>'Revenue drivers'!BA50</f>
        <v>0.13806254767353154</v>
      </c>
      <c r="BB710">
        <f>'Revenue drivers'!BB50</f>
        <v>0.13431734317343191</v>
      </c>
      <c r="BC710">
        <f>'Revenue drivers'!BC50</f>
        <v>0.12552301255230125</v>
      </c>
      <c r="BD710">
        <f>'Revenue drivers'!BD50</f>
        <v>0.12010796221322551</v>
      </c>
      <c r="BE710">
        <f>'Revenue drivers'!BE50</f>
        <v>0</v>
      </c>
      <c r="BF710">
        <f>'Revenue drivers'!BF50</f>
        <v>0</v>
      </c>
      <c r="BG710">
        <f>'Revenue drivers'!BG50</f>
        <v>0</v>
      </c>
      <c r="BH710">
        <f>'Revenue drivers'!BH50</f>
        <v>0</v>
      </c>
      <c r="BI710">
        <f>'Revenue drivers'!BI50</f>
        <v>0</v>
      </c>
      <c r="BJ710">
        <f>'Revenue drivers'!BJ50</f>
        <v>0</v>
      </c>
      <c r="BK710">
        <f>'Revenue drivers'!BK50</f>
        <v>0</v>
      </c>
      <c r="BL710">
        <f>'Revenue drivers'!BL50</f>
        <v>0</v>
      </c>
      <c r="BM710">
        <f>'Revenue drivers'!BM50</f>
        <v>0</v>
      </c>
      <c r="BN710">
        <f>'Revenue drivers'!BN50</f>
        <v>0.64665497716938702</v>
      </c>
      <c r="BO710">
        <f>'Revenue drivers'!BO50</f>
        <v>0.38422600258490669</v>
      </c>
      <c r="BP710">
        <f>'Revenue drivers'!BP50</f>
        <v>0.37854125542834605</v>
      </c>
      <c r="BQ710">
        <f>'Revenue drivers'!BQ50</f>
        <v>0.21255811755676435</v>
      </c>
      <c r="BR710">
        <f>'Revenue drivers'!BR50</f>
        <v>0.13366233158914653</v>
      </c>
      <c r="BS710">
        <f>'Revenue drivers'!BS50</f>
        <v>0.16291666666666682</v>
      </c>
      <c r="BT710">
        <f>'Revenue drivers'!BT50</f>
        <v>0.1291651737728412</v>
      </c>
      <c r="BU710">
        <f>'Revenue drivers'!BU50</f>
        <v>0.10550293511026498</v>
      </c>
      <c r="BV710">
        <f>'Revenue drivers'!BV50</f>
        <v>9.2298562640418913E-2</v>
      </c>
      <c r="BW710">
        <f>'Revenue drivers'!BW50</f>
        <v>8.1011073271739287E-2</v>
      </c>
      <c r="BX710">
        <f>'Revenue drivers'!BX50</f>
        <v>7.174965558439439E-2</v>
      </c>
      <c r="BY710">
        <f>'Revenue drivers'!BY50</f>
        <v>6.4556295956924581E-2</v>
      </c>
    </row>
    <row r="711" spans="9:77" ht="11.25" customHeight="1">
      <c r="I711" t="str">
        <f>'Revenue drivers'!I51</f>
        <v>% change Q/Q</v>
      </c>
      <c r="J711">
        <f>'Revenue drivers'!J51</f>
        <v>0</v>
      </c>
      <c r="K711">
        <f>'Revenue drivers'!K51</f>
        <v>0</v>
      </c>
      <c r="L711">
        <f>'Revenue drivers'!L51</f>
        <v>0</v>
      </c>
      <c r="M711">
        <f>'Revenue drivers'!M51</f>
        <v>0</v>
      </c>
      <c r="N711">
        <f>'Revenue drivers'!N51</f>
        <v>0</v>
      </c>
      <c r="O711">
        <f>'Revenue drivers'!O51</f>
        <v>0</v>
      </c>
      <c r="P711">
        <f>'Revenue drivers'!P51</f>
        <v>0</v>
      </c>
      <c r="Q711">
        <f>'Revenue drivers'!Q51</f>
        <v>0</v>
      </c>
      <c r="R711">
        <f>'Revenue drivers'!R51</f>
        <v>0</v>
      </c>
      <c r="S711">
        <f>'Revenue drivers'!S51</f>
        <v>0</v>
      </c>
      <c r="T711">
        <f>'Revenue drivers'!T51</f>
        <v>0</v>
      </c>
      <c r="U711">
        <f>'Revenue drivers'!U51</f>
        <v>0</v>
      </c>
      <c r="V711">
        <f>'Revenue drivers'!V51</f>
        <v>0</v>
      </c>
      <c r="W711">
        <f>'Revenue drivers'!W51</f>
        <v>0</v>
      </c>
      <c r="X711">
        <f>'Revenue drivers'!X51</f>
        <v>0</v>
      </c>
      <c r="Y711">
        <f>'Revenue drivers'!Y51</f>
        <v>0</v>
      </c>
      <c r="Z711">
        <f>'Revenue drivers'!Z51</f>
        <v>0.1927037045065354</v>
      </c>
      <c r="AA711">
        <f>'Revenue drivers'!AA51</f>
        <v>0.11191683477818359</v>
      </c>
      <c r="AB711">
        <f>'Revenue drivers'!AB51</f>
        <v>0.17058895993682244</v>
      </c>
      <c r="AC711">
        <f>'Revenue drivers'!AC51</f>
        <v>8.5962983064795884E-2</v>
      </c>
      <c r="AD711">
        <f>'Revenue drivers'!AD51</f>
        <v>0.16563208709944455</v>
      </c>
      <c r="AE711">
        <f>'Revenue drivers'!AE51</f>
        <v>0.15394145539324455</v>
      </c>
      <c r="AF711">
        <f>'Revenue drivers'!AF51</f>
        <v>7.2539163535210616E-2</v>
      </c>
      <c r="AG711">
        <f>'Revenue drivers'!AG51</f>
        <v>1.8853575824236968E-2</v>
      </c>
      <c r="AH711">
        <f>'Revenue drivers'!AH51</f>
        <v>0.12891344383057102</v>
      </c>
      <c r="AI711">
        <f>'Revenue drivers'!AI51</f>
        <v>7.4225122349102834E-2</v>
      </c>
      <c r="AJ711">
        <f>'Revenue drivers'!AJ51</f>
        <v>9.1116173120728838E-2</v>
      </c>
      <c r="AK711">
        <f>'Revenue drivers'!AK51</f>
        <v>8.1510090466249352E-2</v>
      </c>
      <c r="AL711">
        <f>'Revenue drivers'!AL51</f>
        <v>9.210941169657616E-2</v>
      </c>
      <c r="AM711">
        <f>'Revenue drivers'!AM51</f>
        <v>7.4259992458521884E-2</v>
      </c>
      <c r="AN711">
        <f>'Revenue drivers'!AN51</f>
        <v>4.6969264857512627E-2</v>
      </c>
      <c r="AO711">
        <f>'Revenue drivers'!AO51</f>
        <v>3.3667546727013775E-2</v>
      </c>
      <c r="AP711">
        <f>'Revenue drivers'!AP51</f>
        <v>5.8487860006182668E-2</v>
      </c>
      <c r="AQ711">
        <f>'Revenue drivers'!AQ51</f>
        <v>6.4711965681017336E-2</v>
      </c>
      <c r="AR711">
        <f>'Revenue drivers'!AR51</f>
        <v>-1.8589801241118753E-2</v>
      </c>
      <c r="AS711">
        <f>'Revenue drivers'!AS51</f>
        <v>1.3535185066392952E-2</v>
      </c>
      <c r="AT711">
        <f>'Revenue drivers'!AT51</f>
        <v>4.6112115732368952E-2</v>
      </c>
      <c r="AU711">
        <f>'Revenue drivers'!AU51</f>
        <v>7.1737251512532296E-2</v>
      </c>
      <c r="AV711">
        <f>'Revenue drivers'!AV51</f>
        <v>4.5967741935483808E-2</v>
      </c>
      <c r="AW711">
        <f>'Revenue drivers'!AW51</f>
        <v>1.0794140323824308E-2</v>
      </c>
      <c r="AX711">
        <f>'Revenue drivers'!AX51</f>
        <v>3.3562166285278527E-2</v>
      </c>
      <c r="AY711">
        <f>'Revenue drivers'!AY51</f>
        <v>5.8302583025830357E-2</v>
      </c>
      <c r="AZ711">
        <f>'Revenue drivers'!AZ51</f>
        <v>3.34728033472802E-2</v>
      </c>
      <c r="BA711">
        <f>'Revenue drivers'!BA51</f>
        <v>6.7476383265856477E-3</v>
      </c>
      <c r="BB711">
        <f>'Revenue drivers'!BB51</f>
        <v>3.0160857908847483E-2</v>
      </c>
      <c r="BC711">
        <f>'Revenue drivers'!BC51</f>
        <v>5.0097592713077344E-2</v>
      </c>
      <c r="BD711">
        <f>'Revenue drivers'!BD51</f>
        <v>2.8500619578686548E-2</v>
      </c>
      <c r="BE711">
        <f>'Revenue drivers'!BE51</f>
        <v>0</v>
      </c>
      <c r="BF711">
        <f>'Revenue drivers'!BF51</f>
        <v>0</v>
      </c>
      <c r="BG711">
        <f>'Revenue drivers'!BG51</f>
        <v>0</v>
      </c>
      <c r="BH711">
        <f>'Revenue drivers'!BH51</f>
        <v>0</v>
      </c>
      <c r="BI711">
        <f>'Revenue drivers'!BI51</f>
        <v>0</v>
      </c>
      <c r="BJ711">
        <f>'Revenue drivers'!BJ51</f>
        <v>0</v>
      </c>
      <c r="BK711">
        <f>'Revenue drivers'!BK51</f>
        <v>0</v>
      </c>
      <c r="BL711">
        <f>'Revenue drivers'!BL51</f>
        <v>0</v>
      </c>
      <c r="BM711">
        <f>'Revenue drivers'!BM51</f>
        <v>0</v>
      </c>
      <c r="BN711">
        <f>'Revenue drivers'!BN51</f>
        <v>0</v>
      </c>
      <c r="BO711">
        <f>'Revenue drivers'!BO51</f>
        <v>0</v>
      </c>
      <c r="BP711">
        <f>'Revenue drivers'!BP51</f>
        <v>0</v>
      </c>
      <c r="BQ711">
        <f>'Revenue drivers'!BQ51</f>
        <v>0</v>
      </c>
      <c r="BR711">
        <f>'Revenue drivers'!BR51</f>
        <v>0</v>
      </c>
      <c r="BS711">
        <f>'Revenue drivers'!BS51</f>
        <v>0</v>
      </c>
      <c r="BT711">
        <f>'Revenue drivers'!BT51</f>
        <v>0</v>
      </c>
      <c r="BU711">
        <f>'Revenue drivers'!BU51</f>
        <v>0</v>
      </c>
      <c r="BV711">
        <f>'Revenue drivers'!BV51</f>
        <v>0</v>
      </c>
      <c r="BW711">
        <f>'Revenue drivers'!BW51</f>
        <v>0</v>
      </c>
      <c r="BX711">
        <f>'Revenue drivers'!BX51</f>
        <v>0</v>
      </c>
      <c r="BY711">
        <f>'Revenue drivers'!BY51</f>
        <v>0</v>
      </c>
    </row>
    <row r="712" spans="9:77" ht="11.25" customHeight="1">
      <c r="I712" t="str">
        <f>'Revenue drivers'!I52</f>
        <v>% of total revenue</v>
      </c>
      <c r="J712">
        <f>'Revenue drivers'!J52</f>
        <v>0</v>
      </c>
      <c r="K712">
        <f>'Revenue drivers'!K52</f>
        <v>0</v>
      </c>
      <c r="L712">
        <f>'Revenue drivers'!L52</f>
        <v>0</v>
      </c>
      <c r="M712">
        <f>'Revenue drivers'!M52</f>
        <v>0</v>
      </c>
      <c r="N712">
        <f>'Revenue drivers'!N52</f>
        <v>0</v>
      </c>
      <c r="O712">
        <f>'Revenue drivers'!O52</f>
        <v>0</v>
      </c>
      <c r="P712">
        <f>'Revenue drivers'!P52</f>
        <v>0</v>
      </c>
      <c r="Q712">
        <f>'Revenue drivers'!Q52</f>
        <v>0</v>
      </c>
      <c r="R712">
        <f>'Revenue drivers'!R52</f>
        <v>0</v>
      </c>
      <c r="S712">
        <f>'Revenue drivers'!S52</f>
        <v>0</v>
      </c>
      <c r="T712">
        <f>'Revenue drivers'!T52</f>
        <v>0</v>
      </c>
      <c r="U712">
        <f>'Revenue drivers'!U52</f>
        <v>0</v>
      </c>
      <c r="V712">
        <f>'Revenue drivers'!V52</f>
        <v>0</v>
      </c>
      <c r="W712">
        <f>'Revenue drivers'!W52</f>
        <v>0</v>
      </c>
      <c r="X712">
        <f>'Revenue drivers'!X52</f>
        <v>0</v>
      </c>
      <c r="Y712">
        <f>'Revenue drivers'!Y52</f>
        <v>0</v>
      </c>
      <c r="Z712">
        <f>'Revenue drivers'!Z52</f>
        <v>0.95</v>
      </c>
      <c r="AA712">
        <f>'Revenue drivers'!AA52</f>
        <v>0.95000000000000007</v>
      </c>
      <c r="AB712">
        <f>'Revenue drivers'!AB52</f>
        <v>0.96300000000000008</v>
      </c>
      <c r="AC712">
        <f>'Revenue drivers'!AC52</f>
        <v>0.96699999999999986</v>
      </c>
      <c r="AD712">
        <f>'Revenue drivers'!AD52</f>
        <v>0.97</v>
      </c>
      <c r="AE712">
        <f>'Revenue drivers'!AE52</f>
        <v>0.97</v>
      </c>
      <c r="AF712">
        <f>'Revenue drivers'!AF52</f>
        <v>0.97</v>
      </c>
      <c r="AG712">
        <f>'Revenue drivers'!AG52</f>
        <v>0.9713774597495527</v>
      </c>
      <c r="AH712">
        <f>'Revenue drivers'!AH52</f>
        <v>0.97611464968152861</v>
      </c>
      <c r="AI712">
        <f>'Revenue drivers'!AI52</f>
        <v>0.97845468053491824</v>
      </c>
      <c r="AJ712">
        <f>'Revenue drivers'!AJ52</f>
        <v>0.9795501022494888</v>
      </c>
      <c r="AK712">
        <f>'Revenue drivers'!AK52</f>
        <v>0.97982510891288865</v>
      </c>
      <c r="AL712">
        <f>'Revenue drivers'!AL52</f>
        <v>0.97866549807412884</v>
      </c>
      <c r="AM712">
        <f>'Revenue drivers'!AM52</f>
        <v>0.97905837879634006</v>
      </c>
      <c r="AN712">
        <f>'Revenue drivers'!AN52</f>
        <v>0.97997905501139648</v>
      </c>
      <c r="AO712">
        <f>'Revenue drivers'!AO52</f>
        <v>1</v>
      </c>
      <c r="AP712">
        <f>'Revenue drivers'!AP52</f>
        <v>1</v>
      </c>
      <c r="AQ712">
        <f>'Revenue drivers'!AQ52</f>
        <v>1</v>
      </c>
      <c r="AR712">
        <f>'Revenue drivers'!AR52</f>
        <v>1</v>
      </c>
      <c r="AS712">
        <f>'Revenue drivers'!AS52</f>
        <v>1</v>
      </c>
      <c r="AT712">
        <f>'Revenue drivers'!AT52</f>
        <v>1</v>
      </c>
      <c r="AU712">
        <f>'Revenue drivers'!AU52</f>
        <v>1</v>
      </c>
      <c r="AV712">
        <f>'Revenue drivers'!AV52</f>
        <v>1</v>
      </c>
      <c r="AW712">
        <f>'Revenue drivers'!AW52</f>
        <v>1</v>
      </c>
      <c r="AX712">
        <f>'Revenue drivers'!AX52</f>
        <v>1</v>
      </c>
      <c r="AY712">
        <f>'Revenue drivers'!AY52</f>
        <v>1</v>
      </c>
      <c r="AZ712">
        <f>'Revenue drivers'!AZ52</f>
        <v>1</v>
      </c>
      <c r="BA712">
        <f>'Revenue drivers'!BA52</f>
        <v>1</v>
      </c>
      <c r="BB712">
        <f>'Revenue drivers'!BB52</f>
        <v>1</v>
      </c>
      <c r="BC712">
        <f>'Revenue drivers'!BC52</f>
        <v>1</v>
      </c>
      <c r="BD712">
        <f>'Revenue drivers'!BD52</f>
        <v>1</v>
      </c>
      <c r="BE712">
        <f>'Revenue drivers'!BE52</f>
        <v>0</v>
      </c>
      <c r="BF712">
        <f>'Revenue drivers'!BF52</f>
        <v>0</v>
      </c>
      <c r="BG712">
        <f>'Revenue drivers'!BG52</f>
        <v>0</v>
      </c>
      <c r="BH712">
        <f>'Revenue drivers'!BH52</f>
        <v>0</v>
      </c>
      <c r="BI712">
        <f>'Revenue drivers'!BI52</f>
        <v>0</v>
      </c>
      <c r="BJ712">
        <f>'Revenue drivers'!BJ52</f>
        <v>0</v>
      </c>
      <c r="BK712">
        <f>'Revenue drivers'!BK52</f>
        <v>0</v>
      </c>
      <c r="BL712">
        <f>'Revenue drivers'!BL52</f>
        <v>0</v>
      </c>
      <c r="BM712">
        <f>'Revenue drivers'!BM52</f>
        <v>0</v>
      </c>
      <c r="BN712">
        <f>'Revenue drivers'!BN52</f>
        <v>0.96939284995338193</v>
      </c>
      <c r="BO712">
        <f>'Revenue drivers'!BO52</f>
        <v>0.97667245035666073</v>
      </c>
      <c r="BP712">
        <f>'Revenue drivers'!BP52</f>
        <v>0.97938488421176639</v>
      </c>
      <c r="BQ712">
        <f>'Revenue drivers'!BQ52</f>
        <v>1</v>
      </c>
      <c r="BR712">
        <f>'Revenue drivers'!BR52</f>
        <v>1</v>
      </c>
      <c r="BS712">
        <f>'Revenue drivers'!BS52</f>
        <v>1</v>
      </c>
      <c r="BT712">
        <f>'Revenue drivers'!BT52</f>
        <v>1</v>
      </c>
      <c r="BU712">
        <f>'Revenue drivers'!BU52</f>
        <v>0.995</v>
      </c>
      <c r="BV712">
        <f>'Revenue drivers'!BV52</f>
        <v>0.99</v>
      </c>
      <c r="BW712">
        <f>'Revenue drivers'!BW52</f>
        <v>0.98499999999999999</v>
      </c>
      <c r="BX712">
        <f>'Revenue drivers'!BX52</f>
        <v>0.98</v>
      </c>
      <c r="BY712">
        <f>'Revenue drivers'!BY52</f>
        <v>0.97499999999999998</v>
      </c>
    </row>
    <row r="713" spans="9:77" ht="11.25" customHeight="1">
      <c r="I713" t="str">
        <f>'Revenue drivers'!I53</f>
        <v>Y/Y Abs Growth</v>
      </c>
      <c r="J713">
        <f>'Revenue drivers'!J53</f>
        <v>0</v>
      </c>
      <c r="K713">
        <f>'Revenue drivers'!K53</f>
        <v>0</v>
      </c>
      <c r="L713">
        <f>'Revenue drivers'!L53</f>
        <v>0</v>
      </c>
      <c r="M713">
        <f>'Revenue drivers'!M53</f>
        <v>0</v>
      </c>
      <c r="N713">
        <f>'Revenue drivers'!N53</f>
        <v>0</v>
      </c>
      <c r="O713">
        <f>'Revenue drivers'!O53</f>
        <v>0</v>
      </c>
      <c r="P713">
        <f>'Revenue drivers'!P53</f>
        <v>0</v>
      </c>
      <c r="Q713">
        <f>'Revenue drivers'!Q53</f>
        <v>0</v>
      </c>
      <c r="R713">
        <f>'Revenue drivers'!R53</f>
        <v>0</v>
      </c>
      <c r="S713">
        <f>'Revenue drivers'!S53</f>
        <v>0</v>
      </c>
      <c r="T713">
        <f>'Revenue drivers'!T53</f>
        <v>0</v>
      </c>
      <c r="U713">
        <f>'Revenue drivers'!U53</f>
        <v>0</v>
      </c>
      <c r="V713">
        <f>'Revenue drivers'!V53</f>
        <v>0</v>
      </c>
      <c r="W713">
        <f>'Revenue drivers'!W53</f>
        <v>0</v>
      </c>
      <c r="X713">
        <f>'Revenue drivers'!X53</f>
        <v>0</v>
      </c>
      <c r="Y713">
        <f>'Revenue drivers'!Y53</f>
        <v>43.826350000000005</v>
      </c>
      <c r="Z713">
        <f>'Revenue drivers'!Z53</f>
        <v>52.271850000000001</v>
      </c>
      <c r="AA713">
        <f>'Revenue drivers'!AA53</f>
        <v>58.121949999999998</v>
      </c>
      <c r="AB713">
        <f>'Revenue drivers'!AB53</f>
        <v>68.036912999999998</v>
      </c>
      <c r="AC713">
        <f>'Revenue drivers'!AC53</f>
        <v>30.059218999999985</v>
      </c>
      <c r="AD713">
        <f>'Revenue drivers'!AD53</f>
        <v>33.85154</v>
      </c>
      <c r="AE713">
        <f>'Revenue drivers'!AE53</f>
        <v>41.259399999999999</v>
      </c>
      <c r="AF713">
        <f>'Revenue drivers'!AF53</f>
        <v>38.553477000000001</v>
      </c>
      <c r="AG713">
        <f>'Revenue drivers'!AG53</f>
        <v>34.714431000000005</v>
      </c>
      <c r="AH713">
        <f>'Revenue drivers'!AH53</f>
        <v>36.476609999999994</v>
      </c>
      <c r="AI713">
        <f>'Revenue drivers'!AI53</f>
        <v>32.318649999999991</v>
      </c>
      <c r="AJ713">
        <f>'Revenue drivers'!AJ53</f>
        <v>37.109609999999989</v>
      </c>
      <c r="AK713">
        <f>'Revenue drivers'!AK53</f>
        <v>46.813000000000017</v>
      </c>
      <c r="AL713">
        <f>'Revenue drivers'!AL53</f>
        <v>47.128000000000014</v>
      </c>
      <c r="AM713">
        <f>'Revenue drivers'!AM53</f>
        <v>50.632000000000005</v>
      </c>
      <c r="AN713">
        <f>'Revenue drivers'!AN53</f>
        <v>47.195999999999998</v>
      </c>
      <c r="AO713">
        <f>'Revenue drivers'!AO53</f>
        <v>41.91</v>
      </c>
      <c r="AP713">
        <f>'Revenue drivers'!AP53</f>
        <v>39.135999999999996</v>
      </c>
      <c r="AQ713">
        <f>'Revenue drivers'!AQ53</f>
        <v>40.048000000000002</v>
      </c>
      <c r="AR713">
        <f>'Revenue drivers'!AR53</f>
        <v>27.350000000000023</v>
      </c>
      <c r="AS713">
        <f>'Revenue drivers'!AS53</f>
        <v>23.876999999999981</v>
      </c>
      <c r="AT713">
        <f>'Revenue drivers'!AT53</f>
        <v>22.536000000000001</v>
      </c>
      <c r="AU713">
        <f>'Revenue drivers'!AU53</f>
        <v>25.620000000000005</v>
      </c>
      <c r="AV713">
        <f>'Revenue drivers'!AV53</f>
        <v>41.153999999999968</v>
      </c>
      <c r="AW713">
        <f>'Revenue drivers'!AW53</f>
        <v>41</v>
      </c>
      <c r="AX713">
        <f>'Revenue drivers'!AX53</f>
        <v>39.599999999999994</v>
      </c>
      <c r="AY713">
        <f>'Revenue drivers'!AY53</f>
        <v>38.800000000000011</v>
      </c>
      <c r="AZ713">
        <f>'Revenue drivers'!AZ53</f>
        <v>37</v>
      </c>
      <c r="BA713">
        <f>'Revenue drivers'!BA53</f>
        <v>36.199999999999989</v>
      </c>
      <c r="BB713">
        <f>'Revenue drivers'!BB53</f>
        <v>36.400000000000034</v>
      </c>
      <c r="BC713">
        <f>'Revenue drivers'!BC53</f>
        <v>36</v>
      </c>
      <c r="BD713">
        <f>'Revenue drivers'!BD53</f>
        <v>35.600000000000023</v>
      </c>
      <c r="BE713">
        <f>'Revenue drivers'!BE53</f>
        <v>0</v>
      </c>
      <c r="BF713">
        <f>'Revenue drivers'!BF53</f>
        <v>0</v>
      </c>
      <c r="BG713">
        <f>'Revenue drivers'!BG53</f>
        <v>0</v>
      </c>
      <c r="BH713">
        <f>'Revenue drivers'!BH53</f>
        <v>0</v>
      </c>
      <c r="BI713">
        <f>'Revenue drivers'!BI53</f>
        <v>0</v>
      </c>
      <c r="BJ713">
        <f>'Revenue drivers'!BJ53</f>
        <v>0</v>
      </c>
      <c r="BK713">
        <f>'Revenue drivers'!BK53</f>
        <v>0</v>
      </c>
      <c r="BL713">
        <f>'Revenue drivers'!BL53</f>
        <v>0</v>
      </c>
      <c r="BM713">
        <f>'Revenue drivers'!BM53</f>
        <v>0</v>
      </c>
      <c r="BN713">
        <f>'Revenue drivers'!BN53</f>
        <v>143.72363600000003</v>
      </c>
      <c r="BO713">
        <f>'Revenue drivers'!BO53</f>
        <v>140.61930099999995</v>
      </c>
      <c r="BP713">
        <f>'Revenue drivers'!BP53</f>
        <v>191.76900000000006</v>
      </c>
      <c r="BQ713">
        <f>'Revenue drivers'!BQ53</f>
        <v>148.44399999999996</v>
      </c>
      <c r="BR713">
        <f>'Revenue drivers'!BR53</f>
        <v>113.18700000000001</v>
      </c>
      <c r="BS713">
        <f>'Revenue drivers'!BS53</f>
        <v>156.40000000000009</v>
      </c>
      <c r="BT713">
        <f>'Revenue drivers'!BT53</f>
        <v>144.19999999999982</v>
      </c>
      <c r="BU713">
        <f>'Revenue drivers'!BU53</f>
        <v>132.99700000000007</v>
      </c>
      <c r="BV713">
        <f>'Revenue drivers'!BV53</f>
        <v>128.62699999999995</v>
      </c>
      <c r="BW713">
        <f>'Revenue drivers'!BW53</f>
        <v>123.31700000000001</v>
      </c>
      <c r="BX713">
        <f>'Revenue drivers'!BX53</f>
        <v>118.06700000000001</v>
      </c>
      <c r="BY713">
        <f>'Revenue drivers'!BY53</f>
        <v>113.85199999999986</v>
      </c>
    </row>
    <row r="714" spans="9:77" ht="11.25" customHeight="1">
      <c r="I714" t="str">
        <f>'Revenue drivers'!I54</f>
        <v>Q/Q Abs Growth</v>
      </c>
      <c r="J714">
        <f>'Revenue drivers'!J54</f>
        <v>0</v>
      </c>
      <c r="K714">
        <f>'Revenue drivers'!K54</f>
        <v>0</v>
      </c>
      <c r="L714">
        <f>'Revenue drivers'!L54</f>
        <v>0</v>
      </c>
      <c r="M714">
        <f>'Revenue drivers'!M54</f>
        <v>0</v>
      </c>
      <c r="N714">
        <f>'Revenue drivers'!N54</f>
        <v>0</v>
      </c>
      <c r="O714">
        <f>'Revenue drivers'!O54</f>
        <v>0</v>
      </c>
      <c r="P714">
        <f>'Revenue drivers'!P54</f>
        <v>0</v>
      </c>
      <c r="Q714">
        <f>'Revenue drivers'!Q54</f>
        <v>0</v>
      </c>
      <c r="R714">
        <f>'Revenue drivers'!R54</f>
        <v>0</v>
      </c>
      <c r="S714">
        <f>'Revenue drivers'!S54</f>
        <v>0</v>
      </c>
      <c r="T714">
        <f>'Revenue drivers'!T54</f>
        <v>0</v>
      </c>
      <c r="U714">
        <f>'Revenue drivers'!U54</f>
        <v>0</v>
      </c>
      <c r="V714">
        <f>'Revenue drivers'!V54</f>
        <v>0</v>
      </c>
      <c r="W714">
        <f>'Revenue drivers'!W54</f>
        <v>0</v>
      </c>
      <c r="X714">
        <f>'Revenue drivers'!X54</f>
        <v>0</v>
      </c>
      <c r="Y714">
        <f>'Revenue drivers'!Y54</f>
        <v>0</v>
      </c>
      <c r="Z714">
        <f>'Revenue drivers'!Z54</f>
        <v>0</v>
      </c>
      <c r="AA714">
        <f>'Revenue drivers'!AA54</f>
        <v>5.8500999999999976</v>
      </c>
      <c r="AB714">
        <f>'Revenue drivers'!AB54</f>
        <v>9.9149630000000002</v>
      </c>
      <c r="AC714">
        <f>'Revenue drivers'!AC54</f>
        <v>5.8486559999999912</v>
      </c>
      <c r="AD714">
        <f>'Revenue drivers'!AD54</f>
        <v>12.237821000000011</v>
      </c>
      <c r="AE714">
        <f>'Revenue drivers'!AE54</f>
        <v>13.257959999999997</v>
      </c>
      <c r="AF714">
        <f>'Revenue drivers'!AF54</f>
        <v>7.2090400000000017</v>
      </c>
      <c r="AG714">
        <f>'Revenue drivers'!AG54</f>
        <v>2.009609999999995</v>
      </c>
      <c r="AH714">
        <f>'Revenue drivers'!AH54</f>
        <v>14</v>
      </c>
      <c r="AI714">
        <f>'Revenue drivers'!AI54</f>
        <v>9.0999999999999943</v>
      </c>
      <c r="AJ714">
        <f>'Revenue drivers'!AJ54</f>
        <v>12</v>
      </c>
      <c r="AK714">
        <f>'Revenue drivers'!AK54</f>
        <v>11.713000000000022</v>
      </c>
      <c r="AL714">
        <f>'Revenue drivers'!AL54</f>
        <v>14.314999999999998</v>
      </c>
      <c r="AM714">
        <f>'Revenue drivers'!AM54</f>
        <v>12.603999999999985</v>
      </c>
      <c r="AN714">
        <f>'Revenue drivers'!AN54</f>
        <v>8.563999999999993</v>
      </c>
      <c r="AO714">
        <f>'Revenue drivers'!AO54</f>
        <v>6.4270000000000209</v>
      </c>
      <c r="AP714">
        <f>'Revenue drivers'!AP54</f>
        <v>11.540999999999997</v>
      </c>
      <c r="AQ714">
        <f>'Revenue drivers'!AQ54</f>
        <v>13.515999999999991</v>
      </c>
      <c r="AR714">
        <f>'Revenue drivers'!AR54</f>
        <v>-4.1339999999999861</v>
      </c>
      <c r="AS714">
        <f>'Revenue drivers'!AS54</f>
        <v>2.9539999999999793</v>
      </c>
      <c r="AT714">
        <f>'Revenue drivers'!AT54</f>
        <v>10.200000000000017</v>
      </c>
      <c r="AU714">
        <f>'Revenue drivers'!AU54</f>
        <v>16.599999999999994</v>
      </c>
      <c r="AV714">
        <f>'Revenue drivers'!AV54</f>
        <v>11.399999999999977</v>
      </c>
      <c r="AW714">
        <f>'Revenue drivers'!AW54</f>
        <v>2.8000000000000114</v>
      </c>
      <c r="AX714">
        <f>'Revenue drivers'!AX54</f>
        <v>8.8000000000000114</v>
      </c>
      <c r="AY714">
        <f>'Revenue drivers'!AY54</f>
        <v>15.800000000000011</v>
      </c>
      <c r="AZ714">
        <f>'Revenue drivers'!AZ54</f>
        <v>9.5999999999999659</v>
      </c>
      <c r="BA714">
        <f>'Revenue drivers'!BA54</f>
        <v>2</v>
      </c>
      <c r="BB714">
        <f>'Revenue drivers'!BB54</f>
        <v>9.0000000000000568</v>
      </c>
      <c r="BC714">
        <f>'Revenue drivers'!BC54</f>
        <v>15.399999999999977</v>
      </c>
      <c r="BD714">
        <f>'Revenue drivers'!BD54</f>
        <v>9.1999999999999886</v>
      </c>
      <c r="BE714">
        <f>'Revenue drivers'!BE54</f>
        <v>0</v>
      </c>
      <c r="BF714">
        <f>'Revenue drivers'!BF54</f>
        <v>0</v>
      </c>
      <c r="BG714">
        <f>'Revenue drivers'!BG54</f>
        <v>0</v>
      </c>
      <c r="BH714">
        <f>'Revenue drivers'!BH54</f>
        <v>0</v>
      </c>
      <c r="BI714">
        <f>'Revenue drivers'!BI54</f>
        <v>0</v>
      </c>
      <c r="BJ714">
        <f>'Revenue drivers'!BJ54</f>
        <v>0</v>
      </c>
      <c r="BK714">
        <f>'Revenue drivers'!BK54</f>
        <v>0</v>
      </c>
      <c r="BL714">
        <f>'Revenue drivers'!BL54</f>
        <v>0</v>
      </c>
      <c r="BM714">
        <f>'Revenue drivers'!BM54</f>
        <v>0</v>
      </c>
      <c r="BN714">
        <f>'Revenue drivers'!BN54</f>
        <v>0</v>
      </c>
      <c r="BO714">
        <f>'Revenue drivers'!BO54</f>
        <v>0</v>
      </c>
      <c r="BP714">
        <f>'Revenue drivers'!BP54</f>
        <v>0</v>
      </c>
      <c r="BQ714">
        <f>'Revenue drivers'!BQ54</f>
        <v>0</v>
      </c>
      <c r="BR714">
        <f>'Revenue drivers'!BR54</f>
        <v>0</v>
      </c>
      <c r="BS714">
        <f>'Revenue drivers'!BS54</f>
        <v>0</v>
      </c>
      <c r="BT714">
        <f>'Revenue drivers'!BT54</f>
        <v>0</v>
      </c>
      <c r="BU714">
        <f>'Revenue drivers'!BU54</f>
        <v>0</v>
      </c>
      <c r="BV714">
        <f>'Revenue drivers'!BV54</f>
        <v>0</v>
      </c>
      <c r="BW714">
        <f>'Revenue drivers'!BW54</f>
        <v>0</v>
      </c>
      <c r="BX714">
        <f>'Revenue drivers'!BX54</f>
        <v>0</v>
      </c>
      <c r="BY714">
        <f>'Revenue drivers'!BY54</f>
        <v>0</v>
      </c>
    </row>
    <row r="715" spans="9:77" ht="11.25" customHeight="1">
      <c r="I715" t="str">
        <f>'Revenue drivers'!I55</f>
        <v>Dollars per Market</v>
      </c>
      <c r="J715">
        <f>'Revenue drivers'!J55</f>
        <v>0</v>
      </c>
      <c r="K715">
        <f>'Revenue drivers'!K55</f>
        <v>0</v>
      </c>
      <c r="L715">
        <f>'Revenue drivers'!L55</f>
        <v>0</v>
      </c>
      <c r="M715">
        <f>'Revenue drivers'!M55</f>
        <v>0</v>
      </c>
      <c r="N715">
        <f>'Revenue drivers'!N55</f>
        <v>0</v>
      </c>
      <c r="O715">
        <f>'Revenue drivers'!O55</f>
        <v>0</v>
      </c>
      <c r="P715">
        <f>'Revenue drivers'!P55</f>
        <v>0</v>
      </c>
      <c r="Q715">
        <f>'Revenue drivers'!Q55</f>
        <v>0</v>
      </c>
      <c r="R715">
        <f>'Revenue drivers'!R55</f>
        <v>0</v>
      </c>
      <c r="S715">
        <f>'Revenue drivers'!S55</f>
        <v>0</v>
      </c>
      <c r="T715">
        <f>'Revenue drivers'!T55</f>
        <v>0</v>
      </c>
      <c r="U715">
        <f>'Revenue drivers'!U55</f>
        <v>0</v>
      </c>
      <c r="V715">
        <f>'Revenue drivers'!V55</f>
        <v>0</v>
      </c>
      <c r="W715">
        <f>'Revenue drivers'!W55</f>
        <v>0</v>
      </c>
      <c r="X715">
        <f>'Revenue drivers'!X55</f>
        <v>0</v>
      </c>
      <c r="Y715">
        <f>'Revenue drivers'!Y55</f>
        <v>0</v>
      </c>
      <c r="Z715">
        <f>'Revenue drivers'!Z55</f>
        <v>0</v>
      </c>
      <c r="AA715">
        <f>'Revenue drivers'!AA55</f>
        <v>0</v>
      </c>
      <c r="AB715">
        <f>'Revenue drivers'!AB55</f>
        <v>0</v>
      </c>
      <c r="AC715">
        <f>'Revenue drivers'!AC55</f>
        <v>0</v>
      </c>
      <c r="AD715">
        <f>'Revenue drivers'!AD55</f>
        <v>0</v>
      </c>
      <c r="AE715">
        <f>'Revenue drivers'!AE55</f>
        <v>0</v>
      </c>
      <c r="AF715">
        <f>'Revenue drivers'!AF55</f>
        <v>0</v>
      </c>
      <c r="AG715">
        <f>'Revenue drivers'!AG55</f>
        <v>0</v>
      </c>
      <c r="AH715">
        <f>'Revenue drivers'!AH55</f>
        <v>0</v>
      </c>
      <c r="AI715">
        <f>'Revenue drivers'!AI55</f>
        <v>0</v>
      </c>
      <c r="AJ715">
        <f>'Revenue drivers'!AJ55</f>
        <v>0</v>
      </c>
      <c r="AK715">
        <f>'Revenue drivers'!AK55</f>
        <v>0</v>
      </c>
      <c r="AL715">
        <f>'Revenue drivers'!AL55</f>
        <v>0</v>
      </c>
      <c r="AM715">
        <f>'Revenue drivers'!AM55</f>
        <v>0</v>
      </c>
      <c r="AN715">
        <f>'Revenue drivers'!AN55</f>
        <v>0</v>
      </c>
      <c r="AO715">
        <f>'Revenue drivers'!AO55</f>
        <v>0</v>
      </c>
      <c r="AP715">
        <f>'Revenue drivers'!AP55</f>
        <v>0</v>
      </c>
      <c r="AQ715">
        <f>'Revenue drivers'!AQ55</f>
        <v>0</v>
      </c>
      <c r="AR715">
        <f>'Revenue drivers'!AR55</f>
        <v>0</v>
      </c>
      <c r="AS715">
        <f>'Revenue drivers'!AS55</f>
        <v>0</v>
      </c>
      <c r="AT715">
        <f>'Revenue drivers'!AT55</f>
        <v>0</v>
      </c>
      <c r="AU715">
        <f>'Revenue drivers'!AU55</f>
        <v>0</v>
      </c>
      <c r="AV715">
        <f>'Revenue drivers'!AV55</f>
        <v>0</v>
      </c>
      <c r="AW715">
        <f>'Revenue drivers'!AW55</f>
        <v>0</v>
      </c>
      <c r="AX715">
        <f>'Revenue drivers'!AX55</f>
        <v>0</v>
      </c>
      <c r="AY715">
        <f>'Revenue drivers'!AY55</f>
        <v>0</v>
      </c>
      <c r="AZ715">
        <f>'Revenue drivers'!AZ55</f>
        <v>0</v>
      </c>
      <c r="BA715">
        <f>'Revenue drivers'!BA55</f>
        <v>0</v>
      </c>
      <c r="BB715">
        <f>'Revenue drivers'!BB55</f>
        <v>0</v>
      </c>
      <c r="BC715">
        <f>'Revenue drivers'!BC55</f>
        <v>0</v>
      </c>
      <c r="BD715">
        <f>'Revenue drivers'!BD55</f>
        <v>0</v>
      </c>
      <c r="BE715">
        <f>'Revenue drivers'!BE55</f>
        <v>0</v>
      </c>
      <c r="BF715">
        <f>'Revenue drivers'!BF55</f>
        <v>0</v>
      </c>
      <c r="BG715">
        <f>'Revenue drivers'!BG55</f>
        <v>0</v>
      </c>
      <c r="BH715">
        <f>'Revenue drivers'!BH55</f>
        <v>0</v>
      </c>
      <c r="BI715">
        <f>'Revenue drivers'!BI55</f>
        <v>0</v>
      </c>
      <c r="BJ715">
        <f>'Revenue drivers'!BJ55</f>
        <v>0</v>
      </c>
      <c r="BK715">
        <f>'Revenue drivers'!BK55</f>
        <v>0</v>
      </c>
      <c r="BL715">
        <f>'Revenue drivers'!BL55</f>
        <v>0</v>
      </c>
      <c r="BM715">
        <f>'Revenue drivers'!BM55</f>
        <v>0</v>
      </c>
      <c r="BN715">
        <f>'Revenue drivers'!BN55</f>
        <v>0</v>
      </c>
      <c r="BO715">
        <f>'Revenue drivers'!BO55</f>
        <v>0</v>
      </c>
      <c r="BP715">
        <f>'Revenue drivers'!BP55</f>
        <v>0</v>
      </c>
      <c r="BQ715">
        <f>'Revenue drivers'!BQ55</f>
        <v>0</v>
      </c>
      <c r="BR715">
        <f>'Revenue drivers'!BR55</f>
        <v>0</v>
      </c>
      <c r="BS715">
        <f>'Revenue drivers'!BS55</f>
        <v>0</v>
      </c>
      <c r="BT715">
        <f>'Revenue drivers'!BT55</f>
        <v>0</v>
      </c>
      <c r="BU715">
        <f>'Revenue drivers'!BU55</f>
        <v>0</v>
      </c>
      <c r="BV715">
        <f>'Revenue drivers'!BV55</f>
        <v>0</v>
      </c>
      <c r="BW715">
        <f>'Revenue drivers'!BW55</f>
        <v>0</v>
      </c>
      <c r="BX715">
        <f>'Revenue drivers'!BX55</f>
        <v>0</v>
      </c>
      <c r="BY715">
        <f>'Revenue drivers'!BY55</f>
        <v>0</v>
      </c>
    </row>
    <row r="716" spans="9:77" ht="11.25" customHeight="1">
      <c r="I716">
        <f>'Revenue drivers'!I56</f>
        <v>0</v>
      </c>
      <c r="J716">
        <f>'Revenue drivers'!J56</f>
        <v>0</v>
      </c>
      <c r="K716">
        <f>'Revenue drivers'!K56</f>
        <v>0</v>
      </c>
      <c r="L716">
        <f>'Revenue drivers'!L56</f>
        <v>0</v>
      </c>
      <c r="M716">
        <f>'Revenue drivers'!M56</f>
        <v>0</v>
      </c>
      <c r="N716">
        <f>'Revenue drivers'!N56</f>
        <v>0</v>
      </c>
      <c r="O716">
        <f>'Revenue drivers'!O56</f>
        <v>0</v>
      </c>
      <c r="P716">
        <f>'Revenue drivers'!P56</f>
        <v>0</v>
      </c>
      <c r="Q716">
        <f>'Revenue drivers'!Q56</f>
        <v>0</v>
      </c>
      <c r="R716">
        <f>'Revenue drivers'!R56</f>
        <v>0</v>
      </c>
      <c r="S716">
        <f>'Revenue drivers'!S56</f>
        <v>0</v>
      </c>
      <c r="T716">
        <f>'Revenue drivers'!T56</f>
        <v>0</v>
      </c>
      <c r="U716">
        <f>'Revenue drivers'!U56</f>
        <v>0</v>
      </c>
      <c r="V716">
        <f>'Revenue drivers'!V56</f>
        <v>0</v>
      </c>
      <c r="W716">
        <f>'Revenue drivers'!W56</f>
        <v>0</v>
      </c>
      <c r="X716">
        <f>'Revenue drivers'!X56</f>
        <v>0</v>
      </c>
      <c r="Y716">
        <f>'Revenue drivers'!Y56</f>
        <v>0</v>
      </c>
      <c r="Z716">
        <f>'Revenue drivers'!Z56</f>
        <v>0</v>
      </c>
      <c r="AA716">
        <f>'Revenue drivers'!AA56</f>
        <v>0</v>
      </c>
      <c r="AB716">
        <f>'Revenue drivers'!AB56</f>
        <v>0</v>
      </c>
      <c r="AC716">
        <f>'Revenue drivers'!AC56</f>
        <v>0</v>
      </c>
      <c r="AD716">
        <f>'Revenue drivers'!AD56</f>
        <v>0</v>
      </c>
      <c r="AE716">
        <f>'Revenue drivers'!AE56</f>
        <v>0</v>
      </c>
      <c r="AF716">
        <f>'Revenue drivers'!AF56</f>
        <v>0</v>
      </c>
      <c r="AG716">
        <f>'Revenue drivers'!AG56</f>
        <v>0</v>
      </c>
      <c r="AH716">
        <f>'Revenue drivers'!AH56</f>
        <v>0</v>
      </c>
      <c r="AI716">
        <f>'Revenue drivers'!AI56</f>
        <v>0</v>
      </c>
      <c r="AJ716">
        <f>'Revenue drivers'!AJ56</f>
        <v>0</v>
      </c>
      <c r="AK716">
        <f>'Revenue drivers'!AK56</f>
        <v>0</v>
      </c>
      <c r="AL716">
        <f>'Revenue drivers'!AL56</f>
        <v>0</v>
      </c>
      <c r="AM716">
        <f>'Revenue drivers'!AM56</f>
        <v>0</v>
      </c>
      <c r="AN716">
        <f>'Revenue drivers'!AN56</f>
        <v>0</v>
      </c>
      <c r="AO716">
        <f>'Revenue drivers'!AO56</f>
        <v>0</v>
      </c>
      <c r="AP716">
        <f>'Revenue drivers'!AP56</f>
        <v>0</v>
      </c>
      <c r="AQ716">
        <f>'Revenue drivers'!AQ56</f>
        <v>0</v>
      </c>
      <c r="AR716">
        <f>'Revenue drivers'!AR56</f>
        <v>0</v>
      </c>
      <c r="AS716">
        <f>'Revenue drivers'!AS56</f>
        <v>0</v>
      </c>
      <c r="AT716">
        <f>'Revenue drivers'!AT56</f>
        <v>0</v>
      </c>
      <c r="AU716">
        <f>'Revenue drivers'!AU56</f>
        <v>0</v>
      </c>
      <c r="AV716">
        <f>'Revenue drivers'!AV56</f>
        <v>0</v>
      </c>
      <c r="AW716">
        <f>'Revenue drivers'!AW56</f>
        <v>0</v>
      </c>
      <c r="AX716">
        <f>'Revenue drivers'!AX56</f>
        <v>0</v>
      </c>
      <c r="AY716">
        <f>'Revenue drivers'!AY56</f>
        <v>0</v>
      </c>
      <c r="AZ716">
        <f>'Revenue drivers'!AZ56</f>
        <v>0</v>
      </c>
      <c r="BA716">
        <f>'Revenue drivers'!BA56</f>
        <v>0</v>
      </c>
      <c r="BB716">
        <f>'Revenue drivers'!BB56</f>
        <v>0</v>
      </c>
      <c r="BC716">
        <f>'Revenue drivers'!BC56</f>
        <v>0</v>
      </c>
      <c r="BD716">
        <f>'Revenue drivers'!BD56</f>
        <v>0</v>
      </c>
      <c r="BE716">
        <f>'Revenue drivers'!BE56</f>
        <v>0</v>
      </c>
      <c r="BF716">
        <f>'Revenue drivers'!BF56</f>
        <v>0</v>
      </c>
      <c r="BG716">
        <f>'Revenue drivers'!BG56</f>
        <v>0</v>
      </c>
      <c r="BH716">
        <f>'Revenue drivers'!BH56</f>
        <v>0</v>
      </c>
      <c r="BI716">
        <f>'Revenue drivers'!BI56</f>
        <v>0</v>
      </c>
      <c r="BJ716">
        <f>'Revenue drivers'!BJ56</f>
        <v>0</v>
      </c>
      <c r="BK716">
        <f>'Revenue drivers'!BK56</f>
        <v>0</v>
      </c>
      <c r="BL716">
        <f>'Revenue drivers'!BL56</f>
        <v>0</v>
      </c>
      <c r="BM716">
        <f>'Revenue drivers'!BM56</f>
        <v>0</v>
      </c>
      <c r="BN716">
        <f>'Revenue drivers'!BN56</f>
        <v>0</v>
      </c>
      <c r="BO716">
        <f>'Revenue drivers'!BO56</f>
        <v>0</v>
      </c>
      <c r="BP716">
        <f>'Revenue drivers'!BP56</f>
        <v>0</v>
      </c>
      <c r="BQ716">
        <f>'Revenue drivers'!BQ56</f>
        <v>0</v>
      </c>
      <c r="BR716">
        <f>'Revenue drivers'!BR56</f>
        <v>0</v>
      </c>
      <c r="BS716">
        <f>'Revenue drivers'!BS56</f>
        <v>0</v>
      </c>
      <c r="BT716">
        <f>'Revenue drivers'!BT56</f>
        <v>0</v>
      </c>
      <c r="BU716">
        <f>'Revenue drivers'!BU56</f>
        <v>0</v>
      </c>
      <c r="BV716">
        <f>'Revenue drivers'!BV56</f>
        <v>0</v>
      </c>
      <c r="BW716">
        <f>'Revenue drivers'!BW56</f>
        <v>0</v>
      </c>
      <c r="BX716">
        <f>'Revenue drivers'!BX56</f>
        <v>0</v>
      </c>
      <c r="BY716">
        <f>'Revenue drivers'!BY56</f>
        <v>0</v>
      </c>
    </row>
    <row r="717" spans="9:77" ht="11.25" customHeight="1">
      <c r="I717" t="str">
        <f>'Revenue drivers'!I57</f>
        <v>Total international revenue</v>
      </c>
      <c r="J717">
        <f>'Revenue drivers'!J57</f>
        <v>0</v>
      </c>
      <c r="K717">
        <f>'Revenue drivers'!K57</f>
        <v>0</v>
      </c>
      <c r="L717">
        <f>'Revenue drivers'!L57</f>
        <v>0</v>
      </c>
      <c r="M717">
        <f>'Revenue drivers'!M57</f>
        <v>0</v>
      </c>
      <c r="N717">
        <f>'Revenue drivers'!N57</f>
        <v>0</v>
      </c>
      <c r="O717">
        <f>'Revenue drivers'!O57</f>
        <v>0</v>
      </c>
      <c r="P717">
        <f>'Revenue drivers'!P57</f>
        <v>0</v>
      </c>
      <c r="Q717">
        <f>'Revenue drivers'!Q57</f>
        <v>0</v>
      </c>
      <c r="R717">
        <f>'Revenue drivers'!R57</f>
        <v>0</v>
      </c>
      <c r="S717">
        <f>'Revenue drivers'!S57</f>
        <v>0</v>
      </c>
      <c r="T717">
        <f>'Revenue drivers'!T57</f>
        <v>0</v>
      </c>
      <c r="U717">
        <f>'Revenue drivers'!U57</f>
        <v>0</v>
      </c>
      <c r="V717">
        <f>'Revenue drivers'!V57</f>
        <v>0</v>
      </c>
      <c r="W717">
        <f>'Revenue drivers'!W57</f>
        <v>0</v>
      </c>
      <c r="X717">
        <f>'Revenue drivers'!X57</f>
        <v>0</v>
      </c>
      <c r="Y717">
        <f>'Revenue drivers'!Y57</f>
        <v>2.3066500000000003</v>
      </c>
      <c r="Z717">
        <f>'Revenue drivers'!Z57</f>
        <v>2.7511500000000004</v>
      </c>
      <c r="AA717">
        <f>'Revenue drivers'!AA57</f>
        <v>3.05905</v>
      </c>
      <c r="AB717">
        <f>'Revenue drivers'!AB57</f>
        <v>2.6140869999999996</v>
      </c>
      <c r="AC717">
        <f>'Revenue drivers'!AC57</f>
        <v>2.5214310000000002</v>
      </c>
      <c r="AD717">
        <f>'Revenue drivers'!AD57</f>
        <v>2.6636100000000003</v>
      </c>
      <c r="AE717">
        <f>'Revenue drivers'!AE57</f>
        <v>3.0736499999999998</v>
      </c>
      <c r="AF717">
        <f>'Revenue drivers'!AF57</f>
        <v>3.2966099999999998</v>
      </c>
      <c r="AG717">
        <f>'Revenue drivers'!AG57</f>
        <v>3.2</v>
      </c>
      <c r="AH717">
        <f>'Revenue drivers'!AH57</f>
        <v>3</v>
      </c>
      <c r="AI717">
        <f>'Revenue drivers'!AI57</f>
        <v>2.9</v>
      </c>
      <c r="AJ717">
        <f>'Revenue drivers'!AJ57</f>
        <v>3</v>
      </c>
      <c r="AK717">
        <f>'Revenue drivers'!AK57</f>
        <v>3.2</v>
      </c>
      <c r="AL717">
        <f>'Revenue drivers'!AL57</f>
        <v>3.7</v>
      </c>
      <c r="AM717">
        <f>'Revenue drivers'!AM57</f>
        <v>3.9</v>
      </c>
      <c r="AN717">
        <f>'Revenue drivers'!AN57</f>
        <v>3.9</v>
      </c>
      <c r="AO717">
        <f>'Revenue drivers'!AO57</f>
        <v>0</v>
      </c>
      <c r="AP717">
        <f>'Revenue drivers'!AP57</f>
        <v>0</v>
      </c>
      <c r="AQ717">
        <f>'Revenue drivers'!AQ57</f>
        <v>0</v>
      </c>
      <c r="AR717">
        <f>'Revenue drivers'!AR57</f>
        <v>0</v>
      </c>
      <c r="AS717">
        <f>'Revenue drivers'!AS57</f>
        <v>0</v>
      </c>
      <c r="AT717">
        <f>'Revenue drivers'!AT57</f>
        <v>0</v>
      </c>
      <c r="AU717">
        <f>'Revenue drivers'!AU57</f>
        <v>0</v>
      </c>
      <c r="AV717">
        <f>'Revenue drivers'!AV57</f>
        <v>0</v>
      </c>
      <c r="AW717">
        <f>'Revenue drivers'!AW57</f>
        <v>0</v>
      </c>
      <c r="AX717">
        <f>'Revenue drivers'!AX57</f>
        <v>0</v>
      </c>
      <c r="AY717">
        <f>'Revenue drivers'!AY57</f>
        <v>0</v>
      </c>
      <c r="AZ717">
        <f>'Revenue drivers'!AZ57</f>
        <v>0</v>
      </c>
      <c r="BA717">
        <f>'Revenue drivers'!BA57</f>
        <v>0</v>
      </c>
      <c r="BB717">
        <f>'Revenue drivers'!BB57</f>
        <v>0</v>
      </c>
      <c r="BC717">
        <f>'Revenue drivers'!BC57</f>
        <v>0</v>
      </c>
      <c r="BD717">
        <f>'Revenue drivers'!BD57</f>
        <v>0</v>
      </c>
      <c r="BE717">
        <f>'Revenue drivers'!BE57</f>
        <v>0</v>
      </c>
      <c r="BF717">
        <f>'Revenue drivers'!BF57</f>
        <v>0</v>
      </c>
      <c r="BG717">
        <f>'Revenue drivers'!BG57</f>
        <v>0</v>
      </c>
      <c r="BH717">
        <f>'Revenue drivers'!BH57</f>
        <v>0</v>
      </c>
      <c r="BI717">
        <f>'Revenue drivers'!BI57</f>
        <v>0</v>
      </c>
      <c r="BJ717">
        <f>'Revenue drivers'!BJ57</f>
        <v>0</v>
      </c>
      <c r="BK717">
        <f>'Revenue drivers'!BK57</f>
        <v>0</v>
      </c>
      <c r="BL717">
        <f>'Revenue drivers'!BL57</f>
        <v>0</v>
      </c>
      <c r="BM717">
        <f>'Revenue drivers'!BM57</f>
        <v>10.730936999999999</v>
      </c>
      <c r="BN717">
        <f>'Revenue drivers'!BN57</f>
        <v>11.555300999999998</v>
      </c>
      <c r="BO717">
        <f>'Revenue drivers'!BO57</f>
        <v>12.1</v>
      </c>
      <c r="BP717">
        <f>'Revenue drivers'!BP57</f>
        <v>14.700000000000001</v>
      </c>
      <c r="BQ717">
        <f>'Revenue drivers'!BQ57</f>
        <v>0</v>
      </c>
      <c r="BR717">
        <f>'Revenue drivers'!BR57</f>
        <v>0</v>
      </c>
      <c r="BS717">
        <f>'Revenue drivers'!BS57</f>
        <v>0</v>
      </c>
      <c r="BT717">
        <f>'Revenue drivers'!BT57</f>
        <v>0</v>
      </c>
      <c r="BU717">
        <f>'Revenue drivers'!BU57</f>
        <v>28.012</v>
      </c>
      <c r="BV717">
        <f>'Revenue drivers'!BV57</f>
        <v>30.751999999999999</v>
      </c>
      <c r="BW717">
        <f>'Revenue drivers'!BW57</f>
        <v>33.411999999999999</v>
      </c>
      <c r="BX717">
        <f>'Revenue drivers'!BX57</f>
        <v>35.991999999999997</v>
      </c>
      <c r="BY717">
        <f>'Revenue drivers'!BY57</f>
        <v>38.512</v>
      </c>
    </row>
    <row r="718" spans="9:77" ht="11.25" customHeight="1">
      <c r="I718" t="str">
        <f>'Revenue drivers'!I58</f>
        <v>% change Y/Y</v>
      </c>
      <c r="J718">
        <f>'Revenue drivers'!J58</f>
        <v>0</v>
      </c>
      <c r="K718">
        <f>'Revenue drivers'!K58</f>
        <v>0</v>
      </c>
      <c r="L718">
        <f>'Revenue drivers'!L58</f>
        <v>0</v>
      </c>
      <c r="M718">
        <f>'Revenue drivers'!M58</f>
        <v>0</v>
      </c>
      <c r="N718">
        <f>'Revenue drivers'!N58</f>
        <v>0</v>
      </c>
      <c r="O718">
        <f>'Revenue drivers'!O58</f>
        <v>0</v>
      </c>
      <c r="P718">
        <f>'Revenue drivers'!P58</f>
        <v>0</v>
      </c>
      <c r="Q718">
        <f>'Revenue drivers'!Q58</f>
        <v>0</v>
      </c>
      <c r="R718">
        <f>'Revenue drivers'!R58</f>
        <v>0</v>
      </c>
      <c r="S718">
        <f>'Revenue drivers'!S58</f>
        <v>0</v>
      </c>
      <c r="T718">
        <f>'Revenue drivers'!T58</f>
        <v>0</v>
      </c>
      <c r="U718">
        <f>'Revenue drivers'!U58</f>
        <v>0</v>
      </c>
      <c r="V718">
        <f>'Revenue drivers'!V58</f>
        <v>0</v>
      </c>
      <c r="W718">
        <f>'Revenue drivers'!W58</f>
        <v>0</v>
      </c>
      <c r="X718">
        <f>'Revenue drivers'!X58</f>
        <v>0</v>
      </c>
      <c r="Y718">
        <f>'Revenue drivers'!Y58</f>
        <v>0</v>
      </c>
      <c r="Z718" t="str">
        <f>'Revenue drivers'!Z58</f>
        <v>NA</v>
      </c>
      <c r="AA718" t="str">
        <f>'Revenue drivers'!AA58</f>
        <v>NA</v>
      </c>
      <c r="AB718" t="str">
        <f>'Revenue drivers'!AB58</f>
        <v>NA</v>
      </c>
      <c r="AC718">
        <f>'Revenue drivers'!AC58</f>
        <v>9.3113823076756308E-2</v>
      </c>
      <c r="AD718">
        <f>'Revenue drivers'!AD58</f>
        <v>-3.1819420969412815E-2</v>
      </c>
      <c r="AE718">
        <f>'Revenue drivers'!AE58</f>
        <v>4.7727235579673177E-3</v>
      </c>
      <c r="AF718">
        <f>'Revenue drivers'!AF58</f>
        <v>0.26109421759872586</v>
      </c>
      <c r="AG718">
        <f>'Revenue drivers'!AG58</f>
        <v>0.26912059064872285</v>
      </c>
      <c r="AH718">
        <f>'Revenue drivers'!AH58</f>
        <v>0.12629101107144058</v>
      </c>
      <c r="AI718">
        <f>'Revenue drivers'!AI58</f>
        <v>-5.6496347990174556E-2</v>
      </c>
      <c r="AJ718">
        <f>'Revenue drivers'!AJ58</f>
        <v>-8.9974246271169456E-2</v>
      </c>
      <c r="AK718">
        <f>'Revenue drivers'!AK58</f>
        <v>0</v>
      </c>
      <c r="AL718">
        <f>'Revenue drivers'!AL58</f>
        <v>0.23333333333333339</v>
      </c>
      <c r="AM718">
        <f>'Revenue drivers'!AM58</f>
        <v>0.34482758620689657</v>
      </c>
      <c r="AN718">
        <f>'Revenue drivers'!AN58</f>
        <v>0.30000000000000004</v>
      </c>
      <c r="AO718" t="str">
        <f>'Revenue drivers'!AO58</f>
        <v>NM</v>
      </c>
      <c r="AP718" t="str">
        <f>'Revenue drivers'!AP58</f>
        <v>NM</v>
      </c>
      <c r="AQ718" t="str">
        <f>'Revenue drivers'!AQ58</f>
        <v>NM</v>
      </c>
      <c r="AR718" t="str">
        <f>'Revenue drivers'!AR58</f>
        <v>NM</v>
      </c>
      <c r="AS718" t="str">
        <f>'Revenue drivers'!AS58</f>
        <v>NA</v>
      </c>
      <c r="AT718" t="str">
        <f>'Revenue drivers'!AT58</f>
        <v>NA</v>
      </c>
      <c r="AU718" t="str">
        <f>'Revenue drivers'!AU58</f>
        <v>NA</v>
      </c>
      <c r="AV718" t="str">
        <f>'Revenue drivers'!AV58</f>
        <v>NA</v>
      </c>
      <c r="AW718" t="str">
        <f>'Revenue drivers'!AW58</f>
        <v>NA</v>
      </c>
      <c r="AX718" t="str">
        <f>'Revenue drivers'!AX58</f>
        <v>NA</v>
      </c>
      <c r="AY718" t="str">
        <f>'Revenue drivers'!AY58</f>
        <v>NA</v>
      </c>
      <c r="AZ718" t="str">
        <f>'Revenue drivers'!AZ58</f>
        <v>NA</v>
      </c>
      <c r="BA718" t="str">
        <f>'Revenue drivers'!BA58</f>
        <v>NA</v>
      </c>
      <c r="BB718" t="str">
        <f>'Revenue drivers'!BB58</f>
        <v>NA</v>
      </c>
      <c r="BC718" t="str">
        <f>'Revenue drivers'!BC58</f>
        <v>NA</v>
      </c>
      <c r="BD718" t="str">
        <f>'Revenue drivers'!BD58</f>
        <v>NA</v>
      </c>
      <c r="BE718">
        <f>'Revenue drivers'!BE58</f>
        <v>0</v>
      </c>
      <c r="BF718">
        <f>'Revenue drivers'!BF58</f>
        <v>0</v>
      </c>
      <c r="BG718">
        <f>'Revenue drivers'!BG58</f>
        <v>0</v>
      </c>
      <c r="BH718">
        <f>'Revenue drivers'!BH58</f>
        <v>0</v>
      </c>
      <c r="BI718">
        <f>'Revenue drivers'!BI58</f>
        <v>0</v>
      </c>
      <c r="BJ718">
        <f>'Revenue drivers'!BJ58</f>
        <v>0</v>
      </c>
      <c r="BK718">
        <f>'Revenue drivers'!BK58</f>
        <v>0</v>
      </c>
      <c r="BL718">
        <f>'Revenue drivers'!BL58</f>
        <v>0</v>
      </c>
      <c r="BM718">
        <f>'Revenue drivers'!BM58</f>
        <v>0</v>
      </c>
      <c r="BN718">
        <f>'Revenue drivers'!BN58</f>
        <v>7.6821250558082532E-2</v>
      </c>
      <c r="BO718">
        <f>'Revenue drivers'!BO58</f>
        <v>4.7138451867242637E-2</v>
      </c>
      <c r="BP718">
        <f>'Revenue drivers'!BP58</f>
        <v>0.21487603305785141</v>
      </c>
      <c r="BQ718" t="str">
        <f>'Revenue drivers'!BQ58</f>
        <v>NM</v>
      </c>
      <c r="BR718" t="str">
        <f>'Revenue drivers'!BR58</f>
        <v>NA</v>
      </c>
      <c r="BS718" t="str">
        <f>'Revenue drivers'!BS58</f>
        <v>NA</v>
      </c>
      <c r="BT718" t="str">
        <f>'Revenue drivers'!BT58</f>
        <v>NA</v>
      </c>
      <c r="BU718" t="str">
        <f>'Revenue drivers'!BU58</f>
        <v>NA</v>
      </c>
      <c r="BV718">
        <f>'Revenue drivers'!BV58</f>
        <v>9.7815222047693773E-2</v>
      </c>
      <c r="BW718">
        <f>'Revenue drivers'!BW58</f>
        <v>8.6498439125910487E-2</v>
      </c>
      <c r="BX718">
        <f>'Revenue drivers'!BX58</f>
        <v>7.7217766072069871E-2</v>
      </c>
      <c r="BY718">
        <f>'Revenue drivers'!BY58</f>
        <v>7.0015559013114181E-2</v>
      </c>
    </row>
    <row r="719" spans="9:77" ht="11.25" customHeight="1">
      <c r="I719" t="str">
        <f>'Revenue drivers'!I59</f>
        <v>% change Q/Q</v>
      </c>
      <c r="J719">
        <f>'Revenue drivers'!J59</f>
        <v>0</v>
      </c>
      <c r="K719">
        <f>'Revenue drivers'!K59</f>
        <v>0</v>
      </c>
      <c r="L719">
        <f>'Revenue drivers'!L59</f>
        <v>0</v>
      </c>
      <c r="M719">
        <f>'Revenue drivers'!M59</f>
        <v>0</v>
      </c>
      <c r="N719">
        <f>'Revenue drivers'!N59</f>
        <v>0</v>
      </c>
      <c r="O719">
        <f>'Revenue drivers'!O59</f>
        <v>0</v>
      </c>
      <c r="P719">
        <f>'Revenue drivers'!P59</f>
        <v>0</v>
      </c>
      <c r="Q719">
        <f>'Revenue drivers'!Q59</f>
        <v>0</v>
      </c>
      <c r="R719">
        <f>'Revenue drivers'!R59</f>
        <v>0</v>
      </c>
      <c r="S719">
        <f>'Revenue drivers'!S59</f>
        <v>0</v>
      </c>
      <c r="T719">
        <f>'Revenue drivers'!T59</f>
        <v>0</v>
      </c>
      <c r="U719">
        <f>'Revenue drivers'!U59</f>
        <v>0</v>
      </c>
      <c r="V719">
        <f>'Revenue drivers'!V59</f>
        <v>0</v>
      </c>
      <c r="W719">
        <f>'Revenue drivers'!W59</f>
        <v>0</v>
      </c>
      <c r="X719">
        <f>'Revenue drivers'!X59</f>
        <v>0</v>
      </c>
      <c r="Y719">
        <f>'Revenue drivers'!Y59</f>
        <v>0</v>
      </c>
      <c r="Z719">
        <f>'Revenue drivers'!Z59</f>
        <v>0.1927037045065354</v>
      </c>
      <c r="AA719">
        <f>'Revenue drivers'!AA59</f>
        <v>0.11191683477818359</v>
      </c>
      <c r="AB719">
        <f>'Revenue drivers'!AB59</f>
        <v>-0.1454579035975222</v>
      </c>
      <c r="AC719">
        <f>'Revenue drivers'!AC59</f>
        <v>-3.5444879990604528E-2</v>
      </c>
      <c r="AD719">
        <f>'Revenue drivers'!AD59</f>
        <v>5.6388217643076555E-2</v>
      </c>
      <c r="AE719">
        <f>'Revenue drivers'!AE59</f>
        <v>0.15394145539324433</v>
      </c>
      <c r="AF719">
        <f>'Revenue drivers'!AF59</f>
        <v>7.2539163535210616E-2</v>
      </c>
      <c r="AG719">
        <f>'Revenue drivers'!AG59</f>
        <v>-2.9305862689247286E-2</v>
      </c>
      <c r="AH719">
        <f>'Revenue drivers'!AH59</f>
        <v>-6.25E-2</v>
      </c>
      <c r="AI719">
        <f>'Revenue drivers'!AI59</f>
        <v>-3.3333333333333326E-2</v>
      </c>
      <c r="AJ719">
        <f>'Revenue drivers'!AJ59</f>
        <v>3.4482758620689724E-2</v>
      </c>
      <c r="AK719">
        <f>'Revenue drivers'!AK59</f>
        <v>6.6666666666666652E-2</v>
      </c>
      <c r="AL719">
        <f>'Revenue drivers'!AL59</f>
        <v>0.15625</v>
      </c>
      <c r="AM719">
        <f>'Revenue drivers'!AM59</f>
        <v>5.4054054054053946E-2</v>
      </c>
      <c r="AN719">
        <f>'Revenue drivers'!AN59</f>
        <v>0</v>
      </c>
      <c r="AO719" t="str">
        <f>'Revenue drivers'!AO59</f>
        <v>NM</v>
      </c>
      <c r="AP719" t="str">
        <f>'Revenue drivers'!AP59</f>
        <v>NA</v>
      </c>
      <c r="AQ719" t="str">
        <f>'Revenue drivers'!AQ59</f>
        <v>NA</v>
      </c>
      <c r="AR719" t="str">
        <f>'Revenue drivers'!AR59</f>
        <v>NA</v>
      </c>
      <c r="AS719" t="str">
        <f>'Revenue drivers'!AS59</f>
        <v>NA</v>
      </c>
      <c r="AT719" t="str">
        <f>'Revenue drivers'!AT59</f>
        <v>NA</v>
      </c>
      <c r="AU719" t="str">
        <f>'Revenue drivers'!AU59</f>
        <v>NA</v>
      </c>
      <c r="AV719" t="str">
        <f>'Revenue drivers'!AV59</f>
        <v>NA</v>
      </c>
      <c r="AW719" t="str">
        <f>'Revenue drivers'!AW59</f>
        <v>NA</v>
      </c>
      <c r="AX719" t="str">
        <f>'Revenue drivers'!AX59</f>
        <v>NA</v>
      </c>
      <c r="AY719" t="str">
        <f>'Revenue drivers'!AY59</f>
        <v>NA</v>
      </c>
      <c r="AZ719" t="str">
        <f>'Revenue drivers'!AZ59</f>
        <v>NA</v>
      </c>
      <c r="BA719" t="str">
        <f>'Revenue drivers'!BA59</f>
        <v>NA</v>
      </c>
      <c r="BB719" t="str">
        <f>'Revenue drivers'!BB59</f>
        <v>NA</v>
      </c>
      <c r="BC719" t="str">
        <f>'Revenue drivers'!BC59</f>
        <v>NA</v>
      </c>
      <c r="BD719" t="str">
        <f>'Revenue drivers'!BD59</f>
        <v>NA</v>
      </c>
      <c r="BE719">
        <f>'Revenue drivers'!BE59</f>
        <v>0</v>
      </c>
      <c r="BF719">
        <f>'Revenue drivers'!BF59</f>
        <v>0</v>
      </c>
      <c r="BG719">
        <f>'Revenue drivers'!BG59</f>
        <v>0</v>
      </c>
      <c r="BH719">
        <f>'Revenue drivers'!BH59</f>
        <v>0</v>
      </c>
      <c r="BI719">
        <f>'Revenue drivers'!BI59</f>
        <v>0</v>
      </c>
      <c r="BJ719">
        <f>'Revenue drivers'!BJ59</f>
        <v>0</v>
      </c>
      <c r="BK719">
        <f>'Revenue drivers'!BK59</f>
        <v>0</v>
      </c>
      <c r="BL719">
        <f>'Revenue drivers'!BL59</f>
        <v>0</v>
      </c>
      <c r="BM719">
        <f>'Revenue drivers'!BM59</f>
        <v>0</v>
      </c>
      <c r="BN719">
        <f>'Revenue drivers'!BN59</f>
        <v>0</v>
      </c>
      <c r="BO719">
        <f>'Revenue drivers'!BO59</f>
        <v>0</v>
      </c>
      <c r="BP719">
        <f>'Revenue drivers'!BP59</f>
        <v>0</v>
      </c>
      <c r="BQ719">
        <f>'Revenue drivers'!BQ59</f>
        <v>0</v>
      </c>
      <c r="BR719">
        <f>'Revenue drivers'!BR59</f>
        <v>0</v>
      </c>
      <c r="BS719">
        <f>'Revenue drivers'!BS59</f>
        <v>0</v>
      </c>
      <c r="BT719">
        <f>'Revenue drivers'!BT59</f>
        <v>0</v>
      </c>
      <c r="BU719">
        <f>'Revenue drivers'!BU59</f>
        <v>0</v>
      </c>
      <c r="BV719">
        <f>'Revenue drivers'!BV59</f>
        <v>0</v>
      </c>
      <c r="BW719">
        <f>'Revenue drivers'!BW59</f>
        <v>0</v>
      </c>
      <c r="BX719">
        <f>'Revenue drivers'!BX59</f>
        <v>0</v>
      </c>
      <c r="BY719">
        <f>'Revenue drivers'!BY59</f>
        <v>0</v>
      </c>
    </row>
    <row r="720" spans="9:77" ht="11.25" customHeight="1">
      <c r="I720" t="str">
        <f>'Revenue drivers'!I60</f>
        <v>% of total revenue</v>
      </c>
      <c r="J720">
        <f>'Revenue drivers'!J60</f>
        <v>0</v>
      </c>
      <c r="K720">
        <f>'Revenue drivers'!K60</f>
        <v>0</v>
      </c>
      <c r="L720">
        <f>'Revenue drivers'!L60</f>
        <v>0</v>
      </c>
      <c r="M720">
        <f>'Revenue drivers'!M60</f>
        <v>0</v>
      </c>
      <c r="N720">
        <f>'Revenue drivers'!N60</f>
        <v>0</v>
      </c>
      <c r="O720">
        <f>'Revenue drivers'!O60</f>
        <v>0</v>
      </c>
      <c r="P720">
        <f>'Revenue drivers'!P60</f>
        <v>0</v>
      </c>
      <c r="Q720">
        <f>'Revenue drivers'!Q60</f>
        <v>0</v>
      </c>
      <c r="R720">
        <f>'Revenue drivers'!R60</f>
        <v>0</v>
      </c>
      <c r="S720">
        <f>'Revenue drivers'!S60</f>
        <v>0</v>
      </c>
      <c r="T720">
        <f>'Revenue drivers'!T60</f>
        <v>0</v>
      </c>
      <c r="U720">
        <f>'Revenue drivers'!U60</f>
        <v>0</v>
      </c>
      <c r="V720">
        <f>'Revenue drivers'!V60</f>
        <v>0</v>
      </c>
      <c r="W720">
        <f>'Revenue drivers'!W60</f>
        <v>0</v>
      </c>
      <c r="X720">
        <f>'Revenue drivers'!X60</f>
        <v>0</v>
      </c>
      <c r="Y720">
        <f>'Revenue drivers'!Y60</f>
        <v>0.05</v>
      </c>
      <c r="Z720">
        <f>'Revenue drivers'!Z60</f>
        <v>0.05</v>
      </c>
      <c r="AA720">
        <f>'Revenue drivers'!AA60</f>
        <v>0.05</v>
      </c>
      <c r="AB720">
        <f>'Revenue drivers'!AB60</f>
        <v>3.6999999999999998E-2</v>
      </c>
      <c r="AC720">
        <f>'Revenue drivers'!AC60</f>
        <v>3.3000000000000002E-2</v>
      </c>
      <c r="AD720">
        <f>'Revenue drivers'!AD60</f>
        <v>0.03</v>
      </c>
      <c r="AE720">
        <f>'Revenue drivers'!AE60</f>
        <v>0.03</v>
      </c>
      <c r="AF720">
        <f>'Revenue drivers'!AF60</f>
        <v>0.03</v>
      </c>
      <c r="AG720">
        <f>'Revenue drivers'!AG60</f>
        <v>2.8622540250447231E-2</v>
      </c>
      <c r="AH720">
        <f>'Revenue drivers'!AH60</f>
        <v>2.3885350318471339E-2</v>
      </c>
      <c r="AI720">
        <f>'Revenue drivers'!AI60</f>
        <v>2.1545319465081723E-2</v>
      </c>
      <c r="AJ720">
        <f>'Revenue drivers'!AJ60</f>
        <v>2.0449897750511249E-2</v>
      </c>
      <c r="AK720">
        <f>'Revenue drivers'!AK60</f>
        <v>2.0174891087111398E-2</v>
      </c>
      <c r="AL720">
        <f>'Revenue drivers'!AL60</f>
        <v>2.1334501925871257E-2</v>
      </c>
      <c r="AM720">
        <f>'Revenue drivers'!AM60</f>
        <v>2.0941621203659951E-2</v>
      </c>
      <c r="AN720">
        <f>'Revenue drivers'!AN60</f>
        <v>2.0020944988603462E-2</v>
      </c>
      <c r="AO720">
        <f>'Revenue drivers'!AO60</f>
        <v>0</v>
      </c>
      <c r="AP720">
        <f>'Revenue drivers'!AP60</f>
        <v>0</v>
      </c>
      <c r="AQ720">
        <f>'Revenue drivers'!AQ60</f>
        <v>0</v>
      </c>
      <c r="AR720">
        <f>'Revenue drivers'!AR60</f>
        <v>0</v>
      </c>
      <c r="AS720">
        <f>'Revenue drivers'!AS60</f>
        <v>0</v>
      </c>
      <c r="AT720">
        <f>'Revenue drivers'!AT60</f>
        <v>0</v>
      </c>
      <c r="AU720">
        <f>'Revenue drivers'!AU60</f>
        <v>0</v>
      </c>
      <c r="AV720">
        <f>'Revenue drivers'!AV60</f>
        <v>0</v>
      </c>
      <c r="AW720">
        <f>'Revenue drivers'!AW60</f>
        <v>0</v>
      </c>
      <c r="AX720">
        <f>'Revenue drivers'!AX60</f>
        <v>0</v>
      </c>
      <c r="AY720">
        <f>'Revenue drivers'!AY60</f>
        <v>0</v>
      </c>
      <c r="AZ720">
        <f>'Revenue drivers'!AZ60</f>
        <v>0</v>
      </c>
      <c r="BA720">
        <f>'Revenue drivers'!BA60</f>
        <v>0</v>
      </c>
      <c r="BB720">
        <f>'Revenue drivers'!BB60</f>
        <v>0</v>
      </c>
      <c r="BC720">
        <f>'Revenue drivers'!BC60</f>
        <v>0</v>
      </c>
      <c r="BD720">
        <f>'Revenue drivers'!BD60</f>
        <v>0</v>
      </c>
      <c r="BE720">
        <f>'Revenue drivers'!BE60</f>
        <v>0</v>
      </c>
      <c r="BF720">
        <f>'Revenue drivers'!BF60</f>
        <v>0</v>
      </c>
      <c r="BG720">
        <f>'Revenue drivers'!BG60</f>
        <v>0</v>
      </c>
      <c r="BH720">
        <f>'Revenue drivers'!BH60</f>
        <v>0</v>
      </c>
      <c r="BI720">
        <f>'Revenue drivers'!BI60</f>
        <v>0</v>
      </c>
      <c r="BJ720">
        <f>'Revenue drivers'!BJ60</f>
        <v>0</v>
      </c>
      <c r="BK720">
        <f>'Revenue drivers'!BK60</f>
        <v>0</v>
      </c>
      <c r="BL720">
        <f>'Revenue drivers'!BL60</f>
        <v>0</v>
      </c>
      <c r="BM720">
        <f>'Revenue drivers'!BM60</f>
        <v>0</v>
      </c>
      <c r="BN720">
        <f>'Revenue drivers'!BN60</f>
        <v>3.0607150046618067E-2</v>
      </c>
      <c r="BO720">
        <f>'Revenue drivers'!BO60</f>
        <v>2.3327549643339114E-2</v>
      </c>
      <c r="BP720">
        <f>'Revenue drivers'!BP60</f>
        <v>2.061511578823368E-2</v>
      </c>
      <c r="BQ720">
        <f>'Revenue drivers'!BQ60</f>
        <v>0</v>
      </c>
      <c r="BR720">
        <f>'Revenue drivers'!BR60</f>
        <v>0</v>
      </c>
      <c r="BS720">
        <f>'Revenue drivers'!BS60</f>
        <v>0</v>
      </c>
      <c r="BT720">
        <f>'Revenue drivers'!BT60</f>
        <v>0</v>
      </c>
      <c r="BU720">
        <f>'Revenue drivers'!BU60</f>
        <v>0.02</v>
      </c>
      <c r="BV720">
        <f>'Revenue drivers'!BV60</f>
        <v>0.02</v>
      </c>
      <c r="BW720">
        <f>'Revenue drivers'!BW60</f>
        <v>0.02</v>
      </c>
      <c r="BX720">
        <f>'Revenue drivers'!BX60</f>
        <v>0.02</v>
      </c>
      <c r="BY720">
        <f>'Revenue drivers'!BY60</f>
        <v>0.02</v>
      </c>
    </row>
    <row r="721" spans="9:77" ht="11.25" customHeight="1">
      <c r="I721" t="str">
        <f>'Revenue drivers'!I61</f>
        <v>Y/Y Abs Growth</v>
      </c>
      <c r="J721">
        <f>'Revenue drivers'!J61</f>
        <v>0</v>
      </c>
      <c r="K721">
        <f>'Revenue drivers'!K61</f>
        <v>0</v>
      </c>
      <c r="L721">
        <f>'Revenue drivers'!L61</f>
        <v>0</v>
      </c>
      <c r="M721">
        <f>'Revenue drivers'!M61</f>
        <v>0</v>
      </c>
      <c r="N721">
        <f>'Revenue drivers'!N61</f>
        <v>0</v>
      </c>
      <c r="O721">
        <f>'Revenue drivers'!O61</f>
        <v>0</v>
      </c>
      <c r="P721">
        <f>'Revenue drivers'!P61</f>
        <v>0</v>
      </c>
      <c r="Q721">
        <f>'Revenue drivers'!Q61</f>
        <v>0</v>
      </c>
      <c r="R721">
        <f>'Revenue drivers'!R61</f>
        <v>0</v>
      </c>
      <c r="S721">
        <f>'Revenue drivers'!S61</f>
        <v>0</v>
      </c>
      <c r="T721">
        <f>'Revenue drivers'!T61</f>
        <v>0</v>
      </c>
      <c r="U721">
        <f>'Revenue drivers'!U61</f>
        <v>0</v>
      </c>
      <c r="V721">
        <f>'Revenue drivers'!V61</f>
        <v>0</v>
      </c>
      <c r="W721">
        <f>'Revenue drivers'!W61</f>
        <v>0</v>
      </c>
      <c r="X721">
        <f>'Revenue drivers'!X61</f>
        <v>0</v>
      </c>
      <c r="Y721">
        <f>'Revenue drivers'!Y61</f>
        <v>0</v>
      </c>
      <c r="Z721">
        <f>'Revenue drivers'!Z61</f>
        <v>0</v>
      </c>
      <c r="AA721">
        <f>'Revenue drivers'!AA61</f>
        <v>0</v>
      </c>
      <c r="AB721">
        <f>'Revenue drivers'!AB61</f>
        <v>0</v>
      </c>
      <c r="AC721">
        <f>'Revenue drivers'!AC61</f>
        <v>0</v>
      </c>
      <c r="AD721">
        <f>'Revenue drivers'!AD61</f>
        <v>-8.7540000000000173E-2</v>
      </c>
      <c r="AE721">
        <f>'Revenue drivers'!AE61</f>
        <v>1.4599999999999724E-2</v>
      </c>
      <c r="AF721">
        <f>'Revenue drivers'!AF61</f>
        <v>0.68252300000000021</v>
      </c>
      <c r="AG721">
        <f>'Revenue drivers'!AG61</f>
        <v>0.67856899999999998</v>
      </c>
      <c r="AH721">
        <f>'Revenue drivers'!AH61</f>
        <v>0.33638999999999974</v>
      </c>
      <c r="AI721">
        <f>'Revenue drivers'!AI61</f>
        <v>-0.17364999999999986</v>
      </c>
      <c r="AJ721">
        <f>'Revenue drivers'!AJ61</f>
        <v>-0.29660999999999982</v>
      </c>
      <c r="AK721">
        <f>'Revenue drivers'!AK61</f>
        <v>0</v>
      </c>
      <c r="AL721">
        <f>'Revenue drivers'!AL61</f>
        <v>0.70000000000000018</v>
      </c>
      <c r="AM721">
        <f>'Revenue drivers'!AM61</f>
        <v>1</v>
      </c>
      <c r="AN721">
        <f>'Revenue drivers'!AN61</f>
        <v>0.89999999999999991</v>
      </c>
      <c r="AO721">
        <f>'Revenue drivers'!AO61</f>
        <v>-3.2</v>
      </c>
      <c r="AP721">
        <f>'Revenue drivers'!AP61</f>
        <v>-3.7</v>
      </c>
      <c r="AQ721">
        <f>'Revenue drivers'!AQ61</f>
        <v>-3.9</v>
      </c>
      <c r="AR721">
        <f>'Revenue drivers'!AR61</f>
        <v>-3.9</v>
      </c>
      <c r="AS721">
        <f>'Revenue drivers'!AS61</f>
        <v>0</v>
      </c>
      <c r="AT721">
        <f>'Revenue drivers'!AT61</f>
        <v>0</v>
      </c>
      <c r="AU721">
        <f>'Revenue drivers'!AU61</f>
        <v>0</v>
      </c>
      <c r="AV721">
        <f>'Revenue drivers'!AV61</f>
        <v>0</v>
      </c>
      <c r="AW721">
        <f>'Revenue drivers'!AW61</f>
        <v>0</v>
      </c>
      <c r="AX721">
        <f>'Revenue drivers'!AX61</f>
        <v>0</v>
      </c>
      <c r="AY721">
        <f>'Revenue drivers'!AY61</f>
        <v>0</v>
      </c>
      <c r="AZ721">
        <f>'Revenue drivers'!AZ61</f>
        <v>0</v>
      </c>
      <c r="BA721">
        <f>'Revenue drivers'!BA61</f>
        <v>0</v>
      </c>
      <c r="BB721">
        <f>'Revenue drivers'!BB61</f>
        <v>0</v>
      </c>
      <c r="BC721">
        <f>'Revenue drivers'!BC61</f>
        <v>0</v>
      </c>
      <c r="BD721">
        <f>'Revenue drivers'!BD61</f>
        <v>0</v>
      </c>
      <c r="BE721">
        <f>'Revenue drivers'!BE61</f>
        <v>0</v>
      </c>
      <c r="BF721">
        <f>'Revenue drivers'!BF61</f>
        <v>0</v>
      </c>
      <c r="BG721">
        <f>'Revenue drivers'!BG61</f>
        <v>0</v>
      </c>
      <c r="BH721">
        <f>'Revenue drivers'!BH61</f>
        <v>0</v>
      </c>
      <c r="BI721">
        <f>'Revenue drivers'!BI61</f>
        <v>0</v>
      </c>
      <c r="BJ721">
        <f>'Revenue drivers'!BJ61</f>
        <v>0</v>
      </c>
      <c r="BK721">
        <f>'Revenue drivers'!BK61</f>
        <v>0</v>
      </c>
      <c r="BL721">
        <f>'Revenue drivers'!BL61</f>
        <v>0</v>
      </c>
      <c r="BM721">
        <f>'Revenue drivers'!BM61</f>
        <v>0</v>
      </c>
      <c r="BN721">
        <f>'Revenue drivers'!BN61</f>
        <v>0.82436399999999921</v>
      </c>
      <c r="BO721">
        <f>'Revenue drivers'!BO61</f>
        <v>0.54469900000000138</v>
      </c>
      <c r="BP721">
        <f>'Revenue drivers'!BP61</f>
        <v>2.6000000000000014</v>
      </c>
      <c r="BQ721">
        <f>'Revenue drivers'!BQ61</f>
        <v>-14.700000000000001</v>
      </c>
      <c r="BR721">
        <f>'Revenue drivers'!BR61</f>
        <v>0</v>
      </c>
      <c r="BS721">
        <f>'Revenue drivers'!BS61</f>
        <v>0</v>
      </c>
      <c r="BT721">
        <f>'Revenue drivers'!BT61</f>
        <v>0</v>
      </c>
      <c r="BU721">
        <f>'Revenue drivers'!BU61</f>
        <v>28.012</v>
      </c>
      <c r="BV721">
        <f>'Revenue drivers'!BV61</f>
        <v>2.7399999999999984</v>
      </c>
      <c r="BW721">
        <f>'Revenue drivers'!BW61</f>
        <v>2.66</v>
      </c>
      <c r="BX721">
        <f>'Revenue drivers'!BX61</f>
        <v>2.5799999999999983</v>
      </c>
      <c r="BY721">
        <f>'Revenue drivers'!BY61</f>
        <v>2.5200000000000031</v>
      </c>
    </row>
    <row r="722" spans="9:77" ht="11.25" customHeight="1">
      <c r="I722" t="str">
        <f>'Revenue drivers'!I62</f>
        <v>Q/Q Abs Growth</v>
      </c>
      <c r="J722">
        <f>'Revenue drivers'!J62</f>
        <v>0</v>
      </c>
      <c r="K722">
        <f>'Revenue drivers'!K62</f>
        <v>0</v>
      </c>
      <c r="L722">
        <f>'Revenue drivers'!L62</f>
        <v>0</v>
      </c>
      <c r="M722">
        <f>'Revenue drivers'!M62</f>
        <v>0</v>
      </c>
      <c r="N722">
        <f>'Revenue drivers'!N62</f>
        <v>0</v>
      </c>
      <c r="O722">
        <f>'Revenue drivers'!O62</f>
        <v>0</v>
      </c>
      <c r="P722">
        <f>'Revenue drivers'!P62</f>
        <v>0</v>
      </c>
      <c r="Q722">
        <f>'Revenue drivers'!Q62</f>
        <v>0</v>
      </c>
      <c r="R722">
        <f>'Revenue drivers'!R62</f>
        <v>0</v>
      </c>
      <c r="S722">
        <f>'Revenue drivers'!S62</f>
        <v>0</v>
      </c>
      <c r="T722">
        <f>'Revenue drivers'!T62</f>
        <v>0</v>
      </c>
      <c r="U722">
        <f>'Revenue drivers'!U62</f>
        <v>0</v>
      </c>
      <c r="V722">
        <f>'Revenue drivers'!V62</f>
        <v>0</v>
      </c>
      <c r="W722">
        <f>'Revenue drivers'!W62</f>
        <v>0</v>
      </c>
      <c r="X722">
        <f>'Revenue drivers'!X62</f>
        <v>0</v>
      </c>
      <c r="Y722">
        <f>'Revenue drivers'!Y62</f>
        <v>0</v>
      </c>
      <c r="Z722">
        <f>'Revenue drivers'!Z62</f>
        <v>0</v>
      </c>
      <c r="AA722">
        <f>'Revenue drivers'!AA62</f>
        <v>0.30789999999999962</v>
      </c>
      <c r="AB722">
        <f>'Revenue drivers'!AB62</f>
        <v>-0.44496300000000044</v>
      </c>
      <c r="AC722">
        <f>'Revenue drivers'!AC62</f>
        <v>-9.2655999999999406E-2</v>
      </c>
      <c r="AD722">
        <f>'Revenue drivers'!AD62</f>
        <v>0.14217900000000006</v>
      </c>
      <c r="AE722">
        <f>'Revenue drivers'!AE62</f>
        <v>0.41003999999999952</v>
      </c>
      <c r="AF722">
        <f>'Revenue drivers'!AF62</f>
        <v>0.22296000000000005</v>
      </c>
      <c r="AG722">
        <f>'Revenue drivers'!AG62</f>
        <v>-9.6609999999999641E-2</v>
      </c>
      <c r="AH722">
        <f>'Revenue drivers'!AH62</f>
        <v>-0.20000000000000018</v>
      </c>
      <c r="AI722">
        <f>'Revenue drivers'!AI62</f>
        <v>-0.10000000000000009</v>
      </c>
      <c r="AJ722">
        <f>'Revenue drivers'!AJ62</f>
        <v>0.10000000000000009</v>
      </c>
      <c r="AK722">
        <f>'Revenue drivers'!AK62</f>
        <v>0.20000000000000018</v>
      </c>
      <c r="AL722">
        <f>'Revenue drivers'!AL62</f>
        <v>0.5</v>
      </c>
      <c r="AM722">
        <f>'Revenue drivers'!AM62</f>
        <v>0.19999999999999973</v>
      </c>
      <c r="AN722">
        <f>'Revenue drivers'!AN62</f>
        <v>0</v>
      </c>
      <c r="AO722">
        <f>'Revenue drivers'!AO62</f>
        <v>-3.9</v>
      </c>
      <c r="AP722">
        <f>'Revenue drivers'!AP62</f>
        <v>0</v>
      </c>
      <c r="AQ722">
        <f>'Revenue drivers'!AQ62</f>
        <v>0</v>
      </c>
      <c r="AR722">
        <f>'Revenue drivers'!AR62</f>
        <v>0</v>
      </c>
      <c r="AS722">
        <f>'Revenue drivers'!AS62</f>
        <v>0</v>
      </c>
      <c r="AT722">
        <f>'Revenue drivers'!AT62</f>
        <v>0</v>
      </c>
      <c r="AU722">
        <f>'Revenue drivers'!AU62</f>
        <v>0</v>
      </c>
      <c r="AV722">
        <f>'Revenue drivers'!AV62</f>
        <v>0</v>
      </c>
      <c r="AW722">
        <f>'Revenue drivers'!AW62</f>
        <v>0</v>
      </c>
      <c r="AX722">
        <f>'Revenue drivers'!AX62</f>
        <v>0</v>
      </c>
      <c r="AY722">
        <f>'Revenue drivers'!AY62</f>
        <v>0</v>
      </c>
      <c r="AZ722">
        <f>'Revenue drivers'!AZ62</f>
        <v>0</v>
      </c>
      <c r="BA722">
        <f>'Revenue drivers'!BA62</f>
        <v>0</v>
      </c>
      <c r="BB722">
        <f>'Revenue drivers'!BB62</f>
        <v>0</v>
      </c>
      <c r="BC722">
        <f>'Revenue drivers'!BC62</f>
        <v>0</v>
      </c>
      <c r="BD722">
        <f>'Revenue drivers'!BD62</f>
        <v>0</v>
      </c>
      <c r="BE722">
        <f>'Revenue drivers'!BE62</f>
        <v>0</v>
      </c>
      <c r="BF722">
        <f>'Revenue drivers'!BF62</f>
        <v>0</v>
      </c>
      <c r="BG722">
        <f>'Revenue drivers'!BG62</f>
        <v>0</v>
      </c>
      <c r="BH722">
        <f>'Revenue drivers'!BH62</f>
        <v>0</v>
      </c>
      <c r="BI722">
        <f>'Revenue drivers'!BI62</f>
        <v>0</v>
      </c>
      <c r="BJ722">
        <f>'Revenue drivers'!BJ62</f>
        <v>0</v>
      </c>
      <c r="BK722">
        <f>'Revenue drivers'!BK62</f>
        <v>0</v>
      </c>
      <c r="BL722">
        <f>'Revenue drivers'!BL62</f>
        <v>0</v>
      </c>
      <c r="BM722">
        <f>'Revenue drivers'!BM62</f>
        <v>0</v>
      </c>
      <c r="BN722">
        <f>'Revenue drivers'!BN62</f>
        <v>0</v>
      </c>
      <c r="BO722">
        <f>'Revenue drivers'!BO62</f>
        <v>0</v>
      </c>
      <c r="BP722">
        <f>'Revenue drivers'!BP62</f>
        <v>0</v>
      </c>
      <c r="BQ722">
        <f>'Revenue drivers'!BQ62</f>
        <v>0</v>
      </c>
      <c r="BR722">
        <f>'Revenue drivers'!BR62</f>
        <v>0</v>
      </c>
      <c r="BS722">
        <f>'Revenue drivers'!BS62</f>
        <v>0</v>
      </c>
      <c r="BT722">
        <f>'Revenue drivers'!BT62</f>
        <v>0</v>
      </c>
      <c r="BU722">
        <f>'Revenue drivers'!BU62</f>
        <v>0</v>
      </c>
      <c r="BV722">
        <f>'Revenue drivers'!BV62</f>
        <v>0</v>
      </c>
      <c r="BW722">
        <f>'Revenue drivers'!BW62</f>
        <v>0</v>
      </c>
      <c r="BX722">
        <f>'Revenue drivers'!BX62</f>
        <v>0</v>
      </c>
      <c r="BY722">
        <f>'Revenue drivers'!BY62</f>
        <v>0</v>
      </c>
    </row>
    <row r="723" spans="9:77" ht="11.25" customHeight="1">
      <c r="I723">
        <f>'Revenue drivers'!I63</f>
        <v>0</v>
      </c>
      <c r="J723">
        <f>'Revenue drivers'!J63</f>
        <v>0</v>
      </c>
      <c r="K723">
        <f>'Revenue drivers'!K63</f>
        <v>0</v>
      </c>
      <c r="L723">
        <f>'Revenue drivers'!L63</f>
        <v>0</v>
      </c>
      <c r="M723">
        <f>'Revenue drivers'!M63</f>
        <v>0</v>
      </c>
      <c r="N723">
        <f>'Revenue drivers'!N63</f>
        <v>0</v>
      </c>
      <c r="O723">
        <f>'Revenue drivers'!O63</f>
        <v>0</v>
      </c>
      <c r="P723">
        <f>'Revenue drivers'!P63</f>
        <v>0</v>
      </c>
      <c r="Q723">
        <f>'Revenue drivers'!Q63</f>
        <v>0</v>
      </c>
      <c r="R723">
        <f>'Revenue drivers'!R63</f>
        <v>0</v>
      </c>
      <c r="S723">
        <f>'Revenue drivers'!S63</f>
        <v>0</v>
      </c>
      <c r="T723">
        <f>'Revenue drivers'!T63</f>
        <v>0</v>
      </c>
      <c r="U723">
        <f>'Revenue drivers'!U63</f>
        <v>0</v>
      </c>
      <c r="V723">
        <f>'Revenue drivers'!V63</f>
        <v>0</v>
      </c>
      <c r="W723">
        <f>'Revenue drivers'!W63</f>
        <v>0</v>
      </c>
      <c r="X723">
        <f>'Revenue drivers'!X63</f>
        <v>0</v>
      </c>
      <c r="Y723">
        <f>'Revenue drivers'!Y63</f>
        <v>0</v>
      </c>
      <c r="Z723">
        <f>'Revenue drivers'!Z63</f>
        <v>0</v>
      </c>
      <c r="AA723">
        <f>'Revenue drivers'!AA63</f>
        <v>0</v>
      </c>
      <c r="AB723">
        <f>'Revenue drivers'!AB63</f>
        <v>0</v>
      </c>
      <c r="AC723">
        <f>'Revenue drivers'!AC63</f>
        <v>0</v>
      </c>
      <c r="AD723">
        <f>'Revenue drivers'!AD63</f>
        <v>0</v>
      </c>
      <c r="AE723">
        <f>'Revenue drivers'!AE63</f>
        <v>0</v>
      </c>
      <c r="AF723">
        <f>'Revenue drivers'!AF63</f>
        <v>0</v>
      </c>
      <c r="AG723">
        <f>'Revenue drivers'!AG63</f>
        <v>0</v>
      </c>
      <c r="AH723">
        <f>'Revenue drivers'!AH63</f>
        <v>0</v>
      </c>
      <c r="AI723">
        <f>'Revenue drivers'!AI63</f>
        <v>0</v>
      </c>
      <c r="AJ723">
        <f>'Revenue drivers'!AJ63</f>
        <v>0</v>
      </c>
      <c r="AK723">
        <f>'Revenue drivers'!AK63</f>
        <v>0</v>
      </c>
      <c r="AL723">
        <f>'Revenue drivers'!AL63</f>
        <v>0</v>
      </c>
      <c r="AM723">
        <f>'Revenue drivers'!AM63</f>
        <v>0</v>
      </c>
      <c r="AN723">
        <f>'Revenue drivers'!AN63</f>
        <v>0</v>
      </c>
      <c r="AO723">
        <f>'Revenue drivers'!AO63</f>
        <v>0</v>
      </c>
      <c r="AP723">
        <f>'Revenue drivers'!AP63</f>
        <v>0</v>
      </c>
      <c r="AQ723">
        <f>'Revenue drivers'!AQ63</f>
        <v>0</v>
      </c>
      <c r="AR723">
        <f>'Revenue drivers'!AR63</f>
        <v>0</v>
      </c>
      <c r="AS723">
        <f>'Revenue drivers'!AS63</f>
        <v>0</v>
      </c>
      <c r="AT723">
        <f>'Revenue drivers'!AT63</f>
        <v>0</v>
      </c>
      <c r="AU723">
        <f>'Revenue drivers'!AU63</f>
        <v>0</v>
      </c>
      <c r="AV723">
        <f>'Revenue drivers'!AV63</f>
        <v>0</v>
      </c>
      <c r="AW723">
        <f>'Revenue drivers'!AW63</f>
        <v>0</v>
      </c>
      <c r="AX723">
        <f>'Revenue drivers'!AX63</f>
        <v>0</v>
      </c>
      <c r="AY723">
        <f>'Revenue drivers'!AY63</f>
        <v>0</v>
      </c>
      <c r="AZ723">
        <f>'Revenue drivers'!AZ63</f>
        <v>0</v>
      </c>
      <c r="BA723">
        <f>'Revenue drivers'!BA63</f>
        <v>0</v>
      </c>
      <c r="BB723">
        <f>'Revenue drivers'!BB63</f>
        <v>0</v>
      </c>
      <c r="BC723">
        <f>'Revenue drivers'!BC63</f>
        <v>0</v>
      </c>
      <c r="BD723">
        <f>'Revenue drivers'!BD63</f>
        <v>0</v>
      </c>
      <c r="BE723">
        <f>'Revenue drivers'!BE63</f>
        <v>0</v>
      </c>
      <c r="BF723">
        <f>'Revenue drivers'!BF63</f>
        <v>0</v>
      </c>
      <c r="BG723">
        <f>'Revenue drivers'!BG63</f>
        <v>0</v>
      </c>
      <c r="BH723">
        <f>'Revenue drivers'!BH63</f>
        <v>0</v>
      </c>
      <c r="BI723">
        <f>'Revenue drivers'!BI63</f>
        <v>0</v>
      </c>
      <c r="BJ723">
        <f>'Revenue drivers'!BJ63</f>
        <v>0</v>
      </c>
      <c r="BK723">
        <f>'Revenue drivers'!BK63</f>
        <v>0</v>
      </c>
      <c r="BL723">
        <f>'Revenue drivers'!BL63</f>
        <v>0</v>
      </c>
      <c r="BM723">
        <f>'Revenue drivers'!BM63</f>
        <v>0</v>
      </c>
      <c r="BN723">
        <f>'Revenue drivers'!BN63</f>
        <v>0</v>
      </c>
      <c r="BO723">
        <f>'Revenue drivers'!BO63</f>
        <v>0</v>
      </c>
      <c r="BP723">
        <f>'Revenue drivers'!BP63</f>
        <v>0</v>
      </c>
      <c r="BQ723">
        <f>'Revenue drivers'!BQ63</f>
        <v>0</v>
      </c>
      <c r="BR723">
        <f>'Revenue drivers'!BR63</f>
        <v>0</v>
      </c>
      <c r="BS723">
        <f>'Revenue drivers'!BS63</f>
        <v>0</v>
      </c>
      <c r="BT723">
        <f>'Revenue drivers'!BT63</f>
        <v>0</v>
      </c>
      <c r="BU723">
        <f>'Revenue drivers'!BU63</f>
        <v>0</v>
      </c>
      <c r="BV723">
        <f>'Revenue drivers'!BV63</f>
        <v>0</v>
      </c>
      <c r="BW723">
        <f>'Revenue drivers'!BW63</f>
        <v>0</v>
      </c>
      <c r="BX723">
        <f>'Revenue drivers'!BX63</f>
        <v>0</v>
      </c>
      <c r="BY723">
        <f>'Revenue drivers'!BY63</f>
        <v>0</v>
      </c>
    </row>
    <row r="724" spans="9:77" ht="11.25" customHeight="1">
      <c r="I724">
        <f>'Revenue drivers'!I301</f>
        <v>0</v>
      </c>
      <c r="J724">
        <f>'Revenue drivers'!J301</f>
        <v>0</v>
      </c>
      <c r="K724">
        <f>'Revenue drivers'!K301</f>
        <v>0</v>
      </c>
      <c r="L724">
        <f>'Revenue drivers'!L301</f>
        <v>0</v>
      </c>
      <c r="M724">
        <f>'Revenue drivers'!M301</f>
        <v>0</v>
      </c>
      <c r="N724">
        <f>'Revenue drivers'!N301</f>
        <v>0</v>
      </c>
      <c r="O724">
        <f>'Revenue drivers'!O301</f>
        <v>0</v>
      </c>
      <c r="P724">
        <f>'Revenue drivers'!P301</f>
        <v>0</v>
      </c>
      <c r="Q724">
        <f>'Revenue drivers'!Q301</f>
        <v>0</v>
      </c>
      <c r="R724">
        <f>'Revenue drivers'!R301</f>
        <v>0</v>
      </c>
      <c r="S724">
        <f>'Revenue drivers'!S301</f>
        <v>0</v>
      </c>
      <c r="T724">
        <f>'Revenue drivers'!T301</f>
        <v>0</v>
      </c>
      <c r="U724">
        <f>'Revenue drivers'!U301</f>
        <v>0</v>
      </c>
      <c r="V724">
        <f>'Revenue drivers'!V301</f>
        <v>0</v>
      </c>
      <c r="W724">
        <f>'Revenue drivers'!W301</f>
        <v>0</v>
      </c>
      <c r="X724">
        <f>'Revenue drivers'!X301</f>
        <v>0</v>
      </c>
      <c r="Y724">
        <f>'Revenue drivers'!Y301</f>
        <v>0</v>
      </c>
      <c r="Z724">
        <f>'Revenue drivers'!Z301</f>
        <v>0</v>
      </c>
      <c r="AA724">
        <f>'Revenue drivers'!AA301</f>
        <v>0</v>
      </c>
      <c r="AB724">
        <f>'Revenue drivers'!AB301</f>
        <v>0</v>
      </c>
      <c r="AC724">
        <f>'Revenue drivers'!AC301</f>
        <v>0</v>
      </c>
      <c r="AD724">
        <f>'Revenue drivers'!AD301</f>
        <v>0</v>
      </c>
      <c r="AE724">
        <f>'Revenue drivers'!AE301</f>
        <v>0</v>
      </c>
      <c r="AF724">
        <f>'Revenue drivers'!AF301</f>
        <v>0</v>
      </c>
      <c r="AG724">
        <f>'Revenue drivers'!AG301</f>
        <v>0</v>
      </c>
      <c r="AH724">
        <f>'Revenue drivers'!AH301</f>
        <v>0</v>
      </c>
      <c r="AI724">
        <f>'Revenue drivers'!AI301</f>
        <v>0</v>
      </c>
      <c r="AJ724">
        <f>'Revenue drivers'!AJ301</f>
        <v>0</v>
      </c>
      <c r="AK724">
        <f>'Revenue drivers'!AK301</f>
        <v>0</v>
      </c>
      <c r="AL724">
        <f>'Revenue drivers'!AL301</f>
        <v>0</v>
      </c>
      <c r="AM724">
        <f>'Revenue drivers'!AM301</f>
        <v>0</v>
      </c>
      <c r="AN724">
        <f>'Revenue drivers'!AN301</f>
        <v>0</v>
      </c>
      <c r="AO724">
        <f>'Revenue drivers'!AO301</f>
        <v>0</v>
      </c>
      <c r="AP724">
        <f>'Revenue drivers'!AP301</f>
        <v>0</v>
      </c>
      <c r="AQ724">
        <f>'Revenue drivers'!AQ301</f>
        <v>0</v>
      </c>
      <c r="AR724">
        <f>'Revenue drivers'!AR301</f>
        <v>0</v>
      </c>
      <c r="AT724">
        <f>'Revenue drivers'!AT301</f>
        <v>0</v>
      </c>
      <c r="AU724">
        <f>'Revenue drivers'!AU301</f>
        <v>0</v>
      </c>
      <c r="AV724">
        <f>'Revenue drivers'!AV301</f>
        <v>0</v>
      </c>
      <c r="AW724">
        <f>'Revenue drivers'!AW301</f>
        <v>0</v>
      </c>
      <c r="AX724">
        <f>'Revenue drivers'!AX301</f>
        <v>0</v>
      </c>
      <c r="AY724">
        <f>'Revenue drivers'!AY301</f>
        <v>0</v>
      </c>
      <c r="AZ724">
        <f>'Revenue drivers'!AZ301</f>
        <v>0</v>
      </c>
      <c r="BA724">
        <f>'Revenue drivers'!BA301</f>
        <v>0</v>
      </c>
      <c r="BB724">
        <f>'Revenue drivers'!BB301</f>
        <v>0</v>
      </c>
      <c r="BC724">
        <f>'Revenue drivers'!BC301</f>
        <v>0</v>
      </c>
      <c r="BD724">
        <f>'Revenue drivers'!BD301</f>
        <v>0</v>
      </c>
      <c r="BE724">
        <f>'Revenue drivers'!BE301</f>
        <v>0</v>
      </c>
      <c r="BF724">
        <f>'Revenue drivers'!BF301</f>
        <v>0</v>
      </c>
      <c r="BG724">
        <f>'Revenue drivers'!BG301</f>
        <v>0</v>
      </c>
      <c r="BH724">
        <f>'Revenue drivers'!BH301</f>
        <v>0</v>
      </c>
      <c r="BI724">
        <f>'Revenue drivers'!BI301</f>
        <v>0</v>
      </c>
      <c r="BJ724">
        <f>'Revenue drivers'!BJ301</f>
        <v>0</v>
      </c>
      <c r="BK724">
        <f>'Revenue drivers'!BK301</f>
        <v>0</v>
      </c>
      <c r="BL724">
        <f>'Revenue drivers'!BL301</f>
        <v>0</v>
      </c>
      <c r="BM724">
        <f>'Revenue drivers'!BM301</f>
        <v>0</v>
      </c>
      <c r="BN724">
        <f>'Revenue drivers'!BN301</f>
        <v>0</v>
      </c>
      <c r="BO724">
        <f>'Revenue drivers'!BO301</f>
        <v>0</v>
      </c>
      <c r="BP724">
        <f>'Revenue drivers'!BP301</f>
        <v>0</v>
      </c>
      <c r="BQ724">
        <f>'Revenue drivers'!BQ301</f>
        <v>0</v>
      </c>
      <c r="BR724">
        <f>'Revenue drivers'!BR301</f>
        <v>0</v>
      </c>
      <c r="BS724">
        <f>'Revenue drivers'!BS301</f>
        <v>0</v>
      </c>
      <c r="BT724">
        <f>'Revenue drivers'!BT301</f>
        <v>0</v>
      </c>
      <c r="BU724">
        <f>'Revenue drivers'!BU301</f>
        <v>0</v>
      </c>
      <c r="BV724">
        <f>'Revenue drivers'!BV301</f>
        <v>0</v>
      </c>
      <c r="BW724">
        <f>'Revenue drivers'!BW301</f>
        <v>0</v>
      </c>
      <c r="BX724">
        <f>'Revenue drivers'!BX301</f>
        <v>0</v>
      </c>
      <c r="BY724">
        <f>'Revenue drivers'!BY301</f>
        <v>0</v>
      </c>
    </row>
    <row r="725" spans="9:77" ht="11.25" customHeight="1">
      <c r="I725" t="str">
        <f>'Revenue drivers'!I488</f>
        <v>LOCAL ADVERTISING REVENUE</v>
      </c>
      <c r="J725">
        <f>'Revenue drivers'!J488</f>
        <v>0</v>
      </c>
      <c r="K725">
        <f>'Revenue drivers'!K488</f>
        <v>0</v>
      </c>
      <c r="L725">
        <f>'Revenue drivers'!L488</f>
        <v>0</v>
      </c>
      <c r="M725">
        <f>'Revenue drivers'!M488</f>
        <v>0</v>
      </c>
      <c r="N725">
        <f>'Revenue drivers'!N488</f>
        <v>0</v>
      </c>
      <c r="O725">
        <f>'Revenue drivers'!O488</f>
        <v>0</v>
      </c>
      <c r="P725">
        <f>'Revenue drivers'!P488</f>
        <v>0</v>
      </c>
      <c r="Q725">
        <f>'Revenue drivers'!Q488</f>
        <v>0</v>
      </c>
      <c r="R725">
        <f>'Revenue drivers'!R488</f>
        <v>0</v>
      </c>
      <c r="S725">
        <f>'Revenue drivers'!S488</f>
        <v>0</v>
      </c>
      <c r="T725">
        <f>'Revenue drivers'!T488</f>
        <v>0</v>
      </c>
      <c r="U725">
        <f>'Revenue drivers'!U488</f>
        <v>0</v>
      </c>
      <c r="V725">
        <f>'Revenue drivers'!V488</f>
        <v>0</v>
      </c>
      <c r="W725">
        <f>'Revenue drivers'!W488</f>
        <v>0</v>
      </c>
      <c r="X725">
        <f>'Revenue drivers'!X488</f>
        <v>0</v>
      </c>
      <c r="Y725">
        <f>'Revenue drivers'!Y488</f>
        <v>0</v>
      </c>
      <c r="Z725">
        <f>'Revenue drivers'!Z488</f>
        <v>0</v>
      </c>
      <c r="AA725">
        <f>'Revenue drivers'!AA488</f>
        <v>0</v>
      </c>
      <c r="AB725">
        <f>'Revenue drivers'!AB488</f>
        <v>0</v>
      </c>
      <c r="AC725">
        <f>'Revenue drivers'!AC488</f>
        <v>0</v>
      </c>
      <c r="AD725">
        <f>'Revenue drivers'!AD488</f>
        <v>0</v>
      </c>
      <c r="AE725">
        <f>'Revenue drivers'!AE488</f>
        <v>0</v>
      </c>
      <c r="AF725">
        <f>'Revenue drivers'!AF488</f>
        <v>0</v>
      </c>
      <c r="AG725">
        <f>'Revenue drivers'!AG488</f>
        <v>0</v>
      </c>
      <c r="AH725">
        <f>'Revenue drivers'!AH488</f>
        <v>0</v>
      </c>
      <c r="AI725">
        <f>'Revenue drivers'!AI488</f>
        <v>0</v>
      </c>
      <c r="AJ725">
        <f>'Revenue drivers'!AJ488</f>
        <v>0</v>
      </c>
      <c r="AK725">
        <f>'Revenue drivers'!AK488</f>
        <v>0</v>
      </c>
      <c r="AL725">
        <f>'Revenue drivers'!AL488</f>
        <v>0</v>
      </c>
      <c r="AM725">
        <f>'Revenue drivers'!AM488</f>
        <v>0</v>
      </c>
      <c r="AN725">
        <f>'Revenue drivers'!AN488</f>
        <v>0</v>
      </c>
      <c r="AO725">
        <f>'Revenue drivers'!AO488</f>
        <v>0</v>
      </c>
      <c r="AP725">
        <f>'Revenue drivers'!AP488</f>
        <v>0</v>
      </c>
      <c r="AQ725">
        <f>'Revenue drivers'!AQ488</f>
        <v>0</v>
      </c>
      <c r="AR725">
        <f>'Revenue drivers'!AR488</f>
        <v>0</v>
      </c>
      <c r="AS725">
        <f>'Revenue drivers'!AS488</f>
        <v>0</v>
      </c>
      <c r="AT725">
        <f>'Revenue drivers'!AT488</f>
        <v>0</v>
      </c>
      <c r="AU725">
        <f>'Revenue drivers'!AU488</f>
        <v>0</v>
      </c>
      <c r="AV725">
        <f>'Revenue drivers'!AV488</f>
        <v>0</v>
      </c>
      <c r="AW725">
        <f>'Revenue drivers'!AW488</f>
        <v>0</v>
      </c>
      <c r="AX725">
        <f>'Revenue drivers'!AX488</f>
        <v>0</v>
      </c>
      <c r="AY725">
        <f>'Revenue drivers'!AY488</f>
        <v>0</v>
      </c>
      <c r="AZ725">
        <f>'Revenue drivers'!AZ488</f>
        <v>0</v>
      </c>
      <c r="BA725">
        <f>'Revenue drivers'!BA488</f>
        <v>0</v>
      </c>
      <c r="BB725">
        <f>'Revenue drivers'!BB488</f>
        <v>0</v>
      </c>
      <c r="BC725">
        <f>'Revenue drivers'!BC488</f>
        <v>0</v>
      </c>
      <c r="BD725">
        <f>'Revenue drivers'!BD488</f>
        <v>0</v>
      </c>
      <c r="BE725">
        <f>'Revenue drivers'!BE488</f>
        <v>0</v>
      </c>
      <c r="BF725">
        <f>'Revenue drivers'!BF488</f>
        <v>0</v>
      </c>
      <c r="BG725">
        <f>'Revenue drivers'!BG488</f>
        <v>0</v>
      </c>
      <c r="BH725">
        <f>'Revenue drivers'!BH488</f>
        <v>0</v>
      </c>
      <c r="BI725">
        <f>'Revenue drivers'!BI488</f>
        <v>0</v>
      </c>
      <c r="BJ725">
        <f>'Revenue drivers'!BJ488</f>
        <v>0</v>
      </c>
      <c r="BK725">
        <f>'Revenue drivers'!BK488</f>
        <v>0</v>
      </c>
      <c r="BL725">
        <f>'Revenue drivers'!BL488</f>
        <v>0</v>
      </c>
      <c r="BM725">
        <f>'Revenue drivers'!BM488</f>
        <v>0</v>
      </c>
      <c r="BN725">
        <f>'Revenue drivers'!BN488</f>
        <v>0</v>
      </c>
      <c r="BO725">
        <f>'Revenue drivers'!BO488</f>
        <v>0</v>
      </c>
      <c r="BP725">
        <f>'Revenue drivers'!BP488</f>
        <v>0</v>
      </c>
      <c r="BQ725">
        <f>'Revenue drivers'!BQ488</f>
        <v>0</v>
      </c>
      <c r="BR725">
        <f>'Revenue drivers'!BR488</f>
        <v>0</v>
      </c>
      <c r="BS725">
        <f>'Revenue drivers'!BS488</f>
        <v>0</v>
      </c>
      <c r="BT725">
        <f>'Revenue drivers'!BT488</f>
        <v>0</v>
      </c>
      <c r="BU725">
        <f>'Revenue drivers'!BU488</f>
        <v>0</v>
      </c>
      <c r="BV725">
        <f>'Revenue drivers'!BV488</f>
        <v>0</v>
      </c>
      <c r="BW725">
        <f>'Revenue drivers'!BW488</f>
        <v>0</v>
      </c>
      <c r="BX725">
        <f>'Revenue drivers'!BX488</f>
        <v>0</v>
      </c>
      <c r="BY725">
        <f>'Revenue drivers'!BY488</f>
        <v>0</v>
      </c>
    </row>
    <row r="726" spans="9:77" ht="11.25" customHeight="1">
      <c r="I726">
        <f>'Revenue drivers'!I489</f>
        <v>0</v>
      </c>
      <c r="J726">
        <f>'Revenue drivers'!J489</f>
        <v>0</v>
      </c>
      <c r="K726">
        <f>'Revenue drivers'!K489</f>
        <v>0</v>
      </c>
      <c r="L726">
        <f>'Revenue drivers'!L489</f>
        <v>0</v>
      </c>
      <c r="M726">
        <f>'Revenue drivers'!M489</f>
        <v>0</v>
      </c>
      <c r="N726">
        <f>'Revenue drivers'!N489</f>
        <v>0</v>
      </c>
      <c r="O726">
        <f>'Revenue drivers'!O489</f>
        <v>0</v>
      </c>
      <c r="P726">
        <f>'Revenue drivers'!P489</f>
        <v>0</v>
      </c>
      <c r="Q726">
        <f>'Revenue drivers'!Q489</f>
        <v>0</v>
      </c>
      <c r="R726">
        <f>'Revenue drivers'!R489</f>
        <v>0</v>
      </c>
      <c r="S726">
        <f>'Revenue drivers'!S489</f>
        <v>0</v>
      </c>
      <c r="T726">
        <f>'Revenue drivers'!T489</f>
        <v>0</v>
      </c>
      <c r="U726">
        <f>'Revenue drivers'!U489</f>
        <v>0</v>
      </c>
      <c r="V726">
        <f>'Revenue drivers'!V489</f>
        <v>0</v>
      </c>
      <c r="W726">
        <f>'Revenue drivers'!W489</f>
        <v>0</v>
      </c>
      <c r="X726">
        <f>'Revenue drivers'!X489</f>
        <v>0</v>
      </c>
      <c r="Y726">
        <f>'Revenue drivers'!Y489</f>
        <v>0</v>
      </c>
      <c r="Z726">
        <f>'Revenue drivers'!Z489</f>
        <v>0</v>
      </c>
      <c r="AA726">
        <f>'Revenue drivers'!AA489</f>
        <v>0</v>
      </c>
      <c r="AB726">
        <f>'Revenue drivers'!AB489</f>
        <v>0</v>
      </c>
      <c r="AC726">
        <f>'Revenue drivers'!AC489</f>
        <v>0</v>
      </c>
      <c r="AD726">
        <f>'Revenue drivers'!AD489</f>
        <v>0</v>
      </c>
      <c r="AE726">
        <f>'Revenue drivers'!AE489</f>
        <v>0</v>
      </c>
      <c r="AF726">
        <f>'Revenue drivers'!AF489</f>
        <v>0</v>
      </c>
      <c r="AG726">
        <f>'Revenue drivers'!AG489</f>
        <v>0</v>
      </c>
      <c r="AH726">
        <f>'Revenue drivers'!AH489</f>
        <v>0</v>
      </c>
      <c r="AI726">
        <f>'Revenue drivers'!AI489</f>
        <v>0</v>
      </c>
      <c r="AJ726">
        <f>'Revenue drivers'!AJ489</f>
        <v>0</v>
      </c>
      <c r="AK726">
        <f>'Revenue drivers'!AK489</f>
        <v>0</v>
      </c>
      <c r="AL726">
        <f>'Revenue drivers'!AL489</f>
        <v>0</v>
      </c>
      <c r="AM726">
        <f>'Revenue drivers'!AM489</f>
        <v>0</v>
      </c>
      <c r="AN726">
        <f>'Revenue drivers'!AN489</f>
        <v>0</v>
      </c>
      <c r="AO726">
        <f>'Revenue drivers'!AO489</f>
        <v>0</v>
      </c>
      <c r="AP726">
        <f>'Revenue drivers'!AP489</f>
        <v>0</v>
      </c>
      <c r="AQ726">
        <f>'Revenue drivers'!AQ489</f>
        <v>0</v>
      </c>
      <c r="AR726">
        <f>'Revenue drivers'!AR489</f>
        <v>0</v>
      </c>
      <c r="AS726">
        <f>'Revenue drivers'!AS489</f>
        <v>0</v>
      </c>
      <c r="AT726">
        <f>'Revenue drivers'!AT489</f>
        <v>0</v>
      </c>
      <c r="AU726">
        <f>'Revenue drivers'!AU489</f>
        <v>0</v>
      </c>
      <c r="AV726">
        <f>'Revenue drivers'!AV489</f>
        <v>0</v>
      </c>
      <c r="AW726">
        <f>'Revenue drivers'!AW489</f>
        <v>0</v>
      </c>
      <c r="AX726">
        <f>'Revenue drivers'!AX489</f>
        <v>0</v>
      </c>
      <c r="AY726">
        <f>'Revenue drivers'!AY489</f>
        <v>0</v>
      </c>
      <c r="AZ726">
        <f>'Revenue drivers'!AZ489</f>
        <v>0</v>
      </c>
      <c r="BA726">
        <f>'Revenue drivers'!BA489</f>
        <v>0</v>
      </c>
      <c r="BB726">
        <f>'Revenue drivers'!BB489</f>
        <v>0</v>
      </c>
      <c r="BC726">
        <f>'Revenue drivers'!BC489</f>
        <v>0</v>
      </c>
      <c r="BD726">
        <f>'Revenue drivers'!BD489</f>
        <v>0</v>
      </c>
      <c r="BE726">
        <f>'Revenue drivers'!BE489</f>
        <v>0</v>
      </c>
      <c r="BF726">
        <f>'Revenue drivers'!BF489</f>
        <v>0</v>
      </c>
      <c r="BG726">
        <f>'Revenue drivers'!BG489</f>
        <v>0</v>
      </c>
      <c r="BH726">
        <f>'Revenue drivers'!BH489</f>
        <v>0</v>
      </c>
      <c r="BI726">
        <f>'Revenue drivers'!BI489</f>
        <v>0</v>
      </c>
      <c r="BJ726">
        <f>'Revenue drivers'!BJ489</f>
        <v>0</v>
      </c>
      <c r="BK726">
        <f>'Revenue drivers'!BK489</f>
        <v>0</v>
      </c>
      <c r="BL726">
        <f>'Revenue drivers'!BL489</f>
        <v>0</v>
      </c>
      <c r="BM726">
        <f>'Revenue drivers'!BM489</f>
        <v>0</v>
      </c>
      <c r="BN726">
        <f>'Revenue drivers'!BN489</f>
        <v>0</v>
      </c>
      <c r="BO726">
        <f>'Revenue drivers'!BO489</f>
        <v>0</v>
      </c>
      <c r="BP726">
        <f>'Revenue drivers'!BP489</f>
        <v>0</v>
      </c>
      <c r="BQ726">
        <f>'Revenue drivers'!BQ489</f>
        <v>0</v>
      </c>
      <c r="BR726">
        <f>'Revenue drivers'!BR489</f>
        <v>0</v>
      </c>
      <c r="BS726">
        <f>'Revenue drivers'!BS489</f>
        <v>0</v>
      </c>
      <c r="BT726">
        <f>'Revenue drivers'!BT489</f>
        <v>0</v>
      </c>
      <c r="BU726">
        <f>'Revenue drivers'!BU489</f>
        <v>0</v>
      </c>
      <c r="BV726">
        <f>'Revenue drivers'!BV489</f>
        <v>0</v>
      </c>
      <c r="BW726">
        <f>'Revenue drivers'!BW489</f>
        <v>0</v>
      </c>
      <c r="BX726">
        <f>'Revenue drivers'!BX489</f>
        <v>0</v>
      </c>
      <c r="BY726">
        <f>'Revenue drivers'!BY489</f>
        <v>0</v>
      </c>
    </row>
    <row r="727" spans="9:77" ht="11.25" customHeight="1">
      <c r="I727" t="str">
        <f>'Revenue drivers'!I490</f>
        <v>Local advertising revenue</v>
      </c>
      <c r="J727">
        <f>'Revenue drivers'!J490</f>
        <v>0</v>
      </c>
      <c r="K727">
        <f>'Revenue drivers'!K490</f>
        <v>0</v>
      </c>
      <c r="L727">
        <f>'Revenue drivers'!L490</f>
        <v>0</v>
      </c>
      <c r="M727">
        <f>'Revenue drivers'!M490</f>
        <v>7.0880000000000001</v>
      </c>
      <c r="N727">
        <f>'Revenue drivers'!N490</f>
        <v>8.1519999999999992</v>
      </c>
      <c r="O727">
        <f>'Revenue drivers'!O490</f>
        <v>8.8800000000000008</v>
      </c>
      <c r="P727">
        <f>'Revenue drivers'!P490</f>
        <v>9.6389999999999993</v>
      </c>
      <c r="Q727">
        <f>'Revenue drivers'!Q490</f>
        <v>11.222</v>
      </c>
      <c r="R727">
        <f>'Revenue drivers'!R490</f>
        <v>13.356999999999999</v>
      </c>
      <c r="S727">
        <f>'Revenue drivers'!S490</f>
        <v>15.746</v>
      </c>
      <c r="T727">
        <f>'Revenue drivers'!T490</f>
        <v>18.148</v>
      </c>
      <c r="U727">
        <f>'Revenue drivers'!U490</f>
        <v>21.472999999999999</v>
      </c>
      <c r="V727">
        <f>'Revenue drivers'!V490</f>
        <v>25.254999999999999</v>
      </c>
      <c r="W727">
        <f>'Revenue drivers'!W490</f>
        <v>28.484999999999999</v>
      </c>
      <c r="X727">
        <f>'Revenue drivers'!X490</f>
        <v>33.945</v>
      </c>
      <c r="Y727">
        <f>'Revenue drivers'!Y490</f>
        <v>38.866</v>
      </c>
      <c r="Z727">
        <f>'Revenue drivers'!Z490</f>
        <v>44.8</v>
      </c>
      <c r="AA727">
        <f>'Revenue drivers'!AA490</f>
        <v>51.167000000000002</v>
      </c>
      <c r="AB727">
        <f>'Revenue drivers'!AB490</f>
        <v>58.052</v>
      </c>
      <c r="AC727">
        <f>'Revenue drivers'!AC490</f>
        <v>65.2</v>
      </c>
      <c r="AD727">
        <f>'Revenue drivers'!AD490</f>
        <v>75.685000000000002</v>
      </c>
      <c r="AE727">
        <f>'Revenue drivers'!AE490</f>
        <v>85.132000000000005</v>
      </c>
      <c r="AF727">
        <f>'Revenue drivers'!AF490</f>
        <v>93.1</v>
      </c>
      <c r="AG727">
        <f>'Revenue drivers'!AG490</f>
        <v>98.57</v>
      </c>
      <c r="AH727">
        <f>'Revenue drivers'!AH490</f>
        <v>107.88200000000001</v>
      </c>
      <c r="AI727">
        <f>'Revenue drivers'!AI490</f>
        <v>115.932</v>
      </c>
      <c r="AJ727">
        <f>'Revenue drivers'!AJ490</f>
        <v>125.851</v>
      </c>
      <c r="AK727">
        <f>'Revenue drivers'!AK490</f>
        <v>138.11600000000001</v>
      </c>
      <c r="AL727">
        <f>'Revenue drivers'!AL490</f>
        <v>151.87899999999999</v>
      </c>
      <c r="AM727">
        <f>'Revenue drivers'!AM490</f>
        <v>163.6</v>
      </c>
      <c r="AN727">
        <f>'Revenue drivers'!AN490</f>
        <v>171.1</v>
      </c>
      <c r="AO727">
        <f>'Revenue drivers'!AO490</f>
        <v>177</v>
      </c>
      <c r="AP727">
        <f>'Revenue drivers'!AP490</f>
        <v>187.87899999999999</v>
      </c>
      <c r="AQ727">
        <f>'Revenue drivers'!AQ490</f>
        <v>197.6</v>
      </c>
      <c r="AR727">
        <f>'Revenue drivers'!AR490</f>
        <v>209.1</v>
      </c>
      <c r="AS727">
        <f>'Revenue drivers'!AS490</f>
        <v>213</v>
      </c>
      <c r="AT727">
        <f>'Revenue drivers'!AT490</f>
        <v>224.87899999999999</v>
      </c>
      <c r="AU727">
        <f>'Revenue drivers'!AU490</f>
        <v>234.6</v>
      </c>
      <c r="AV727">
        <f>'Revenue drivers'!AV490</f>
        <v>245.1</v>
      </c>
      <c r="AW727">
        <f>'Revenue drivers'!AW490</f>
        <v>250</v>
      </c>
      <c r="AX727">
        <f>'Revenue drivers'!AX490</f>
        <v>261.87900000000002</v>
      </c>
      <c r="AY727">
        <f>'Revenue drivers'!AY490</f>
        <v>271.60000000000002</v>
      </c>
      <c r="AZ727">
        <f>'Revenue drivers'!AZ490</f>
        <v>282.10000000000002</v>
      </c>
      <c r="BA727">
        <f>'Revenue drivers'!BA490</f>
        <v>287</v>
      </c>
      <c r="BB727">
        <f>'Revenue drivers'!BB490</f>
        <v>298.87900000000002</v>
      </c>
      <c r="BC727">
        <f>'Revenue drivers'!BC490</f>
        <v>308.60000000000002</v>
      </c>
      <c r="BD727">
        <f>'Revenue drivers'!BD490</f>
        <v>319.10000000000002</v>
      </c>
      <c r="BE727">
        <f>'Revenue drivers'!BE490</f>
        <v>0</v>
      </c>
      <c r="BF727">
        <f>'Revenue drivers'!BF490</f>
        <v>0</v>
      </c>
      <c r="BG727">
        <f>'Revenue drivers'!BG490</f>
        <v>0</v>
      </c>
      <c r="BH727">
        <f>'Revenue drivers'!BH490</f>
        <v>9.0570000000000004</v>
      </c>
      <c r="BI727">
        <f>'Revenue drivers'!BI490</f>
        <v>20.097000000000001</v>
      </c>
      <c r="BJ727">
        <f>'Revenue drivers'!BJ490</f>
        <v>33.759</v>
      </c>
      <c r="BK727">
        <f>'Revenue drivers'!BK490</f>
        <v>58.472999999999999</v>
      </c>
      <c r="BL727">
        <f>'Revenue drivers'!BL490</f>
        <v>109.15799999999999</v>
      </c>
      <c r="BM727">
        <f>'Revenue drivers'!BM490</f>
        <v>192.88499999999999</v>
      </c>
      <c r="BN727">
        <f>'Revenue drivers'!BN490</f>
        <v>319.11699999999996</v>
      </c>
      <c r="BO727">
        <f>'Revenue drivers'!BO490</f>
        <v>448.23500000000001</v>
      </c>
      <c r="BP727">
        <f>'Revenue drivers'!BP490</f>
        <v>624.69500000000005</v>
      </c>
      <c r="BQ727">
        <f>'Revenue drivers'!BQ490</f>
        <v>771.57900000000006</v>
      </c>
      <c r="BR727">
        <f>'Revenue drivers'!BR490</f>
        <v>917.57900000000006</v>
      </c>
      <c r="BS727">
        <f>'Revenue drivers'!BS490</f>
        <v>1065.5790000000002</v>
      </c>
      <c r="BT727">
        <f>'Revenue drivers'!BT490</f>
        <v>1213.5790000000002</v>
      </c>
      <c r="BU727">
        <f>'Revenue drivers'!BU490</f>
        <v>1343.5790000000002</v>
      </c>
      <c r="BV727">
        <f>'Revenue drivers'!BV490</f>
        <v>1467.5790000000002</v>
      </c>
      <c r="BW727">
        <f>'Revenue drivers'!BW490</f>
        <v>1576.5790000000002</v>
      </c>
      <c r="BX727">
        <f>'Revenue drivers'!BX490</f>
        <v>1680.5790000000002</v>
      </c>
      <c r="BY727">
        <f>'Revenue drivers'!BY490</f>
        <v>1780.5790000000002</v>
      </c>
    </row>
    <row r="728" spans="9:77" ht="11.25" customHeight="1">
      <c r="I728" t="str">
        <f>'Revenue drivers'!I491</f>
        <v>% change Y/Y</v>
      </c>
      <c r="J728">
        <f>'Revenue drivers'!J491</f>
        <v>0</v>
      </c>
      <c r="K728">
        <f>'Revenue drivers'!K491</f>
        <v>0</v>
      </c>
      <c r="L728">
        <f>'Revenue drivers'!L491</f>
        <v>0</v>
      </c>
      <c r="M728" t="str">
        <f>'Revenue drivers'!M491</f>
        <v>NA</v>
      </c>
      <c r="N728" t="str">
        <f>'Revenue drivers'!N491</f>
        <v>NA</v>
      </c>
      <c r="O728" t="str">
        <f>'Revenue drivers'!O491</f>
        <v>NA</v>
      </c>
      <c r="P728" t="str">
        <f>'Revenue drivers'!P491</f>
        <v>NA</v>
      </c>
      <c r="Q728">
        <f>'Revenue drivers'!Q491</f>
        <v>0.58323927765237005</v>
      </c>
      <c r="R728">
        <f>'Revenue drivers'!R491</f>
        <v>0.63849362119725228</v>
      </c>
      <c r="S728">
        <f>'Revenue drivers'!S491</f>
        <v>0.77319819819819813</v>
      </c>
      <c r="T728">
        <f>'Revenue drivers'!T491</f>
        <v>0.88276792198360843</v>
      </c>
      <c r="U728">
        <f>'Revenue drivers'!U491</f>
        <v>0.9134735341293887</v>
      </c>
      <c r="V728">
        <f>'Revenue drivers'!V491</f>
        <v>0.890768885228719</v>
      </c>
      <c r="W728">
        <f>'Revenue drivers'!W491</f>
        <v>0.8090308649815825</v>
      </c>
      <c r="X728">
        <f>'Revenue drivers'!X491</f>
        <v>0.87045404452281239</v>
      </c>
      <c r="Y728">
        <f>'Revenue drivers'!Y491</f>
        <v>0.80999394588553075</v>
      </c>
      <c r="Z728">
        <f>'Revenue drivers'!Z491</f>
        <v>0.77390615719659461</v>
      </c>
      <c r="AA728">
        <f>'Revenue drivers'!AA491</f>
        <v>0.7962787431981746</v>
      </c>
      <c r="AB728">
        <f>'Revenue drivers'!AB491</f>
        <v>0.71017822948887899</v>
      </c>
      <c r="AC728">
        <f>'Revenue drivers'!AC491</f>
        <v>0.67755879174599909</v>
      </c>
      <c r="AD728">
        <f>'Revenue drivers'!AD491</f>
        <v>0.68939732142857157</v>
      </c>
      <c r="AE728">
        <f>'Revenue drivers'!AE491</f>
        <v>0.66380675044462256</v>
      </c>
      <c r="AF728">
        <f>'Revenue drivers'!AF491</f>
        <v>0.60373458278784531</v>
      </c>
      <c r="AG728">
        <f>'Revenue drivers'!AG491</f>
        <v>0.51180981595092012</v>
      </c>
      <c r="AH728">
        <f>'Revenue drivers'!AH491</f>
        <v>0.42540794080729349</v>
      </c>
      <c r="AI728">
        <f>'Revenue drivers'!AI491</f>
        <v>0.36179110087863542</v>
      </c>
      <c r="AJ728">
        <f>'Revenue drivers'!AJ491</f>
        <v>0.35178302900107417</v>
      </c>
      <c r="AK728">
        <f>'Revenue drivers'!AK491</f>
        <v>0.40119711879882347</v>
      </c>
      <c r="AL728">
        <f>'Revenue drivers'!AL491</f>
        <v>0.40782521644018455</v>
      </c>
      <c r="AM728">
        <f>'Revenue drivers'!AM491</f>
        <v>0.41117206638374215</v>
      </c>
      <c r="AN728">
        <f>'Revenue drivers'!AN491</f>
        <v>0.35954422293029054</v>
      </c>
      <c r="AO728">
        <f>'Revenue drivers'!AO491</f>
        <v>0.28153146630368653</v>
      </c>
      <c r="AP728">
        <f>'Revenue drivers'!AP491</f>
        <v>0.23703079425068641</v>
      </c>
      <c r="AQ728">
        <f>'Revenue drivers'!AQ491</f>
        <v>0.2078239608801955</v>
      </c>
      <c r="AR728">
        <f>'Revenue drivers'!AR491</f>
        <v>0.22209234365867925</v>
      </c>
      <c r="AS728">
        <f>'Revenue drivers'!AS491</f>
        <v>0.20338983050847448</v>
      </c>
      <c r="AT728">
        <f>'Revenue drivers'!AT491</f>
        <v>0.19693526152470464</v>
      </c>
      <c r="AU728">
        <f>'Revenue drivers'!AU491</f>
        <v>0.18724696356275294</v>
      </c>
      <c r="AV728">
        <f>'Revenue drivers'!AV491</f>
        <v>0.17216642754662836</v>
      </c>
      <c r="AW728">
        <f>'Revenue drivers'!AW491</f>
        <v>0.17370892018779349</v>
      </c>
      <c r="AX728">
        <f>'Revenue drivers'!AX491</f>
        <v>0.16453292659608065</v>
      </c>
      <c r="AY728">
        <f>'Revenue drivers'!AY491</f>
        <v>0.15771526001705038</v>
      </c>
      <c r="AZ728">
        <f>'Revenue drivers'!AZ491</f>
        <v>0.15095879232966158</v>
      </c>
      <c r="BA728">
        <f>'Revenue drivers'!BA491</f>
        <v>0.14799999999999991</v>
      </c>
      <c r="BB728">
        <f>'Revenue drivers'!BB491</f>
        <v>0.14128662473890619</v>
      </c>
      <c r="BC728">
        <f>'Revenue drivers'!BC491</f>
        <v>0.13622974963181145</v>
      </c>
      <c r="BD728">
        <f>'Revenue drivers'!BD491</f>
        <v>0.131159163417228</v>
      </c>
      <c r="BE728">
        <f>'Revenue drivers'!BE491</f>
        <v>0</v>
      </c>
      <c r="BF728">
        <f>'Revenue drivers'!BF491</f>
        <v>0</v>
      </c>
      <c r="BG728">
        <f>'Revenue drivers'!BG491</f>
        <v>0</v>
      </c>
      <c r="BH728" t="str">
        <f>'Revenue drivers'!BH491</f>
        <v>NA</v>
      </c>
      <c r="BI728">
        <f>'Revenue drivers'!BI491</f>
        <v>1.21894667108314</v>
      </c>
      <c r="BJ728">
        <f>'Revenue drivers'!BJ491</f>
        <v>0.67980295566502447</v>
      </c>
      <c r="BK728">
        <f>'Revenue drivers'!BK491</f>
        <v>0.73207144761396958</v>
      </c>
      <c r="BL728">
        <f>'Revenue drivers'!BL491</f>
        <v>0.86681032271304681</v>
      </c>
      <c r="BM728">
        <f>'Revenue drivers'!BM491</f>
        <v>0.76702577914582548</v>
      </c>
      <c r="BN728">
        <f>'Revenue drivers'!BN491</f>
        <v>0.65444176581901115</v>
      </c>
      <c r="BO728">
        <f>'Revenue drivers'!BO491</f>
        <v>0.40461022132948132</v>
      </c>
      <c r="BP728">
        <f>'Revenue drivers'!BP491</f>
        <v>0.39367742367285019</v>
      </c>
      <c r="BQ728">
        <f>'Revenue drivers'!BQ491</f>
        <v>0.23512914302179455</v>
      </c>
      <c r="BR728">
        <f>'Revenue drivers'!BR491</f>
        <v>0.18922236089888389</v>
      </c>
      <c r="BS728">
        <f>'Revenue drivers'!BS491</f>
        <v>0.16129401392141718</v>
      </c>
      <c r="BT728">
        <f>'Revenue drivers'!BT491</f>
        <v>0.13889162605494287</v>
      </c>
      <c r="BU728">
        <f>'Revenue drivers'!BU491</f>
        <v>0.10712116804921634</v>
      </c>
      <c r="BV728">
        <f>'Revenue drivers'!BV491</f>
        <v>9.2290814310137304E-2</v>
      </c>
      <c r="BW728">
        <f>'Revenue drivers'!BW491</f>
        <v>7.4271981269832921E-2</v>
      </c>
      <c r="BX728">
        <f>'Revenue drivers'!BX491</f>
        <v>6.5965612887143532E-2</v>
      </c>
      <c r="BY728">
        <f>'Revenue drivers'!BY491</f>
        <v>5.9503302135752056E-2</v>
      </c>
    </row>
    <row r="729" spans="9:77" ht="11.25" customHeight="1">
      <c r="I729" t="str">
        <f>'Revenue drivers'!I492</f>
        <v xml:space="preserve">Two-year % change </v>
      </c>
      <c r="J729">
        <f>'Revenue drivers'!J492</f>
        <v>0</v>
      </c>
      <c r="K729">
        <f>'Revenue drivers'!K492</f>
        <v>0</v>
      </c>
      <c r="L729">
        <f>'Revenue drivers'!L492</f>
        <v>0</v>
      </c>
      <c r="M729">
        <f>'Revenue drivers'!M492</f>
        <v>0</v>
      </c>
      <c r="N729">
        <f>'Revenue drivers'!N492</f>
        <v>0</v>
      </c>
      <c r="O729">
        <f>'Revenue drivers'!O492</f>
        <v>0</v>
      </c>
      <c r="P729">
        <f>'Revenue drivers'!P492</f>
        <v>0</v>
      </c>
      <c r="Q729">
        <f>'Revenue drivers'!Q492</f>
        <v>0</v>
      </c>
      <c r="R729">
        <f>'Revenue drivers'!R492</f>
        <v>0</v>
      </c>
      <c r="S729">
        <f>'Revenue drivers'!S492</f>
        <v>0</v>
      </c>
      <c r="T729">
        <f>'Revenue drivers'!T492</f>
        <v>0</v>
      </c>
      <c r="U729">
        <f>'Revenue drivers'!U492</f>
        <v>1.4967128117817587</v>
      </c>
      <c r="V729">
        <f>'Revenue drivers'!V492</f>
        <v>1.5292625064259713</v>
      </c>
      <c r="W729">
        <f>'Revenue drivers'!W492</f>
        <v>1.5822290631797806</v>
      </c>
      <c r="X729">
        <f>'Revenue drivers'!X492</f>
        <v>1.7532219665064208</v>
      </c>
      <c r="Y729">
        <f>'Revenue drivers'!Y492</f>
        <v>1.7234674800149195</v>
      </c>
      <c r="Z729">
        <f>'Revenue drivers'!Z492</f>
        <v>1.6646750424253136</v>
      </c>
      <c r="AA729">
        <f>'Revenue drivers'!AA492</f>
        <v>1.6053096081797571</v>
      </c>
      <c r="AB729">
        <f>'Revenue drivers'!AB492</f>
        <v>1.5806322740116914</v>
      </c>
      <c r="AC729">
        <f>'Revenue drivers'!AC492</f>
        <v>1.4875527376315298</v>
      </c>
      <c r="AD729">
        <f>'Revenue drivers'!AD492</f>
        <v>1.4633034786251662</v>
      </c>
      <c r="AE729">
        <f>'Revenue drivers'!AE492</f>
        <v>1.4600854936427972</v>
      </c>
      <c r="AF729">
        <f>'Revenue drivers'!AF492</f>
        <v>1.3139128122767243</v>
      </c>
      <c r="AG729">
        <f>'Revenue drivers'!AG492</f>
        <v>1.1893686076969192</v>
      </c>
      <c r="AH729">
        <f>'Revenue drivers'!AH492</f>
        <v>1.1148052622358651</v>
      </c>
      <c r="AI729">
        <f>'Revenue drivers'!AI492</f>
        <v>1.025597851323258</v>
      </c>
      <c r="AJ729">
        <f>'Revenue drivers'!AJ492</f>
        <v>0.95551761178891947</v>
      </c>
      <c r="AK729">
        <f>'Revenue drivers'!AK492</f>
        <v>0.91300693474974359</v>
      </c>
      <c r="AL729">
        <f>'Revenue drivers'!AL492</f>
        <v>0.83323315724747804</v>
      </c>
      <c r="AM729">
        <f>'Revenue drivers'!AM492</f>
        <v>0.77296316726237757</v>
      </c>
      <c r="AN729">
        <f>'Revenue drivers'!AN492</f>
        <v>0.7113272519313647</v>
      </c>
      <c r="AO729">
        <f>'Revenue drivers'!AO492</f>
        <v>0.68272858510251</v>
      </c>
      <c r="AP729">
        <f>'Revenue drivers'!AP492</f>
        <v>0.64485601069087095</v>
      </c>
      <c r="AQ729">
        <f>'Revenue drivers'!AQ492</f>
        <v>0.61899602726393765</v>
      </c>
      <c r="AR729">
        <f>'Revenue drivers'!AR492</f>
        <v>0.58163656658896978</v>
      </c>
      <c r="AS729">
        <f>'Revenue drivers'!AS492</f>
        <v>0.48492129681216101</v>
      </c>
      <c r="AT729">
        <f>'Revenue drivers'!AT492</f>
        <v>0.43396605577539105</v>
      </c>
      <c r="AU729">
        <f>'Revenue drivers'!AU492</f>
        <v>0.39507092444294845</v>
      </c>
      <c r="AV729">
        <f>'Revenue drivers'!AV492</f>
        <v>0.39425877120530761</v>
      </c>
      <c r="AW729">
        <f>'Revenue drivers'!AW492</f>
        <v>0.37709875069626797</v>
      </c>
      <c r="AX729">
        <f>'Revenue drivers'!AX492</f>
        <v>0.36146818812078529</v>
      </c>
      <c r="AY729">
        <f>'Revenue drivers'!AY492</f>
        <v>0.34496222357980333</v>
      </c>
      <c r="AZ729">
        <f>'Revenue drivers'!AZ492</f>
        <v>0.32312521987628995</v>
      </c>
      <c r="BA729">
        <f>'Revenue drivers'!BA492</f>
        <v>0.3217089201877934</v>
      </c>
      <c r="BB729">
        <f>'Revenue drivers'!BB492</f>
        <v>0.30581955133498684</v>
      </c>
      <c r="BC729">
        <f>'Revenue drivers'!BC492</f>
        <v>0.29394500964886183</v>
      </c>
      <c r="BD729">
        <f>'Revenue drivers'!BD492</f>
        <v>0.28211795574688958</v>
      </c>
      <c r="BE729">
        <f>'Revenue drivers'!BE492</f>
        <v>0</v>
      </c>
      <c r="BF729">
        <f>'Revenue drivers'!BF492</f>
        <v>0</v>
      </c>
      <c r="BG729">
        <f>'Revenue drivers'!BG492</f>
        <v>0</v>
      </c>
      <c r="BH729">
        <f>'Revenue drivers'!BH492</f>
        <v>0</v>
      </c>
      <c r="BI729">
        <f>'Revenue drivers'!BI492</f>
        <v>0</v>
      </c>
      <c r="BJ729">
        <f>'Revenue drivers'!BJ492</f>
        <v>0</v>
      </c>
      <c r="BK729">
        <f>'Revenue drivers'!BK492</f>
        <v>0</v>
      </c>
      <c r="BL729">
        <f>'Revenue drivers'!BL492</f>
        <v>0</v>
      </c>
      <c r="BM729">
        <f>'Revenue drivers'!BM492</f>
        <v>0</v>
      </c>
      <c r="BN729">
        <f>'Revenue drivers'!BN492</f>
        <v>0</v>
      </c>
      <c r="BO729">
        <f>'Revenue drivers'!BO492</f>
        <v>1.0590519871484925</v>
      </c>
      <c r="BP729">
        <f>'Revenue drivers'!BP492</f>
        <v>0.79828764500233151</v>
      </c>
      <c r="BQ729">
        <f>'Revenue drivers'!BQ492</f>
        <v>0.62880656669464474</v>
      </c>
      <c r="BR729">
        <f>'Revenue drivers'!BR492</f>
        <v>0.42435150392067844</v>
      </c>
      <c r="BS729">
        <f>'Revenue drivers'!BS492</f>
        <v>0.35051637482030107</v>
      </c>
      <c r="BT729">
        <f>'Revenue drivers'!BT492</f>
        <v>0.30018563997636005</v>
      </c>
      <c r="BU729">
        <f>'Revenue drivers'!BU492</f>
        <v>0.24601279410415922</v>
      </c>
      <c r="BV729">
        <f>'Revenue drivers'!BV492</f>
        <v>0.19941198235935365</v>
      </c>
      <c r="BW729">
        <f>'Revenue drivers'!BW492</f>
        <v>0.16656279557997022</v>
      </c>
      <c r="BX729">
        <f>'Revenue drivers'!BX492</f>
        <v>0.14023759415697645</v>
      </c>
      <c r="BY729">
        <f>'Revenue drivers'!BY492</f>
        <v>0.12546891502289559</v>
      </c>
    </row>
    <row r="730" spans="9:77" ht="11.25" customHeight="1">
      <c r="I730" t="str">
        <f>'Revenue drivers'!I493</f>
        <v>% change Q/Q</v>
      </c>
      <c r="J730">
        <f>'Revenue drivers'!J493</f>
        <v>0</v>
      </c>
      <c r="K730">
        <f>'Revenue drivers'!K493</f>
        <v>0</v>
      </c>
      <c r="L730">
        <f>'Revenue drivers'!L493</f>
        <v>0</v>
      </c>
      <c r="M730">
        <f>'Revenue drivers'!M493</f>
        <v>0</v>
      </c>
      <c r="N730">
        <f>'Revenue drivers'!N493</f>
        <v>0.15011286681715563</v>
      </c>
      <c r="O730">
        <f>'Revenue drivers'!O493</f>
        <v>8.9303238469087498E-2</v>
      </c>
      <c r="P730">
        <f>'Revenue drivers'!P493</f>
        <v>8.5472972972972849E-2</v>
      </c>
      <c r="Q730">
        <f>'Revenue drivers'!Q493</f>
        <v>0.16422865442473289</v>
      </c>
      <c r="R730">
        <f>'Revenue drivers'!R493</f>
        <v>0.19025129210479408</v>
      </c>
      <c r="S730">
        <f>'Revenue drivers'!S493</f>
        <v>0.17885752788799891</v>
      </c>
      <c r="T730">
        <f>'Revenue drivers'!T493</f>
        <v>0.15254667852152926</v>
      </c>
      <c r="U730">
        <f>'Revenue drivers'!U493</f>
        <v>0.18321578135331706</v>
      </c>
      <c r="V730">
        <f>'Revenue drivers'!V493</f>
        <v>0.17612816094630457</v>
      </c>
      <c r="W730">
        <f>'Revenue drivers'!W493</f>
        <v>0.12789546624430814</v>
      </c>
      <c r="X730">
        <f>'Revenue drivers'!X493</f>
        <v>0.19167983149025813</v>
      </c>
      <c r="Y730">
        <f>'Revenue drivers'!Y493</f>
        <v>0.14496980409485927</v>
      </c>
      <c r="Z730">
        <f>'Revenue drivers'!Z493</f>
        <v>0.15267843359234279</v>
      </c>
      <c r="AA730">
        <f>'Revenue drivers'!AA493</f>
        <v>0.14212053571428584</v>
      </c>
      <c r="AB730">
        <f>'Revenue drivers'!AB493</f>
        <v>0.13455938397795442</v>
      </c>
      <c r="AC730">
        <f>'Revenue drivers'!AC493</f>
        <v>0.12313098601254047</v>
      </c>
      <c r="AD730">
        <f>'Revenue drivers'!AD493</f>
        <v>0.16081288343558287</v>
      </c>
      <c r="AE730">
        <f>'Revenue drivers'!AE493</f>
        <v>0.12481997753848195</v>
      </c>
      <c r="AF730">
        <f>'Revenue drivers'!AF493</f>
        <v>9.3595827655875485E-2</v>
      </c>
      <c r="AG730">
        <f>'Revenue drivers'!AG493</f>
        <v>5.8754027926960273E-2</v>
      </c>
      <c r="AH730">
        <f>'Revenue drivers'!AH493</f>
        <v>9.4470934361367664E-2</v>
      </c>
      <c r="AI730">
        <f>'Revenue drivers'!AI493</f>
        <v>7.4618564728128778E-2</v>
      </c>
      <c r="AJ730">
        <f>'Revenue drivers'!AJ493</f>
        <v>8.5558775834109646E-2</v>
      </c>
      <c r="AK730">
        <f>'Revenue drivers'!AK493</f>
        <v>9.7456516038807894E-2</v>
      </c>
      <c r="AL730">
        <f>'Revenue drivers'!AL493</f>
        <v>9.964812186857408E-2</v>
      </c>
      <c r="AM730">
        <f>'Revenue drivers'!AM493</f>
        <v>7.7173276094786081E-2</v>
      </c>
      <c r="AN730">
        <f>'Revenue drivers'!AN493</f>
        <v>4.5843520782396174E-2</v>
      </c>
      <c r="AO730">
        <f>'Revenue drivers'!AO493</f>
        <v>3.4482758620689724E-2</v>
      </c>
      <c r="AP730">
        <f>'Revenue drivers'!AP493</f>
        <v>6.1463276836158043E-2</v>
      </c>
      <c r="AQ730">
        <f>'Revenue drivers'!AQ493</f>
        <v>5.1740748034639239E-2</v>
      </c>
      <c r="AR730">
        <f>'Revenue drivers'!AR493</f>
        <v>5.81983805668016E-2</v>
      </c>
      <c r="AS730">
        <f>'Revenue drivers'!AS493</f>
        <v>1.8651362984218212E-2</v>
      </c>
      <c r="AT730">
        <f>'Revenue drivers'!AT493</f>
        <v>5.5769953051643117E-2</v>
      </c>
      <c r="AU730">
        <f>'Revenue drivers'!AU493</f>
        <v>4.3227691336229723E-2</v>
      </c>
      <c r="AV730">
        <f>'Revenue drivers'!AV493</f>
        <v>4.4757033248081779E-2</v>
      </c>
      <c r="AW730">
        <f>'Revenue drivers'!AW493</f>
        <v>1.9991840065279431E-2</v>
      </c>
      <c r="AX730">
        <f>'Revenue drivers'!AX493</f>
        <v>4.7516000000000114E-2</v>
      </c>
      <c r="AY730">
        <f>'Revenue drivers'!AY493</f>
        <v>3.712019673207867E-2</v>
      </c>
      <c r="AZ730">
        <f>'Revenue drivers'!AZ493</f>
        <v>3.8659793814433074E-2</v>
      </c>
      <c r="BA730">
        <f>'Revenue drivers'!BA493</f>
        <v>1.7369727047146233E-2</v>
      </c>
      <c r="BB730">
        <f>'Revenue drivers'!BB493</f>
        <v>4.1390243902439172E-2</v>
      </c>
      <c r="BC730">
        <f>'Revenue drivers'!BC493</f>
        <v>3.2524867923139578E-2</v>
      </c>
      <c r="BD730">
        <f>'Revenue drivers'!BD493</f>
        <v>3.4024627349319436E-2</v>
      </c>
      <c r="BE730">
        <f>'Revenue drivers'!BE493</f>
        <v>0</v>
      </c>
      <c r="BF730">
        <f>'Revenue drivers'!BF493</f>
        <v>0</v>
      </c>
      <c r="BG730">
        <f>'Revenue drivers'!BG493</f>
        <v>0</v>
      </c>
      <c r="BH730">
        <f>'Revenue drivers'!BH493</f>
        <v>0</v>
      </c>
      <c r="BI730">
        <f>'Revenue drivers'!BI493</f>
        <v>0</v>
      </c>
      <c r="BJ730">
        <f>'Revenue drivers'!BJ493</f>
        <v>0</v>
      </c>
      <c r="BK730">
        <f>'Revenue drivers'!BK493</f>
        <v>0</v>
      </c>
      <c r="BL730">
        <f>'Revenue drivers'!BL493</f>
        <v>0</v>
      </c>
      <c r="BM730">
        <f>'Revenue drivers'!BM493</f>
        <v>0</v>
      </c>
      <c r="BN730">
        <f>'Revenue drivers'!BN493</f>
        <v>0</v>
      </c>
      <c r="BO730">
        <f>'Revenue drivers'!BO493</f>
        <v>0</v>
      </c>
      <c r="BP730">
        <f>'Revenue drivers'!BP493</f>
        <v>0</v>
      </c>
      <c r="BQ730">
        <f>'Revenue drivers'!BQ493</f>
        <v>0</v>
      </c>
      <c r="BR730">
        <f>'Revenue drivers'!BR493</f>
        <v>0</v>
      </c>
      <c r="BS730">
        <f>'Revenue drivers'!BS493</f>
        <v>0</v>
      </c>
      <c r="BT730">
        <f>'Revenue drivers'!BT493</f>
        <v>0</v>
      </c>
      <c r="BU730">
        <f>'Revenue drivers'!BU493</f>
        <v>0</v>
      </c>
      <c r="BV730">
        <f>'Revenue drivers'!BV493</f>
        <v>0</v>
      </c>
      <c r="BW730">
        <f>'Revenue drivers'!BW493</f>
        <v>0</v>
      </c>
      <c r="BX730">
        <f>'Revenue drivers'!BX493</f>
        <v>0</v>
      </c>
      <c r="BY730">
        <f>'Revenue drivers'!BY493</f>
        <v>0</v>
      </c>
    </row>
    <row r="731" spans="9:77" ht="11.25" customHeight="1">
      <c r="I731" t="str">
        <f>'Revenue drivers'!I494</f>
        <v>% of total revenue</v>
      </c>
      <c r="J731">
        <f>'Revenue drivers'!J494</f>
        <v>0</v>
      </c>
      <c r="K731">
        <f>'Revenue drivers'!K494</f>
        <v>0</v>
      </c>
      <c r="L731">
        <f>'Revenue drivers'!L494</f>
        <v>0</v>
      </c>
      <c r="M731">
        <f>'Revenue drivers'!M494</f>
        <v>0.77583187390542918</v>
      </c>
      <c r="N731">
        <f>'Revenue drivers'!N494</f>
        <v>0.75995152419129308</v>
      </c>
      <c r="O731">
        <f>'Revenue drivers'!O494</f>
        <v>0.70509766555502618</v>
      </c>
      <c r="P731">
        <f>'Revenue drivers'!P494</f>
        <v>0.63107241063244723</v>
      </c>
      <c r="Q731">
        <f>'Revenue drivers'!Q494</f>
        <v>0.68012121212121213</v>
      </c>
      <c r="R731">
        <f>'Revenue drivers'!R494</f>
        <v>0.68224537746450098</v>
      </c>
      <c r="S731">
        <f>'Revenue drivers'!S494</f>
        <v>0.70603533315397726</v>
      </c>
      <c r="T731">
        <f>'Revenue drivers'!T494</f>
        <v>0.72868901826942378</v>
      </c>
      <c r="U731">
        <f>'Revenue drivers'!U494</f>
        <v>0.7841153916377579</v>
      </c>
      <c r="V731">
        <f>'Revenue drivers'!V494</f>
        <v>0.77343582519217224</v>
      </c>
      <c r="W731">
        <f>'Revenue drivers'!W494</f>
        <v>0.78317890627148001</v>
      </c>
      <c r="X731">
        <f>'Revenue drivers'!X494</f>
        <v>0.82476856913769236</v>
      </c>
      <c r="Y731">
        <f>'Revenue drivers'!Y494</f>
        <v>0.84247718552879713</v>
      </c>
      <c r="Z731">
        <f>'Revenue drivers'!Z494</f>
        <v>0.81420496883121596</v>
      </c>
      <c r="AA731">
        <f>'Revenue drivers'!AA494</f>
        <v>0.83632173387162689</v>
      </c>
      <c r="AB731">
        <f>'Revenue drivers'!AB494</f>
        <v>0.82167272933150282</v>
      </c>
      <c r="AC731">
        <f>'Revenue drivers'!AC494</f>
        <v>0.85332495713743517</v>
      </c>
      <c r="AD731">
        <f>'Revenue drivers'!AD494</f>
        <v>0.85243335172941981</v>
      </c>
      <c r="AE731">
        <f>'Revenue drivers'!AE494</f>
        <v>0.83092089209897035</v>
      </c>
      <c r="AF731">
        <f>'Revenue drivers'!AF494</f>
        <v>0.84723397672154122</v>
      </c>
      <c r="AG731">
        <f>'Revenue drivers'!AG494</f>
        <v>0.88166368515205717</v>
      </c>
      <c r="AH731">
        <f>'Revenue drivers'!AH494</f>
        <v>0.85893312101910835</v>
      </c>
      <c r="AI731">
        <f>'Revenue drivers'!AI494</f>
        <v>0.86130757800891533</v>
      </c>
      <c r="AJ731">
        <f>'Revenue drivers'!AJ494</f>
        <v>0.85788002726653034</v>
      </c>
      <c r="AK731">
        <f>'Revenue drivers'!AK494</f>
        <v>0.87077351793358682</v>
      </c>
      <c r="AL731">
        <f>'Revenue drivers'!AL494</f>
        <v>0.87574670756740547</v>
      </c>
      <c r="AM731">
        <f>'Revenue drivers'!AM494</f>
        <v>0.87847416126122257</v>
      </c>
      <c r="AN731">
        <f>'Revenue drivers'!AN494</f>
        <v>0.87835479167950059</v>
      </c>
      <c r="AO731">
        <f>'Revenue drivers'!AO494</f>
        <v>0.89700643108000588</v>
      </c>
      <c r="AP731">
        <f>'Revenue drivers'!AP494</f>
        <v>0.89952792247586943</v>
      </c>
      <c r="AQ731">
        <f>'Revenue drivers'!AQ494</f>
        <v>0.88856911592769128</v>
      </c>
      <c r="AR731">
        <f>'Revenue drivers'!AR494</f>
        <v>0.9580931609284935</v>
      </c>
      <c r="AS731">
        <f>'Revenue drivers'!AS494</f>
        <v>0.96292947558770348</v>
      </c>
      <c r="AT731">
        <f>'Revenue drivers'!AT494</f>
        <v>0.97181936041486594</v>
      </c>
      <c r="AU731">
        <f>'Revenue drivers'!AU494</f>
        <v>0.94596774193548383</v>
      </c>
      <c r="AV731">
        <f>'Revenue drivers'!AV494</f>
        <v>0.94487278334618352</v>
      </c>
      <c r="AW731">
        <f>'Revenue drivers'!AW494</f>
        <v>0.95347063310450042</v>
      </c>
      <c r="AX731">
        <f>'Revenue drivers'!AX494</f>
        <v>0.96634317343173437</v>
      </c>
      <c r="AY731">
        <f>'Revenue drivers'!AY494</f>
        <v>0.94700139470013955</v>
      </c>
      <c r="AZ731">
        <f>'Revenue drivers'!AZ494</f>
        <v>0.95175438596491246</v>
      </c>
      <c r="BA731">
        <f>'Revenue drivers'!BA494</f>
        <v>0.9617962466487936</v>
      </c>
      <c r="BB731">
        <f>'Revenue drivers'!BB494</f>
        <v>0.97228041639557572</v>
      </c>
      <c r="BC731">
        <f>'Revenue drivers'!BC494</f>
        <v>0.95600991325898388</v>
      </c>
      <c r="BD731">
        <f>'Revenue drivers'!BD494</f>
        <v>0.96114457831325306</v>
      </c>
      <c r="BE731">
        <f>'Revenue drivers'!BE494</f>
        <v>0</v>
      </c>
      <c r="BF731">
        <f>'Revenue drivers'!BF494</f>
        <v>0</v>
      </c>
      <c r="BG731">
        <f>'Revenue drivers'!BG494</f>
        <v>0</v>
      </c>
      <c r="BH731">
        <f>'Revenue drivers'!BH494</f>
        <v>0.74610758711590741</v>
      </c>
      <c r="BI731">
        <f>'Revenue drivers'!BI494</f>
        <v>0.77871202727836319</v>
      </c>
      <c r="BJ731">
        <f>'Revenue drivers'!BJ494</f>
        <v>0.70727619366868488</v>
      </c>
      <c r="BK731">
        <f>'Revenue drivers'!BK494</f>
        <v>0.70208320826079129</v>
      </c>
      <c r="BL731">
        <f>'Revenue drivers'!BL494</f>
        <v>0.79349548580317819</v>
      </c>
      <c r="BM731">
        <f>'Revenue drivers'!BM494</f>
        <v>0.82787525537795936</v>
      </c>
      <c r="BN731">
        <f>'Revenue drivers'!BN494</f>
        <v>0.84526243854890648</v>
      </c>
      <c r="BO731">
        <f>'Revenue drivers'!BO494</f>
        <v>0.86415076151918258</v>
      </c>
      <c r="BP731">
        <f>'Revenue drivers'!BP494</f>
        <v>0.87606528961432917</v>
      </c>
      <c r="BQ731">
        <f>'Revenue drivers'!BQ494</f>
        <v>0.91115630015127314</v>
      </c>
      <c r="BR731">
        <f>'Revenue drivers'!BR494</f>
        <v>0.95581145833333336</v>
      </c>
      <c r="BS731">
        <f>'Revenue drivers'!BS494</f>
        <v>0.95447778573987829</v>
      </c>
      <c r="BT731">
        <f>'Revenue drivers'!BT494</f>
        <v>0.96269950817071259</v>
      </c>
      <c r="BU731">
        <f>'Revenue drivers'!BU494</f>
        <v>0.95928816221619329</v>
      </c>
      <c r="BV731">
        <f>'Revenue drivers'!BV494</f>
        <v>0.95446084807492215</v>
      </c>
      <c r="BW731">
        <f>'Revenue drivers'!BW494</f>
        <v>0.94372022028013902</v>
      </c>
      <c r="BX731">
        <f>'Revenue drivers'!BX494</f>
        <v>0.93386252500555689</v>
      </c>
      <c r="BY731">
        <f>'Revenue drivers'!BY494</f>
        <v>0.92468788948899061</v>
      </c>
    </row>
    <row r="732" spans="9:77" ht="11.25" customHeight="1">
      <c r="I732" t="str">
        <f>'Revenue drivers'!I495</f>
        <v>Y/Y Abs Growth</v>
      </c>
      <c r="J732">
        <f>'Revenue drivers'!J495</f>
        <v>0</v>
      </c>
      <c r="K732">
        <f>'Revenue drivers'!K495</f>
        <v>0</v>
      </c>
      <c r="L732">
        <f>'Revenue drivers'!L495</f>
        <v>0</v>
      </c>
      <c r="M732">
        <f>'Revenue drivers'!M495</f>
        <v>0</v>
      </c>
      <c r="N732">
        <f>'Revenue drivers'!N495</f>
        <v>0</v>
      </c>
      <c r="O732">
        <f>'Revenue drivers'!O495</f>
        <v>0</v>
      </c>
      <c r="P732">
        <f>'Revenue drivers'!P495</f>
        <v>0</v>
      </c>
      <c r="Q732">
        <f>'Revenue drivers'!Q495</f>
        <v>4.1339999999999995</v>
      </c>
      <c r="R732">
        <f>'Revenue drivers'!R495</f>
        <v>5.2050000000000001</v>
      </c>
      <c r="S732">
        <f>'Revenue drivers'!S495</f>
        <v>6.8659999999999997</v>
      </c>
      <c r="T732">
        <f>'Revenue drivers'!T495</f>
        <v>8.5090000000000003</v>
      </c>
      <c r="U732">
        <f>'Revenue drivers'!U495</f>
        <v>10.250999999999999</v>
      </c>
      <c r="V732">
        <f>'Revenue drivers'!V495</f>
        <v>11.898</v>
      </c>
      <c r="W732">
        <f>'Revenue drivers'!W495</f>
        <v>12.738999999999999</v>
      </c>
      <c r="X732">
        <f>'Revenue drivers'!X495</f>
        <v>15.797000000000001</v>
      </c>
      <c r="Y732">
        <f>'Revenue drivers'!Y495</f>
        <v>17.393000000000001</v>
      </c>
      <c r="Z732">
        <f>'Revenue drivers'!Z495</f>
        <v>19.544999999999998</v>
      </c>
      <c r="AA732">
        <f>'Revenue drivers'!AA495</f>
        <v>22.682000000000002</v>
      </c>
      <c r="AB732">
        <f>'Revenue drivers'!AB495</f>
        <v>24.106999999999999</v>
      </c>
      <c r="AC732">
        <f>'Revenue drivers'!AC495</f>
        <v>26.334000000000003</v>
      </c>
      <c r="AD732">
        <f>'Revenue drivers'!AD495</f>
        <v>30.885000000000005</v>
      </c>
      <c r="AE732">
        <f>'Revenue drivers'!AE495</f>
        <v>33.965000000000003</v>
      </c>
      <c r="AF732">
        <f>'Revenue drivers'!AF495</f>
        <v>35.047999999999995</v>
      </c>
      <c r="AG732">
        <f>'Revenue drivers'!AG495</f>
        <v>33.36999999999999</v>
      </c>
      <c r="AH732">
        <f>'Revenue drivers'!AH495</f>
        <v>32.197000000000003</v>
      </c>
      <c r="AI732">
        <f>'Revenue drivers'!AI495</f>
        <v>30.799999999999997</v>
      </c>
      <c r="AJ732">
        <f>'Revenue drivers'!AJ495</f>
        <v>32.751000000000005</v>
      </c>
      <c r="AK732">
        <f>'Revenue drivers'!AK495</f>
        <v>39.546000000000021</v>
      </c>
      <c r="AL732">
        <f>'Revenue drivers'!AL495</f>
        <v>43.996999999999986</v>
      </c>
      <c r="AM732">
        <f>'Revenue drivers'!AM495</f>
        <v>47.667999999999992</v>
      </c>
      <c r="AN732">
        <f>'Revenue drivers'!AN495</f>
        <v>45.248999999999995</v>
      </c>
      <c r="AO732">
        <f>'Revenue drivers'!AO495</f>
        <v>38.883999999999986</v>
      </c>
      <c r="AP732">
        <f>'Revenue drivers'!AP495</f>
        <v>36</v>
      </c>
      <c r="AQ732">
        <f>'Revenue drivers'!AQ495</f>
        <v>34</v>
      </c>
      <c r="AR732">
        <f>'Revenue drivers'!AR495</f>
        <v>38</v>
      </c>
      <c r="AS732">
        <f>'Revenue drivers'!AS495</f>
        <v>36</v>
      </c>
      <c r="AT732">
        <f>'Revenue drivers'!AT495</f>
        <v>37</v>
      </c>
      <c r="AU732">
        <f>'Revenue drivers'!AU495</f>
        <v>37</v>
      </c>
      <c r="AV732">
        <f>'Revenue drivers'!AV495</f>
        <v>36</v>
      </c>
      <c r="AW732">
        <f>'Revenue drivers'!AW495</f>
        <v>37</v>
      </c>
      <c r="AX732">
        <f>'Revenue drivers'!AX495</f>
        <v>37</v>
      </c>
      <c r="AY732">
        <f>'Revenue drivers'!AY495</f>
        <v>37</v>
      </c>
      <c r="AZ732">
        <f>'Revenue drivers'!AZ495</f>
        <v>37</v>
      </c>
      <c r="BA732">
        <f>'Revenue drivers'!BA495</f>
        <v>37</v>
      </c>
      <c r="BB732">
        <f>'Revenue drivers'!BB495</f>
        <v>37</v>
      </c>
      <c r="BC732">
        <f>'Revenue drivers'!BC495</f>
        <v>37</v>
      </c>
      <c r="BD732">
        <f>'Revenue drivers'!BD495</f>
        <v>37</v>
      </c>
      <c r="BE732">
        <f>'Revenue drivers'!BE495</f>
        <v>0</v>
      </c>
      <c r="BF732">
        <f>'Revenue drivers'!BF495</f>
        <v>0</v>
      </c>
      <c r="BG732">
        <f>'Revenue drivers'!BG495</f>
        <v>0</v>
      </c>
      <c r="BH732">
        <f>'Revenue drivers'!BH495</f>
        <v>0</v>
      </c>
      <c r="BI732">
        <f>'Revenue drivers'!BI495</f>
        <v>11.040000000000001</v>
      </c>
      <c r="BJ732">
        <f>'Revenue drivers'!BJ495</f>
        <v>13.661999999999999</v>
      </c>
      <c r="BK732">
        <f>'Revenue drivers'!BK495</f>
        <v>24.713999999999999</v>
      </c>
      <c r="BL732">
        <f>'Revenue drivers'!BL495</f>
        <v>50.684999999999988</v>
      </c>
      <c r="BM732">
        <f>'Revenue drivers'!BM495</f>
        <v>83.727000000000004</v>
      </c>
      <c r="BN732">
        <f>'Revenue drivers'!BN495</f>
        <v>126.23199999999997</v>
      </c>
      <c r="BO732">
        <f>'Revenue drivers'!BO495</f>
        <v>129.11800000000005</v>
      </c>
      <c r="BP732">
        <f>'Revenue drivers'!BP495</f>
        <v>176.46000000000004</v>
      </c>
      <c r="BQ732">
        <f>'Revenue drivers'!BQ495</f>
        <v>146.88400000000001</v>
      </c>
      <c r="BR732">
        <f>'Revenue drivers'!BR495</f>
        <v>146</v>
      </c>
      <c r="BS732">
        <f>'Revenue drivers'!BS495</f>
        <v>148.00000000000011</v>
      </c>
      <c r="BT732">
        <f>'Revenue drivers'!BT495</f>
        <v>148</v>
      </c>
      <c r="BU732">
        <f>'Revenue drivers'!BU495</f>
        <v>130</v>
      </c>
      <c r="BV732">
        <f>'Revenue drivers'!BV495</f>
        <v>124</v>
      </c>
      <c r="BW732">
        <f>'Revenue drivers'!BW495</f>
        <v>109</v>
      </c>
      <c r="BX732">
        <f>'Revenue drivers'!BX495</f>
        <v>104</v>
      </c>
      <c r="BY732">
        <f>'Revenue drivers'!BY495</f>
        <v>100</v>
      </c>
    </row>
    <row r="733" spans="9:77" ht="11.25" customHeight="1">
      <c r="I733" t="str">
        <f>'Revenue drivers'!I496</f>
        <v>Q/Q Abs Growth</v>
      </c>
      <c r="J733">
        <f>'Revenue drivers'!J496</f>
        <v>0</v>
      </c>
      <c r="K733">
        <f>'Revenue drivers'!K496</f>
        <v>0</v>
      </c>
      <c r="L733">
        <f>'Revenue drivers'!L496</f>
        <v>0</v>
      </c>
      <c r="M733">
        <f>'Revenue drivers'!M496</f>
        <v>0</v>
      </c>
      <c r="N733">
        <f>'Revenue drivers'!N496</f>
        <v>1.0639999999999992</v>
      </c>
      <c r="O733">
        <f>'Revenue drivers'!O496</f>
        <v>0.72800000000000153</v>
      </c>
      <c r="P733">
        <f>'Revenue drivers'!P496</f>
        <v>0.75899999999999856</v>
      </c>
      <c r="Q733">
        <f>'Revenue drivers'!Q496</f>
        <v>1.5830000000000002</v>
      </c>
      <c r="R733">
        <f>'Revenue drivers'!R496</f>
        <v>2.1349999999999998</v>
      </c>
      <c r="S733">
        <f>'Revenue drivers'!S496</f>
        <v>2.3890000000000011</v>
      </c>
      <c r="T733">
        <f>'Revenue drivers'!T496</f>
        <v>2.4019999999999992</v>
      </c>
      <c r="U733">
        <f>'Revenue drivers'!U496</f>
        <v>3.3249999999999993</v>
      </c>
      <c r="V733">
        <f>'Revenue drivers'!V496</f>
        <v>3.782</v>
      </c>
      <c r="W733">
        <f>'Revenue drivers'!W496</f>
        <v>3.2300000000000004</v>
      </c>
      <c r="X733">
        <f>'Revenue drivers'!X496</f>
        <v>5.4600000000000009</v>
      </c>
      <c r="Y733">
        <f>'Revenue drivers'!Y496</f>
        <v>4.9209999999999994</v>
      </c>
      <c r="Z733">
        <f>'Revenue drivers'!Z496</f>
        <v>5.9339999999999975</v>
      </c>
      <c r="AA733">
        <f>'Revenue drivers'!AA496</f>
        <v>6.3670000000000044</v>
      </c>
      <c r="AB733">
        <f>'Revenue drivers'!AB496</f>
        <v>6.884999999999998</v>
      </c>
      <c r="AC733">
        <f>'Revenue drivers'!AC496</f>
        <v>7.1480000000000032</v>
      </c>
      <c r="AD733">
        <f>'Revenue drivers'!AD496</f>
        <v>10.484999999999999</v>
      </c>
      <c r="AE733">
        <f>'Revenue drivers'!AE496</f>
        <v>9.4470000000000027</v>
      </c>
      <c r="AF733">
        <f>'Revenue drivers'!AF496</f>
        <v>7.9679999999999893</v>
      </c>
      <c r="AG733">
        <f>'Revenue drivers'!AG496</f>
        <v>5.4699999999999989</v>
      </c>
      <c r="AH733">
        <f>'Revenue drivers'!AH496</f>
        <v>9.3120000000000118</v>
      </c>
      <c r="AI733">
        <f>'Revenue drivers'!AI496</f>
        <v>8.0499999999999972</v>
      </c>
      <c r="AJ733">
        <f>'Revenue drivers'!AJ496</f>
        <v>9.9189999999999969</v>
      </c>
      <c r="AK733">
        <f>'Revenue drivers'!AK496</f>
        <v>12.265000000000015</v>
      </c>
      <c r="AL733">
        <f>'Revenue drivers'!AL496</f>
        <v>13.762999999999977</v>
      </c>
      <c r="AM733">
        <f>'Revenue drivers'!AM496</f>
        <v>11.721000000000004</v>
      </c>
      <c r="AN733">
        <f>'Revenue drivers'!AN496</f>
        <v>7.5</v>
      </c>
      <c r="AO733">
        <f>'Revenue drivers'!AO496</f>
        <v>5.9000000000000057</v>
      </c>
      <c r="AP733">
        <f>'Revenue drivers'!AP496</f>
        <v>10.878999999999991</v>
      </c>
      <c r="AQ733">
        <f>'Revenue drivers'!AQ496</f>
        <v>9.7210000000000036</v>
      </c>
      <c r="AR733">
        <f>'Revenue drivers'!AR496</f>
        <v>11.5</v>
      </c>
      <c r="AS733">
        <f>'Revenue drivers'!AS496</f>
        <v>3.9000000000000057</v>
      </c>
      <c r="AT733">
        <f>'Revenue drivers'!AT496</f>
        <v>11.878999999999991</v>
      </c>
      <c r="AU733">
        <f>'Revenue drivers'!AU496</f>
        <v>9.7210000000000036</v>
      </c>
      <c r="AV733">
        <f>'Revenue drivers'!AV496</f>
        <v>10.5</v>
      </c>
      <c r="AW733">
        <f>'Revenue drivers'!AW496</f>
        <v>4.9000000000000057</v>
      </c>
      <c r="AX733">
        <f>'Revenue drivers'!AX496</f>
        <v>11.879000000000019</v>
      </c>
      <c r="AY733">
        <f>'Revenue drivers'!AY496</f>
        <v>9.7210000000000036</v>
      </c>
      <c r="AZ733">
        <f>'Revenue drivers'!AZ496</f>
        <v>10.5</v>
      </c>
      <c r="BA733">
        <f>'Revenue drivers'!BA496</f>
        <v>4.8999999999999773</v>
      </c>
      <c r="BB733">
        <f>'Revenue drivers'!BB496</f>
        <v>11.879000000000019</v>
      </c>
      <c r="BC733">
        <f>'Revenue drivers'!BC496</f>
        <v>9.7210000000000036</v>
      </c>
      <c r="BD733">
        <f>'Revenue drivers'!BD496</f>
        <v>10.5</v>
      </c>
      <c r="BE733">
        <f>'Revenue drivers'!BE496</f>
        <v>0</v>
      </c>
      <c r="BF733">
        <f>'Revenue drivers'!BF496</f>
        <v>0</v>
      </c>
      <c r="BG733">
        <f>'Revenue drivers'!BG496</f>
        <v>0</v>
      </c>
      <c r="BH733">
        <f>'Revenue drivers'!BH496</f>
        <v>0</v>
      </c>
      <c r="BI733">
        <f>'Revenue drivers'!BI496</f>
        <v>0</v>
      </c>
      <c r="BJ733">
        <f>'Revenue drivers'!BJ496</f>
        <v>0</v>
      </c>
      <c r="BK733">
        <f>'Revenue drivers'!BK496</f>
        <v>0</v>
      </c>
      <c r="BL733">
        <f>'Revenue drivers'!BL496</f>
        <v>0</v>
      </c>
      <c r="BM733">
        <f>'Revenue drivers'!BM496</f>
        <v>0</v>
      </c>
      <c r="BN733">
        <f>'Revenue drivers'!BN496</f>
        <v>0</v>
      </c>
      <c r="BO733">
        <f>'Revenue drivers'!BO496</f>
        <v>0</v>
      </c>
      <c r="BP733">
        <f>'Revenue drivers'!BP496</f>
        <v>0</v>
      </c>
      <c r="BQ733">
        <f>'Revenue drivers'!BQ496</f>
        <v>0</v>
      </c>
      <c r="BR733">
        <f>'Revenue drivers'!BR496</f>
        <v>0</v>
      </c>
      <c r="BS733">
        <f>'Revenue drivers'!BS496</f>
        <v>0</v>
      </c>
      <c r="BT733">
        <f>'Revenue drivers'!BT496</f>
        <v>0</v>
      </c>
      <c r="BU733">
        <f>'Revenue drivers'!BU496</f>
        <v>0</v>
      </c>
      <c r="BV733">
        <f>'Revenue drivers'!BV496</f>
        <v>0</v>
      </c>
      <c r="BW733">
        <f>'Revenue drivers'!BW496</f>
        <v>0</v>
      </c>
      <c r="BX733">
        <f>'Revenue drivers'!BX496</f>
        <v>0</v>
      </c>
      <c r="BY733">
        <f>'Revenue drivers'!BY496</f>
        <v>0</v>
      </c>
    </row>
    <row r="734" spans="9:77" ht="11.25" customHeight="1">
      <c r="I734">
        <f>'Revenue drivers'!I497</f>
        <v>0</v>
      </c>
      <c r="J734">
        <f>'Revenue drivers'!J497</f>
        <v>0</v>
      </c>
      <c r="K734">
        <f>'Revenue drivers'!K497</f>
        <v>0</v>
      </c>
      <c r="L734">
        <f>'Revenue drivers'!L497</f>
        <v>0</v>
      </c>
      <c r="M734">
        <f>'Revenue drivers'!M497</f>
        <v>0</v>
      </c>
      <c r="N734">
        <f>'Revenue drivers'!N497</f>
        <v>0</v>
      </c>
      <c r="O734">
        <f>'Revenue drivers'!O497</f>
        <v>0</v>
      </c>
      <c r="P734">
        <f>'Revenue drivers'!P497</f>
        <v>0</v>
      </c>
      <c r="Q734">
        <f>'Revenue drivers'!Q497</f>
        <v>0</v>
      </c>
      <c r="R734">
        <f>'Revenue drivers'!R497</f>
        <v>0</v>
      </c>
      <c r="S734">
        <f>'Revenue drivers'!S497</f>
        <v>0</v>
      </c>
      <c r="T734">
        <f>'Revenue drivers'!T497</f>
        <v>0</v>
      </c>
      <c r="U734">
        <f>'Revenue drivers'!U497</f>
        <v>0</v>
      </c>
      <c r="V734">
        <f>'Revenue drivers'!V497</f>
        <v>0</v>
      </c>
      <c r="W734">
        <f>'Revenue drivers'!W497</f>
        <v>0</v>
      </c>
      <c r="X734">
        <f>'Revenue drivers'!X497</f>
        <v>0</v>
      </c>
      <c r="Y734">
        <f>'Revenue drivers'!Y497</f>
        <v>0</v>
      </c>
      <c r="Z734">
        <f>'Revenue drivers'!Z497</f>
        <v>0</v>
      </c>
      <c r="AA734">
        <f>'Revenue drivers'!AA497</f>
        <v>0</v>
      </c>
      <c r="AB734">
        <f>'Revenue drivers'!AB497</f>
        <v>0</v>
      </c>
      <c r="AC734">
        <f>'Revenue drivers'!AC497</f>
        <v>0</v>
      </c>
      <c r="AD734">
        <f>'Revenue drivers'!AD497</f>
        <v>0</v>
      </c>
      <c r="AE734">
        <f>'Revenue drivers'!AE497</f>
        <v>0</v>
      </c>
      <c r="AF734">
        <f>'Revenue drivers'!AF497</f>
        <v>0</v>
      </c>
      <c r="AG734">
        <f>'Revenue drivers'!AG497</f>
        <v>0</v>
      </c>
      <c r="AH734">
        <f>'Revenue drivers'!AH497</f>
        <v>0</v>
      </c>
      <c r="AI734">
        <f>'Revenue drivers'!AI497</f>
        <v>0</v>
      </c>
      <c r="AJ734">
        <f>'Revenue drivers'!AJ497</f>
        <v>0</v>
      </c>
      <c r="AK734">
        <f>'Revenue drivers'!AK497</f>
        <v>0</v>
      </c>
      <c r="AL734">
        <f>'Revenue drivers'!AL497</f>
        <v>0</v>
      </c>
      <c r="AM734">
        <f>'Revenue drivers'!AM497</f>
        <v>0</v>
      </c>
      <c r="AN734">
        <f>'Revenue drivers'!AN497</f>
        <v>0</v>
      </c>
      <c r="AO734">
        <f>'Revenue drivers'!AO497</f>
        <v>0</v>
      </c>
      <c r="AP734">
        <f>'Revenue drivers'!AP497</f>
        <v>0</v>
      </c>
      <c r="AQ734">
        <f>'Revenue drivers'!AQ497</f>
        <v>0</v>
      </c>
      <c r="AR734">
        <f>'Revenue drivers'!AR497</f>
        <v>0</v>
      </c>
      <c r="AS734">
        <f>'Revenue drivers'!AS497</f>
        <v>0</v>
      </c>
      <c r="AT734">
        <f>'Revenue drivers'!AT497</f>
        <v>0</v>
      </c>
      <c r="AU734">
        <f>'Revenue drivers'!AU497</f>
        <v>0</v>
      </c>
      <c r="AV734">
        <f>'Revenue drivers'!AV497</f>
        <v>0</v>
      </c>
      <c r="AW734">
        <f>'Revenue drivers'!AW497</f>
        <v>0</v>
      </c>
      <c r="AX734">
        <f>'Revenue drivers'!AX497</f>
        <v>0</v>
      </c>
      <c r="AY734">
        <f>'Revenue drivers'!AY497</f>
        <v>0</v>
      </c>
      <c r="AZ734">
        <f>'Revenue drivers'!AZ497</f>
        <v>0</v>
      </c>
      <c r="BA734">
        <f>'Revenue drivers'!BA497</f>
        <v>0</v>
      </c>
      <c r="BB734">
        <f>'Revenue drivers'!BB497</f>
        <v>0</v>
      </c>
      <c r="BC734">
        <f>'Revenue drivers'!BC497</f>
        <v>0</v>
      </c>
      <c r="BD734">
        <f>'Revenue drivers'!BD497</f>
        <v>0</v>
      </c>
      <c r="BE734">
        <f>'Revenue drivers'!BE497</f>
        <v>0</v>
      </c>
      <c r="BF734">
        <f>'Revenue drivers'!BF497</f>
        <v>0</v>
      </c>
      <c r="BG734">
        <f>'Revenue drivers'!BG497</f>
        <v>0</v>
      </c>
      <c r="BH734">
        <f>'Revenue drivers'!BH497</f>
        <v>0</v>
      </c>
      <c r="BI734">
        <f>'Revenue drivers'!BI497</f>
        <v>0</v>
      </c>
      <c r="BJ734">
        <f>'Revenue drivers'!BJ497</f>
        <v>0</v>
      </c>
      <c r="BK734">
        <f>'Revenue drivers'!BK497</f>
        <v>0</v>
      </c>
      <c r="BL734">
        <f>'Revenue drivers'!BL497</f>
        <v>0</v>
      </c>
      <c r="BM734">
        <f>'Revenue drivers'!BM497</f>
        <v>0</v>
      </c>
      <c r="BN734">
        <f>'Revenue drivers'!BN497</f>
        <v>0</v>
      </c>
      <c r="BO734">
        <f>'Revenue drivers'!BO497</f>
        <v>0</v>
      </c>
      <c r="BP734">
        <f>'Revenue drivers'!BP497</f>
        <v>0</v>
      </c>
      <c r="BQ734">
        <f>'Revenue drivers'!BQ497</f>
        <v>0</v>
      </c>
      <c r="BR734">
        <f>'Revenue drivers'!BR497</f>
        <v>0</v>
      </c>
      <c r="BS734">
        <f>'Revenue drivers'!BS497</f>
        <v>0</v>
      </c>
      <c r="BT734">
        <f>'Revenue drivers'!BT497</f>
        <v>0</v>
      </c>
      <c r="BU734">
        <f>'Revenue drivers'!BU497</f>
        <v>0</v>
      </c>
      <c r="BV734">
        <f>'Revenue drivers'!BV497</f>
        <v>0</v>
      </c>
      <c r="BW734">
        <f>'Revenue drivers'!BW497</f>
        <v>0</v>
      </c>
      <c r="BX734">
        <f>'Revenue drivers'!BX497</f>
        <v>0</v>
      </c>
      <c r="BY734">
        <f>'Revenue drivers'!BY497</f>
        <v>0</v>
      </c>
    </row>
    <row r="735" spans="9:77" ht="11.25" customHeight="1">
      <c r="I735" t="str">
        <f>'Revenue drivers'!I498</f>
        <v>Avg monthly revenue per local advertising account</v>
      </c>
      <c r="J735">
        <f>'Revenue drivers'!J498</f>
        <v>0</v>
      </c>
      <c r="K735">
        <f>'Revenue drivers'!K498</f>
        <v>0</v>
      </c>
      <c r="L735">
        <f>'Revenue drivers'!L498</f>
        <v>0</v>
      </c>
      <c r="M735">
        <f>'Revenue drivers'!M498</f>
        <v>0</v>
      </c>
      <c r="N735">
        <f>'Revenue drivers'!N498</f>
        <v>0</v>
      </c>
      <c r="O735">
        <f>'Revenue drivers'!O498</f>
        <v>0</v>
      </c>
      <c r="P735">
        <f>'Revenue drivers'!P498</f>
        <v>0</v>
      </c>
      <c r="Q735">
        <f>'Revenue drivers'!Q498</f>
        <v>0</v>
      </c>
      <c r="R735">
        <f>'Revenue drivers'!R498</f>
        <v>0</v>
      </c>
      <c r="S735">
        <f>'Revenue drivers'!S498</f>
        <v>0</v>
      </c>
      <c r="T735">
        <f>'Revenue drivers'!T498</f>
        <v>0</v>
      </c>
      <c r="U735">
        <f>'Revenue drivers'!U498</f>
        <v>0</v>
      </c>
      <c r="V735">
        <f>'Revenue drivers'!V498</f>
        <v>0</v>
      </c>
      <c r="W735">
        <f>'Revenue drivers'!W498</f>
        <v>0</v>
      </c>
      <c r="X735">
        <f>'Revenue drivers'!X498</f>
        <v>0</v>
      </c>
      <c r="Y735">
        <f>'Revenue drivers'!Y76</f>
        <v>0</v>
      </c>
      <c r="Z735">
        <f>'Revenue drivers'!Z498</f>
        <v>396.63567950420537</v>
      </c>
      <c r="AA735">
        <f>'Revenue drivers'!AA498</f>
        <v>391.63413700727136</v>
      </c>
      <c r="AB735">
        <f>'Revenue drivers'!AB498</f>
        <v>383.94179894179894</v>
      </c>
      <c r="AC735">
        <f>'Revenue drivers'!AC498</f>
        <v>368.67401752897928</v>
      </c>
      <c r="AD735">
        <f>'Revenue drivers'!AD498</f>
        <v>379.65889139704041</v>
      </c>
      <c r="AE735">
        <f>'Revenue drivers'!AE498</f>
        <v>387.93347003873322</v>
      </c>
      <c r="AF735">
        <f>'Revenue drivers'!AF498</f>
        <v>385.74684068779783</v>
      </c>
      <c r="AG735">
        <f>'Revenue drivers'!AG498</f>
        <v>377.22923842326827</v>
      </c>
      <c r="AH735">
        <f>'Revenue drivers'!AH498</f>
        <v>383.99003381384586</v>
      </c>
      <c r="AI735">
        <f>'Revenue drivers'!AI498</f>
        <v>383.9443616492797</v>
      </c>
      <c r="AJ735">
        <f>'Revenue drivers'!AJ498</f>
        <v>389.87298636926897</v>
      </c>
      <c r="AK735">
        <f>'Revenue drivers'!AK498</f>
        <v>396.88505747126442</v>
      </c>
      <c r="AL735">
        <f>'Revenue drivers'!AL498</f>
        <v>405.98503074044373</v>
      </c>
      <c r="AM735">
        <f>'Revenue drivers'!AM498</f>
        <v>414.07238673753477</v>
      </c>
      <c r="AN735">
        <f>'Revenue drivers'!AN498</f>
        <v>418.13294232649076</v>
      </c>
      <c r="AO735">
        <f>'Revenue drivers'!AO498</f>
        <v>420.22792022792027</v>
      </c>
      <c r="AP735">
        <f>'Revenue drivers'!AP498</f>
        <v>428.9474885844748</v>
      </c>
      <c r="AQ735">
        <f>'Revenue drivers'!AQ498</f>
        <v>433.33333333333331</v>
      </c>
      <c r="AR735">
        <f>'Revenue drivers'!AR498</f>
        <v>441.13924050632909</v>
      </c>
      <c r="AS735">
        <f>'Revenue drivers'!AS498</f>
        <v>434.25076452599387</v>
      </c>
      <c r="AT735">
        <f>'Revenue drivers'!AT498</f>
        <v>444.86449060336298</v>
      </c>
      <c r="AU735">
        <f>'Revenue drivers'!AU498</f>
        <v>450.7204610951008</v>
      </c>
      <c r="AV735">
        <f>'Revenue drivers'!AV498</f>
        <v>457.70308123249305</v>
      </c>
      <c r="AW735">
        <f>'Revenue drivers'!AW498</f>
        <v>454.75216007276032</v>
      </c>
      <c r="AX735">
        <f>'Revenue drivers'!AX498</f>
        <v>464.94274300932096</v>
      </c>
      <c r="AY735">
        <f>'Revenue drivers'!AY498</f>
        <v>470.91460771564812</v>
      </c>
      <c r="AZ735">
        <f>'Revenue drivers'!AZ498</f>
        <v>477.93307920372735</v>
      </c>
      <c r="BA735">
        <f>'Revenue drivers'!BA498</f>
        <v>475.89437466318446</v>
      </c>
      <c r="BB735">
        <f>'Revenue drivers'!BB498</f>
        <v>485.80438051119501</v>
      </c>
      <c r="BC735">
        <f>'Revenue drivers'!BC498</f>
        <v>491.89081490336713</v>
      </c>
      <c r="BD735">
        <f>'Revenue drivers'!BD498</f>
        <v>498.96407489933927</v>
      </c>
      <c r="BE735">
        <f>'Revenue drivers'!BE498</f>
        <v>0</v>
      </c>
      <c r="BF735">
        <f>'Revenue drivers'!BF498</f>
        <v>0</v>
      </c>
      <c r="BG735">
        <f>'Revenue drivers'!BG498</f>
        <v>0</v>
      </c>
      <c r="BH735">
        <f>'Revenue drivers'!BH498</f>
        <v>0</v>
      </c>
      <c r="BI735">
        <f>'Revenue drivers'!BI498</f>
        <v>0</v>
      </c>
      <c r="BJ735">
        <f>'Revenue drivers'!BJ498</f>
        <v>0</v>
      </c>
      <c r="BK735">
        <f>'Revenue drivers'!BK498</f>
        <v>0</v>
      </c>
      <c r="BL735">
        <f>'Revenue drivers'!BL498</f>
        <v>0</v>
      </c>
      <c r="BM735">
        <f>'Revenue drivers'!BM498</f>
        <v>0</v>
      </c>
      <c r="BN735">
        <f>'Revenue drivers'!BN498</f>
        <v>384.29311175337176</v>
      </c>
      <c r="BO735">
        <f>'Revenue drivers'!BO498</f>
        <v>383.10683760683764</v>
      </c>
      <c r="BP735">
        <f>'Revenue drivers'!BP498</f>
        <v>418.47199892818867</v>
      </c>
      <c r="BQ735">
        <f>'Revenue drivers'!BQ498</f>
        <v>430.37650602409644</v>
      </c>
      <c r="BR735">
        <f>'Revenue drivers'!BR498</f>
        <v>447.16325536062385</v>
      </c>
      <c r="BS735">
        <f>'Revenue drivers'!BS498</f>
        <v>467.35921052631585</v>
      </c>
      <c r="BT735">
        <f>'Revenue drivers'!BT498</f>
        <v>488.32246901657817</v>
      </c>
      <c r="BU735">
        <f>'Revenue drivers'!BU498</f>
        <v>503.23572595022989</v>
      </c>
      <c r="BV735">
        <f>'Revenue drivers'!BV498</f>
        <v>517.46523032398079</v>
      </c>
      <c r="BW735">
        <f>'Revenue drivers'!BW498</f>
        <v>528.04638188624699</v>
      </c>
      <c r="BX735">
        <f>'Revenue drivers'!BX498</f>
        <v>538.59282108522802</v>
      </c>
      <c r="BY735">
        <f>'Revenue drivers'!BY498</f>
        <v>549.30998023032066</v>
      </c>
    </row>
    <row r="736" spans="9:77" ht="11.25" customHeight="1">
      <c r="I736" t="str">
        <f>'Revenue drivers'!I499</f>
        <v>% change Y/Y</v>
      </c>
      <c r="J736">
        <f>'Revenue drivers'!J499</f>
        <v>0</v>
      </c>
      <c r="K736">
        <f>'Revenue drivers'!K499</f>
        <v>0</v>
      </c>
      <c r="L736">
        <f>'Revenue drivers'!L499</f>
        <v>0</v>
      </c>
      <c r="M736">
        <f>'Revenue drivers'!M499</f>
        <v>0</v>
      </c>
      <c r="N736">
        <f>'Revenue drivers'!N499</f>
        <v>0</v>
      </c>
      <c r="O736">
        <f>'Revenue drivers'!O499</f>
        <v>0</v>
      </c>
      <c r="P736">
        <f>'Revenue drivers'!P499</f>
        <v>0</v>
      </c>
      <c r="Q736">
        <f>'Revenue drivers'!Q499</f>
        <v>0</v>
      </c>
      <c r="R736">
        <f>'Revenue drivers'!R499</f>
        <v>0</v>
      </c>
      <c r="S736">
        <f>'Revenue drivers'!S499</f>
        <v>0</v>
      </c>
      <c r="T736">
        <f>'Revenue drivers'!T499</f>
        <v>0</v>
      </c>
      <c r="U736">
        <f>'Revenue drivers'!U499</f>
        <v>0</v>
      </c>
      <c r="V736">
        <f>'Revenue drivers'!V499</f>
        <v>0</v>
      </c>
      <c r="W736">
        <f>'Revenue drivers'!W499</f>
        <v>0</v>
      </c>
      <c r="X736">
        <f>'Revenue drivers'!X499</f>
        <v>0</v>
      </c>
      <c r="Y736" t="str">
        <f>'Revenue drivers'!Y499</f>
        <v>NA</v>
      </c>
      <c r="Z736" t="str">
        <f>'Revenue drivers'!Z499</f>
        <v>NA</v>
      </c>
      <c r="AA736" t="str">
        <f>'Revenue drivers'!AA499</f>
        <v>NA</v>
      </c>
      <c r="AB736" t="str">
        <f>'Revenue drivers'!AB499</f>
        <v>NA</v>
      </c>
      <c r="AC736">
        <f>'Revenue drivers'!AC499</f>
        <v>-4.9254615865751861E-2</v>
      </c>
      <c r="AD736">
        <f>'Revenue drivers'!AD499</f>
        <v>-4.2801969122863492E-2</v>
      </c>
      <c r="AE736">
        <f>'Revenue drivers'!AE499</f>
        <v>-9.4492962151290216E-3</v>
      </c>
      <c r="AF736">
        <f>'Revenue drivers'!AF499</f>
        <v>4.7013421069908023E-3</v>
      </c>
      <c r="AG736">
        <f>'Revenue drivers'!AG499</f>
        <v>2.3205380600537007E-2</v>
      </c>
      <c r="AH736">
        <f>'Revenue drivers'!AH499</f>
        <v>1.1407983626744667E-2</v>
      </c>
      <c r="AI736">
        <f>'Revenue drivers'!AI499</f>
        <v>-1.028297039968018E-2</v>
      </c>
      <c r="AJ736">
        <f>'Revenue drivers'!AJ499</f>
        <v>1.0696511925059715E-2</v>
      </c>
      <c r="AK736">
        <f>'Revenue drivers'!AK499</f>
        <v>5.2105767649806234E-2</v>
      </c>
      <c r="AL736">
        <f>'Revenue drivers'!AL499</f>
        <v>5.7280124455679982E-2</v>
      </c>
      <c r="AM736">
        <f>'Revenue drivers'!AM499</f>
        <v>7.8469768272768636E-2</v>
      </c>
      <c r="AN736">
        <f>'Revenue drivers'!AN499</f>
        <v>7.2485032164950614E-2</v>
      </c>
      <c r="AO736">
        <f>'Revenue drivers'!AO499</f>
        <v>5.881517158994054E-2</v>
      </c>
      <c r="AP736">
        <f>'Revenue drivers'!AP499</f>
        <v>5.655986330863394E-2</v>
      </c>
      <c r="AQ736">
        <f>'Revenue drivers'!AQ499</f>
        <v>4.6515892420537996E-2</v>
      </c>
      <c r="AR736">
        <f>'Revenue drivers'!AR499</f>
        <v>5.5021491614201334E-2</v>
      </c>
      <c r="AS736">
        <f>'Revenue drivers'!AS499</f>
        <v>3.3369615922873574E-2</v>
      </c>
      <c r="AT736">
        <f>'Revenue drivers'!AT499</f>
        <v>3.7107110876005489E-2</v>
      </c>
      <c r="AU736">
        <f>'Revenue drivers'!AU499</f>
        <v>4.0124140988694101E-2</v>
      </c>
      <c r="AV736">
        <f>'Revenue drivers'!AV499</f>
        <v>3.7547874242954249E-2</v>
      </c>
      <c r="AW736">
        <f>'Revenue drivers'!AW499</f>
        <v>4.7210960167553662E-2</v>
      </c>
      <c r="AX736">
        <f>'Revenue drivers'!AX499</f>
        <v>4.5133412151475927E-2</v>
      </c>
      <c r="AY736">
        <f>'Revenue drivers'!AY499</f>
        <v>4.4804148832032764E-2</v>
      </c>
      <c r="AZ736">
        <f>'Revenue drivers'!AZ499</f>
        <v>4.4198955175830168E-2</v>
      </c>
      <c r="BA736">
        <f>'Revenue drivers'!BA499</f>
        <v>4.6491729884342803E-2</v>
      </c>
      <c r="BB736">
        <f>'Revenue drivers'!BB499</f>
        <v>4.4869261463998944E-2</v>
      </c>
      <c r="BC736">
        <f>'Revenue drivers'!BC499</f>
        <v>4.4543547479811929E-2</v>
      </c>
      <c r="BD736">
        <f>'Revenue drivers'!BD499</f>
        <v>4.4004059586440825E-2</v>
      </c>
      <c r="BE736">
        <f>'Revenue drivers'!BE499</f>
        <v>0</v>
      </c>
      <c r="BF736">
        <f>'Revenue drivers'!BF499</f>
        <v>0</v>
      </c>
      <c r="BG736">
        <f>'Revenue drivers'!BG499</f>
        <v>0</v>
      </c>
      <c r="BH736">
        <f>'Revenue drivers'!BH499</f>
        <v>0</v>
      </c>
      <c r="BI736">
        <f>'Revenue drivers'!BI499</f>
        <v>0</v>
      </c>
      <c r="BJ736">
        <f>'Revenue drivers'!BJ499</f>
        <v>0</v>
      </c>
      <c r="BK736">
        <f>'Revenue drivers'!BK499</f>
        <v>0</v>
      </c>
      <c r="BL736">
        <f>'Revenue drivers'!BL499</f>
        <v>0</v>
      </c>
      <c r="BM736">
        <f>'Revenue drivers'!BM499</f>
        <v>0</v>
      </c>
      <c r="BN736" t="str">
        <f>'Revenue drivers'!BN499</f>
        <v>NA</v>
      </c>
      <c r="BO736">
        <f>'Revenue drivers'!BO499</f>
        <v>-3.0868993230755981E-3</v>
      </c>
      <c r="BP736">
        <f>'Revenue drivers'!BP499</f>
        <v>9.2311485595682363E-2</v>
      </c>
      <c r="BQ736">
        <f>'Revenue drivers'!BQ499</f>
        <v>2.8447559517478238E-2</v>
      </c>
      <c r="BR736">
        <f>'Revenue drivers'!BR499</f>
        <v>3.9004799522182942E-2</v>
      </c>
      <c r="BS736">
        <f>'Revenue drivers'!BS499</f>
        <v>4.5164612529275283E-2</v>
      </c>
      <c r="BT736">
        <f>'Revenue drivers'!BT499</f>
        <v>4.4854702802699764E-2</v>
      </c>
      <c r="BU736">
        <f>'Revenue drivers'!BU499</f>
        <v>3.0539772138040711E-2</v>
      </c>
      <c r="BV736">
        <f>'Revenue drivers'!BV499</f>
        <v>2.8276021832277953E-2</v>
      </c>
      <c r="BW736">
        <f>'Revenue drivers'!BW499</f>
        <v>2.0448043544184502E-2</v>
      </c>
      <c r="BX736">
        <f>'Revenue drivers'!BX499</f>
        <v>1.9972562185366804E-2</v>
      </c>
      <c r="BY736">
        <f>'Revenue drivers'!BY499</f>
        <v>1.9898444103837676E-2</v>
      </c>
    </row>
    <row r="737" spans="9:77" ht="11.25" customHeight="1">
      <c r="I737" t="str">
        <f>'Revenue drivers'!I501</f>
        <v>% change Q/Q</v>
      </c>
      <c r="J737">
        <f>'Revenue drivers'!J501</f>
        <v>0</v>
      </c>
      <c r="K737">
        <f>'Revenue drivers'!K501</f>
        <v>0</v>
      </c>
      <c r="L737">
        <f>'Revenue drivers'!L501</f>
        <v>0</v>
      </c>
      <c r="M737">
        <f>'Revenue drivers'!M501</f>
        <v>0</v>
      </c>
      <c r="N737">
        <f>'Revenue drivers'!N501</f>
        <v>0</v>
      </c>
      <c r="O737">
        <f>'Revenue drivers'!O501</f>
        <v>0</v>
      </c>
      <c r="P737">
        <f>'Revenue drivers'!P501</f>
        <v>0</v>
      </c>
      <c r="Q737">
        <f>'Revenue drivers'!Q501</f>
        <v>0</v>
      </c>
      <c r="R737">
        <f>'Revenue drivers'!R501</f>
        <v>0</v>
      </c>
      <c r="S737">
        <f>'Revenue drivers'!S501</f>
        <v>0</v>
      </c>
      <c r="T737">
        <f>'Revenue drivers'!T501</f>
        <v>0</v>
      </c>
      <c r="U737">
        <f>'Revenue drivers'!U501</f>
        <v>0</v>
      </c>
      <c r="V737">
        <f>'Revenue drivers'!V501</f>
        <v>0</v>
      </c>
      <c r="W737">
        <f>'Revenue drivers'!W501</f>
        <v>0</v>
      </c>
      <c r="X737">
        <f>'Revenue drivers'!X501</f>
        <v>0</v>
      </c>
      <c r="Y737" t="str">
        <f>'Revenue drivers'!Y501</f>
        <v>NA</v>
      </c>
      <c r="Z737">
        <f>'Revenue drivers'!Z501</f>
        <v>2.28535875651521E-2</v>
      </c>
      <c r="AA737">
        <f>'Revenue drivers'!AA501</f>
        <v>-1.2609915737247679E-2</v>
      </c>
      <c r="AB737">
        <f>'Revenue drivers'!AB501</f>
        <v>-1.964164340793817E-2</v>
      </c>
      <c r="AC737">
        <f>'Revenue drivers'!AC501</f>
        <v>-3.9765874554164027E-2</v>
      </c>
      <c r="AD737">
        <f>'Revenue drivers'!AD501</f>
        <v>2.9795627968812965E-2</v>
      </c>
      <c r="AE737">
        <f>'Revenue drivers'!AE501</f>
        <v>2.1794771120056344E-2</v>
      </c>
      <c r="AF737">
        <f>'Revenue drivers'!AF501</f>
        <v>-5.636609160630246E-3</v>
      </c>
      <c r="AG737">
        <f>'Revenue drivers'!AG501</f>
        <v>-2.2080808878025882E-2</v>
      </c>
      <c r="AH737">
        <f>'Revenue drivers'!AH501</f>
        <v>1.7922246480246651E-2</v>
      </c>
      <c r="AI737">
        <f>'Revenue drivers'!AI501</f>
        <v>-1.1894101550635749E-4</v>
      </c>
      <c r="AJ737">
        <f>'Revenue drivers'!AJ501</f>
        <v>1.5441364197984697E-2</v>
      </c>
      <c r="AK737">
        <f>'Revenue drivers'!AK501</f>
        <v>1.7985526946342256E-2</v>
      </c>
      <c r="AL737">
        <f>'Revenue drivers'!AL501</f>
        <v>2.2928485459138725E-2</v>
      </c>
      <c r="AM737">
        <f>'Revenue drivers'!AM501</f>
        <v>1.9920330516475238E-2</v>
      </c>
      <c r="AN737">
        <f>'Revenue drivers'!AN501</f>
        <v>9.8063906674603629E-3</v>
      </c>
      <c r="AO737">
        <f>'Revenue drivers'!AO501</f>
        <v>5.010315355142847E-3</v>
      </c>
      <c r="AP737">
        <f>'Revenue drivers'!AP501</f>
        <v>2.074961690271615E-2</v>
      </c>
      <c r="AQ737">
        <f>'Revenue drivers'!AQ501</f>
        <v>1.0224665875377292E-2</v>
      </c>
      <c r="AR737">
        <f>'Revenue drivers'!AR501</f>
        <v>1.8013631937682462E-2</v>
      </c>
      <c r="AS737">
        <f>'Revenue drivers'!AS501</f>
        <v>-1.561519662687183E-2</v>
      </c>
      <c r="AT737">
        <f>'Revenue drivers'!AT501</f>
        <v>2.4441467797885252E-2</v>
      </c>
      <c r="AU737">
        <f>'Revenue drivers'!AU501</f>
        <v>1.3163492738643701E-2</v>
      </c>
      <c r="AV737">
        <f>'Revenue drivers'!AV501</f>
        <v>1.5492130355978961E-2</v>
      </c>
      <c r="AW737">
        <f>'Revenue drivers'!AW501</f>
        <v>-6.4472390087183529E-3</v>
      </c>
      <c r="AX737">
        <f>'Revenue drivers'!AX501</f>
        <v>2.2409091877496845E-2</v>
      </c>
      <c r="AY737">
        <f>'Revenue drivers'!AY501</f>
        <v>1.2844301359936416E-2</v>
      </c>
      <c r="AZ737">
        <f>'Revenue drivers'!AZ501</f>
        <v>1.4903915429858916E-2</v>
      </c>
      <c r="BA737">
        <f>'Revenue drivers'!BA501</f>
        <v>-4.2656694613805168E-3</v>
      </c>
      <c r="BB737">
        <f>'Revenue drivers'!BB501</f>
        <v>2.082396089473515E-2</v>
      </c>
      <c r="BC737">
        <f>'Revenue drivers'!BC501</f>
        <v>1.2528570421221019E-2</v>
      </c>
      <c r="BD737">
        <f>'Revenue drivers'!BD501</f>
        <v>1.4379735871591137E-2</v>
      </c>
      <c r="BE737">
        <f>'Revenue drivers'!BE501</f>
        <v>0</v>
      </c>
      <c r="BF737">
        <f>'Revenue drivers'!BF501</f>
        <v>0</v>
      </c>
      <c r="BG737">
        <f>'Revenue drivers'!BG501</f>
        <v>0</v>
      </c>
      <c r="BH737">
        <f>'Revenue drivers'!BH501</f>
        <v>0</v>
      </c>
      <c r="BI737">
        <f>'Revenue drivers'!BI501</f>
        <v>0</v>
      </c>
      <c r="BJ737">
        <f>'Revenue drivers'!BJ501</f>
        <v>0</v>
      </c>
      <c r="BK737">
        <f>'Revenue drivers'!BK501</f>
        <v>0</v>
      </c>
      <c r="BL737">
        <f>'Revenue drivers'!BL501</f>
        <v>0</v>
      </c>
      <c r="BM737">
        <f>'Revenue drivers'!BM501</f>
        <v>0</v>
      </c>
      <c r="BN737">
        <f>'Revenue drivers'!BN501</f>
        <v>0</v>
      </c>
      <c r="BO737">
        <f>'Revenue drivers'!BO501</f>
        <v>0</v>
      </c>
      <c r="BP737">
        <f>'Revenue drivers'!BP501</f>
        <v>0</v>
      </c>
      <c r="BQ737">
        <f>'Revenue drivers'!BQ501</f>
        <v>0</v>
      </c>
      <c r="BR737">
        <f>'Revenue drivers'!BR501</f>
        <v>0</v>
      </c>
      <c r="BS737">
        <f>'Revenue drivers'!BS501</f>
        <v>0</v>
      </c>
      <c r="BT737">
        <f>'Revenue drivers'!BT501</f>
        <v>0</v>
      </c>
      <c r="BU737">
        <f>'Revenue drivers'!BU501</f>
        <v>0</v>
      </c>
      <c r="BV737">
        <f>'Revenue drivers'!BV501</f>
        <v>0</v>
      </c>
      <c r="BW737">
        <f>'Revenue drivers'!BW501</f>
        <v>0</v>
      </c>
      <c r="BX737">
        <f>'Revenue drivers'!BX501</f>
        <v>0</v>
      </c>
      <c r="BY737">
        <f>'Revenue drivers'!BY501</f>
        <v>0</v>
      </c>
    </row>
    <row r="738" spans="9:77" ht="11.25" customHeight="1">
      <c r="I738" t="str">
        <f>'Revenue drivers'!I502</f>
        <v>Y/Y Abs Growth</v>
      </c>
      <c r="J738">
        <f>'Revenue drivers'!J502</f>
        <v>0</v>
      </c>
      <c r="K738">
        <f>'Revenue drivers'!K502</f>
        <v>0</v>
      </c>
      <c r="L738">
        <f>'Revenue drivers'!L502</f>
        <v>0</v>
      </c>
      <c r="M738">
        <f>'Revenue drivers'!M502</f>
        <v>0</v>
      </c>
      <c r="N738">
        <f>'Revenue drivers'!N502</f>
        <v>0</v>
      </c>
      <c r="O738">
        <f>'Revenue drivers'!O502</f>
        <v>0</v>
      </c>
      <c r="P738">
        <f>'Revenue drivers'!P502</f>
        <v>0</v>
      </c>
      <c r="Q738">
        <f>'Revenue drivers'!Q502</f>
        <v>0</v>
      </c>
      <c r="R738">
        <f>'Revenue drivers'!R502</f>
        <v>0</v>
      </c>
      <c r="S738">
        <f>'Revenue drivers'!S502</f>
        <v>0</v>
      </c>
      <c r="T738">
        <f>'Revenue drivers'!T502</f>
        <v>0</v>
      </c>
      <c r="U738">
        <f>'Revenue drivers'!U502</f>
        <v>0</v>
      </c>
      <c r="V738">
        <f>'Revenue drivers'!V502</f>
        <v>0</v>
      </c>
      <c r="W738">
        <f>'Revenue drivers'!W502</f>
        <v>0</v>
      </c>
      <c r="X738">
        <f>'Revenue drivers'!X502</f>
        <v>0</v>
      </c>
      <c r="Y738">
        <f>'Revenue drivers'!Y502</f>
        <v>387.77366020524522</v>
      </c>
      <c r="Z738">
        <f>'Revenue drivers'!Z502</f>
        <v>396.63567950420537</v>
      </c>
      <c r="AA738">
        <f>'Revenue drivers'!AA502</f>
        <v>391.63413700727136</v>
      </c>
      <c r="AB738">
        <f>'Revenue drivers'!AB502</f>
        <v>383.94179894179894</v>
      </c>
      <c r="AC738">
        <f>'Revenue drivers'!AC502</f>
        <v>-19.099642676265944</v>
      </c>
      <c r="AD738">
        <f>'Revenue drivers'!AD502</f>
        <v>-16.976788107164964</v>
      </c>
      <c r="AE738">
        <f>'Revenue drivers'!AE502</f>
        <v>-3.7006669685381439</v>
      </c>
      <c r="AF738">
        <f>'Revenue drivers'!AF502</f>
        <v>1.8050417459988921</v>
      </c>
      <c r="AG738">
        <f>'Revenue drivers'!AG502</f>
        <v>8.5552208942889933</v>
      </c>
      <c r="AH738">
        <f>'Revenue drivers'!AH502</f>
        <v>4.3311424168054486</v>
      </c>
      <c r="AI738">
        <f>'Revenue drivers'!AI502</f>
        <v>-3.98910838945352</v>
      </c>
      <c r="AJ738">
        <f>'Revenue drivers'!AJ502</f>
        <v>4.1261456814711437</v>
      </c>
      <c r="AK738">
        <f>'Revenue drivers'!AK502</f>
        <v>19.655819047996147</v>
      </c>
      <c r="AL738">
        <f>'Revenue drivers'!AL502</f>
        <v>21.994996926597878</v>
      </c>
      <c r="AM738">
        <f>'Revenue drivers'!AM502</f>
        <v>30.128025088255072</v>
      </c>
      <c r="AN738">
        <f>'Revenue drivers'!AN502</f>
        <v>28.259955957221791</v>
      </c>
      <c r="AO738">
        <f>'Revenue drivers'!AO502</f>
        <v>23.342862756655848</v>
      </c>
      <c r="AP738">
        <f>'Revenue drivers'!AP502</f>
        <v>22.962457844031064</v>
      </c>
      <c r="AQ738">
        <f>'Revenue drivers'!AQ502</f>
        <v>19.260946595798544</v>
      </c>
      <c r="AR738">
        <f>'Revenue drivers'!AR502</f>
        <v>23.006298179838325</v>
      </c>
      <c r="AS738">
        <f>'Revenue drivers'!AS502</f>
        <v>14.022844298073608</v>
      </c>
      <c r="AT738">
        <f>'Revenue drivers'!AT502</f>
        <v>15.917002018888184</v>
      </c>
      <c r="AU738">
        <f>'Revenue drivers'!AU502</f>
        <v>17.387127761767488</v>
      </c>
      <c r="AV738">
        <f>'Revenue drivers'!AV502</f>
        <v>16.56384072616396</v>
      </c>
      <c r="AW738">
        <f>'Revenue drivers'!AW502</f>
        <v>20.501395546766446</v>
      </c>
      <c r="AX738">
        <f>'Revenue drivers'!AX502</f>
        <v>20.078252405957983</v>
      </c>
      <c r="AY738">
        <f>'Revenue drivers'!AY502</f>
        <v>20.194146620547315</v>
      </c>
      <c r="AZ738">
        <f>'Revenue drivers'!AZ502</f>
        <v>20.229997971234297</v>
      </c>
      <c r="BA738">
        <f>'Revenue drivers'!BA502</f>
        <v>21.142214590424146</v>
      </c>
      <c r="BB738">
        <f>'Revenue drivers'!BB502</f>
        <v>20.861637501874043</v>
      </c>
      <c r="BC738">
        <f>'Revenue drivers'!BC502</f>
        <v>20.976207187719012</v>
      </c>
      <c r="BD738">
        <f>'Revenue drivers'!BD502</f>
        <v>21.030995695611921</v>
      </c>
      <c r="BE738">
        <f>'Revenue drivers'!BE502</f>
        <v>0</v>
      </c>
      <c r="BF738">
        <f>'Revenue drivers'!BF502</f>
        <v>0</v>
      </c>
      <c r="BG738">
        <f>'Revenue drivers'!BG502</f>
        <v>0</v>
      </c>
      <c r="BH738">
        <f>'Revenue drivers'!BH502</f>
        <v>0</v>
      </c>
      <c r="BI738">
        <f>'Revenue drivers'!BI502</f>
        <v>0</v>
      </c>
      <c r="BJ738">
        <f>'Revenue drivers'!BJ502</f>
        <v>0</v>
      </c>
      <c r="BK738">
        <f>'Revenue drivers'!BK502</f>
        <v>0</v>
      </c>
      <c r="BL738">
        <f>'Revenue drivers'!BL502</f>
        <v>0</v>
      </c>
      <c r="BM738">
        <f>'Revenue drivers'!BM502</f>
        <v>0</v>
      </c>
      <c r="BN738">
        <f>'Revenue drivers'!BN502</f>
        <v>0</v>
      </c>
      <c r="BO738">
        <f>'Revenue drivers'!BO502</f>
        <v>-1.1862741465341173</v>
      </c>
      <c r="BP738">
        <f>'Revenue drivers'!BP502</f>
        <v>35.365161321351025</v>
      </c>
      <c r="BQ738">
        <f>'Revenue drivers'!BQ502</f>
        <v>11.904507095907775</v>
      </c>
      <c r="BR738">
        <f>'Revenue drivers'!BR502</f>
        <v>16.786749336527407</v>
      </c>
      <c r="BS738">
        <f>'Revenue drivers'!BS502</f>
        <v>20.195955165691998</v>
      </c>
      <c r="BT738">
        <f>'Revenue drivers'!BT502</f>
        <v>20.963258490262319</v>
      </c>
      <c r="BU738">
        <f>'Revenue drivers'!BU502</f>
        <v>14.913256933651724</v>
      </c>
      <c r="BV738">
        <f>'Revenue drivers'!BV502</f>
        <v>14.229504373750899</v>
      </c>
      <c r="BW738">
        <f>'Revenue drivers'!BW502</f>
        <v>10.5811515622662</v>
      </c>
      <c r="BX738">
        <f>'Revenue drivers'!BX502</f>
        <v>10.546439198981034</v>
      </c>
      <c r="BY738">
        <f>'Revenue drivers'!BY502</f>
        <v>10.717159145092637</v>
      </c>
    </row>
    <row r="739" spans="9:77" ht="11.25" customHeight="1">
      <c r="I739" t="str">
        <f>'Revenue drivers'!I503</f>
        <v>Q/Q Abs Growth</v>
      </c>
      <c r="J739">
        <f>'Revenue drivers'!J503</f>
        <v>0</v>
      </c>
      <c r="K739">
        <f>'Revenue drivers'!K503</f>
        <v>0</v>
      </c>
      <c r="L739">
        <f>'Revenue drivers'!L503</f>
        <v>0</v>
      </c>
      <c r="M739">
        <f>'Revenue drivers'!M503</f>
        <v>0</v>
      </c>
      <c r="N739">
        <f>'Revenue drivers'!N503</f>
        <v>0</v>
      </c>
      <c r="O739">
        <f>'Revenue drivers'!O503</f>
        <v>0</v>
      </c>
      <c r="P739">
        <f>'Revenue drivers'!P503</f>
        <v>0</v>
      </c>
      <c r="Q739">
        <f>'Revenue drivers'!Q503</f>
        <v>0</v>
      </c>
      <c r="R739">
        <f>'Revenue drivers'!R503</f>
        <v>0</v>
      </c>
      <c r="S739">
        <f>'Revenue drivers'!S503</f>
        <v>0</v>
      </c>
      <c r="T739">
        <f>'Revenue drivers'!T503</f>
        <v>0</v>
      </c>
      <c r="U739">
        <f>'Revenue drivers'!U503</f>
        <v>0</v>
      </c>
      <c r="V739">
        <f>'Revenue drivers'!V503</f>
        <v>0</v>
      </c>
      <c r="W739">
        <f>'Revenue drivers'!W503</f>
        <v>0</v>
      </c>
      <c r="X739">
        <f>'Revenue drivers'!X503</f>
        <v>0</v>
      </c>
      <c r="Y739">
        <f>'Revenue drivers'!Y503</f>
        <v>387.77366020524522</v>
      </c>
      <c r="Z739">
        <f>'Revenue drivers'!Z503</f>
        <v>8.8620192989601492</v>
      </c>
      <c r="AA739">
        <f>'Revenue drivers'!AA503</f>
        <v>-5.0015424969340074</v>
      </c>
      <c r="AB739">
        <f>'Revenue drivers'!AB503</f>
        <v>-7.6923380654724269</v>
      </c>
      <c r="AC739">
        <f>'Revenue drivers'!AC503</f>
        <v>-15.267781412819659</v>
      </c>
      <c r="AD739">
        <f>'Revenue drivers'!AD503</f>
        <v>10.984873868061129</v>
      </c>
      <c r="AE739">
        <f>'Revenue drivers'!AE503</f>
        <v>8.2745786416928127</v>
      </c>
      <c r="AF739">
        <f>'Revenue drivers'!AF503</f>
        <v>-2.1866293509353909</v>
      </c>
      <c r="AG739">
        <f>'Revenue drivers'!AG503</f>
        <v>-8.5176022645295575</v>
      </c>
      <c r="AH739">
        <f>'Revenue drivers'!AH503</f>
        <v>6.7607953905775844</v>
      </c>
      <c r="AI739">
        <f>'Revenue drivers'!AI503</f>
        <v>-4.5672164566155971E-2</v>
      </c>
      <c r="AJ739">
        <f>'Revenue drivers'!AJ503</f>
        <v>5.9286247199892728</v>
      </c>
      <c r="AK739">
        <f>'Revenue drivers'!AK503</f>
        <v>7.0120711019954456</v>
      </c>
      <c r="AL739">
        <f>'Revenue drivers'!AL503</f>
        <v>9.0999732691793156</v>
      </c>
      <c r="AM739">
        <f>'Revenue drivers'!AM503</f>
        <v>8.0873559970910378</v>
      </c>
      <c r="AN739">
        <f>'Revenue drivers'!AN503</f>
        <v>4.0605555889559923</v>
      </c>
      <c r="AO739">
        <f>'Revenue drivers'!AO503</f>
        <v>2.0949779014295018</v>
      </c>
      <c r="AP739">
        <f>'Revenue drivers'!AP503</f>
        <v>8.7195683565545323</v>
      </c>
      <c r="AQ739">
        <f>'Revenue drivers'!AQ503</f>
        <v>4.3858447488585171</v>
      </c>
      <c r="AR739">
        <f>'Revenue drivers'!AR503</f>
        <v>7.8059071729957736</v>
      </c>
      <c r="AS739">
        <f>'Revenue drivers'!AS503</f>
        <v>-6.8884759803352154</v>
      </c>
      <c r="AT739">
        <f>'Revenue drivers'!AT503</f>
        <v>10.613726077369108</v>
      </c>
      <c r="AU739">
        <f>'Revenue drivers'!AU503</f>
        <v>5.8559704917378212</v>
      </c>
      <c r="AV739">
        <f>'Revenue drivers'!AV503</f>
        <v>6.9826201373922459</v>
      </c>
      <c r="AW739">
        <f>'Revenue drivers'!AW503</f>
        <v>-2.9509211597327294</v>
      </c>
      <c r="AX739">
        <f>'Revenue drivers'!AX503</f>
        <v>10.190582936560645</v>
      </c>
      <c r="AY739">
        <f>'Revenue drivers'!AY503</f>
        <v>5.9718647063271533</v>
      </c>
      <c r="AZ739">
        <f>'Revenue drivers'!AZ503</f>
        <v>7.0184714880792285</v>
      </c>
      <c r="BA739">
        <f>'Revenue drivers'!BA503</f>
        <v>-2.0387045405428807</v>
      </c>
      <c r="BB739">
        <f>'Revenue drivers'!BB503</f>
        <v>9.9100058480105417</v>
      </c>
      <c r="BC739">
        <f>'Revenue drivers'!BC503</f>
        <v>6.0864343921721229</v>
      </c>
      <c r="BD739">
        <f>'Revenue drivers'!BD503</f>
        <v>7.0732599959721369</v>
      </c>
      <c r="BE739">
        <f>'Revenue drivers'!BE503</f>
        <v>0</v>
      </c>
      <c r="BF739">
        <f>'Revenue drivers'!BF503</f>
        <v>0</v>
      </c>
      <c r="BG739">
        <f>'Revenue drivers'!BG503</f>
        <v>0</v>
      </c>
      <c r="BH739">
        <f>'Revenue drivers'!BH503</f>
        <v>0</v>
      </c>
      <c r="BI739">
        <f>'Revenue drivers'!BI503</f>
        <v>0</v>
      </c>
      <c r="BJ739">
        <f>'Revenue drivers'!BJ503</f>
        <v>0</v>
      </c>
      <c r="BK739">
        <f>'Revenue drivers'!BK503</f>
        <v>0</v>
      </c>
      <c r="BL739">
        <f>'Revenue drivers'!BL503</f>
        <v>0</v>
      </c>
      <c r="BM739">
        <f>'Revenue drivers'!BM503</f>
        <v>0</v>
      </c>
      <c r="BN739">
        <f>'Revenue drivers'!BN503</f>
        <v>0</v>
      </c>
      <c r="BO739">
        <f>'Revenue drivers'!BO503</f>
        <v>0</v>
      </c>
      <c r="BP739">
        <f>'Revenue drivers'!BP503</f>
        <v>0</v>
      </c>
      <c r="BQ739">
        <f>'Revenue drivers'!BQ503</f>
        <v>0</v>
      </c>
      <c r="BR739">
        <f>'Revenue drivers'!BR503</f>
        <v>0</v>
      </c>
      <c r="BS739">
        <f>'Revenue drivers'!BS503</f>
        <v>0</v>
      </c>
      <c r="BT739">
        <f>'Revenue drivers'!BT503</f>
        <v>0</v>
      </c>
      <c r="BU739">
        <f>'Revenue drivers'!BU503</f>
        <v>0</v>
      </c>
      <c r="BV739">
        <f>'Revenue drivers'!BV503</f>
        <v>0</v>
      </c>
      <c r="BW739">
        <f>'Revenue drivers'!BW503</f>
        <v>0</v>
      </c>
      <c r="BX739">
        <f>'Revenue drivers'!BX503</f>
        <v>0</v>
      </c>
      <c r="BY739">
        <f>'Revenue drivers'!BY503</f>
        <v>0</v>
      </c>
    </row>
    <row r="740" spans="9:77" ht="11.25" customHeight="1">
      <c r="I740">
        <f>'Revenue drivers'!I504</f>
        <v>0</v>
      </c>
      <c r="J740">
        <f>'Revenue drivers'!J504</f>
        <v>0</v>
      </c>
      <c r="K740">
        <f>'Revenue drivers'!K504</f>
        <v>0</v>
      </c>
      <c r="L740">
        <f>'Revenue drivers'!L504</f>
        <v>0</v>
      </c>
      <c r="M740">
        <f>'Revenue drivers'!M504</f>
        <v>0</v>
      </c>
      <c r="N740">
        <f>'Revenue drivers'!N504</f>
        <v>0</v>
      </c>
      <c r="O740">
        <f>'Revenue drivers'!O504</f>
        <v>0</v>
      </c>
      <c r="P740">
        <f>'Revenue drivers'!P504</f>
        <v>0</v>
      </c>
      <c r="Q740">
        <f>'Revenue drivers'!Q504</f>
        <v>0</v>
      </c>
      <c r="R740">
        <f>'Revenue drivers'!R504</f>
        <v>0</v>
      </c>
      <c r="S740">
        <f>'Revenue drivers'!S504</f>
        <v>0</v>
      </c>
      <c r="T740">
        <f>'Revenue drivers'!T504</f>
        <v>0</v>
      </c>
      <c r="U740">
        <f>'Revenue drivers'!U504</f>
        <v>0</v>
      </c>
      <c r="V740">
        <f>'Revenue drivers'!V504</f>
        <v>0</v>
      </c>
      <c r="W740">
        <f>'Revenue drivers'!W504</f>
        <v>0</v>
      </c>
      <c r="X740">
        <f>'Revenue drivers'!X504</f>
        <v>0</v>
      </c>
      <c r="Y740">
        <f>'Revenue drivers'!Y504</f>
        <v>0</v>
      </c>
      <c r="Z740">
        <f>'Revenue drivers'!Z504</f>
        <v>0</v>
      </c>
      <c r="AA740">
        <f>'Revenue drivers'!AA504</f>
        <v>0</v>
      </c>
      <c r="AB740">
        <f>'Revenue drivers'!AB504</f>
        <v>0</v>
      </c>
      <c r="AC740">
        <f>'Revenue drivers'!AC504</f>
        <v>0</v>
      </c>
      <c r="AD740">
        <f>'Revenue drivers'!AD504</f>
        <v>2.9795627968812965E-2</v>
      </c>
      <c r="AE740">
        <f>'Revenue drivers'!AE504</f>
        <v>0</v>
      </c>
      <c r="AF740">
        <f>'Revenue drivers'!AF504</f>
        <v>0</v>
      </c>
      <c r="AG740">
        <f>'Revenue drivers'!AG504</f>
        <v>0</v>
      </c>
      <c r="AH740">
        <f>'Revenue drivers'!AH504</f>
        <v>1.7922246480246651E-2</v>
      </c>
      <c r="AI740">
        <f>'Revenue drivers'!AI504</f>
        <v>0</v>
      </c>
      <c r="AJ740">
        <f>'Revenue drivers'!AJ504</f>
        <v>0</v>
      </c>
      <c r="AK740">
        <f>'Revenue drivers'!AK504</f>
        <v>0</v>
      </c>
      <c r="AL740">
        <f>'Revenue drivers'!AL504</f>
        <v>2.2928485459138725E-2</v>
      </c>
      <c r="AM740">
        <f>'Revenue drivers'!AM504</f>
        <v>1.9920330516475238E-2</v>
      </c>
      <c r="AN740">
        <f>'Revenue drivers'!AN504</f>
        <v>0</v>
      </c>
      <c r="AO740">
        <f>'Revenue drivers'!AO504</f>
        <v>0</v>
      </c>
      <c r="AP740">
        <f>'Revenue drivers'!AP504</f>
        <v>0</v>
      </c>
      <c r="AQ740">
        <f>'Revenue drivers'!AQ504</f>
        <v>0</v>
      </c>
      <c r="AR740">
        <f>'Revenue drivers'!AR504</f>
        <v>0</v>
      </c>
      <c r="AS740">
        <f>'Revenue drivers'!AS504</f>
        <v>0</v>
      </c>
      <c r="AT740">
        <f>'Revenue drivers'!AT504</f>
        <v>0</v>
      </c>
      <c r="AU740">
        <f>'Revenue drivers'!AU504</f>
        <v>0</v>
      </c>
      <c r="AV740">
        <f>'Revenue drivers'!AV504</f>
        <v>0</v>
      </c>
      <c r="AW740">
        <f>'Revenue drivers'!AW504</f>
        <v>0</v>
      </c>
      <c r="AX740">
        <f>'Revenue drivers'!AX504</f>
        <v>0</v>
      </c>
      <c r="AY740">
        <f>'Revenue drivers'!AY504</f>
        <v>0</v>
      </c>
      <c r="AZ740">
        <f>'Revenue drivers'!AZ504</f>
        <v>0</v>
      </c>
      <c r="BA740">
        <f>'Revenue drivers'!BA504</f>
        <v>0</v>
      </c>
      <c r="BB740">
        <f>'Revenue drivers'!BB504</f>
        <v>0</v>
      </c>
      <c r="BC740">
        <f>'Revenue drivers'!BC504</f>
        <v>0</v>
      </c>
      <c r="BD740">
        <f>'Revenue drivers'!BD504</f>
        <v>0</v>
      </c>
      <c r="BE740">
        <f>'Revenue drivers'!BE504</f>
        <v>0</v>
      </c>
      <c r="BF740">
        <f>'Revenue drivers'!BF504</f>
        <v>0</v>
      </c>
      <c r="BG740">
        <f>'Revenue drivers'!BG504</f>
        <v>0</v>
      </c>
      <c r="BH740">
        <f>'Revenue drivers'!BH504</f>
        <v>0</v>
      </c>
      <c r="BI740">
        <f>'Revenue drivers'!BI504</f>
        <v>0</v>
      </c>
      <c r="BJ740">
        <f>'Revenue drivers'!BJ504</f>
        <v>0</v>
      </c>
      <c r="BK740">
        <f>'Revenue drivers'!BK504</f>
        <v>0</v>
      </c>
      <c r="BL740">
        <f>'Revenue drivers'!BL504</f>
        <v>0</v>
      </c>
      <c r="BM740">
        <f>'Revenue drivers'!BM504</f>
        <v>0</v>
      </c>
      <c r="BN740">
        <f>'Revenue drivers'!BN504</f>
        <v>0</v>
      </c>
      <c r="BO740">
        <f>'Revenue drivers'!BO504</f>
        <v>0</v>
      </c>
      <c r="BP740">
        <f>'Revenue drivers'!BP504</f>
        <v>0</v>
      </c>
      <c r="BQ740">
        <f>'Revenue drivers'!BQ504</f>
        <v>0</v>
      </c>
      <c r="BR740">
        <f>'Revenue drivers'!BR504</f>
        <v>0</v>
      </c>
      <c r="BS740">
        <f>'Revenue drivers'!BS504</f>
        <v>0</v>
      </c>
      <c r="BT740">
        <f>'Revenue drivers'!BT504</f>
        <v>0</v>
      </c>
      <c r="BU740">
        <f>'Revenue drivers'!BU504</f>
        <v>0</v>
      </c>
      <c r="BV740">
        <f>'Revenue drivers'!BV504</f>
        <v>0</v>
      </c>
      <c r="BW740">
        <f>'Revenue drivers'!BW504</f>
        <v>0</v>
      </c>
      <c r="BX740">
        <f>'Revenue drivers'!BX504</f>
        <v>0</v>
      </c>
      <c r="BY740">
        <f>'Revenue drivers'!BY504</f>
        <v>0</v>
      </c>
    </row>
    <row r="741" spans="9:77" ht="11.25" customHeight="1">
      <c r="I741">
        <f>'Revenue drivers'!I505</f>
        <v>0</v>
      </c>
      <c r="J741">
        <f>'Revenue drivers'!J505</f>
        <v>0</v>
      </c>
      <c r="K741">
        <f>'Revenue drivers'!K505</f>
        <v>0</v>
      </c>
      <c r="L741">
        <f>'Revenue drivers'!L505</f>
        <v>0</v>
      </c>
      <c r="M741">
        <f>'Revenue drivers'!M505</f>
        <v>0</v>
      </c>
      <c r="N741">
        <f>'Revenue drivers'!N505</f>
        <v>0</v>
      </c>
      <c r="O741">
        <f>'Revenue drivers'!O505</f>
        <v>0</v>
      </c>
      <c r="P741">
        <f>'Revenue drivers'!P505</f>
        <v>0</v>
      </c>
      <c r="Q741">
        <f>'Revenue drivers'!Q505</f>
        <v>0</v>
      </c>
      <c r="R741">
        <f>'Revenue drivers'!R505</f>
        <v>0</v>
      </c>
      <c r="S741">
        <f>'Revenue drivers'!S505</f>
        <v>0</v>
      </c>
      <c r="T741">
        <f>'Revenue drivers'!T505</f>
        <v>0</v>
      </c>
      <c r="U741">
        <f>'Revenue drivers'!U505</f>
        <v>0</v>
      </c>
      <c r="V741">
        <f>'Revenue drivers'!V505</f>
        <v>0</v>
      </c>
      <c r="W741">
        <f>'Revenue drivers'!W505</f>
        <v>0</v>
      </c>
      <c r="X741">
        <f>'Revenue drivers'!X505</f>
        <v>0</v>
      </c>
      <c r="Y741">
        <f>'Revenue drivers'!Y505</f>
        <v>0</v>
      </c>
      <c r="Z741">
        <f>'Revenue drivers'!Z505</f>
        <v>0</v>
      </c>
      <c r="AA741">
        <f>'Revenue drivers'!AA505</f>
        <v>0</v>
      </c>
      <c r="AB741">
        <f>'Revenue drivers'!AB505</f>
        <v>0</v>
      </c>
      <c r="AC741">
        <f>'Revenue drivers'!AC505</f>
        <v>0</v>
      </c>
      <c r="AD741">
        <f>'Revenue drivers'!AD505</f>
        <v>0</v>
      </c>
      <c r="AE741">
        <f>'Revenue drivers'!AE505</f>
        <v>0</v>
      </c>
      <c r="AF741">
        <f>'Revenue drivers'!AF505</f>
        <v>0</v>
      </c>
      <c r="AG741">
        <f>'Revenue drivers'!AG505</f>
        <v>0</v>
      </c>
      <c r="AH741">
        <f>'Revenue drivers'!AH505</f>
        <v>0</v>
      </c>
      <c r="AI741">
        <f>'Revenue drivers'!AI505</f>
        <v>0</v>
      </c>
      <c r="AJ741">
        <f>'Revenue drivers'!AJ505</f>
        <v>0</v>
      </c>
      <c r="AK741">
        <f>'Revenue drivers'!AK505</f>
        <v>0</v>
      </c>
      <c r="AL741">
        <f>'Revenue drivers'!AL505</f>
        <v>0</v>
      </c>
      <c r="AM741">
        <f>'Revenue drivers'!AM505</f>
        <v>0</v>
      </c>
      <c r="AN741">
        <f>'Revenue drivers'!AN505</f>
        <v>0</v>
      </c>
      <c r="AO741">
        <f>'Revenue drivers'!AO505</f>
        <v>0</v>
      </c>
      <c r="AP741">
        <f>'Revenue drivers'!AP505</f>
        <v>0</v>
      </c>
      <c r="AQ741">
        <f>'Revenue drivers'!AQ505</f>
        <v>0</v>
      </c>
      <c r="AR741">
        <f>'Revenue drivers'!AR505</f>
        <v>0</v>
      </c>
      <c r="AS741">
        <f>'Revenue drivers'!AS505</f>
        <v>0</v>
      </c>
      <c r="AT741">
        <f>'Revenue drivers'!AT505</f>
        <v>0</v>
      </c>
      <c r="AU741">
        <f>'Revenue drivers'!AU505</f>
        <v>0</v>
      </c>
      <c r="AV741">
        <f>'Revenue drivers'!AV505</f>
        <v>0</v>
      </c>
      <c r="AW741">
        <f>'Revenue drivers'!AW505</f>
        <v>0</v>
      </c>
      <c r="AX741">
        <f>'Revenue drivers'!AX505</f>
        <v>0</v>
      </c>
      <c r="AY741">
        <f>'Revenue drivers'!AY505</f>
        <v>0</v>
      </c>
      <c r="AZ741">
        <f>'Revenue drivers'!AZ505</f>
        <v>0</v>
      </c>
      <c r="BA741">
        <f>'Revenue drivers'!BA505</f>
        <v>0</v>
      </c>
      <c r="BB741">
        <f>'Revenue drivers'!BB505</f>
        <v>0</v>
      </c>
      <c r="BC741">
        <f>'Revenue drivers'!BC505</f>
        <v>0</v>
      </c>
      <c r="BD741">
        <f>'Revenue drivers'!BD505</f>
        <v>0</v>
      </c>
      <c r="BE741">
        <f>'Revenue drivers'!BE505</f>
        <v>0</v>
      </c>
      <c r="BF741">
        <f>'Revenue drivers'!BF505</f>
        <v>0</v>
      </c>
      <c r="BG741">
        <f>'Revenue drivers'!BG505</f>
        <v>0</v>
      </c>
      <c r="BH741">
        <f>'Revenue drivers'!BH505</f>
        <v>0</v>
      </c>
      <c r="BI741">
        <f>'Revenue drivers'!BI505</f>
        <v>0</v>
      </c>
      <c r="BJ741">
        <f>'Revenue drivers'!BJ505</f>
        <v>0</v>
      </c>
      <c r="BK741">
        <f>'Revenue drivers'!BK505</f>
        <v>0</v>
      </c>
      <c r="BL741">
        <f>'Revenue drivers'!BL505</f>
        <v>0</v>
      </c>
      <c r="BM741">
        <f>'Revenue drivers'!BM505</f>
        <v>0</v>
      </c>
      <c r="BN741">
        <f>'Revenue drivers'!BN505</f>
        <v>0</v>
      </c>
      <c r="BO741">
        <f>'Revenue drivers'!BO505</f>
        <v>0</v>
      </c>
      <c r="BP741">
        <f>'Revenue drivers'!BP505</f>
        <v>0</v>
      </c>
      <c r="BQ741">
        <f>'Revenue drivers'!BQ505</f>
        <v>0</v>
      </c>
      <c r="BR741">
        <f>'Revenue drivers'!BR505</f>
        <v>0</v>
      </c>
      <c r="BS741">
        <f>'Revenue drivers'!BS505</f>
        <v>0</v>
      </c>
      <c r="BT741">
        <f>'Revenue drivers'!BT505</f>
        <v>0</v>
      </c>
      <c r="BU741">
        <f>'Revenue drivers'!BU505</f>
        <v>0</v>
      </c>
      <c r="BV741">
        <f>'Revenue drivers'!BV505</f>
        <v>0</v>
      </c>
      <c r="BW741">
        <f>'Revenue drivers'!BW505</f>
        <v>0</v>
      </c>
      <c r="BX741">
        <f>'Revenue drivers'!BX505</f>
        <v>0</v>
      </c>
      <c r="BY741">
        <f>'Revenue drivers'!BY505</f>
        <v>0</v>
      </c>
    </row>
    <row r="742" spans="9:77" ht="11.25" customHeight="1">
      <c r="I742" t="str">
        <f>'Revenue drivers'!I506</f>
        <v>Sales Headcount</v>
      </c>
      <c r="J742">
        <f>'Revenue drivers'!J506</f>
        <v>0</v>
      </c>
      <c r="K742">
        <f>'Revenue drivers'!K506</f>
        <v>0</v>
      </c>
      <c r="L742">
        <f>'Revenue drivers'!L506</f>
        <v>0</v>
      </c>
      <c r="M742">
        <f>'Revenue drivers'!M506</f>
        <v>0</v>
      </c>
      <c r="N742">
        <f>'Revenue drivers'!N506</f>
        <v>0</v>
      </c>
      <c r="O742">
        <f>'Revenue drivers'!O506</f>
        <v>0</v>
      </c>
      <c r="P742">
        <f>'Revenue drivers'!P506</f>
        <v>0</v>
      </c>
      <c r="Q742">
        <f>'Revenue drivers'!Q506</f>
        <v>0</v>
      </c>
      <c r="R742">
        <f>'Revenue drivers'!R506</f>
        <v>0</v>
      </c>
      <c r="S742">
        <f>'Revenue drivers'!S506</f>
        <v>0</v>
      </c>
      <c r="T742">
        <f>'Revenue drivers'!T506</f>
        <v>0</v>
      </c>
      <c r="U742">
        <f>'Revenue drivers'!U506</f>
        <v>533.33333333333337</v>
      </c>
      <c r="V742">
        <f>'Revenue drivers'!V506</f>
        <v>566.66666666666663</v>
      </c>
      <c r="W742">
        <f>'Revenue drivers'!W506</f>
        <v>686.27450980392155</v>
      </c>
      <c r="X742">
        <f>'Revenue drivers'!X506</f>
        <v>769.23076923076928</v>
      </c>
      <c r="Y742">
        <f>'Revenue drivers'!Y506</f>
        <v>800</v>
      </c>
      <c r="Z742">
        <f>'Revenue drivers'!Z506</f>
        <v>850</v>
      </c>
      <c r="AA742">
        <f>'Revenue drivers'!AA506</f>
        <v>1050</v>
      </c>
      <c r="AB742">
        <f>'Revenue drivers'!AB506</f>
        <v>1100</v>
      </c>
      <c r="AC742">
        <f>'Revenue drivers'!AC506</f>
        <v>1250</v>
      </c>
      <c r="AD742">
        <f>'Revenue drivers'!AD506</f>
        <v>1350</v>
      </c>
      <c r="AE742">
        <f>'Revenue drivers'!AE506</f>
        <v>1550</v>
      </c>
      <c r="AF742">
        <f>'Revenue drivers'!AF506</f>
        <v>1550</v>
      </c>
      <c r="AG742">
        <f>'Revenue drivers'!AG506</f>
        <v>1600</v>
      </c>
      <c r="AH742">
        <f>'Revenue drivers'!AH506</f>
        <v>1750</v>
      </c>
      <c r="AI742">
        <f>'Revenue drivers'!AI506</f>
        <v>2100</v>
      </c>
      <c r="AJ742">
        <f>'Revenue drivers'!AJ506</f>
        <v>2200</v>
      </c>
      <c r="AK742">
        <f>'Revenue drivers'!AK506</f>
        <v>2300</v>
      </c>
      <c r="AL742">
        <f>'Revenue drivers'!AL506</f>
        <v>2400</v>
      </c>
      <c r="AM742">
        <f>'Revenue drivers'!AM506</f>
        <v>2500</v>
      </c>
      <c r="AN742">
        <f>'Revenue drivers'!AN506</f>
        <v>2450</v>
      </c>
      <c r="AO742">
        <f>'Revenue drivers'!AO506</f>
        <v>2550</v>
      </c>
      <c r="AP742">
        <f>'Revenue drivers'!AP506</f>
        <v>2650</v>
      </c>
      <c r="AQ742">
        <f>'Revenue drivers'!AQ506</f>
        <v>2750</v>
      </c>
      <c r="AR742">
        <f>'Revenue drivers'!AR506</f>
        <v>2850</v>
      </c>
      <c r="AS742">
        <f>'Revenue drivers'!AS506</f>
        <v>2950</v>
      </c>
      <c r="AT742">
        <f>'Revenue drivers'!AT506</f>
        <v>3050</v>
      </c>
      <c r="AU742">
        <f>'Revenue drivers'!AU506</f>
        <v>3125</v>
      </c>
      <c r="AV742">
        <f>'Revenue drivers'!AV506</f>
        <v>3200</v>
      </c>
      <c r="AW742">
        <f>'Revenue drivers'!AW506</f>
        <v>3300</v>
      </c>
      <c r="AX742">
        <f>'Revenue drivers'!AX506</f>
        <v>3400</v>
      </c>
      <c r="AY742">
        <f>'Revenue drivers'!AY506</f>
        <v>3475</v>
      </c>
      <c r="AZ742">
        <f>'Revenue drivers'!AZ506</f>
        <v>3525</v>
      </c>
      <c r="BA742">
        <f>'Revenue drivers'!BA506</f>
        <v>3605</v>
      </c>
      <c r="BB742">
        <f>'Revenue drivers'!BB506</f>
        <v>3685</v>
      </c>
      <c r="BC742">
        <f>'Revenue drivers'!BC506</f>
        <v>3735</v>
      </c>
      <c r="BD742">
        <f>'Revenue drivers'!BD506</f>
        <v>3775</v>
      </c>
      <c r="BE742">
        <f>'Revenue drivers'!BE506</f>
        <v>0</v>
      </c>
      <c r="BF742">
        <f>'Revenue drivers'!BF506</f>
        <v>0</v>
      </c>
      <c r="BG742">
        <f>'Revenue drivers'!BG506</f>
        <v>0</v>
      </c>
      <c r="BH742">
        <f>'Revenue drivers'!BH506</f>
        <v>0</v>
      </c>
      <c r="BI742">
        <f>'Revenue drivers'!BI506</f>
        <v>0</v>
      </c>
      <c r="BJ742">
        <f>'Revenue drivers'!BJ506</f>
        <v>0</v>
      </c>
      <c r="BK742">
        <f>'Revenue drivers'!BK506</f>
        <v>0</v>
      </c>
      <c r="BL742">
        <f>'Revenue drivers'!BL506</f>
        <v>769.23076923076928</v>
      </c>
      <c r="BM742">
        <f>'Revenue drivers'!BM506</f>
        <v>1100</v>
      </c>
      <c r="BN742">
        <f>'Revenue drivers'!BN506</f>
        <v>1550</v>
      </c>
      <c r="BO742">
        <f>'Revenue drivers'!BO506</f>
        <v>2200</v>
      </c>
      <c r="BP742">
        <f>'Revenue drivers'!BP506</f>
        <v>2450</v>
      </c>
      <c r="BQ742">
        <f>'Revenue drivers'!BQ506</f>
        <v>2850</v>
      </c>
      <c r="BR742">
        <f>'Revenue drivers'!BR506</f>
        <v>3200</v>
      </c>
      <c r="BS742">
        <f>'Revenue drivers'!BS506</f>
        <v>3525</v>
      </c>
      <c r="BT742">
        <f>'Revenue drivers'!BT506</f>
        <v>3775</v>
      </c>
      <c r="BU742">
        <f>'Revenue drivers'!BU506</f>
        <v>3962.5</v>
      </c>
      <c r="BV742">
        <f>'Revenue drivers'!BV506</f>
        <v>4093.75</v>
      </c>
      <c r="BW742">
        <f>'Revenue drivers'!BW506</f>
        <v>4185.625</v>
      </c>
      <c r="BX742">
        <f>'Revenue drivers'!BX506</f>
        <v>4249.9375</v>
      </c>
      <c r="BY742">
        <f>'Revenue drivers'!BY506</f>
        <v>4294.9562500000002</v>
      </c>
    </row>
    <row r="743" spans="9:77" ht="11.25" customHeight="1">
      <c r="I743" t="str">
        <f>'Revenue drivers'!I507</f>
        <v>Period-to-period addition</v>
      </c>
      <c r="J743">
        <f>'Revenue drivers'!J507</f>
        <v>0</v>
      </c>
      <c r="K743">
        <f>'Revenue drivers'!K507</f>
        <v>0</v>
      </c>
      <c r="L743">
        <f>'Revenue drivers'!L507</f>
        <v>0</v>
      </c>
      <c r="M743">
        <f>'Revenue drivers'!M507</f>
        <v>0</v>
      </c>
      <c r="N743">
        <f>'Revenue drivers'!N507</f>
        <v>0</v>
      </c>
      <c r="O743">
        <f>'Revenue drivers'!O507</f>
        <v>0</v>
      </c>
      <c r="P743">
        <f>'Revenue drivers'!P507</f>
        <v>0</v>
      </c>
      <c r="Q743">
        <f>'Revenue drivers'!Q507</f>
        <v>0</v>
      </c>
      <c r="R743">
        <f>'Revenue drivers'!R507</f>
        <v>0</v>
      </c>
      <c r="S743">
        <f>'Revenue drivers'!S507</f>
        <v>0</v>
      </c>
      <c r="T743">
        <f>'Revenue drivers'!T507</f>
        <v>0</v>
      </c>
      <c r="U743">
        <f>'Revenue drivers'!U507</f>
        <v>0</v>
      </c>
      <c r="V743">
        <f>'Revenue drivers'!V507</f>
        <v>33.333333333333258</v>
      </c>
      <c r="W743">
        <f>'Revenue drivers'!W507</f>
        <v>119.60784313725492</v>
      </c>
      <c r="X743">
        <f>'Revenue drivers'!X507</f>
        <v>82.956259426847737</v>
      </c>
      <c r="Y743">
        <f>'Revenue drivers'!Y507</f>
        <v>30.769230769230717</v>
      </c>
      <c r="Z743">
        <f>'Revenue drivers'!Z507</f>
        <v>50</v>
      </c>
      <c r="AA743">
        <f>'Revenue drivers'!AA507</f>
        <v>200</v>
      </c>
      <c r="AB743">
        <f>'Revenue drivers'!AB507</f>
        <v>50</v>
      </c>
      <c r="AC743">
        <f>'Revenue drivers'!AC507</f>
        <v>150</v>
      </c>
      <c r="AD743">
        <f>'Revenue drivers'!AD507</f>
        <v>100</v>
      </c>
      <c r="AE743">
        <f>'Revenue drivers'!AE507</f>
        <v>200</v>
      </c>
      <c r="AF743">
        <f>'Revenue drivers'!AF507</f>
        <v>0</v>
      </c>
      <c r="AG743">
        <f>'Revenue drivers'!AG507</f>
        <v>50</v>
      </c>
      <c r="AH743">
        <f>'Revenue drivers'!AH507</f>
        <v>150</v>
      </c>
      <c r="AI743">
        <f>'Revenue drivers'!AI507</f>
        <v>350</v>
      </c>
      <c r="AJ743">
        <f>'Revenue drivers'!AJ507</f>
        <v>100</v>
      </c>
      <c r="AK743">
        <f>'Revenue drivers'!AK507</f>
        <v>100</v>
      </c>
      <c r="AL743">
        <f>'Revenue drivers'!AL507</f>
        <v>100</v>
      </c>
      <c r="AM743">
        <f>'Revenue drivers'!AM507</f>
        <v>100</v>
      </c>
      <c r="AN743">
        <f>'Revenue drivers'!AN507</f>
        <v>-50</v>
      </c>
      <c r="AO743">
        <f>'Revenue drivers'!AO507</f>
        <v>100</v>
      </c>
      <c r="AP743">
        <f>'Revenue drivers'!AP507</f>
        <v>100</v>
      </c>
      <c r="AQ743">
        <f>'Revenue drivers'!AQ507</f>
        <v>100</v>
      </c>
      <c r="AR743">
        <f>'Revenue drivers'!AR507</f>
        <v>100</v>
      </c>
      <c r="AS743">
        <f>'Revenue drivers'!AS507</f>
        <v>100</v>
      </c>
      <c r="AT743">
        <f>'Revenue drivers'!AT507</f>
        <v>100</v>
      </c>
      <c r="AU743">
        <f>'Revenue drivers'!AU507</f>
        <v>75</v>
      </c>
      <c r="AV743">
        <f>'Revenue drivers'!AV507</f>
        <v>75</v>
      </c>
      <c r="AW743">
        <f>'Revenue drivers'!AW507</f>
        <v>100</v>
      </c>
      <c r="AX743">
        <f>'Revenue drivers'!AX507</f>
        <v>100</v>
      </c>
      <c r="AY743">
        <f>'Revenue drivers'!AY507</f>
        <v>75</v>
      </c>
      <c r="AZ743">
        <f>'Revenue drivers'!AZ507</f>
        <v>50</v>
      </c>
      <c r="BA743">
        <f>'Revenue drivers'!BA507</f>
        <v>80</v>
      </c>
      <c r="BB743">
        <f>'Revenue drivers'!BB507</f>
        <v>80</v>
      </c>
      <c r="BC743">
        <f>'Revenue drivers'!BC507</f>
        <v>50</v>
      </c>
      <c r="BD743">
        <f>'Revenue drivers'!BD507</f>
        <v>40</v>
      </c>
      <c r="BE743">
        <f>'Revenue drivers'!BE507</f>
        <v>0</v>
      </c>
      <c r="BF743">
        <f>'Revenue drivers'!BF507</f>
        <v>0</v>
      </c>
      <c r="BG743">
        <f>'Revenue drivers'!BG507</f>
        <v>-2.2747206078539084E-2</v>
      </c>
      <c r="BH743">
        <f>'Revenue drivers'!BH507</f>
        <v>0</v>
      </c>
      <c r="BI743">
        <f>'Revenue drivers'!BI507</f>
        <v>0</v>
      </c>
      <c r="BJ743">
        <f>'Revenue drivers'!BJ507</f>
        <v>0</v>
      </c>
      <c r="BK743">
        <f>'Revenue drivers'!BK507</f>
        <v>0</v>
      </c>
      <c r="BL743">
        <f>'Revenue drivers'!BL507</f>
        <v>0</v>
      </c>
      <c r="BM743">
        <f>'Revenue drivers'!BM507</f>
        <v>330.76923076923072</v>
      </c>
      <c r="BN743">
        <f>'Revenue drivers'!BN507</f>
        <v>450</v>
      </c>
      <c r="BO743">
        <f>'Revenue drivers'!BO507</f>
        <v>650</v>
      </c>
      <c r="BP743">
        <f>'Revenue drivers'!BP507</f>
        <v>250</v>
      </c>
      <c r="BQ743">
        <f>'Revenue drivers'!BQ507</f>
        <v>400</v>
      </c>
      <c r="BR743">
        <f>'Revenue drivers'!BR507</f>
        <v>350</v>
      </c>
      <c r="BS743">
        <f>'Revenue drivers'!BS507</f>
        <v>325</v>
      </c>
      <c r="BT743">
        <f>'Revenue drivers'!BT507</f>
        <v>250</v>
      </c>
      <c r="BU743">
        <f>'Revenue drivers'!BU507</f>
        <v>187.5</v>
      </c>
      <c r="BV743">
        <f>'Revenue drivers'!BV507</f>
        <v>131.25</v>
      </c>
      <c r="BW743">
        <f>'Revenue drivers'!BW507</f>
        <v>91.875</v>
      </c>
      <c r="BX743">
        <f>'Revenue drivers'!BX507</f>
        <v>64.3125</v>
      </c>
      <c r="BY743">
        <f>'Revenue drivers'!BY507</f>
        <v>45.018749999999997</v>
      </c>
    </row>
    <row r="744" spans="9:77" ht="11.25" customHeight="1">
      <c r="I744" t="str">
        <f>'Revenue drivers'!I508</f>
        <v>% change Y/Y</v>
      </c>
      <c r="J744">
        <f>'Revenue drivers'!J508</f>
        <v>0</v>
      </c>
      <c r="K744">
        <f>'Revenue drivers'!K508</f>
        <v>0</v>
      </c>
      <c r="L744">
        <f>'Revenue drivers'!L508</f>
        <v>0</v>
      </c>
      <c r="M744">
        <f>'Revenue drivers'!M508</f>
        <v>0</v>
      </c>
      <c r="N744">
        <f>'Revenue drivers'!N508</f>
        <v>0</v>
      </c>
      <c r="O744">
        <f>'Revenue drivers'!O508</f>
        <v>0</v>
      </c>
      <c r="P744">
        <f>'Revenue drivers'!P508</f>
        <v>0</v>
      </c>
      <c r="Q744">
        <f>'Revenue drivers'!Q508</f>
        <v>0</v>
      </c>
      <c r="R744">
        <f>'Revenue drivers'!R508</f>
        <v>0</v>
      </c>
      <c r="S744">
        <f>'Revenue drivers'!S508</f>
        <v>0</v>
      </c>
      <c r="T744">
        <f>'Revenue drivers'!T508</f>
        <v>0</v>
      </c>
      <c r="U744">
        <f>'Revenue drivers'!U508</f>
        <v>0.49</v>
      </c>
      <c r="V744">
        <f>'Revenue drivers'!V508</f>
        <v>0.5</v>
      </c>
      <c r="W744">
        <f>'Revenue drivers'!W508</f>
        <v>0.5</v>
      </c>
      <c r="X744">
        <f>'Revenue drivers'!X508</f>
        <v>0.5</v>
      </c>
      <c r="Y744">
        <f>'Revenue drivers'!Y508</f>
        <v>0.5</v>
      </c>
      <c r="Z744">
        <f>'Revenue drivers'!Z508</f>
        <v>0.5</v>
      </c>
      <c r="AA744">
        <f>'Revenue drivers'!AA508</f>
        <v>0.53</v>
      </c>
      <c r="AB744">
        <f>'Revenue drivers'!AB508</f>
        <v>0.43</v>
      </c>
      <c r="AC744">
        <f>'Revenue drivers'!AC508</f>
        <v>0.5625</v>
      </c>
      <c r="AD744">
        <f>'Revenue drivers'!AD508</f>
        <v>0.58823529411764697</v>
      </c>
      <c r="AE744">
        <f>'Revenue drivers'!AE508</f>
        <v>0.47619047619047628</v>
      </c>
      <c r="AF744">
        <f>'Revenue drivers'!AF508</f>
        <v>0.40909090909090917</v>
      </c>
      <c r="AG744">
        <f>'Revenue drivers'!AG508</f>
        <v>0.28000000000000003</v>
      </c>
      <c r="AH744">
        <f>'Revenue drivers'!AH508</f>
        <v>0.29629629629629628</v>
      </c>
      <c r="AI744">
        <f>'Revenue drivers'!AI508</f>
        <v>0.35483870967741926</v>
      </c>
      <c r="AJ744">
        <f>'Revenue drivers'!AJ508</f>
        <v>0.41935483870967749</v>
      </c>
      <c r="AK744">
        <f>'Revenue drivers'!AK508</f>
        <v>0.4375</v>
      </c>
      <c r="AL744">
        <f>'Revenue drivers'!AL508</f>
        <v>0.37142857142857144</v>
      </c>
      <c r="AM744">
        <f>'Revenue drivers'!AM508</f>
        <v>0.19047619047619047</v>
      </c>
      <c r="AN744">
        <f>'Revenue drivers'!AN508</f>
        <v>0.11363636363636354</v>
      </c>
      <c r="AO744">
        <f>'Revenue drivers'!AO508</f>
        <v>0.10869565217391308</v>
      </c>
      <c r="AP744">
        <f>'Revenue drivers'!AP508</f>
        <v>0.10416666666666674</v>
      </c>
      <c r="AQ744">
        <f>'Revenue drivers'!AQ508</f>
        <v>0.10000000000000009</v>
      </c>
      <c r="AR744">
        <f>'Revenue drivers'!AR508</f>
        <v>0.16326530612244894</v>
      </c>
      <c r="AS744">
        <f>'Revenue drivers'!AS508</f>
        <v>0.15686274509803932</v>
      </c>
      <c r="AT744">
        <f>'Revenue drivers'!AT508</f>
        <v>0.15094339622641506</v>
      </c>
      <c r="AU744">
        <f>'Revenue drivers'!AU508</f>
        <v>0.13636363636363646</v>
      </c>
      <c r="AV744">
        <f>'Revenue drivers'!AV508</f>
        <v>0.12280701754385959</v>
      </c>
      <c r="AW744">
        <f>'Revenue drivers'!AW508</f>
        <v>0.11864406779661008</v>
      </c>
      <c r="AX744">
        <f>'Revenue drivers'!AX508</f>
        <v>0.11475409836065564</v>
      </c>
      <c r="AY744">
        <f>'Revenue drivers'!AY508</f>
        <v>0.1120000000000001</v>
      </c>
      <c r="AZ744">
        <f>'Revenue drivers'!AZ508</f>
        <v>0.1015625</v>
      </c>
      <c r="BA744">
        <f>'Revenue drivers'!BA508</f>
        <v>9.242424242424252E-2</v>
      </c>
      <c r="BB744">
        <f>'Revenue drivers'!BB508</f>
        <v>8.382352941176463E-2</v>
      </c>
      <c r="BC744">
        <f>'Revenue drivers'!BC508</f>
        <v>7.482014388489211E-2</v>
      </c>
      <c r="BD744">
        <f>'Revenue drivers'!BD508</f>
        <v>7.0921985815602939E-2</v>
      </c>
      <c r="BE744">
        <f>'Revenue drivers'!BE508</f>
        <v>0</v>
      </c>
      <c r="BF744">
        <f>'Revenue drivers'!BF508</f>
        <v>0</v>
      </c>
      <c r="BG744">
        <f>'Revenue drivers'!BG508</f>
        <v>0</v>
      </c>
      <c r="BH744">
        <f>'Revenue drivers'!BH508</f>
        <v>0</v>
      </c>
      <c r="BI744">
        <f>'Revenue drivers'!BI508</f>
        <v>0</v>
      </c>
      <c r="BJ744">
        <f>'Revenue drivers'!BJ508</f>
        <v>0</v>
      </c>
      <c r="BK744">
        <f>'Revenue drivers'!BK508</f>
        <v>0</v>
      </c>
      <c r="BL744">
        <f>'Revenue drivers'!BL508</f>
        <v>0</v>
      </c>
      <c r="BM744">
        <f>'Revenue drivers'!BM508</f>
        <v>0.42999999999999994</v>
      </c>
      <c r="BN744">
        <f>'Revenue drivers'!BN508</f>
        <v>0.40909090909090917</v>
      </c>
      <c r="BO744">
        <f>'Revenue drivers'!BO508</f>
        <v>0.41935483870967749</v>
      </c>
      <c r="BP744">
        <f>'Revenue drivers'!BP508</f>
        <v>0.11363636363636354</v>
      </c>
      <c r="BQ744">
        <f>'Revenue drivers'!BQ508</f>
        <v>0.16326530612244894</v>
      </c>
      <c r="BR744">
        <f>'Revenue drivers'!BR508</f>
        <v>0.12280701754385959</v>
      </c>
      <c r="BS744">
        <f>'Revenue drivers'!BS508</f>
        <v>0.1015625</v>
      </c>
      <c r="BT744">
        <f>'Revenue drivers'!BT508</f>
        <v>7.0921985815602939E-2</v>
      </c>
      <c r="BU744">
        <f>'Revenue drivers'!BU508</f>
        <v>4.9668874172185351E-2</v>
      </c>
      <c r="BV744">
        <f>'Revenue drivers'!BV508</f>
        <v>3.3123028391167209E-2</v>
      </c>
      <c r="BW744">
        <f>'Revenue drivers'!BW508</f>
        <v>2.244274809160296E-2</v>
      </c>
      <c r="BX744">
        <f>'Revenue drivers'!BX508</f>
        <v>1.536508884575194E-2</v>
      </c>
      <c r="BY744">
        <f>'Revenue drivers'!BY508</f>
        <v>1.0592802835335924E-2</v>
      </c>
    </row>
    <row r="745" spans="9:77" ht="11.25" customHeight="1">
      <c r="I745" t="str">
        <f>'Revenue drivers'!I509</f>
        <v>% change Q/Q</v>
      </c>
      <c r="J745">
        <f>'Revenue drivers'!J509</f>
        <v>0</v>
      </c>
      <c r="K745">
        <f>'Revenue drivers'!K509</f>
        <v>0</v>
      </c>
      <c r="L745">
        <f>'Revenue drivers'!L509</f>
        <v>0</v>
      </c>
      <c r="M745">
        <f>'Revenue drivers'!M509</f>
        <v>0</v>
      </c>
      <c r="N745">
        <f>'Revenue drivers'!N509</f>
        <v>0</v>
      </c>
      <c r="O745">
        <f>'Revenue drivers'!O509</f>
        <v>0</v>
      </c>
      <c r="P745">
        <f>'Revenue drivers'!P509</f>
        <v>0</v>
      </c>
      <c r="Q745">
        <f>'Revenue drivers'!Q509</f>
        <v>0</v>
      </c>
      <c r="R745">
        <f>'Revenue drivers'!R509</f>
        <v>0</v>
      </c>
      <c r="S745">
        <f>'Revenue drivers'!S509</f>
        <v>0</v>
      </c>
      <c r="T745">
        <f>'Revenue drivers'!T509</f>
        <v>0</v>
      </c>
      <c r="U745">
        <f>'Revenue drivers'!U509</f>
        <v>0</v>
      </c>
      <c r="V745">
        <f>'Revenue drivers'!V509</f>
        <v>6.2499999999999778E-2</v>
      </c>
      <c r="W745">
        <f>'Revenue drivers'!W509</f>
        <v>0.21107266435986172</v>
      </c>
      <c r="X745">
        <f>'Revenue drivers'!X509</f>
        <v>0.12087912087912089</v>
      </c>
      <c r="Y745">
        <f>'Revenue drivers'!Y509</f>
        <v>4.0000000000000036E-2</v>
      </c>
      <c r="Z745">
        <f>'Revenue drivers'!Z509</f>
        <v>6.25E-2</v>
      </c>
      <c r="AA745">
        <f>'Revenue drivers'!AA509</f>
        <v>0.23529411764705888</v>
      </c>
      <c r="AB745">
        <f>'Revenue drivers'!AB509</f>
        <v>4.7619047619047672E-2</v>
      </c>
      <c r="AC745">
        <f>'Revenue drivers'!AC509</f>
        <v>0.13636363636363646</v>
      </c>
      <c r="AD745">
        <f>'Revenue drivers'!AD509</f>
        <v>8.0000000000000071E-2</v>
      </c>
      <c r="AE745">
        <f>'Revenue drivers'!AE509</f>
        <v>0.14814814814814814</v>
      </c>
      <c r="AF745">
        <f>'Revenue drivers'!AF509</f>
        <v>0</v>
      </c>
      <c r="AG745">
        <f>'Revenue drivers'!AG509</f>
        <v>3.2258064516129004E-2</v>
      </c>
      <c r="AH745">
        <f>'Revenue drivers'!AH509</f>
        <v>9.375E-2</v>
      </c>
      <c r="AI745">
        <f>'Revenue drivers'!AI509</f>
        <v>0.19999999999999996</v>
      </c>
      <c r="AJ745">
        <f>'Revenue drivers'!AJ509</f>
        <v>4.7619047619047672E-2</v>
      </c>
      <c r="AK745">
        <f>'Revenue drivers'!AK509</f>
        <v>4.5454545454545414E-2</v>
      </c>
      <c r="AL745">
        <f>'Revenue drivers'!AL509</f>
        <v>4.3478260869565188E-2</v>
      </c>
      <c r="AM745">
        <f>'Revenue drivers'!AM509</f>
        <v>4.1666666666666741E-2</v>
      </c>
      <c r="AN745">
        <f>'Revenue drivers'!AN509</f>
        <v>-2.0000000000000018E-2</v>
      </c>
      <c r="AO745">
        <f>'Revenue drivers'!AO509</f>
        <v>4.081632653061229E-2</v>
      </c>
      <c r="AP745">
        <f>'Revenue drivers'!AP509</f>
        <v>3.9215686274509887E-2</v>
      </c>
      <c r="AQ745">
        <f>'Revenue drivers'!AQ509</f>
        <v>3.7735849056603765E-2</v>
      </c>
      <c r="AR745">
        <f>'Revenue drivers'!AR509</f>
        <v>3.6363636363636376E-2</v>
      </c>
      <c r="AS745">
        <f>'Revenue drivers'!AS509</f>
        <v>3.5087719298245723E-2</v>
      </c>
      <c r="AT745">
        <f>'Revenue drivers'!AT509</f>
        <v>3.3898305084745672E-2</v>
      </c>
      <c r="AU745">
        <f>'Revenue drivers'!AU509</f>
        <v>2.4590163934426146E-2</v>
      </c>
      <c r="AV745">
        <f>'Revenue drivers'!AV509</f>
        <v>2.4000000000000021E-2</v>
      </c>
      <c r="AW745">
        <f>'Revenue drivers'!AW509</f>
        <v>3.125E-2</v>
      </c>
      <c r="AX745">
        <f>'Revenue drivers'!AX509</f>
        <v>3.0303030303030276E-2</v>
      </c>
      <c r="AY745">
        <f>'Revenue drivers'!AY509</f>
        <v>2.2058823529411686E-2</v>
      </c>
      <c r="AZ745">
        <f>'Revenue drivers'!AZ509</f>
        <v>1.4388489208633004E-2</v>
      </c>
      <c r="BA745">
        <f>'Revenue drivers'!BA509</f>
        <v>2.2695035460992941E-2</v>
      </c>
      <c r="BB745">
        <f>'Revenue drivers'!BB509</f>
        <v>2.2191400832177521E-2</v>
      </c>
      <c r="BC745">
        <f>'Revenue drivers'!BC509</f>
        <v>1.3568521031207537E-2</v>
      </c>
      <c r="BD745">
        <f>'Revenue drivers'!BD509</f>
        <v>1.0709504685408211E-2</v>
      </c>
      <c r="BE745">
        <f>'Revenue drivers'!BE509</f>
        <v>0</v>
      </c>
      <c r="BF745">
        <f>'Revenue drivers'!BF509</f>
        <v>0</v>
      </c>
      <c r="BG745">
        <f>'Revenue drivers'!BG509</f>
        <v>0</v>
      </c>
      <c r="BH745">
        <f>'Revenue drivers'!BH509</f>
        <v>0</v>
      </c>
      <c r="BI745">
        <f>'Revenue drivers'!BI509</f>
        <v>0</v>
      </c>
      <c r="BJ745">
        <f>'Revenue drivers'!BJ509</f>
        <v>0</v>
      </c>
      <c r="BK745">
        <f>'Revenue drivers'!BK509</f>
        <v>0</v>
      </c>
      <c r="BL745">
        <f>'Revenue drivers'!BL509</f>
        <v>0</v>
      </c>
      <c r="BM745">
        <f>'Revenue drivers'!BM509</f>
        <v>0</v>
      </c>
      <c r="BN745">
        <f>'Revenue drivers'!BN509</f>
        <v>0</v>
      </c>
      <c r="BO745">
        <f>'Revenue drivers'!BO509</f>
        <v>0</v>
      </c>
      <c r="BP745">
        <f>'Revenue drivers'!BP509</f>
        <v>0</v>
      </c>
      <c r="BQ745">
        <f>'Revenue drivers'!BQ509</f>
        <v>0</v>
      </c>
      <c r="BR745">
        <f>'Revenue drivers'!BR509</f>
        <v>0</v>
      </c>
      <c r="BS745">
        <f>'Revenue drivers'!BS509</f>
        <v>0</v>
      </c>
      <c r="BT745">
        <f>'Revenue drivers'!BT509</f>
        <v>0</v>
      </c>
      <c r="BU745">
        <f>'Revenue drivers'!BU509</f>
        <v>0</v>
      </c>
      <c r="BV745">
        <f>'Revenue drivers'!BV509</f>
        <v>0</v>
      </c>
      <c r="BW745">
        <f>'Revenue drivers'!BW509</f>
        <v>0</v>
      </c>
      <c r="BX745">
        <f>'Revenue drivers'!BX509</f>
        <v>0</v>
      </c>
      <c r="BY745">
        <f>'Revenue drivers'!BY509</f>
        <v>0</v>
      </c>
    </row>
    <row r="746" spans="9:77" ht="11.25" customHeight="1">
      <c r="I746">
        <f>'Revenue drivers'!I510</f>
        <v>0</v>
      </c>
      <c r="J746">
        <f>'Revenue drivers'!J510</f>
        <v>0</v>
      </c>
      <c r="K746">
        <f>'Revenue drivers'!K510</f>
        <v>0</v>
      </c>
      <c r="L746">
        <f>'Revenue drivers'!L510</f>
        <v>0</v>
      </c>
      <c r="M746">
        <f>'Revenue drivers'!M510</f>
        <v>0</v>
      </c>
      <c r="N746">
        <f>'Revenue drivers'!N510</f>
        <v>0</v>
      </c>
      <c r="O746">
        <f>'Revenue drivers'!O510</f>
        <v>0</v>
      </c>
      <c r="P746">
        <f>'Revenue drivers'!P510</f>
        <v>0</v>
      </c>
      <c r="Q746">
        <f>'Revenue drivers'!Q510</f>
        <v>0</v>
      </c>
      <c r="R746">
        <f>'Revenue drivers'!R510</f>
        <v>0</v>
      </c>
      <c r="S746">
        <f>'Revenue drivers'!S510</f>
        <v>0</v>
      </c>
      <c r="T746">
        <f>'Revenue drivers'!T510</f>
        <v>0</v>
      </c>
      <c r="U746">
        <f>'Revenue drivers'!U510</f>
        <v>0</v>
      </c>
      <c r="V746">
        <f>'Revenue drivers'!V510</f>
        <v>0</v>
      </c>
      <c r="W746">
        <f>'Revenue drivers'!W510</f>
        <v>0</v>
      </c>
      <c r="X746">
        <f>'Revenue drivers'!X510</f>
        <v>0</v>
      </c>
      <c r="Y746">
        <f>'Revenue drivers'!Y510</f>
        <v>0</v>
      </c>
      <c r="Z746">
        <f>'Revenue drivers'!Z510</f>
        <v>0</v>
      </c>
      <c r="AA746">
        <f>'Revenue drivers'!AA510</f>
        <v>0</v>
      </c>
      <c r="AB746">
        <f>'Revenue drivers'!AB510</f>
        <v>0</v>
      </c>
      <c r="AC746">
        <f>'Revenue drivers'!AC510</f>
        <v>0</v>
      </c>
      <c r="AD746">
        <f>'Revenue drivers'!AD510</f>
        <v>0</v>
      </c>
      <c r="AE746">
        <f>'Revenue drivers'!AE510</f>
        <v>0</v>
      </c>
      <c r="AF746">
        <f>'Revenue drivers'!AF510</f>
        <v>0</v>
      </c>
      <c r="AG746">
        <f>'Revenue drivers'!AG510</f>
        <v>1550</v>
      </c>
      <c r="AH746">
        <f>'Revenue drivers'!AH510</f>
        <v>0</v>
      </c>
      <c r="AI746">
        <f>'Revenue drivers'!AI510</f>
        <v>0</v>
      </c>
      <c r="AJ746">
        <f>'Revenue drivers'!AJ510</f>
        <v>0</v>
      </c>
      <c r="AK746">
        <f>'Revenue drivers'!AK510</f>
        <v>0</v>
      </c>
      <c r="AL746">
        <f>'Revenue drivers'!AL510</f>
        <v>0</v>
      </c>
      <c r="AM746">
        <f>'Revenue drivers'!AM510</f>
        <v>0</v>
      </c>
      <c r="AN746">
        <f>'Revenue drivers'!AN510</f>
        <v>0</v>
      </c>
      <c r="AO746">
        <f>'Revenue drivers'!AO510</f>
        <v>0</v>
      </c>
      <c r="AP746">
        <f>'Revenue drivers'!AP510</f>
        <v>0</v>
      </c>
      <c r="AQ746">
        <f>'Revenue drivers'!AQ510</f>
        <v>0</v>
      </c>
      <c r="AR746">
        <f>'Revenue drivers'!AR510</f>
        <v>0</v>
      </c>
      <c r="AS746">
        <f>'Revenue drivers'!AS510</f>
        <v>0</v>
      </c>
      <c r="AT746">
        <f>'Revenue drivers'!AT510</f>
        <v>0</v>
      </c>
      <c r="AU746">
        <f>'Revenue drivers'!AU510</f>
        <v>0</v>
      </c>
      <c r="AV746">
        <f>'Revenue drivers'!AV510</f>
        <v>0</v>
      </c>
      <c r="AW746">
        <f>'Revenue drivers'!AW510</f>
        <v>0</v>
      </c>
      <c r="AX746">
        <f>'Revenue drivers'!AX510</f>
        <v>0</v>
      </c>
      <c r="AY746">
        <f>'Revenue drivers'!AY510</f>
        <v>0</v>
      </c>
      <c r="AZ746">
        <f>'Revenue drivers'!AZ510</f>
        <v>0</v>
      </c>
      <c r="BA746">
        <f>'Revenue drivers'!BA510</f>
        <v>0</v>
      </c>
      <c r="BB746">
        <f>'Revenue drivers'!BB510</f>
        <v>0</v>
      </c>
      <c r="BC746">
        <f>'Revenue drivers'!BC510</f>
        <v>0</v>
      </c>
      <c r="BD746">
        <f>'Revenue drivers'!BD510</f>
        <v>0</v>
      </c>
      <c r="BE746">
        <f>'Revenue drivers'!BE510</f>
        <v>0</v>
      </c>
      <c r="BF746">
        <f>'Revenue drivers'!BF510</f>
        <v>0</v>
      </c>
      <c r="BG746">
        <f>'Revenue drivers'!BG510</f>
        <v>0</v>
      </c>
      <c r="BH746">
        <f>'Revenue drivers'!BH510</f>
        <v>0</v>
      </c>
      <c r="BI746">
        <f>'Revenue drivers'!BI510</f>
        <v>0</v>
      </c>
      <c r="BJ746">
        <f>'Revenue drivers'!BJ510</f>
        <v>0</v>
      </c>
      <c r="BK746">
        <f>'Revenue drivers'!BK510</f>
        <v>0</v>
      </c>
      <c r="BL746">
        <f>'Revenue drivers'!BL510</f>
        <v>0</v>
      </c>
      <c r="BM746">
        <f>'Revenue drivers'!BM510</f>
        <v>0</v>
      </c>
      <c r="BN746">
        <f>'Revenue drivers'!BN510</f>
        <v>0</v>
      </c>
      <c r="BO746">
        <f>'Revenue drivers'!BO510</f>
        <v>0</v>
      </c>
      <c r="BP746">
        <f>'Revenue drivers'!BP510</f>
        <v>0</v>
      </c>
      <c r="BQ746">
        <f>'Revenue drivers'!BQ510</f>
        <v>0</v>
      </c>
      <c r="BR746">
        <f>'Revenue drivers'!BR510</f>
        <v>0</v>
      </c>
      <c r="BS746">
        <f>'Revenue drivers'!BS510</f>
        <v>0</v>
      </c>
      <c r="BT746">
        <f>'Revenue drivers'!BT510</f>
        <v>0</v>
      </c>
      <c r="BU746">
        <f>'Revenue drivers'!BU510</f>
        <v>0</v>
      </c>
      <c r="BV746">
        <f>'Revenue drivers'!BV510</f>
        <v>0</v>
      </c>
      <c r="BW746">
        <f>'Revenue drivers'!BW510</f>
        <v>0</v>
      </c>
      <c r="BX746">
        <f>'Revenue drivers'!BX510</f>
        <v>0</v>
      </c>
      <c r="BY746">
        <f>'Revenue drivers'!BY510</f>
        <v>0</v>
      </c>
    </row>
    <row r="747" spans="9:77" ht="11.25" customHeight="1">
      <c r="I747" t="str">
        <f>'Revenue drivers'!I511</f>
        <v>Local Acts Added/Sales Rep (W/ 2Q Lag)</v>
      </c>
      <c r="J747">
        <f>'Revenue drivers'!J511</f>
        <v>0</v>
      </c>
      <c r="K747">
        <f>'Revenue drivers'!K511</f>
        <v>0</v>
      </c>
      <c r="L747">
        <f>'Revenue drivers'!L511</f>
        <v>0</v>
      </c>
      <c r="M747">
        <f>'Revenue drivers'!M511</f>
        <v>0</v>
      </c>
      <c r="N747">
        <f>'Revenue drivers'!N511</f>
        <v>0</v>
      </c>
      <c r="O747">
        <f>'Revenue drivers'!O511</f>
        <v>0</v>
      </c>
      <c r="P747">
        <f>'Revenue drivers'!P511</f>
        <v>0</v>
      </c>
      <c r="Q747">
        <f>'Revenue drivers'!Q511</f>
        <v>0</v>
      </c>
      <c r="R747">
        <f>'Revenue drivers'!R511</f>
        <v>0</v>
      </c>
      <c r="S747">
        <f>'Revenue drivers'!S511</f>
        <v>0</v>
      </c>
      <c r="T747">
        <f>'Revenue drivers'!T511</f>
        <v>0</v>
      </c>
      <c r="U747">
        <f>'Revenue drivers'!U511</f>
        <v>0</v>
      </c>
      <c r="V747">
        <f>'Revenue drivers'!V511</f>
        <v>0</v>
      </c>
      <c r="W747">
        <f>'Revenue drivers'!W511</f>
        <v>0</v>
      </c>
      <c r="X747">
        <f>'Revenue drivers'!X511</f>
        <v>0</v>
      </c>
      <c r="Y747">
        <f>'Revenue drivers'!Y511</f>
        <v>3.4693877551020491</v>
      </c>
      <c r="Z747">
        <f>'Revenue drivers'!Z511</f>
        <v>7.9300000000000015</v>
      </c>
      <c r="AA747">
        <f>'Revenue drivers'!AA511</f>
        <v>7.1249999999999947</v>
      </c>
      <c r="AB747">
        <f>'Revenue drivers'!AB511</f>
        <v>9.4117647058823533</v>
      </c>
      <c r="AC747">
        <f>'Revenue drivers'!AC511</f>
        <v>8.6666666666666679</v>
      </c>
      <c r="AD747">
        <f>'Revenue drivers'!AD511</f>
        <v>5.3636363636363686</v>
      </c>
      <c r="AE747">
        <f>'Revenue drivers'!AE511</f>
        <v>5.9999999999999885</v>
      </c>
      <c r="AF747">
        <f>'Revenue drivers'!AF511</f>
        <v>5.2592592592592657</v>
      </c>
      <c r="AG747">
        <f>'Revenue drivers'!AG511</f>
        <v>4.0000000000000018</v>
      </c>
      <c r="AH747">
        <f>'Revenue drivers'!AH511</f>
        <v>4.4516129032258016</v>
      </c>
      <c r="AI747">
        <f>'Revenue drivers'!AI511</f>
        <v>4.4375000000000053</v>
      </c>
      <c r="AJ747">
        <f>'Revenue drivers'!AJ511</f>
        <v>3.8857142857142843</v>
      </c>
      <c r="AK747">
        <f>'Revenue drivers'!AK511</f>
        <v>4.7619047619047619</v>
      </c>
      <c r="AL747">
        <f>'Revenue drivers'!AL511</f>
        <v>3.363636363636366</v>
      </c>
      <c r="AM747">
        <f>'Revenue drivers'!AM511</f>
        <v>2.869565217391302</v>
      </c>
      <c r="AN747">
        <f>'Revenue drivers'!AN511</f>
        <v>1.1666666666666714</v>
      </c>
      <c r="AO747">
        <f>'Revenue drivers'!AO511</f>
        <v>2.0799999999999956</v>
      </c>
      <c r="AP747">
        <f>'Revenue drivers'!AP511</f>
        <v>2.4489795918367347</v>
      </c>
      <c r="AQ747">
        <f>'Revenue drivers'!AQ511</f>
        <v>2.3529411764705883</v>
      </c>
      <c r="AR747">
        <f>'Revenue drivers'!AR511</f>
        <v>2.2641509433962264</v>
      </c>
      <c r="AS747">
        <f>'Revenue drivers'!AS511</f>
        <v>1.8181818181818181</v>
      </c>
      <c r="AT747">
        <f>'Revenue drivers'!AT511</f>
        <v>1.7543859649122806</v>
      </c>
      <c r="AU747">
        <f>'Revenue drivers'!AU511</f>
        <v>1.6949152542372881</v>
      </c>
      <c r="AV747">
        <f>'Revenue drivers'!AV511</f>
        <v>1.639344262295082</v>
      </c>
      <c r="AW747">
        <f>'Revenue drivers'!AW511</f>
        <v>1.44</v>
      </c>
      <c r="AX747">
        <f>'Revenue drivers'!AX511</f>
        <v>1.40625</v>
      </c>
      <c r="AY747">
        <f>'Revenue drivers'!AY511</f>
        <v>1.3636363636363635</v>
      </c>
      <c r="AZ747">
        <f>'Revenue drivers'!AZ511</f>
        <v>1.3235294117647058</v>
      </c>
      <c r="BA747">
        <f>'Revenue drivers'!BA511</f>
        <v>1.1654676258992807</v>
      </c>
      <c r="BB747">
        <f>'Revenue drivers'!BB511</f>
        <v>1.1489361702127661</v>
      </c>
      <c r="BC747">
        <f>'Revenue drivers'!BC511</f>
        <v>1.1234396671289875</v>
      </c>
      <c r="BD747">
        <f>'Revenue drivers'!BD511</f>
        <v>1.0990502035278156</v>
      </c>
      <c r="BE747">
        <f>'Revenue drivers'!BE511</f>
        <v>0</v>
      </c>
      <c r="BF747">
        <f>'Revenue drivers'!BF511</f>
        <v>0</v>
      </c>
      <c r="BG747">
        <f>'Revenue drivers'!BG511</f>
        <v>0</v>
      </c>
      <c r="BH747">
        <f>'Revenue drivers'!BH511</f>
        <v>0</v>
      </c>
      <c r="BI747">
        <f>'Revenue drivers'!BI511</f>
        <v>0</v>
      </c>
      <c r="BJ747">
        <f>'Revenue drivers'!BJ511</f>
        <v>0</v>
      </c>
      <c r="BK747">
        <f>'Revenue drivers'!BK511</f>
        <v>0</v>
      </c>
      <c r="BL747" t="str">
        <f>'Revenue drivers'!BL511</f>
        <v>NA</v>
      </c>
      <c r="BM747" t="str">
        <f>'Revenue drivers'!BM511</f>
        <v>NA</v>
      </c>
      <c r="BN747" t="str">
        <f>'Revenue drivers'!BN511</f>
        <v>NA</v>
      </c>
      <c r="BO747" t="str">
        <f>'Revenue drivers'!BO511</f>
        <v>NA</v>
      </c>
      <c r="BP747" t="str">
        <f>'Revenue drivers'!BP511</f>
        <v>NA</v>
      </c>
      <c r="BQ747" t="str">
        <f>'Revenue drivers'!BQ511</f>
        <v>NA</v>
      </c>
      <c r="BR747" t="str">
        <f>'Revenue drivers'!BR511</f>
        <v>NA</v>
      </c>
      <c r="BS747" t="str">
        <f>'Revenue drivers'!BS511</f>
        <v>NA</v>
      </c>
      <c r="BT747" t="str">
        <f>'Revenue drivers'!BT511</f>
        <v>NA</v>
      </c>
      <c r="BU747" t="str">
        <f>'Revenue drivers'!BU511</f>
        <v>NA</v>
      </c>
      <c r="BV747" t="str">
        <f>'Revenue drivers'!BV511</f>
        <v>NA</v>
      </c>
      <c r="BW747" t="str">
        <f>'Revenue drivers'!BW511</f>
        <v>NA</v>
      </c>
      <c r="BX747" t="str">
        <f>'Revenue drivers'!BX511</f>
        <v>NA</v>
      </c>
      <c r="BY747" t="str">
        <f>'Revenue drivers'!BY511</f>
        <v>NA</v>
      </c>
    </row>
    <row r="748" spans="9:77" ht="11.25" customHeight="1">
      <c r="I748" t="str">
        <f>'Revenue drivers'!I512</f>
        <v>YoY % Change</v>
      </c>
      <c r="J748">
        <f>'Revenue drivers'!J512</f>
        <v>0</v>
      </c>
      <c r="K748">
        <f>'Revenue drivers'!K512</f>
        <v>0</v>
      </c>
      <c r="L748">
        <f>'Revenue drivers'!L512</f>
        <v>0</v>
      </c>
      <c r="M748">
        <f>'Revenue drivers'!M512</f>
        <v>0</v>
      </c>
      <c r="N748">
        <f>'Revenue drivers'!N512</f>
        <v>0</v>
      </c>
      <c r="O748">
        <f>'Revenue drivers'!O512</f>
        <v>0</v>
      </c>
      <c r="P748">
        <f>'Revenue drivers'!P512</f>
        <v>0</v>
      </c>
      <c r="Q748">
        <f>'Revenue drivers'!Q512</f>
        <v>0</v>
      </c>
      <c r="R748">
        <f>'Revenue drivers'!R512</f>
        <v>0</v>
      </c>
      <c r="S748">
        <f>'Revenue drivers'!S512</f>
        <v>0</v>
      </c>
      <c r="T748">
        <f>'Revenue drivers'!T512</f>
        <v>0</v>
      </c>
      <c r="U748">
        <f>'Revenue drivers'!U512</f>
        <v>0</v>
      </c>
      <c r="V748">
        <f>'Revenue drivers'!V512</f>
        <v>0</v>
      </c>
      <c r="W748">
        <f>'Revenue drivers'!W512</f>
        <v>0</v>
      </c>
      <c r="X748">
        <f>'Revenue drivers'!X512</f>
        <v>0</v>
      </c>
      <c r="Y748">
        <f>'Revenue drivers'!Y512</f>
        <v>0</v>
      </c>
      <c r="Z748">
        <f>'Revenue drivers'!Z512</f>
        <v>0</v>
      </c>
      <c r="AA748">
        <f>'Revenue drivers'!AA512</f>
        <v>0</v>
      </c>
      <c r="AB748">
        <f>'Revenue drivers'!AB512</f>
        <v>0</v>
      </c>
      <c r="AC748">
        <f>'Revenue drivers'!AC512</f>
        <v>1.4980392156862687</v>
      </c>
      <c r="AD748">
        <f>'Revenue drivers'!AD512</f>
        <v>-0.32362719247965099</v>
      </c>
      <c r="AE748">
        <f>'Revenue drivers'!AE512</f>
        <v>-0.15789473684210631</v>
      </c>
      <c r="AF748">
        <f>'Revenue drivers'!AF512</f>
        <v>-0.44120370370370299</v>
      </c>
      <c r="AG748">
        <f>'Revenue drivers'!AG512</f>
        <v>-0.53846153846153832</v>
      </c>
      <c r="AH748">
        <f>'Revenue drivers'!AH512</f>
        <v>-0.17003827227993606</v>
      </c>
      <c r="AI748">
        <f>'Revenue drivers'!AI512</f>
        <v>-0.26041666666666441</v>
      </c>
      <c r="AJ748">
        <f>'Revenue drivers'!AJ512</f>
        <v>-0.26116700201207366</v>
      </c>
      <c r="AK748">
        <f>'Revenue drivers'!AK512</f>
        <v>0.19047619047619002</v>
      </c>
      <c r="AL748">
        <f>'Revenue drivers'!AL512</f>
        <v>-0.24440052700922132</v>
      </c>
      <c r="AM748">
        <f>'Revenue drivers'!AM512</f>
        <v>-0.35333741579914402</v>
      </c>
      <c r="AN748">
        <f>'Revenue drivers'!AN512</f>
        <v>-0.69975490196078294</v>
      </c>
      <c r="AO748">
        <f>'Revenue drivers'!AO512</f>
        <v>-0.56320000000000092</v>
      </c>
      <c r="AP748">
        <f>'Revenue drivers'!AP512</f>
        <v>-0.27192498621070094</v>
      </c>
      <c r="AQ748">
        <f>'Revenue drivers'!AQ512</f>
        <v>-0.18003565062388527</v>
      </c>
      <c r="AR748">
        <f>'Revenue drivers'!AR512</f>
        <v>0.94070080862532901</v>
      </c>
      <c r="AS748">
        <f>'Revenue drivers'!AS512</f>
        <v>-0.12587412587412405</v>
      </c>
      <c r="AT748">
        <f>'Revenue drivers'!AT512</f>
        <v>-0.28362573099415211</v>
      </c>
      <c r="AU748">
        <f>'Revenue drivers'!AU512</f>
        <v>-0.27966101694915257</v>
      </c>
      <c r="AV748">
        <f>'Revenue drivers'!AV512</f>
        <v>-0.27595628415300544</v>
      </c>
      <c r="AW748">
        <f>'Revenue drivers'!AW512</f>
        <v>-0.20799999999999996</v>
      </c>
      <c r="AX748">
        <f>'Revenue drivers'!AX512</f>
        <v>-0.19843749999999993</v>
      </c>
      <c r="AY748">
        <f>'Revenue drivers'!AY512</f>
        <v>-0.19545454545454544</v>
      </c>
      <c r="AZ748">
        <f>'Revenue drivers'!AZ512</f>
        <v>-0.1926470588235295</v>
      </c>
      <c r="BA748">
        <f>'Revenue drivers'!BA512</f>
        <v>-0.19064748201438841</v>
      </c>
      <c r="BB748">
        <f>'Revenue drivers'!BB512</f>
        <v>-0.18297872340425525</v>
      </c>
      <c r="BC748">
        <f>'Revenue drivers'!BC512</f>
        <v>-0.17614424410540919</v>
      </c>
      <c r="BD748">
        <f>'Revenue drivers'!BD512</f>
        <v>-0.16960651289009487</v>
      </c>
      <c r="BE748">
        <f>'Revenue drivers'!BE512</f>
        <v>0</v>
      </c>
      <c r="BF748">
        <f>'Revenue drivers'!BF512</f>
        <v>-2.2747206078539084E-2</v>
      </c>
      <c r="BG748">
        <f>'Revenue drivers'!BG512</f>
        <v>0</v>
      </c>
      <c r="BH748">
        <f>'Revenue drivers'!BH512</f>
        <v>0</v>
      </c>
      <c r="BI748">
        <f>'Revenue drivers'!BI512</f>
        <v>0</v>
      </c>
      <c r="BJ748">
        <f>'Revenue drivers'!BJ512</f>
        <v>0</v>
      </c>
      <c r="BK748">
        <f>'Revenue drivers'!BK512</f>
        <v>0</v>
      </c>
      <c r="BL748">
        <f>'Revenue drivers'!BL512</f>
        <v>0</v>
      </c>
      <c r="BM748">
        <f>'Revenue drivers'!BM512</f>
        <v>0</v>
      </c>
      <c r="BN748">
        <f>'Revenue drivers'!BN512</f>
        <v>0</v>
      </c>
      <c r="BO748">
        <f>'Revenue drivers'!BO512</f>
        <v>0</v>
      </c>
      <c r="BP748">
        <f>'Revenue drivers'!BP512</f>
        <v>0</v>
      </c>
      <c r="BQ748">
        <f>'Revenue drivers'!BQ512</f>
        <v>0</v>
      </c>
      <c r="BR748">
        <f>'Revenue drivers'!BR512</f>
        <v>0</v>
      </c>
      <c r="BS748">
        <f>'Revenue drivers'!BS512</f>
        <v>0</v>
      </c>
      <c r="BT748">
        <f>'Revenue drivers'!BT512</f>
        <v>0</v>
      </c>
      <c r="BU748">
        <f>'Revenue drivers'!BU512</f>
        <v>0</v>
      </c>
      <c r="BV748">
        <f>'Revenue drivers'!BV512</f>
        <v>0</v>
      </c>
      <c r="BW748">
        <f>'Revenue drivers'!BW512</f>
        <v>0</v>
      </c>
      <c r="BX748">
        <f>'Revenue drivers'!BX512</f>
        <v>0</v>
      </c>
      <c r="BY748">
        <f>'Revenue drivers'!BY512</f>
        <v>0</v>
      </c>
    </row>
    <row r="749" spans="9:77" ht="11.25" customHeight="1">
      <c r="I749" t="str">
        <f>'Revenue drivers'!I513</f>
        <v>2 Yr % Change</v>
      </c>
      <c r="J749">
        <f>'Revenue drivers'!J513</f>
        <v>0</v>
      </c>
      <c r="K749">
        <f>'Revenue drivers'!K513</f>
        <v>0</v>
      </c>
      <c r="L749">
        <f>'Revenue drivers'!L513</f>
        <v>0</v>
      </c>
      <c r="M749">
        <f>'Revenue drivers'!M513</f>
        <v>0</v>
      </c>
      <c r="N749">
        <f>'Revenue drivers'!N513</f>
        <v>0</v>
      </c>
      <c r="O749">
        <f>'Revenue drivers'!O513</f>
        <v>0</v>
      </c>
      <c r="P749">
        <f>'Revenue drivers'!P513</f>
        <v>0</v>
      </c>
      <c r="Q749">
        <f>'Revenue drivers'!Q513</f>
        <v>0</v>
      </c>
      <c r="R749">
        <f>'Revenue drivers'!R513</f>
        <v>0</v>
      </c>
      <c r="S749">
        <f>'Revenue drivers'!S513</f>
        <v>0</v>
      </c>
      <c r="T749">
        <f>'Revenue drivers'!T513</f>
        <v>0</v>
      </c>
      <c r="U749">
        <f>'Revenue drivers'!U513</f>
        <v>0</v>
      </c>
      <c r="V749">
        <f>'Revenue drivers'!V513</f>
        <v>0</v>
      </c>
      <c r="W749">
        <f>'Revenue drivers'!W513</f>
        <v>0</v>
      </c>
      <c r="X749">
        <f>'Revenue drivers'!X513</f>
        <v>0</v>
      </c>
      <c r="Y749">
        <f>'Revenue drivers'!Y513</f>
        <v>0</v>
      </c>
      <c r="Z749">
        <f>'Revenue drivers'!Z513</f>
        <v>0</v>
      </c>
      <c r="AA749">
        <f>'Revenue drivers'!AA513</f>
        <v>0</v>
      </c>
      <c r="AB749">
        <f>'Revenue drivers'!AB513</f>
        <v>0</v>
      </c>
      <c r="AC749">
        <f>'Revenue drivers'!AC513</f>
        <v>0</v>
      </c>
      <c r="AD749">
        <f>'Revenue drivers'!AD513</f>
        <v>0</v>
      </c>
      <c r="AE749">
        <f>'Revenue drivers'!AE513</f>
        <v>0</v>
      </c>
      <c r="AF749">
        <f>'Revenue drivers'!AF513</f>
        <v>0</v>
      </c>
      <c r="AG749">
        <f>'Revenue drivers'!AG513</f>
        <v>0</v>
      </c>
      <c r="AH749">
        <f>'Revenue drivers'!AH513</f>
        <v>-0.49366546475958706</v>
      </c>
      <c r="AI749">
        <f>'Revenue drivers'!AI513</f>
        <v>-0.41831140350877072</v>
      </c>
      <c r="AJ749">
        <f>'Revenue drivers'!AJ513</f>
        <v>-0.70237070571577664</v>
      </c>
      <c r="AK749">
        <f>'Revenue drivers'!AK513</f>
        <v>-0.3479853479853483</v>
      </c>
      <c r="AL749">
        <f>'Revenue drivers'!AL513</f>
        <v>-0.41443879928915739</v>
      </c>
      <c r="AM749">
        <f>'Revenue drivers'!AM513</f>
        <v>-0.61375408246580843</v>
      </c>
      <c r="AN749">
        <f>'Revenue drivers'!AN513</f>
        <v>-0.96092190397285659</v>
      </c>
      <c r="AO749">
        <f>'Revenue drivers'!AO513</f>
        <v>-0.3727238095238109</v>
      </c>
      <c r="AP749">
        <f>'Revenue drivers'!AP513</f>
        <v>-0.51632551321992226</v>
      </c>
      <c r="AQ749">
        <f>'Revenue drivers'!AQ513</f>
        <v>-0.53337306642302929</v>
      </c>
      <c r="AR749">
        <f>'Revenue drivers'!AR513</f>
        <v>0.24094590666454607</v>
      </c>
      <c r="AS749">
        <f>'Revenue drivers'!AS513</f>
        <v>-0.68907412587412498</v>
      </c>
      <c r="AT749">
        <f>'Revenue drivers'!AT513</f>
        <v>-0.55555071720485305</v>
      </c>
      <c r="AU749">
        <f>'Revenue drivers'!AU513</f>
        <v>-0.45969666757303784</v>
      </c>
      <c r="AV749">
        <f>'Revenue drivers'!AV513</f>
        <v>0.66474452447232357</v>
      </c>
      <c r="AW749">
        <f>'Revenue drivers'!AW513</f>
        <v>-0.33387412587412402</v>
      </c>
      <c r="AX749">
        <f>'Revenue drivers'!AX513</f>
        <v>-0.48206323099415205</v>
      </c>
      <c r="AY749">
        <f>'Revenue drivers'!AY513</f>
        <v>-0.47511556240369801</v>
      </c>
      <c r="AZ749">
        <f>'Revenue drivers'!AZ513</f>
        <v>-0.46860334297653494</v>
      </c>
      <c r="BA749">
        <f>'Revenue drivers'!BA513</f>
        <v>-0.39864748201438838</v>
      </c>
      <c r="BB749">
        <f>'Revenue drivers'!BB513</f>
        <v>-0.38141622340425518</v>
      </c>
      <c r="BC749">
        <f>'Revenue drivers'!BC513</f>
        <v>-0.37159878955995462</v>
      </c>
      <c r="BD749">
        <f>'Revenue drivers'!BD513</f>
        <v>-0.36225357171362438</v>
      </c>
      <c r="BE749">
        <f>'Revenue drivers'!BE513</f>
        <v>0</v>
      </c>
      <c r="BF749">
        <f>'Revenue drivers'!BF513</f>
        <v>0</v>
      </c>
      <c r="BG749">
        <f>'Revenue drivers'!BG513</f>
        <v>0</v>
      </c>
      <c r="BH749">
        <f>'Revenue drivers'!BH513</f>
        <v>0</v>
      </c>
      <c r="BI749">
        <f>'Revenue drivers'!BI513</f>
        <v>0</v>
      </c>
      <c r="BJ749">
        <f>'Revenue drivers'!BJ513</f>
        <v>0</v>
      </c>
      <c r="BK749">
        <f>'Revenue drivers'!BK513</f>
        <v>0</v>
      </c>
      <c r="BL749">
        <f>'Revenue drivers'!BL513</f>
        <v>0</v>
      </c>
      <c r="BM749">
        <f>'Revenue drivers'!BM513</f>
        <v>0</v>
      </c>
      <c r="BN749">
        <f>'Revenue drivers'!BN513</f>
        <v>0</v>
      </c>
      <c r="BO749">
        <f>'Revenue drivers'!BO513</f>
        <v>0</v>
      </c>
      <c r="BP749">
        <f>'Revenue drivers'!BP513</f>
        <v>0</v>
      </c>
      <c r="BQ749">
        <f>'Revenue drivers'!BQ513</f>
        <v>0</v>
      </c>
      <c r="BR749">
        <f>'Revenue drivers'!BR513</f>
        <v>0</v>
      </c>
      <c r="BS749">
        <f>'Revenue drivers'!BS513</f>
        <v>0</v>
      </c>
      <c r="BT749">
        <f>'Revenue drivers'!BT513</f>
        <v>0</v>
      </c>
      <c r="BU749">
        <f>'Revenue drivers'!BU513</f>
        <v>0</v>
      </c>
      <c r="BV749">
        <f>'Revenue drivers'!BV513</f>
        <v>0</v>
      </c>
      <c r="BW749">
        <f>'Revenue drivers'!BW513</f>
        <v>0</v>
      </c>
      <c r="BX749">
        <f>'Revenue drivers'!BX513</f>
        <v>0</v>
      </c>
      <c r="BY749">
        <f>'Revenue drivers'!BY513</f>
        <v>0</v>
      </c>
    </row>
    <row r="750" spans="9:77" ht="11.25" customHeight="1">
      <c r="I750" t="str">
        <f>'Revenue drivers'!I514</f>
        <v>abs  change Y/Y</v>
      </c>
      <c r="J750">
        <f>'Revenue drivers'!J514</f>
        <v>0</v>
      </c>
      <c r="K750">
        <f>'Revenue drivers'!K514</f>
        <v>0</v>
      </c>
      <c r="L750">
        <f>'Revenue drivers'!L514</f>
        <v>0</v>
      </c>
      <c r="M750">
        <f>'Revenue drivers'!M514</f>
        <v>0</v>
      </c>
      <c r="N750">
        <f>'Revenue drivers'!N514</f>
        <v>0</v>
      </c>
      <c r="O750">
        <f>'Revenue drivers'!O514</f>
        <v>0</v>
      </c>
      <c r="P750">
        <f>'Revenue drivers'!P514</f>
        <v>0</v>
      </c>
      <c r="Q750">
        <f>'Revenue drivers'!Q514</f>
        <v>0</v>
      </c>
      <c r="R750">
        <f>'Revenue drivers'!R514</f>
        <v>0</v>
      </c>
      <c r="S750">
        <f>'Revenue drivers'!S514</f>
        <v>0</v>
      </c>
      <c r="T750">
        <f>'Revenue drivers'!T514</f>
        <v>0</v>
      </c>
      <c r="U750">
        <f>'Revenue drivers'!U514</f>
        <v>0</v>
      </c>
      <c r="V750">
        <f>'Revenue drivers'!V514</f>
        <v>0</v>
      </c>
      <c r="W750">
        <f>'Revenue drivers'!W514</f>
        <v>0</v>
      </c>
      <c r="X750">
        <f>'Revenue drivers'!X514</f>
        <v>0</v>
      </c>
      <c r="Y750">
        <f>'Revenue drivers'!Y514</f>
        <v>0</v>
      </c>
      <c r="Z750">
        <f>'Revenue drivers'!Z514</f>
        <v>0</v>
      </c>
      <c r="AA750">
        <f>'Revenue drivers'!AA514</f>
        <v>0</v>
      </c>
      <c r="AB750">
        <f>'Revenue drivers'!AB514</f>
        <v>0</v>
      </c>
      <c r="AC750">
        <f>'Revenue drivers'!AC514</f>
        <v>5.1972789115646183</v>
      </c>
      <c r="AD750">
        <f>'Revenue drivers'!AD514</f>
        <v>-2.5663636363636328</v>
      </c>
      <c r="AE750">
        <f>'Revenue drivers'!AE514</f>
        <v>-1.1250000000000062</v>
      </c>
      <c r="AF750">
        <f>'Revenue drivers'!AF514</f>
        <v>-4.1525054466230875</v>
      </c>
      <c r="AG750">
        <f>'Revenue drivers'!AG514</f>
        <v>-4.6666666666666661</v>
      </c>
      <c r="AH750">
        <f>'Revenue drivers'!AH514</f>
        <v>-0.91202346041056703</v>
      </c>
      <c r="AI750">
        <f>'Revenue drivers'!AI514</f>
        <v>-1.5624999999999831</v>
      </c>
      <c r="AJ750">
        <f>'Revenue drivers'!AJ514</f>
        <v>-1.3735449735449814</v>
      </c>
      <c r="AK750">
        <f>'Revenue drivers'!AK514</f>
        <v>0.76190476190476009</v>
      </c>
      <c r="AL750">
        <f>'Revenue drivers'!AL514</f>
        <v>-1.0879765395894356</v>
      </c>
      <c r="AM750">
        <f>'Revenue drivers'!AM514</f>
        <v>-1.5679347826087033</v>
      </c>
      <c r="AN750">
        <f>'Revenue drivers'!AN514</f>
        <v>-2.7190476190476129</v>
      </c>
      <c r="AO750">
        <f>'Revenue drivers'!AO514</f>
        <v>-2.6819047619047662</v>
      </c>
      <c r="AP750">
        <f>'Revenue drivers'!AP514</f>
        <v>-0.91465677179963123</v>
      </c>
      <c r="AQ750">
        <f>'Revenue drivers'!AQ514</f>
        <v>-0.51662404092071368</v>
      </c>
      <c r="AR750">
        <f>'Revenue drivers'!AR514</f>
        <v>1.097484276729555</v>
      </c>
      <c r="AS750">
        <f>'Revenue drivers'!AS514</f>
        <v>-0.26181818181817751</v>
      </c>
      <c r="AT750">
        <f>'Revenue drivers'!AT514</f>
        <v>-0.69459362692445414</v>
      </c>
      <c r="AU750">
        <f>'Revenue drivers'!AU514</f>
        <v>-0.65802592223330025</v>
      </c>
      <c r="AV750">
        <f>'Revenue drivers'!AV514</f>
        <v>-0.62480668110114435</v>
      </c>
      <c r="AW750">
        <f>'Revenue drivers'!AW514</f>
        <v>-0.37818181818181817</v>
      </c>
      <c r="AX750">
        <f>'Revenue drivers'!AX514</f>
        <v>-0.3481359649122806</v>
      </c>
      <c r="AY750">
        <f>'Revenue drivers'!AY514</f>
        <v>-0.33127889060092452</v>
      </c>
      <c r="AZ750">
        <f>'Revenue drivers'!AZ514</f>
        <v>-0.31581485053037617</v>
      </c>
      <c r="BA750">
        <f>'Revenue drivers'!BA514</f>
        <v>-0.27453237410071929</v>
      </c>
      <c r="BB750">
        <f>'Revenue drivers'!BB514</f>
        <v>-0.25731382978723394</v>
      </c>
      <c r="BC750">
        <f>'Revenue drivers'!BC514</f>
        <v>-0.24019669650737607</v>
      </c>
      <c r="BD750">
        <f>'Revenue drivers'!BD514</f>
        <v>-0.22447920823689027</v>
      </c>
      <c r="BE750">
        <f>'Revenue drivers'!BE514</f>
        <v>0</v>
      </c>
      <c r="BF750">
        <f>'Revenue drivers'!BF514</f>
        <v>0</v>
      </c>
      <c r="BG750">
        <f>'Revenue drivers'!BG514</f>
        <v>0</v>
      </c>
      <c r="BH750">
        <f>'Revenue drivers'!BH514</f>
        <v>0</v>
      </c>
      <c r="BI750">
        <f>'Revenue drivers'!BI514</f>
        <v>0</v>
      </c>
      <c r="BJ750">
        <f>'Revenue drivers'!BJ514</f>
        <v>0</v>
      </c>
      <c r="BK750">
        <f>'Revenue drivers'!BK514</f>
        <v>0</v>
      </c>
      <c r="BL750" t="str">
        <f>'Revenue drivers'!BL514</f>
        <v>NA</v>
      </c>
      <c r="BM750" t="str">
        <f>'Revenue drivers'!BM514</f>
        <v>NA</v>
      </c>
      <c r="BN750" t="str">
        <f>'Revenue drivers'!BN514</f>
        <v>NA</v>
      </c>
      <c r="BO750" t="str">
        <f>'Revenue drivers'!BO514</f>
        <v>NA</v>
      </c>
      <c r="BP750" t="str">
        <f>'Revenue drivers'!BP514</f>
        <v>NA</v>
      </c>
      <c r="BQ750" t="str">
        <f>'Revenue drivers'!BQ514</f>
        <v>NA</v>
      </c>
      <c r="BR750" t="str">
        <f>'Revenue drivers'!BR514</f>
        <v>NA</v>
      </c>
      <c r="BS750" t="str">
        <f>'Revenue drivers'!BS514</f>
        <v>NA</v>
      </c>
      <c r="BT750" t="str">
        <f>'Revenue drivers'!BT514</f>
        <v>NA</v>
      </c>
      <c r="BU750" t="str">
        <f>'Revenue drivers'!BU514</f>
        <v>NA</v>
      </c>
      <c r="BV750" t="str">
        <f>'Revenue drivers'!BV514</f>
        <v>NA</v>
      </c>
      <c r="BW750" t="str">
        <f>'Revenue drivers'!BW514</f>
        <v>NA</v>
      </c>
      <c r="BX750" t="str">
        <f>'Revenue drivers'!BX514</f>
        <v>NA</v>
      </c>
      <c r="BY750" t="str">
        <f>'Revenue drivers'!BY514</f>
        <v>NA</v>
      </c>
    </row>
    <row r="751" spans="9:77" ht="11.25" customHeight="1">
      <c r="I751" t="str">
        <f>'Revenue drivers'!I515</f>
        <v>sequential change Q/Q</v>
      </c>
      <c r="J751">
        <f>'Revenue drivers'!J515</f>
        <v>0</v>
      </c>
      <c r="K751">
        <f>'Revenue drivers'!K515</f>
        <v>0</v>
      </c>
      <c r="L751">
        <f>'Revenue drivers'!L515</f>
        <v>0</v>
      </c>
      <c r="M751">
        <f>'Revenue drivers'!M515</f>
        <v>0</v>
      </c>
      <c r="N751">
        <f>'Revenue drivers'!N515</f>
        <v>0</v>
      </c>
      <c r="O751">
        <f>'Revenue drivers'!O515</f>
        <v>0</v>
      </c>
      <c r="P751">
        <f>'Revenue drivers'!P515</f>
        <v>0</v>
      </c>
      <c r="Q751">
        <f>'Revenue drivers'!Q515</f>
        <v>0</v>
      </c>
      <c r="R751">
        <f>'Revenue drivers'!R515</f>
        <v>0</v>
      </c>
      <c r="S751">
        <f>'Revenue drivers'!S515</f>
        <v>0</v>
      </c>
      <c r="T751">
        <f>'Revenue drivers'!T515</f>
        <v>0</v>
      </c>
      <c r="U751">
        <f>'Revenue drivers'!U515</f>
        <v>0</v>
      </c>
      <c r="V751">
        <f>'Revenue drivers'!V515</f>
        <v>0</v>
      </c>
      <c r="W751">
        <f>'Revenue drivers'!W515</f>
        <v>0</v>
      </c>
      <c r="X751">
        <f>'Revenue drivers'!X515</f>
        <v>0</v>
      </c>
      <c r="Y751">
        <f>'Revenue drivers'!Y515</f>
        <v>0</v>
      </c>
      <c r="Z751">
        <f>'Revenue drivers'!Z515</f>
        <v>4.4606122448979519</v>
      </c>
      <c r="AA751">
        <f>'Revenue drivers'!AA515</f>
        <v>-0.80500000000000682</v>
      </c>
      <c r="AB751">
        <f>'Revenue drivers'!AB515</f>
        <v>2.2867647058823586</v>
      </c>
      <c r="AC751">
        <f>'Revenue drivers'!AC515</f>
        <v>-0.7450980392156854</v>
      </c>
      <c r="AD751">
        <f>'Revenue drivers'!AD515</f>
        <v>-3.3030303030302992</v>
      </c>
      <c r="AE751">
        <f>'Revenue drivers'!AE515</f>
        <v>0.63636363636361981</v>
      </c>
      <c r="AF751">
        <f>'Revenue drivers'!AF515</f>
        <v>-0.74074074074072271</v>
      </c>
      <c r="AG751">
        <f>'Revenue drivers'!AG515</f>
        <v>-1.259259259259264</v>
      </c>
      <c r="AH751">
        <f>'Revenue drivers'!AH515</f>
        <v>0.45161290322579983</v>
      </c>
      <c r="AI751">
        <f>'Revenue drivers'!AI515</f>
        <v>-1.4112903225796281E-2</v>
      </c>
      <c r="AJ751">
        <f>'Revenue drivers'!AJ515</f>
        <v>-0.55178571428572099</v>
      </c>
      <c r="AK751">
        <f>'Revenue drivers'!AK515</f>
        <v>0.87619047619047752</v>
      </c>
      <c r="AL751">
        <f>'Revenue drivers'!AL515</f>
        <v>-1.3982683982683959</v>
      </c>
      <c r="AM751">
        <f>'Revenue drivers'!AM515</f>
        <v>-0.49407114624506399</v>
      </c>
      <c r="AN751">
        <f>'Revenue drivers'!AN515</f>
        <v>-1.7028985507246306</v>
      </c>
      <c r="AO751">
        <f>'Revenue drivers'!AO515</f>
        <v>0.91333333333332423</v>
      </c>
      <c r="AP751">
        <f>'Revenue drivers'!AP515</f>
        <v>0.36897959183673912</v>
      </c>
      <c r="AQ751">
        <f>'Revenue drivers'!AQ515</f>
        <v>-9.6038415366146435E-2</v>
      </c>
      <c r="AR751">
        <f>'Revenue drivers'!AR515</f>
        <v>-8.8790233074361957E-2</v>
      </c>
      <c r="AS751">
        <f>'Revenue drivers'!AS515</f>
        <v>-0.44596912521440824</v>
      </c>
      <c r="AT751">
        <f>'Revenue drivers'!AT515</f>
        <v>-6.3795853269537517E-2</v>
      </c>
      <c r="AU751">
        <f>'Revenue drivers'!AU515</f>
        <v>-5.9470710674992544E-2</v>
      </c>
      <c r="AV751">
        <f>'Revenue drivers'!AV515</f>
        <v>-5.5570991942206049E-2</v>
      </c>
      <c r="AW751">
        <f>'Revenue drivers'!AW515</f>
        <v>-0.19934426229508206</v>
      </c>
      <c r="AX751">
        <f>'Revenue drivers'!AX515</f>
        <v>-3.3749999999999947E-2</v>
      </c>
      <c r="AY751">
        <f>'Revenue drivers'!AY515</f>
        <v>-4.2613636363636465E-2</v>
      </c>
      <c r="AZ751">
        <f>'Revenue drivers'!AZ515</f>
        <v>-4.0106951871657692E-2</v>
      </c>
      <c r="BA751">
        <f>'Revenue drivers'!BA515</f>
        <v>-0.15806178586542519</v>
      </c>
      <c r="BB751">
        <f>'Revenue drivers'!BB515</f>
        <v>-1.6531455686514596E-2</v>
      </c>
      <c r="BC751">
        <f>'Revenue drivers'!BC515</f>
        <v>-2.5496503083778599E-2</v>
      </c>
      <c r="BD751">
        <f>'Revenue drivers'!BD515</f>
        <v>-2.438946360117189E-2</v>
      </c>
      <c r="BE751">
        <f>'Revenue drivers'!BE515</f>
        <v>0</v>
      </c>
      <c r="BF751">
        <f>'Revenue drivers'!BF515</f>
        <v>0</v>
      </c>
      <c r="BG751">
        <f>'Revenue drivers'!BG515</f>
        <v>0</v>
      </c>
      <c r="BH751">
        <f>'Revenue drivers'!BH515</f>
        <v>0</v>
      </c>
      <c r="BI751">
        <f>'Revenue drivers'!BI515</f>
        <v>0</v>
      </c>
      <c r="BJ751">
        <f>'Revenue drivers'!BJ515</f>
        <v>0</v>
      </c>
      <c r="BK751">
        <f>'Revenue drivers'!BK515</f>
        <v>0</v>
      </c>
      <c r="BL751">
        <f>'Revenue drivers'!BL515</f>
        <v>0</v>
      </c>
      <c r="BM751">
        <f>'Revenue drivers'!BM515</f>
        <v>0</v>
      </c>
      <c r="BN751">
        <f>'Revenue drivers'!BN515</f>
        <v>0</v>
      </c>
      <c r="BO751">
        <f>'Revenue drivers'!BO515</f>
        <v>0</v>
      </c>
      <c r="BP751">
        <f>'Revenue drivers'!BP515</f>
        <v>0</v>
      </c>
      <c r="BQ751">
        <f>'Revenue drivers'!BQ515</f>
        <v>0</v>
      </c>
      <c r="BR751">
        <f>'Revenue drivers'!BR515</f>
        <v>0</v>
      </c>
      <c r="BS751">
        <f>'Revenue drivers'!BS515</f>
        <v>0</v>
      </c>
      <c r="BT751">
        <f>'Revenue drivers'!BT515</f>
        <v>0</v>
      </c>
      <c r="BU751">
        <f>'Revenue drivers'!BU515</f>
        <v>0</v>
      </c>
      <c r="BV751">
        <f>'Revenue drivers'!BV515</f>
        <v>0</v>
      </c>
      <c r="BW751">
        <f>'Revenue drivers'!BW515</f>
        <v>0</v>
      </c>
      <c r="BX751">
        <f>'Revenue drivers'!BX515</f>
        <v>0</v>
      </c>
      <c r="BY751">
        <f>'Revenue drivers'!BY515</f>
        <v>0</v>
      </c>
    </row>
    <row r="752" spans="9:77" ht="11.25" customHeight="1">
      <c r="I752" t="str">
        <f>'Revenue drivers'!I516</f>
        <v>% change Q/Q</v>
      </c>
      <c r="J752">
        <f>'Revenue drivers'!J516</f>
        <v>0</v>
      </c>
      <c r="K752">
        <f>'Revenue drivers'!K516</f>
        <v>0</v>
      </c>
      <c r="L752">
        <f>'Revenue drivers'!L516</f>
        <v>0</v>
      </c>
      <c r="M752">
        <f>'Revenue drivers'!M516</f>
        <v>0</v>
      </c>
      <c r="N752">
        <f>'Revenue drivers'!N516</f>
        <v>0</v>
      </c>
      <c r="O752">
        <f>'Revenue drivers'!O516</f>
        <v>0</v>
      </c>
      <c r="P752">
        <f>'Revenue drivers'!P516</f>
        <v>0</v>
      </c>
      <c r="Q752">
        <f>'Revenue drivers'!Q516</f>
        <v>0</v>
      </c>
      <c r="R752">
        <f>'Revenue drivers'!R516</f>
        <v>0</v>
      </c>
      <c r="S752">
        <f>'Revenue drivers'!S516</f>
        <v>0</v>
      </c>
      <c r="T752">
        <f>'Revenue drivers'!T516</f>
        <v>0</v>
      </c>
      <c r="U752">
        <f>'Revenue drivers'!U516</f>
        <v>0</v>
      </c>
      <c r="V752">
        <f>'Revenue drivers'!V516</f>
        <v>0</v>
      </c>
      <c r="W752">
        <f>'Revenue drivers'!W516</f>
        <v>0</v>
      </c>
      <c r="X752">
        <f>'Revenue drivers'!X516</f>
        <v>0</v>
      </c>
      <c r="Y752">
        <f>'Revenue drivers'!Y516</f>
        <v>0</v>
      </c>
      <c r="Z752">
        <f>'Revenue drivers'!Z516</f>
        <v>0</v>
      </c>
      <c r="AA752">
        <f>'Revenue drivers'!AA516</f>
        <v>-0.10151324085750402</v>
      </c>
      <c r="AB752">
        <f>'Revenue drivers'!AB516</f>
        <v>0.32094943240454188</v>
      </c>
      <c r="AC752">
        <f>'Revenue drivers'!AC516</f>
        <v>-7.9166666666666607E-2</v>
      </c>
      <c r="AD752">
        <f>'Revenue drivers'!AD516</f>
        <v>-0.38111888111888059</v>
      </c>
      <c r="AE752">
        <f>'Revenue drivers'!AE516</f>
        <v>0.11864406779660697</v>
      </c>
      <c r="AF752">
        <f>'Revenue drivers'!AF516</f>
        <v>-0.12345679012345401</v>
      </c>
      <c r="AG752">
        <f>'Revenue drivers'!AG516</f>
        <v>-0.23943661971831043</v>
      </c>
      <c r="AH752">
        <f>'Revenue drivers'!AH516</f>
        <v>0.11290322580644996</v>
      </c>
      <c r="AI752">
        <f>'Revenue drivers'!AI516</f>
        <v>-3.1702898550701741E-3</v>
      </c>
      <c r="AJ752">
        <f>'Revenue drivers'!AJ516</f>
        <v>-0.12434607645875384</v>
      </c>
      <c r="AK752">
        <f>'Revenue drivers'!AK516</f>
        <v>0.2254901960784319</v>
      </c>
      <c r="AL752">
        <f>'Revenue drivers'!AL516</f>
        <v>-0.29363636363636314</v>
      </c>
      <c r="AM752">
        <f>'Revenue drivers'!AM516</f>
        <v>-0.14688601645123511</v>
      </c>
      <c r="AN752">
        <f>'Revenue drivers'!AN516</f>
        <v>-0.59343434343434143</v>
      </c>
      <c r="AO752">
        <f>'Revenue drivers'!AO516</f>
        <v>0.78285714285713182</v>
      </c>
      <c r="AP752">
        <f>'Revenue drivers'!AP516</f>
        <v>0.17739403453689429</v>
      </c>
      <c r="AQ752">
        <f>'Revenue drivers'!AQ516</f>
        <v>-3.9215686274509776E-2</v>
      </c>
      <c r="AR752">
        <f>'Revenue drivers'!AR516</f>
        <v>-3.7735849056603876E-2</v>
      </c>
      <c r="AS752">
        <f>'Revenue drivers'!AS516</f>
        <v>-0.19696969696969702</v>
      </c>
      <c r="AT752">
        <f>'Revenue drivers'!AT516</f>
        <v>-3.5087719298245612E-2</v>
      </c>
      <c r="AU752">
        <f>'Revenue drivers'!AU516</f>
        <v>-3.3898305084745783E-2</v>
      </c>
      <c r="AV752">
        <f>'Revenue drivers'!AV516</f>
        <v>-3.2786885245901565E-2</v>
      </c>
      <c r="AW752">
        <f>'Revenue drivers'!AW516</f>
        <v>-0.12160000000000004</v>
      </c>
      <c r="AX752">
        <f>'Revenue drivers'!AX516</f>
        <v>-2.34375E-2</v>
      </c>
      <c r="AY752">
        <f>'Revenue drivers'!AY516</f>
        <v>-3.0303030303030387E-2</v>
      </c>
      <c r="AZ752">
        <f>'Revenue drivers'!AZ516</f>
        <v>-2.9411764705882359E-2</v>
      </c>
      <c r="BA752">
        <f>'Revenue drivers'!BA516</f>
        <v>-0.11942446043165456</v>
      </c>
      <c r="BB752">
        <f>'Revenue drivers'!BB516</f>
        <v>-1.4184397163120588E-2</v>
      </c>
      <c r="BC752">
        <f>'Revenue drivers'!BC516</f>
        <v>-2.2191400832177632E-2</v>
      </c>
      <c r="BD752">
        <f>'Revenue drivers'!BD516</f>
        <v>-2.1709633649932059E-2</v>
      </c>
      <c r="BE752">
        <f>'Revenue drivers'!BE516</f>
        <v>0</v>
      </c>
      <c r="BF752">
        <f>'Revenue drivers'!BF516</f>
        <v>0</v>
      </c>
      <c r="BG752">
        <f>'Revenue drivers'!BG516</f>
        <v>0</v>
      </c>
      <c r="BH752">
        <f>'Revenue drivers'!BH516</f>
        <v>0</v>
      </c>
      <c r="BI752">
        <f>'Revenue drivers'!BI516</f>
        <v>0</v>
      </c>
      <c r="BJ752">
        <f>'Revenue drivers'!BJ516</f>
        <v>0</v>
      </c>
      <c r="BK752">
        <f>'Revenue drivers'!BK516</f>
        <v>0</v>
      </c>
      <c r="BL752">
        <f>'Revenue drivers'!BL516</f>
        <v>0</v>
      </c>
      <c r="BM752">
        <f>'Revenue drivers'!BM516</f>
        <v>0</v>
      </c>
      <c r="BN752">
        <f>'Revenue drivers'!BN516</f>
        <v>0</v>
      </c>
      <c r="BO752">
        <f>'Revenue drivers'!BO516</f>
        <v>0</v>
      </c>
      <c r="BP752">
        <f>'Revenue drivers'!BP516</f>
        <v>0</v>
      </c>
      <c r="BQ752">
        <f>'Revenue drivers'!BQ516</f>
        <v>0</v>
      </c>
      <c r="BR752">
        <f>'Revenue drivers'!BR516</f>
        <v>0</v>
      </c>
      <c r="BS752">
        <f>'Revenue drivers'!BS516</f>
        <v>0</v>
      </c>
      <c r="BT752">
        <f>'Revenue drivers'!BT516</f>
        <v>0</v>
      </c>
      <c r="BU752">
        <f>'Revenue drivers'!BU516</f>
        <v>0</v>
      </c>
      <c r="BV752">
        <f>'Revenue drivers'!BV516</f>
        <v>0</v>
      </c>
      <c r="BW752">
        <f>'Revenue drivers'!BW516</f>
        <v>0</v>
      </c>
      <c r="BX752">
        <f>'Revenue drivers'!BX516</f>
        <v>0</v>
      </c>
      <c r="BY752">
        <f>'Revenue drivers'!BY516</f>
        <v>0</v>
      </c>
    </row>
    <row r="753" spans="9:77" ht="11.25" customHeight="1">
      <c r="I753">
        <f>'Revenue drivers'!I517</f>
        <v>0</v>
      </c>
      <c r="J753">
        <f>'Revenue drivers'!J517</f>
        <v>0</v>
      </c>
      <c r="K753">
        <f>'Revenue drivers'!K517</f>
        <v>0</v>
      </c>
      <c r="L753">
        <f>'Revenue drivers'!L517</f>
        <v>0</v>
      </c>
      <c r="M753">
        <f>'Revenue drivers'!M517</f>
        <v>0</v>
      </c>
      <c r="N753">
        <f>'Revenue drivers'!N517</f>
        <v>0</v>
      </c>
      <c r="O753">
        <f>'Revenue drivers'!O517</f>
        <v>0</v>
      </c>
      <c r="P753">
        <f>'Revenue drivers'!P517</f>
        <v>0</v>
      </c>
      <c r="Q753">
        <f>'Revenue drivers'!Q517</f>
        <v>0</v>
      </c>
      <c r="R753">
        <f>'Revenue drivers'!R517</f>
        <v>0</v>
      </c>
      <c r="S753">
        <f>'Revenue drivers'!S517</f>
        <v>0</v>
      </c>
      <c r="T753">
        <f>'Revenue drivers'!T517</f>
        <v>0</v>
      </c>
      <c r="U753">
        <f>'Revenue drivers'!U517</f>
        <v>0</v>
      </c>
      <c r="V753">
        <f>'Revenue drivers'!V517</f>
        <v>0</v>
      </c>
      <c r="W753">
        <f>'Revenue drivers'!W517</f>
        <v>0</v>
      </c>
      <c r="X753">
        <f>'Revenue drivers'!X517</f>
        <v>0</v>
      </c>
      <c r="Y753">
        <f>'Revenue drivers'!Y517</f>
        <v>0</v>
      </c>
      <c r="Z753">
        <f>'Revenue drivers'!Z517</f>
        <v>0</v>
      </c>
      <c r="AA753">
        <f>'Revenue drivers'!AA517</f>
        <v>0</v>
      </c>
      <c r="AB753">
        <f>'Revenue drivers'!AB517</f>
        <v>0</v>
      </c>
      <c r="AC753">
        <f>'Revenue drivers'!AC517</f>
        <v>0</v>
      </c>
      <c r="AD753">
        <f>'Revenue drivers'!AD517</f>
        <v>0</v>
      </c>
      <c r="AE753">
        <f>'Revenue drivers'!AE517</f>
        <v>0</v>
      </c>
      <c r="AF753">
        <f>'Revenue drivers'!AF517</f>
        <v>0</v>
      </c>
      <c r="AG753">
        <f>'Revenue drivers'!AG517</f>
        <v>0</v>
      </c>
      <c r="AH753">
        <f>'Revenue drivers'!AH517</f>
        <v>0</v>
      </c>
      <c r="AI753">
        <f>'Revenue drivers'!AI517</f>
        <v>0</v>
      </c>
      <c r="AJ753">
        <f>'Revenue drivers'!AJ517</f>
        <v>0</v>
      </c>
      <c r="AK753">
        <f>'Revenue drivers'!AK517</f>
        <v>0</v>
      </c>
      <c r="AL753">
        <f>'Revenue drivers'!AL517</f>
        <v>0</v>
      </c>
      <c r="AM753">
        <f>'Revenue drivers'!AM517</f>
        <v>0</v>
      </c>
      <c r="AN753">
        <f>'Revenue drivers'!AN517</f>
        <v>0</v>
      </c>
      <c r="AO753">
        <f>'Revenue drivers'!AO517</f>
        <v>0</v>
      </c>
      <c r="AP753">
        <f>'Revenue drivers'!AP517</f>
        <v>0</v>
      </c>
      <c r="AQ753">
        <f>'Revenue drivers'!AQ517</f>
        <v>0</v>
      </c>
      <c r="AR753">
        <f>'Revenue drivers'!AR517</f>
        <v>0</v>
      </c>
      <c r="AS753">
        <f>'Revenue drivers'!AS517</f>
        <v>0</v>
      </c>
      <c r="AT753">
        <f>'Revenue drivers'!AT517</f>
        <v>0</v>
      </c>
      <c r="AU753">
        <f>'Revenue drivers'!AU517</f>
        <v>0</v>
      </c>
      <c r="AV753">
        <f>'Revenue drivers'!AV517</f>
        <v>0</v>
      </c>
      <c r="AW753">
        <f>'Revenue drivers'!AW517</f>
        <v>0</v>
      </c>
      <c r="AX753">
        <f>'Revenue drivers'!AX517</f>
        <v>0</v>
      </c>
      <c r="AY753">
        <f>'Revenue drivers'!AY517</f>
        <v>0</v>
      </c>
      <c r="AZ753">
        <f>'Revenue drivers'!AZ517</f>
        <v>0</v>
      </c>
      <c r="BA753">
        <f>'Revenue drivers'!BA517</f>
        <v>13.122000000000037</v>
      </c>
      <c r="BB753">
        <f>'Revenue drivers'!BB517</f>
        <v>11.809800000000033</v>
      </c>
      <c r="BC753">
        <f>'Revenue drivers'!BC517</f>
        <v>10.628820000000029</v>
      </c>
      <c r="BD753">
        <f>'Revenue drivers'!BD517</f>
        <v>0</v>
      </c>
      <c r="BE753">
        <f>'Revenue drivers'!BE517</f>
        <v>0</v>
      </c>
      <c r="BF753">
        <f>'Revenue drivers'!BF517</f>
        <v>0</v>
      </c>
      <c r="BG753">
        <f>'Revenue drivers'!BG517</f>
        <v>0</v>
      </c>
      <c r="BH753">
        <f>'Revenue drivers'!BH517</f>
        <v>0</v>
      </c>
      <c r="BI753">
        <f>'Revenue drivers'!BI517</f>
        <v>0</v>
      </c>
      <c r="BJ753">
        <f>'Revenue drivers'!BJ517</f>
        <v>0</v>
      </c>
      <c r="BK753">
        <f>'Revenue drivers'!BK517</f>
        <v>0</v>
      </c>
      <c r="BL753">
        <f>'Revenue drivers'!BL517</f>
        <v>0</v>
      </c>
      <c r="BM753">
        <f>'Revenue drivers'!BM517</f>
        <v>0</v>
      </c>
      <c r="BN753">
        <f>'Revenue drivers'!BN517</f>
        <v>0</v>
      </c>
      <c r="BO753">
        <f>'Revenue drivers'!BO517</f>
        <v>0</v>
      </c>
      <c r="BP753">
        <f>'Revenue drivers'!BP517</f>
        <v>0</v>
      </c>
      <c r="BQ753">
        <f>'Revenue drivers'!BQ517</f>
        <v>0</v>
      </c>
      <c r="BR753">
        <f>'Revenue drivers'!BR517</f>
        <v>0</v>
      </c>
      <c r="BS753">
        <f>'Revenue drivers'!BS517</f>
        <v>0</v>
      </c>
      <c r="BT753">
        <f>'Revenue drivers'!BT517</f>
        <v>0</v>
      </c>
      <c r="BU753">
        <f>'Revenue drivers'!BU517</f>
        <v>0</v>
      </c>
      <c r="BV753">
        <f>'Revenue drivers'!BV517</f>
        <v>0</v>
      </c>
      <c r="BW753">
        <f>'Revenue drivers'!BW517</f>
        <v>0</v>
      </c>
      <c r="BX753">
        <f>'Revenue drivers'!BX517</f>
        <v>0</v>
      </c>
      <c r="BY753">
        <f>'Revenue drivers'!BY517</f>
        <v>0</v>
      </c>
    </row>
    <row r="754" spans="9:77" ht="11.25" customHeight="1">
      <c r="I754" t="str">
        <f>'Revenue drivers'!I518</f>
        <v>Local Advertising Accounts (in thousands)</v>
      </c>
      <c r="J754">
        <f>'Revenue drivers'!J518</f>
        <v>0</v>
      </c>
      <c r="K754">
        <f>'Revenue drivers'!K518</f>
        <v>0</v>
      </c>
      <c r="L754">
        <f>'Revenue drivers'!L518</f>
        <v>0</v>
      </c>
      <c r="M754">
        <f>'Revenue drivers'!M518</f>
        <v>0</v>
      </c>
      <c r="N754">
        <f>'Revenue drivers'!N518</f>
        <v>0</v>
      </c>
      <c r="O754">
        <f>'Revenue drivers'!O518</f>
        <v>0</v>
      </c>
      <c r="P754">
        <f>'Revenue drivers'!P518</f>
        <v>0</v>
      </c>
      <c r="Q754">
        <f>'Revenue drivers'!Q518</f>
        <v>0</v>
      </c>
      <c r="R754">
        <f>'Revenue drivers'!R518</f>
        <v>0</v>
      </c>
      <c r="S754">
        <f>'Revenue drivers'!S518</f>
        <v>0</v>
      </c>
      <c r="T754">
        <f>'Revenue drivers'!T518</f>
        <v>0</v>
      </c>
      <c r="U754">
        <f>'Revenue drivers'!U518</f>
        <v>0</v>
      </c>
      <c r="V754">
        <f>'Revenue drivers'!V518</f>
        <v>0</v>
      </c>
      <c r="W754">
        <f>'Revenue drivers'!W518</f>
        <v>0</v>
      </c>
      <c r="X754">
        <f>'Revenue drivers'!X518</f>
        <v>32.219047619047615</v>
      </c>
      <c r="Y754">
        <f>'Revenue drivers'!Y518</f>
        <v>34.6</v>
      </c>
      <c r="Z754">
        <f>'Revenue drivers'!Z518</f>
        <v>40.700000000000003</v>
      </c>
      <c r="AA754">
        <f>'Revenue drivers'!AA518</f>
        <v>46.4</v>
      </c>
      <c r="AB754">
        <f>'Revenue drivers'!AB518</f>
        <v>54.4</v>
      </c>
      <c r="AC754">
        <f>'Revenue drivers'!AC518</f>
        <v>63.5</v>
      </c>
      <c r="AD754">
        <f>'Revenue drivers'!AD518</f>
        <v>69.400000000000006</v>
      </c>
      <c r="AE754">
        <f>'Revenue drivers'!AE518</f>
        <v>76.899999999999991</v>
      </c>
      <c r="AF754">
        <f>'Revenue drivers'!AF518</f>
        <v>84</v>
      </c>
      <c r="AG754">
        <f>'Revenue drivers'!AG518</f>
        <v>90.2</v>
      </c>
      <c r="AH754">
        <f>'Revenue drivers'!AH518</f>
        <v>97.1</v>
      </c>
      <c r="AI754">
        <f>'Revenue drivers'!AI518</f>
        <v>104.2</v>
      </c>
      <c r="AJ754">
        <f>'Revenue drivers'!AJ518</f>
        <v>111</v>
      </c>
      <c r="AK754">
        <f>'Revenue drivers'!AK518</f>
        <v>121</v>
      </c>
      <c r="AL754">
        <f>'Revenue drivers'!AL518</f>
        <v>128.4</v>
      </c>
      <c r="AM754">
        <f>'Revenue drivers'!AM518</f>
        <v>135</v>
      </c>
      <c r="AN754">
        <f>'Revenue drivers'!AN518</f>
        <v>137.80000000000001</v>
      </c>
      <c r="AO754">
        <f>'Revenue drivers'!AO518</f>
        <v>143</v>
      </c>
      <c r="AP754">
        <f>'Revenue drivers'!AP518</f>
        <v>149</v>
      </c>
      <c r="AQ754">
        <f>'Revenue drivers'!AQ518</f>
        <v>155</v>
      </c>
      <c r="AR754">
        <f>'Revenue drivers'!AR518</f>
        <v>161</v>
      </c>
      <c r="AS754">
        <f>'Revenue drivers'!AS518</f>
        <v>166</v>
      </c>
      <c r="AT754">
        <f>'Revenue drivers'!AT518</f>
        <v>171</v>
      </c>
      <c r="AU754">
        <f>'Revenue drivers'!AU518</f>
        <v>176</v>
      </c>
      <c r="AV754">
        <f>'Revenue drivers'!AV518</f>
        <v>181</v>
      </c>
      <c r="AW754">
        <f>'Revenue drivers'!AW518</f>
        <v>185.5</v>
      </c>
      <c r="AX754">
        <f>'Revenue drivers'!AX518</f>
        <v>190</v>
      </c>
      <c r="AY754">
        <f>'Revenue drivers'!AY518</f>
        <v>194.5</v>
      </c>
      <c r="AZ754">
        <f>'Revenue drivers'!AZ518</f>
        <v>199</v>
      </c>
      <c r="BA754">
        <f>'Revenue drivers'!BA518</f>
        <v>203.05</v>
      </c>
      <c r="BB754">
        <f>'Revenue drivers'!BB518</f>
        <v>207.10000000000002</v>
      </c>
      <c r="BC754">
        <f>'Revenue drivers'!BC518</f>
        <v>211.15000000000003</v>
      </c>
      <c r="BD754">
        <f>'Revenue drivers'!BD518</f>
        <v>215.20000000000005</v>
      </c>
      <c r="BE754">
        <f>'Revenue drivers'!BE518</f>
        <v>0</v>
      </c>
      <c r="BF754">
        <f>'Revenue drivers'!BF518</f>
        <v>0</v>
      </c>
      <c r="BG754">
        <f>'Revenue drivers'!BG518</f>
        <v>0</v>
      </c>
      <c r="BH754">
        <f>'Revenue drivers'!BH518</f>
        <v>0</v>
      </c>
      <c r="BI754">
        <f>'Revenue drivers'!BI518</f>
        <v>0</v>
      </c>
      <c r="BJ754">
        <f>'Revenue drivers'!BJ518</f>
        <v>0</v>
      </c>
      <c r="BK754">
        <f>'Revenue drivers'!BK518</f>
        <v>0</v>
      </c>
      <c r="BL754">
        <f>'Revenue drivers'!BL518</f>
        <v>32.219047619047615</v>
      </c>
      <c r="BM754">
        <f>'Revenue drivers'!BM518</f>
        <v>54.4</v>
      </c>
      <c r="BN754">
        <f>'Revenue drivers'!BN518</f>
        <v>84</v>
      </c>
      <c r="BO754">
        <f>'Revenue drivers'!BO518</f>
        <v>111</v>
      </c>
      <c r="BP754">
        <f>'Revenue drivers'!BP518</f>
        <v>137.80000000000001</v>
      </c>
      <c r="BQ754">
        <f>'Revenue drivers'!BQ518</f>
        <v>161</v>
      </c>
      <c r="BR754">
        <f>'Revenue drivers'!BR518</f>
        <v>181</v>
      </c>
      <c r="BS754">
        <f>'Revenue drivers'!BS518</f>
        <v>199</v>
      </c>
      <c r="BT754">
        <f>'Revenue drivers'!BT518</f>
        <v>215.20000000000005</v>
      </c>
      <c r="BU754">
        <f>'Revenue drivers'!BU518</f>
        <v>229.78000000000009</v>
      </c>
      <c r="BV754">
        <f>'Revenue drivers'!BV518</f>
        <v>242.90200000000013</v>
      </c>
      <c r="BW754">
        <f>'Revenue drivers'!BW518</f>
        <v>254.71180000000015</v>
      </c>
      <c r="BX754">
        <f>'Revenue drivers'!BX518</f>
        <v>265.34062000000017</v>
      </c>
      <c r="BY754">
        <f>'Revenue drivers'!BY518</f>
        <v>274.90655800000019</v>
      </c>
    </row>
    <row r="755" spans="9:77" ht="11.25" customHeight="1">
      <c r="I755" t="str">
        <f>'Revenue drivers'!I519</f>
        <v>Q/Q Abs Growth</v>
      </c>
      <c r="J755">
        <f>'Revenue drivers'!J519</f>
        <v>0</v>
      </c>
      <c r="K755">
        <f>'Revenue drivers'!K519</f>
        <v>0</v>
      </c>
      <c r="L755">
        <f>'Revenue drivers'!L519</f>
        <v>0</v>
      </c>
      <c r="M755">
        <f>'Revenue drivers'!M519</f>
        <v>0</v>
      </c>
      <c r="N755">
        <f>'Revenue drivers'!N519</f>
        <v>0</v>
      </c>
      <c r="O755">
        <f>'Revenue drivers'!O519</f>
        <v>0</v>
      </c>
      <c r="P755">
        <f>'Revenue drivers'!P519</f>
        <v>0</v>
      </c>
      <c r="Q755">
        <f>'Revenue drivers'!Q519</f>
        <v>0</v>
      </c>
      <c r="R755">
        <f>'Revenue drivers'!R519</f>
        <v>0</v>
      </c>
      <c r="S755">
        <f>'Revenue drivers'!S519</f>
        <v>0</v>
      </c>
      <c r="T755">
        <f>'Revenue drivers'!T519</f>
        <v>0</v>
      </c>
      <c r="U755">
        <f>'Revenue drivers'!U519</f>
        <v>0</v>
      </c>
      <c r="V755">
        <f>'Revenue drivers'!V519</f>
        <v>0</v>
      </c>
      <c r="W755">
        <f>'Revenue drivers'!W519</f>
        <v>0</v>
      </c>
      <c r="X755">
        <f>'Revenue drivers'!X519</f>
        <v>0</v>
      </c>
      <c r="Y755">
        <f>'Revenue drivers'!Y519</f>
        <v>2.3809523809523867</v>
      </c>
      <c r="Z755">
        <f>'Revenue drivers'!Z519</f>
        <v>6.1000000000000014</v>
      </c>
      <c r="AA755">
        <f>'Revenue drivers'!AA519</f>
        <v>5.6999999999999957</v>
      </c>
      <c r="AB755">
        <f>'Revenue drivers'!AB519</f>
        <v>8</v>
      </c>
      <c r="AC755">
        <f>'Revenue drivers'!AC519</f>
        <v>9.1000000000000014</v>
      </c>
      <c r="AD755">
        <f>'Revenue drivers'!AD519</f>
        <v>5.9000000000000057</v>
      </c>
      <c r="AE755">
        <f>'Revenue drivers'!AE519</f>
        <v>7.4999999999999858</v>
      </c>
      <c r="AF755">
        <f>'Revenue drivers'!AF519</f>
        <v>7.1000000000000085</v>
      </c>
      <c r="AG755">
        <f>'Revenue drivers'!AG519</f>
        <v>6.2000000000000028</v>
      </c>
      <c r="AH755">
        <f>'Revenue drivers'!AH519</f>
        <v>6.8999999999999915</v>
      </c>
      <c r="AI755">
        <f>'Revenue drivers'!AI519</f>
        <v>7.1000000000000085</v>
      </c>
      <c r="AJ755">
        <f>'Revenue drivers'!AJ519</f>
        <v>6.7999999999999972</v>
      </c>
      <c r="AK755">
        <f>'Revenue drivers'!AK519</f>
        <v>10</v>
      </c>
      <c r="AL755">
        <f>'Revenue drivers'!AL519</f>
        <v>7.4000000000000057</v>
      </c>
      <c r="AM755">
        <f>'Revenue drivers'!AM519</f>
        <v>6.5999999999999943</v>
      </c>
      <c r="AN755">
        <f>'Revenue drivers'!AN519</f>
        <v>2.8000000000000114</v>
      </c>
      <c r="AO755">
        <f>'Revenue drivers'!AO519</f>
        <v>5.1999999999999886</v>
      </c>
      <c r="AP755">
        <f>'Revenue drivers'!AP519</f>
        <v>6</v>
      </c>
      <c r="AQ755">
        <f>'Revenue drivers'!AQ519</f>
        <v>6</v>
      </c>
      <c r="AR755">
        <f>'Revenue drivers'!AR519</f>
        <v>6</v>
      </c>
      <c r="AS755">
        <f>'Revenue drivers'!AS519</f>
        <v>5</v>
      </c>
      <c r="AT755">
        <f>'Revenue drivers'!AT519</f>
        <v>5</v>
      </c>
      <c r="AU755">
        <f>'Revenue drivers'!AU519</f>
        <v>5</v>
      </c>
      <c r="AV755">
        <f>'Revenue drivers'!AV519</f>
        <v>5</v>
      </c>
      <c r="AW755">
        <f>'Revenue drivers'!AW519</f>
        <v>4.5</v>
      </c>
      <c r="AX755">
        <f>'Revenue drivers'!AX519</f>
        <v>4.5</v>
      </c>
      <c r="AY755">
        <f>'Revenue drivers'!AY519</f>
        <v>4.5</v>
      </c>
      <c r="AZ755">
        <f>'Revenue drivers'!AZ519</f>
        <v>4.5</v>
      </c>
      <c r="BA755">
        <f>'Revenue drivers'!BA519</f>
        <v>4.05</v>
      </c>
      <c r="BB755">
        <f>'Revenue drivers'!BB519</f>
        <v>4.05</v>
      </c>
      <c r="BC755">
        <f>'Revenue drivers'!BC519</f>
        <v>4.05</v>
      </c>
      <c r="BD755">
        <f>'Revenue drivers'!BD519</f>
        <v>4.05</v>
      </c>
      <c r="BE755">
        <f>'Revenue drivers'!BE519</f>
        <v>0</v>
      </c>
      <c r="BF755">
        <f>'Revenue drivers'!BF519</f>
        <v>0</v>
      </c>
      <c r="BG755">
        <f>'Revenue drivers'!BG519</f>
        <v>0</v>
      </c>
      <c r="BH755">
        <f>'Revenue drivers'!BH519</f>
        <v>0</v>
      </c>
      <c r="BI755">
        <f>'Revenue drivers'!BI519</f>
        <v>0</v>
      </c>
      <c r="BJ755">
        <f>'Revenue drivers'!BJ519</f>
        <v>0</v>
      </c>
      <c r="BK755">
        <f>'Revenue drivers'!BK519</f>
        <v>0</v>
      </c>
      <c r="BL755">
        <f>'Revenue drivers'!BL519</f>
        <v>0</v>
      </c>
      <c r="BM755">
        <f>'Revenue drivers'!BM519</f>
        <v>0</v>
      </c>
      <c r="BN755">
        <f>'Revenue drivers'!BN519</f>
        <v>0</v>
      </c>
      <c r="BO755">
        <f>'Revenue drivers'!BO519</f>
        <v>0</v>
      </c>
      <c r="BP755">
        <f>'Revenue drivers'!BP519</f>
        <v>0</v>
      </c>
      <c r="BQ755">
        <f>'Revenue drivers'!BQ519</f>
        <v>0</v>
      </c>
      <c r="BR755">
        <f>'Revenue drivers'!BR519</f>
        <v>0</v>
      </c>
      <c r="BS755">
        <f>'Revenue drivers'!BS519</f>
        <v>0</v>
      </c>
      <c r="BT755">
        <f>'Revenue drivers'!BT519</f>
        <v>0</v>
      </c>
      <c r="BU755">
        <f>'Revenue drivers'!BU519</f>
        <v>0</v>
      </c>
      <c r="BV755">
        <f>'Revenue drivers'!BV519</f>
        <v>0</v>
      </c>
      <c r="BW755">
        <f>'Revenue drivers'!BW519</f>
        <v>0</v>
      </c>
      <c r="BX755">
        <f>'Revenue drivers'!BX519</f>
        <v>0</v>
      </c>
      <c r="BY755">
        <f>'Revenue drivers'!BY519</f>
        <v>0</v>
      </c>
    </row>
    <row r="756" spans="9:77" ht="11.25" customHeight="1">
      <c r="I756" t="str">
        <f>'Revenue drivers'!I520</f>
        <v>Y/Y Abs Growth</v>
      </c>
      <c r="J756">
        <f>'Revenue drivers'!J520</f>
        <v>0</v>
      </c>
      <c r="K756">
        <f>'Revenue drivers'!K520</f>
        <v>0</v>
      </c>
      <c r="L756">
        <f>'Revenue drivers'!L520</f>
        <v>0</v>
      </c>
      <c r="M756">
        <f>'Revenue drivers'!M520</f>
        <v>0</v>
      </c>
      <c r="N756">
        <f>'Revenue drivers'!N520</f>
        <v>0</v>
      </c>
      <c r="O756">
        <f>'Revenue drivers'!O520</f>
        <v>0</v>
      </c>
      <c r="P756">
        <f>'Revenue drivers'!P520</f>
        <v>0</v>
      </c>
      <c r="Q756">
        <f>'Revenue drivers'!Q520</f>
        <v>0</v>
      </c>
      <c r="R756">
        <f>'Revenue drivers'!R520</f>
        <v>0</v>
      </c>
      <c r="S756">
        <f>'Revenue drivers'!S520</f>
        <v>0</v>
      </c>
      <c r="T756">
        <f>'Revenue drivers'!T520</f>
        <v>0</v>
      </c>
      <c r="U756">
        <f>'Revenue drivers'!U520</f>
        <v>0</v>
      </c>
      <c r="V756">
        <f>'Revenue drivers'!V520</f>
        <v>0</v>
      </c>
      <c r="W756">
        <f>'Revenue drivers'!W520</f>
        <v>0</v>
      </c>
      <c r="X756">
        <f>'Revenue drivers'!X520</f>
        <v>0</v>
      </c>
      <c r="Y756">
        <f>'Revenue drivers'!Y520</f>
        <v>0</v>
      </c>
      <c r="Z756">
        <f>'Revenue drivers'!Z520</f>
        <v>0</v>
      </c>
      <c r="AA756">
        <f>'Revenue drivers'!AA520</f>
        <v>0</v>
      </c>
      <c r="AB756">
        <f>'Revenue drivers'!AB520</f>
        <v>0</v>
      </c>
      <c r="AC756">
        <f>'Revenue drivers'!AC520</f>
        <v>28.9</v>
      </c>
      <c r="AD756">
        <f>'Revenue drivers'!AD520</f>
        <v>28.700000000000003</v>
      </c>
      <c r="AE756">
        <f>'Revenue drivers'!AE520</f>
        <v>30.499999999999993</v>
      </c>
      <c r="AF756">
        <f>'Revenue drivers'!AF520</f>
        <v>29.6</v>
      </c>
      <c r="AG756">
        <f>'Revenue drivers'!AG520</f>
        <v>26.700000000000003</v>
      </c>
      <c r="AH756">
        <f>'Revenue drivers'!AH520</f>
        <v>27.699999999999989</v>
      </c>
      <c r="AI756">
        <f>'Revenue drivers'!AI520</f>
        <v>27.300000000000011</v>
      </c>
      <c r="AJ756">
        <f>'Revenue drivers'!AJ520</f>
        <v>27</v>
      </c>
      <c r="AK756">
        <f>'Revenue drivers'!AK520</f>
        <v>30.799999999999997</v>
      </c>
      <c r="AL756">
        <f>'Revenue drivers'!AL520</f>
        <v>31.300000000000011</v>
      </c>
      <c r="AM756">
        <f>'Revenue drivers'!AM520</f>
        <v>30.799999999999997</v>
      </c>
      <c r="AN756">
        <f>'Revenue drivers'!AN520</f>
        <v>26.800000000000011</v>
      </c>
      <c r="AO756">
        <f>'Revenue drivers'!AO520</f>
        <v>22</v>
      </c>
      <c r="AP756">
        <f>'Revenue drivers'!AP520</f>
        <v>20.599999999999994</v>
      </c>
      <c r="AQ756">
        <f>'Revenue drivers'!AQ520</f>
        <v>20</v>
      </c>
      <c r="AR756">
        <f>'Revenue drivers'!AR520</f>
        <v>23.199999999999989</v>
      </c>
      <c r="AS756">
        <f>'Revenue drivers'!AS520</f>
        <v>23</v>
      </c>
      <c r="AT756">
        <f>'Revenue drivers'!AT520</f>
        <v>22</v>
      </c>
      <c r="AU756">
        <f>'Revenue drivers'!AU520</f>
        <v>21</v>
      </c>
      <c r="AV756">
        <f>'Revenue drivers'!AV520</f>
        <v>20</v>
      </c>
      <c r="AW756">
        <f>'Revenue drivers'!AW520</f>
        <v>19.5</v>
      </c>
      <c r="AX756">
        <f>'Revenue drivers'!AX520</f>
        <v>19</v>
      </c>
      <c r="AY756">
        <f>'Revenue drivers'!AY520</f>
        <v>18.5</v>
      </c>
      <c r="AZ756">
        <f>'Revenue drivers'!AZ520</f>
        <v>18</v>
      </c>
      <c r="BA756">
        <f>'Revenue drivers'!BA520</f>
        <v>17.550000000000011</v>
      </c>
      <c r="BB756">
        <f>'Revenue drivers'!BB520</f>
        <v>17.100000000000023</v>
      </c>
      <c r="BC756">
        <f>'Revenue drivers'!BC520</f>
        <v>16.650000000000034</v>
      </c>
      <c r="BD756">
        <f>'Revenue drivers'!BD520</f>
        <v>16.200000000000045</v>
      </c>
      <c r="BE756">
        <f>'Revenue drivers'!BE520</f>
        <v>0</v>
      </c>
      <c r="BF756">
        <f>'Revenue drivers'!BF520</f>
        <v>0</v>
      </c>
      <c r="BG756">
        <f>'Revenue drivers'!BG520</f>
        <v>0</v>
      </c>
      <c r="BH756">
        <f>'Revenue drivers'!BH520</f>
        <v>0</v>
      </c>
      <c r="BI756">
        <f>'Revenue drivers'!BI520</f>
        <v>0</v>
      </c>
      <c r="BJ756">
        <f>'Revenue drivers'!BJ520</f>
        <v>0</v>
      </c>
      <c r="BK756">
        <f>'Revenue drivers'!BK520</f>
        <v>0</v>
      </c>
      <c r="BL756">
        <f>'Revenue drivers'!BL520</f>
        <v>0</v>
      </c>
      <c r="BM756">
        <f>'Revenue drivers'!BM520</f>
        <v>0</v>
      </c>
      <c r="BN756">
        <f>'Revenue drivers'!BN520</f>
        <v>29.6</v>
      </c>
      <c r="BO756">
        <f>'Revenue drivers'!BO520</f>
        <v>27</v>
      </c>
      <c r="BP756">
        <f>'Revenue drivers'!BP520</f>
        <v>26.800000000000011</v>
      </c>
      <c r="BQ756">
        <f>'Revenue drivers'!BQ520</f>
        <v>23.199999999999989</v>
      </c>
      <c r="BR756">
        <f>'Revenue drivers'!BR520</f>
        <v>20</v>
      </c>
      <c r="BS756">
        <f>'Revenue drivers'!BS520</f>
        <v>18</v>
      </c>
      <c r="BT756">
        <f>'Revenue drivers'!BT520</f>
        <v>16.200000000000045</v>
      </c>
      <c r="BU756">
        <f>'Revenue drivers'!BU520</f>
        <v>14.580000000000041</v>
      </c>
      <c r="BV756">
        <f>'Revenue drivers'!BV520</f>
        <v>13.122000000000037</v>
      </c>
      <c r="BW756">
        <f>'Revenue drivers'!BW520</f>
        <v>11.809800000000033</v>
      </c>
      <c r="BX756">
        <f>'Revenue drivers'!BX520</f>
        <v>10.628820000000029</v>
      </c>
      <c r="BY756">
        <f>'Revenue drivers'!BY520</f>
        <v>9.5659380000000276</v>
      </c>
    </row>
    <row r="757" spans="9:77" ht="11.25" customHeight="1">
      <c r="I757" t="str">
        <f>'Revenue drivers'!I521</f>
        <v>% change Y/Y</v>
      </c>
      <c r="J757">
        <f>'Revenue drivers'!J521</f>
        <v>0</v>
      </c>
      <c r="K757">
        <f>'Revenue drivers'!K521</f>
        <v>0</v>
      </c>
      <c r="L757">
        <f>'Revenue drivers'!L521</f>
        <v>0</v>
      </c>
      <c r="M757">
        <f>'Revenue drivers'!M521</f>
        <v>0</v>
      </c>
      <c r="N757">
        <f>'Revenue drivers'!N521</f>
        <v>0</v>
      </c>
      <c r="O757">
        <f>'Revenue drivers'!O521</f>
        <v>0</v>
      </c>
      <c r="P757">
        <f>'Revenue drivers'!P521</f>
        <v>0</v>
      </c>
      <c r="Q757">
        <f>'Revenue drivers'!Q521</f>
        <v>0</v>
      </c>
      <c r="R757">
        <f>'Revenue drivers'!R521</f>
        <v>0</v>
      </c>
      <c r="S757">
        <f>'Revenue drivers'!S521</f>
        <v>0</v>
      </c>
      <c r="T757">
        <f>'Revenue drivers'!T521</f>
        <v>0</v>
      </c>
      <c r="U757">
        <f>'Revenue drivers'!U521</f>
        <v>0</v>
      </c>
      <c r="V757">
        <f>'Revenue drivers'!V521</f>
        <v>0</v>
      </c>
      <c r="W757">
        <f>'Revenue drivers'!W521</f>
        <v>0</v>
      </c>
      <c r="X757">
        <f>'Revenue drivers'!X521</f>
        <v>0</v>
      </c>
      <c r="Y757">
        <f>'Revenue drivers'!Y521</f>
        <v>0</v>
      </c>
      <c r="Z757">
        <f>'Revenue drivers'!Z521</f>
        <v>0</v>
      </c>
      <c r="AA757">
        <f>'Revenue drivers'!AA521</f>
        <v>0</v>
      </c>
      <c r="AB757">
        <f>'Revenue drivers'!AB521</f>
        <v>0</v>
      </c>
      <c r="AC757">
        <f>'Revenue drivers'!AC521</f>
        <v>0.83526011560693636</v>
      </c>
      <c r="AD757">
        <f>'Revenue drivers'!AD521</f>
        <v>0.70515970515970516</v>
      </c>
      <c r="AE757">
        <f>'Revenue drivers'!AE521</f>
        <v>0.65732758620689635</v>
      </c>
      <c r="AF757">
        <f>'Revenue drivers'!AF521</f>
        <v>0.54411764705882359</v>
      </c>
      <c r="AG757">
        <f>'Revenue drivers'!AG521</f>
        <v>0.4204724409448819</v>
      </c>
      <c r="AH757">
        <f>'Revenue drivers'!AH521</f>
        <v>0.39913544668587875</v>
      </c>
      <c r="AI757">
        <f>'Revenue drivers'!AI521</f>
        <v>0.35500650195058547</v>
      </c>
      <c r="AJ757">
        <f>'Revenue drivers'!AJ521</f>
        <v>0.3214285714285714</v>
      </c>
      <c r="AK757">
        <f>'Revenue drivers'!AK521</f>
        <v>0.3414634146341462</v>
      </c>
      <c r="AL757">
        <f>'Revenue drivers'!AL521</f>
        <v>0.32234809474768289</v>
      </c>
      <c r="AM757">
        <f>'Revenue drivers'!AM521</f>
        <v>0.29558541266794625</v>
      </c>
      <c r="AN757">
        <f>'Revenue drivers'!AN521</f>
        <v>0.24144144144144164</v>
      </c>
      <c r="AO757">
        <f>'Revenue drivers'!AO521</f>
        <v>0.18181818181818188</v>
      </c>
      <c r="AP757">
        <f>'Revenue drivers'!AP521</f>
        <v>0.16043613707165094</v>
      </c>
      <c r="AQ757">
        <f>'Revenue drivers'!AQ521</f>
        <v>0.14814814814814814</v>
      </c>
      <c r="AR757">
        <f>'Revenue drivers'!AR521</f>
        <v>0.1683599419448476</v>
      </c>
      <c r="AS757">
        <f>'Revenue drivers'!AS521</f>
        <v>0.16083916083916083</v>
      </c>
      <c r="AT757">
        <f>'Revenue drivers'!AT521</f>
        <v>0.1476510067114094</v>
      </c>
      <c r="AU757">
        <f>'Revenue drivers'!AU521</f>
        <v>0.13548387096774195</v>
      </c>
      <c r="AV757">
        <f>'Revenue drivers'!AV521</f>
        <v>0.12422360248447206</v>
      </c>
      <c r="AW757">
        <f>'Revenue drivers'!AW521</f>
        <v>0.1174698795180722</v>
      </c>
      <c r="AX757">
        <f>'Revenue drivers'!AX521</f>
        <v>0.11111111111111116</v>
      </c>
      <c r="AY757">
        <f>'Revenue drivers'!AY521</f>
        <v>0.10511363636363646</v>
      </c>
      <c r="AZ757">
        <f>'Revenue drivers'!AZ521</f>
        <v>9.9447513812154664E-2</v>
      </c>
      <c r="BA757">
        <f>'Revenue drivers'!BA521</f>
        <v>9.460916442048517E-2</v>
      </c>
      <c r="BB757">
        <f>'Revenue drivers'!BB521</f>
        <v>9.000000000000008E-2</v>
      </c>
      <c r="BC757">
        <f>'Revenue drivers'!BC521</f>
        <v>8.5604113110540059E-2</v>
      </c>
      <c r="BD757">
        <f>'Revenue drivers'!BD521</f>
        <v>8.140703517587955E-2</v>
      </c>
      <c r="BE757">
        <f>'Revenue drivers'!BE521</f>
        <v>0</v>
      </c>
      <c r="BF757">
        <f>'Revenue drivers'!BF521</f>
        <v>0</v>
      </c>
      <c r="BG757">
        <f>'Revenue drivers'!BG521</f>
        <v>0</v>
      </c>
      <c r="BH757">
        <f>'Revenue drivers'!BH521</f>
        <v>0</v>
      </c>
      <c r="BI757">
        <f>'Revenue drivers'!BI521</f>
        <v>0</v>
      </c>
      <c r="BJ757">
        <f>'Revenue drivers'!BJ521</f>
        <v>0</v>
      </c>
      <c r="BK757">
        <f>'Revenue drivers'!BK521</f>
        <v>0</v>
      </c>
      <c r="BL757">
        <f>'Revenue drivers'!BL521</f>
        <v>0</v>
      </c>
      <c r="BM757">
        <f>'Revenue drivers'!BM521</f>
        <v>0</v>
      </c>
      <c r="BN757">
        <f>'Revenue drivers'!BN521</f>
        <v>0.54411764705882359</v>
      </c>
      <c r="BO757">
        <f>'Revenue drivers'!BO521</f>
        <v>0.3214285714285714</v>
      </c>
      <c r="BP757">
        <f>'Revenue drivers'!BP521</f>
        <v>0.24144144144144164</v>
      </c>
      <c r="BQ757">
        <f>'Revenue drivers'!BQ521</f>
        <v>0.1683599419448476</v>
      </c>
      <c r="BR757">
        <f>'Revenue drivers'!BR521</f>
        <v>0.12422360248447206</v>
      </c>
      <c r="BS757">
        <f>'Revenue drivers'!BS521</f>
        <v>9.9447513812154664E-2</v>
      </c>
      <c r="BT757">
        <f>'Revenue drivers'!BT521</f>
        <v>8.140703517587955E-2</v>
      </c>
      <c r="BU757">
        <f>'Revenue drivers'!BU521</f>
        <v>6.7750929368029844E-2</v>
      </c>
      <c r="BV757">
        <f>'Revenue drivers'!BV521</f>
        <v>5.7106797806597775E-2</v>
      </c>
      <c r="BW757">
        <f>'Revenue drivers'!BW521</f>
        <v>4.8619607907715912E-2</v>
      </c>
      <c r="BX757">
        <f>'Revenue drivers'!BX521</f>
        <v>4.1728808794881056E-2</v>
      </c>
      <c r="BY757">
        <f>'Revenue drivers'!BY521</f>
        <v>3.6051540092127743E-2</v>
      </c>
    </row>
    <row r="758" spans="9:77" ht="11.25" customHeight="1">
      <c r="I758" t="str">
        <f>'Revenue drivers'!I522</f>
        <v>% change Q/Q</v>
      </c>
      <c r="J758">
        <f>'Revenue drivers'!J522</f>
        <v>0</v>
      </c>
      <c r="K758">
        <f>'Revenue drivers'!K522</f>
        <v>0</v>
      </c>
      <c r="L758">
        <f>'Revenue drivers'!L522</f>
        <v>0</v>
      </c>
      <c r="M758">
        <f>'Revenue drivers'!M522</f>
        <v>0</v>
      </c>
      <c r="N758">
        <f>'Revenue drivers'!N522</f>
        <v>0</v>
      </c>
      <c r="O758">
        <f>'Revenue drivers'!O522</f>
        <v>0</v>
      </c>
      <c r="P758">
        <f>'Revenue drivers'!P522</f>
        <v>0</v>
      </c>
      <c r="Q758">
        <f>'Revenue drivers'!Q522</f>
        <v>0</v>
      </c>
      <c r="R758">
        <f>'Revenue drivers'!R522</f>
        <v>0</v>
      </c>
      <c r="S758">
        <f>'Revenue drivers'!S522</f>
        <v>0</v>
      </c>
      <c r="T758">
        <f>'Revenue drivers'!T522</f>
        <v>0</v>
      </c>
      <c r="U758">
        <f>'Revenue drivers'!U522</f>
        <v>0</v>
      </c>
      <c r="V758">
        <f>'Revenue drivers'!V522</f>
        <v>0</v>
      </c>
      <c r="W758">
        <f>'Revenue drivers'!W522</f>
        <v>0</v>
      </c>
      <c r="X758">
        <f>'Revenue drivers'!X522</f>
        <v>0</v>
      </c>
      <c r="Y758">
        <f>'Revenue drivers'!Y522</f>
        <v>0</v>
      </c>
      <c r="Z758">
        <f>'Revenue drivers'!Z522</f>
        <v>0.17630057803468202</v>
      </c>
      <c r="AA758">
        <f>'Revenue drivers'!AA522</f>
        <v>0.14004914004913993</v>
      </c>
      <c r="AB758">
        <f>'Revenue drivers'!AB522</f>
        <v>0.17241379310344818</v>
      </c>
      <c r="AC758">
        <f>'Revenue drivers'!AC522</f>
        <v>0.16727941176470584</v>
      </c>
      <c r="AD758">
        <f>'Revenue drivers'!AD522</f>
        <v>9.2913385826771666E-2</v>
      </c>
      <c r="AE758">
        <f>'Revenue drivers'!AE522</f>
        <v>0.10806916426512947</v>
      </c>
      <c r="AF758">
        <f>'Revenue drivers'!AF522</f>
        <v>9.2327698309492945E-2</v>
      </c>
      <c r="AG758">
        <f>'Revenue drivers'!AG522</f>
        <v>7.3809523809523769E-2</v>
      </c>
      <c r="AH758">
        <f>'Revenue drivers'!AH522</f>
        <v>7.6496674057649594E-2</v>
      </c>
      <c r="AI758">
        <f>'Revenue drivers'!AI522</f>
        <v>7.3120494335736419E-2</v>
      </c>
      <c r="AJ758">
        <f>'Revenue drivers'!AJ522</f>
        <v>6.5259117082533624E-2</v>
      </c>
      <c r="AK758">
        <f>'Revenue drivers'!AK522</f>
        <v>9.0090090090090058E-2</v>
      </c>
      <c r="AL758">
        <f>'Revenue drivers'!AL522</f>
        <v>6.1157024793388581E-2</v>
      </c>
      <c r="AM758">
        <f>'Revenue drivers'!AM522</f>
        <v>5.1401869158878455E-2</v>
      </c>
      <c r="AN758">
        <f>'Revenue drivers'!AN522</f>
        <v>2.0740740740740726E-2</v>
      </c>
      <c r="AO758">
        <f>'Revenue drivers'!AO522</f>
        <v>3.7735849056603765E-2</v>
      </c>
      <c r="AP758">
        <f>'Revenue drivers'!AP522</f>
        <v>4.195804195804187E-2</v>
      </c>
      <c r="AQ758">
        <f>'Revenue drivers'!AQ522</f>
        <v>4.0268456375838868E-2</v>
      </c>
      <c r="AR758">
        <f>'Revenue drivers'!AR522</f>
        <v>3.8709677419354938E-2</v>
      </c>
      <c r="AS758">
        <f>'Revenue drivers'!AS522</f>
        <v>3.105590062111796E-2</v>
      </c>
      <c r="AT758">
        <f>'Revenue drivers'!AT522</f>
        <v>3.0120481927710774E-2</v>
      </c>
      <c r="AU758">
        <f>'Revenue drivers'!AU522</f>
        <v>2.9239766081871288E-2</v>
      </c>
      <c r="AV758">
        <f>'Revenue drivers'!AV522</f>
        <v>2.8409090909090828E-2</v>
      </c>
      <c r="AW758">
        <f>'Revenue drivers'!AW522</f>
        <v>2.4861878453038777E-2</v>
      </c>
      <c r="AX758">
        <f>'Revenue drivers'!AX522</f>
        <v>2.4258760107816801E-2</v>
      </c>
      <c r="AY758">
        <f>'Revenue drivers'!AY522</f>
        <v>2.3684210526315752E-2</v>
      </c>
      <c r="AZ758">
        <f>'Revenue drivers'!AZ522</f>
        <v>2.3136246786632286E-2</v>
      </c>
      <c r="BA758">
        <f>'Revenue drivers'!BA522</f>
        <v>2.0351758793969887E-2</v>
      </c>
      <c r="BB758">
        <f>'Revenue drivers'!BB522</f>
        <v>1.9945826151194446E-2</v>
      </c>
      <c r="BC758">
        <f>'Revenue drivers'!BC522</f>
        <v>1.95557701593434E-2</v>
      </c>
      <c r="BD758">
        <f>'Revenue drivers'!BD522</f>
        <v>1.9180677243665789E-2</v>
      </c>
      <c r="BE758">
        <f>'Revenue drivers'!BE522</f>
        <v>0</v>
      </c>
      <c r="BF758">
        <f>'Revenue drivers'!BF522</f>
        <v>0</v>
      </c>
      <c r="BG758">
        <f>'Revenue drivers'!BG522</f>
        <v>0</v>
      </c>
      <c r="BH758">
        <f>'Revenue drivers'!BH522</f>
        <v>0</v>
      </c>
      <c r="BI758">
        <f>'Revenue drivers'!BI522</f>
        <v>0</v>
      </c>
      <c r="BJ758">
        <f>'Revenue drivers'!BJ522</f>
        <v>0</v>
      </c>
      <c r="BK758">
        <f>'Revenue drivers'!BK522</f>
        <v>0</v>
      </c>
      <c r="BL758">
        <f>'Revenue drivers'!BL522</f>
        <v>0</v>
      </c>
      <c r="BM758">
        <f>'Revenue drivers'!BM522</f>
        <v>0</v>
      </c>
      <c r="BN758">
        <f>'Revenue drivers'!BN522</f>
        <v>0</v>
      </c>
      <c r="BO758">
        <f>'Revenue drivers'!BO522</f>
        <v>0</v>
      </c>
      <c r="BP758">
        <f>'Revenue drivers'!BP522</f>
        <v>0</v>
      </c>
      <c r="BQ758">
        <f>'Revenue drivers'!BQ522</f>
        <v>0</v>
      </c>
      <c r="BR758">
        <f>'Revenue drivers'!BR522</f>
        <v>0</v>
      </c>
      <c r="BS758">
        <f>'Revenue drivers'!BS522</f>
        <v>0</v>
      </c>
      <c r="BT758">
        <f>'Revenue drivers'!BT522</f>
        <v>0</v>
      </c>
      <c r="BU758">
        <f>'Revenue drivers'!BU522</f>
        <v>0</v>
      </c>
      <c r="BV758">
        <f>'Revenue drivers'!BV522</f>
        <v>0</v>
      </c>
      <c r="BW758">
        <f>'Revenue drivers'!BW522</f>
        <v>0</v>
      </c>
      <c r="BX758">
        <f>'Revenue drivers'!BX522</f>
        <v>0</v>
      </c>
      <c r="BY758">
        <f>'Revenue drivers'!BY522</f>
        <v>0</v>
      </c>
    </row>
    <row r="759" spans="9:77" ht="11.25" customHeight="1">
      <c r="I759" t="str">
        <f>'Revenue drivers'!I523</f>
        <v>Paying business participation rate</v>
      </c>
      <c r="J759">
        <f>'Revenue drivers'!J523</f>
        <v>0</v>
      </c>
      <c r="K759">
        <f>'Revenue drivers'!K523</f>
        <v>0</v>
      </c>
      <c r="L759">
        <f>'Revenue drivers'!L523</f>
        <v>0</v>
      </c>
      <c r="M759">
        <f>'Revenue drivers'!M523</f>
        <v>0</v>
      </c>
      <c r="N759">
        <f>'Revenue drivers'!N523</f>
        <v>0</v>
      </c>
      <c r="O759">
        <f>'Revenue drivers'!O523</f>
        <v>0</v>
      </c>
      <c r="P759">
        <f>'Revenue drivers'!P523</f>
        <v>0</v>
      </c>
      <c r="Q759">
        <f>'Revenue drivers'!Q523</f>
        <v>0</v>
      </c>
      <c r="R759">
        <f>'Revenue drivers'!R523</f>
        <v>0</v>
      </c>
      <c r="S759">
        <f>'Revenue drivers'!S523</f>
        <v>0</v>
      </c>
      <c r="T759">
        <f>'Revenue drivers'!T523</f>
        <v>0</v>
      </c>
      <c r="U759">
        <f>'Revenue drivers'!U523</f>
        <v>0</v>
      </c>
      <c r="V759">
        <f>'Revenue drivers'!V523</f>
        <v>0</v>
      </c>
      <c r="W759">
        <f>'Revenue drivers'!W523</f>
        <v>0</v>
      </c>
      <c r="X759">
        <f>'Revenue drivers'!X523</f>
        <v>0</v>
      </c>
      <c r="Y759">
        <f>'Revenue drivers'!Y523</f>
        <v>3.1368993653671802E-2</v>
      </c>
      <c r="Z759">
        <f>'Revenue drivers'!Z523</f>
        <v>3.3306055646481182E-2</v>
      </c>
      <c r="AA759">
        <f>'Revenue drivers'!AA523</f>
        <v>3.4523809523809519E-2</v>
      </c>
      <c r="AB759">
        <f>'Revenue drivers'!AB523</f>
        <v>3.6559139784946237E-2</v>
      </c>
      <c r="AC759">
        <f>'Revenue drivers'!AC523</f>
        <v>3.9687500000000001E-2</v>
      </c>
      <c r="AD759">
        <f>'Revenue drivers'!AD523</f>
        <v>3.9634494574528847E-2</v>
      </c>
      <c r="AE759">
        <f>'Revenue drivers'!AE523</f>
        <v>4.0774125132555676E-2</v>
      </c>
      <c r="AF759">
        <f>'Revenue drivers'!AF523</f>
        <v>4.1399704287826522E-2</v>
      </c>
      <c r="AG759">
        <f>'Revenue drivers'!AG523</f>
        <v>4.1130870953032375E-2</v>
      </c>
      <c r="AH759">
        <f>'Revenue drivers'!AH523</f>
        <v>4.1336739037888454E-2</v>
      </c>
      <c r="AI759">
        <f>'Revenue drivers'!AI523</f>
        <v>4.163004394726328E-2</v>
      </c>
      <c r="AJ759">
        <f>'Revenue drivers'!AJ523</f>
        <v>4.1918429003021146E-2</v>
      </c>
      <c r="AK759">
        <f>'Revenue drivers'!AK523</f>
        <v>4.2695836273817921E-2</v>
      </c>
      <c r="AL759">
        <f>'Revenue drivers'!AL523</f>
        <v>4.2657807308970105E-2</v>
      </c>
      <c r="AM759">
        <f>'Revenue drivers'!AM523</f>
        <v>4.2293233082706765E-2</v>
      </c>
      <c r="AN759">
        <f>'Revenue drivers'!AN523</f>
        <v>4.0975319655069883E-2</v>
      </c>
      <c r="AO759">
        <f>'Revenue drivers'!AO523</f>
        <v>4.0179825793762287E-2</v>
      </c>
      <c r="AP759">
        <f>'Revenue drivers'!AP523</f>
        <v>3.9701572075672792E-2</v>
      </c>
      <c r="AQ759">
        <f>'Revenue drivers'!AQ523</f>
        <v>3.8993710691823898E-2</v>
      </c>
      <c r="AR759">
        <f>'Revenue drivers'!AR523</f>
        <v>3.8433993793268083E-2</v>
      </c>
      <c r="AS759">
        <f>'Revenue drivers'!AS523</f>
        <v>3.871268656716418E-2</v>
      </c>
      <c r="AT759">
        <f>'Revenue drivers'!AT523</f>
        <v>3.8978801002963297E-2</v>
      </c>
      <c r="AU759">
        <f>'Revenue drivers'!AU523</f>
        <v>3.9765024853140526E-2</v>
      </c>
      <c r="AV759">
        <f>'Revenue drivers'!AV523</f>
        <v>4.0483113397450234E-2</v>
      </c>
      <c r="AW759">
        <f>'Revenue drivers'!AW523</f>
        <v>4.0590809628008748E-2</v>
      </c>
      <c r="AX759">
        <f>'Revenue drivers'!AX523</f>
        <v>4.0693938744913255E-2</v>
      </c>
      <c r="AY759">
        <f>'Revenue drivers'!AY523</f>
        <v>4.1312659303313508E-2</v>
      </c>
      <c r="AZ759">
        <f>'Revenue drivers'!AZ523</f>
        <v>4.1868293709236275E-2</v>
      </c>
      <c r="BA759">
        <f>'Revenue drivers'!BA523</f>
        <v>4.184872217642209E-2</v>
      </c>
      <c r="BB759">
        <f>'Revenue drivers'!BB523</f>
        <v>4.1829933346798631E-2</v>
      </c>
      <c r="BC759">
        <f>'Revenue drivers'!BC523</f>
        <v>4.2314629258517041E-2</v>
      </c>
      <c r="BD759">
        <f>'Revenue drivers'!BD523</f>
        <v>4.2740814299900703E-2</v>
      </c>
      <c r="BE759">
        <f>'Revenue drivers'!BE523</f>
        <v>0</v>
      </c>
      <c r="BF759">
        <f>'Revenue drivers'!BF523</f>
        <v>0</v>
      </c>
      <c r="BG759">
        <f>'Revenue drivers'!BG523</f>
        <v>0</v>
      </c>
      <c r="BH759">
        <f>'Revenue drivers'!BH523</f>
        <v>0</v>
      </c>
      <c r="BI759">
        <f>'Revenue drivers'!BI523</f>
        <v>0</v>
      </c>
      <c r="BJ759">
        <f>'Revenue drivers'!BJ523</f>
        <v>0</v>
      </c>
      <c r="BK759">
        <f>'Revenue drivers'!BK523</f>
        <v>0</v>
      </c>
      <c r="BL759">
        <f>'Revenue drivers'!BL523</f>
        <v>0</v>
      </c>
      <c r="BM759">
        <f>'Revenue drivers'!BM523</f>
        <v>3.6559139784946237E-2</v>
      </c>
      <c r="BN759">
        <f>'Revenue drivers'!BN523</f>
        <v>4.1399704287826522E-2</v>
      </c>
      <c r="BO759">
        <f>'Revenue drivers'!BO523</f>
        <v>4.1918429003021146E-2</v>
      </c>
      <c r="BP759">
        <f>'Revenue drivers'!BP523</f>
        <v>4.0975319655069883E-2</v>
      </c>
      <c r="BQ759">
        <f>'Revenue drivers'!BQ523</f>
        <v>3.8433993793268083E-2</v>
      </c>
      <c r="BR759">
        <f>'Revenue drivers'!BR523</f>
        <v>4.0483113397450234E-2</v>
      </c>
      <c r="BS759">
        <f>'Revenue drivers'!BS523</f>
        <v>4.1868293709236275E-2</v>
      </c>
      <c r="BT759">
        <f>'Revenue drivers'!BT523</f>
        <v>4.2740814299900703E-2</v>
      </c>
      <c r="BU759">
        <f>'Revenue drivers'!BU523</f>
        <v>0</v>
      </c>
      <c r="BV759">
        <f>'Revenue drivers'!BV523</f>
        <v>0</v>
      </c>
      <c r="BW759">
        <f>'Revenue drivers'!BW523</f>
        <v>0</v>
      </c>
      <c r="BX759">
        <f>'Revenue drivers'!BX523</f>
        <v>0</v>
      </c>
      <c r="BY759">
        <f>'Revenue drivers'!BY523</f>
        <v>0</v>
      </c>
    </row>
    <row r="760" spans="9:77" ht="11.25" customHeight="1">
      <c r="I760" t="str">
        <f>'Revenue drivers'!I524</f>
        <v>YoY Change (in bp)</v>
      </c>
      <c r="J760">
        <f>'Revenue drivers'!J524</f>
        <v>0</v>
      </c>
      <c r="K760">
        <f>'Revenue drivers'!K524</f>
        <v>0</v>
      </c>
      <c r="L760">
        <f>'Revenue drivers'!L524</f>
        <v>0</v>
      </c>
      <c r="M760">
        <f>'Revenue drivers'!M524</f>
        <v>0</v>
      </c>
      <c r="N760">
        <f>'Revenue drivers'!N524</f>
        <v>0</v>
      </c>
      <c r="O760">
        <f>'Revenue drivers'!O524</f>
        <v>0</v>
      </c>
      <c r="P760">
        <f>'Revenue drivers'!P524</f>
        <v>0</v>
      </c>
      <c r="Q760">
        <f>'Revenue drivers'!Q524</f>
        <v>0</v>
      </c>
      <c r="R760">
        <f>'Revenue drivers'!R524</f>
        <v>0</v>
      </c>
      <c r="S760">
        <f>'Revenue drivers'!S524</f>
        <v>0</v>
      </c>
      <c r="T760">
        <f>'Revenue drivers'!T524</f>
        <v>0</v>
      </c>
      <c r="U760">
        <f>'Revenue drivers'!U524</f>
        <v>0</v>
      </c>
      <c r="V760">
        <f>'Revenue drivers'!V524</f>
        <v>0</v>
      </c>
      <c r="W760">
        <f>'Revenue drivers'!W524</f>
        <v>0</v>
      </c>
      <c r="X760">
        <f>'Revenue drivers'!X524</f>
        <v>0</v>
      </c>
      <c r="Y760">
        <f>'Revenue drivers'!Y524</f>
        <v>0</v>
      </c>
      <c r="Z760">
        <f>'Revenue drivers'!Z524</f>
        <v>0</v>
      </c>
      <c r="AA760">
        <f>'Revenue drivers'!AA524</f>
        <v>0</v>
      </c>
      <c r="AB760">
        <f>'Revenue drivers'!AB524</f>
        <v>0</v>
      </c>
      <c r="AC760">
        <f>'Revenue drivers'!AC524</f>
        <v>83.185063463281992</v>
      </c>
      <c r="AD760">
        <f>'Revenue drivers'!AD524</f>
        <v>63.284389280476653</v>
      </c>
      <c r="AE760">
        <f>'Revenue drivers'!AE524</f>
        <v>62.503156087461569</v>
      </c>
      <c r="AF760">
        <f>'Revenue drivers'!AF524</f>
        <v>48.405645028802844</v>
      </c>
      <c r="AG760">
        <f>'Revenue drivers'!AG524</f>
        <v>14.433709530323746</v>
      </c>
      <c r="AH760">
        <f>'Revenue drivers'!AH524</f>
        <v>17.022444633596063</v>
      </c>
      <c r="AI760">
        <f>'Revenue drivers'!AI524</f>
        <v>8.5591881470760409</v>
      </c>
      <c r="AJ760">
        <f>'Revenue drivers'!AJ524</f>
        <v>5.1872471519462398</v>
      </c>
      <c r="AK760">
        <f>'Revenue drivers'!AK524</f>
        <v>15.649653207855454</v>
      </c>
      <c r="AL760">
        <f>'Revenue drivers'!AL524</f>
        <v>13.210682710816519</v>
      </c>
      <c r="AM760">
        <f>'Revenue drivers'!AM524</f>
        <v>6.6318913544348437</v>
      </c>
      <c r="AN760">
        <f>'Revenue drivers'!AN524</f>
        <v>-9.4310934795126258</v>
      </c>
      <c r="AO760">
        <f>'Revenue drivers'!AO524</f>
        <v>-25.160104800556333</v>
      </c>
      <c r="AP760">
        <f>'Revenue drivers'!AP524</f>
        <v>-29.562352332973134</v>
      </c>
      <c r="AQ760">
        <f>'Revenue drivers'!AQ524</f>
        <v>-32.99522390882867</v>
      </c>
      <c r="AR760">
        <f>'Revenue drivers'!AR524</f>
        <v>-25.413258618018006</v>
      </c>
      <c r="AS760">
        <f>'Revenue drivers'!AS524</f>
        <v>-14.671392265981076</v>
      </c>
      <c r="AT760">
        <f>'Revenue drivers'!AT524</f>
        <v>-7.2277107270949523</v>
      </c>
      <c r="AU760">
        <f>'Revenue drivers'!AU524</f>
        <v>7.7131416131662887</v>
      </c>
      <c r="AV760">
        <f>'Revenue drivers'!AV524</f>
        <v>20.491196041821507</v>
      </c>
      <c r="AW760">
        <f>'Revenue drivers'!AW524</f>
        <v>18.781230608445679</v>
      </c>
      <c r="AX760">
        <f>'Revenue drivers'!AX524</f>
        <v>17.151377419499582</v>
      </c>
      <c r="AY760">
        <f>'Revenue drivers'!AY524</f>
        <v>15.476344501729814</v>
      </c>
      <c r="AZ760">
        <f>'Revenue drivers'!AZ524</f>
        <v>13.851803117860412</v>
      </c>
      <c r="BA760">
        <f>'Revenue drivers'!BA524</f>
        <v>12.579125484133424</v>
      </c>
      <c r="BB760">
        <f>'Revenue drivers'!BB524</f>
        <v>11.359946018853762</v>
      </c>
      <c r="BC760">
        <f>'Revenue drivers'!BC524</f>
        <v>10.019699552035327</v>
      </c>
      <c r="BD760">
        <f>'Revenue drivers'!BD524</f>
        <v>8.7252059066442875</v>
      </c>
      <c r="BE760">
        <f>'Revenue drivers'!BE524</f>
        <v>0</v>
      </c>
      <c r="BF760">
        <f>'Revenue drivers'!BF524</f>
        <v>0</v>
      </c>
      <c r="BG760">
        <f>'Revenue drivers'!BG524</f>
        <v>0</v>
      </c>
      <c r="BH760">
        <f>'Revenue drivers'!BH524</f>
        <v>0</v>
      </c>
      <c r="BI760">
        <f>'Revenue drivers'!BI524</f>
        <v>0</v>
      </c>
      <c r="BJ760">
        <f>'Revenue drivers'!BJ524</f>
        <v>0</v>
      </c>
      <c r="BK760">
        <f>'Revenue drivers'!BK524</f>
        <v>0</v>
      </c>
      <c r="BL760">
        <f>'Revenue drivers'!BL524</f>
        <v>0</v>
      </c>
      <c r="BM760">
        <f>'Revenue drivers'!BM524</f>
        <v>0</v>
      </c>
      <c r="BN760">
        <f>'Revenue drivers'!BN524</f>
        <v>48.405645028802844</v>
      </c>
      <c r="BO760">
        <f>'Revenue drivers'!BO524</f>
        <v>5.1872471519462398</v>
      </c>
      <c r="BP760">
        <f>'Revenue drivers'!BP524</f>
        <v>-9.4310934795126258</v>
      </c>
      <c r="BQ760">
        <f>'Revenue drivers'!BQ524</f>
        <v>-25.413258618018006</v>
      </c>
      <c r="BR760">
        <f>'Revenue drivers'!BR524</f>
        <v>20.491196041821507</v>
      </c>
      <c r="BS760">
        <f>'Revenue drivers'!BS524</f>
        <v>13.851803117860412</v>
      </c>
      <c r="BT760">
        <f>'Revenue drivers'!BT524</f>
        <v>8.7252059066442875</v>
      </c>
      <c r="BU760">
        <f>'Revenue drivers'!BU524</f>
        <v>0</v>
      </c>
      <c r="BV760">
        <f>'Revenue drivers'!BV524</f>
        <v>0</v>
      </c>
      <c r="BW760">
        <f>'Revenue drivers'!BW524</f>
        <v>0</v>
      </c>
      <c r="BX760">
        <f>'Revenue drivers'!BX524</f>
        <v>0</v>
      </c>
      <c r="BY760">
        <f>'Revenue drivers'!BY524</f>
        <v>0</v>
      </c>
    </row>
    <row r="761" spans="9:77" ht="11.25" customHeight="1">
      <c r="I761">
        <f>'Revenue drivers'!I525</f>
        <v>0</v>
      </c>
      <c r="J761">
        <f>'Revenue drivers'!J525</f>
        <v>0</v>
      </c>
      <c r="K761">
        <f>'Revenue drivers'!K525</f>
        <v>0</v>
      </c>
      <c r="L761">
        <f>'Revenue drivers'!L525</f>
        <v>0</v>
      </c>
      <c r="M761">
        <f>'Revenue drivers'!M525</f>
        <v>0</v>
      </c>
      <c r="N761">
        <f>'Revenue drivers'!N525</f>
        <v>0</v>
      </c>
      <c r="O761">
        <f>'Revenue drivers'!O525</f>
        <v>0</v>
      </c>
      <c r="P761">
        <f>'Revenue drivers'!P525</f>
        <v>0</v>
      </c>
      <c r="Q761">
        <f>'Revenue drivers'!Q525</f>
        <v>0</v>
      </c>
      <c r="R761">
        <f>'Revenue drivers'!R525</f>
        <v>0</v>
      </c>
      <c r="S761">
        <f>'Revenue drivers'!S525</f>
        <v>0</v>
      </c>
      <c r="T761">
        <f>'Revenue drivers'!T525</f>
        <v>0</v>
      </c>
      <c r="U761">
        <f>'Revenue drivers'!U525</f>
        <v>0</v>
      </c>
      <c r="V761">
        <f>'Revenue drivers'!V525</f>
        <v>0</v>
      </c>
      <c r="W761">
        <f>'Revenue drivers'!W525</f>
        <v>0</v>
      </c>
      <c r="X761">
        <f>'Revenue drivers'!X525</f>
        <v>0</v>
      </c>
      <c r="Y761">
        <f>'Revenue drivers'!Y525</f>
        <v>0</v>
      </c>
      <c r="Z761">
        <f>'Revenue drivers'!Z525</f>
        <v>0</v>
      </c>
      <c r="AA761">
        <f>'Revenue drivers'!AA525</f>
        <v>0</v>
      </c>
      <c r="AB761">
        <f>'Revenue drivers'!AB525</f>
        <v>0</v>
      </c>
      <c r="AC761">
        <f>'Revenue drivers'!AC525</f>
        <v>0</v>
      </c>
      <c r="AD761">
        <f>'Revenue drivers'!AD525</f>
        <v>0</v>
      </c>
      <c r="AE761">
        <f>'Revenue drivers'!AE525</f>
        <v>0</v>
      </c>
      <c r="AF761">
        <f>'Revenue drivers'!AF525</f>
        <v>0</v>
      </c>
      <c r="AG761">
        <f>'Revenue drivers'!AG525</f>
        <v>0</v>
      </c>
      <c r="AH761">
        <f>'Revenue drivers'!AH525</f>
        <v>0</v>
      </c>
      <c r="AI761">
        <f>'Revenue drivers'!AI525</f>
        <v>0</v>
      </c>
      <c r="AJ761">
        <f>'Revenue drivers'!AJ525</f>
        <v>0</v>
      </c>
      <c r="AK761">
        <f>'Revenue drivers'!AK525</f>
        <v>0</v>
      </c>
      <c r="AL761">
        <f>'Revenue drivers'!AL525</f>
        <v>0</v>
      </c>
      <c r="AM761">
        <f>'Revenue drivers'!AM525</f>
        <v>0</v>
      </c>
      <c r="AN761">
        <f>'Revenue drivers'!AN525</f>
        <v>0</v>
      </c>
      <c r="AO761">
        <f>'Revenue drivers'!AO525</f>
        <v>0</v>
      </c>
      <c r="AP761">
        <f>'Revenue drivers'!AP525</f>
        <v>0</v>
      </c>
      <c r="AQ761">
        <f>'Revenue drivers'!AQ525</f>
        <v>0</v>
      </c>
      <c r="AR761">
        <f>'Revenue drivers'!AR525</f>
        <v>0</v>
      </c>
      <c r="AS761">
        <f>'Revenue drivers'!AS525</f>
        <v>0</v>
      </c>
      <c r="AT761">
        <f>'Revenue drivers'!AT525</f>
        <v>0</v>
      </c>
      <c r="AU761">
        <f>'Revenue drivers'!AU525</f>
        <v>0</v>
      </c>
      <c r="AV761">
        <f>'Revenue drivers'!AV525</f>
        <v>0</v>
      </c>
      <c r="AW761">
        <f>'Revenue drivers'!AW525</f>
        <v>0</v>
      </c>
      <c r="AX761">
        <f>'Revenue drivers'!AX525</f>
        <v>0</v>
      </c>
      <c r="AY761">
        <f>'Revenue drivers'!AY525</f>
        <v>0</v>
      </c>
      <c r="AZ761">
        <f>'Revenue drivers'!AZ525</f>
        <v>0</v>
      </c>
      <c r="BA761">
        <f>'Revenue drivers'!BA525</f>
        <v>0</v>
      </c>
      <c r="BB761">
        <f>'Revenue drivers'!BB525</f>
        <v>0</v>
      </c>
      <c r="BC761">
        <f>'Revenue drivers'!BC525</f>
        <v>0</v>
      </c>
      <c r="BD761">
        <f>'Revenue drivers'!BD525</f>
        <v>0</v>
      </c>
      <c r="BE761">
        <f>'Revenue drivers'!BE525</f>
        <v>0</v>
      </c>
      <c r="BF761">
        <f>'Revenue drivers'!BF525</f>
        <v>0</v>
      </c>
      <c r="BG761">
        <f>'Revenue drivers'!BG525</f>
        <v>0</v>
      </c>
      <c r="BH761">
        <f>'Revenue drivers'!BH525</f>
        <v>0</v>
      </c>
      <c r="BI761">
        <f>'Revenue drivers'!BI525</f>
        <v>0</v>
      </c>
      <c r="BJ761">
        <f>'Revenue drivers'!BJ525</f>
        <v>0</v>
      </c>
      <c r="BK761">
        <f>'Revenue drivers'!BK525</f>
        <v>0</v>
      </c>
      <c r="BL761">
        <f>'Revenue drivers'!BL525</f>
        <v>0</v>
      </c>
      <c r="BM761">
        <f>'Revenue drivers'!BM525</f>
        <v>0</v>
      </c>
      <c r="BN761">
        <f>'Revenue drivers'!BN525</f>
        <v>0</v>
      </c>
      <c r="BO761">
        <f>'Revenue drivers'!BO525</f>
        <v>0</v>
      </c>
      <c r="BP761">
        <f>'Revenue drivers'!BP525</f>
        <v>0</v>
      </c>
      <c r="BQ761">
        <f>'Revenue drivers'!BQ525</f>
        <v>0</v>
      </c>
      <c r="BR761">
        <f>'Revenue drivers'!BR525</f>
        <v>0</v>
      </c>
      <c r="BS761">
        <f>'Revenue drivers'!BS525</f>
        <v>0</v>
      </c>
      <c r="BT761">
        <f>'Revenue drivers'!BT525</f>
        <v>0</v>
      </c>
      <c r="BU761">
        <f>'Revenue drivers'!BU525</f>
        <v>0</v>
      </c>
      <c r="BV761">
        <f>'Revenue drivers'!BV525</f>
        <v>0</v>
      </c>
      <c r="BW761">
        <f>'Revenue drivers'!BW525</f>
        <v>0</v>
      </c>
      <c r="BX761">
        <f>'Revenue drivers'!BX525</f>
        <v>0</v>
      </c>
      <c r="BY761">
        <f>'Revenue drivers'!BY525</f>
        <v>0</v>
      </c>
    </row>
    <row r="770" spans="9:77" ht="11.25" customHeight="1">
      <c r="I770">
        <f>'Revenue drivers'!I526</f>
        <v>0</v>
      </c>
      <c r="J770">
        <f>'Revenue drivers'!J526</f>
        <v>0</v>
      </c>
      <c r="K770">
        <f>'Revenue drivers'!K526</f>
        <v>0</v>
      </c>
      <c r="L770">
        <f>'Revenue drivers'!L526</f>
        <v>0</v>
      </c>
      <c r="M770">
        <f>'Revenue drivers'!M526</f>
        <v>0</v>
      </c>
      <c r="N770">
        <f>'Revenue drivers'!N526</f>
        <v>0</v>
      </c>
      <c r="O770">
        <f>'Revenue drivers'!O526</f>
        <v>0</v>
      </c>
      <c r="P770">
        <f>'Revenue drivers'!P526</f>
        <v>0</v>
      </c>
      <c r="Q770">
        <f>'Revenue drivers'!Q526</f>
        <v>0</v>
      </c>
      <c r="R770">
        <f>'Revenue drivers'!R526</f>
        <v>0</v>
      </c>
      <c r="S770">
        <f>'Revenue drivers'!S526</f>
        <v>0</v>
      </c>
      <c r="T770">
        <f>'Revenue drivers'!T526</f>
        <v>0</v>
      </c>
      <c r="U770">
        <f>'Revenue drivers'!U526</f>
        <v>0</v>
      </c>
      <c r="V770">
        <f>'Revenue drivers'!V526</f>
        <v>0</v>
      </c>
      <c r="W770">
        <f>'Revenue drivers'!W526</f>
        <v>0</v>
      </c>
      <c r="X770">
        <f>'Revenue drivers'!X526</f>
        <v>0</v>
      </c>
      <c r="Y770">
        <f>'Revenue drivers'!Y526</f>
        <v>0</v>
      </c>
      <c r="Z770">
        <f>'Revenue drivers'!Z526</f>
        <v>0</v>
      </c>
      <c r="AA770">
        <f>'Revenue drivers'!AA526</f>
        <v>0</v>
      </c>
      <c r="AB770">
        <f>'Revenue drivers'!AB526</f>
        <v>0</v>
      </c>
      <c r="AC770">
        <f>'Revenue drivers'!AC526</f>
        <v>0</v>
      </c>
      <c r="AD770">
        <f>'Revenue drivers'!AD526</f>
        <v>0</v>
      </c>
      <c r="AE770">
        <f>'Revenue drivers'!AE526</f>
        <v>0</v>
      </c>
      <c r="AF770">
        <f>'Revenue drivers'!AF526</f>
        <v>0</v>
      </c>
      <c r="AG770">
        <f>'Revenue drivers'!AG526</f>
        <v>0</v>
      </c>
      <c r="AH770">
        <f>'Revenue drivers'!AH526</f>
        <v>0</v>
      </c>
      <c r="AI770">
        <f>'Revenue drivers'!AI526</f>
        <v>0</v>
      </c>
      <c r="AJ770">
        <f>'Revenue drivers'!AJ526</f>
        <v>0</v>
      </c>
      <c r="AK770">
        <f>'Revenue drivers'!AK526</f>
        <v>0</v>
      </c>
      <c r="AL770">
        <f>'Revenue drivers'!AL526</f>
        <v>0</v>
      </c>
      <c r="AM770">
        <f>'Revenue drivers'!AM526</f>
        <v>0</v>
      </c>
      <c r="AN770">
        <f>'Revenue drivers'!AN526</f>
        <v>0</v>
      </c>
      <c r="AO770">
        <f>'Revenue drivers'!AO526</f>
        <v>0</v>
      </c>
      <c r="AP770">
        <f>'Revenue drivers'!AP526</f>
        <v>0</v>
      </c>
      <c r="AQ770">
        <f>'Revenue drivers'!AQ526</f>
        <v>0</v>
      </c>
      <c r="AR770">
        <f>'Revenue drivers'!AR526</f>
        <v>0</v>
      </c>
      <c r="AS770">
        <f>'Revenue drivers'!AS526</f>
        <v>0</v>
      </c>
      <c r="AT770">
        <f>'Revenue drivers'!AT526</f>
        <v>0</v>
      </c>
      <c r="AU770">
        <f>'Revenue drivers'!AU526</f>
        <v>0</v>
      </c>
      <c r="AV770">
        <f>'Revenue drivers'!AV526</f>
        <v>0</v>
      </c>
      <c r="AW770">
        <f>'Revenue drivers'!AW526</f>
        <v>0</v>
      </c>
      <c r="AX770">
        <f>'Revenue drivers'!AX526</f>
        <v>0</v>
      </c>
      <c r="AY770">
        <f>'Revenue drivers'!AY526</f>
        <v>0</v>
      </c>
      <c r="AZ770">
        <f>'Revenue drivers'!AZ526</f>
        <v>0</v>
      </c>
      <c r="BA770">
        <f>'Revenue drivers'!BA526</f>
        <v>0</v>
      </c>
      <c r="BB770">
        <f>'Revenue drivers'!BB526</f>
        <v>0</v>
      </c>
      <c r="BC770">
        <f>'Revenue drivers'!BC526</f>
        <v>0</v>
      </c>
      <c r="BD770">
        <f>'Revenue drivers'!BD526</f>
        <v>0</v>
      </c>
      <c r="BE770">
        <f>'Revenue drivers'!BE526</f>
        <v>0</v>
      </c>
      <c r="BF770">
        <f>'Revenue drivers'!BF526</f>
        <v>0</v>
      </c>
      <c r="BG770">
        <f>'Revenue drivers'!BG526</f>
        <v>0</v>
      </c>
      <c r="BH770">
        <f>'Revenue drivers'!BH526</f>
        <v>0</v>
      </c>
      <c r="BI770">
        <f>'Revenue drivers'!BI526</f>
        <v>0</v>
      </c>
      <c r="BJ770">
        <f>'Revenue drivers'!BJ526</f>
        <v>0</v>
      </c>
      <c r="BK770">
        <f>'Revenue drivers'!BK526</f>
        <v>0</v>
      </c>
      <c r="BL770">
        <f>'Revenue drivers'!BL526</f>
        <v>0</v>
      </c>
      <c r="BM770">
        <f>'Revenue drivers'!BM526</f>
        <v>0</v>
      </c>
      <c r="BN770">
        <f>'Revenue drivers'!BN526</f>
        <v>0</v>
      </c>
      <c r="BO770">
        <f>'Revenue drivers'!BO526</f>
        <v>0</v>
      </c>
      <c r="BP770">
        <f>'Revenue drivers'!BP526</f>
        <v>0</v>
      </c>
      <c r="BQ770">
        <f>'Revenue drivers'!BQ526</f>
        <v>0</v>
      </c>
      <c r="BR770">
        <f>'Revenue drivers'!BR526</f>
        <v>0</v>
      </c>
      <c r="BS770">
        <f>'Revenue drivers'!BS526</f>
        <v>0</v>
      </c>
      <c r="BT770">
        <f>'Revenue drivers'!BT526</f>
        <v>0</v>
      </c>
      <c r="BU770">
        <f>'Revenue drivers'!BU526</f>
        <v>0</v>
      </c>
      <c r="BV770">
        <f>'Revenue drivers'!BV526</f>
        <v>0</v>
      </c>
      <c r="BW770">
        <f>'Revenue drivers'!BW526</f>
        <v>0</v>
      </c>
      <c r="BX770">
        <f>'Revenue drivers'!BX526</f>
        <v>0</v>
      </c>
      <c r="BY770">
        <f>'Revenue drivers'!BY526</f>
        <v>0</v>
      </c>
    </row>
    <row r="771" spans="9:77" ht="11.25" customHeight="1">
      <c r="I771" t="str">
        <f>'Revenue drivers'!I527</f>
        <v>Local Acts/Sales Rep (W/ 1Yr Lag)</v>
      </c>
      <c r="J771">
        <f>'Revenue drivers'!J527</f>
        <v>0</v>
      </c>
      <c r="K771">
        <f>'Revenue drivers'!K527</f>
        <v>0</v>
      </c>
      <c r="L771">
        <f>'Revenue drivers'!L527</f>
        <v>0</v>
      </c>
      <c r="M771">
        <f>'Revenue drivers'!M527</f>
        <v>0</v>
      </c>
      <c r="N771">
        <f>'Revenue drivers'!N527</f>
        <v>0</v>
      </c>
      <c r="O771">
        <f>'Revenue drivers'!O527</f>
        <v>0</v>
      </c>
      <c r="P771">
        <f>'Revenue drivers'!P527</f>
        <v>0</v>
      </c>
      <c r="Q771">
        <f>'Revenue drivers'!Q527</f>
        <v>0</v>
      </c>
      <c r="R771">
        <f>'Revenue drivers'!R527</f>
        <v>0</v>
      </c>
      <c r="S771">
        <f>'Revenue drivers'!S527</f>
        <v>0</v>
      </c>
      <c r="T771">
        <f>'Revenue drivers'!T527</f>
        <v>0</v>
      </c>
      <c r="U771">
        <f>'Revenue drivers'!U527</f>
        <v>0</v>
      </c>
      <c r="V771">
        <f>'Revenue drivers'!V527</f>
        <v>0</v>
      </c>
      <c r="W771">
        <f>'Revenue drivers'!W527</f>
        <v>0</v>
      </c>
      <c r="X771">
        <f>'Revenue drivers'!X527</f>
        <v>0</v>
      </c>
      <c r="Y771">
        <f>'Revenue drivers'!Y545</f>
        <v>56633.314285714288</v>
      </c>
      <c r="Z771">
        <f>'Revenue drivers'!Z545</f>
        <v>58239.999999999993</v>
      </c>
      <c r="AA771">
        <f>'Revenue drivers'!AA545</f>
        <v>63958.75</v>
      </c>
      <c r="AB771">
        <f>'Revenue drivers'!AB545</f>
        <v>68296.470588235301</v>
      </c>
      <c r="AC771">
        <f>'Revenue drivers'!AC545</f>
        <v>62095.238095238092</v>
      </c>
      <c r="AD771">
        <f>'Revenue drivers'!AD545</f>
        <v>68804.545454545456</v>
      </c>
      <c r="AE771">
        <f>'Revenue drivers'!AE545</f>
        <v>68105.600000000006</v>
      </c>
      <c r="AF771">
        <f>'Revenue drivers'!AF545</f>
        <v>68962.962962962964</v>
      </c>
      <c r="AG771">
        <f>'Revenue drivers'!AG545</f>
        <v>63593.548387096773</v>
      </c>
      <c r="AH771">
        <f>'Revenue drivers'!AH545</f>
        <v>69601.290322580651</v>
      </c>
      <c r="AI771">
        <f>'Revenue drivers'!AI545</f>
        <v>72457.5</v>
      </c>
      <c r="AJ771">
        <f>'Revenue drivers'!AJ545</f>
        <v>71914.857142857145</v>
      </c>
      <c r="AK771">
        <f>'Revenue drivers'!AK545</f>
        <v>65769.523809523816</v>
      </c>
      <c r="AL771">
        <f>'Revenue drivers'!AL545</f>
        <v>69035.909090909088</v>
      </c>
      <c r="AM771">
        <f>'Revenue drivers'!AM545</f>
        <v>71130.434782608689</v>
      </c>
      <c r="AN771">
        <f>'Revenue drivers'!AN545</f>
        <v>71291.666666666672</v>
      </c>
      <c r="AO771">
        <f>'Revenue drivers'!AO545</f>
        <v>70800</v>
      </c>
      <c r="AP771">
        <f>'Revenue drivers'!AP545</f>
        <v>76685.306122448979</v>
      </c>
      <c r="AQ771">
        <f>'Revenue drivers'!AQ545</f>
        <v>77490.196078431371</v>
      </c>
      <c r="AR771">
        <f>'Revenue drivers'!AR545</f>
        <v>78905.660377358494</v>
      </c>
      <c r="AS771">
        <f>'Revenue drivers'!AS527</f>
        <v>0</v>
      </c>
      <c r="AT771">
        <f>'Revenue drivers'!AT527</f>
        <v>0</v>
      </c>
      <c r="AU771">
        <f>'Revenue drivers'!AU527</f>
        <v>0</v>
      </c>
      <c r="AV771">
        <f>'Revenue drivers'!AV527</f>
        <v>0</v>
      </c>
      <c r="AW771">
        <f>'Revenue drivers'!AW527</f>
        <v>0</v>
      </c>
      <c r="AX771">
        <f>'Revenue drivers'!AX527</f>
        <v>0</v>
      </c>
      <c r="AY771">
        <f>'Revenue drivers'!AY527</f>
        <v>0</v>
      </c>
      <c r="AZ771">
        <f>'Revenue drivers'!AZ527</f>
        <v>0</v>
      </c>
      <c r="BA771">
        <f>'Revenue drivers'!BA527</f>
        <v>0</v>
      </c>
      <c r="BB771">
        <f>'Revenue drivers'!BB527</f>
        <v>0</v>
      </c>
      <c r="BC771">
        <f>'Revenue drivers'!BC527</f>
        <v>0</v>
      </c>
      <c r="BD771">
        <f>'Revenue drivers'!BD527</f>
        <v>0</v>
      </c>
      <c r="BE771">
        <f>'Revenue drivers'!BE527</f>
        <v>0</v>
      </c>
      <c r="BF771">
        <f>'Revenue drivers'!BF527</f>
        <v>0</v>
      </c>
      <c r="BG771">
        <f>'Revenue drivers'!BG527</f>
        <v>0</v>
      </c>
      <c r="BH771">
        <f>'Revenue drivers'!BH527</f>
        <v>0</v>
      </c>
      <c r="BI771">
        <f>'Revenue drivers'!BI527</f>
        <v>0</v>
      </c>
      <c r="BJ771">
        <f>'Revenue drivers'!BJ527</f>
        <v>0</v>
      </c>
      <c r="BK771">
        <f>'Revenue drivers'!BK527</f>
        <v>0</v>
      </c>
      <c r="BL771">
        <f>'Revenue drivers'!BL527</f>
        <v>0</v>
      </c>
      <c r="BM771">
        <f>'Revenue drivers'!BM527</f>
        <v>0</v>
      </c>
      <c r="BN771">
        <f>'Revenue drivers'!BN527</f>
        <v>26.90909090909091</v>
      </c>
      <c r="BO771">
        <f>'Revenue drivers'!BO527</f>
        <v>17.419354838709676</v>
      </c>
      <c r="BP771">
        <f>'Revenue drivers'!BP527</f>
        <v>12.181818181818187</v>
      </c>
      <c r="BQ771">
        <f>'Revenue drivers'!BQ527</f>
        <v>9.4693877551020371</v>
      </c>
      <c r="BR771">
        <f>'Revenue drivers'!BR527</f>
        <v>7.0175438596491224</v>
      </c>
      <c r="BS771">
        <f>'Revenue drivers'!BS527</f>
        <v>5.625</v>
      </c>
      <c r="BT771">
        <f>'Revenue drivers'!BT527</f>
        <v>4.5957446808510767</v>
      </c>
      <c r="BU771">
        <f>'Revenue drivers'!BU527</f>
        <v>3.8622516556291497</v>
      </c>
      <c r="BV771">
        <f>'Revenue drivers'!BV527</f>
        <v>3.3115457413249305</v>
      </c>
      <c r="BW771">
        <f>'Revenue drivers'!BW527</f>
        <v>2.8848366412213822</v>
      </c>
      <c r="BX771">
        <f>'Revenue drivers'!BX527</f>
        <v>2.5393626997162979</v>
      </c>
      <c r="BY771">
        <f>'Revenue drivers'!BY527</f>
        <v>2.2508420417947388</v>
      </c>
    </row>
    <row r="772" spans="9:77" ht="11.25" customHeight="1">
      <c r="I772" t="str">
        <f>'Revenue drivers'!I528</f>
        <v>Y/Y Abs Growth</v>
      </c>
      <c r="J772">
        <f>'Revenue drivers'!J528</f>
        <v>0</v>
      </c>
      <c r="K772">
        <f>'Revenue drivers'!K528</f>
        <v>0</v>
      </c>
      <c r="L772">
        <f>'Revenue drivers'!L528</f>
        <v>0</v>
      </c>
      <c r="M772">
        <f>'Revenue drivers'!M528</f>
        <v>0</v>
      </c>
      <c r="N772">
        <f>'Revenue drivers'!N528</f>
        <v>0</v>
      </c>
      <c r="O772">
        <f>'Revenue drivers'!O528</f>
        <v>0</v>
      </c>
      <c r="P772">
        <f>'Revenue drivers'!P528</f>
        <v>0</v>
      </c>
      <c r="Q772">
        <f>'Revenue drivers'!Q528</f>
        <v>0</v>
      </c>
      <c r="R772">
        <f>'Revenue drivers'!R528</f>
        <v>0</v>
      </c>
      <c r="S772">
        <f>'Revenue drivers'!S528</f>
        <v>0</v>
      </c>
      <c r="T772">
        <f>'Revenue drivers'!T528</f>
        <v>0</v>
      </c>
      <c r="U772">
        <f>'Revenue drivers'!U528</f>
        <v>0</v>
      </c>
      <c r="V772">
        <f>'Revenue drivers'!V528</f>
        <v>0</v>
      </c>
      <c r="W772">
        <f>'Revenue drivers'!W528</f>
        <v>0</v>
      </c>
      <c r="X772">
        <f>'Revenue drivers'!X528</f>
        <v>0</v>
      </c>
      <c r="Y772">
        <f>'Revenue drivers'!Y528</f>
        <v>0</v>
      </c>
      <c r="Z772">
        <f>'Revenue drivers'!Z528</f>
        <v>0</v>
      </c>
      <c r="AA772">
        <f>'Revenue drivers'!AA528</f>
        <v>0</v>
      </c>
      <c r="AB772">
        <f>'Revenue drivers'!AB528</f>
        <v>0</v>
      </c>
      <c r="AC772">
        <f>'Revenue drivers'!AC528</f>
        <v>0</v>
      </c>
      <c r="AD772">
        <f>'Revenue drivers'!AD528</f>
        <v>0</v>
      </c>
      <c r="AE772">
        <f>'Revenue drivers'!AE528</f>
        <v>0</v>
      </c>
      <c r="AF772">
        <f>'Revenue drivers'!AF528</f>
        <v>0</v>
      </c>
      <c r="AG772">
        <f>'Revenue drivers'!AG528</f>
        <v>0</v>
      </c>
      <c r="AH772">
        <f>'Revenue drivers'!AH528</f>
        <v>0</v>
      </c>
      <c r="AI772">
        <f>'Revenue drivers'!AI528</f>
        <v>0</v>
      </c>
      <c r="AJ772">
        <f>'Revenue drivers'!AJ528</f>
        <v>0</v>
      </c>
      <c r="AK772">
        <f>'Revenue drivers'!AK528</f>
        <v>0</v>
      </c>
      <c r="AL772">
        <f>'Revenue drivers'!AL528</f>
        <v>0</v>
      </c>
      <c r="AM772">
        <f>'Revenue drivers'!AM528</f>
        <v>0</v>
      </c>
      <c r="AN772">
        <f>'Revenue drivers'!AN528</f>
        <v>0</v>
      </c>
      <c r="AO772">
        <f>'Revenue drivers'!AO528</f>
        <v>0</v>
      </c>
      <c r="AP772">
        <f>'Revenue drivers'!AP528</f>
        <v>0</v>
      </c>
      <c r="AQ772">
        <f>'Revenue drivers'!AQ528</f>
        <v>0</v>
      </c>
      <c r="AR772">
        <f>'Revenue drivers'!AR528</f>
        <v>0</v>
      </c>
      <c r="AS772">
        <f>'Revenue drivers'!AS528</f>
        <v>0</v>
      </c>
      <c r="AT772">
        <f>'Revenue drivers'!AT528</f>
        <v>0</v>
      </c>
      <c r="AU772">
        <f>'Revenue drivers'!AU528</f>
        <v>0</v>
      </c>
      <c r="AV772">
        <f>'Revenue drivers'!AV528</f>
        <v>0</v>
      </c>
      <c r="AW772">
        <f>'Revenue drivers'!AW528</f>
        <v>0</v>
      </c>
      <c r="AX772">
        <f>'Revenue drivers'!AX528</f>
        <v>0</v>
      </c>
      <c r="AY772">
        <f>'Revenue drivers'!AY528</f>
        <v>0</v>
      </c>
      <c r="AZ772">
        <f>'Revenue drivers'!AZ528</f>
        <v>0</v>
      </c>
      <c r="BA772">
        <f>'Revenue drivers'!BA528</f>
        <v>0</v>
      </c>
      <c r="BB772">
        <f>'Revenue drivers'!BB528</f>
        <v>0</v>
      </c>
      <c r="BC772">
        <f>'Revenue drivers'!BC528</f>
        <v>0</v>
      </c>
      <c r="BD772">
        <f>'Revenue drivers'!BD528</f>
        <v>0</v>
      </c>
      <c r="BE772">
        <f>'Revenue drivers'!BE528</f>
        <v>0</v>
      </c>
      <c r="BF772">
        <f>'Revenue drivers'!BF528</f>
        <v>0</v>
      </c>
      <c r="BG772">
        <f>'Revenue drivers'!BG528</f>
        <v>0</v>
      </c>
      <c r="BH772">
        <f>'Revenue drivers'!BH528</f>
        <v>0</v>
      </c>
      <c r="BI772">
        <f>'Revenue drivers'!BI528</f>
        <v>0</v>
      </c>
      <c r="BJ772">
        <f>'Revenue drivers'!BJ528</f>
        <v>0</v>
      </c>
      <c r="BK772">
        <f>'Revenue drivers'!BK528</f>
        <v>0</v>
      </c>
      <c r="BL772">
        <f>'Revenue drivers'!BL528</f>
        <v>0</v>
      </c>
      <c r="BM772">
        <f>'Revenue drivers'!BM528</f>
        <v>0</v>
      </c>
      <c r="BN772">
        <f>'Revenue drivers'!BN528</f>
        <v>26.90909090909091</v>
      </c>
      <c r="BO772">
        <f>'Revenue drivers'!BO528</f>
        <v>-9.4897360703812339</v>
      </c>
      <c r="BP772">
        <f>'Revenue drivers'!BP528</f>
        <v>-5.2375366568914892</v>
      </c>
      <c r="BQ772">
        <f>'Revenue drivers'!BQ528</f>
        <v>-2.7124304267161499</v>
      </c>
      <c r="BR772">
        <f>'Revenue drivers'!BR528</f>
        <v>-2.4518438954529147</v>
      </c>
      <c r="BS772">
        <f>'Revenue drivers'!BS528</f>
        <v>-1.3925438596491224</v>
      </c>
      <c r="BT772">
        <f>'Revenue drivers'!BT528</f>
        <v>-1.0292553191489233</v>
      </c>
      <c r="BU772">
        <f>'Revenue drivers'!BU528</f>
        <v>-0.73349302522192694</v>
      </c>
      <c r="BV772">
        <f>'Revenue drivers'!BV528</f>
        <v>-0.55070591430421922</v>
      </c>
      <c r="BW772">
        <f>'Revenue drivers'!BW528</f>
        <v>-0.42670910010354834</v>
      </c>
      <c r="BX772">
        <f>'Revenue drivers'!BX528</f>
        <v>-0.34547394150508426</v>
      </c>
      <c r="BY772">
        <f>'Revenue drivers'!BY528</f>
        <v>-0.28852065792155912</v>
      </c>
    </row>
    <row r="773" spans="9:77" ht="11.25" customHeight="1">
      <c r="I773" t="str">
        <f>'Revenue drivers'!I529</f>
        <v>% change Y/Y</v>
      </c>
      <c r="J773">
        <f>'Revenue drivers'!J529</f>
        <v>0</v>
      </c>
      <c r="K773">
        <f>'Revenue drivers'!K529</f>
        <v>0</v>
      </c>
      <c r="L773">
        <f>'Revenue drivers'!L529</f>
        <v>0</v>
      </c>
      <c r="M773">
        <f>'Revenue drivers'!M529</f>
        <v>0</v>
      </c>
      <c r="N773">
        <f>'Revenue drivers'!N529</f>
        <v>0</v>
      </c>
      <c r="O773">
        <f>'Revenue drivers'!O529</f>
        <v>0</v>
      </c>
      <c r="P773">
        <f>'Revenue drivers'!P529</f>
        <v>0</v>
      </c>
      <c r="Q773">
        <f>'Revenue drivers'!Q529</f>
        <v>0</v>
      </c>
      <c r="R773">
        <f>'Revenue drivers'!R529</f>
        <v>0</v>
      </c>
      <c r="S773">
        <f>'Revenue drivers'!S529</f>
        <v>0</v>
      </c>
      <c r="T773">
        <f>'Revenue drivers'!T529</f>
        <v>0</v>
      </c>
      <c r="U773">
        <f>'Revenue drivers'!U529</f>
        <v>0</v>
      </c>
      <c r="V773">
        <f>'Revenue drivers'!V529</f>
        <v>0</v>
      </c>
      <c r="W773">
        <f>'Revenue drivers'!W529</f>
        <v>0</v>
      </c>
      <c r="X773">
        <f>'Revenue drivers'!X529</f>
        <v>0</v>
      </c>
      <c r="Y773">
        <f>'Revenue drivers'!Y529</f>
        <v>0</v>
      </c>
      <c r="Z773">
        <f>'Revenue drivers'!Z529</f>
        <v>0</v>
      </c>
      <c r="AA773">
        <f>'Revenue drivers'!AA529</f>
        <v>0</v>
      </c>
      <c r="AB773">
        <f>'Revenue drivers'!AB529</f>
        <v>0</v>
      </c>
      <c r="AC773">
        <f>'Revenue drivers'!AC529</f>
        <v>0</v>
      </c>
      <c r="AD773">
        <f>'Revenue drivers'!AD529</f>
        <v>0</v>
      </c>
      <c r="AE773">
        <f>'Revenue drivers'!AE529</f>
        <v>0</v>
      </c>
      <c r="AF773">
        <f>'Revenue drivers'!AF529</f>
        <v>0</v>
      </c>
      <c r="AG773">
        <f>'Revenue drivers'!AG529</f>
        <v>0</v>
      </c>
      <c r="AH773">
        <f>'Revenue drivers'!AH529</f>
        <v>0</v>
      </c>
      <c r="AI773">
        <f>'Revenue drivers'!AI529</f>
        <v>0</v>
      </c>
      <c r="AJ773">
        <f>'Revenue drivers'!AJ529</f>
        <v>0</v>
      </c>
      <c r="AK773">
        <f>'Revenue drivers'!AK529</f>
        <v>0</v>
      </c>
      <c r="AL773">
        <f>'Revenue drivers'!AL529</f>
        <v>0</v>
      </c>
      <c r="AM773">
        <f>'Revenue drivers'!AM529</f>
        <v>0</v>
      </c>
      <c r="AN773">
        <f>'Revenue drivers'!AN529</f>
        <v>0</v>
      </c>
      <c r="AO773">
        <f>'Revenue drivers'!AO529</f>
        <v>0</v>
      </c>
      <c r="AP773">
        <f>'Revenue drivers'!AP529</f>
        <v>0</v>
      </c>
      <c r="AQ773">
        <f>'Revenue drivers'!AQ529</f>
        <v>0</v>
      </c>
      <c r="AR773">
        <f>'Revenue drivers'!AR529</f>
        <v>0</v>
      </c>
      <c r="AS773">
        <f>'Revenue drivers'!AS529</f>
        <v>0</v>
      </c>
      <c r="AT773">
        <f>'Revenue drivers'!AT529</f>
        <v>0</v>
      </c>
      <c r="AU773">
        <f>'Revenue drivers'!AU529</f>
        <v>0</v>
      </c>
      <c r="AV773">
        <f>'Revenue drivers'!AV529</f>
        <v>0</v>
      </c>
      <c r="AW773">
        <f>'Revenue drivers'!AW529</f>
        <v>0</v>
      </c>
      <c r="AX773">
        <f>'Revenue drivers'!AX529</f>
        <v>0</v>
      </c>
      <c r="AY773">
        <f>'Revenue drivers'!AY529</f>
        <v>0</v>
      </c>
      <c r="AZ773">
        <f>'Revenue drivers'!AZ529</f>
        <v>0</v>
      </c>
      <c r="BA773">
        <f>'Revenue drivers'!BA529</f>
        <v>0</v>
      </c>
      <c r="BB773">
        <f>'Revenue drivers'!BB529</f>
        <v>0</v>
      </c>
      <c r="BC773">
        <f>'Revenue drivers'!BC529</f>
        <v>0</v>
      </c>
      <c r="BD773">
        <f>'Revenue drivers'!BD529</f>
        <v>0</v>
      </c>
      <c r="BE773">
        <f>'Revenue drivers'!BE529</f>
        <v>0</v>
      </c>
      <c r="BF773">
        <f>'Revenue drivers'!BF529</f>
        <v>0</v>
      </c>
      <c r="BG773">
        <f>'Revenue drivers'!BG529</f>
        <v>0</v>
      </c>
      <c r="BH773">
        <f>'Revenue drivers'!BH529</f>
        <v>0</v>
      </c>
      <c r="BI773">
        <f>'Revenue drivers'!BI529</f>
        <v>0</v>
      </c>
      <c r="BJ773">
        <f>'Revenue drivers'!BJ529</f>
        <v>0</v>
      </c>
      <c r="BK773">
        <f>'Revenue drivers'!BK529</f>
        <v>0</v>
      </c>
      <c r="BL773">
        <f>'Revenue drivers'!BL529</f>
        <v>0</v>
      </c>
      <c r="BM773">
        <f>'Revenue drivers'!BM529</f>
        <v>0</v>
      </c>
      <c r="BN773">
        <f>'Revenue drivers'!BN529</f>
        <v>0</v>
      </c>
      <c r="BO773">
        <f>'Revenue drivers'!BO529</f>
        <v>-0.35265911072362688</v>
      </c>
      <c r="BP773">
        <f>'Revenue drivers'!BP529</f>
        <v>-0.30067340067340032</v>
      </c>
      <c r="BQ773">
        <f>'Revenue drivers'!BQ529</f>
        <v>-0.22266219920804209</v>
      </c>
      <c r="BR773">
        <f>'Revenue drivers'!BR529</f>
        <v>-0.25892316999395015</v>
      </c>
      <c r="BS773">
        <f>'Revenue drivers'!BS529</f>
        <v>-0.19843749999999993</v>
      </c>
      <c r="BT773">
        <f>'Revenue drivers'!BT529</f>
        <v>-0.18297872340425303</v>
      </c>
      <c r="BU773">
        <f>'Revenue drivers'!BU529</f>
        <v>-0.15960264900662258</v>
      </c>
      <c r="BV773">
        <f>'Revenue drivers'!BV529</f>
        <v>-0.14258675078864347</v>
      </c>
      <c r="BW773">
        <f>'Revenue drivers'!BW529</f>
        <v>-0.12885496183206113</v>
      </c>
      <c r="BX773">
        <f>'Revenue drivers'!BX529</f>
        <v>-0.11975511423025242</v>
      </c>
      <c r="BY773">
        <f>'Revenue drivers'!BY529</f>
        <v>-0.11361931793114599</v>
      </c>
    </row>
    <row r="775" spans="9:77" ht="11.25" customHeight="1">
      <c r="I775">
        <f>'Revenue drivers'!I530</f>
        <v>0</v>
      </c>
      <c r="J775">
        <f>'Revenue drivers'!J530</f>
        <v>0</v>
      </c>
      <c r="K775">
        <f>'Revenue drivers'!K530</f>
        <v>0</v>
      </c>
      <c r="L775">
        <f>'Revenue drivers'!L530</f>
        <v>0</v>
      </c>
      <c r="M775">
        <f>'Revenue drivers'!M530</f>
        <v>0</v>
      </c>
      <c r="N775">
        <f>'Revenue drivers'!N530</f>
        <v>0</v>
      </c>
      <c r="O775">
        <f>'Revenue drivers'!O530</f>
        <v>0</v>
      </c>
      <c r="P775">
        <f>'Revenue drivers'!P530</f>
        <v>0</v>
      </c>
      <c r="Q775">
        <f>'Revenue drivers'!Q530</f>
        <v>0</v>
      </c>
      <c r="R775">
        <f>'Revenue drivers'!R530</f>
        <v>0</v>
      </c>
      <c r="S775">
        <f>'Revenue drivers'!S530</f>
        <v>0</v>
      </c>
      <c r="T775">
        <f>'Revenue drivers'!T530</f>
        <v>0</v>
      </c>
      <c r="U775">
        <f>'Revenue drivers'!U530</f>
        <v>0</v>
      </c>
      <c r="V775">
        <f>'Revenue drivers'!V530</f>
        <v>0</v>
      </c>
      <c r="W775">
        <f>'Revenue drivers'!W530</f>
        <v>0</v>
      </c>
      <c r="X775">
        <f>'Revenue drivers'!X530</f>
        <v>0</v>
      </c>
      <c r="Y775">
        <f>'Revenue drivers'!Y530</f>
        <v>0</v>
      </c>
      <c r="Z775">
        <f>'Revenue drivers'!Z530</f>
        <v>0</v>
      </c>
      <c r="AA775">
        <f>'Revenue drivers'!AA530</f>
        <v>0</v>
      </c>
      <c r="AB775">
        <f>'Revenue drivers'!AB530</f>
        <v>0</v>
      </c>
      <c r="AC775">
        <f>'Revenue drivers'!AC530</f>
        <v>0</v>
      </c>
      <c r="AD775">
        <f>'Revenue drivers'!AD530</f>
        <v>0</v>
      </c>
      <c r="AE775">
        <f>'Revenue drivers'!AE530</f>
        <v>0</v>
      </c>
      <c r="AF775">
        <f>'Revenue drivers'!AF530</f>
        <v>0</v>
      </c>
      <c r="AG775">
        <f>'Revenue drivers'!AG530</f>
        <v>0</v>
      </c>
      <c r="AH775">
        <f>'Revenue drivers'!AH530</f>
        <v>0</v>
      </c>
      <c r="AI775">
        <f>'Revenue drivers'!AI530</f>
        <v>0</v>
      </c>
      <c r="AJ775">
        <f>'Revenue drivers'!AJ530</f>
        <v>0</v>
      </c>
      <c r="AK775">
        <f>'Revenue drivers'!AK530</f>
        <v>0</v>
      </c>
      <c r="AL775">
        <f>'Revenue drivers'!AL530</f>
        <v>0</v>
      </c>
      <c r="AM775">
        <f>'Revenue drivers'!AM530</f>
        <v>0</v>
      </c>
      <c r="AN775">
        <f>'Revenue drivers'!AN530</f>
        <v>0</v>
      </c>
      <c r="AO775">
        <f>'Revenue drivers'!AO530</f>
        <v>0</v>
      </c>
      <c r="AP775">
        <f>'Revenue drivers'!AP530</f>
        <v>0</v>
      </c>
      <c r="AQ775">
        <f>'Revenue drivers'!AQ530</f>
        <v>0</v>
      </c>
      <c r="AR775">
        <f>'Revenue drivers'!AR530</f>
        <v>0</v>
      </c>
      <c r="AS775">
        <f>'Revenue drivers'!AS530</f>
        <v>0</v>
      </c>
      <c r="AT775">
        <f>'Revenue drivers'!AT530</f>
        <v>0</v>
      </c>
      <c r="AU775">
        <f>'Revenue drivers'!AU530</f>
        <v>0</v>
      </c>
      <c r="AV775">
        <f>'Revenue drivers'!AV530</f>
        <v>0</v>
      </c>
      <c r="AW775">
        <f>'Revenue drivers'!AW530</f>
        <v>0</v>
      </c>
      <c r="AX775">
        <f>'Revenue drivers'!AX530</f>
        <v>0</v>
      </c>
      <c r="AY775">
        <f>'Revenue drivers'!AY530</f>
        <v>0</v>
      </c>
      <c r="AZ775">
        <f>'Revenue drivers'!AZ530</f>
        <v>0</v>
      </c>
      <c r="BA775">
        <f>'Revenue drivers'!BA530</f>
        <v>0</v>
      </c>
      <c r="BB775">
        <f>'Revenue drivers'!BB530</f>
        <v>0</v>
      </c>
      <c r="BC775">
        <f>'Revenue drivers'!BC530</f>
        <v>0</v>
      </c>
      <c r="BD775">
        <f>'Revenue drivers'!BD530</f>
        <v>0</v>
      </c>
      <c r="BE775">
        <f>'Revenue drivers'!BE530</f>
        <v>0</v>
      </c>
      <c r="BF775">
        <f>'Revenue drivers'!BF530</f>
        <v>0</v>
      </c>
      <c r="BG775">
        <f>'Revenue drivers'!BG530</f>
        <v>0</v>
      </c>
      <c r="BH775">
        <f>'Revenue drivers'!BH530</f>
        <v>0</v>
      </c>
      <c r="BI775">
        <f>'Revenue drivers'!BI530</f>
        <v>0</v>
      </c>
      <c r="BJ775">
        <f>'Revenue drivers'!BJ530</f>
        <v>0</v>
      </c>
      <c r="BK775">
        <f>'Revenue drivers'!BK530</f>
        <v>0</v>
      </c>
      <c r="BL775">
        <f>'Revenue drivers'!BL530</f>
        <v>0</v>
      </c>
      <c r="BM775">
        <f>'Revenue drivers'!BM530</f>
        <v>0</v>
      </c>
      <c r="BN775">
        <f>'Revenue drivers'!BN530</f>
        <v>0</v>
      </c>
      <c r="BO775">
        <f>'Revenue drivers'!BO530</f>
        <v>0</v>
      </c>
      <c r="BP775">
        <f>'Revenue drivers'!BP530</f>
        <v>0</v>
      </c>
      <c r="BQ775">
        <f>'Revenue drivers'!BQ530</f>
        <v>0</v>
      </c>
      <c r="BR775">
        <f>'Revenue drivers'!BR530</f>
        <v>0</v>
      </c>
      <c r="BS775">
        <f>'Revenue drivers'!BS530</f>
        <v>0</v>
      </c>
      <c r="BT775">
        <f>'Revenue drivers'!BT530</f>
        <v>0</v>
      </c>
      <c r="BU775">
        <f>'Revenue drivers'!BU530</f>
        <v>0</v>
      </c>
      <c r="BV775">
        <f>'Revenue drivers'!BV530</f>
        <v>0</v>
      </c>
      <c r="BW775">
        <f>'Revenue drivers'!BW530</f>
        <v>0</v>
      </c>
      <c r="BX775">
        <f>'Revenue drivers'!BX530</f>
        <v>0</v>
      </c>
      <c r="BY775">
        <f>'Revenue drivers'!BY530</f>
        <v>0</v>
      </c>
    </row>
    <row r="777" spans="9:77" ht="11.25" customHeight="1">
      <c r="I777" t="str">
        <f>'Revenue drivers'!I531</f>
        <v>Sales Force Efficiency Analysis</v>
      </c>
      <c r="J777">
        <f>'Revenue drivers'!J531</f>
        <v>0</v>
      </c>
      <c r="K777">
        <f>'Revenue drivers'!K531</f>
        <v>0</v>
      </c>
      <c r="L777">
        <f>'Revenue drivers'!L531</f>
        <v>0</v>
      </c>
      <c r="M777">
        <f>'Revenue drivers'!M531</f>
        <v>0</v>
      </c>
      <c r="N777">
        <f>'Revenue drivers'!N531</f>
        <v>0</v>
      </c>
      <c r="O777">
        <f>'Revenue drivers'!O531</f>
        <v>0</v>
      </c>
      <c r="P777">
        <f>'Revenue drivers'!P531</f>
        <v>0</v>
      </c>
      <c r="Q777">
        <f>'Revenue drivers'!Q531</f>
        <v>0</v>
      </c>
      <c r="R777">
        <f>'Revenue drivers'!R531</f>
        <v>0</v>
      </c>
      <c r="S777">
        <f>'Revenue drivers'!S531</f>
        <v>0</v>
      </c>
      <c r="T777">
        <f>'Revenue drivers'!T531</f>
        <v>0</v>
      </c>
      <c r="U777">
        <f>'Revenue drivers'!U531</f>
        <v>0</v>
      </c>
      <c r="V777">
        <f>'Revenue drivers'!V531</f>
        <v>0</v>
      </c>
      <c r="W777">
        <f>'Revenue drivers'!W531</f>
        <v>0</v>
      </c>
      <c r="X777">
        <f>'Revenue drivers'!X531</f>
        <v>0</v>
      </c>
      <c r="Y777">
        <f>'Revenue drivers'!Y531</f>
        <v>0</v>
      </c>
      <c r="Z777">
        <f>'Revenue drivers'!Z531</f>
        <v>0</v>
      </c>
      <c r="AA777">
        <f>'Revenue drivers'!AA531</f>
        <v>0</v>
      </c>
      <c r="AB777">
        <f>'Revenue drivers'!AB531</f>
        <v>0</v>
      </c>
      <c r="AC777">
        <f>'Revenue drivers'!AC531</f>
        <v>0</v>
      </c>
      <c r="AD777">
        <f>'Revenue drivers'!AD531</f>
        <v>5821.923076923078</v>
      </c>
      <c r="AE777">
        <f>'Revenue drivers'!AE531</f>
        <v>0</v>
      </c>
      <c r="AF777">
        <f>'Revenue drivers'!AF531</f>
        <v>0</v>
      </c>
      <c r="AG777">
        <f>'Revenue drivers'!AG531</f>
        <v>0</v>
      </c>
      <c r="AH777">
        <f>'Revenue drivers'!AH531</f>
        <v>0</v>
      </c>
      <c r="AI777">
        <f>'Revenue drivers'!AI531</f>
        <v>0</v>
      </c>
      <c r="AJ777">
        <f>'Revenue drivers'!AJ531</f>
        <v>0</v>
      </c>
      <c r="AK777">
        <f>'Revenue drivers'!AK531</f>
        <v>0</v>
      </c>
      <c r="AL777">
        <f>'Revenue drivers'!AL531</f>
        <v>0</v>
      </c>
      <c r="AM777">
        <f>'Revenue drivers'!AM531</f>
        <v>0</v>
      </c>
      <c r="AN777">
        <f>'Revenue drivers'!AN531</f>
        <v>0</v>
      </c>
      <c r="AO777">
        <f>'Revenue drivers'!AO531</f>
        <v>0</v>
      </c>
      <c r="AP777">
        <f>'Revenue drivers'!AP531</f>
        <v>0</v>
      </c>
      <c r="AQ777">
        <f>'Revenue drivers'!AQ531</f>
        <v>0</v>
      </c>
      <c r="AR777">
        <f>'Revenue drivers'!AR531</f>
        <v>0</v>
      </c>
      <c r="AS777">
        <f>'Revenue drivers'!AS531</f>
        <v>0</v>
      </c>
      <c r="AT777">
        <f>'Revenue drivers'!AT531</f>
        <v>0</v>
      </c>
      <c r="AU777">
        <f>'Revenue drivers'!AU531</f>
        <v>0</v>
      </c>
      <c r="AV777">
        <f>'Revenue drivers'!AV531</f>
        <v>0</v>
      </c>
      <c r="AW777">
        <f>'Revenue drivers'!AW531</f>
        <v>0</v>
      </c>
      <c r="AX777">
        <f>'Revenue drivers'!AX531</f>
        <v>0</v>
      </c>
      <c r="AY777">
        <f>'Revenue drivers'!AY531</f>
        <v>0</v>
      </c>
      <c r="AZ777">
        <f>'Revenue drivers'!AZ531</f>
        <v>0</v>
      </c>
      <c r="BA777">
        <f>'Revenue drivers'!BA531</f>
        <v>0</v>
      </c>
      <c r="BB777">
        <f>'Revenue drivers'!BB531</f>
        <v>0</v>
      </c>
      <c r="BC777">
        <f>'Revenue drivers'!BC531</f>
        <v>0</v>
      </c>
      <c r="BD777">
        <f>'Revenue drivers'!BD531</f>
        <v>0</v>
      </c>
      <c r="BE777">
        <f>'Revenue drivers'!BE531</f>
        <v>0</v>
      </c>
      <c r="BF777">
        <f>'Revenue drivers'!BF531</f>
        <v>0</v>
      </c>
      <c r="BG777">
        <f>'Revenue drivers'!BG531</f>
        <v>0</v>
      </c>
      <c r="BH777">
        <f>'Revenue drivers'!BH531</f>
        <v>0</v>
      </c>
      <c r="BI777">
        <f>'Revenue drivers'!BI531</f>
        <v>0</v>
      </c>
      <c r="BJ777">
        <f>'Revenue drivers'!BJ531</f>
        <v>0</v>
      </c>
      <c r="BK777">
        <f>'Revenue drivers'!BK531</f>
        <v>0</v>
      </c>
      <c r="BL777">
        <f>'Revenue drivers'!BL531</f>
        <v>0</v>
      </c>
      <c r="BM777">
        <f>'Revenue drivers'!BM531</f>
        <v>0</v>
      </c>
      <c r="BN777">
        <f>'Revenue drivers'!BN531</f>
        <v>0</v>
      </c>
      <c r="BO777">
        <f>'Revenue drivers'!BO531</f>
        <v>0</v>
      </c>
      <c r="BP777">
        <f>'Revenue drivers'!BP531</f>
        <v>0</v>
      </c>
      <c r="BQ777">
        <f>'Revenue drivers'!BQ531</f>
        <v>0</v>
      </c>
      <c r="BR777">
        <f>'Revenue drivers'!BR531</f>
        <v>0</v>
      </c>
      <c r="BS777">
        <f>'Revenue drivers'!BS531</f>
        <v>0</v>
      </c>
      <c r="BT777">
        <f>'Revenue drivers'!BT531</f>
        <v>0</v>
      </c>
      <c r="BU777">
        <f>'Revenue drivers'!BU531</f>
        <v>0</v>
      </c>
      <c r="BV777">
        <f>'Revenue drivers'!BV531</f>
        <v>0</v>
      </c>
      <c r="BW777">
        <f>'Revenue drivers'!BW531</f>
        <v>0</v>
      </c>
      <c r="BX777">
        <f>'Revenue drivers'!BX531</f>
        <v>0</v>
      </c>
      <c r="BY777">
        <f>'Revenue drivers'!BY531</f>
        <v>0</v>
      </c>
    </row>
    <row r="778" spans="9:77" ht="11.25" customHeight="1">
      <c r="I778" t="str">
        <f>'Revenue drivers'!I532</f>
        <v>Sales Headcount</v>
      </c>
      <c r="J778">
        <f>'Revenue drivers'!J532</f>
        <v>0</v>
      </c>
      <c r="K778">
        <f>'Revenue drivers'!K532</f>
        <v>0</v>
      </c>
      <c r="L778">
        <f>'Revenue drivers'!L532</f>
        <v>0</v>
      </c>
      <c r="M778">
        <f>'Revenue drivers'!M532</f>
        <v>0</v>
      </c>
      <c r="N778">
        <f>'Revenue drivers'!N532</f>
        <v>0</v>
      </c>
      <c r="O778">
        <f>'Revenue drivers'!O532</f>
        <v>0</v>
      </c>
      <c r="P778">
        <f>'Revenue drivers'!P532</f>
        <v>0</v>
      </c>
      <c r="Q778">
        <f>'Revenue drivers'!Q532</f>
        <v>0</v>
      </c>
      <c r="R778">
        <f>'Revenue drivers'!R532</f>
        <v>0</v>
      </c>
      <c r="S778">
        <f>'Revenue drivers'!S532</f>
        <v>0</v>
      </c>
      <c r="T778">
        <f>'Revenue drivers'!T532</f>
        <v>0</v>
      </c>
      <c r="U778">
        <f>'Revenue drivers'!U532</f>
        <v>533.33333333333337</v>
      </c>
      <c r="V778">
        <f>'Revenue drivers'!V532</f>
        <v>566.66666666666663</v>
      </c>
      <c r="W778">
        <f>'Revenue drivers'!W532</f>
        <v>686.27450980392155</v>
      </c>
      <c r="X778">
        <f>'Revenue drivers'!X532</f>
        <v>769.23076923076928</v>
      </c>
      <c r="Y778">
        <f>'Revenue drivers'!Y532</f>
        <v>800</v>
      </c>
      <c r="Z778">
        <f>'Revenue drivers'!Z532</f>
        <v>850</v>
      </c>
      <c r="AA778">
        <f>'Revenue drivers'!AA532</f>
        <v>1050</v>
      </c>
      <c r="AB778">
        <f>'Revenue drivers'!AB532</f>
        <v>1100</v>
      </c>
      <c r="AC778">
        <f>'Revenue drivers'!AC532</f>
        <v>1250</v>
      </c>
      <c r="AD778">
        <f>'Revenue drivers'!AD532</f>
        <v>1350</v>
      </c>
      <c r="AE778">
        <f>'Revenue drivers'!AE532</f>
        <v>1550</v>
      </c>
      <c r="AF778">
        <f>'Revenue drivers'!AF532</f>
        <v>1550</v>
      </c>
      <c r="AG778">
        <f>'Revenue drivers'!AG532</f>
        <v>1600</v>
      </c>
      <c r="AH778">
        <f>'Revenue drivers'!AH532</f>
        <v>1750</v>
      </c>
      <c r="AI778">
        <f>'Revenue drivers'!AI532</f>
        <v>2100</v>
      </c>
      <c r="AJ778">
        <f>'Revenue drivers'!AJ532</f>
        <v>2200</v>
      </c>
      <c r="AK778">
        <f>'Revenue drivers'!AK532</f>
        <v>2300</v>
      </c>
      <c r="AL778">
        <f>'Revenue drivers'!AL532</f>
        <v>2400</v>
      </c>
      <c r="AM778">
        <f>'Revenue drivers'!AM532</f>
        <v>2500</v>
      </c>
      <c r="AN778">
        <f>'Revenue drivers'!AN532</f>
        <v>2450</v>
      </c>
      <c r="AO778">
        <f>'Revenue drivers'!AO532</f>
        <v>2550</v>
      </c>
      <c r="AP778">
        <f>'Revenue drivers'!AP532</f>
        <v>2650</v>
      </c>
      <c r="AQ778">
        <f>'Revenue drivers'!AQ532</f>
        <v>2750</v>
      </c>
      <c r="AR778">
        <f>'Revenue drivers'!AR532</f>
        <v>2850</v>
      </c>
      <c r="AS778">
        <f>'Revenue drivers'!AS532</f>
        <v>2950</v>
      </c>
      <c r="AT778">
        <f>'Revenue drivers'!AT532</f>
        <v>3050</v>
      </c>
      <c r="AU778">
        <f>'Revenue drivers'!AU532</f>
        <v>3125</v>
      </c>
      <c r="AV778">
        <f>'Revenue drivers'!AV532</f>
        <v>3200</v>
      </c>
      <c r="AW778">
        <f>'Revenue drivers'!AW532</f>
        <v>3300</v>
      </c>
      <c r="AX778">
        <f>'Revenue drivers'!AX532</f>
        <v>3400</v>
      </c>
      <c r="AY778">
        <f>'Revenue drivers'!AY532</f>
        <v>3475</v>
      </c>
      <c r="AZ778">
        <f>'Revenue drivers'!AZ532</f>
        <v>3525</v>
      </c>
      <c r="BA778">
        <f>'Revenue drivers'!BA532</f>
        <v>3605</v>
      </c>
      <c r="BB778">
        <f>'Revenue drivers'!BB532</f>
        <v>3685</v>
      </c>
      <c r="BC778">
        <f>'Revenue drivers'!BC532</f>
        <v>3735</v>
      </c>
      <c r="BD778">
        <f>'Revenue drivers'!BD532</f>
        <v>3775</v>
      </c>
      <c r="BE778">
        <f>'Revenue drivers'!BE532</f>
        <v>0</v>
      </c>
      <c r="BF778">
        <f>'Revenue drivers'!BF532</f>
        <v>0</v>
      </c>
      <c r="BG778">
        <f>'Revenue drivers'!BG532</f>
        <v>0</v>
      </c>
      <c r="BH778">
        <f>'Revenue drivers'!BH532</f>
        <v>0</v>
      </c>
      <c r="BI778">
        <f>'Revenue drivers'!BI532</f>
        <v>0</v>
      </c>
      <c r="BJ778">
        <f>'Revenue drivers'!BJ532</f>
        <v>0</v>
      </c>
      <c r="BK778">
        <f>'Revenue drivers'!BK532</f>
        <v>0</v>
      </c>
      <c r="BL778">
        <f>'Revenue drivers'!BL532</f>
        <v>769.23076923076928</v>
      </c>
      <c r="BM778">
        <f>'Revenue drivers'!BM532</f>
        <v>1100</v>
      </c>
      <c r="BN778">
        <f>'Revenue drivers'!BN532</f>
        <v>1550</v>
      </c>
      <c r="BO778">
        <f>'Revenue drivers'!BO532</f>
        <v>2200</v>
      </c>
      <c r="BP778">
        <f>'Revenue drivers'!BP532</f>
        <v>2450</v>
      </c>
      <c r="BQ778">
        <f>'Revenue drivers'!BQ532</f>
        <v>2850</v>
      </c>
      <c r="BR778">
        <f>'Revenue drivers'!BR532</f>
        <v>3200</v>
      </c>
      <c r="BS778">
        <f>'Revenue drivers'!BS532</f>
        <v>3525</v>
      </c>
      <c r="BT778">
        <f>'Revenue drivers'!BT532</f>
        <v>3775</v>
      </c>
      <c r="BU778">
        <f>'Revenue drivers'!BU532</f>
        <v>3962.5</v>
      </c>
      <c r="BV778">
        <f>'Revenue drivers'!BV532</f>
        <v>4093.75</v>
      </c>
      <c r="BW778">
        <f>'Revenue drivers'!BW532</f>
        <v>4185.625</v>
      </c>
      <c r="BX778">
        <f>'Revenue drivers'!BX532</f>
        <v>4249.9375</v>
      </c>
      <c r="BY778">
        <f>'Revenue drivers'!BY532</f>
        <v>4294.9562500000002</v>
      </c>
    </row>
    <row r="779" spans="9:77" ht="11.25" customHeight="1">
      <c r="I779">
        <f>'Revenue drivers'!I533</f>
        <v>0</v>
      </c>
      <c r="J779">
        <f>'Revenue drivers'!J533</f>
        <v>0</v>
      </c>
      <c r="K779">
        <f>'Revenue drivers'!K533</f>
        <v>0</v>
      </c>
      <c r="L779">
        <f>'Revenue drivers'!L533</f>
        <v>0</v>
      </c>
      <c r="M779">
        <f>'Revenue drivers'!M533</f>
        <v>0</v>
      </c>
      <c r="N779">
        <f>'Revenue drivers'!N533</f>
        <v>0</v>
      </c>
      <c r="O779">
        <f>'Revenue drivers'!O533</f>
        <v>0</v>
      </c>
      <c r="P779">
        <f>'Revenue drivers'!P533</f>
        <v>0</v>
      </c>
      <c r="Q779">
        <f>'Revenue drivers'!Q533</f>
        <v>0</v>
      </c>
      <c r="R779">
        <f>'Revenue drivers'!R533</f>
        <v>0</v>
      </c>
      <c r="S779">
        <f>'Revenue drivers'!S533</f>
        <v>0</v>
      </c>
      <c r="T779">
        <f>'Revenue drivers'!T533</f>
        <v>0</v>
      </c>
      <c r="U779">
        <f>'Revenue drivers'!U533</f>
        <v>0</v>
      </c>
      <c r="V779">
        <f>'Revenue drivers'!V533</f>
        <v>0</v>
      </c>
      <c r="W779">
        <f>'Revenue drivers'!W533</f>
        <v>0</v>
      </c>
      <c r="X779">
        <f>'Revenue drivers'!X533</f>
        <v>0</v>
      </c>
      <c r="Y779">
        <f>'Revenue drivers'!Y533</f>
        <v>0</v>
      </c>
      <c r="Z779">
        <f>'Revenue drivers'!Z533</f>
        <v>0</v>
      </c>
      <c r="AA779">
        <f>'Revenue drivers'!AA533</f>
        <v>0</v>
      </c>
      <c r="AB779">
        <f>'Revenue drivers'!AB533</f>
        <v>0</v>
      </c>
      <c r="AC779">
        <f>'Revenue drivers'!AC533</f>
        <v>0</v>
      </c>
      <c r="AD779">
        <f>'Revenue drivers'!AD533</f>
        <v>0</v>
      </c>
      <c r="AE779">
        <f>'Revenue drivers'!AE533</f>
        <v>0</v>
      </c>
      <c r="AF779">
        <f>'Revenue drivers'!AF533</f>
        <v>0</v>
      </c>
      <c r="AG779">
        <f>'Revenue drivers'!AG533</f>
        <v>0</v>
      </c>
      <c r="AH779">
        <f>'Revenue drivers'!AH533</f>
        <v>0</v>
      </c>
      <c r="AI779">
        <f>'Revenue drivers'!AI533</f>
        <v>0</v>
      </c>
      <c r="AJ779">
        <f>'Revenue drivers'!AJ533</f>
        <v>0</v>
      </c>
      <c r="AK779">
        <f>'Revenue drivers'!AK533</f>
        <v>0</v>
      </c>
      <c r="AL779">
        <f>'Revenue drivers'!AL533</f>
        <v>0</v>
      </c>
      <c r="AM779">
        <f>'Revenue drivers'!AM533</f>
        <v>0</v>
      </c>
      <c r="AN779">
        <f>'Revenue drivers'!AN533</f>
        <v>0</v>
      </c>
      <c r="AO779">
        <f>'Revenue drivers'!AO533</f>
        <v>0</v>
      </c>
      <c r="AP779">
        <f>'Revenue drivers'!AP533</f>
        <v>0</v>
      </c>
      <c r="AQ779">
        <f>'Revenue drivers'!AQ533</f>
        <v>0</v>
      </c>
      <c r="AR779">
        <f>'Revenue drivers'!AR533</f>
        <v>0</v>
      </c>
      <c r="AS779">
        <f>'Revenue drivers'!AS533</f>
        <v>0</v>
      </c>
      <c r="AT779">
        <f>'Revenue drivers'!AT533</f>
        <v>0</v>
      </c>
      <c r="AU779">
        <f>'Revenue drivers'!AU533</f>
        <v>0</v>
      </c>
      <c r="AV779">
        <f>'Revenue drivers'!AV533</f>
        <v>0</v>
      </c>
      <c r="AW779">
        <f>'Revenue drivers'!AW533</f>
        <v>0</v>
      </c>
      <c r="AX779">
        <f>'Revenue drivers'!AX533</f>
        <v>0</v>
      </c>
      <c r="AY779">
        <f>'Revenue drivers'!AY533</f>
        <v>0</v>
      </c>
      <c r="AZ779">
        <f>'Revenue drivers'!AZ533</f>
        <v>0</v>
      </c>
      <c r="BA779">
        <f>'Revenue drivers'!BA533</f>
        <v>0</v>
      </c>
      <c r="BB779">
        <f>'Revenue drivers'!BB533</f>
        <v>0</v>
      </c>
      <c r="BC779">
        <f>'Revenue drivers'!BC533</f>
        <v>0</v>
      </c>
      <c r="BD779">
        <f>'Revenue drivers'!BD533</f>
        <v>0</v>
      </c>
      <c r="BE779">
        <f>'Revenue drivers'!BE533</f>
        <v>0</v>
      </c>
      <c r="BF779">
        <f>'Revenue drivers'!BF533</f>
        <v>0</v>
      </c>
      <c r="BG779">
        <f>'Revenue drivers'!BG533</f>
        <v>0</v>
      </c>
      <c r="BH779">
        <f>'Revenue drivers'!BH533</f>
        <v>0</v>
      </c>
      <c r="BI779">
        <f>'Revenue drivers'!BI533</f>
        <v>0</v>
      </c>
      <c r="BJ779">
        <f>'Revenue drivers'!BJ533</f>
        <v>0</v>
      </c>
      <c r="BK779">
        <f>'Revenue drivers'!BK533</f>
        <v>0</v>
      </c>
      <c r="BL779">
        <f>'Revenue drivers'!BL533</f>
        <v>0</v>
      </c>
      <c r="BM779">
        <f>'Revenue drivers'!BM533</f>
        <v>0</v>
      </c>
      <c r="BN779">
        <f>'Revenue drivers'!BN533</f>
        <v>0</v>
      </c>
      <c r="BO779">
        <f>'Revenue drivers'!BO533</f>
        <v>0</v>
      </c>
      <c r="BP779">
        <f>'Revenue drivers'!BP533</f>
        <v>0.11363636363636354</v>
      </c>
      <c r="BQ779">
        <f>'Revenue drivers'!BQ533</f>
        <v>0</v>
      </c>
      <c r="BR779">
        <f>'Revenue drivers'!BR533</f>
        <v>0</v>
      </c>
      <c r="BS779">
        <f>'Revenue drivers'!BS533</f>
        <v>0</v>
      </c>
      <c r="BT779">
        <f>'Revenue drivers'!BT533</f>
        <v>0</v>
      </c>
      <c r="BU779">
        <f>'Revenue drivers'!BU533</f>
        <v>0</v>
      </c>
      <c r="BV779">
        <f>'Revenue drivers'!BV533</f>
        <v>0</v>
      </c>
      <c r="BW779">
        <f>'Revenue drivers'!BW533</f>
        <v>0</v>
      </c>
      <c r="BX779">
        <f>'Revenue drivers'!BX533</f>
        <v>0</v>
      </c>
      <c r="BY779">
        <f>'Revenue drivers'!BY533</f>
        <v>0</v>
      </c>
    </row>
    <row r="780" spans="9:77" ht="11.25" customHeight="1">
      <c r="I780" t="str">
        <f>'Revenue drivers'!I534</f>
        <v>Total Local Ad Revenue (mn)</v>
      </c>
      <c r="J780">
        <f>'Revenue drivers'!J534</f>
        <v>0</v>
      </c>
      <c r="K780">
        <f>'Revenue drivers'!K534</f>
        <v>0</v>
      </c>
      <c r="L780">
        <f>'Revenue drivers'!L534</f>
        <v>0</v>
      </c>
      <c r="M780">
        <f>'Revenue drivers'!M534</f>
        <v>0</v>
      </c>
      <c r="N780">
        <f>'Revenue drivers'!N534</f>
        <v>0</v>
      </c>
      <c r="O780">
        <f>'Revenue drivers'!O534</f>
        <v>0</v>
      </c>
      <c r="P780">
        <f>'Revenue drivers'!P534</f>
        <v>0</v>
      </c>
      <c r="Q780">
        <f>'Revenue drivers'!Q534</f>
        <v>0</v>
      </c>
      <c r="R780">
        <f>'Revenue drivers'!R534</f>
        <v>0</v>
      </c>
      <c r="S780">
        <f>'Revenue drivers'!S534</f>
        <v>0</v>
      </c>
      <c r="T780">
        <f>'Revenue drivers'!T534</f>
        <v>0</v>
      </c>
      <c r="U780">
        <f>'Revenue drivers'!U534</f>
        <v>21.472999999999999</v>
      </c>
      <c r="V780">
        <f>'Revenue drivers'!V534</f>
        <v>25.254999999999999</v>
      </c>
      <c r="W780">
        <f>'Revenue drivers'!W534</f>
        <v>28.484999999999999</v>
      </c>
      <c r="X780">
        <f>'Revenue drivers'!X534</f>
        <v>33.945</v>
      </c>
      <c r="Y780">
        <f>'Revenue drivers'!Y534</f>
        <v>38.866</v>
      </c>
      <c r="Z780">
        <f>'Revenue drivers'!Z534</f>
        <v>44.8</v>
      </c>
      <c r="AA780">
        <f>'Revenue drivers'!AA534</f>
        <v>51.167000000000002</v>
      </c>
      <c r="AB780">
        <f>'Revenue drivers'!AB534</f>
        <v>58.052</v>
      </c>
      <c r="AC780">
        <f>'Revenue drivers'!AC534</f>
        <v>65.2</v>
      </c>
      <c r="AD780">
        <f>'Revenue drivers'!AD534</f>
        <v>75.685000000000002</v>
      </c>
      <c r="AE780">
        <f>'Revenue drivers'!AE534</f>
        <v>85.132000000000005</v>
      </c>
      <c r="AF780">
        <f>'Revenue drivers'!AF534</f>
        <v>93.1</v>
      </c>
      <c r="AG780">
        <f>'Revenue drivers'!AG534</f>
        <v>98.57</v>
      </c>
      <c r="AH780">
        <f>'Revenue drivers'!AH534</f>
        <v>107.88200000000001</v>
      </c>
      <c r="AI780">
        <f>'Revenue drivers'!AI534</f>
        <v>115.932</v>
      </c>
      <c r="AJ780">
        <f>'Revenue drivers'!AJ534</f>
        <v>125.851</v>
      </c>
      <c r="AK780">
        <f>'Revenue drivers'!AK534</f>
        <v>138.11600000000001</v>
      </c>
      <c r="AL780">
        <f>'Revenue drivers'!AL534</f>
        <v>151.87899999999999</v>
      </c>
      <c r="AM780">
        <f>'Revenue drivers'!AM534</f>
        <v>163.6</v>
      </c>
      <c r="AN780">
        <f>'Revenue drivers'!AN534</f>
        <v>171.1</v>
      </c>
      <c r="AO780">
        <f>'Revenue drivers'!AO534</f>
        <v>177</v>
      </c>
      <c r="AP780">
        <f>'Revenue drivers'!AP534</f>
        <v>187.87899999999999</v>
      </c>
      <c r="AQ780">
        <f>'Revenue drivers'!AQ534</f>
        <v>197.6</v>
      </c>
      <c r="AR780">
        <f>'Revenue drivers'!AR534</f>
        <v>209.1</v>
      </c>
      <c r="AS780">
        <f>'Revenue drivers'!AS534</f>
        <v>213</v>
      </c>
      <c r="AT780">
        <f>'Revenue drivers'!AT534</f>
        <v>224.87899999999999</v>
      </c>
      <c r="AU780">
        <f>'Revenue drivers'!AU534</f>
        <v>234.6</v>
      </c>
      <c r="AV780">
        <f>'Revenue drivers'!AV534</f>
        <v>245.1</v>
      </c>
      <c r="AW780">
        <f>'Revenue drivers'!AW534</f>
        <v>250</v>
      </c>
      <c r="AX780">
        <f>'Revenue drivers'!AX534</f>
        <v>261.87900000000002</v>
      </c>
      <c r="AY780">
        <f>'Revenue drivers'!AY534</f>
        <v>271.60000000000002</v>
      </c>
      <c r="AZ780">
        <f>'Revenue drivers'!AZ534</f>
        <v>282.10000000000002</v>
      </c>
      <c r="BA780">
        <f>'Revenue drivers'!BA534</f>
        <v>287</v>
      </c>
      <c r="BB780">
        <f>'Revenue drivers'!BB534</f>
        <v>298.87900000000002</v>
      </c>
      <c r="BC780">
        <f>'Revenue drivers'!BC534</f>
        <v>308.60000000000002</v>
      </c>
      <c r="BD780">
        <f>'Revenue drivers'!BD534</f>
        <v>319.10000000000002</v>
      </c>
      <c r="BE780">
        <f>'Revenue drivers'!BE534</f>
        <v>0</v>
      </c>
      <c r="BF780">
        <f>'Revenue drivers'!BF534</f>
        <v>0</v>
      </c>
      <c r="BG780">
        <f>'Revenue drivers'!BG534</f>
        <v>0</v>
      </c>
      <c r="BH780">
        <f>'Revenue drivers'!BH534</f>
        <v>0</v>
      </c>
      <c r="BI780">
        <f>'Revenue drivers'!BI534</f>
        <v>0</v>
      </c>
      <c r="BJ780">
        <f>'Revenue drivers'!BJ534</f>
        <v>0</v>
      </c>
      <c r="BK780">
        <f>'Revenue drivers'!BK534</f>
        <v>0</v>
      </c>
      <c r="BL780">
        <f>'Revenue drivers'!BL534</f>
        <v>109.15799999999999</v>
      </c>
      <c r="BM780">
        <f>'Revenue drivers'!BM534</f>
        <v>192.88499999999999</v>
      </c>
      <c r="BN780">
        <f>'Revenue drivers'!BN534</f>
        <v>319.11699999999996</v>
      </c>
      <c r="BO780">
        <f>'Revenue drivers'!BO534</f>
        <v>448.23500000000001</v>
      </c>
      <c r="BP780">
        <f>'Revenue drivers'!BP534</f>
        <v>624.69500000000005</v>
      </c>
      <c r="BQ780">
        <f>'Revenue drivers'!BQ534</f>
        <v>771.57900000000006</v>
      </c>
      <c r="BR780">
        <f>'Revenue drivers'!BR534</f>
        <v>917.57900000000006</v>
      </c>
      <c r="BS780">
        <f>'Revenue drivers'!BS534</f>
        <v>1065.5790000000002</v>
      </c>
      <c r="BT780">
        <f>'Revenue drivers'!BT534</f>
        <v>1213.5790000000002</v>
      </c>
      <c r="BU780">
        <f>'Revenue drivers'!BU534</f>
        <v>1343.5790000000002</v>
      </c>
      <c r="BV780">
        <f>'Revenue drivers'!BV534</f>
        <v>1467.5790000000002</v>
      </c>
      <c r="BW780">
        <f>'Revenue drivers'!BW534</f>
        <v>1576.5790000000002</v>
      </c>
      <c r="BX780">
        <f>'Revenue drivers'!BX534</f>
        <v>1680.5790000000002</v>
      </c>
      <c r="BY780">
        <f>'Revenue drivers'!BY534</f>
        <v>1780.5790000000002</v>
      </c>
    </row>
    <row r="781" spans="9:77" ht="11.25" customHeight="1">
      <c r="I781" t="str">
        <f>'Revenue drivers'!I535</f>
        <v>% change Q/Q</v>
      </c>
      <c r="J781">
        <f>'Revenue drivers'!J535</f>
        <v>0</v>
      </c>
      <c r="K781">
        <f>'Revenue drivers'!K535</f>
        <v>0</v>
      </c>
      <c r="L781">
        <f>'Revenue drivers'!L535</f>
        <v>0</v>
      </c>
      <c r="M781">
        <f>'Revenue drivers'!M535</f>
        <v>0</v>
      </c>
      <c r="N781">
        <f>'Revenue drivers'!N535</f>
        <v>0</v>
      </c>
      <c r="O781">
        <f>'Revenue drivers'!O535</f>
        <v>0</v>
      </c>
      <c r="P781">
        <f>'Revenue drivers'!P535</f>
        <v>0</v>
      </c>
      <c r="Q781">
        <f>'Revenue drivers'!Q535</f>
        <v>0</v>
      </c>
      <c r="R781">
        <f>'Revenue drivers'!R535</f>
        <v>0</v>
      </c>
      <c r="S781">
        <f>'Revenue drivers'!S535</f>
        <v>0</v>
      </c>
      <c r="T781">
        <f>'Revenue drivers'!T535</f>
        <v>0</v>
      </c>
      <c r="U781">
        <f>'Revenue drivers'!U535</f>
        <v>0</v>
      </c>
      <c r="V781">
        <f>'Revenue drivers'!V535</f>
        <v>0.17612816094630457</v>
      </c>
      <c r="W781">
        <f>'Revenue drivers'!W535</f>
        <v>0.12789546624430814</v>
      </c>
      <c r="X781">
        <f>'Revenue drivers'!X535</f>
        <v>0.19167983149025813</v>
      </c>
      <c r="Y781">
        <f>'Revenue drivers'!Y535</f>
        <v>0.14496980409485927</v>
      </c>
      <c r="Z781">
        <f>'Revenue drivers'!Z535</f>
        <v>0.15267843359234279</v>
      </c>
      <c r="AA781">
        <f>'Revenue drivers'!AA535</f>
        <v>0.14212053571428584</v>
      </c>
      <c r="AB781">
        <f>'Revenue drivers'!AB535</f>
        <v>0.13455938397795442</v>
      </c>
      <c r="AC781">
        <f>'Revenue drivers'!AC535</f>
        <v>0.12313098601254047</v>
      </c>
      <c r="AD781">
        <f>'Revenue drivers'!AD535</f>
        <v>0.16081288343558287</v>
      </c>
      <c r="AE781">
        <f>'Revenue drivers'!AE535</f>
        <v>0.12481997753848195</v>
      </c>
      <c r="AF781">
        <f>'Revenue drivers'!AF535</f>
        <v>9.3595827655875485E-2</v>
      </c>
      <c r="AG781">
        <f>'Revenue drivers'!AG535</f>
        <v>5.8754027926960273E-2</v>
      </c>
      <c r="AH781">
        <f>'Revenue drivers'!AH535</f>
        <v>9.4470934361367664E-2</v>
      </c>
      <c r="AI781">
        <f>'Revenue drivers'!AI535</f>
        <v>7.4618564728128778E-2</v>
      </c>
      <c r="AJ781">
        <f>'Revenue drivers'!AJ535</f>
        <v>8.5558775834109646E-2</v>
      </c>
      <c r="AK781">
        <f>'Revenue drivers'!AK535</f>
        <v>9.7456516038807894E-2</v>
      </c>
      <c r="AL781">
        <f>'Revenue drivers'!AL535</f>
        <v>9.964812186857408E-2</v>
      </c>
      <c r="AM781">
        <f>'Revenue drivers'!AM535</f>
        <v>7.7173276094786081E-2</v>
      </c>
      <c r="AN781">
        <f>'Revenue drivers'!AN535</f>
        <v>4.5843520782396174E-2</v>
      </c>
      <c r="AO781">
        <f>'Revenue drivers'!AO535</f>
        <v>3.4482758620689724E-2</v>
      </c>
      <c r="AP781">
        <f>'Revenue drivers'!AP535</f>
        <v>6.1463276836158043E-2</v>
      </c>
      <c r="AQ781">
        <f>'Revenue drivers'!AQ535</f>
        <v>5.1740748034639239E-2</v>
      </c>
      <c r="AR781">
        <f>'Revenue drivers'!AR535</f>
        <v>5.81983805668016E-2</v>
      </c>
      <c r="AS781">
        <f>'Revenue drivers'!AS535</f>
        <v>1.8651362984218212E-2</v>
      </c>
      <c r="AT781">
        <f>'Revenue drivers'!AT535</f>
        <v>5.5769953051643117E-2</v>
      </c>
      <c r="AU781">
        <f>'Revenue drivers'!AU535</f>
        <v>4.3227691336229723E-2</v>
      </c>
      <c r="AV781">
        <f>'Revenue drivers'!AV535</f>
        <v>4.4757033248081779E-2</v>
      </c>
      <c r="AW781">
        <f>'Revenue drivers'!AW535</f>
        <v>1.9991840065279431E-2</v>
      </c>
      <c r="AX781">
        <f>'Revenue drivers'!AX535</f>
        <v>4.7516000000000114E-2</v>
      </c>
      <c r="AY781">
        <f>'Revenue drivers'!AY535</f>
        <v>3.712019673207867E-2</v>
      </c>
      <c r="AZ781">
        <f>'Revenue drivers'!AZ535</f>
        <v>3.8659793814433074E-2</v>
      </c>
      <c r="BA781">
        <f>'Revenue drivers'!BA535</f>
        <v>1.7369727047146233E-2</v>
      </c>
      <c r="BB781">
        <f>'Revenue drivers'!BB535</f>
        <v>4.1390243902439172E-2</v>
      </c>
      <c r="BC781">
        <f>'Revenue drivers'!BC535</f>
        <v>3.2524867923139578E-2</v>
      </c>
      <c r="BD781">
        <f>'Revenue drivers'!BD535</f>
        <v>3.4024627349319436E-2</v>
      </c>
      <c r="BE781">
        <f>'Revenue drivers'!BE535</f>
        <v>0</v>
      </c>
      <c r="BF781">
        <f>'Revenue drivers'!BF535</f>
        <v>0</v>
      </c>
      <c r="BG781">
        <f>'Revenue drivers'!BG535</f>
        <v>0</v>
      </c>
      <c r="BH781">
        <f>'Revenue drivers'!BH535</f>
        <v>0</v>
      </c>
      <c r="BI781">
        <f>'Revenue drivers'!BI535</f>
        <v>0</v>
      </c>
      <c r="BJ781">
        <f>'Revenue drivers'!BJ535</f>
        <v>0</v>
      </c>
      <c r="BK781">
        <f>'Revenue drivers'!BK535</f>
        <v>0</v>
      </c>
      <c r="BL781">
        <f>'Revenue drivers'!BL535</f>
        <v>0</v>
      </c>
      <c r="BM781">
        <f>'Revenue drivers'!BM535</f>
        <v>0</v>
      </c>
      <c r="BN781">
        <f>'Revenue drivers'!BN535</f>
        <v>0</v>
      </c>
      <c r="BO781">
        <f>'Revenue drivers'!BO535</f>
        <v>0</v>
      </c>
      <c r="BP781">
        <f>'Revenue drivers'!BP535</f>
        <v>0</v>
      </c>
      <c r="BQ781">
        <f>'Revenue drivers'!BQ535</f>
        <v>0</v>
      </c>
      <c r="BR781">
        <f>'Revenue drivers'!BR535</f>
        <v>0</v>
      </c>
      <c r="BS781">
        <f>'Revenue drivers'!BS535</f>
        <v>0</v>
      </c>
      <c r="BT781">
        <f>'Revenue drivers'!BT535</f>
        <v>0</v>
      </c>
      <c r="BU781">
        <f>'Revenue drivers'!BU535</f>
        <v>0</v>
      </c>
      <c r="BV781">
        <f>'Revenue drivers'!BV535</f>
        <v>0</v>
      </c>
      <c r="BW781">
        <f>'Revenue drivers'!BW535</f>
        <v>0</v>
      </c>
      <c r="BX781">
        <f>'Revenue drivers'!BX535</f>
        <v>0</v>
      </c>
      <c r="BY781">
        <f>'Revenue drivers'!BY535</f>
        <v>0</v>
      </c>
    </row>
    <row r="782" spans="9:77" ht="11.25" customHeight="1">
      <c r="I782" t="str">
        <f>'Revenue drivers'!I536</f>
        <v>Abs change Q/Q</v>
      </c>
      <c r="J782">
        <f>'Revenue drivers'!J536</f>
        <v>0</v>
      </c>
      <c r="K782">
        <f>'Revenue drivers'!K536</f>
        <v>0</v>
      </c>
      <c r="L782">
        <f>'Revenue drivers'!L536</f>
        <v>0</v>
      </c>
      <c r="M782">
        <f>'Revenue drivers'!M536</f>
        <v>0</v>
      </c>
      <c r="N782">
        <f>'Revenue drivers'!N536</f>
        <v>0</v>
      </c>
      <c r="O782">
        <f>'Revenue drivers'!O536</f>
        <v>0</v>
      </c>
      <c r="P782">
        <f>'Revenue drivers'!P536</f>
        <v>0</v>
      </c>
      <c r="Q782">
        <f>'Revenue drivers'!Q536</f>
        <v>0</v>
      </c>
      <c r="R782">
        <f>'Revenue drivers'!R536</f>
        <v>0</v>
      </c>
      <c r="S782">
        <f>'Revenue drivers'!S536</f>
        <v>0</v>
      </c>
      <c r="T782">
        <f>'Revenue drivers'!T536</f>
        <v>0</v>
      </c>
      <c r="U782">
        <f>'Revenue drivers'!U536</f>
        <v>0</v>
      </c>
      <c r="V782">
        <f>'Revenue drivers'!V536</f>
        <v>3.782</v>
      </c>
      <c r="W782">
        <f>'Revenue drivers'!W536</f>
        <v>3.2300000000000004</v>
      </c>
      <c r="X782">
        <f>'Revenue drivers'!X536</f>
        <v>5.4600000000000009</v>
      </c>
      <c r="Y782">
        <f>'Revenue drivers'!Y536</f>
        <v>4.9209999999999994</v>
      </c>
      <c r="Z782">
        <f>'Revenue drivers'!Z536</f>
        <v>5.9339999999999975</v>
      </c>
      <c r="AA782">
        <f>'Revenue drivers'!AA536</f>
        <v>6.3670000000000044</v>
      </c>
      <c r="AB782">
        <f>'Revenue drivers'!AB536</f>
        <v>6.884999999999998</v>
      </c>
      <c r="AC782">
        <f>'Revenue drivers'!AC536</f>
        <v>7.1480000000000032</v>
      </c>
      <c r="AD782">
        <f>'Revenue drivers'!AD536</f>
        <v>10.484999999999999</v>
      </c>
      <c r="AE782">
        <f>'Revenue drivers'!AE536</f>
        <v>9.4470000000000027</v>
      </c>
      <c r="AF782">
        <f>'Revenue drivers'!AF536</f>
        <v>7.9679999999999893</v>
      </c>
      <c r="AG782">
        <f>'Revenue drivers'!AG536</f>
        <v>5.4699999999999989</v>
      </c>
      <c r="AH782">
        <f>'Revenue drivers'!AH536</f>
        <v>9.3120000000000118</v>
      </c>
      <c r="AI782">
        <f>'Revenue drivers'!AI536</f>
        <v>8.0499999999999972</v>
      </c>
      <c r="AJ782">
        <f>'Revenue drivers'!AJ536</f>
        <v>9.9189999999999969</v>
      </c>
      <c r="AK782">
        <f>'Revenue drivers'!AK536</f>
        <v>12.265000000000015</v>
      </c>
      <c r="AL782">
        <f>'Revenue drivers'!AL536</f>
        <v>13.762999999999977</v>
      </c>
      <c r="AM782">
        <f>'Revenue drivers'!AM536</f>
        <v>11.721000000000004</v>
      </c>
      <c r="AN782">
        <f>'Revenue drivers'!AN536</f>
        <v>7.5</v>
      </c>
      <c r="AO782">
        <f>'Revenue drivers'!AO536</f>
        <v>5.9000000000000057</v>
      </c>
      <c r="AP782">
        <f>'Revenue drivers'!AP536</f>
        <v>10.878999999999991</v>
      </c>
      <c r="AQ782">
        <f>'Revenue drivers'!AQ536</f>
        <v>9.7210000000000036</v>
      </c>
      <c r="AR782">
        <f>'Revenue drivers'!AR536</f>
        <v>11.5</v>
      </c>
      <c r="AS782">
        <f>'Revenue drivers'!AS536</f>
        <v>3.9000000000000057</v>
      </c>
      <c r="AT782">
        <f>'Revenue drivers'!AT536</f>
        <v>11.878999999999991</v>
      </c>
      <c r="AU782">
        <f>'Revenue drivers'!AU536</f>
        <v>9.7210000000000036</v>
      </c>
      <c r="AV782">
        <f>'Revenue drivers'!AV536</f>
        <v>10.5</v>
      </c>
      <c r="AW782">
        <f>'Revenue drivers'!AW536</f>
        <v>4.9000000000000057</v>
      </c>
      <c r="AX782">
        <f>'Revenue drivers'!AX536</f>
        <v>11.879000000000019</v>
      </c>
      <c r="AY782">
        <f>'Revenue drivers'!AY536</f>
        <v>9.7210000000000036</v>
      </c>
      <c r="AZ782">
        <f>'Revenue drivers'!AZ536</f>
        <v>10.5</v>
      </c>
      <c r="BA782">
        <f>'Revenue drivers'!BA536</f>
        <v>4.8999999999999773</v>
      </c>
      <c r="BB782">
        <f>'Revenue drivers'!BB536</f>
        <v>11.879000000000019</v>
      </c>
      <c r="BC782">
        <f>'Revenue drivers'!BC536</f>
        <v>9.7210000000000036</v>
      </c>
      <c r="BD782">
        <f>'Revenue drivers'!BD536</f>
        <v>10.5</v>
      </c>
      <c r="BE782">
        <f>'Revenue drivers'!BE536</f>
        <v>0</v>
      </c>
      <c r="BF782">
        <f>'Revenue drivers'!BF536</f>
        <v>0</v>
      </c>
      <c r="BG782">
        <f>'Revenue drivers'!BG536</f>
        <v>0</v>
      </c>
      <c r="BH782">
        <f>'Revenue drivers'!BH536</f>
        <v>0</v>
      </c>
      <c r="BI782">
        <f>'Revenue drivers'!BI536</f>
        <v>0</v>
      </c>
      <c r="BJ782">
        <f>'Revenue drivers'!BJ536</f>
        <v>0</v>
      </c>
      <c r="BK782">
        <f>'Revenue drivers'!BK536</f>
        <v>0</v>
      </c>
      <c r="BL782">
        <f>'Revenue drivers'!BL536</f>
        <v>0</v>
      </c>
      <c r="BM782">
        <f>'Revenue drivers'!BM536</f>
        <v>0</v>
      </c>
      <c r="BN782">
        <f>'Revenue drivers'!BN536</f>
        <v>0</v>
      </c>
      <c r="BO782">
        <f>'Revenue drivers'!BO536</f>
        <v>0</v>
      </c>
      <c r="BP782">
        <f>'Revenue drivers'!BP536</f>
        <v>0</v>
      </c>
      <c r="BQ782">
        <f>'Revenue drivers'!BQ536</f>
        <v>0</v>
      </c>
      <c r="BR782">
        <f>'Revenue drivers'!BR536</f>
        <v>0</v>
      </c>
      <c r="BS782">
        <f>'Revenue drivers'!BS536</f>
        <v>0</v>
      </c>
      <c r="BT782">
        <f>'Revenue drivers'!BT536</f>
        <v>0</v>
      </c>
      <c r="BU782">
        <f>'Revenue drivers'!BU536</f>
        <v>0</v>
      </c>
      <c r="BV782">
        <f>'Revenue drivers'!BV536</f>
        <v>0</v>
      </c>
      <c r="BW782">
        <f>'Revenue drivers'!BW536</f>
        <v>0</v>
      </c>
      <c r="BX782">
        <f>'Revenue drivers'!BX536</f>
        <v>0</v>
      </c>
      <c r="BY782">
        <f>'Revenue drivers'!BY536</f>
        <v>0</v>
      </c>
    </row>
    <row r="783" spans="9:77" ht="11.25" customHeight="1">
      <c r="I783" t="str">
        <f>'Revenue drivers'!I537</f>
        <v>Total Local Ad Revenue per Sales Rep</v>
      </c>
      <c r="J783">
        <f>'Revenue drivers'!J537</f>
        <v>0</v>
      </c>
      <c r="K783">
        <f>'Revenue drivers'!K537</f>
        <v>0</v>
      </c>
      <c r="L783">
        <f>'Revenue drivers'!L537</f>
        <v>0</v>
      </c>
      <c r="M783">
        <f>'Revenue drivers'!M537</f>
        <v>0</v>
      </c>
      <c r="N783">
        <f>'Revenue drivers'!N537</f>
        <v>0</v>
      </c>
      <c r="O783">
        <f>'Revenue drivers'!O537</f>
        <v>0</v>
      </c>
      <c r="P783">
        <f>'Revenue drivers'!P537</f>
        <v>0</v>
      </c>
      <c r="Q783">
        <f>'Revenue drivers'!Q537</f>
        <v>0</v>
      </c>
      <c r="R783">
        <f>'Revenue drivers'!R537</f>
        <v>0</v>
      </c>
      <c r="S783">
        <f>'Revenue drivers'!S537</f>
        <v>0</v>
      </c>
      <c r="T783">
        <f>'Revenue drivers'!T537</f>
        <v>0</v>
      </c>
      <c r="U783">
        <f>'Revenue drivers'!U537</f>
        <v>40261.874999999993</v>
      </c>
      <c r="V783">
        <f>'Revenue drivers'!V537</f>
        <v>45918.181818181816</v>
      </c>
      <c r="W783">
        <f>'Revenue drivers'!W537</f>
        <v>45469.014084507042</v>
      </c>
      <c r="X783">
        <f>'Revenue drivers'!X537</f>
        <v>46643.595854922285</v>
      </c>
      <c r="Y783">
        <f>'Revenue drivers'!Y537</f>
        <v>49535.098039215685</v>
      </c>
      <c r="Z783">
        <f>'Revenue drivers'!Z537</f>
        <v>54303.030303030297</v>
      </c>
      <c r="AA783">
        <f>'Revenue drivers'!AA537</f>
        <v>53860.000000000007</v>
      </c>
      <c r="AB783">
        <f>'Revenue drivers'!AB537</f>
        <v>54001.860465116275</v>
      </c>
      <c r="AC783">
        <f>'Revenue drivers'!AC537</f>
        <v>55489.361702127666</v>
      </c>
      <c r="AD783">
        <f>'Revenue drivers'!AD537</f>
        <v>58219.230769230773</v>
      </c>
      <c r="AE783">
        <f>'Revenue drivers'!AE537</f>
        <v>58711.724137931036</v>
      </c>
      <c r="AF783">
        <f>'Revenue drivers'!AF537</f>
        <v>60064.516129032258</v>
      </c>
      <c r="AG783">
        <f>'Revenue drivers'!AG537</f>
        <v>62584.126984126975</v>
      </c>
      <c r="AH783">
        <f>'Revenue drivers'!AH537</f>
        <v>64407.164179104482</v>
      </c>
      <c r="AI783">
        <f>'Revenue drivers'!AI537</f>
        <v>60224.41558441559</v>
      </c>
      <c r="AJ783">
        <f>'Revenue drivers'!AJ537</f>
        <v>58535.348837209305</v>
      </c>
      <c r="AK783">
        <f>'Revenue drivers'!AK537</f>
        <v>61384.888888888891</v>
      </c>
      <c r="AL783">
        <f>'Revenue drivers'!AL537</f>
        <v>64629.361702127659</v>
      </c>
      <c r="AM783">
        <f>'Revenue drivers'!AM537</f>
        <v>66775.510204081642</v>
      </c>
      <c r="AN783">
        <f>'Revenue drivers'!AN537</f>
        <v>69131.313131313131</v>
      </c>
      <c r="AO783">
        <f>'Revenue drivers'!AO537</f>
        <v>70800</v>
      </c>
      <c r="AP783">
        <f>'Revenue drivers'!AP537</f>
        <v>72261.153846153829</v>
      </c>
      <c r="AQ783">
        <f>'Revenue drivers'!AQ537</f>
        <v>73185.185185185182</v>
      </c>
      <c r="AR783">
        <f>'Revenue drivers'!AR537</f>
        <v>74678.57142857142</v>
      </c>
      <c r="AS783">
        <f>'Revenue drivers'!AS537</f>
        <v>73448.275862068971</v>
      </c>
      <c r="AT783">
        <f>'Revenue drivers'!AT537</f>
        <v>74959.666666666657</v>
      </c>
      <c r="AU783">
        <f>'Revenue drivers'!AU537</f>
        <v>75983.805668016197</v>
      </c>
      <c r="AV783">
        <f>'Revenue drivers'!AV537</f>
        <v>77501.976284584976</v>
      </c>
      <c r="AW783">
        <f>'Revenue drivers'!AW537</f>
        <v>76923.076923076922</v>
      </c>
      <c r="AX783">
        <f>'Revenue drivers'!AX537</f>
        <v>78172.835820895532</v>
      </c>
      <c r="AY783">
        <f>'Revenue drivers'!AY537</f>
        <v>79010.909090909103</v>
      </c>
      <c r="AZ783">
        <f>'Revenue drivers'!AZ537</f>
        <v>80600</v>
      </c>
      <c r="BA783">
        <f>'Revenue drivers'!BA537</f>
        <v>80504.908835904629</v>
      </c>
      <c r="BB783">
        <f>'Revenue drivers'!BB537</f>
        <v>81996.982167352544</v>
      </c>
      <c r="BC783">
        <f>'Revenue drivers'!BC537</f>
        <v>83180.592991913756</v>
      </c>
      <c r="BD783">
        <f>'Revenue drivers'!BD537</f>
        <v>84980.026631158456</v>
      </c>
      <c r="BE783">
        <f>'Revenue drivers'!BE537</f>
        <v>0</v>
      </c>
      <c r="BF783">
        <f>'Revenue drivers'!BF537</f>
        <v>0</v>
      </c>
      <c r="BG783">
        <f>'Revenue drivers'!BG537</f>
        <v>0</v>
      </c>
      <c r="BH783">
        <f>'Revenue drivers'!BH537</f>
        <v>0</v>
      </c>
      <c r="BI783">
        <f>'Revenue drivers'!BI537</f>
        <v>0</v>
      </c>
      <c r="BJ783">
        <f>'Revenue drivers'!BJ537</f>
        <v>0</v>
      </c>
      <c r="BK783">
        <f>'Revenue drivers'!BK537</f>
        <v>0</v>
      </c>
      <c r="BL783">
        <f>'Revenue drivers'!BL537</f>
        <v>141905.4</v>
      </c>
      <c r="BM783">
        <f>'Revenue drivers'!BM537</f>
        <v>206379.01234567899</v>
      </c>
      <c r="BN783">
        <f>'Revenue drivers'!BN537</f>
        <v>240843.01886792449</v>
      </c>
      <c r="BO783">
        <f>'Revenue drivers'!BO537</f>
        <v>239058.66666666666</v>
      </c>
      <c r="BP783">
        <f>'Revenue drivers'!BP537</f>
        <v>268686.02150537632</v>
      </c>
      <c r="BQ783">
        <f>'Revenue drivers'!BQ537</f>
        <v>291161.88679245289</v>
      </c>
      <c r="BR783">
        <f>'Revenue drivers'!BR537</f>
        <v>303331.9008264463</v>
      </c>
      <c r="BS783">
        <f>'Revenue drivers'!BS537</f>
        <v>316900.81784386619</v>
      </c>
      <c r="BT783">
        <f>'Revenue drivers'!BT537</f>
        <v>332487.39726027404</v>
      </c>
      <c r="BU783">
        <f>'Revenue drivers'!BU537</f>
        <v>347290.21001615515</v>
      </c>
      <c r="BV783">
        <f>'Revenue drivers'!BV537</f>
        <v>364333.03335919318</v>
      </c>
      <c r="BW783">
        <f>'Revenue drivers'!BW537</f>
        <v>380844.93092775729</v>
      </c>
      <c r="BX783">
        <f>'Revenue drivers'!BX537</f>
        <v>398450.9628136832</v>
      </c>
      <c r="BY783">
        <f>'Revenue drivers'!BY537</f>
        <v>416758.60510260885</v>
      </c>
    </row>
    <row r="784" spans="9:77" ht="11.25" customHeight="1">
      <c r="I784" t="str">
        <f>'Revenue drivers'!I538</f>
        <v>% change Y/Y</v>
      </c>
      <c r="J784">
        <f>'Revenue drivers'!J538</f>
        <v>0</v>
      </c>
      <c r="K784">
        <f>'Revenue drivers'!K538</f>
        <v>0</v>
      </c>
      <c r="L784">
        <f>'Revenue drivers'!L538</f>
        <v>0</v>
      </c>
      <c r="M784">
        <f>'Revenue drivers'!M538</f>
        <v>0</v>
      </c>
      <c r="N784">
        <f>'Revenue drivers'!N538</f>
        <v>0</v>
      </c>
      <c r="O784">
        <f>'Revenue drivers'!O538</f>
        <v>0</v>
      </c>
      <c r="P784">
        <f>'Revenue drivers'!P538</f>
        <v>0</v>
      </c>
      <c r="Q784">
        <f>'Revenue drivers'!Q538</f>
        <v>0</v>
      </c>
      <c r="R784">
        <f>'Revenue drivers'!R538</f>
        <v>0</v>
      </c>
      <c r="S784">
        <f>'Revenue drivers'!S538</f>
        <v>0</v>
      </c>
      <c r="T784">
        <f>'Revenue drivers'!T538</f>
        <v>0</v>
      </c>
      <c r="U784">
        <f>'Revenue drivers'!U538</f>
        <v>0</v>
      </c>
      <c r="V784">
        <f>'Revenue drivers'!V538</f>
        <v>0</v>
      </c>
      <c r="W784">
        <f>'Revenue drivers'!W538</f>
        <v>0</v>
      </c>
      <c r="X784">
        <f>'Revenue drivers'!X538</f>
        <v>0</v>
      </c>
      <c r="Y784">
        <f>'Revenue drivers'!Y538</f>
        <v>0</v>
      </c>
      <c r="Z784">
        <f>'Revenue drivers'!Z538</f>
        <v>0.18260410479772982</v>
      </c>
      <c r="AA784">
        <f>'Revenue drivers'!AA538</f>
        <v>0.18454294830096352</v>
      </c>
      <c r="AB784">
        <f>'Revenue drivers'!AB538</f>
        <v>0.15775508888896006</v>
      </c>
      <c r="AC784">
        <f>'Revenue drivers'!AC538</f>
        <v>0.12020292476655925</v>
      </c>
      <c r="AD784">
        <f>'Revenue drivers'!AD538</f>
        <v>7.2117530906593563E-2</v>
      </c>
      <c r="AE784">
        <f>'Revenue drivers'!AE538</f>
        <v>9.0080284774062935E-2</v>
      </c>
      <c r="AF784">
        <f>'Revenue drivers'!AF538</f>
        <v>0.11226753322382832</v>
      </c>
      <c r="AG784">
        <f>'Revenue drivers'!AG538</f>
        <v>0.12785811666179736</v>
      </c>
      <c r="AH784">
        <f>'Revenue drivers'!AH538</f>
        <v>0.10628676002954118</v>
      </c>
      <c r="AI784">
        <f>'Revenue drivers'!AI538</f>
        <v>2.5764725337154015E-2</v>
      </c>
      <c r="AJ784">
        <f>'Revenue drivers'!AJ538</f>
        <v>-2.5458746534109289E-2</v>
      </c>
      <c r="AK784">
        <f>'Revenue drivers'!AK538</f>
        <v>-1.9162016840823637E-2</v>
      </c>
      <c r="AL784">
        <f>'Revenue drivers'!AL538</f>
        <v>3.4498883137485947E-3</v>
      </c>
      <c r="AM784">
        <f>'Revenue drivers'!AM538</f>
        <v>0.10877805215865455</v>
      </c>
      <c r="AN784">
        <f>'Revenue drivers'!AN538</f>
        <v>0.18101821385863626</v>
      </c>
      <c r="AO784">
        <f>'Revenue drivers'!AO538</f>
        <v>0.15337831967331805</v>
      </c>
      <c r="AP784">
        <f>'Revenue drivers'!AP538</f>
        <v>0.11808552557273555</v>
      </c>
      <c r="AQ784">
        <f>'Revenue drivers'!AQ538</f>
        <v>9.5988408946843906E-2</v>
      </c>
      <c r="AR784">
        <f>'Revenue drivers'!AR538</f>
        <v>8.0242339484010827E-2</v>
      </c>
      <c r="AS784">
        <f>'Revenue drivers'!AS538</f>
        <v>3.7405026300409094E-2</v>
      </c>
      <c r="AT784">
        <f>'Revenue drivers'!AT538</f>
        <v>3.734389332141097E-2</v>
      </c>
      <c r="AU784">
        <f>'Revenue drivers'!AU538</f>
        <v>3.8240259633824492E-2</v>
      </c>
      <c r="AV784">
        <f>'Revenue drivers'!AV538</f>
        <v>3.7807429922706692E-2</v>
      </c>
      <c r="AW784">
        <f>'Revenue drivers'!AW538</f>
        <v>4.7309498013723195E-2</v>
      </c>
      <c r="AX784">
        <f>'Revenue drivers'!AX538</f>
        <v>4.2865307399475361E-2</v>
      </c>
      <c r="AY784">
        <f>'Revenue drivers'!AY538</f>
        <v>3.9838797178950669E-2</v>
      </c>
      <c r="AZ784">
        <f>'Revenue drivers'!AZ538</f>
        <v>3.9973480212158297E-2</v>
      </c>
      <c r="BA784">
        <f>'Revenue drivers'!BA538</f>
        <v>4.65638148667602E-2</v>
      </c>
      <c r="BB784">
        <f>'Revenue drivers'!BB538</f>
        <v>4.8919120130407556E-2</v>
      </c>
      <c r="BC784">
        <f>'Revenue drivers'!BC538</f>
        <v>5.2773521390660827E-2</v>
      </c>
      <c r="BD784">
        <f>'Revenue drivers'!BD538</f>
        <v>5.4342762173181791E-2</v>
      </c>
      <c r="BE784">
        <f>'Revenue drivers'!BE538</f>
        <v>0</v>
      </c>
      <c r="BF784">
        <f>'Revenue drivers'!BF538</f>
        <v>0</v>
      </c>
      <c r="BG784">
        <f>'Revenue drivers'!BG538</f>
        <v>0</v>
      </c>
      <c r="BH784">
        <f>'Revenue drivers'!BH538</f>
        <v>0</v>
      </c>
      <c r="BI784">
        <f>'Revenue drivers'!BI538</f>
        <v>0</v>
      </c>
      <c r="BJ784">
        <f>'Revenue drivers'!BJ538</f>
        <v>0</v>
      </c>
      <c r="BK784">
        <f>'Revenue drivers'!BK538</f>
        <v>0</v>
      </c>
      <c r="BL784">
        <f>'Revenue drivers'!BL538</f>
        <v>0</v>
      </c>
      <c r="BM784">
        <f>'Revenue drivers'!BM538</f>
        <v>0.45434220505829237</v>
      </c>
      <c r="BN784">
        <f>'Revenue drivers'!BN538</f>
        <v>0.16699375644127645</v>
      </c>
      <c r="BO784">
        <f>'Revenue drivers'!BO538</f>
        <v>-7.4087769271665715E-3</v>
      </c>
      <c r="BP784">
        <f>'Revenue drivers'!BP538</f>
        <v>0.12393340618778237</v>
      </c>
      <c r="BQ784">
        <f>'Revenue drivers'!BQ538</f>
        <v>8.365104057572581E-2</v>
      </c>
      <c r="BR784">
        <f>'Revenue drivers'!BR538</f>
        <v>4.1798101283319733E-2</v>
      </c>
      <c r="BS784">
        <f>'Revenue drivers'!BS538</f>
        <v>4.4732904717408761E-2</v>
      </c>
      <c r="BT784">
        <f>'Revenue drivers'!BT538</f>
        <v>4.9184408934177082E-2</v>
      </c>
      <c r="BU784">
        <f>'Revenue drivers'!BU538</f>
        <v>4.452142510620738E-2</v>
      </c>
      <c r="BV784">
        <f>'Revenue drivers'!BV538</f>
        <v>4.9073722355275295E-2</v>
      </c>
      <c r="BW784">
        <f>'Revenue drivers'!BW538</f>
        <v>4.5320890659632074E-2</v>
      </c>
      <c r="BX784">
        <f>'Revenue drivers'!BX538</f>
        <v>4.6228872846060254E-2</v>
      </c>
      <c r="BY784">
        <f>'Revenue drivers'!BY538</f>
        <v>4.5947039905852582E-2</v>
      </c>
    </row>
    <row r="785" spans="9:77" ht="11.25" customHeight="1">
      <c r="I785" t="str">
        <f>'Revenue drivers'!I539</f>
        <v>Two-Year change Y/Y</v>
      </c>
      <c r="J785">
        <f>'Revenue drivers'!J539</f>
        <v>0</v>
      </c>
      <c r="K785">
        <f>'Revenue drivers'!K539</f>
        <v>0</v>
      </c>
      <c r="L785">
        <f>'Revenue drivers'!L539</f>
        <v>0</v>
      </c>
      <c r="M785">
        <f>'Revenue drivers'!M539</f>
        <v>0</v>
      </c>
      <c r="N785">
        <f>'Revenue drivers'!N539</f>
        <v>0</v>
      </c>
      <c r="O785">
        <f>'Revenue drivers'!O539</f>
        <v>0</v>
      </c>
      <c r="P785">
        <f>'Revenue drivers'!P539</f>
        <v>0</v>
      </c>
      <c r="Q785">
        <f>'Revenue drivers'!Q539</f>
        <v>0</v>
      </c>
      <c r="R785">
        <f>'Revenue drivers'!R539</f>
        <v>0</v>
      </c>
      <c r="S785">
        <f>'Revenue drivers'!S539</f>
        <v>0</v>
      </c>
      <c r="T785">
        <f>'Revenue drivers'!T539</f>
        <v>0</v>
      </c>
      <c r="U785">
        <f>'Revenue drivers'!U539</f>
        <v>0</v>
      </c>
      <c r="V785">
        <f>'Revenue drivers'!V539</f>
        <v>0</v>
      </c>
      <c r="W785">
        <f>'Revenue drivers'!W539</f>
        <v>0</v>
      </c>
      <c r="X785">
        <f>'Revenue drivers'!X539</f>
        <v>0</v>
      </c>
      <c r="Y785">
        <f>'Revenue drivers'!Y539</f>
        <v>0</v>
      </c>
      <c r="Z785">
        <f>'Revenue drivers'!Z539</f>
        <v>0</v>
      </c>
      <c r="AA785">
        <f>'Revenue drivers'!AA539</f>
        <v>0</v>
      </c>
      <c r="AB785">
        <f>'Revenue drivers'!AB539</f>
        <v>0</v>
      </c>
      <c r="AC785">
        <f>'Revenue drivers'!AC539</f>
        <v>0.12020292476655925</v>
      </c>
      <c r="AD785">
        <f>'Revenue drivers'!AD539</f>
        <v>0.25472163570432338</v>
      </c>
      <c r="AE785">
        <f>'Revenue drivers'!AE539</f>
        <v>0.27462323307502645</v>
      </c>
      <c r="AF785">
        <f>'Revenue drivers'!AF539</f>
        <v>0.27002262211278838</v>
      </c>
      <c r="AG785">
        <f>'Revenue drivers'!AG539</f>
        <v>0.24806104142835661</v>
      </c>
      <c r="AH785">
        <f>'Revenue drivers'!AH539</f>
        <v>0.17840429093613475</v>
      </c>
      <c r="AI785">
        <f>'Revenue drivers'!AI539</f>
        <v>0.11584501011121695</v>
      </c>
      <c r="AJ785">
        <f>'Revenue drivers'!AJ539</f>
        <v>8.6808786689719031E-2</v>
      </c>
      <c r="AK785">
        <f>'Revenue drivers'!AK539</f>
        <v>0.10869609982097372</v>
      </c>
      <c r="AL785">
        <f>'Revenue drivers'!AL539</f>
        <v>0.10973664834328978</v>
      </c>
      <c r="AM785">
        <f>'Revenue drivers'!AM539</f>
        <v>0.13454277749580856</v>
      </c>
      <c r="AN785">
        <f>'Revenue drivers'!AN539</f>
        <v>0.15555946732452697</v>
      </c>
      <c r="AO785">
        <f>'Revenue drivers'!AO539</f>
        <v>0.13421630283249442</v>
      </c>
      <c r="AP785">
        <f>'Revenue drivers'!AP539</f>
        <v>0.12153541388648414</v>
      </c>
      <c r="AQ785">
        <f>'Revenue drivers'!AQ539</f>
        <v>0.20476646110549845</v>
      </c>
      <c r="AR785">
        <f>'Revenue drivers'!AR539</f>
        <v>0.26126055334264708</v>
      </c>
      <c r="AS785">
        <f>'Revenue drivers'!AS539</f>
        <v>0.19078334597372715</v>
      </c>
      <c r="AT785">
        <f>'Revenue drivers'!AT539</f>
        <v>0.15542941889414652</v>
      </c>
      <c r="AU785">
        <f>'Revenue drivers'!AU539</f>
        <v>0.1342286685806684</v>
      </c>
      <c r="AV785">
        <f>'Revenue drivers'!AV539</f>
        <v>0.11804976940671752</v>
      </c>
      <c r="AW785">
        <f>'Revenue drivers'!AW539</f>
        <v>8.4714524314132289E-2</v>
      </c>
      <c r="AX785">
        <f>'Revenue drivers'!AX539</f>
        <v>8.0209200720886331E-2</v>
      </c>
      <c r="AY785">
        <f>'Revenue drivers'!AY539</f>
        <v>7.8079056812775161E-2</v>
      </c>
      <c r="AZ785">
        <f>'Revenue drivers'!AZ539</f>
        <v>7.7780910134864989E-2</v>
      </c>
      <c r="BA785">
        <f>'Revenue drivers'!BA539</f>
        <v>9.3873312880483395E-2</v>
      </c>
      <c r="BB785">
        <f>'Revenue drivers'!BB539</f>
        <v>9.1784427529882917E-2</v>
      </c>
      <c r="BC785">
        <f>'Revenue drivers'!BC539</f>
        <v>9.2612318569611496E-2</v>
      </c>
      <c r="BD785">
        <f>'Revenue drivers'!BD539</f>
        <v>9.4316242385340088E-2</v>
      </c>
      <c r="BE785">
        <f>'Revenue drivers'!BE539</f>
        <v>0</v>
      </c>
      <c r="BF785">
        <f>'Revenue drivers'!BF539</f>
        <v>0</v>
      </c>
      <c r="BG785">
        <f>'Revenue drivers'!BG539</f>
        <v>0</v>
      </c>
      <c r="BH785">
        <f>'Revenue drivers'!BH539</f>
        <v>0</v>
      </c>
      <c r="BI785">
        <f>'Revenue drivers'!BI539</f>
        <v>0</v>
      </c>
      <c r="BJ785">
        <f>'Revenue drivers'!BJ539</f>
        <v>0</v>
      </c>
      <c r="BK785">
        <f>'Revenue drivers'!BK539</f>
        <v>0</v>
      </c>
      <c r="BL785">
        <f>'Revenue drivers'!BL539</f>
        <v>0</v>
      </c>
      <c r="BM785">
        <f>'Revenue drivers'!BM539</f>
        <v>0</v>
      </c>
      <c r="BN785">
        <f>'Revenue drivers'!BN539</f>
        <v>0.62133596149956882</v>
      </c>
      <c r="BO785">
        <f>'Revenue drivers'!BO539</f>
        <v>0.15958497951410988</v>
      </c>
      <c r="BP785">
        <f>'Revenue drivers'!BP539</f>
        <v>0.1165246292606158</v>
      </c>
      <c r="BQ785">
        <f>'Revenue drivers'!BQ539</f>
        <v>0.20758444676350818</v>
      </c>
      <c r="BR785">
        <f>'Revenue drivers'!BR539</f>
        <v>0.12544914185904554</v>
      </c>
      <c r="BS785">
        <f>'Revenue drivers'!BS539</f>
        <v>8.6531006000728494E-2</v>
      </c>
      <c r="BT785">
        <f>'Revenue drivers'!BT539</f>
        <v>9.3917313651585843E-2</v>
      </c>
      <c r="BU785">
        <f>'Revenue drivers'!BU539</f>
        <v>9.3705834040384461E-2</v>
      </c>
      <c r="BV785">
        <f>'Revenue drivers'!BV539</f>
        <v>9.3595147461482675E-2</v>
      </c>
      <c r="BW785">
        <f>'Revenue drivers'!BW539</f>
        <v>9.4394613014907369E-2</v>
      </c>
      <c r="BX785">
        <f>'Revenue drivers'!BX539</f>
        <v>9.1549763505692328E-2</v>
      </c>
      <c r="BY785">
        <f>'Revenue drivers'!BY539</f>
        <v>9.2175912751912836E-2</v>
      </c>
    </row>
    <row r="786" spans="9:77" ht="11.25" customHeight="1">
      <c r="I786" t="str">
        <f>'Revenue drivers'!I540</f>
        <v>% change Q/Q</v>
      </c>
      <c r="J786">
        <f>'Revenue drivers'!J540</f>
        <v>0</v>
      </c>
      <c r="K786">
        <f>'Revenue drivers'!K540</f>
        <v>0</v>
      </c>
      <c r="L786">
        <f>'Revenue drivers'!L540</f>
        <v>0</v>
      </c>
      <c r="M786">
        <f>'Revenue drivers'!M540</f>
        <v>0</v>
      </c>
      <c r="N786">
        <f>'Revenue drivers'!N540</f>
        <v>0</v>
      </c>
      <c r="O786">
        <f>'Revenue drivers'!O540</f>
        <v>0</v>
      </c>
      <c r="P786">
        <f>'Revenue drivers'!P540</f>
        <v>0</v>
      </c>
      <c r="Q786">
        <f>'Revenue drivers'!Q540</f>
        <v>0</v>
      </c>
      <c r="R786">
        <f>'Revenue drivers'!R540</f>
        <v>0</v>
      </c>
      <c r="S786">
        <f>'Revenue drivers'!S540</f>
        <v>0</v>
      </c>
      <c r="T786">
        <f>'Revenue drivers'!T540</f>
        <v>0</v>
      </c>
      <c r="U786">
        <f>'Revenue drivers'!U540</f>
        <v>0</v>
      </c>
      <c r="V786">
        <f>'Revenue drivers'!V540</f>
        <v>0</v>
      </c>
      <c r="W786">
        <f>'Revenue drivers'!W540</f>
        <v>-9.7819146118046651E-3</v>
      </c>
      <c r="X786">
        <f>'Revenue drivers'!X540</f>
        <v>2.5832576185448097E-2</v>
      </c>
      <c r="Y786">
        <f>'Revenue drivers'!Y540</f>
        <v>6.1991408065685372E-2</v>
      </c>
      <c r="Z786">
        <f>'Revenue drivers'!Z540</f>
        <v>9.625361516474551E-2</v>
      </c>
      <c r="AA786">
        <f>'Revenue drivers'!AA540</f>
        <v>-8.1584821428568599E-3</v>
      </c>
      <c r="AB786">
        <f>'Revenue drivers'!AB540</f>
        <v>2.6338742130758153E-3</v>
      </c>
      <c r="AC786">
        <f>'Revenue drivers'!AC540</f>
        <v>2.7545370181686124E-2</v>
      </c>
      <c r="AD786">
        <f>'Revenue drivers'!AD540</f>
        <v>4.919626002831512E-2</v>
      </c>
      <c r="AE786">
        <f>'Revenue drivers'!AE540</f>
        <v>8.4592902069147158E-3</v>
      </c>
      <c r="AF786">
        <f>'Revenue drivers'!AF540</f>
        <v>2.3041258129689934E-2</v>
      </c>
      <c r="AG786">
        <f>'Revenue drivers'!AG540</f>
        <v>4.1948408436055962E-2</v>
      </c>
      <c r="AH786">
        <f>'Revenue drivers'!AH540</f>
        <v>2.9129386041286232E-2</v>
      </c>
      <c r="AI786">
        <f>'Revenue drivers'!AI540</f>
        <v>-6.4942287833965717E-2</v>
      </c>
      <c r="AJ786">
        <f>'Revenue drivers'!AJ540</f>
        <v>-2.804621233457627E-2</v>
      </c>
      <c r="AK786">
        <f>'Revenue drivers'!AK540</f>
        <v>4.8680670881527499E-2</v>
      </c>
      <c r="AL786">
        <f>'Revenue drivers'!AL540</f>
        <v>5.2854584767783708E-2</v>
      </c>
      <c r="AM786">
        <f>'Revenue drivers'!AM540</f>
        <v>3.320701992765196E-2</v>
      </c>
      <c r="AN786">
        <f>'Revenue drivers'!AN540</f>
        <v>3.5279444814896976E-2</v>
      </c>
      <c r="AO786">
        <f>'Revenue drivers'!AO540</f>
        <v>2.4137931034482696E-2</v>
      </c>
      <c r="AP786">
        <f>'Revenue drivers'!AP540</f>
        <v>2.063776618861346E-2</v>
      </c>
      <c r="AQ786">
        <f>'Revenue drivers'!AQ540</f>
        <v>1.2787386996319539E-2</v>
      </c>
      <c r="AR786">
        <f>'Revenue drivers'!AR540</f>
        <v>2.0405581260844352E-2</v>
      </c>
      <c r="AS786">
        <f>'Revenue drivers'!AS540</f>
        <v>-1.6474546084203068E-2</v>
      </c>
      <c r="AT786">
        <f>'Revenue drivers'!AT540</f>
        <v>2.057762128325491E-2</v>
      </c>
      <c r="AU786">
        <f>'Revenue drivers'!AU540</f>
        <v>1.3662534091883227E-2</v>
      </c>
      <c r="AV786">
        <f>'Revenue drivers'!AV540</f>
        <v>1.9980186609787287E-2</v>
      </c>
      <c r="AW786">
        <f>'Revenue drivers'!AW540</f>
        <v>-7.4694787057087986E-3</v>
      </c>
      <c r="AX786">
        <f>'Revenue drivers'!AX540</f>
        <v>1.6246865671641908E-2</v>
      </c>
      <c r="AY786">
        <f>'Revenue drivers'!AY540</f>
        <v>1.0720773542534756E-2</v>
      </c>
      <c r="AZ786">
        <f>'Revenue drivers'!AZ540</f>
        <v>2.0112297496317932E-2</v>
      </c>
      <c r="BA786">
        <f>'Revenue drivers'!BA540</f>
        <v>-1.1797911178085263E-3</v>
      </c>
      <c r="BB786">
        <f>'Revenue drivers'!BB540</f>
        <v>1.8533942253002866E-2</v>
      </c>
      <c r="BC786">
        <f>'Revenue drivers'!BC540</f>
        <v>1.4434809590254227E-2</v>
      </c>
      <c r="BD786">
        <f>'Revenue drivers'!BD540</f>
        <v>2.1632854185346106E-2</v>
      </c>
      <c r="BE786">
        <f>'Revenue drivers'!BE540</f>
        <v>0</v>
      </c>
      <c r="BF786">
        <f>'Revenue drivers'!BF540</f>
        <v>0</v>
      </c>
      <c r="BG786">
        <f>'Revenue drivers'!BG540</f>
        <v>0</v>
      </c>
      <c r="BH786">
        <f>'Revenue drivers'!BH540</f>
        <v>0</v>
      </c>
      <c r="BI786">
        <f>'Revenue drivers'!BI540</f>
        <v>0</v>
      </c>
      <c r="BJ786">
        <f>'Revenue drivers'!BJ540</f>
        <v>0</v>
      </c>
      <c r="BK786">
        <f>'Revenue drivers'!BK540</f>
        <v>0</v>
      </c>
      <c r="BL786">
        <f>'Revenue drivers'!BL540</f>
        <v>0</v>
      </c>
      <c r="BM786">
        <f>'Revenue drivers'!BM540</f>
        <v>0</v>
      </c>
      <c r="BN786">
        <f>'Revenue drivers'!BN540</f>
        <v>0</v>
      </c>
      <c r="BO786">
        <f>'Revenue drivers'!BO540</f>
        <v>0</v>
      </c>
      <c r="BP786">
        <f>'Revenue drivers'!BP540</f>
        <v>0</v>
      </c>
      <c r="BQ786">
        <f>'Revenue drivers'!BQ540</f>
        <v>0</v>
      </c>
      <c r="BR786">
        <f>'Revenue drivers'!BR540</f>
        <v>0</v>
      </c>
      <c r="BS786">
        <f>'Revenue drivers'!BS540</f>
        <v>0</v>
      </c>
      <c r="BT786">
        <f>'Revenue drivers'!BT540</f>
        <v>0</v>
      </c>
      <c r="BU786">
        <f>'Revenue drivers'!BU540</f>
        <v>0</v>
      </c>
      <c r="BV786">
        <f>'Revenue drivers'!BV540</f>
        <v>0</v>
      </c>
      <c r="BW786">
        <f>'Revenue drivers'!BW540</f>
        <v>0</v>
      </c>
      <c r="BX786">
        <f>'Revenue drivers'!BX540</f>
        <v>0</v>
      </c>
      <c r="BY786">
        <f>'Revenue drivers'!BY540</f>
        <v>0</v>
      </c>
    </row>
    <row r="787" spans="9:77" ht="11.25" customHeight="1">
      <c r="I787" t="str">
        <f>'Revenue drivers'!I541</f>
        <v>Abs change Y/Y</v>
      </c>
      <c r="J787">
        <f>'Revenue drivers'!J541</f>
        <v>0</v>
      </c>
      <c r="K787">
        <f>'Revenue drivers'!K541</f>
        <v>0</v>
      </c>
      <c r="L787">
        <f>'Revenue drivers'!L541</f>
        <v>0</v>
      </c>
      <c r="M787">
        <f>'Revenue drivers'!M541</f>
        <v>0</v>
      </c>
      <c r="N787">
        <f>'Revenue drivers'!N541</f>
        <v>0</v>
      </c>
      <c r="O787">
        <f>'Revenue drivers'!O541</f>
        <v>0</v>
      </c>
      <c r="P787">
        <f>'Revenue drivers'!P541</f>
        <v>0</v>
      </c>
      <c r="Q787">
        <f>'Revenue drivers'!Q541</f>
        <v>0</v>
      </c>
      <c r="R787">
        <f>'Revenue drivers'!R541</f>
        <v>0</v>
      </c>
      <c r="S787">
        <f>'Revenue drivers'!S541</f>
        <v>0</v>
      </c>
      <c r="T787">
        <f>'Revenue drivers'!T541</f>
        <v>0</v>
      </c>
      <c r="U787">
        <f>'Revenue drivers'!U541</f>
        <v>0</v>
      </c>
      <c r="V787">
        <f>'Revenue drivers'!V541</f>
        <v>0</v>
      </c>
      <c r="W787">
        <f>'Revenue drivers'!W541</f>
        <v>0</v>
      </c>
      <c r="X787">
        <f>'Revenue drivers'!X541</f>
        <v>0</v>
      </c>
      <c r="Y787">
        <f>'Revenue drivers'!Y541</f>
        <v>9273.2230392156926</v>
      </c>
      <c r="Z787">
        <f>'Revenue drivers'!Z541</f>
        <v>8384.8484848484804</v>
      </c>
      <c r="AA787">
        <f>'Revenue drivers'!AA541</f>
        <v>8390.9859154929654</v>
      </c>
      <c r="AB787">
        <f>'Revenue drivers'!AB541</f>
        <v>7358.2646101939899</v>
      </c>
      <c r="AC787">
        <f>'Revenue drivers'!AC541</f>
        <v>5954.2636629119806</v>
      </c>
      <c r="AD787">
        <f>'Revenue drivers'!AD541</f>
        <v>3916.2004662004765</v>
      </c>
      <c r="AE787">
        <f>'Revenue drivers'!AE541</f>
        <v>4851.724137931029</v>
      </c>
      <c r="AF787">
        <f>'Revenue drivers'!AF541</f>
        <v>6062.6556639159826</v>
      </c>
      <c r="AG787">
        <f>'Revenue drivers'!AG541</f>
        <v>7094.7652819993091</v>
      </c>
      <c r="AH787">
        <f>'Revenue drivers'!AH541</f>
        <v>6187.933409873709</v>
      </c>
      <c r="AI787">
        <f>'Revenue drivers'!AI541</f>
        <v>1512.691446484554</v>
      </c>
      <c r="AJ787">
        <f>'Revenue drivers'!AJ541</f>
        <v>-1529.1672918229524</v>
      </c>
      <c r="AK787">
        <f>'Revenue drivers'!AK541</f>
        <v>-1199.2380952380845</v>
      </c>
      <c r="AL787">
        <f>'Revenue drivers'!AL541</f>
        <v>222.19752302317647</v>
      </c>
      <c r="AM787">
        <f>'Revenue drivers'!AM541</f>
        <v>6551.0946196660516</v>
      </c>
      <c r="AN787">
        <f>'Revenue drivers'!AN541</f>
        <v>10595.964294103826</v>
      </c>
      <c r="AO787">
        <f>'Revenue drivers'!AO541</f>
        <v>9415.1111111111095</v>
      </c>
      <c r="AP787">
        <f>'Revenue drivers'!AP541</f>
        <v>7631.7921440261707</v>
      </c>
      <c r="AQ787">
        <f>'Revenue drivers'!AQ541</f>
        <v>6409.6749811035406</v>
      </c>
      <c r="AR787">
        <f>'Revenue drivers'!AR541</f>
        <v>5547.2582972582895</v>
      </c>
      <c r="AS787">
        <f>'Revenue drivers'!AS541</f>
        <v>2648.275862068971</v>
      </c>
      <c r="AT787">
        <f>'Revenue drivers'!AT541</f>
        <v>2698.5128205128276</v>
      </c>
      <c r="AU787">
        <f>'Revenue drivers'!AU541</f>
        <v>2798.6204828310147</v>
      </c>
      <c r="AV787">
        <f>'Revenue drivers'!AV541</f>
        <v>2823.4048560135561</v>
      </c>
      <c r="AW787">
        <f>'Revenue drivers'!AW541</f>
        <v>3474.8010610079509</v>
      </c>
      <c r="AX787">
        <f>'Revenue drivers'!AX541</f>
        <v>3213.1691542288754</v>
      </c>
      <c r="AY787">
        <f>'Revenue drivers'!AY541</f>
        <v>3027.1034228929057</v>
      </c>
      <c r="AZ787">
        <f>'Revenue drivers'!AZ541</f>
        <v>3098.0237154150236</v>
      </c>
      <c r="BA787">
        <f>'Revenue drivers'!BA541</f>
        <v>3581.8319128277071</v>
      </c>
      <c r="BB787">
        <f>'Revenue drivers'!BB541</f>
        <v>3824.1463464570115</v>
      </c>
      <c r="BC787">
        <f>'Revenue drivers'!BC541</f>
        <v>4169.6839010046533</v>
      </c>
      <c r="BD787">
        <f>'Revenue drivers'!BD541</f>
        <v>4380.0266311584564</v>
      </c>
      <c r="BE787">
        <f>'Revenue drivers'!BE541</f>
        <v>0</v>
      </c>
      <c r="BF787">
        <f>'Revenue drivers'!BF541</f>
        <v>0</v>
      </c>
      <c r="BG787">
        <f>'Revenue drivers'!BG541</f>
        <v>0</v>
      </c>
      <c r="BH787">
        <f>'Revenue drivers'!BH541</f>
        <v>0</v>
      </c>
      <c r="BI787">
        <f>'Revenue drivers'!BI541</f>
        <v>0</v>
      </c>
      <c r="BJ787">
        <f>'Revenue drivers'!BJ541</f>
        <v>0</v>
      </c>
      <c r="BK787">
        <f>'Revenue drivers'!BK541</f>
        <v>0</v>
      </c>
      <c r="BL787">
        <f>'Revenue drivers'!BL541</f>
        <v>0</v>
      </c>
      <c r="BM787">
        <f>'Revenue drivers'!BM541</f>
        <v>64473.612345678994</v>
      </c>
      <c r="BN787">
        <f>'Revenue drivers'!BN541</f>
        <v>34464.006522245501</v>
      </c>
      <c r="BO787">
        <f>'Revenue drivers'!BO541</f>
        <v>-1784.3522012578323</v>
      </c>
      <c r="BP787">
        <f>'Revenue drivers'!BP541</f>
        <v>29627.354838709667</v>
      </c>
      <c r="BQ787">
        <f>'Revenue drivers'!BQ541</f>
        <v>22475.865287076565</v>
      </c>
      <c r="BR787">
        <f>'Revenue drivers'!BR541</f>
        <v>12170.014033993415</v>
      </c>
      <c r="BS787">
        <f>'Revenue drivers'!BS541</f>
        <v>13568.917017419881</v>
      </c>
      <c r="BT787">
        <f>'Revenue drivers'!BT541</f>
        <v>15586.579416407854</v>
      </c>
      <c r="BU787">
        <f>'Revenue drivers'!BU541</f>
        <v>14802.81275588111</v>
      </c>
      <c r="BV787">
        <f>'Revenue drivers'!BV541</f>
        <v>17042.823343038035</v>
      </c>
      <c r="BW787">
        <f>'Revenue drivers'!BW541</f>
        <v>16511.897568564105</v>
      </c>
      <c r="BX787">
        <f>'Revenue drivers'!BX541</f>
        <v>17606.031885925913</v>
      </c>
      <c r="BY787">
        <f>'Revenue drivers'!BY541</f>
        <v>18307.64228892565</v>
      </c>
    </row>
    <row r="788" spans="9:77" ht="11.25" customHeight="1">
      <c r="I788" t="str">
        <f>'Revenue drivers'!I542</f>
        <v>Abs change Q/Q</v>
      </c>
      <c r="J788">
        <f>'Revenue drivers'!J542</f>
        <v>0</v>
      </c>
      <c r="K788">
        <f>'Revenue drivers'!K542</f>
        <v>0</v>
      </c>
      <c r="L788">
        <f>'Revenue drivers'!L542</f>
        <v>0</v>
      </c>
      <c r="M788">
        <f>'Revenue drivers'!M542</f>
        <v>0</v>
      </c>
      <c r="N788">
        <f>'Revenue drivers'!N542</f>
        <v>0</v>
      </c>
      <c r="O788">
        <f>'Revenue drivers'!O542</f>
        <v>0</v>
      </c>
      <c r="P788">
        <f>'Revenue drivers'!P542</f>
        <v>0</v>
      </c>
      <c r="Q788">
        <f>'Revenue drivers'!Q542</f>
        <v>0</v>
      </c>
      <c r="R788">
        <f>'Revenue drivers'!R542</f>
        <v>0</v>
      </c>
      <c r="S788">
        <f>'Revenue drivers'!S542</f>
        <v>0</v>
      </c>
      <c r="T788">
        <f>'Revenue drivers'!T542</f>
        <v>0</v>
      </c>
      <c r="U788">
        <f>'Revenue drivers'!U542</f>
        <v>0</v>
      </c>
      <c r="V788">
        <f>'Revenue drivers'!V542</f>
        <v>5656.3068181818235</v>
      </c>
      <c r="W788">
        <f>'Revenue drivers'!W542</f>
        <v>-449.16773367477435</v>
      </c>
      <c r="X788">
        <f>'Revenue drivers'!X542</f>
        <v>1174.5817704152432</v>
      </c>
      <c r="Y788">
        <f>'Revenue drivers'!Y542</f>
        <v>2891.5021842934002</v>
      </c>
      <c r="Z788">
        <f>'Revenue drivers'!Z542</f>
        <v>4767.9322638146114</v>
      </c>
      <c r="AA788">
        <f>'Revenue drivers'!AA542</f>
        <v>-443.03030303028936</v>
      </c>
      <c r="AB788">
        <f>'Revenue drivers'!AB542</f>
        <v>141.86046511626773</v>
      </c>
      <c r="AC788">
        <f>'Revenue drivers'!AC542</f>
        <v>1487.5012370113909</v>
      </c>
      <c r="AD788">
        <f>'Revenue drivers'!AD542</f>
        <v>2729.8690671031072</v>
      </c>
      <c r="AE788">
        <f>'Revenue drivers'!AE542</f>
        <v>492.49336870026309</v>
      </c>
      <c r="AF788">
        <f>'Revenue drivers'!AF542</f>
        <v>1352.7919911012214</v>
      </c>
      <c r="AG788">
        <f>'Revenue drivers'!AG542</f>
        <v>2519.6108550947174</v>
      </c>
      <c r="AH788">
        <f>'Revenue drivers'!AH542</f>
        <v>1823.0371949775072</v>
      </c>
      <c r="AI788">
        <f>'Revenue drivers'!AI542</f>
        <v>-4182.7485946888919</v>
      </c>
      <c r="AJ788">
        <f>'Revenue drivers'!AJ542</f>
        <v>-1689.0667472062851</v>
      </c>
      <c r="AK788">
        <f>'Revenue drivers'!AK542</f>
        <v>2849.5400516795853</v>
      </c>
      <c r="AL788">
        <f>'Revenue drivers'!AL542</f>
        <v>3244.4728132387681</v>
      </c>
      <c r="AM788">
        <f>'Revenue drivers'!AM542</f>
        <v>2146.1485019539832</v>
      </c>
      <c r="AN788">
        <f>'Revenue drivers'!AN542</f>
        <v>2355.8029272314889</v>
      </c>
      <c r="AO788">
        <f>'Revenue drivers'!AO542</f>
        <v>1668.6868686868693</v>
      </c>
      <c r="AP788">
        <f>'Revenue drivers'!AP542</f>
        <v>1461.1538461538294</v>
      </c>
      <c r="AQ788">
        <f>'Revenue drivers'!AQ542</f>
        <v>924.03133903135313</v>
      </c>
      <c r="AR788">
        <f>'Revenue drivers'!AR542</f>
        <v>1493.3862433862378</v>
      </c>
      <c r="AS788">
        <f>'Revenue drivers'!AS542</f>
        <v>-1230.2955665024492</v>
      </c>
      <c r="AT788">
        <f>'Revenue drivers'!AT542</f>
        <v>1511.3908045976859</v>
      </c>
      <c r="AU788">
        <f>'Revenue drivers'!AU542</f>
        <v>1024.1390013495402</v>
      </c>
      <c r="AV788">
        <f>'Revenue drivers'!AV542</f>
        <v>1518.1706165687792</v>
      </c>
      <c r="AW788">
        <f>'Revenue drivers'!AW542</f>
        <v>-578.89936150805443</v>
      </c>
      <c r="AX788">
        <f>'Revenue drivers'!AX542</f>
        <v>1249.7588978186104</v>
      </c>
      <c r="AY788">
        <f>'Revenue drivers'!AY542</f>
        <v>838.07327001357044</v>
      </c>
      <c r="AZ788">
        <f>'Revenue drivers'!AZ542</f>
        <v>1589.0909090908972</v>
      </c>
      <c r="BA788">
        <f>'Revenue drivers'!BA542</f>
        <v>-95.091164095370914</v>
      </c>
      <c r="BB788">
        <f>'Revenue drivers'!BB542</f>
        <v>1492.0733314479148</v>
      </c>
      <c r="BC788">
        <f>'Revenue drivers'!BC542</f>
        <v>1183.6108245612122</v>
      </c>
      <c r="BD788">
        <f>'Revenue drivers'!BD542</f>
        <v>1799.4336392447003</v>
      </c>
      <c r="BE788">
        <f>'Revenue drivers'!BE542</f>
        <v>0</v>
      </c>
      <c r="BF788">
        <f>'Revenue drivers'!BF542</f>
        <v>0</v>
      </c>
      <c r="BG788">
        <f>'Revenue drivers'!BG542</f>
        <v>0</v>
      </c>
      <c r="BH788">
        <f>'Revenue drivers'!BH542</f>
        <v>0</v>
      </c>
      <c r="BI788">
        <f>'Revenue drivers'!BI542</f>
        <v>0</v>
      </c>
      <c r="BJ788">
        <f>'Revenue drivers'!BJ542</f>
        <v>0</v>
      </c>
      <c r="BK788">
        <f>'Revenue drivers'!BK542</f>
        <v>0</v>
      </c>
      <c r="BL788">
        <f>'Revenue drivers'!BL542</f>
        <v>0</v>
      </c>
      <c r="BM788">
        <f>'Revenue drivers'!BM542</f>
        <v>0</v>
      </c>
      <c r="BN788">
        <f>'Revenue drivers'!BN542</f>
        <v>0</v>
      </c>
      <c r="BO788">
        <f>'Revenue drivers'!BO542</f>
        <v>0</v>
      </c>
      <c r="BP788">
        <f>'Revenue drivers'!BP542</f>
        <v>0</v>
      </c>
      <c r="BQ788">
        <f>'Revenue drivers'!BQ542</f>
        <v>0</v>
      </c>
      <c r="BR788">
        <f>'Revenue drivers'!BR542</f>
        <v>0</v>
      </c>
      <c r="BS788">
        <f>'Revenue drivers'!BS542</f>
        <v>0</v>
      </c>
      <c r="BT788">
        <f>'Revenue drivers'!BT542</f>
        <v>0</v>
      </c>
      <c r="BU788">
        <f>'Revenue drivers'!BU542</f>
        <v>0</v>
      </c>
      <c r="BV788">
        <f>'Revenue drivers'!BV542</f>
        <v>0</v>
      </c>
      <c r="BW788">
        <f>'Revenue drivers'!BW542</f>
        <v>0</v>
      </c>
      <c r="BX788">
        <f>'Revenue drivers'!BX542</f>
        <v>0</v>
      </c>
      <c r="BY788">
        <f>'Revenue drivers'!BY542</f>
        <v>0</v>
      </c>
    </row>
    <row r="789" spans="9:77" ht="11.25" customHeight="1">
      <c r="I789">
        <f>'Revenue drivers'!I543</f>
        <v>0</v>
      </c>
      <c r="J789">
        <f>'Revenue drivers'!J543</f>
        <v>0</v>
      </c>
      <c r="K789">
        <f>'Revenue drivers'!K543</f>
        <v>0</v>
      </c>
      <c r="L789">
        <f>'Revenue drivers'!L543</f>
        <v>0</v>
      </c>
      <c r="M789">
        <f>'Revenue drivers'!M543</f>
        <v>0</v>
      </c>
      <c r="N789">
        <f>'Revenue drivers'!N543</f>
        <v>0</v>
      </c>
      <c r="O789">
        <f>'Revenue drivers'!O543</f>
        <v>0</v>
      </c>
      <c r="P789">
        <f>'Revenue drivers'!P543</f>
        <v>0</v>
      </c>
      <c r="Q789">
        <f>'Revenue drivers'!Q543</f>
        <v>0</v>
      </c>
      <c r="R789">
        <f>'Revenue drivers'!R543</f>
        <v>0</v>
      </c>
      <c r="S789">
        <f>'Revenue drivers'!S543</f>
        <v>0</v>
      </c>
      <c r="T789">
        <f>'Revenue drivers'!T543</f>
        <v>0</v>
      </c>
      <c r="U789">
        <f>'Revenue drivers'!U543</f>
        <v>0</v>
      </c>
      <c r="V789">
        <f>'Revenue drivers'!V543</f>
        <v>0</v>
      </c>
      <c r="W789">
        <f>'Revenue drivers'!W543</f>
        <v>0</v>
      </c>
      <c r="X789">
        <f>'Revenue drivers'!X543</f>
        <v>0</v>
      </c>
      <c r="Y789">
        <f>'Revenue drivers'!Y543</f>
        <v>0</v>
      </c>
      <c r="Z789">
        <f>'Revenue drivers'!Z543</f>
        <v>0</v>
      </c>
      <c r="AA789">
        <f>'Revenue drivers'!AA543</f>
        <v>0</v>
      </c>
      <c r="AB789">
        <f>'Revenue drivers'!AB543</f>
        <v>0</v>
      </c>
      <c r="AC789">
        <f>'Revenue drivers'!AC543</f>
        <v>0</v>
      </c>
      <c r="AD789">
        <f>'Revenue drivers'!AD543</f>
        <v>0</v>
      </c>
      <c r="AE789">
        <f>'Revenue drivers'!AE543</f>
        <v>0</v>
      </c>
      <c r="AF789">
        <f>'Revenue drivers'!AF543</f>
        <v>0</v>
      </c>
      <c r="AG789">
        <f>'Revenue drivers'!AG543</f>
        <v>0</v>
      </c>
      <c r="AH789">
        <f>'Revenue drivers'!AH543</f>
        <v>0</v>
      </c>
      <c r="AI789">
        <f>'Revenue drivers'!AI543</f>
        <v>0</v>
      </c>
      <c r="AJ789">
        <f>'Revenue drivers'!AJ543</f>
        <v>0</v>
      </c>
      <c r="AK789">
        <f>'Revenue drivers'!AK543</f>
        <v>0</v>
      </c>
      <c r="AL789">
        <f>'Revenue drivers'!AL543</f>
        <v>0</v>
      </c>
      <c r="AM789">
        <f>'Revenue drivers'!AM543</f>
        <v>0</v>
      </c>
      <c r="AN789">
        <f>'Revenue drivers'!AN543</f>
        <v>0</v>
      </c>
      <c r="AO789">
        <f>'Revenue drivers'!AO543</f>
        <v>0</v>
      </c>
      <c r="AP789">
        <f>'Revenue drivers'!AP543</f>
        <v>0</v>
      </c>
      <c r="AQ789">
        <f>'Revenue drivers'!AQ543</f>
        <v>0</v>
      </c>
      <c r="AR789">
        <f>'Revenue drivers'!AR543</f>
        <v>0</v>
      </c>
      <c r="AS789">
        <f>'Revenue drivers'!AS543</f>
        <v>0</v>
      </c>
      <c r="AT789">
        <f>'Revenue drivers'!AT543</f>
        <v>0</v>
      </c>
      <c r="AU789">
        <f>'Revenue drivers'!AU543</f>
        <v>0</v>
      </c>
      <c r="AV789">
        <f>'Revenue drivers'!AV543</f>
        <v>0</v>
      </c>
      <c r="AW789">
        <f>'Revenue drivers'!AW543</f>
        <v>0</v>
      </c>
      <c r="AX789">
        <f>'Revenue drivers'!AX543</f>
        <v>0</v>
      </c>
      <c r="AY789">
        <f>'Revenue drivers'!AY543</f>
        <v>0</v>
      </c>
      <c r="AZ789">
        <f>'Revenue drivers'!AZ543</f>
        <v>0</v>
      </c>
      <c r="BA789">
        <f>'Revenue drivers'!BA543</f>
        <v>0</v>
      </c>
      <c r="BB789">
        <f>'Revenue drivers'!BB543</f>
        <v>0</v>
      </c>
      <c r="BC789">
        <f>'Revenue drivers'!BC543</f>
        <v>0</v>
      </c>
      <c r="BD789">
        <f>'Revenue drivers'!BD543</f>
        <v>0</v>
      </c>
      <c r="BE789">
        <f>'Revenue drivers'!BE543</f>
        <v>0</v>
      </c>
      <c r="BF789">
        <f>'Revenue drivers'!BF543</f>
        <v>0</v>
      </c>
      <c r="BG789">
        <f>'Revenue drivers'!BG543</f>
        <v>0</v>
      </c>
      <c r="BH789">
        <f>'Revenue drivers'!BH543</f>
        <v>0</v>
      </c>
      <c r="BI789">
        <f>'Revenue drivers'!BI543</f>
        <v>0</v>
      </c>
      <c r="BJ789">
        <f>'Revenue drivers'!BJ543</f>
        <v>0</v>
      </c>
      <c r="BK789">
        <f>'Revenue drivers'!BK543</f>
        <v>0</v>
      </c>
      <c r="BL789">
        <f>'Revenue drivers'!BL543</f>
        <v>0</v>
      </c>
      <c r="BM789">
        <f>'Revenue drivers'!BM543</f>
        <v>0</v>
      </c>
      <c r="BN789">
        <f>'Revenue drivers'!BN543</f>
        <v>0</v>
      </c>
      <c r="BO789">
        <f>'Revenue drivers'!BO543</f>
        <v>0</v>
      </c>
      <c r="BP789">
        <f>'Revenue drivers'!BP543</f>
        <v>0</v>
      </c>
      <c r="BQ789">
        <f>'Revenue drivers'!BQ543</f>
        <v>0</v>
      </c>
      <c r="BR789">
        <f>'Revenue drivers'!BR543</f>
        <v>0</v>
      </c>
      <c r="BS789">
        <f>'Revenue drivers'!BS543</f>
        <v>0</v>
      </c>
      <c r="BT789">
        <f>'Revenue drivers'!BT543</f>
        <v>0</v>
      </c>
      <c r="BU789">
        <f>'Revenue drivers'!BU543</f>
        <v>0</v>
      </c>
      <c r="BV789">
        <f>'Revenue drivers'!BV543</f>
        <v>0</v>
      </c>
      <c r="BW789">
        <f>'Revenue drivers'!BW543</f>
        <v>0</v>
      </c>
      <c r="BX789">
        <f>'Revenue drivers'!BX543</f>
        <v>0</v>
      </c>
      <c r="BY789">
        <f>'Revenue drivers'!BY543</f>
        <v>0</v>
      </c>
    </row>
    <row r="792" spans="9:77" ht="11.25" customHeight="1">
      <c r="I792" t="str">
        <f>'Revenue drivers'!I555</f>
        <v>Customer repeat rate (LTM)</v>
      </c>
      <c r="J792">
        <f>'Revenue drivers'!J555</f>
        <v>0</v>
      </c>
      <c r="K792">
        <f>'Revenue drivers'!K555</f>
        <v>0</v>
      </c>
      <c r="L792">
        <f>'Revenue drivers'!L555</f>
        <v>0</v>
      </c>
      <c r="M792">
        <f>'Revenue drivers'!M555</f>
        <v>0.72</v>
      </c>
      <c r="N792">
        <f>'Revenue drivers'!N555</f>
        <v>0</v>
      </c>
      <c r="O792">
        <f>'Revenue drivers'!O555</f>
        <v>0</v>
      </c>
      <c r="P792">
        <f>'Revenue drivers'!P555</f>
        <v>0.66</v>
      </c>
      <c r="Q792">
        <f>'Revenue drivers'!Q555</f>
        <v>0.72</v>
      </c>
      <c r="R792">
        <f>'Revenue drivers'!R555</f>
        <v>0.7</v>
      </c>
      <c r="S792">
        <f>'Revenue drivers'!S555</f>
        <v>0.7</v>
      </c>
      <c r="T792">
        <f>'Revenue drivers'!T555</f>
        <v>0.67</v>
      </c>
      <c r="U792">
        <f>'Revenue drivers'!U555</f>
        <v>0.7</v>
      </c>
      <c r="V792">
        <f>'Revenue drivers'!V555</f>
        <v>0.7</v>
      </c>
      <c r="W792">
        <f>'Revenue drivers'!W555</f>
        <v>0.72</v>
      </c>
      <c r="X792">
        <f>'Revenue drivers'!X555</f>
        <v>0.72</v>
      </c>
      <c r="Y792">
        <f>'Revenue drivers'!Y555</f>
        <v>0.72</v>
      </c>
      <c r="Z792">
        <f>'Revenue drivers'!Z555</f>
        <v>0.71</v>
      </c>
      <c r="AA792">
        <f>'Revenue drivers'!AA555</f>
        <v>0.73</v>
      </c>
      <c r="AB792">
        <f>'Revenue drivers'!AB555</f>
        <v>0.7</v>
      </c>
      <c r="AC792">
        <f>'Revenue drivers'!AC555</f>
        <v>0.75</v>
      </c>
      <c r="AD792">
        <f>'Revenue drivers'!AD555</f>
        <v>0.75</v>
      </c>
      <c r="AE792">
        <f>'Revenue drivers'!AE555</f>
        <v>0.75</v>
      </c>
      <c r="AF792">
        <f>'Revenue drivers'!AF555</f>
        <v>0.75</v>
      </c>
      <c r="AG792">
        <f>'Revenue drivers'!AG555</f>
        <v>0.76</v>
      </c>
      <c r="AH792">
        <f>'Revenue drivers'!AH555</f>
        <v>0.77</v>
      </c>
      <c r="AI792">
        <f>'Revenue drivers'!AI555</f>
        <v>0.77</v>
      </c>
      <c r="AJ792">
        <f>'Revenue drivers'!AJ555</f>
        <v>0.78</v>
      </c>
      <c r="AK792">
        <f>'Revenue drivers'!AK555</f>
        <v>0.76</v>
      </c>
      <c r="AL792">
        <f>'Revenue drivers'!AL555</f>
        <v>0.78</v>
      </c>
      <c r="AM792">
        <f>'Revenue drivers'!AM555</f>
        <v>0.79</v>
      </c>
      <c r="AN792">
        <f>'Revenue drivers'!AN555</f>
        <v>0.8</v>
      </c>
      <c r="AO792">
        <f>'Revenue drivers'!AO555</f>
        <v>0.78</v>
      </c>
      <c r="AP792">
        <f>'Revenue drivers'!AP555</f>
        <v>0.78</v>
      </c>
      <c r="AQ792">
        <f>'Revenue drivers'!AQ555</f>
        <v>0.78</v>
      </c>
      <c r="AR792">
        <f>'Revenue drivers'!AR555</f>
        <v>0.78</v>
      </c>
      <c r="AS792">
        <f>'Revenue drivers'!AS555</f>
        <v>0.78</v>
      </c>
      <c r="AT792">
        <f>'Revenue drivers'!AT555</f>
        <v>0.78</v>
      </c>
      <c r="AU792">
        <f>'Revenue drivers'!AU555</f>
        <v>0.78</v>
      </c>
      <c r="AV792">
        <f>'Revenue drivers'!AV555</f>
        <v>0.78</v>
      </c>
      <c r="AW792">
        <f>'Revenue drivers'!AW555</f>
        <v>0.78</v>
      </c>
      <c r="AX792">
        <f>'Revenue drivers'!AX555</f>
        <v>0.78</v>
      </c>
      <c r="AY792">
        <f>'Revenue drivers'!AY555</f>
        <v>0.78</v>
      </c>
      <c r="AZ792">
        <f>'Revenue drivers'!AZ555</f>
        <v>0.78</v>
      </c>
      <c r="BA792">
        <f>'Revenue drivers'!BA555</f>
        <v>0.78</v>
      </c>
      <c r="BB792">
        <f>'Revenue drivers'!BB555</f>
        <v>0.78</v>
      </c>
      <c r="BC792">
        <f>'Revenue drivers'!BC555</f>
        <v>0.78</v>
      </c>
      <c r="BD792">
        <f>'Revenue drivers'!BD555</f>
        <v>0.78</v>
      </c>
      <c r="BE792">
        <f>'Revenue drivers'!BE555</f>
        <v>0</v>
      </c>
      <c r="BF792">
        <f>'Revenue drivers'!BF555</f>
        <v>0</v>
      </c>
      <c r="BG792">
        <f>'Revenue drivers'!BG555</f>
        <v>0</v>
      </c>
      <c r="BH792">
        <f>'Revenue drivers'!BH555</f>
        <v>0</v>
      </c>
      <c r="BI792">
        <f>'Revenue drivers'!BI555</f>
        <v>0</v>
      </c>
      <c r="BJ792">
        <f>'Revenue drivers'!BJ555</f>
        <v>0</v>
      </c>
      <c r="BK792">
        <f>'Revenue drivers'!BK555</f>
        <v>0.69750000000000001</v>
      </c>
      <c r="BL792">
        <f>'Revenue drivers'!BL555</f>
        <v>0.71</v>
      </c>
      <c r="BM792">
        <f>'Revenue drivers'!BM555</f>
        <v>0.71500000000000008</v>
      </c>
      <c r="BN792">
        <f>'Revenue drivers'!BN555</f>
        <v>0.75</v>
      </c>
      <c r="BO792">
        <f>'Revenue drivers'!BO555</f>
        <v>0.77</v>
      </c>
      <c r="BP792">
        <f>'Revenue drivers'!BP555</f>
        <v>0.77</v>
      </c>
      <c r="BQ792">
        <f>'Revenue drivers'!BQ555</f>
        <v>0.78</v>
      </c>
      <c r="BR792">
        <f>'Revenue drivers'!BR555</f>
        <v>0.78</v>
      </c>
      <c r="BS792">
        <f>'Revenue drivers'!BS555</f>
        <v>0.78</v>
      </c>
      <c r="BT792">
        <f>'Revenue drivers'!BT555</f>
        <v>0.78</v>
      </c>
      <c r="BU792">
        <f>'Revenue drivers'!BU555</f>
        <v>0.75</v>
      </c>
      <c r="BV792">
        <f>'Revenue drivers'!BV555</f>
        <v>0.75</v>
      </c>
      <c r="BW792">
        <f>'Revenue drivers'!BW555</f>
        <v>0.75</v>
      </c>
      <c r="BX792">
        <f>'Revenue drivers'!BX555</f>
        <v>0.75</v>
      </c>
      <c r="BY792">
        <f>'Revenue drivers'!BY555</f>
        <v>0.75</v>
      </c>
    </row>
    <row r="793" spans="9:77" ht="11.25" customHeight="1">
      <c r="I793" t="str">
        <f>'Revenue drivers'!I556</f>
        <v>Customers repeating</v>
      </c>
      <c r="J793">
        <f>'Revenue drivers'!J556</f>
        <v>0</v>
      </c>
      <c r="K793">
        <f>'Revenue drivers'!K556</f>
        <v>0</v>
      </c>
      <c r="L793">
        <f>'Revenue drivers'!L556</f>
        <v>0</v>
      </c>
      <c r="M793">
        <f>'Revenue drivers'!M556</f>
        <v>8</v>
      </c>
      <c r="N793">
        <f>'Revenue drivers'!N556</f>
        <v>9</v>
      </c>
      <c r="O793">
        <f>'Revenue drivers'!O556</f>
        <v>11</v>
      </c>
      <c r="P793">
        <f>'Revenue drivers'!P556</f>
        <v>11</v>
      </c>
      <c r="Q793">
        <f>'Revenue drivers'!Q556</f>
        <v>13</v>
      </c>
      <c r="R793">
        <f>'Revenue drivers'!R556</f>
        <v>15</v>
      </c>
      <c r="S793">
        <f>'Revenue drivers'!S556</f>
        <v>19</v>
      </c>
      <c r="T793">
        <f>'Revenue drivers'!T556</f>
        <v>23.7</v>
      </c>
      <c r="U793">
        <f>'Revenue drivers'!U556</f>
        <v>27</v>
      </c>
      <c r="V793">
        <f>'Revenue drivers'!V556</f>
        <v>31.8</v>
      </c>
      <c r="W793">
        <f>'Revenue drivers'!W556</f>
        <v>36</v>
      </c>
      <c r="X793">
        <f>'Revenue drivers'!X556</f>
        <v>39.799999999999997</v>
      </c>
      <c r="Y793">
        <f>'Revenue drivers'!Y556</f>
        <v>44.7</v>
      </c>
      <c r="Z793">
        <f>'Revenue drivers'!Z556</f>
        <v>51.4</v>
      </c>
      <c r="AA793">
        <f>'Revenue drivers'!AA556</f>
        <v>57.2</v>
      </c>
      <c r="AB793">
        <f>'Revenue drivers'!AB556</f>
        <v>67.2</v>
      </c>
      <c r="AC793">
        <f>'Revenue drivers'!AC556</f>
        <v>74</v>
      </c>
      <c r="AD793">
        <f>'Revenue drivers'!AD556</f>
        <v>79.900000000000006</v>
      </c>
      <c r="AE793">
        <f>'Revenue drivers'!AE556</f>
        <v>86.2</v>
      </c>
      <c r="AF793">
        <f>'Revenue drivers'!AF556</f>
        <v>93.7</v>
      </c>
      <c r="AG793">
        <f>'Revenue drivers'!AG556</f>
        <v>99.7</v>
      </c>
      <c r="AH793">
        <f>'Revenue drivers'!AH556</f>
        <v>105.7</v>
      </c>
      <c r="AI793">
        <f>'Revenue drivers'!AI556</f>
        <v>112.7</v>
      </c>
      <c r="AJ793">
        <f>'Revenue drivers'!AJ556</f>
        <v>121.7</v>
      </c>
      <c r="AK793">
        <f>'Revenue drivers'!AK556</f>
        <v>130.69999999999999</v>
      </c>
      <c r="AL793">
        <f>'Revenue drivers'!AL556</f>
        <v>139.69999999999999</v>
      </c>
      <c r="AM793">
        <f>'Revenue drivers'!AM556</f>
        <v>148.69999999999999</v>
      </c>
      <c r="AN793">
        <f>'Revenue drivers'!AN556</f>
        <v>157.69999999999999</v>
      </c>
      <c r="AO793">
        <f>'Revenue drivers'!AO556</f>
        <v>166.7</v>
      </c>
      <c r="AP793">
        <f>'Revenue drivers'!AP556</f>
        <v>175.7</v>
      </c>
      <c r="AQ793">
        <f>'Revenue drivers'!AQ556</f>
        <v>184.7</v>
      </c>
      <c r="AR793">
        <f>'Revenue drivers'!AR556</f>
        <v>193.7</v>
      </c>
      <c r="AS793">
        <f>'Revenue drivers'!AS556</f>
        <v>202.7</v>
      </c>
      <c r="AT793">
        <f>'Revenue drivers'!AT556</f>
        <v>211.7</v>
      </c>
      <c r="AU793">
        <f>'Revenue drivers'!AU556</f>
        <v>220.7</v>
      </c>
      <c r="AV793">
        <f>'Revenue drivers'!AV556</f>
        <v>229.7</v>
      </c>
      <c r="AW793">
        <f>'Revenue drivers'!AW556</f>
        <v>238.7</v>
      </c>
      <c r="AX793">
        <f>'Revenue drivers'!AX556</f>
        <v>247.7</v>
      </c>
      <c r="AY793">
        <f>'Revenue drivers'!AY556</f>
        <v>256.7</v>
      </c>
      <c r="AZ793">
        <f>'Revenue drivers'!AZ556</f>
        <v>265.7</v>
      </c>
      <c r="BA793">
        <f>'Revenue drivers'!BA556</f>
        <v>274.7</v>
      </c>
      <c r="BB793">
        <f>'Revenue drivers'!BB556</f>
        <v>283.7</v>
      </c>
      <c r="BC793">
        <f>'Revenue drivers'!BC556</f>
        <v>292.7</v>
      </c>
      <c r="BD793">
        <f>'Revenue drivers'!BD556</f>
        <v>301.7</v>
      </c>
      <c r="BE793">
        <f>'Revenue drivers'!BE556</f>
        <v>0</v>
      </c>
      <c r="BF793">
        <f>'Revenue drivers'!BF556</f>
        <v>0</v>
      </c>
      <c r="BG793">
        <f>'Revenue drivers'!BG556</f>
        <v>0</v>
      </c>
      <c r="BH793">
        <f>'Revenue drivers'!BH556</f>
        <v>0</v>
      </c>
      <c r="BI793">
        <f>'Revenue drivers'!BI556</f>
        <v>0</v>
      </c>
      <c r="BJ793">
        <f>'Revenue drivers'!BJ556</f>
        <v>11</v>
      </c>
      <c r="BK793">
        <f>'Revenue drivers'!BK556</f>
        <v>23.7</v>
      </c>
      <c r="BL793">
        <f>'Revenue drivers'!BL556</f>
        <v>39.799999999999997</v>
      </c>
      <c r="BM793">
        <f>'Revenue drivers'!BM556</f>
        <v>67.2</v>
      </c>
      <c r="BN793">
        <f>'Revenue drivers'!BN556</f>
        <v>93.7</v>
      </c>
      <c r="BO793">
        <f>'Revenue drivers'!BO556</f>
        <v>121.7</v>
      </c>
      <c r="BP793">
        <f>'Revenue drivers'!BP556</f>
        <v>0</v>
      </c>
      <c r="BQ793">
        <f>'Revenue drivers'!BQ556</f>
        <v>0</v>
      </c>
      <c r="BR793">
        <f>'Revenue drivers'!BR556</f>
        <v>0</v>
      </c>
      <c r="BS793">
        <f>'Revenue drivers'!BS556</f>
        <v>0</v>
      </c>
      <c r="BT793">
        <f>'Revenue drivers'!BT556</f>
        <v>0</v>
      </c>
      <c r="BU793">
        <f>'Revenue drivers'!BU556</f>
        <v>0</v>
      </c>
      <c r="BV793">
        <f>'Revenue drivers'!BV556</f>
        <v>0</v>
      </c>
      <c r="BW793">
        <f>'Revenue drivers'!BW556</f>
        <v>0</v>
      </c>
      <c r="BX793">
        <f>'Revenue drivers'!BX556</f>
        <v>0</v>
      </c>
      <c r="BY793">
        <f>'Revenue drivers'!BY556</f>
        <v>0</v>
      </c>
    </row>
    <row r="794" spans="9:77" ht="11.25" customHeight="1">
      <c r="I794" t="str">
        <f>'Revenue drivers'!I557</f>
        <v>Customers not repeating</v>
      </c>
      <c r="J794">
        <f>'Revenue drivers'!J557</f>
        <v>0</v>
      </c>
      <c r="K794">
        <f>'Revenue drivers'!K557</f>
        <v>0</v>
      </c>
      <c r="L794">
        <f>'Revenue drivers'!L557</f>
        <v>0</v>
      </c>
      <c r="M794">
        <f>'Revenue drivers'!M557</f>
        <v>0</v>
      </c>
      <c r="N794">
        <f>'Revenue drivers'!N557</f>
        <v>0</v>
      </c>
      <c r="O794">
        <f>'Revenue drivers'!O557</f>
        <v>0</v>
      </c>
      <c r="P794">
        <f>'Revenue drivers'!P557</f>
        <v>0</v>
      </c>
      <c r="Q794">
        <f>'Revenue drivers'!Q557</f>
        <v>1.5833333333333339</v>
      </c>
      <c r="R794">
        <f>'Revenue drivers'!R557</f>
        <v>2.1428571428571423</v>
      </c>
      <c r="S794">
        <f>'Revenue drivers'!S557</f>
        <v>2.4285714285714306</v>
      </c>
      <c r="T794">
        <f>'Revenue drivers'!T557</f>
        <v>2.1955223880597039</v>
      </c>
      <c r="U794">
        <f>'Revenue drivers'!U557</f>
        <v>1.571428571428573</v>
      </c>
      <c r="V794">
        <f>'Revenue drivers'!V557</f>
        <v>1.6285714285714299</v>
      </c>
      <c r="W794">
        <f>'Revenue drivers'!W557</f>
        <v>2.1944444444444429</v>
      </c>
      <c r="X794">
        <f>'Revenue drivers'!X557</f>
        <v>4.2972222222222243</v>
      </c>
      <c r="Y794">
        <f>'Revenue drivers'!Y557</f>
        <v>5.0916666666666686</v>
      </c>
      <c r="Z794">
        <f>'Revenue drivers'!Z557</f>
        <v>7.1915492957746565</v>
      </c>
      <c r="AA794">
        <f>'Revenue drivers'!AA557</f>
        <v>6.6356164383561662</v>
      </c>
      <c r="AB794">
        <f>'Revenue drivers'!AB557</f>
        <v>9.2285714285714278</v>
      </c>
      <c r="AC794">
        <f>'Revenue drivers'!AC557</f>
        <v>5.13333333333334</v>
      </c>
      <c r="AD794">
        <f>'Revenue drivers'!AD557</f>
        <v>7.63333333333334</v>
      </c>
      <c r="AE794">
        <f>'Revenue drivers'!AE557</f>
        <v>9.4000000000000057</v>
      </c>
      <c r="AF794">
        <f>'Revenue drivers'!AF557</f>
        <v>13.566666666666663</v>
      </c>
      <c r="AG794">
        <f>'Revenue drivers'!AG557</f>
        <v>14.576315789473668</v>
      </c>
      <c r="AH794">
        <f>'Revenue drivers'!AH557</f>
        <v>14.819480519480535</v>
      </c>
      <c r="AI794">
        <f>'Revenue drivers'!AI557</f>
        <v>16.455844155844161</v>
      </c>
      <c r="AJ794">
        <f>'Revenue drivers'!AJ557</f>
        <v>16.376923076923063</v>
      </c>
      <c r="AK794">
        <f>'Revenue drivers'!AK557</f>
        <v>20.878947368421052</v>
      </c>
      <c r="AL794">
        <f>'Revenue drivers'!AL557</f>
        <v>17.607692307692304</v>
      </c>
      <c r="AM794">
        <f>'Revenue drivers'!AM557</f>
        <v>16.743037974683546</v>
      </c>
      <c r="AN794">
        <f>'Revenue drivers'!AN557</f>
        <v>16.924999999999983</v>
      </c>
      <c r="AO794">
        <f>'Revenue drivers'!AO557</f>
        <v>23.941025641025618</v>
      </c>
      <c r="AP794">
        <f>'Revenue drivers'!AP557</f>
        <v>26.479487179487165</v>
      </c>
      <c r="AQ794">
        <f>'Revenue drivers'!AQ557</f>
        <v>29.017948717948713</v>
      </c>
      <c r="AR794">
        <f>'Revenue drivers'!AR557</f>
        <v>31.556410256410231</v>
      </c>
      <c r="AS794">
        <f>'Revenue drivers'!AS557</f>
        <v>34.094871794871779</v>
      </c>
      <c r="AT794">
        <f>'Revenue drivers'!AT557</f>
        <v>36.633333333333326</v>
      </c>
      <c r="AU794">
        <f>'Revenue drivers'!AU557</f>
        <v>39.171794871794873</v>
      </c>
      <c r="AV794">
        <f>'Revenue drivers'!AV557</f>
        <v>41.71025641025642</v>
      </c>
      <c r="AW794">
        <f>'Revenue drivers'!AW557</f>
        <v>44.248717948717911</v>
      </c>
      <c r="AX794">
        <f>'Revenue drivers'!AX557</f>
        <v>46.787179487179458</v>
      </c>
      <c r="AY794">
        <f>'Revenue drivers'!AY557</f>
        <v>49.325641025641005</v>
      </c>
      <c r="AZ794">
        <f>'Revenue drivers'!AZ557</f>
        <v>51.864102564102552</v>
      </c>
      <c r="BA794">
        <f>'Revenue drivers'!BA557</f>
        <v>54.402564102564099</v>
      </c>
      <c r="BB794">
        <f>'Revenue drivers'!BB557</f>
        <v>56.941025641025647</v>
      </c>
      <c r="BC794">
        <f>'Revenue drivers'!BC557</f>
        <v>59.479487179487137</v>
      </c>
      <c r="BD794">
        <f>'Revenue drivers'!BD557</f>
        <v>62.017948717948684</v>
      </c>
      <c r="BE794">
        <f>'Revenue drivers'!BE557</f>
        <v>0</v>
      </c>
      <c r="BF794">
        <f>'Revenue drivers'!BF557</f>
        <v>0</v>
      </c>
      <c r="BG794">
        <f>'Revenue drivers'!BG557</f>
        <v>0</v>
      </c>
      <c r="BH794">
        <f>'Revenue drivers'!BH557</f>
        <v>0</v>
      </c>
      <c r="BI794">
        <f>'Revenue drivers'!BI557</f>
        <v>0</v>
      </c>
      <c r="BJ794" t="str">
        <f>'Revenue drivers'!BJ557</f>
        <v>NA</v>
      </c>
      <c r="BK794">
        <f>'Revenue drivers'!BK557</f>
        <v>1.1745519713261672</v>
      </c>
      <c r="BL794">
        <f>'Revenue drivers'!BL557</f>
        <v>4.9183098591549381</v>
      </c>
      <c r="BM794">
        <f>'Revenue drivers'!BM557</f>
        <v>7.6251748251748097</v>
      </c>
      <c r="BN794">
        <f>'Revenue drivers'!BN557</f>
        <v>13.566666666666663</v>
      </c>
      <c r="BO794">
        <f>'Revenue drivers'!BO557</f>
        <v>18.170129870129855</v>
      </c>
      <c r="BP794">
        <f>'Revenue drivers'!BP557</f>
        <v>79.025974025974023</v>
      </c>
      <c r="BQ794">
        <f>'Revenue drivers'!BQ557</f>
        <v>0</v>
      </c>
      <c r="BR794">
        <f>'Revenue drivers'!BR557</f>
        <v>0</v>
      </c>
      <c r="BS794">
        <f>'Revenue drivers'!BS557</f>
        <v>0</v>
      </c>
      <c r="BT794">
        <f>'Revenue drivers'!BT557</f>
        <v>0</v>
      </c>
      <c r="BU794">
        <f>'Revenue drivers'!BU557</f>
        <v>0</v>
      </c>
      <c r="BV794">
        <f>'Revenue drivers'!BV557</f>
        <v>0</v>
      </c>
      <c r="BW794">
        <f>'Revenue drivers'!BW557</f>
        <v>0</v>
      </c>
      <c r="BX794">
        <f>'Revenue drivers'!BX557</f>
        <v>0</v>
      </c>
      <c r="BY794">
        <f>'Revenue drivers'!BY557</f>
        <v>0</v>
      </c>
    </row>
    <row r="795" spans="9:77" ht="11.25" customHeight="1">
      <c r="I795" t="str">
        <f>'Revenue drivers'!I558</f>
        <v>Gross customer adds</v>
      </c>
      <c r="J795">
        <f>'Revenue drivers'!J558</f>
        <v>0</v>
      </c>
      <c r="K795">
        <f>'Revenue drivers'!K558</f>
        <v>0</v>
      </c>
      <c r="L795">
        <f>'Revenue drivers'!L558</f>
        <v>0</v>
      </c>
      <c r="M795">
        <f>'Revenue drivers'!M558</f>
        <v>0</v>
      </c>
      <c r="N795">
        <f>'Revenue drivers'!N558</f>
        <v>0</v>
      </c>
      <c r="O795">
        <f>'Revenue drivers'!O558</f>
        <v>0</v>
      </c>
      <c r="P795">
        <f>'Revenue drivers'!P558</f>
        <v>0</v>
      </c>
      <c r="Q795">
        <f>'Revenue drivers'!Q558</f>
        <v>6.5833333333333339</v>
      </c>
      <c r="R795">
        <f>'Revenue drivers'!R558</f>
        <v>8.1428571428571423</v>
      </c>
      <c r="S795">
        <f>'Revenue drivers'!S558</f>
        <v>10.428571428571431</v>
      </c>
      <c r="T795">
        <f>'Revenue drivers'!T558</f>
        <v>14.895522388059703</v>
      </c>
      <c r="U795">
        <f>'Revenue drivers'!U558</f>
        <v>15.571428571428573</v>
      </c>
      <c r="V795">
        <f>'Revenue drivers'!V558</f>
        <v>18.428571428571431</v>
      </c>
      <c r="W795">
        <f>'Revenue drivers'!W558</f>
        <v>19.194444444444443</v>
      </c>
      <c r="X795">
        <f>'Revenue drivers'!X558</f>
        <v>20.397222222222222</v>
      </c>
      <c r="Y795">
        <f>'Revenue drivers'!Y558</f>
        <v>22.791666666666671</v>
      </c>
      <c r="Z795">
        <f>'Revenue drivers'!Z558</f>
        <v>26.791549295774654</v>
      </c>
      <c r="AA795">
        <f>'Revenue drivers'!AA558</f>
        <v>27.835616438356169</v>
      </c>
      <c r="AB795">
        <f>'Revenue drivers'!AB558</f>
        <v>36.628571428571433</v>
      </c>
      <c r="AC795">
        <f>'Revenue drivers'!AC558</f>
        <v>34.433333333333337</v>
      </c>
      <c r="AD795">
        <f>'Revenue drivers'!AD558</f>
        <v>36.133333333333347</v>
      </c>
      <c r="AE795">
        <f>'Revenue drivers'!AE558</f>
        <v>38.400000000000006</v>
      </c>
      <c r="AF795">
        <f>'Revenue drivers'!AF558</f>
        <v>40.066666666666663</v>
      </c>
      <c r="AG795">
        <f>'Revenue drivers'!AG558</f>
        <v>40.276315789473671</v>
      </c>
      <c r="AH795">
        <f>'Revenue drivers'!AH558</f>
        <v>40.619480519480533</v>
      </c>
      <c r="AI795">
        <f>'Revenue drivers'!AI558</f>
        <v>42.955844155844161</v>
      </c>
      <c r="AJ795">
        <f>'Revenue drivers'!AJ558</f>
        <v>44.376923076923063</v>
      </c>
      <c r="AK795">
        <f>'Revenue drivers'!AK558</f>
        <v>51.878947368421038</v>
      </c>
      <c r="AL795">
        <f>'Revenue drivers'!AL558</f>
        <v>51.60769230769229</v>
      </c>
      <c r="AM795">
        <f>'Revenue drivers'!AM558</f>
        <v>52.743037974683531</v>
      </c>
      <c r="AN795">
        <f>'Revenue drivers'!AN558</f>
        <v>52.924999999999969</v>
      </c>
      <c r="AO795">
        <f>'Revenue drivers'!AO558</f>
        <v>59.941025641025618</v>
      </c>
      <c r="AP795">
        <f>'Revenue drivers'!AP558</f>
        <v>62.479487179487165</v>
      </c>
      <c r="AQ795">
        <f>'Revenue drivers'!AQ558</f>
        <v>65.017948717948713</v>
      </c>
      <c r="AR795">
        <f>'Revenue drivers'!AR558</f>
        <v>67.556410256410231</v>
      </c>
      <c r="AS795">
        <f>'Revenue drivers'!AS558</f>
        <v>70.094871794871779</v>
      </c>
      <c r="AT795">
        <f>'Revenue drivers'!AT558</f>
        <v>72.633333333333326</v>
      </c>
      <c r="AU795">
        <f>'Revenue drivers'!AU558</f>
        <v>75.171794871794873</v>
      </c>
      <c r="AV795">
        <f>'Revenue drivers'!AV558</f>
        <v>77.71025641025642</v>
      </c>
      <c r="AW795">
        <f>'Revenue drivers'!AW558</f>
        <v>80.248717948717911</v>
      </c>
      <c r="AX795">
        <f>'Revenue drivers'!AX558</f>
        <v>82.787179487179458</v>
      </c>
      <c r="AY795">
        <f>'Revenue drivers'!AY558</f>
        <v>85.325641025641005</v>
      </c>
      <c r="AZ795">
        <f>'Revenue drivers'!AZ558</f>
        <v>87.864102564102552</v>
      </c>
      <c r="BA795">
        <f>'Revenue drivers'!BA558</f>
        <v>90.402564102564099</v>
      </c>
      <c r="BB795">
        <f>'Revenue drivers'!BB558</f>
        <v>92.941025641025647</v>
      </c>
      <c r="BC795">
        <f>'Revenue drivers'!BC558</f>
        <v>95.479487179487137</v>
      </c>
      <c r="BD795">
        <f>'Revenue drivers'!BD558</f>
        <v>98.017948717948684</v>
      </c>
      <c r="BE795">
        <f>'Revenue drivers'!BE558</f>
        <v>0</v>
      </c>
      <c r="BF795">
        <f>'Revenue drivers'!BF558</f>
        <v>0</v>
      </c>
      <c r="BG795">
        <f>'Revenue drivers'!BG558</f>
        <v>0</v>
      </c>
      <c r="BH795">
        <f>'Revenue drivers'!BH558</f>
        <v>0</v>
      </c>
      <c r="BI795">
        <f>'Revenue drivers'!BI558</f>
        <v>0</v>
      </c>
      <c r="BJ795" t="str">
        <f>'Revenue drivers'!BJ558</f>
        <v>NA</v>
      </c>
      <c r="BK795">
        <f>'Revenue drivers'!BK558</f>
        <v>13.874551971326166</v>
      </c>
      <c r="BL795">
        <f>'Revenue drivers'!BL558</f>
        <v>21.018309859154936</v>
      </c>
      <c r="BM795">
        <f>'Revenue drivers'!BM558</f>
        <v>35.025174825174815</v>
      </c>
      <c r="BN795">
        <f>'Revenue drivers'!BN558</f>
        <v>40.066666666666663</v>
      </c>
      <c r="BO795">
        <f>'Revenue drivers'!BO558</f>
        <v>46.170129870129855</v>
      </c>
      <c r="BP795">
        <f>'Revenue drivers'!BP558</f>
        <v>-42.67402597402598</v>
      </c>
      <c r="BQ795">
        <f>'Revenue drivers'!BQ558</f>
        <v>0</v>
      </c>
      <c r="BR795">
        <f>'Revenue drivers'!BR558</f>
        <v>0</v>
      </c>
      <c r="BS795">
        <f>'Revenue drivers'!BS558</f>
        <v>0</v>
      </c>
      <c r="BT795">
        <f>'Revenue drivers'!BT558</f>
        <v>0</v>
      </c>
      <c r="BU795">
        <f>'Revenue drivers'!BU558</f>
        <v>0</v>
      </c>
      <c r="BV795">
        <f>'Revenue drivers'!BV558</f>
        <v>0</v>
      </c>
      <c r="BW795">
        <f>'Revenue drivers'!BW558</f>
        <v>0</v>
      </c>
      <c r="BX795">
        <f>'Revenue drivers'!BX558</f>
        <v>0</v>
      </c>
      <c r="BY795">
        <f>'Revenue drivers'!BY558</f>
        <v>0</v>
      </c>
    </row>
    <row r="796" spans="9:77" ht="11.25" customHeight="1">
      <c r="I796" t="str">
        <f>'Revenue drivers'!I559</f>
        <v>Net customer adds</v>
      </c>
      <c r="J796">
        <f>'Revenue drivers'!J559</f>
        <v>0</v>
      </c>
      <c r="K796">
        <f>'Revenue drivers'!K559</f>
        <v>0</v>
      </c>
      <c r="L796">
        <f>'Revenue drivers'!L559</f>
        <v>0</v>
      </c>
      <c r="M796">
        <f>'Revenue drivers'!M559</f>
        <v>0</v>
      </c>
      <c r="N796">
        <f>'Revenue drivers'!N559</f>
        <v>0</v>
      </c>
      <c r="O796">
        <f>'Revenue drivers'!O559</f>
        <v>0</v>
      </c>
      <c r="P796">
        <f>'Revenue drivers'!P559</f>
        <v>0</v>
      </c>
      <c r="Q796">
        <f>'Revenue drivers'!Q559</f>
        <v>5</v>
      </c>
      <c r="R796">
        <f>'Revenue drivers'!R559</f>
        <v>6</v>
      </c>
      <c r="S796">
        <f>'Revenue drivers'!S559</f>
        <v>8</v>
      </c>
      <c r="T796">
        <f>'Revenue drivers'!T559</f>
        <v>12.7</v>
      </c>
      <c r="U796">
        <f>'Revenue drivers'!U559</f>
        <v>14</v>
      </c>
      <c r="V796">
        <f>'Revenue drivers'!V559</f>
        <v>16.8</v>
      </c>
      <c r="W796">
        <f>'Revenue drivers'!W559</f>
        <v>17</v>
      </c>
      <c r="X796">
        <f>'Revenue drivers'!X559</f>
        <v>16.099999999999998</v>
      </c>
      <c r="Y796">
        <f>'Revenue drivers'!Y559</f>
        <v>17.700000000000003</v>
      </c>
      <c r="Z796">
        <f>'Revenue drivers'!Z559</f>
        <v>19.599999999999998</v>
      </c>
      <c r="AA796">
        <f>'Revenue drivers'!AA559</f>
        <v>21.200000000000003</v>
      </c>
      <c r="AB796">
        <f>'Revenue drivers'!AB559</f>
        <v>27.400000000000006</v>
      </c>
      <c r="AC796">
        <f>'Revenue drivers'!AC559</f>
        <v>29.299999999999997</v>
      </c>
      <c r="AD796">
        <f>'Revenue drivers'!AD559</f>
        <v>28.500000000000007</v>
      </c>
      <c r="AE796">
        <f>'Revenue drivers'!AE559</f>
        <v>29</v>
      </c>
      <c r="AF796">
        <f>'Revenue drivers'!AF559</f>
        <v>26.5</v>
      </c>
      <c r="AG796">
        <f>'Revenue drivers'!AG559</f>
        <v>25.700000000000003</v>
      </c>
      <c r="AH796">
        <f>'Revenue drivers'!AH559</f>
        <v>25.799999999999997</v>
      </c>
      <c r="AI796">
        <f>'Revenue drivers'!AI559</f>
        <v>26.5</v>
      </c>
      <c r="AJ796">
        <f>'Revenue drivers'!AJ559</f>
        <v>28</v>
      </c>
      <c r="AK796">
        <f>'Revenue drivers'!AK559</f>
        <v>30.999999999999986</v>
      </c>
      <c r="AL796">
        <f>'Revenue drivers'!AL559</f>
        <v>33.999999999999986</v>
      </c>
      <c r="AM796">
        <f>'Revenue drivers'!AM559</f>
        <v>35.999999999999986</v>
      </c>
      <c r="AN796">
        <f>'Revenue drivers'!AN559</f>
        <v>35.999999999999986</v>
      </c>
      <c r="AO796">
        <f>'Revenue drivers'!AO559</f>
        <v>36</v>
      </c>
      <c r="AP796">
        <f>'Revenue drivers'!AP559</f>
        <v>36</v>
      </c>
      <c r="AQ796">
        <f>'Revenue drivers'!AQ559</f>
        <v>36</v>
      </c>
      <c r="AR796">
        <f>'Revenue drivers'!AR559</f>
        <v>36</v>
      </c>
      <c r="AS796">
        <f>'Revenue drivers'!AS559</f>
        <v>36</v>
      </c>
      <c r="AT796">
        <f>'Revenue drivers'!AT559</f>
        <v>36</v>
      </c>
      <c r="AU796">
        <f>'Revenue drivers'!AU559</f>
        <v>36</v>
      </c>
      <c r="AV796">
        <f>'Revenue drivers'!AV559</f>
        <v>36</v>
      </c>
      <c r="AW796">
        <f>'Revenue drivers'!AW559</f>
        <v>36</v>
      </c>
      <c r="AX796">
        <f>'Revenue drivers'!AX559</f>
        <v>36</v>
      </c>
      <c r="AY796">
        <f>'Revenue drivers'!AY559</f>
        <v>36</v>
      </c>
      <c r="AZ796">
        <f>'Revenue drivers'!AZ559</f>
        <v>36</v>
      </c>
      <c r="BA796">
        <f>'Revenue drivers'!BA559</f>
        <v>36</v>
      </c>
      <c r="BB796">
        <f>'Revenue drivers'!BB559</f>
        <v>36</v>
      </c>
      <c r="BC796">
        <f>'Revenue drivers'!BC559</f>
        <v>36</v>
      </c>
      <c r="BD796">
        <f>'Revenue drivers'!BD559</f>
        <v>36</v>
      </c>
      <c r="BE796">
        <f>'Revenue drivers'!BE559</f>
        <v>0</v>
      </c>
      <c r="BF796">
        <f>'Revenue drivers'!BF559</f>
        <v>0</v>
      </c>
      <c r="BG796">
        <f>'Revenue drivers'!BG559</f>
        <v>0</v>
      </c>
      <c r="BH796">
        <f>'Revenue drivers'!BH559</f>
        <v>0</v>
      </c>
      <c r="BI796">
        <f>'Revenue drivers'!BI559</f>
        <v>0</v>
      </c>
      <c r="BJ796" t="str">
        <f>'Revenue drivers'!BJ559</f>
        <v>NA</v>
      </c>
      <c r="BK796">
        <f>'Revenue drivers'!BK559</f>
        <v>12.7</v>
      </c>
      <c r="BL796">
        <f>'Revenue drivers'!BL559</f>
        <v>16.099999999999998</v>
      </c>
      <c r="BM796">
        <f>'Revenue drivers'!BM559</f>
        <v>27.400000000000006</v>
      </c>
      <c r="BN796">
        <f>'Revenue drivers'!BN559</f>
        <v>26.5</v>
      </c>
      <c r="BO796">
        <f>'Revenue drivers'!BO559</f>
        <v>28</v>
      </c>
      <c r="BP796">
        <f>'Revenue drivers'!BP559</f>
        <v>-121.7</v>
      </c>
      <c r="BQ796">
        <f>'Revenue drivers'!BQ559</f>
        <v>0</v>
      </c>
      <c r="BR796">
        <f>'Revenue drivers'!BR559</f>
        <v>0</v>
      </c>
      <c r="BS796">
        <f>'Revenue drivers'!BS559</f>
        <v>0</v>
      </c>
      <c r="BT796">
        <f>'Revenue drivers'!BT559</f>
        <v>0</v>
      </c>
      <c r="BU796">
        <f>'Revenue drivers'!BU559</f>
        <v>0</v>
      </c>
      <c r="BV796">
        <f>'Revenue drivers'!BV559</f>
        <v>0</v>
      </c>
      <c r="BW796">
        <f>'Revenue drivers'!BW559</f>
        <v>0</v>
      </c>
      <c r="BX796">
        <f>'Revenue drivers'!BX559</f>
        <v>0</v>
      </c>
      <c r="BY796">
        <f>'Revenue drivers'!BY559</f>
        <v>0</v>
      </c>
    </row>
    <row r="799" spans="9:77" ht="11.25" customHeight="1">
      <c r="I799">
        <f>'Revenue drivers'!I560</f>
        <v>0</v>
      </c>
      <c r="J799">
        <f>'Revenue drivers'!J560</f>
        <v>0</v>
      </c>
      <c r="K799">
        <f>'Revenue drivers'!K560</f>
        <v>0</v>
      </c>
      <c r="L799">
        <f>'Revenue drivers'!L560</f>
        <v>0</v>
      </c>
      <c r="M799">
        <f>'Revenue drivers'!M560</f>
        <v>0</v>
      </c>
      <c r="N799">
        <f>'Revenue drivers'!N560</f>
        <v>0</v>
      </c>
      <c r="O799">
        <f>'Revenue drivers'!O560</f>
        <v>0</v>
      </c>
      <c r="P799">
        <f>'Revenue drivers'!P560</f>
        <v>0</v>
      </c>
      <c r="Q799">
        <f>'Revenue drivers'!Q560</f>
        <v>0</v>
      </c>
      <c r="R799">
        <f>'Revenue drivers'!R560</f>
        <v>0</v>
      </c>
      <c r="S799">
        <f>'Revenue drivers'!S560</f>
        <v>0</v>
      </c>
      <c r="T799">
        <f>'Revenue drivers'!T560</f>
        <v>0</v>
      </c>
      <c r="U799">
        <f>'Revenue drivers'!U560</f>
        <v>0</v>
      </c>
      <c r="V799">
        <f>'Revenue drivers'!V560</f>
        <v>0</v>
      </c>
      <c r="W799">
        <f>'Revenue drivers'!W560</f>
        <v>0</v>
      </c>
      <c r="X799">
        <f>'Revenue drivers'!X560</f>
        <v>0</v>
      </c>
      <c r="Y799">
        <f>'Revenue drivers'!Y560</f>
        <v>0</v>
      </c>
      <c r="Z799">
        <f>'Revenue drivers'!Z560</f>
        <v>0</v>
      </c>
      <c r="AA799">
        <f>'Revenue drivers'!AA560</f>
        <v>0</v>
      </c>
      <c r="AB799">
        <f>'Revenue drivers'!AB560</f>
        <v>0</v>
      </c>
      <c r="AC799">
        <f>'Revenue drivers'!AC560</f>
        <v>0</v>
      </c>
      <c r="AD799">
        <f>'Revenue drivers'!AD560</f>
        <v>0</v>
      </c>
      <c r="AE799">
        <f>'Revenue drivers'!AE560</f>
        <v>0</v>
      </c>
      <c r="AF799">
        <f>'Revenue drivers'!AF560</f>
        <v>0</v>
      </c>
      <c r="AG799">
        <f>'Revenue drivers'!AG560</f>
        <v>0</v>
      </c>
      <c r="AH799">
        <f>'Revenue drivers'!AH560</f>
        <v>0</v>
      </c>
      <c r="AI799">
        <f>'Revenue drivers'!AI560</f>
        <v>0</v>
      </c>
      <c r="AJ799">
        <f>'Revenue drivers'!AJ560</f>
        <v>0</v>
      </c>
      <c r="AK799">
        <f>'Revenue drivers'!AK560</f>
        <v>0</v>
      </c>
      <c r="AL799">
        <f>'Revenue drivers'!AL560</f>
        <v>0</v>
      </c>
      <c r="AM799">
        <f>'Revenue drivers'!AM560</f>
        <v>0</v>
      </c>
      <c r="AN799">
        <f>'Revenue drivers'!AN560</f>
        <v>0</v>
      </c>
      <c r="AO799">
        <f>'Revenue drivers'!AO560</f>
        <v>0</v>
      </c>
      <c r="AP799">
        <f>'Revenue drivers'!AP560</f>
        <v>0</v>
      </c>
      <c r="AQ799">
        <f>'Revenue drivers'!AQ560</f>
        <v>0</v>
      </c>
      <c r="AR799">
        <f>'Revenue drivers'!AR560</f>
        <v>0</v>
      </c>
      <c r="AS799">
        <f>'Revenue drivers'!AS560</f>
        <v>0</v>
      </c>
      <c r="AT799">
        <f>'Revenue drivers'!AT560</f>
        <v>0</v>
      </c>
      <c r="AU799">
        <f>'Revenue drivers'!AU560</f>
        <v>0</v>
      </c>
      <c r="AV799">
        <f>'Revenue drivers'!AV560</f>
        <v>0</v>
      </c>
      <c r="AW799">
        <f>'Revenue drivers'!AW560</f>
        <v>0</v>
      </c>
      <c r="AX799">
        <f>'Revenue drivers'!AX560</f>
        <v>0</v>
      </c>
      <c r="AY799">
        <f>'Revenue drivers'!AY560</f>
        <v>0</v>
      </c>
      <c r="AZ799">
        <f>'Revenue drivers'!AZ560</f>
        <v>0</v>
      </c>
      <c r="BA799">
        <f>'Revenue drivers'!BA560</f>
        <v>0</v>
      </c>
      <c r="BB799">
        <f>'Revenue drivers'!BB560</f>
        <v>0</v>
      </c>
      <c r="BC799">
        <f>'Revenue drivers'!BC560</f>
        <v>0</v>
      </c>
      <c r="BD799">
        <f>'Revenue drivers'!BD560</f>
        <v>0</v>
      </c>
      <c r="BE799">
        <f>'Revenue drivers'!BE560</f>
        <v>0</v>
      </c>
      <c r="BF799">
        <f>'Revenue drivers'!BF560</f>
        <v>0</v>
      </c>
      <c r="BG799">
        <f>'Revenue drivers'!BG560</f>
        <v>0</v>
      </c>
      <c r="BH799">
        <f>'Revenue drivers'!BH560</f>
        <v>0</v>
      </c>
      <c r="BI799">
        <f>'Revenue drivers'!BI560</f>
        <v>0</v>
      </c>
      <c r="BJ799">
        <f>'Revenue drivers'!BJ560</f>
        <v>0</v>
      </c>
      <c r="BK799">
        <f>'Revenue drivers'!BK560</f>
        <v>0</v>
      </c>
      <c r="BL799">
        <f>'Revenue drivers'!BL560</f>
        <v>0</v>
      </c>
      <c r="BM799">
        <f>'Revenue drivers'!BM560</f>
        <v>0</v>
      </c>
      <c r="BN799">
        <f>'Revenue drivers'!BN560</f>
        <v>0</v>
      </c>
      <c r="BO799">
        <f>'Revenue drivers'!BO560</f>
        <v>0</v>
      </c>
      <c r="BP799">
        <f>'Revenue drivers'!BP560</f>
        <v>0</v>
      </c>
      <c r="BQ799">
        <f>'Revenue drivers'!BQ560</f>
        <v>0</v>
      </c>
      <c r="BR799">
        <f>'Revenue drivers'!BR560</f>
        <v>0</v>
      </c>
      <c r="BS799">
        <f>'Revenue drivers'!BS560</f>
        <v>0</v>
      </c>
      <c r="BT799">
        <f>'Revenue drivers'!BT560</f>
        <v>0</v>
      </c>
      <c r="BU799">
        <f>'Revenue drivers'!BU560</f>
        <v>0</v>
      </c>
      <c r="BV799">
        <f>'Revenue drivers'!BV560</f>
        <v>0</v>
      </c>
      <c r="BW799">
        <f>'Revenue drivers'!BW560</f>
        <v>0</v>
      </c>
      <c r="BX799">
        <f>'Revenue drivers'!BX560</f>
        <v>0</v>
      </c>
      <c r="BY799">
        <f>'Revenue drivers'!BY560</f>
        <v>0</v>
      </c>
    </row>
    <row r="800" spans="9:77" ht="11.25" customHeight="1">
      <c r="I800">
        <f>'Revenue drivers'!I561</f>
        <v>0</v>
      </c>
      <c r="J800">
        <f>'Revenue drivers'!J561</f>
        <v>0</v>
      </c>
      <c r="K800">
        <f>'Revenue drivers'!K561</f>
        <v>0</v>
      </c>
      <c r="L800">
        <f>'Revenue drivers'!L561</f>
        <v>0</v>
      </c>
      <c r="M800">
        <f>'Revenue drivers'!M561</f>
        <v>0</v>
      </c>
      <c r="N800">
        <f>'Revenue drivers'!N561</f>
        <v>0</v>
      </c>
      <c r="O800">
        <f>'Revenue drivers'!O561</f>
        <v>0</v>
      </c>
      <c r="P800">
        <f>'Revenue drivers'!P561</f>
        <v>0</v>
      </c>
      <c r="Q800">
        <f>'Revenue drivers'!Q561</f>
        <v>0</v>
      </c>
      <c r="R800">
        <f>'Revenue drivers'!R561</f>
        <v>0</v>
      </c>
      <c r="S800">
        <f>'Revenue drivers'!S561</f>
        <v>0</v>
      </c>
      <c r="T800">
        <f>'Revenue drivers'!T561</f>
        <v>0</v>
      </c>
      <c r="U800">
        <f>'Revenue drivers'!U561</f>
        <v>0</v>
      </c>
      <c r="V800">
        <f>'Revenue drivers'!V561</f>
        <v>0</v>
      </c>
      <c r="W800">
        <f>'Revenue drivers'!W561</f>
        <v>0</v>
      </c>
      <c r="X800">
        <f>'Revenue drivers'!X561</f>
        <v>0</v>
      </c>
      <c r="Y800">
        <f>'Revenue drivers'!Y561</f>
        <v>0</v>
      </c>
      <c r="Z800">
        <f>'Revenue drivers'!Z561</f>
        <v>0</v>
      </c>
      <c r="AA800">
        <f>'Revenue drivers'!AA561</f>
        <v>0</v>
      </c>
      <c r="AB800">
        <f>'Revenue drivers'!AB561</f>
        <v>0</v>
      </c>
      <c r="AC800">
        <f>'Revenue drivers'!AC561</f>
        <v>0</v>
      </c>
      <c r="AD800">
        <f>'Revenue drivers'!AD561</f>
        <v>0</v>
      </c>
      <c r="AE800">
        <f>'Revenue drivers'!AE561</f>
        <v>0</v>
      </c>
      <c r="AF800">
        <f>'Revenue drivers'!AF561</f>
        <v>0</v>
      </c>
      <c r="AG800">
        <f>'Revenue drivers'!AG561</f>
        <v>0</v>
      </c>
      <c r="AH800">
        <f>'Revenue drivers'!AH561</f>
        <v>0</v>
      </c>
      <c r="AI800">
        <f>'Revenue drivers'!AI561</f>
        <v>0</v>
      </c>
      <c r="AJ800">
        <f>'Revenue drivers'!AJ561</f>
        <v>0</v>
      </c>
      <c r="AK800">
        <f>'Revenue drivers'!AK561</f>
        <v>0</v>
      </c>
      <c r="AL800">
        <f>'Revenue drivers'!AL561</f>
        <v>0</v>
      </c>
      <c r="AM800">
        <f>'Revenue drivers'!AM561</f>
        <v>0</v>
      </c>
      <c r="AN800">
        <f>'Revenue drivers'!AN561</f>
        <v>0</v>
      </c>
      <c r="AO800">
        <f>'Revenue drivers'!AO561</f>
        <v>0</v>
      </c>
      <c r="AP800">
        <f>'Revenue drivers'!AP561</f>
        <v>0</v>
      </c>
      <c r="AQ800">
        <f>'Revenue drivers'!AQ561</f>
        <v>0</v>
      </c>
      <c r="AR800">
        <f>'Revenue drivers'!AR561</f>
        <v>0</v>
      </c>
      <c r="AS800">
        <f>'Revenue drivers'!AS561</f>
        <v>0</v>
      </c>
      <c r="AT800">
        <f>'Revenue drivers'!AT561</f>
        <v>0</v>
      </c>
      <c r="AU800">
        <f>'Revenue drivers'!AU561</f>
        <v>0</v>
      </c>
      <c r="AV800">
        <f>'Revenue drivers'!AV561</f>
        <v>0</v>
      </c>
      <c r="AW800">
        <f>'Revenue drivers'!AW561</f>
        <v>0</v>
      </c>
      <c r="AX800">
        <f>'Revenue drivers'!AX561</f>
        <v>0</v>
      </c>
      <c r="AY800">
        <f>'Revenue drivers'!AY561</f>
        <v>0</v>
      </c>
      <c r="AZ800">
        <f>'Revenue drivers'!AZ561</f>
        <v>0</v>
      </c>
      <c r="BA800">
        <f>'Revenue drivers'!BA561</f>
        <v>0</v>
      </c>
      <c r="BB800">
        <f>'Revenue drivers'!BB561</f>
        <v>0</v>
      </c>
      <c r="BC800">
        <f>'Revenue drivers'!BC561</f>
        <v>0</v>
      </c>
      <c r="BD800">
        <f>'Revenue drivers'!BD561</f>
        <v>0</v>
      </c>
      <c r="BE800">
        <f>'Revenue drivers'!BE561</f>
        <v>0</v>
      </c>
      <c r="BF800">
        <f>'Revenue drivers'!BF561</f>
        <v>0</v>
      </c>
      <c r="BG800">
        <f>'Revenue drivers'!BG561</f>
        <v>0</v>
      </c>
      <c r="BH800">
        <f>'Revenue drivers'!BH561</f>
        <v>0</v>
      </c>
      <c r="BI800">
        <f>'Revenue drivers'!BI561</f>
        <v>0</v>
      </c>
      <c r="BJ800">
        <f>'Revenue drivers'!BJ561</f>
        <v>0</v>
      </c>
      <c r="BK800">
        <f>'Revenue drivers'!BK561</f>
        <v>0</v>
      </c>
      <c r="BL800">
        <f>'Revenue drivers'!BL561</f>
        <v>0</v>
      </c>
      <c r="BM800">
        <f>'Revenue drivers'!BM561</f>
        <v>0</v>
      </c>
      <c r="BN800">
        <f>'Revenue drivers'!BN561</f>
        <v>0</v>
      </c>
      <c r="BO800">
        <f>'Revenue drivers'!BO561</f>
        <v>0</v>
      </c>
      <c r="BP800">
        <f>'Revenue drivers'!BP561</f>
        <v>0</v>
      </c>
      <c r="BQ800">
        <f>'Revenue drivers'!BQ561</f>
        <v>0</v>
      </c>
      <c r="BR800">
        <f>'Revenue drivers'!BR561</f>
        <v>0</v>
      </c>
      <c r="BS800">
        <f>'Revenue drivers'!BS561</f>
        <v>0</v>
      </c>
      <c r="BT800">
        <f>'Revenue drivers'!BT561</f>
        <v>0</v>
      </c>
      <c r="BU800">
        <f>'Revenue drivers'!BU561</f>
        <v>0</v>
      </c>
      <c r="BV800">
        <f>'Revenue drivers'!BV561</f>
        <v>0</v>
      </c>
      <c r="BW800">
        <f>'Revenue drivers'!BW561</f>
        <v>0</v>
      </c>
      <c r="BX800">
        <f>'Revenue drivers'!BX561</f>
        <v>0</v>
      </c>
      <c r="BY800">
        <f>'Revenue drivers'!BY561</f>
        <v>0</v>
      </c>
    </row>
    <row r="801" spans="9:77" ht="11.25" customHeight="1">
      <c r="I801" t="str">
        <f>'Revenue drivers'!I562</f>
        <v>Active local business accounts (000s)</v>
      </c>
      <c r="J801">
        <f>'Revenue drivers'!J562</f>
        <v>0</v>
      </c>
      <c r="K801">
        <f>'Revenue drivers'!K562</f>
        <v>0</v>
      </c>
      <c r="L801">
        <f>'Revenue drivers'!L562</f>
        <v>0</v>
      </c>
      <c r="M801">
        <f>'Revenue drivers'!M562</f>
        <v>8</v>
      </c>
      <c r="N801">
        <f>'Revenue drivers'!N562</f>
        <v>9</v>
      </c>
      <c r="O801">
        <f>'Revenue drivers'!O562</f>
        <v>11</v>
      </c>
      <c r="P801">
        <f>'Revenue drivers'!P562</f>
        <v>11</v>
      </c>
      <c r="Q801">
        <f>'Revenue drivers'!Q562</f>
        <v>13</v>
      </c>
      <c r="R801">
        <f>'Revenue drivers'!R562</f>
        <v>15</v>
      </c>
      <c r="S801">
        <f>'Revenue drivers'!S562</f>
        <v>19</v>
      </c>
      <c r="T801">
        <f>'Revenue drivers'!T562</f>
        <v>23.7</v>
      </c>
      <c r="U801">
        <f>'Revenue drivers'!U562</f>
        <v>27</v>
      </c>
      <c r="V801">
        <f>'Revenue drivers'!V562</f>
        <v>31.8</v>
      </c>
      <c r="W801">
        <f>'Revenue drivers'!W562</f>
        <v>36</v>
      </c>
      <c r="X801">
        <f>'Revenue drivers'!X562</f>
        <v>39.799999999999997</v>
      </c>
      <c r="Y801">
        <f>'Revenue drivers'!Y562</f>
        <v>44.7</v>
      </c>
      <c r="Z801">
        <f>'Revenue drivers'!Z562</f>
        <v>51.4</v>
      </c>
      <c r="AA801">
        <f>'Revenue drivers'!AA562</f>
        <v>57.2</v>
      </c>
      <c r="AB801">
        <f>'Revenue drivers'!AB562</f>
        <v>67.2</v>
      </c>
      <c r="AC801">
        <f>'Revenue drivers'!AC562</f>
        <v>74</v>
      </c>
      <c r="AD801">
        <f>'Revenue drivers'!AD562</f>
        <v>79.900000000000006</v>
      </c>
      <c r="AE801">
        <f>'Revenue drivers'!AE562</f>
        <v>86.2</v>
      </c>
      <c r="AF801">
        <f>'Revenue drivers'!AF562</f>
        <v>93.7</v>
      </c>
      <c r="AG801">
        <f>'Revenue drivers'!AG562</f>
        <v>99.7</v>
      </c>
      <c r="AH801">
        <f>'Revenue drivers'!AH562</f>
        <v>105.7</v>
      </c>
      <c r="AI801">
        <f>'Revenue drivers'!AI562</f>
        <v>112.7</v>
      </c>
      <c r="AJ801">
        <f>'Revenue drivers'!AJ562</f>
        <v>121.7</v>
      </c>
      <c r="AK801">
        <f>'Revenue drivers'!AK562</f>
        <v>130.69999999999999</v>
      </c>
      <c r="AL801">
        <f>'Revenue drivers'!AL562</f>
        <v>139.69999999999999</v>
      </c>
      <c r="AM801">
        <f>'Revenue drivers'!AM562</f>
        <v>148.69999999999999</v>
      </c>
      <c r="AN801">
        <f>'Revenue drivers'!AN562</f>
        <v>157.69999999999999</v>
      </c>
      <c r="AO801">
        <f>'Revenue drivers'!AO562</f>
        <v>166.7</v>
      </c>
      <c r="AP801">
        <f>'Revenue drivers'!AP562</f>
        <v>175.7</v>
      </c>
      <c r="AQ801">
        <f>'Revenue drivers'!AQ562</f>
        <v>184.7</v>
      </c>
      <c r="AR801">
        <f>'Revenue drivers'!AR562</f>
        <v>193.7</v>
      </c>
      <c r="AS801">
        <f>'Revenue drivers'!AS562</f>
        <v>202.7</v>
      </c>
      <c r="AT801">
        <f>'Revenue drivers'!AT562</f>
        <v>211.7</v>
      </c>
      <c r="AU801">
        <f>'Revenue drivers'!AU562</f>
        <v>220.7</v>
      </c>
      <c r="AV801">
        <f>'Revenue drivers'!AV562</f>
        <v>229.7</v>
      </c>
      <c r="AW801">
        <f>'Revenue drivers'!AW562</f>
        <v>238.7</v>
      </c>
      <c r="AX801">
        <f>'Revenue drivers'!AX562</f>
        <v>247.7</v>
      </c>
      <c r="AY801">
        <f>'Revenue drivers'!AY562</f>
        <v>256.7</v>
      </c>
      <c r="AZ801">
        <f>'Revenue drivers'!AZ562</f>
        <v>265.7</v>
      </c>
      <c r="BA801">
        <f>'Revenue drivers'!BA562</f>
        <v>274.7</v>
      </c>
      <c r="BB801">
        <f>'Revenue drivers'!BB562</f>
        <v>283.7</v>
      </c>
      <c r="BC801">
        <f>'Revenue drivers'!BC562</f>
        <v>292.7</v>
      </c>
      <c r="BD801">
        <f>'Revenue drivers'!BD562</f>
        <v>301.7</v>
      </c>
      <c r="BE801">
        <f>'Revenue drivers'!BE562</f>
        <v>0</v>
      </c>
      <c r="BF801">
        <f>'Revenue drivers'!BF562</f>
        <v>0</v>
      </c>
      <c r="BG801">
        <f>'Revenue drivers'!BG562</f>
        <v>0</v>
      </c>
      <c r="BH801">
        <f>'Revenue drivers'!BH562</f>
        <v>4</v>
      </c>
      <c r="BI801">
        <f>'Revenue drivers'!BI562</f>
        <v>7</v>
      </c>
      <c r="BJ801">
        <f>'Revenue drivers'!BJ562</f>
        <v>11</v>
      </c>
      <c r="BK801">
        <f>'Revenue drivers'!BK562</f>
        <v>23.7</v>
      </c>
      <c r="BL801">
        <f>'Revenue drivers'!BL562</f>
        <v>39.799999999999997</v>
      </c>
      <c r="BM801">
        <f>'Revenue drivers'!BM562</f>
        <v>67.2</v>
      </c>
      <c r="BN801">
        <f>'Revenue drivers'!BN562</f>
        <v>93.7</v>
      </c>
      <c r="BO801">
        <f>'Revenue drivers'!BO562</f>
        <v>121.7</v>
      </c>
      <c r="BP801">
        <f>'Revenue drivers'!BP562</f>
        <v>0</v>
      </c>
      <c r="BQ801">
        <f>'Revenue drivers'!BQ562</f>
        <v>0</v>
      </c>
      <c r="BR801">
        <f>'Revenue drivers'!BR562</f>
        <v>0</v>
      </c>
      <c r="BS801">
        <f>'Revenue drivers'!BS562</f>
        <v>0</v>
      </c>
      <c r="BT801">
        <f>'Revenue drivers'!BT562</f>
        <v>0</v>
      </c>
      <c r="BU801">
        <f>'Revenue drivers'!BU562</f>
        <v>0</v>
      </c>
      <c r="BV801">
        <f>'Revenue drivers'!BV562</f>
        <v>0</v>
      </c>
      <c r="BW801">
        <f>'Revenue drivers'!BW562</f>
        <v>0</v>
      </c>
      <c r="BX801">
        <f>'Revenue drivers'!BX562</f>
        <v>0</v>
      </c>
      <c r="BY801">
        <f>'Revenue drivers'!BY562</f>
        <v>0</v>
      </c>
    </row>
    <row r="802" spans="9:77" ht="11.25" customHeight="1">
      <c r="I802" t="str">
        <f>'Revenue drivers'!I563</f>
        <v>DRIVER: Base case - Q/Q Abs Growth</v>
      </c>
      <c r="J802">
        <f>'Revenue drivers'!J563</f>
        <v>0</v>
      </c>
      <c r="K802">
        <f>'Revenue drivers'!K563</f>
        <v>0</v>
      </c>
      <c r="L802">
        <f>'Revenue drivers'!L563</f>
        <v>0</v>
      </c>
      <c r="M802">
        <f>'Revenue drivers'!M563</f>
        <v>0</v>
      </c>
      <c r="N802">
        <f>'Revenue drivers'!N563</f>
        <v>1</v>
      </c>
      <c r="O802">
        <f>'Revenue drivers'!O563</f>
        <v>2</v>
      </c>
      <c r="P802">
        <f>'Revenue drivers'!P563</f>
        <v>0</v>
      </c>
      <c r="Q802">
        <f>'Revenue drivers'!Q563</f>
        <v>2</v>
      </c>
      <c r="R802">
        <f>'Revenue drivers'!R563</f>
        <v>2</v>
      </c>
      <c r="S802">
        <f>'Revenue drivers'!S563</f>
        <v>4</v>
      </c>
      <c r="T802">
        <f>'Revenue drivers'!T563</f>
        <v>4.6999999999999993</v>
      </c>
      <c r="U802">
        <f>'Revenue drivers'!U563</f>
        <v>3.3000000000000007</v>
      </c>
      <c r="V802">
        <f>'Revenue drivers'!V563</f>
        <v>4.8000000000000007</v>
      </c>
      <c r="W802">
        <f>'Revenue drivers'!W563</f>
        <v>4.1999999999999993</v>
      </c>
      <c r="X802">
        <f>'Revenue drivers'!X563</f>
        <v>3.7999999999999972</v>
      </c>
      <c r="Y802">
        <f>'Revenue drivers'!Y563</f>
        <v>4.9000000000000057</v>
      </c>
      <c r="Z802">
        <f>'Revenue drivers'!Z563</f>
        <v>6.6999999999999957</v>
      </c>
      <c r="AA802">
        <f>'Revenue drivers'!AA563</f>
        <v>5.8000000000000043</v>
      </c>
      <c r="AB802">
        <f>'Revenue drivers'!AB563</f>
        <v>10</v>
      </c>
      <c r="AC802">
        <f>'Revenue drivers'!AC563</f>
        <v>6.7999999999999972</v>
      </c>
      <c r="AD802">
        <f>'Revenue drivers'!AD563</f>
        <v>5.9000000000000057</v>
      </c>
      <c r="AE802">
        <f>'Revenue drivers'!AE563</f>
        <v>6.2999999999999972</v>
      </c>
      <c r="AF802">
        <f>'Revenue drivers'!AF563</f>
        <v>7.5</v>
      </c>
      <c r="AG802">
        <f>'Revenue drivers'!AG563</f>
        <v>6</v>
      </c>
      <c r="AH802">
        <f>'Revenue drivers'!AH563</f>
        <v>6</v>
      </c>
      <c r="AI802">
        <f>'Revenue drivers'!AI563</f>
        <v>7</v>
      </c>
      <c r="AJ802">
        <f>'Revenue drivers'!AJ563</f>
        <v>9</v>
      </c>
      <c r="AK802">
        <f>'Revenue drivers'!AK563</f>
        <v>9</v>
      </c>
      <c r="AL802">
        <f>'Revenue drivers'!AL563</f>
        <v>9</v>
      </c>
      <c r="AM802">
        <f>'Revenue drivers'!AM563</f>
        <v>9</v>
      </c>
      <c r="AN802">
        <f>'Revenue drivers'!AN563</f>
        <v>9</v>
      </c>
      <c r="AO802">
        <f>'Revenue drivers'!AO563</f>
        <v>9</v>
      </c>
      <c r="AP802">
        <f>'Revenue drivers'!AP563</f>
        <v>9</v>
      </c>
      <c r="AQ802">
        <f>'Revenue drivers'!AQ563</f>
        <v>9</v>
      </c>
      <c r="AR802">
        <f>'Revenue drivers'!AR563</f>
        <v>9</v>
      </c>
      <c r="AS802">
        <f>'Revenue drivers'!AS563</f>
        <v>9</v>
      </c>
      <c r="AT802">
        <f>'Revenue drivers'!AT563</f>
        <v>9</v>
      </c>
      <c r="AU802">
        <f>'Revenue drivers'!AU563</f>
        <v>9</v>
      </c>
      <c r="AV802">
        <f>'Revenue drivers'!AV563</f>
        <v>9</v>
      </c>
      <c r="AW802">
        <f>'Revenue drivers'!AW563</f>
        <v>9</v>
      </c>
      <c r="AX802">
        <f>'Revenue drivers'!AX563</f>
        <v>9</v>
      </c>
      <c r="AY802">
        <f>'Revenue drivers'!AY563</f>
        <v>9</v>
      </c>
      <c r="AZ802">
        <f>'Revenue drivers'!AZ563</f>
        <v>9</v>
      </c>
      <c r="BA802">
        <f>'Revenue drivers'!BA563</f>
        <v>9</v>
      </c>
      <c r="BB802">
        <f>'Revenue drivers'!BB563</f>
        <v>9</v>
      </c>
      <c r="BC802">
        <f>'Revenue drivers'!BC563</f>
        <v>9</v>
      </c>
      <c r="BD802">
        <f>'Revenue drivers'!BD563</f>
        <v>9</v>
      </c>
      <c r="BE802">
        <f>'Revenue drivers'!BE563</f>
        <v>0</v>
      </c>
      <c r="BF802">
        <f>'Revenue drivers'!BF563</f>
        <v>0</v>
      </c>
      <c r="BG802">
        <f>'Revenue drivers'!BG563</f>
        <v>0</v>
      </c>
      <c r="BH802">
        <f>'Revenue drivers'!BH563</f>
        <v>0</v>
      </c>
      <c r="BI802">
        <f>'Revenue drivers'!BI563</f>
        <v>0</v>
      </c>
      <c r="BJ802">
        <f>'Revenue drivers'!BJ563</f>
        <v>0</v>
      </c>
      <c r="BK802">
        <f>'Revenue drivers'!BK563</f>
        <v>0</v>
      </c>
      <c r="BL802">
        <f>'Revenue drivers'!BL563</f>
        <v>0</v>
      </c>
      <c r="BM802">
        <f>'Revenue drivers'!BM563</f>
        <v>0</v>
      </c>
      <c r="BN802">
        <f>'Revenue drivers'!BN563</f>
        <v>0</v>
      </c>
      <c r="BO802">
        <f>'Revenue drivers'!BO563</f>
        <v>0</v>
      </c>
      <c r="BP802">
        <f>'Revenue drivers'!BP563</f>
        <v>0</v>
      </c>
      <c r="BQ802">
        <f>'Revenue drivers'!BQ563</f>
        <v>0</v>
      </c>
      <c r="BR802">
        <f>'Revenue drivers'!BR563</f>
        <v>0</v>
      </c>
      <c r="BS802">
        <f>'Revenue drivers'!BS563</f>
        <v>0</v>
      </c>
      <c r="BT802">
        <f>'Revenue drivers'!BT563</f>
        <v>0</v>
      </c>
      <c r="BU802">
        <f>'Revenue drivers'!BU563</f>
        <v>0</v>
      </c>
      <c r="BV802">
        <f>'Revenue drivers'!BV563</f>
        <v>0</v>
      </c>
      <c r="BW802">
        <f>'Revenue drivers'!BW563</f>
        <v>0</v>
      </c>
      <c r="BX802">
        <f>'Revenue drivers'!BX563</f>
        <v>0</v>
      </c>
      <c r="BY802">
        <f>'Revenue drivers'!BY563</f>
        <v>0</v>
      </c>
    </row>
    <row r="803" spans="9:77" ht="11.25" customHeight="1">
      <c r="I803" t="str">
        <f>'Revenue drivers'!I564</f>
        <v>Y/Y Abs Growth</v>
      </c>
      <c r="J803">
        <f>'Revenue drivers'!J564</f>
        <v>0</v>
      </c>
      <c r="K803">
        <f>'Revenue drivers'!K564</f>
        <v>0</v>
      </c>
      <c r="L803">
        <f>'Revenue drivers'!L564</f>
        <v>0</v>
      </c>
      <c r="M803">
        <f>'Revenue drivers'!M564</f>
        <v>0</v>
      </c>
      <c r="N803">
        <f>'Revenue drivers'!N564</f>
        <v>0</v>
      </c>
      <c r="O803">
        <f>'Revenue drivers'!O564</f>
        <v>0</v>
      </c>
      <c r="P803">
        <f>'Revenue drivers'!P564</f>
        <v>0</v>
      </c>
      <c r="Q803">
        <f>'Revenue drivers'!Q564</f>
        <v>5</v>
      </c>
      <c r="R803">
        <f>'Revenue drivers'!R564</f>
        <v>6</v>
      </c>
      <c r="S803">
        <f>'Revenue drivers'!S564</f>
        <v>8</v>
      </c>
      <c r="T803">
        <f>'Revenue drivers'!T564</f>
        <v>12.7</v>
      </c>
      <c r="U803">
        <f>'Revenue drivers'!U564</f>
        <v>14</v>
      </c>
      <c r="V803">
        <f>'Revenue drivers'!V564</f>
        <v>16.8</v>
      </c>
      <c r="W803">
        <f>'Revenue drivers'!W564</f>
        <v>17</v>
      </c>
      <c r="X803">
        <f>'Revenue drivers'!X564</f>
        <v>16.099999999999998</v>
      </c>
      <c r="Y803">
        <f>'Revenue drivers'!Y564</f>
        <v>17.700000000000003</v>
      </c>
      <c r="Z803">
        <f>'Revenue drivers'!Z564</f>
        <v>19.599999999999998</v>
      </c>
      <c r="AA803">
        <f>'Revenue drivers'!AA564</f>
        <v>21.200000000000003</v>
      </c>
      <c r="AB803">
        <f>'Revenue drivers'!AB564</f>
        <v>27.400000000000006</v>
      </c>
      <c r="AC803">
        <f>'Revenue drivers'!AC564</f>
        <v>29.299999999999997</v>
      </c>
      <c r="AD803">
        <f>'Revenue drivers'!AD564</f>
        <v>28.500000000000007</v>
      </c>
      <c r="AE803">
        <f>'Revenue drivers'!AE564</f>
        <v>29</v>
      </c>
      <c r="AF803">
        <f>'Revenue drivers'!AF564</f>
        <v>26.5</v>
      </c>
      <c r="AG803">
        <f>'Revenue drivers'!AG564</f>
        <v>25.700000000000003</v>
      </c>
      <c r="AH803">
        <f>'Revenue drivers'!AH564</f>
        <v>25.799999999999997</v>
      </c>
      <c r="AI803">
        <f>'Revenue drivers'!AI564</f>
        <v>26.5</v>
      </c>
      <c r="AJ803">
        <f>'Revenue drivers'!AJ564</f>
        <v>28</v>
      </c>
      <c r="AK803">
        <f>'Revenue drivers'!AK564</f>
        <v>30.999999999999986</v>
      </c>
      <c r="AL803">
        <f>'Revenue drivers'!AL564</f>
        <v>33.999999999999986</v>
      </c>
      <c r="AM803">
        <f>'Revenue drivers'!AM564</f>
        <v>35.999999999999986</v>
      </c>
      <c r="AN803">
        <f>'Revenue drivers'!AN564</f>
        <v>35.999999999999986</v>
      </c>
      <c r="AO803">
        <f>'Revenue drivers'!AO564</f>
        <v>36</v>
      </c>
      <c r="AP803">
        <f>'Revenue drivers'!AP564</f>
        <v>36</v>
      </c>
      <c r="AQ803">
        <f>'Revenue drivers'!AQ564</f>
        <v>36</v>
      </c>
      <c r="AR803">
        <f>'Revenue drivers'!AR564</f>
        <v>36</v>
      </c>
      <c r="AS803">
        <f>'Revenue drivers'!AS564</f>
        <v>36</v>
      </c>
      <c r="AT803">
        <f>'Revenue drivers'!AT564</f>
        <v>36</v>
      </c>
      <c r="AU803">
        <f>'Revenue drivers'!AU564</f>
        <v>36</v>
      </c>
      <c r="AV803">
        <f>'Revenue drivers'!AV564</f>
        <v>36</v>
      </c>
      <c r="AW803">
        <f>'Revenue drivers'!AW564</f>
        <v>36</v>
      </c>
      <c r="AX803">
        <f>'Revenue drivers'!AX564</f>
        <v>36</v>
      </c>
      <c r="AY803">
        <f>'Revenue drivers'!AY564</f>
        <v>36</v>
      </c>
      <c r="AZ803">
        <f>'Revenue drivers'!AZ564</f>
        <v>36</v>
      </c>
      <c r="BA803">
        <f>'Revenue drivers'!BA564</f>
        <v>36</v>
      </c>
      <c r="BB803">
        <f>'Revenue drivers'!BB564</f>
        <v>36</v>
      </c>
      <c r="BC803">
        <f>'Revenue drivers'!BC564</f>
        <v>36</v>
      </c>
      <c r="BD803">
        <f>'Revenue drivers'!BD564</f>
        <v>36</v>
      </c>
      <c r="BE803">
        <f>'Revenue drivers'!BE564</f>
        <v>0</v>
      </c>
      <c r="BF803">
        <f>'Revenue drivers'!BF564</f>
        <v>0</v>
      </c>
      <c r="BG803">
        <f>'Revenue drivers'!BG564</f>
        <v>0</v>
      </c>
      <c r="BH803">
        <f>'Revenue drivers'!BH564</f>
        <v>0</v>
      </c>
      <c r="BI803">
        <f>'Revenue drivers'!BI564</f>
        <v>3</v>
      </c>
      <c r="BJ803">
        <f>'Revenue drivers'!BJ564</f>
        <v>4</v>
      </c>
      <c r="BK803">
        <f>'Revenue drivers'!BK564</f>
        <v>12.7</v>
      </c>
      <c r="BL803">
        <f>'Revenue drivers'!BL564</f>
        <v>16.099999999999998</v>
      </c>
      <c r="BM803">
        <f>'Revenue drivers'!BM564</f>
        <v>27.400000000000006</v>
      </c>
      <c r="BN803">
        <f>'Revenue drivers'!BN564</f>
        <v>26.5</v>
      </c>
      <c r="BO803">
        <f>'Revenue drivers'!BO564</f>
        <v>28</v>
      </c>
      <c r="BP803">
        <f>'Revenue drivers'!BP564</f>
        <v>0</v>
      </c>
      <c r="BQ803">
        <f>'Revenue drivers'!BQ564</f>
        <v>0</v>
      </c>
      <c r="BR803">
        <f>'Revenue drivers'!BR564</f>
        <v>0</v>
      </c>
      <c r="BS803">
        <f>'Revenue drivers'!BS564</f>
        <v>0</v>
      </c>
      <c r="BT803">
        <f>'Revenue drivers'!BT564</f>
        <v>0</v>
      </c>
      <c r="BU803">
        <f>'Revenue drivers'!BU564</f>
        <v>0</v>
      </c>
      <c r="BV803">
        <f>'Revenue drivers'!BV564</f>
        <v>0</v>
      </c>
      <c r="BW803">
        <f>'Revenue drivers'!BW564</f>
        <v>0</v>
      </c>
      <c r="BX803">
        <f>'Revenue drivers'!BX564</f>
        <v>0</v>
      </c>
      <c r="BY803">
        <f>'Revenue drivers'!BY564</f>
        <v>0</v>
      </c>
    </row>
    <row r="804" spans="9:77" ht="11.25" customHeight="1">
      <c r="I804" t="str">
        <f>'Revenue drivers'!I565</f>
        <v>% change Y/Y</v>
      </c>
      <c r="J804">
        <f>'Revenue drivers'!J565</f>
        <v>0</v>
      </c>
      <c r="K804">
        <f>'Revenue drivers'!K565</f>
        <v>0</v>
      </c>
      <c r="L804">
        <f>'Revenue drivers'!L565</f>
        <v>0</v>
      </c>
      <c r="M804" t="str">
        <f>'Revenue drivers'!M565</f>
        <v>NA</v>
      </c>
      <c r="N804" t="str">
        <f>'Revenue drivers'!N565</f>
        <v>NA</v>
      </c>
      <c r="O804" t="str">
        <f>'Revenue drivers'!O565</f>
        <v>NA</v>
      </c>
      <c r="P804" t="str">
        <f>'Revenue drivers'!P565</f>
        <v>NA</v>
      </c>
      <c r="Q804">
        <f>'Revenue drivers'!Q565</f>
        <v>0.625</v>
      </c>
      <c r="R804">
        <f>'Revenue drivers'!R565</f>
        <v>0.66666666666666674</v>
      </c>
      <c r="S804">
        <f>'Revenue drivers'!S565</f>
        <v>0.72727272727272729</v>
      </c>
      <c r="T804">
        <f>'Revenue drivers'!T565</f>
        <v>1.1545454545454543</v>
      </c>
      <c r="U804">
        <f>'Revenue drivers'!U565</f>
        <v>1.0769230769230771</v>
      </c>
      <c r="V804">
        <f>'Revenue drivers'!V565</f>
        <v>1.1200000000000001</v>
      </c>
      <c r="W804">
        <f>'Revenue drivers'!W565</f>
        <v>0.89473684210526305</v>
      </c>
      <c r="X804">
        <f>'Revenue drivers'!X565</f>
        <v>0.67932489451476785</v>
      </c>
      <c r="Y804">
        <f>'Revenue drivers'!Y565</f>
        <v>0.65555555555555567</v>
      </c>
      <c r="Z804">
        <f>'Revenue drivers'!Z565</f>
        <v>0.6163522012578615</v>
      </c>
      <c r="AA804">
        <f>'Revenue drivers'!AA565</f>
        <v>0.58888888888888902</v>
      </c>
      <c r="AB804">
        <f>'Revenue drivers'!AB565</f>
        <v>0.68844221105527659</v>
      </c>
      <c r="AC804">
        <f>'Revenue drivers'!AC565</f>
        <v>0.65548098434004465</v>
      </c>
      <c r="AD804">
        <f>'Revenue drivers'!AD565</f>
        <v>0.55447470817120648</v>
      </c>
      <c r="AE804">
        <f>'Revenue drivers'!AE565</f>
        <v>0.50699300699300687</v>
      </c>
      <c r="AF804">
        <f>'Revenue drivers'!AF565</f>
        <v>0.39434523809523814</v>
      </c>
      <c r="AG804">
        <f>'Revenue drivers'!AG565</f>
        <v>0.34729729729729741</v>
      </c>
      <c r="AH804">
        <f>'Revenue drivers'!AH565</f>
        <v>0.3229036295369212</v>
      </c>
      <c r="AI804">
        <f>'Revenue drivers'!AI565</f>
        <v>0.30742459396751731</v>
      </c>
      <c r="AJ804">
        <f>'Revenue drivers'!AJ565</f>
        <v>0.29882604055496254</v>
      </c>
      <c r="AK804">
        <f>'Revenue drivers'!AK565</f>
        <v>0.31093279839518551</v>
      </c>
      <c r="AL804">
        <f>'Revenue drivers'!AL565</f>
        <v>0.32166508987701037</v>
      </c>
      <c r="AM804">
        <f>'Revenue drivers'!AM565</f>
        <v>0.31943212067435667</v>
      </c>
      <c r="AN804">
        <f>'Revenue drivers'!AN565</f>
        <v>0.29580936729663088</v>
      </c>
      <c r="AO804">
        <f>'Revenue drivers'!AO565</f>
        <v>0.27543993879112483</v>
      </c>
      <c r="AP804">
        <f>'Revenue drivers'!AP565</f>
        <v>0.25769506084466709</v>
      </c>
      <c r="AQ804">
        <f>'Revenue drivers'!AQ565</f>
        <v>0.24209818426361807</v>
      </c>
      <c r="AR804">
        <f>'Revenue drivers'!AR565</f>
        <v>0.22828154724159799</v>
      </c>
      <c r="AS804">
        <f>'Revenue drivers'!AS565</f>
        <v>0.21595680863827238</v>
      </c>
      <c r="AT804">
        <f>'Revenue drivers'!AT565</f>
        <v>0.20489470688673883</v>
      </c>
      <c r="AU804">
        <f>'Revenue drivers'!AU565</f>
        <v>0.19491066594477524</v>
      </c>
      <c r="AV804">
        <f>'Revenue drivers'!AV565</f>
        <v>0.18585441404233349</v>
      </c>
      <c r="AW804">
        <f>'Revenue drivers'!AW565</f>
        <v>0.1776023680315737</v>
      </c>
      <c r="AX804">
        <f>'Revenue drivers'!AX565</f>
        <v>0.17005196032120917</v>
      </c>
      <c r="AY804">
        <f>'Revenue drivers'!AY565</f>
        <v>0.16311735387403714</v>
      </c>
      <c r="AZ804">
        <f>'Revenue drivers'!AZ565</f>
        <v>0.1567261645624729</v>
      </c>
      <c r="BA804">
        <f>'Revenue drivers'!BA565</f>
        <v>0.15081692501047339</v>
      </c>
      <c r="BB804">
        <f>'Revenue drivers'!BB565</f>
        <v>0.14533710133225686</v>
      </c>
      <c r="BC804">
        <f>'Revenue drivers'!BC565</f>
        <v>0.14024152707440596</v>
      </c>
      <c r="BD804">
        <f>'Revenue drivers'!BD565</f>
        <v>0.13549115543846435</v>
      </c>
      <c r="BE804">
        <f>'Revenue drivers'!BE565</f>
        <v>0</v>
      </c>
      <c r="BF804">
        <f>'Revenue drivers'!BF565</f>
        <v>0</v>
      </c>
      <c r="BG804">
        <f>'Revenue drivers'!BG565</f>
        <v>0</v>
      </c>
      <c r="BH804" t="str">
        <f>'Revenue drivers'!BH565</f>
        <v>NA</v>
      </c>
      <c r="BI804">
        <f>'Revenue drivers'!BI565</f>
        <v>0.75</v>
      </c>
      <c r="BJ804">
        <f>'Revenue drivers'!BJ565</f>
        <v>0.5714285714285714</v>
      </c>
      <c r="BK804">
        <f>'Revenue drivers'!BK565</f>
        <v>1.1545454545454543</v>
      </c>
      <c r="BL804">
        <f>'Revenue drivers'!BL565</f>
        <v>0.67932489451476785</v>
      </c>
      <c r="BM804">
        <f>'Revenue drivers'!BM565</f>
        <v>0.68844221105527659</v>
      </c>
      <c r="BN804">
        <f>'Revenue drivers'!BN565</f>
        <v>0.39434523809523814</v>
      </c>
      <c r="BO804">
        <f>'Revenue drivers'!BO565</f>
        <v>0.29882604055496254</v>
      </c>
      <c r="BP804">
        <f>'Revenue drivers'!BP565</f>
        <v>0</v>
      </c>
      <c r="BQ804">
        <f>'Revenue drivers'!BQ565</f>
        <v>0</v>
      </c>
      <c r="BR804">
        <f>'Revenue drivers'!BR565</f>
        <v>0</v>
      </c>
      <c r="BS804">
        <f>'Revenue drivers'!BS565</f>
        <v>0</v>
      </c>
      <c r="BT804">
        <f>'Revenue drivers'!BT565</f>
        <v>0</v>
      </c>
      <c r="BU804">
        <f>'Revenue drivers'!BU565</f>
        <v>0</v>
      </c>
      <c r="BV804">
        <f>'Revenue drivers'!BV565</f>
        <v>0</v>
      </c>
      <c r="BW804">
        <f>'Revenue drivers'!BW565</f>
        <v>0</v>
      </c>
      <c r="BX804">
        <f>'Revenue drivers'!BX565</f>
        <v>0</v>
      </c>
      <c r="BY804">
        <f>'Revenue drivers'!BY565</f>
        <v>0</v>
      </c>
    </row>
    <row r="805" spans="9:77" ht="11.25" customHeight="1">
      <c r="I805" t="str">
        <f>'Revenue drivers'!I566</f>
        <v>% change Q/Q</v>
      </c>
      <c r="J805">
        <f>'Revenue drivers'!J566</f>
        <v>0</v>
      </c>
      <c r="K805">
        <f>'Revenue drivers'!K566</f>
        <v>0</v>
      </c>
      <c r="L805">
        <f>'Revenue drivers'!L566</f>
        <v>0</v>
      </c>
      <c r="M805" t="str">
        <f>'Revenue drivers'!M566</f>
        <v>NA</v>
      </c>
      <c r="N805">
        <f>'Revenue drivers'!N566</f>
        <v>0.125</v>
      </c>
      <c r="O805">
        <f>'Revenue drivers'!O566</f>
        <v>0.22222222222222232</v>
      </c>
      <c r="P805">
        <f>'Revenue drivers'!P566</f>
        <v>0</v>
      </c>
      <c r="Q805">
        <f>'Revenue drivers'!Q566</f>
        <v>0.18181818181818188</v>
      </c>
      <c r="R805">
        <f>'Revenue drivers'!R566</f>
        <v>0.15384615384615374</v>
      </c>
      <c r="S805">
        <f>'Revenue drivers'!S566</f>
        <v>0.26666666666666661</v>
      </c>
      <c r="T805">
        <f>'Revenue drivers'!T566</f>
        <v>0.24736842105263146</v>
      </c>
      <c r="U805">
        <f>'Revenue drivers'!U566</f>
        <v>0.139240506329114</v>
      </c>
      <c r="V805">
        <f>'Revenue drivers'!V566</f>
        <v>0.17777777777777781</v>
      </c>
      <c r="W805">
        <f>'Revenue drivers'!W566</f>
        <v>0.13207547169811318</v>
      </c>
      <c r="X805">
        <f>'Revenue drivers'!X566</f>
        <v>0.1055555555555554</v>
      </c>
      <c r="Y805">
        <f>'Revenue drivers'!Y566</f>
        <v>0.12311557788944749</v>
      </c>
      <c r="Z805">
        <f>'Revenue drivers'!Z566</f>
        <v>0.1498881431767336</v>
      </c>
      <c r="AA805">
        <f>'Revenue drivers'!AA566</f>
        <v>0.11284046692607008</v>
      </c>
      <c r="AB805">
        <f>'Revenue drivers'!AB566</f>
        <v>0.17482517482517479</v>
      </c>
      <c r="AC805">
        <f>'Revenue drivers'!AC566</f>
        <v>0.10119047619047605</v>
      </c>
      <c r="AD805">
        <f>'Revenue drivers'!AD566</f>
        <v>7.9729729729729915E-2</v>
      </c>
      <c r="AE805">
        <f>'Revenue drivers'!AE566</f>
        <v>7.884856070087598E-2</v>
      </c>
      <c r="AF805">
        <f>'Revenue drivers'!AF566</f>
        <v>8.7006960556844648E-2</v>
      </c>
      <c r="AG805">
        <f>'Revenue drivers'!AG566</f>
        <v>6.4034151547492035E-2</v>
      </c>
      <c r="AH805">
        <f>'Revenue drivers'!AH566</f>
        <v>6.0180541624874628E-2</v>
      </c>
      <c r="AI805">
        <f>'Revenue drivers'!AI566</f>
        <v>6.6225165562913801E-2</v>
      </c>
      <c r="AJ805">
        <f>'Revenue drivers'!AJ566</f>
        <v>7.9858030168589167E-2</v>
      </c>
      <c r="AK805">
        <f>'Revenue drivers'!AK566</f>
        <v>7.3952341824157664E-2</v>
      </c>
      <c r="AL805">
        <f>'Revenue drivers'!AL566</f>
        <v>6.8859984697781096E-2</v>
      </c>
      <c r="AM805">
        <f>'Revenue drivers'!AM566</f>
        <v>6.4423765211166772E-2</v>
      </c>
      <c r="AN805">
        <f>'Revenue drivers'!AN566</f>
        <v>6.0524546065904516E-2</v>
      </c>
      <c r="AO805">
        <f>'Revenue drivers'!AO566</f>
        <v>5.7070386810399443E-2</v>
      </c>
      <c r="AP805">
        <f>'Revenue drivers'!AP566</f>
        <v>5.3989202159568039E-2</v>
      </c>
      <c r="AQ805">
        <f>'Revenue drivers'!AQ566</f>
        <v>5.1223676721684708E-2</v>
      </c>
      <c r="AR805">
        <f>'Revenue drivers'!AR566</f>
        <v>4.8727666486193755E-2</v>
      </c>
      <c r="AS805">
        <f>'Revenue drivers'!AS566</f>
        <v>4.6463603510583429E-2</v>
      </c>
      <c r="AT805">
        <f>'Revenue drivers'!AT566</f>
        <v>4.4400592007893369E-2</v>
      </c>
      <c r="AU805">
        <f>'Revenue drivers'!AU566</f>
        <v>4.2512990080302293E-2</v>
      </c>
      <c r="AV805">
        <f>'Revenue drivers'!AV566</f>
        <v>4.0779338468509341E-2</v>
      </c>
      <c r="AW805">
        <f>'Revenue drivers'!AW566</f>
        <v>3.9181541140618226E-2</v>
      </c>
      <c r="AX805">
        <f>'Revenue drivers'!AX566</f>
        <v>3.7704231252618348E-2</v>
      </c>
      <c r="AY805">
        <f>'Revenue drivers'!AY566</f>
        <v>3.6334275333064214E-2</v>
      </c>
      <c r="AZ805">
        <f>'Revenue drivers'!AZ566</f>
        <v>3.506038176860149E-2</v>
      </c>
      <c r="BA805">
        <f>'Revenue drivers'!BA566</f>
        <v>3.3872788859616199E-2</v>
      </c>
      <c r="BB805">
        <f>'Revenue drivers'!BB566</f>
        <v>3.2763014197306095E-2</v>
      </c>
      <c r="BC805">
        <f>'Revenue drivers'!BC566</f>
        <v>3.172365174480074E-2</v>
      </c>
      <c r="BD805">
        <f>'Revenue drivers'!BD566</f>
        <v>3.0748206354629382E-2</v>
      </c>
      <c r="BE805">
        <f>'Revenue drivers'!BE566</f>
        <v>0</v>
      </c>
      <c r="BF805">
        <f>'Revenue drivers'!BF566</f>
        <v>0</v>
      </c>
      <c r="BG805">
        <f>'Revenue drivers'!BG566</f>
        <v>0</v>
      </c>
      <c r="BH805">
        <f>'Revenue drivers'!BH566</f>
        <v>0</v>
      </c>
      <c r="BI805">
        <f>'Revenue drivers'!BI566</f>
        <v>0</v>
      </c>
      <c r="BJ805">
        <f>'Revenue drivers'!BJ566</f>
        <v>0</v>
      </c>
      <c r="BK805">
        <f>'Revenue drivers'!BK566</f>
        <v>0</v>
      </c>
      <c r="BL805">
        <f>'Revenue drivers'!BL566</f>
        <v>0</v>
      </c>
      <c r="BM805">
        <f>'Revenue drivers'!BM566</f>
        <v>0</v>
      </c>
      <c r="BN805">
        <f>'Revenue drivers'!BN566</f>
        <v>0</v>
      </c>
      <c r="BO805">
        <f>'Revenue drivers'!BO566</f>
        <v>0</v>
      </c>
      <c r="BP805">
        <f>'Revenue drivers'!BP566</f>
        <v>0</v>
      </c>
      <c r="BQ805">
        <f>'Revenue drivers'!BQ566</f>
        <v>0</v>
      </c>
      <c r="BR805">
        <f>'Revenue drivers'!BR566</f>
        <v>0</v>
      </c>
      <c r="BS805">
        <f>'Revenue drivers'!BS566</f>
        <v>0</v>
      </c>
      <c r="BT805">
        <f>'Revenue drivers'!BT566</f>
        <v>0</v>
      </c>
      <c r="BU805">
        <f>'Revenue drivers'!BU566</f>
        <v>0</v>
      </c>
      <c r="BV805">
        <f>'Revenue drivers'!BV566</f>
        <v>0</v>
      </c>
      <c r="BW805">
        <f>'Revenue drivers'!BW566</f>
        <v>0</v>
      </c>
      <c r="BX805">
        <f>'Revenue drivers'!BX566</f>
        <v>0</v>
      </c>
      <c r="BY805">
        <f>'Revenue drivers'!BY566</f>
        <v>0</v>
      </c>
    </row>
    <row r="806" spans="9:77" ht="11.25" customHeight="1">
      <c r="I806">
        <f>'Revenue drivers'!I567</f>
        <v>0</v>
      </c>
      <c r="J806">
        <f>'Revenue drivers'!J567</f>
        <v>0</v>
      </c>
      <c r="K806">
        <f>'Revenue drivers'!K567</f>
        <v>0</v>
      </c>
      <c r="L806">
        <f>'Revenue drivers'!L567</f>
        <v>0</v>
      </c>
      <c r="M806">
        <f>'Revenue drivers'!M567</f>
        <v>0</v>
      </c>
      <c r="N806">
        <f>'Revenue drivers'!N567</f>
        <v>0</v>
      </c>
      <c r="O806">
        <f>'Revenue drivers'!O567</f>
        <v>0</v>
      </c>
      <c r="P806">
        <f>'Revenue drivers'!P567</f>
        <v>0</v>
      </c>
      <c r="Q806">
        <f>'Revenue drivers'!Q567</f>
        <v>0</v>
      </c>
      <c r="R806">
        <f>'Revenue drivers'!R567</f>
        <v>0</v>
      </c>
      <c r="S806">
        <f>'Revenue drivers'!S567</f>
        <v>0</v>
      </c>
      <c r="T806">
        <f>'Revenue drivers'!T567</f>
        <v>0</v>
      </c>
      <c r="U806">
        <f>'Revenue drivers'!U567</f>
        <v>0</v>
      </c>
      <c r="V806">
        <f>'Revenue drivers'!V567</f>
        <v>0</v>
      </c>
      <c r="W806">
        <f>'Revenue drivers'!W567</f>
        <v>0</v>
      </c>
      <c r="X806">
        <f>'Revenue drivers'!X567</f>
        <v>0</v>
      </c>
      <c r="Y806">
        <f>'Revenue drivers'!Y567</f>
        <v>0</v>
      </c>
      <c r="Z806">
        <f>'Revenue drivers'!Z567</f>
        <v>0</v>
      </c>
      <c r="AA806">
        <f>'Revenue drivers'!AA567</f>
        <v>0</v>
      </c>
      <c r="AB806">
        <f>'Revenue drivers'!AB567</f>
        <v>0</v>
      </c>
      <c r="AC806">
        <f>'Revenue drivers'!AC567</f>
        <v>0</v>
      </c>
      <c r="AD806">
        <f>'Revenue drivers'!AD567</f>
        <v>0</v>
      </c>
      <c r="AE806">
        <f>'Revenue drivers'!AE567</f>
        <v>0</v>
      </c>
      <c r="AF806">
        <f>'Revenue drivers'!AF567</f>
        <v>0</v>
      </c>
      <c r="AG806">
        <f>'Revenue drivers'!AG567</f>
        <v>0</v>
      </c>
      <c r="AH806">
        <f>'Revenue drivers'!AH567</f>
        <v>0</v>
      </c>
      <c r="AI806">
        <f>'Revenue drivers'!AI567</f>
        <v>0</v>
      </c>
      <c r="AJ806">
        <f>'Revenue drivers'!AJ567</f>
        <v>0</v>
      </c>
      <c r="AK806">
        <f>'Revenue drivers'!AK567</f>
        <v>0</v>
      </c>
      <c r="AL806">
        <f>'Revenue drivers'!AL567</f>
        <v>0</v>
      </c>
      <c r="AM806">
        <f>'Revenue drivers'!AM567</f>
        <v>0</v>
      </c>
      <c r="AN806">
        <f>'Revenue drivers'!AN567</f>
        <v>0</v>
      </c>
      <c r="AO806">
        <f>'Revenue drivers'!AO567</f>
        <v>0</v>
      </c>
      <c r="AP806">
        <f>'Revenue drivers'!AP567</f>
        <v>0</v>
      </c>
      <c r="AQ806">
        <f>'Revenue drivers'!AQ567</f>
        <v>0</v>
      </c>
      <c r="AR806">
        <f>'Revenue drivers'!AR567</f>
        <v>0</v>
      </c>
      <c r="AS806">
        <f>'Revenue drivers'!AS567</f>
        <v>0</v>
      </c>
      <c r="AT806">
        <f>'Revenue drivers'!AT567</f>
        <v>0</v>
      </c>
      <c r="AU806">
        <f>'Revenue drivers'!AU567</f>
        <v>0</v>
      </c>
      <c r="AV806">
        <f>'Revenue drivers'!AV567</f>
        <v>0</v>
      </c>
      <c r="AW806">
        <f>'Revenue drivers'!AW567</f>
        <v>0</v>
      </c>
      <c r="AX806">
        <f>'Revenue drivers'!AX567</f>
        <v>0</v>
      </c>
      <c r="AY806">
        <f>'Revenue drivers'!AY567</f>
        <v>0</v>
      </c>
      <c r="AZ806">
        <f>'Revenue drivers'!AZ567</f>
        <v>0</v>
      </c>
      <c r="BA806">
        <f>'Revenue drivers'!BA567</f>
        <v>0</v>
      </c>
      <c r="BB806">
        <f>'Revenue drivers'!BB567</f>
        <v>0</v>
      </c>
      <c r="BC806">
        <f>'Revenue drivers'!BC567</f>
        <v>0</v>
      </c>
      <c r="BD806">
        <f>'Revenue drivers'!BD567</f>
        <v>0</v>
      </c>
      <c r="BE806">
        <f>'Revenue drivers'!BE567</f>
        <v>0</v>
      </c>
      <c r="BF806">
        <f>'Revenue drivers'!BF567</f>
        <v>0</v>
      </c>
      <c r="BG806">
        <f>'Revenue drivers'!BG567</f>
        <v>0</v>
      </c>
      <c r="BH806">
        <f>'Revenue drivers'!BH567</f>
        <v>0</v>
      </c>
      <c r="BI806">
        <f>'Revenue drivers'!BI567</f>
        <v>0</v>
      </c>
      <c r="BJ806">
        <f>'Revenue drivers'!BJ567</f>
        <v>0</v>
      </c>
      <c r="BK806">
        <f>'Revenue drivers'!BK567</f>
        <v>0</v>
      </c>
      <c r="BL806">
        <f>'Revenue drivers'!BL567</f>
        <v>0</v>
      </c>
      <c r="BM806">
        <f>'Revenue drivers'!BM567</f>
        <v>0</v>
      </c>
      <c r="BN806">
        <f>'Revenue drivers'!BN567</f>
        <v>0</v>
      </c>
      <c r="BO806">
        <f>'Revenue drivers'!BO567</f>
        <v>0</v>
      </c>
      <c r="BP806">
        <f>'Revenue drivers'!BP567</f>
        <v>0</v>
      </c>
      <c r="BQ806">
        <f>'Revenue drivers'!BQ567</f>
        <v>0</v>
      </c>
      <c r="BR806">
        <f>'Revenue drivers'!BR567</f>
        <v>0</v>
      </c>
      <c r="BS806">
        <f>'Revenue drivers'!BS567</f>
        <v>0</v>
      </c>
      <c r="BT806">
        <f>'Revenue drivers'!BT567</f>
        <v>0</v>
      </c>
      <c r="BU806">
        <f>'Revenue drivers'!BU567</f>
        <v>0</v>
      </c>
      <c r="BV806">
        <f>'Revenue drivers'!BV567</f>
        <v>0</v>
      </c>
      <c r="BW806">
        <f>'Revenue drivers'!BW567</f>
        <v>0</v>
      </c>
      <c r="BX806">
        <f>'Revenue drivers'!BX567</f>
        <v>0</v>
      </c>
      <c r="BY806">
        <f>'Revenue drivers'!BY567</f>
        <v>0</v>
      </c>
    </row>
    <row r="807" spans="9:77" ht="11.25" customHeight="1">
      <c r="I807">
        <f>'Revenue drivers'!I568</f>
        <v>0</v>
      </c>
      <c r="J807">
        <f>'Revenue drivers'!J568</f>
        <v>0</v>
      </c>
      <c r="K807">
        <f>'Revenue drivers'!K568</f>
        <v>0</v>
      </c>
      <c r="L807">
        <f>'Revenue drivers'!L568</f>
        <v>0</v>
      </c>
      <c r="M807">
        <f>'Revenue drivers'!M568</f>
        <v>0</v>
      </c>
      <c r="N807">
        <f>'Revenue drivers'!N568</f>
        <v>0</v>
      </c>
      <c r="O807">
        <f>'Revenue drivers'!O568</f>
        <v>0</v>
      </c>
      <c r="P807">
        <f>'Revenue drivers'!P568</f>
        <v>0</v>
      </c>
      <c r="Q807">
        <f>'Revenue drivers'!Q568</f>
        <v>0</v>
      </c>
      <c r="R807">
        <f>'Revenue drivers'!R568</f>
        <v>0</v>
      </c>
      <c r="S807">
        <f>'Revenue drivers'!S568</f>
        <v>0</v>
      </c>
      <c r="T807">
        <f>'Revenue drivers'!T568</f>
        <v>0</v>
      </c>
      <c r="U807">
        <f>'Revenue drivers'!U568</f>
        <v>0</v>
      </c>
      <c r="V807">
        <f>'Revenue drivers'!V568</f>
        <v>0</v>
      </c>
      <c r="W807">
        <f>'Revenue drivers'!W568</f>
        <v>0</v>
      </c>
      <c r="X807">
        <f>'Revenue drivers'!X568</f>
        <v>0</v>
      </c>
      <c r="Y807">
        <f>'Revenue drivers'!Y568</f>
        <v>0</v>
      </c>
      <c r="Z807">
        <f>'Revenue drivers'!Z568</f>
        <v>0</v>
      </c>
      <c r="AA807">
        <f>'Revenue drivers'!AA568</f>
        <v>0</v>
      </c>
      <c r="AB807">
        <f>'Revenue drivers'!AB568</f>
        <v>0</v>
      </c>
      <c r="AC807">
        <f>'Revenue drivers'!AC568</f>
        <v>0</v>
      </c>
      <c r="AD807">
        <f>'Revenue drivers'!AD568</f>
        <v>0</v>
      </c>
      <c r="AE807">
        <f>'Revenue drivers'!AE568</f>
        <v>0</v>
      </c>
      <c r="AF807">
        <f>'Revenue drivers'!AF568</f>
        <v>0</v>
      </c>
      <c r="AG807">
        <f>'Revenue drivers'!AG568</f>
        <v>0</v>
      </c>
      <c r="AH807">
        <f>'Revenue drivers'!AH568</f>
        <v>0</v>
      </c>
      <c r="AI807">
        <f>'Revenue drivers'!AI568</f>
        <v>0</v>
      </c>
      <c r="AJ807">
        <f>'Revenue drivers'!AJ568</f>
        <v>0</v>
      </c>
      <c r="AK807">
        <f>'Revenue drivers'!AK568</f>
        <v>0</v>
      </c>
      <c r="AL807">
        <f>'Revenue drivers'!AL568</f>
        <v>0</v>
      </c>
      <c r="AM807">
        <f>'Revenue drivers'!AM568</f>
        <v>0</v>
      </c>
      <c r="AN807">
        <f>'Revenue drivers'!AN568</f>
        <v>0</v>
      </c>
      <c r="AO807">
        <f>'Revenue drivers'!AO568</f>
        <v>0</v>
      </c>
      <c r="AP807">
        <f>'Revenue drivers'!AP568</f>
        <v>0</v>
      </c>
      <c r="AQ807">
        <f>'Revenue drivers'!AQ568</f>
        <v>0</v>
      </c>
      <c r="AR807">
        <f>'Revenue drivers'!AR568</f>
        <v>0</v>
      </c>
      <c r="AS807">
        <f>'Revenue drivers'!AS568</f>
        <v>0</v>
      </c>
      <c r="AT807">
        <f>'Revenue drivers'!AT568</f>
        <v>0</v>
      </c>
      <c r="AU807">
        <f>'Revenue drivers'!AU568</f>
        <v>0</v>
      </c>
      <c r="AV807">
        <f>'Revenue drivers'!AV568</f>
        <v>0</v>
      </c>
      <c r="AW807">
        <f>'Revenue drivers'!AW568</f>
        <v>0</v>
      </c>
      <c r="AX807">
        <f>'Revenue drivers'!AX568</f>
        <v>0</v>
      </c>
      <c r="AY807">
        <f>'Revenue drivers'!AY568</f>
        <v>0</v>
      </c>
      <c r="AZ807">
        <f>'Revenue drivers'!AZ568</f>
        <v>0</v>
      </c>
      <c r="BA807">
        <f>'Revenue drivers'!BA568</f>
        <v>0</v>
      </c>
      <c r="BB807">
        <f>'Revenue drivers'!BB568</f>
        <v>0</v>
      </c>
      <c r="BC807">
        <f>'Revenue drivers'!BC568</f>
        <v>0</v>
      </c>
      <c r="BD807">
        <f>'Revenue drivers'!BD568</f>
        <v>0</v>
      </c>
      <c r="BE807">
        <f>'Revenue drivers'!BE568</f>
        <v>0</v>
      </c>
      <c r="BF807">
        <f>'Revenue drivers'!BF568</f>
        <v>0</v>
      </c>
      <c r="BG807">
        <f>'Revenue drivers'!BG568</f>
        <v>0</v>
      </c>
      <c r="BH807">
        <f>'Revenue drivers'!BH568</f>
        <v>0</v>
      </c>
      <c r="BI807">
        <f>'Revenue drivers'!BI568</f>
        <v>0</v>
      </c>
      <c r="BJ807">
        <f>'Revenue drivers'!BJ568</f>
        <v>0</v>
      </c>
      <c r="BK807">
        <f>'Revenue drivers'!BK568</f>
        <v>0</v>
      </c>
      <c r="BL807">
        <f>'Revenue drivers'!BL568</f>
        <v>0</v>
      </c>
      <c r="BM807">
        <f>'Revenue drivers'!BM568</f>
        <v>0</v>
      </c>
      <c r="BN807">
        <f>'Revenue drivers'!BN568</f>
        <v>0</v>
      </c>
      <c r="BO807">
        <f>'Revenue drivers'!BO568</f>
        <v>0</v>
      </c>
      <c r="BP807">
        <f>'Revenue drivers'!BP568</f>
        <v>0</v>
      </c>
      <c r="BQ807">
        <f>'Revenue drivers'!BQ568</f>
        <v>0</v>
      </c>
      <c r="BR807">
        <f>'Revenue drivers'!BR568</f>
        <v>0</v>
      </c>
      <c r="BS807">
        <f>'Revenue drivers'!BS568</f>
        <v>0</v>
      </c>
      <c r="BT807">
        <f>'Revenue drivers'!BT568</f>
        <v>0</v>
      </c>
      <c r="BU807">
        <f>'Revenue drivers'!BU568</f>
        <v>0</v>
      </c>
      <c r="BV807">
        <f>'Revenue drivers'!BV568</f>
        <v>0</v>
      </c>
      <c r="BW807">
        <f>'Revenue drivers'!BW568</f>
        <v>0</v>
      </c>
      <c r="BX807">
        <f>'Revenue drivers'!BX568</f>
        <v>0</v>
      </c>
      <c r="BY807">
        <f>'Revenue drivers'!BY568</f>
        <v>0</v>
      </c>
    </row>
    <row r="808" spans="9:77" ht="11.25" customHeight="1">
      <c r="I808" t="str">
        <f>'Revenue drivers'!I569</f>
        <v>Average monthly revenue per business account</v>
      </c>
      <c r="J808">
        <f>'Revenue drivers'!J569</f>
        <v>0</v>
      </c>
      <c r="K808">
        <f>'Revenue drivers'!K569</f>
        <v>0</v>
      </c>
      <c r="L808">
        <f>'Revenue drivers'!L569</f>
        <v>0</v>
      </c>
      <c r="M808">
        <f>'Revenue drivers'!M569</f>
        <v>295.33333333333331</v>
      </c>
      <c r="N808">
        <f>'Revenue drivers'!N569</f>
        <v>319.68627450980387</v>
      </c>
      <c r="O808">
        <f>'Revenue drivers'!O569</f>
        <v>296.00000000000006</v>
      </c>
      <c r="P808">
        <f>'Revenue drivers'!P569</f>
        <v>292.09090909090907</v>
      </c>
      <c r="Q808">
        <f>'Revenue drivers'!Q569</f>
        <v>311.72222222222223</v>
      </c>
      <c r="R808">
        <f>'Revenue drivers'!R569</f>
        <v>318.02380952380952</v>
      </c>
      <c r="S808">
        <f>'Revenue drivers'!S569</f>
        <v>308.74509803921569</v>
      </c>
      <c r="T808">
        <f>'Revenue drivers'!T569</f>
        <v>283.34113973458233</v>
      </c>
      <c r="U808">
        <f>'Revenue drivers'!U569</f>
        <v>282.35371466140697</v>
      </c>
      <c r="V808">
        <f>'Revenue drivers'!V569</f>
        <v>286.3378684807256</v>
      </c>
      <c r="W808">
        <f>'Revenue drivers'!W569</f>
        <v>280.0884955752212</v>
      </c>
      <c r="X808">
        <f>'Revenue drivers'!X569</f>
        <v>298.54881266490764</v>
      </c>
      <c r="Y808">
        <f>'Revenue drivers'!Y569</f>
        <v>306.63510848126231</v>
      </c>
      <c r="Z808">
        <f>'Revenue drivers'!Z569</f>
        <v>310.78737426292059</v>
      </c>
      <c r="AA808">
        <f>'Revenue drivers'!AA569</f>
        <v>314.10067526089625</v>
      </c>
      <c r="AB808">
        <f>'Revenue drivers'!AB569</f>
        <v>311.10396570203642</v>
      </c>
      <c r="AC808">
        <f>'Revenue drivers'!AC569</f>
        <v>307.83758262511805</v>
      </c>
      <c r="AD808">
        <f>'Revenue drivers'!AD569</f>
        <v>327.85358457873076</v>
      </c>
      <c r="AE808">
        <f>'Revenue drivers'!AE569</f>
        <v>341.68974513345375</v>
      </c>
      <c r="AF808">
        <f>'Revenue drivers'!AF569</f>
        <v>345.00648508430601</v>
      </c>
      <c r="AG808">
        <f>'Revenue drivers'!AG569</f>
        <v>339.77938641847635</v>
      </c>
      <c r="AH808">
        <f>'Revenue drivers'!AH569</f>
        <v>350.15254787406684</v>
      </c>
      <c r="AI808">
        <f>'Revenue drivers'!AI569</f>
        <v>353.88278388278394</v>
      </c>
      <c r="AJ808">
        <f>'Revenue drivers'!AJ569</f>
        <v>357.93799772468714</v>
      </c>
      <c r="AK808">
        <f>'Revenue drivers'!AK569</f>
        <v>364.80718436344432</v>
      </c>
      <c r="AL808">
        <f>'Revenue drivers'!AL569</f>
        <v>374.45512820512818</v>
      </c>
      <c r="AM808">
        <f>'Revenue drivers'!AM569</f>
        <v>378.17845584835874</v>
      </c>
      <c r="AN808">
        <f>'Revenue drivers'!AN569</f>
        <v>372.28024369016543</v>
      </c>
      <c r="AO808">
        <f>'Revenue drivers'!AO569</f>
        <v>363.74845869297161</v>
      </c>
      <c r="AP808">
        <f>'Revenue drivers'!AP569</f>
        <v>365.80802180685356</v>
      </c>
      <c r="AQ808">
        <f>'Revenue drivers'!AQ569</f>
        <v>365.5197928227895</v>
      </c>
      <c r="AR808">
        <f>'Revenue drivers'!AR569</f>
        <v>368.39323467230446</v>
      </c>
      <c r="AS808">
        <f>'Revenue drivers'!AS569</f>
        <v>358.22401614530781</v>
      </c>
      <c r="AT808">
        <f>'Revenue drivers'!AT569</f>
        <v>361.77445302445307</v>
      </c>
      <c r="AU808">
        <f>'Revenue drivers'!AU569</f>
        <v>361.7021276595745</v>
      </c>
      <c r="AV808">
        <f>'Revenue drivers'!AV569</f>
        <v>362.78863232682062</v>
      </c>
      <c r="AW808">
        <f>'Revenue drivers'!AW569</f>
        <v>355.82123541132933</v>
      </c>
      <c r="AX808">
        <f>'Revenue drivers'!AX569</f>
        <v>358.93503289473688</v>
      </c>
      <c r="AY808">
        <f>'Revenue drivers'!AY569</f>
        <v>358.97435897435906</v>
      </c>
      <c r="AZ808">
        <f>'Revenue drivers'!AZ569</f>
        <v>360.00510464522722</v>
      </c>
      <c r="BA808">
        <f>'Revenue drivers'!BA569</f>
        <v>354.05872193436966</v>
      </c>
      <c r="BB808">
        <f>'Revenue drivers'!BB569</f>
        <v>356.82784145176703</v>
      </c>
      <c r="BC808">
        <f>'Revenue drivers'!BC569</f>
        <v>356.92805921813556</v>
      </c>
      <c r="BD808">
        <f>'Revenue drivers'!BD569</f>
        <v>357.89591745177216</v>
      </c>
      <c r="BE808">
        <f>'Revenue drivers'!BE569</f>
        <v>0</v>
      </c>
      <c r="BF808">
        <f>'Revenue drivers'!BF569</f>
        <v>0</v>
      </c>
      <c r="BG808">
        <f>'Revenue drivers'!BG569</f>
        <v>0</v>
      </c>
      <c r="BH808">
        <f>'Revenue drivers'!BH569</f>
        <v>188.6875</v>
      </c>
      <c r="BI808">
        <f>'Revenue drivers'!BI569</f>
        <v>304.50000000000006</v>
      </c>
      <c r="BJ808">
        <f>'Revenue drivers'!BJ569</f>
        <v>312.58333333333331</v>
      </c>
      <c r="BK808">
        <f>'Revenue drivers'!BK569</f>
        <v>280.85014409221895</v>
      </c>
      <c r="BL808">
        <f>'Revenue drivers'!BL569</f>
        <v>286.50393700787396</v>
      </c>
      <c r="BM808">
        <f>'Revenue drivers'!BM569</f>
        <v>300.44392523364485</v>
      </c>
      <c r="BN808">
        <f>'Revenue drivers'!BN569</f>
        <v>330.55417443546713</v>
      </c>
      <c r="BO808">
        <f>'Revenue drivers'!BO569</f>
        <v>346.82373878056325</v>
      </c>
      <c r="BP808">
        <f>'Revenue drivers'!BP569</f>
        <v>0</v>
      </c>
      <c r="BQ808">
        <f>'Revenue drivers'!BQ569</f>
        <v>0</v>
      </c>
      <c r="BR808">
        <f>'Revenue drivers'!BR569</f>
        <v>0</v>
      </c>
      <c r="BS808">
        <f>'Revenue drivers'!BS569</f>
        <v>0</v>
      </c>
      <c r="BT808">
        <f>'Revenue drivers'!BT569</f>
        <v>0</v>
      </c>
      <c r="BU808">
        <f>'Revenue drivers'!BU569</f>
        <v>0</v>
      </c>
      <c r="BV808">
        <f>'Revenue drivers'!BV569</f>
        <v>0</v>
      </c>
      <c r="BW808">
        <f>'Revenue drivers'!BW569</f>
        <v>0</v>
      </c>
      <c r="BX808">
        <f>'Revenue drivers'!BX569</f>
        <v>0</v>
      </c>
      <c r="BY808">
        <f>'Revenue drivers'!BY569</f>
        <v>0</v>
      </c>
    </row>
    <row r="809" spans="9:77" ht="11.25" customHeight="1">
      <c r="I809" t="str">
        <f>'Revenue drivers'!I570</f>
        <v>% change Y/Y</v>
      </c>
      <c r="J809">
        <f>'Revenue drivers'!J570</f>
        <v>0</v>
      </c>
      <c r="K809">
        <f>'Revenue drivers'!K570</f>
        <v>0</v>
      </c>
      <c r="L809">
        <f>'Revenue drivers'!L570</f>
        <v>0</v>
      </c>
      <c r="M809" t="str">
        <f>'Revenue drivers'!M570</f>
        <v>NA</v>
      </c>
      <c r="N809" t="str">
        <f>'Revenue drivers'!N570</f>
        <v>NA</v>
      </c>
      <c r="O809" t="str">
        <f>'Revenue drivers'!O570</f>
        <v>NA</v>
      </c>
      <c r="P809" t="str">
        <f>'Revenue drivers'!P570</f>
        <v>NA</v>
      </c>
      <c r="Q809">
        <f>'Revenue drivers'!Q570</f>
        <v>5.549285176824692E-2</v>
      </c>
      <c r="R809">
        <f>'Revenue drivers'!R570</f>
        <v>-5.2003014159538452E-3</v>
      </c>
      <c r="S809">
        <f>'Revenue drivers'!S570</f>
        <v>4.3057763645998781E-2</v>
      </c>
      <c r="T809">
        <f>'Revenue drivers'!T570</f>
        <v>-2.995563738549456E-2</v>
      </c>
      <c r="U809">
        <f>'Revenue drivers'!U570</f>
        <v>-9.421371165472725E-2</v>
      </c>
      <c r="V809">
        <f>'Revenue drivers'!V570</f>
        <v>-9.9633864176800535E-2</v>
      </c>
      <c r="W809">
        <f>'Revenue drivers'!W570</f>
        <v>-9.281638039271678E-2</v>
      </c>
      <c r="X809">
        <f>'Revenue drivers'!X570</f>
        <v>5.3672660964697805E-2</v>
      </c>
      <c r="Y809">
        <f>'Revenue drivers'!Y570</f>
        <v>8.599636753131823E-2</v>
      </c>
      <c r="Z809">
        <f>'Revenue drivers'!Z570</f>
        <v>8.5386909918416132E-2</v>
      </c>
      <c r="AA809">
        <f>'Revenue drivers'!AA570</f>
        <v>0.1214336905049378</v>
      </c>
      <c r="AB809">
        <f>'Revenue drivers'!AB570</f>
        <v>4.2053937260908558E-2</v>
      </c>
      <c r="AC809">
        <f>'Revenue drivers'!AC570</f>
        <v>3.921514890488309E-3</v>
      </c>
      <c r="AD809">
        <f>'Revenue drivers'!AD570</f>
        <v>5.4912817344286546E-2</v>
      </c>
      <c r="AE809">
        <f>'Revenue drivers'!AE570</f>
        <v>8.783511799088517E-2</v>
      </c>
      <c r="AF809">
        <f>'Revenue drivers'!AF570</f>
        <v>0.10897488659704235</v>
      </c>
      <c r="AG809">
        <f>'Revenue drivers'!AG570</f>
        <v>0.10376187183179897</v>
      </c>
      <c r="AH809">
        <f>'Revenue drivers'!AH570</f>
        <v>6.8015005307898946E-2</v>
      </c>
      <c r="AI809">
        <f>'Revenue drivers'!AI570</f>
        <v>3.5684532307423966E-2</v>
      </c>
      <c r="AJ809">
        <f>'Revenue drivers'!AJ570</f>
        <v>3.7481940773435474E-2</v>
      </c>
      <c r="AK809">
        <f>'Revenue drivers'!AK570</f>
        <v>7.3658965038401192E-2</v>
      </c>
      <c r="AL809">
        <f>'Revenue drivers'!AL570</f>
        <v>6.9405693257447831E-2</v>
      </c>
      <c r="AM809">
        <f>'Revenue drivers'!AM570</f>
        <v>6.8654574543027813E-2</v>
      </c>
      <c r="AN809">
        <f>'Revenue drivers'!AN570</f>
        <v>4.0069079160770738E-2</v>
      </c>
      <c r="AO809">
        <f>'Revenue drivers'!AO570</f>
        <v>-2.902151371607653E-3</v>
      </c>
      <c r="AP809">
        <f>'Revenue drivers'!AP570</f>
        <v>-2.3092503605766312E-2</v>
      </c>
      <c r="AQ809">
        <f>'Revenue drivers'!AQ570</f>
        <v>-3.34727238683451E-2</v>
      </c>
      <c r="AR809">
        <f>'Revenue drivers'!AR570</f>
        <v>-1.0441083253120431E-2</v>
      </c>
      <c r="AS809">
        <f>'Revenue drivers'!AS570</f>
        <v>-1.5187535275102859E-2</v>
      </c>
      <c r="AT809">
        <f>'Revenue drivers'!AT570</f>
        <v>-1.1026463450629853E-2</v>
      </c>
      <c r="AU809">
        <f>'Revenue drivers'!AU570</f>
        <v>-1.0444482728917182E-2</v>
      </c>
      <c r="AV809">
        <f>'Revenue drivers'!AV570</f>
        <v>-1.5213640800079475E-2</v>
      </c>
      <c r="AW809">
        <f>'Revenue drivers'!AW570</f>
        <v>-6.7074808658384999E-3</v>
      </c>
      <c r="AX809">
        <f>'Revenue drivers'!AX570</f>
        <v>-7.8485921434708894E-3</v>
      </c>
      <c r="AY809">
        <f>'Revenue drivers'!AY570</f>
        <v>-7.541478129713286E-3</v>
      </c>
      <c r="AZ809">
        <f>'Revenue drivers'!AZ570</f>
        <v>-7.6725879301693389E-3</v>
      </c>
      <c r="BA809">
        <f>'Revenue drivers'!BA570</f>
        <v>-4.9533678756474853E-3</v>
      </c>
      <c r="BB809">
        <f>'Revenue drivers'!BB570</f>
        <v>-5.8706764451933457E-3</v>
      </c>
      <c r="BC809">
        <f>'Revenue drivers'!BC570</f>
        <v>-5.7004064637654617E-3</v>
      </c>
      <c r="BD809">
        <f>'Revenue drivers'!BD570</f>
        <v>-5.8587702403097852E-3</v>
      </c>
      <c r="BE809">
        <f>'Revenue drivers'!BE570</f>
        <v>0</v>
      </c>
      <c r="BF809">
        <f>'Revenue drivers'!BF570</f>
        <v>0</v>
      </c>
      <c r="BG809">
        <f>'Revenue drivers'!BG570</f>
        <v>0</v>
      </c>
      <c r="BH809" t="str">
        <f>'Revenue drivers'!BH570</f>
        <v>NA</v>
      </c>
      <c r="BI809">
        <f>'Revenue drivers'!BI570</f>
        <v>0.61377939715137497</v>
      </c>
      <c r="BJ809">
        <f>'Revenue drivers'!BJ570</f>
        <v>2.6546250684181372E-2</v>
      </c>
      <c r="BK809">
        <f>'Revenue drivers'!BK570</f>
        <v>-0.10151913380255195</v>
      </c>
      <c r="BL809">
        <f>'Revenue drivers'!BL570</f>
        <v>2.0130995246342209E-2</v>
      </c>
      <c r="BM809">
        <f>'Revenue drivers'!BM570</f>
        <v>4.8655485754765637E-2</v>
      </c>
      <c r="BN809">
        <f>'Revenue drivers'!BN570</f>
        <v>0.10021919790325784</v>
      </c>
      <c r="BO809">
        <f>'Revenue drivers'!BO570</f>
        <v>4.9219055765615138E-2</v>
      </c>
      <c r="BP809">
        <f>'Revenue drivers'!BP570</f>
        <v>0</v>
      </c>
      <c r="BQ809">
        <f>'Revenue drivers'!BQ570</f>
        <v>0</v>
      </c>
      <c r="BR809">
        <f>'Revenue drivers'!BR570</f>
        <v>0</v>
      </c>
      <c r="BS809">
        <f>'Revenue drivers'!BS570</f>
        <v>0</v>
      </c>
      <c r="BT809">
        <f>'Revenue drivers'!BT570</f>
        <v>0</v>
      </c>
      <c r="BU809">
        <f>'Revenue drivers'!BU570</f>
        <v>0</v>
      </c>
      <c r="BV809">
        <f>'Revenue drivers'!BV570</f>
        <v>0</v>
      </c>
      <c r="BW809">
        <f>'Revenue drivers'!BW570</f>
        <v>0</v>
      </c>
      <c r="BX809">
        <f>'Revenue drivers'!BX570</f>
        <v>0</v>
      </c>
      <c r="BY809">
        <f>'Revenue drivers'!BY570</f>
        <v>0</v>
      </c>
    </row>
    <row r="810" spans="9:77" ht="11.25" customHeight="1">
      <c r="I810" t="str">
        <f>'Revenue drivers'!I571</f>
        <v>% change Q/Q</v>
      </c>
      <c r="J810">
        <f>'Revenue drivers'!J571</f>
        <v>0</v>
      </c>
      <c r="K810">
        <f>'Revenue drivers'!K571</f>
        <v>0</v>
      </c>
      <c r="L810">
        <f>'Revenue drivers'!L571</f>
        <v>0</v>
      </c>
      <c r="M810" t="str">
        <f>'Revenue drivers'!M571</f>
        <v>NA</v>
      </c>
      <c r="N810">
        <f>'Revenue drivers'!N571</f>
        <v>8.2459168769087654E-2</v>
      </c>
      <c r="O810">
        <f>'Revenue drivers'!O571</f>
        <v>-7.4092247301275393E-2</v>
      </c>
      <c r="P810">
        <f>'Revenue drivers'!P571</f>
        <v>-1.3206388206388531E-2</v>
      </c>
      <c r="Q810">
        <f>'Revenue drivers'!Q571</f>
        <v>6.72095998893385E-2</v>
      </c>
      <c r="R810">
        <f>'Revenue drivers'!R571</f>
        <v>2.0215393232680734E-2</v>
      </c>
      <c r="S810">
        <f>'Revenue drivers'!S571</f>
        <v>-2.9176153504000935E-2</v>
      </c>
      <c r="T810">
        <f>'Revenue drivers'!T571</f>
        <v>-8.2281333261545853E-2</v>
      </c>
      <c r="U810">
        <f>'Revenue drivers'!U571</f>
        <v>-3.4849336531233011E-3</v>
      </c>
      <c r="V810">
        <f>'Revenue drivers'!V571</f>
        <v>1.4110506122068767E-2</v>
      </c>
      <c r="W810">
        <f>'Revenue drivers'!W571</f>
        <v>-2.1825170867768251E-2</v>
      </c>
      <c r="X810">
        <f>'Revenue drivers'!X571</f>
        <v>6.5908873021629288E-2</v>
      </c>
      <c r="Y810">
        <f>'Revenue drivers'!Y571</f>
        <v>2.7085339057873803E-2</v>
      </c>
      <c r="Z810">
        <f>'Revenue drivers'!Z571</f>
        <v>1.3541390619698168E-2</v>
      </c>
      <c r="AA810">
        <f>'Revenue drivers'!AA571</f>
        <v>1.0660989706656077E-2</v>
      </c>
      <c r="AB810">
        <f>'Revenue drivers'!AB571</f>
        <v>-9.5406020899850841E-3</v>
      </c>
      <c r="AC810">
        <f>'Revenue drivers'!AC571</f>
        <v>-1.0499329603682384E-2</v>
      </c>
      <c r="AD810">
        <f>'Revenue drivers'!AD571</f>
        <v>6.5021306959741842E-2</v>
      </c>
      <c r="AE810">
        <f>'Revenue drivers'!AE571</f>
        <v>4.220225492578189E-2</v>
      </c>
      <c r="AF810">
        <f>'Revenue drivers'!AF571</f>
        <v>9.7068758957248313E-3</v>
      </c>
      <c r="AG810">
        <f>'Revenue drivers'!AG571</f>
        <v>-1.5150725832160372E-2</v>
      </c>
      <c r="AH810">
        <f>'Revenue drivers'!AH571</f>
        <v>3.0529107621657614E-2</v>
      </c>
      <c r="AI810">
        <f>'Revenue drivers'!AI571</f>
        <v>1.0653173970502472E-2</v>
      </c>
      <c r="AJ810">
        <f>'Revenue drivers'!AJ571</f>
        <v>1.1459200691849469E-2</v>
      </c>
      <c r="AK810">
        <f>'Revenue drivers'!AK571</f>
        <v>1.9190995877561789E-2</v>
      </c>
      <c r="AL810">
        <f>'Revenue drivers'!AL571</f>
        <v>2.644669363767771E-2</v>
      </c>
      <c r="AM810">
        <f>'Revenue drivers'!AM571</f>
        <v>9.9433212761099732E-3</v>
      </c>
      <c r="AN810">
        <f>'Revenue drivers'!AN571</f>
        <v>-1.5596372736151776E-2</v>
      </c>
      <c r="AO810">
        <f>'Revenue drivers'!AO571</f>
        <v>-2.291764105616767E-2</v>
      </c>
      <c r="AP810">
        <f>'Revenue drivers'!AP571</f>
        <v>5.6620531707058941E-3</v>
      </c>
      <c r="AQ810">
        <f>'Revenue drivers'!AQ571</f>
        <v>-7.8792417574768958E-4</v>
      </c>
      <c r="AR810">
        <f>'Revenue drivers'!AR571</f>
        <v>7.8612482988247301E-3</v>
      </c>
      <c r="AS810">
        <f>'Revenue drivers'!AS571</f>
        <v>-2.7604248856639368E-2</v>
      </c>
      <c r="AT810">
        <f>'Revenue drivers'!AT571</f>
        <v>9.9112195696702265E-3</v>
      </c>
      <c r="AU810">
        <f>'Revenue drivers'!AU571</f>
        <v>-1.9991838637012371E-4</v>
      </c>
      <c r="AV810">
        <f>'Revenue drivers'!AV571</f>
        <v>3.0038658447393285E-3</v>
      </c>
      <c r="AW810">
        <f>'Revenue drivers'!AW571</f>
        <v>-1.9205113652002948E-2</v>
      </c>
      <c r="AX810">
        <f>'Revenue drivers'!AX571</f>
        <v>8.7510164473685315E-3</v>
      </c>
      <c r="AY810">
        <f>'Revenue drivers'!AY571</f>
        <v>1.0956322458977041E-4</v>
      </c>
      <c r="AZ810">
        <f>'Revenue drivers'!AZ571</f>
        <v>2.8713629402756791E-3</v>
      </c>
      <c r="BA810">
        <f>'Revenue drivers'!BA571</f>
        <v>-1.6517495541396587E-2</v>
      </c>
      <c r="BB810">
        <f>'Revenue drivers'!BB571</f>
        <v>7.8210741491369085E-3</v>
      </c>
      <c r="BC810">
        <f>'Revenue drivers'!BC571</f>
        <v>2.8085747446393583E-4</v>
      </c>
      <c r="BD810">
        <f>'Revenue drivers'!BD571</f>
        <v>2.7116339235326858E-3</v>
      </c>
      <c r="BE810">
        <f>'Revenue drivers'!BE571</f>
        <v>0</v>
      </c>
      <c r="BF810">
        <f>'Revenue drivers'!BF571</f>
        <v>0</v>
      </c>
      <c r="BG810">
        <f>'Revenue drivers'!BG571</f>
        <v>0</v>
      </c>
      <c r="BH810">
        <f>'Revenue drivers'!BH571</f>
        <v>0</v>
      </c>
      <c r="BI810">
        <f>'Revenue drivers'!BI571</f>
        <v>0</v>
      </c>
      <c r="BJ810">
        <f>'Revenue drivers'!BJ571</f>
        <v>0</v>
      </c>
      <c r="BK810">
        <f>'Revenue drivers'!BK571</f>
        <v>0</v>
      </c>
      <c r="BL810">
        <f>'Revenue drivers'!BL571</f>
        <v>0</v>
      </c>
      <c r="BM810">
        <f>'Revenue drivers'!BM571</f>
        <v>0</v>
      </c>
      <c r="BN810">
        <f>'Revenue drivers'!BN571</f>
        <v>0</v>
      </c>
      <c r="BO810">
        <f>'Revenue drivers'!BO571</f>
        <v>0</v>
      </c>
      <c r="BP810">
        <f>'Revenue drivers'!BP571</f>
        <v>0</v>
      </c>
      <c r="BQ810">
        <f>'Revenue drivers'!BQ571</f>
        <v>0</v>
      </c>
      <c r="BR810">
        <f>'Revenue drivers'!BR571</f>
        <v>0</v>
      </c>
      <c r="BS810">
        <f>'Revenue drivers'!BS571</f>
        <v>0</v>
      </c>
      <c r="BT810">
        <f>'Revenue drivers'!BT571</f>
        <v>0</v>
      </c>
      <c r="BU810">
        <f>'Revenue drivers'!BU571</f>
        <v>0</v>
      </c>
      <c r="BV810">
        <f>'Revenue drivers'!BV571</f>
        <v>0</v>
      </c>
      <c r="BW810">
        <f>'Revenue drivers'!BW571</f>
        <v>0</v>
      </c>
      <c r="BX810">
        <f>'Revenue drivers'!BX571</f>
        <v>0</v>
      </c>
      <c r="BY810">
        <f>'Revenue drivers'!BY571</f>
        <v>0</v>
      </c>
    </row>
    <row r="811" spans="9:77" ht="11.25" customHeight="1">
      <c r="I811" t="str">
        <f>'Revenue drivers'!I572</f>
        <v>Y/Y Abs Growth</v>
      </c>
      <c r="J811">
        <f>'Revenue drivers'!J572</f>
        <v>0</v>
      </c>
      <c r="K811">
        <f>'Revenue drivers'!K572</f>
        <v>0</v>
      </c>
      <c r="L811">
        <f>'Revenue drivers'!L572</f>
        <v>0</v>
      </c>
      <c r="M811">
        <f>'Revenue drivers'!M572</f>
        <v>0</v>
      </c>
      <c r="N811">
        <f>'Revenue drivers'!N572</f>
        <v>0</v>
      </c>
      <c r="O811">
        <f>'Revenue drivers'!O572</f>
        <v>0</v>
      </c>
      <c r="P811">
        <f>'Revenue drivers'!P572</f>
        <v>0</v>
      </c>
      <c r="Q811">
        <f>'Revenue drivers'!Q572</f>
        <v>16.388888888888914</v>
      </c>
      <c r="R811">
        <f>'Revenue drivers'!R572</f>
        <v>-1.6624649859943474</v>
      </c>
      <c r="S811">
        <f>'Revenue drivers'!S572</f>
        <v>12.745098039215634</v>
      </c>
      <c r="T811">
        <f>'Revenue drivers'!T572</f>
        <v>-8.7497693563267376</v>
      </c>
      <c r="U811">
        <f>'Revenue drivers'!U572</f>
        <v>-29.36850756081526</v>
      </c>
      <c r="V811">
        <f>'Revenue drivers'!V572</f>
        <v>-31.685941043083915</v>
      </c>
      <c r="W811">
        <f>'Revenue drivers'!W572</f>
        <v>-28.656602463994489</v>
      </c>
      <c r="X811">
        <f>'Revenue drivers'!X572</f>
        <v>15.207672930325316</v>
      </c>
      <c r="Y811">
        <f>'Revenue drivers'!Y572</f>
        <v>24.281393819855339</v>
      </c>
      <c r="Z811">
        <f>'Revenue drivers'!Z572</f>
        <v>24.44950578219499</v>
      </c>
      <c r="AA811">
        <f>'Revenue drivers'!AA572</f>
        <v>34.012179685675051</v>
      </c>
      <c r="AB811">
        <f>'Revenue drivers'!AB572</f>
        <v>12.555153037128775</v>
      </c>
      <c r="AC811">
        <f>'Revenue drivers'!AC572</f>
        <v>1.2024741438557385</v>
      </c>
      <c r="AD811">
        <f>'Revenue drivers'!AD572</f>
        <v>17.066210315810167</v>
      </c>
      <c r="AE811">
        <f>'Revenue drivers'!AE572</f>
        <v>27.589069872557502</v>
      </c>
      <c r="AF811">
        <f>'Revenue drivers'!AF572</f>
        <v>33.902519382269588</v>
      </c>
      <c r="AG811">
        <f>'Revenue drivers'!AG572</f>
        <v>31.941803793358304</v>
      </c>
      <c r="AH811">
        <f>'Revenue drivers'!AH572</f>
        <v>22.29896329533608</v>
      </c>
      <c r="AI811">
        <f>'Revenue drivers'!AI572</f>
        <v>12.193038749330185</v>
      </c>
      <c r="AJ811">
        <f>'Revenue drivers'!AJ572</f>
        <v>12.931512640381129</v>
      </c>
      <c r="AK811">
        <f>'Revenue drivers'!AK572</f>
        <v>25.027797944967972</v>
      </c>
      <c r="AL811">
        <f>'Revenue drivers'!AL572</f>
        <v>24.302580331061336</v>
      </c>
      <c r="AM811">
        <f>'Revenue drivers'!AM572</f>
        <v>24.295671965574797</v>
      </c>
      <c r="AN811">
        <f>'Revenue drivers'!AN572</f>
        <v>14.342245965478298</v>
      </c>
      <c r="AO811">
        <f>'Revenue drivers'!AO572</f>
        <v>-1.058725670472711</v>
      </c>
      <c r="AP811">
        <f>'Revenue drivers'!AP572</f>
        <v>-8.6471063982746159</v>
      </c>
      <c r="AQ811">
        <f>'Revenue drivers'!AQ572</f>
        <v>-12.65866302556924</v>
      </c>
      <c r="AR811">
        <f>'Revenue drivers'!AR572</f>
        <v>-3.8870090178609757</v>
      </c>
      <c r="AS811">
        <f>'Revenue drivers'!AS572</f>
        <v>-5.5244425476637957</v>
      </c>
      <c r="AT811">
        <f>'Revenue drivers'!AT572</f>
        <v>-4.0335687824004935</v>
      </c>
      <c r="AU811">
        <f>'Revenue drivers'!AU572</f>
        <v>-3.8176651632149969</v>
      </c>
      <c r="AV811">
        <f>'Revenue drivers'!AV572</f>
        <v>-5.6046023454838405</v>
      </c>
      <c r="AW811">
        <f>'Revenue drivers'!AW572</f>
        <v>-2.4027807339784886</v>
      </c>
      <c r="AX811">
        <f>'Revenue drivers'!AX572</f>
        <v>-2.8394201297161885</v>
      </c>
      <c r="AY811">
        <f>'Revenue drivers'!AY572</f>
        <v>-2.7277686852154375</v>
      </c>
      <c r="AZ811">
        <f>'Revenue drivers'!AZ572</f>
        <v>-2.783527681593398</v>
      </c>
      <c r="BA811">
        <f>'Revenue drivers'!BA572</f>
        <v>-1.7625134769596684</v>
      </c>
      <c r="BB811">
        <f>'Revenue drivers'!BB572</f>
        <v>-2.1071914429698495</v>
      </c>
      <c r="BC811">
        <f>'Revenue drivers'!BC572</f>
        <v>-2.0462997562235046</v>
      </c>
      <c r="BD811">
        <f>'Revenue drivers'!BD572</f>
        <v>-2.1091871934550568</v>
      </c>
      <c r="BE811">
        <f>'Revenue drivers'!BE572</f>
        <v>0</v>
      </c>
      <c r="BF811">
        <f>'Revenue drivers'!BF572</f>
        <v>0</v>
      </c>
      <c r="BG811">
        <f>'Revenue drivers'!BG572</f>
        <v>0</v>
      </c>
      <c r="BH811">
        <f>'Revenue drivers'!BH572</f>
        <v>0</v>
      </c>
      <c r="BI811">
        <f>'Revenue drivers'!BI572</f>
        <v>115.81250000000006</v>
      </c>
      <c r="BJ811">
        <f>'Revenue drivers'!BJ572</f>
        <v>8.0833333333332575</v>
      </c>
      <c r="BK811">
        <f>'Revenue drivers'!BK572</f>
        <v>-31.73318924111436</v>
      </c>
      <c r="BL811">
        <f>'Revenue drivers'!BL572</f>
        <v>5.6537929156550035</v>
      </c>
      <c r="BM811">
        <f>'Revenue drivers'!BM572</f>
        <v>13.93998822577089</v>
      </c>
      <c r="BN811">
        <f>'Revenue drivers'!BN572</f>
        <v>30.110249201822285</v>
      </c>
      <c r="BO811">
        <f>'Revenue drivers'!BO572</f>
        <v>16.269564345096114</v>
      </c>
      <c r="BP811">
        <f>'Revenue drivers'!BP572</f>
        <v>0</v>
      </c>
      <c r="BQ811">
        <f>'Revenue drivers'!BQ572</f>
        <v>0</v>
      </c>
      <c r="BR811">
        <f>'Revenue drivers'!BR572</f>
        <v>0</v>
      </c>
      <c r="BS811">
        <f>'Revenue drivers'!BS572</f>
        <v>0</v>
      </c>
      <c r="BT811">
        <f>'Revenue drivers'!BT572</f>
        <v>0</v>
      </c>
      <c r="BU811">
        <f>'Revenue drivers'!BU572</f>
        <v>0</v>
      </c>
      <c r="BV811">
        <f>'Revenue drivers'!BV572</f>
        <v>0</v>
      </c>
      <c r="BW811">
        <f>'Revenue drivers'!BW572</f>
        <v>0</v>
      </c>
      <c r="BX811">
        <f>'Revenue drivers'!BX572</f>
        <v>0</v>
      </c>
      <c r="BY811">
        <f>'Revenue drivers'!BY572</f>
        <v>0</v>
      </c>
    </row>
    <row r="812" spans="9:77" ht="11.25" customHeight="1">
      <c r="I812" t="str">
        <f>'Revenue drivers'!I573</f>
        <v>Q/Q Abs Growth</v>
      </c>
      <c r="J812">
        <f>'Revenue drivers'!J573</f>
        <v>0</v>
      </c>
      <c r="K812">
        <f>'Revenue drivers'!K573</f>
        <v>0</v>
      </c>
      <c r="L812">
        <f>'Revenue drivers'!L573</f>
        <v>0</v>
      </c>
      <c r="M812">
        <f>'Revenue drivers'!M573</f>
        <v>0</v>
      </c>
      <c r="N812">
        <f>'Revenue drivers'!N573</f>
        <v>24.352941176470551</v>
      </c>
      <c r="O812">
        <f>'Revenue drivers'!O573</f>
        <v>-23.686274509803809</v>
      </c>
      <c r="P812">
        <f>'Revenue drivers'!P573</f>
        <v>-3.9090909090909918</v>
      </c>
      <c r="Q812">
        <f>'Revenue drivers'!Q573</f>
        <v>19.631313131313163</v>
      </c>
      <c r="R812">
        <f>'Revenue drivers'!R573</f>
        <v>6.3015873015872899</v>
      </c>
      <c r="S812">
        <f>'Revenue drivers'!S573</f>
        <v>-9.2787114845938277</v>
      </c>
      <c r="T812">
        <f>'Revenue drivers'!T573</f>
        <v>-25.403958304633363</v>
      </c>
      <c r="U812">
        <f>'Revenue drivers'!U573</f>
        <v>-0.9874250731753591</v>
      </c>
      <c r="V812">
        <f>'Revenue drivers'!V573</f>
        <v>3.9841538193186352</v>
      </c>
      <c r="W812">
        <f>'Revenue drivers'!W573</f>
        <v>-6.2493729055044014</v>
      </c>
      <c r="X812">
        <f>'Revenue drivers'!X573</f>
        <v>18.460317089686441</v>
      </c>
      <c r="Y812">
        <f>'Revenue drivers'!Y573</f>
        <v>8.0862958163546637</v>
      </c>
      <c r="Z812">
        <f>'Revenue drivers'!Z573</f>
        <v>4.1522657816582864</v>
      </c>
      <c r="AA812">
        <f>'Revenue drivers'!AA573</f>
        <v>3.3133009979756594</v>
      </c>
      <c r="AB812">
        <f>'Revenue drivers'!AB573</f>
        <v>-2.996709558859834</v>
      </c>
      <c r="AC812">
        <f>'Revenue drivers'!AC573</f>
        <v>-3.2663830769183733</v>
      </c>
      <c r="AD812">
        <f>'Revenue drivers'!AD573</f>
        <v>20.016001953612715</v>
      </c>
      <c r="AE812">
        <f>'Revenue drivers'!AE573</f>
        <v>13.836160554722994</v>
      </c>
      <c r="AF812">
        <f>'Revenue drivers'!AF573</f>
        <v>3.3167399508522522</v>
      </c>
      <c r="AG812">
        <f>'Revenue drivers'!AG573</f>
        <v>-5.2270986658296579</v>
      </c>
      <c r="AH812">
        <f>'Revenue drivers'!AH573</f>
        <v>10.373161455590491</v>
      </c>
      <c r="AI812">
        <f>'Revenue drivers'!AI573</f>
        <v>3.7302360087170996</v>
      </c>
      <c r="AJ812">
        <f>'Revenue drivers'!AJ573</f>
        <v>4.0552138419031962</v>
      </c>
      <c r="AK812">
        <f>'Revenue drivers'!AK573</f>
        <v>6.8691866387571849</v>
      </c>
      <c r="AL812">
        <f>'Revenue drivers'!AL573</f>
        <v>9.6479438416838548</v>
      </c>
      <c r="AM812">
        <f>'Revenue drivers'!AM573</f>
        <v>3.7233276432305615</v>
      </c>
      <c r="AN812">
        <f>'Revenue drivers'!AN573</f>
        <v>-5.8982121581933029</v>
      </c>
      <c r="AO812">
        <f>'Revenue drivers'!AO573</f>
        <v>-8.5317849971938244</v>
      </c>
      <c r="AP812">
        <f>'Revenue drivers'!AP573</f>
        <v>2.0595631138819499</v>
      </c>
      <c r="AQ812">
        <f>'Revenue drivers'!AQ573</f>
        <v>-0.28822898406406239</v>
      </c>
      <c r="AR812">
        <f>'Revenue drivers'!AR573</f>
        <v>2.8734418495149612</v>
      </c>
      <c r="AS812">
        <f>'Revenue drivers'!AS573</f>
        <v>-10.169218526996644</v>
      </c>
      <c r="AT812">
        <f>'Revenue drivers'!AT573</f>
        <v>3.5504368791452521</v>
      </c>
      <c r="AU812">
        <f>'Revenue drivers'!AU573</f>
        <v>-7.2325364878565779E-2</v>
      </c>
      <c r="AV812">
        <f>'Revenue drivers'!AV573</f>
        <v>1.0865046672461176</v>
      </c>
      <c r="AW812">
        <f>'Revenue drivers'!AW573</f>
        <v>-6.9673969154912925</v>
      </c>
      <c r="AX812">
        <f>'Revenue drivers'!AX573</f>
        <v>3.1137974834075521</v>
      </c>
      <c r="AY812">
        <f>'Revenue drivers'!AY573</f>
        <v>3.9326079622185262E-2</v>
      </c>
      <c r="AZ812">
        <f>'Revenue drivers'!AZ573</f>
        <v>1.030745670868157</v>
      </c>
      <c r="BA812">
        <f>'Revenue drivers'!BA573</f>
        <v>-5.9463827108575629</v>
      </c>
      <c r="BB812">
        <f>'Revenue drivers'!BB573</f>
        <v>2.7691195173973711</v>
      </c>
      <c r="BC812">
        <f>'Revenue drivers'!BC573</f>
        <v>0.10021776636853019</v>
      </c>
      <c r="BD812">
        <f>'Revenue drivers'!BD573</f>
        <v>0.96785823363660484</v>
      </c>
      <c r="BE812">
        <f>'Revenue drivers'!BE573</f>
        <v>0</v>
      </c>
      <c r="BF812">
        <f>'Revenue drivers'!BF573</f>
        <v>0</v>
      </c>
      <c r="BG812">
        <f>'Revenue drivers'!BG573</f>
        <v>0</v>
      </c>
      <c r="BH812">
        <f>'Revenue drivers'!BH573</f>
        <v>0</v>
      </c>
      <c r="BI812">
        <f>'Revenue drivers'!BI573</f>
        <v>0</v>
      </c>
      <c r="BJ812">
        <f>'Revenue drivers'!BJ573</f>
        <v>0</v>
      </c>
      <c r="BK812">
        <f>'Revenue drivers'!BK573</f>
        <v>0</v>
      </c>
      <c r="BL812">
        <f>'Revenue drivers'!BL573</f>
        <v>0</v>
      </c>
      <c r="BM812">
        <f>'Revenue drivers'!BM573</f>
        <v>0</v>
      </c>
      <c r="BN812">
        <f>'Revenue drivers'!BN573</f>
        <v>0</v>
      </c>
      <c r="BO812">
        <f>'Revenue drivers'!BO573</f>
        <v>0</v>
      </c>
      <c r="BP812">
        <f>'Revenue drivers'!BP573</f>
        <v>0</v>
      </c>
      <c r="BQ812">
        <f>'Revenue drivers'!BQ573</f>
        <v>0</v>
      </c>
      <c r="BR812">
        <f>'Revenue drivers'!BR573</f>
        <v>0</v>
      </c>
      <c r="BS812">
        <f>'Revenue drivers'!BS573</f>
        <v>0</v>
      </c>
      <c r="BT812">
        <f>'Revenue drivers'!BT573</f>
        <v>0</v>
      </c>
      <c r="BU812">
        <f>'Revenue drivers'!BU573</f>
        <v>0</v>
      </c>
      <c r="BV812">
        <f>'Revenue drivers'!BV573</f>
        <v>0</v>
      </c>
      <c r="BW812">
        <f>'Revenue drivers'!BW573</f>
        <v>0</v>
      </c>
      <c r="BX812">
        <f>'Revenue drivers'!BX573</f>
        <v>0</v>
      </c>
      <c r="BY812">
        <f>'Revenue drivers'!BY573</f>
        <v>0</v>
      </c>
    </row>
    <row r="813" spans="9:77" ht="11.25" customHeight="1">
      <c r="I813">
        <f>'Revenue drivers'!I574</f>
        <v>0</v>
      </c>
      <c r="J813">
        <f>'Revenue drivers'!J574</f>
        <v>0</v>
      </c>
      <c r="K813">
        <f>'Revenue drivers'!K574</f>
        <v>0</v>
      </c>
      <c r="L813">
        <f>'Revenue drivers'!L574</f>
        <v>0</v>
      </c>
      <c r="M813">
        <f>'Revenue drivers'!M574</f>
        <v>0</v>
      </c>
      <c r="N813">
        <f>'Revenue drivers'!N574</f>
        <v>0</v>
      </c>
      <c r="O813">
        <f>'Revenue drivers'!O574</f>
        <v>0</v>
      </c>
      <c r="P813">
        <f>'Revenue drivers'!P574</f>
        <v>0</v>
      </c>
      <c r="Q813">
        <f>'Revenue drivers'!Q574</f>
        <v>0</v>
      </c>
      <c r="R813">
        <f>'Revenue drivers'!R574</f>
        <v>0</v>
      </c>
      <c r="S813">
        <f>'Revenue drivers'!S574</f>
        <v>0</v>
      </c>
      <c r="T813">
        <f>'Revenue drivers'!T574</f>
        <v>0</v>
      </c>
      <c r="U813">
        <f>'Revenue drivers'!U574</f>
        <v>0</v>
      </c>
      <c r="V813">
        <f>'Revenue drivers'!V574</f>
        <v>0</v>
      </c>
      <c r="W813">
        <f>'Revenue drivers'!W574</f>
        <v>0</v>
      </c>
      <c r="X813">
        <f>'Revenue drivers'!X574</f>
        <v>0</v>
      </c>
      <c r="Y813">
        <f>'Revenue drivers'!Y574</f>
        <v>0</v>
      </c>
      <c r="Z813">
        <f>'Revenue drivers'!Z574</f>
        <v>0</v>
      </c>
      <c r="AA813">
        <f>'Revenue drivers'!AA574</f>
        <v>0</v>
      </c>
      <c r="AB813">
        <f>'Revenue drivers'!AB574</f>
        <v>0</v>
      </c>
      <c r="AC813">
        <f>'Revenue drivers'!AC574</f>
        <v>0</v>
      </c>
      <c r="AD813">
        <f>'Revenue drivers'!AD574</f>
        <v>0</v>
      </c>
      <c r="AE813">
        <f>'Revenue drivers'!AE574</f>
        <v>0</v>
      </c>
      <c r="AF813">
        <f>'Revenue drivers'!AF574</f>
        <v>0</v>
      </c>
      <c r="AG813">
        <f>'Revenue drivers'!AG574</f>
        <v>0</v>
      </c>
      <c r="AH813">
        <f>'Revenue drivers'!AH574</f>
        <v>0</v>
      </c>
      <c r="AI813">
        <f>'Revenue drivers'!AI574</f>
        <v>0</v>
      </c>
      <c r="AJ813">
        <f>'Revenue drivers'!AJ574</f>
        <v>0</v>
      </c>
      <c r="AK813">
        <f>'Revenue drivers'!AK574</f>
        <v>0</v>
      </c>
      <c r="AL813">
        <f>'Revenue drivers'!AL574</f>
        <v>0</v>
      </c>
      <c r="AM813">
        <f>'Revenue drivers'!AM574</f>
        <v>0</v>
      </c>
      <c r="AN813">
        <f>'Revenue drivers'!AN574</f>
        <v>0</v>
      </c>
      <c r="AO813">
        <f>'Revenue drivers'!AO574</f>
        <v>0</v>
      </c>
      <c r="AP813">
        <f>'Revenue drivers'!AP574</f>
        <v>0</v>
      </c>
      <c r="AQ813">
        <f>'Revenue drivers'!AQ574</f>
        <v>0</v>
      </c>
      <c r="AR813">
        <f>'Revenue drivers'!AR574</f>
        <v>0</v>
      </c>
      <c r="AS813">
        <f>'Revenue drivers'!AS574</f>
        <v>0</v>
      </c>
      <c r="AT813">
        <f>'Revenue drivers'!AT574</f>
        <v>0</v>
      </c>
      <c r="AU813">
        <f>'Revenue drivers'!AU574</f>
        <v>0</v>
      </c>
      <c r="AV813">
        <f>'Revenue drivers'!AV574</f>
        <v>0</v>
      </c>
      <c r="AW813">
        <f>'Revenue drivers'!AW574</f>
        <v>0</v>
      </c>
      <c r="AX813">
        <f>'Revenue drivers'!AX574</f>
        <v>0</v>
      </c>
      <c r="AY813">
        <f>'Revenue drivers'!AY574</f>
        <v>0</v>
      </c>
      <c r="AZ813">
        <f>'Revenue drivers'!AZ574</f>
        <v>0</v>
      </c>
      <c r="BA813">
        <f>'Revenue drivers'!BA574</f>
        <v>0</v>
      </c>
      <c r="BB813">
        <f>'Revenue drivers'!BB574</f>
        <v>0</v>
      </c>
      <c r="BC813">
        <f>'Revenue drivers'!BC574</f>
        <v>0</v>
      </c>
      <c r="BD813">
        <f>'Revenue drivers'!BD574</f>
        <v>0</v>
      </c>
      <c r="BE813">
        <f>'Revenue drivers'!BE574</f>
        <v>0</v>
      </c>
      <c r="BF813">
        <f>'Revenue drivers'!BF574</f>
        <v>0</v>
      </c>
      <c r="BG813">
        <f>'Revenue drivers'!BG574</f>
        <v>0</v>
      </c>
      <c r="BH813">
        <f>'Revenue drivers'!BH574</f>
        <v>0</v>
      </c>
      <c r="BI813">
        <f>'Revenue drivers'!BI574</f>
        <v>0</v>
      </c>
      <c r="BJ813">
        <f>'Revenue drivers'!BJ574</f>
        <v>0</v>
      </c>
      <c r="BK813">
        <f>'Revenue drivers'!BK574</f>
        <v>0</v>
      </c>
      <c r="BL813">
        <f>'Revenue drivers'!BL574</f>
        <v>0</v>
      </c>
      <c r="BM813">
        <f>'Revenue drivers'!BM574</f>
        <v>0</v>
      </c>
      <c r="BN813">
        <f>'Revenue drivers'!BN574</f>
        <v>0</v>
      </c>
      <c r="BO813">
        <f>'Revenue drivers'!BO574</f>
        <v>0</v>
      </c>
      <c r="BP813">
        <f>'Revenue drivers'!BP574</f>
        <v>0</v>
      </c>
      <c r="BQ813">
        <f>'Revenue drivers'!BQ574</f>
        <v>0</v>
      </c>
      <c r="BR813">
        <f>'Revenue drivers'!BR574</f>
        <v>0</v>
      </c>
      <c r="BS813">
        <f>'Revenue drivers'!BS574</f>
        <v>0</v>
      </c>
      <c r="BT813">
        <f>'Revenue drivers'!BT574</f>
        <v>0</v>
      </c>
      <c r="BU813">
        <f>'Revenue drivers'!BU574</f>
        <v>0</v>
      </c>
      <c r="BV813">
        <f>'Revenue drivers'!BV574</f>
        <v>0</v>
      </c>
      <c r="BW813">
        <f>'Revenue drivers'!BW574</f>
        <v>0</v>
      </c>
      <c r="BX813">
        <f>'Revenue drivers'!BX574</f>
        <v>0</v>
      </c>
      <c r="BY813">
        <f>'Revenue drivers'!BY574</f>
        <v>0</v>
      </c>
    </row>
    <row r="814" spans="9:77" ht="11.25" customHeight="1">
      <c r="I814" t="str">
        <f>'Revenue drivers'!I575</f>
        <v>Active Business Account</v>
      </c>
      <c r="J814">
        <f>'Revenue drivers'!J575</f>
        <v>0</v>
      </c>
      <c r="K814">
        <f>'Revenue drivers'!K575</f>
        <v>0</v>
      </c>
      <c r="L814">
        <f>'Revenue drivers'!L575</f>
        <v>0</v>
      </c>
      <c r="M814">
        <f>'Revenue drivers'!M575</f>
        <v>0</v>
      </c>
      <c r="N814">
        <f>'Revenue drivers'!N575</f>
        <v>0</v>
      </c>
      <c r="O814">
        <f>'Revenue drivers'!O575</f>
        <v>0</v>
      </c>
      <c r="P814">
        <f>'Revenue drivers'!P575</f>
        <v>0</v>
      </c>
      <c r="Q814">
        <f>'Revenue drivers'!Q575</f>
        <v>0</v>
      </c>
      <c r="R814">
        <f>'Revenue drivers'!R575</f>
        <v>0</v>
      </c>
      <c r="S814">
        <f>'Revenue drivers'!S575</f>
        <v>0</v>
      </c>
      <c r="T814">
        <f>'Revenue drivers'!T575</f>
        <v>0</v>
      </c>
      <c r="U814">
        <f>'Revenue drivers'!U575</f>
        <v>27</v>
      </c>
      <c r="V814">
        <f>'Revenue drivers'!V575</f>
        <v>31.8</v>
      </c>
      <c r="W814">
        <f>'Revenue drivers'!W575</f>
        <v>36</v>
      </c>
      <c r="X814">
        <f>'Revenue drivers'!X575</f>
        <v>39.799999999999997</v>
      </c>
      <c r="Y814">
        <f>'Revenue drivers'!Y575</f>
        <v>44.7</v>
      </c>
      <c r="Z814">
        <f>'Revenue drivers'!Z575</f>
        <v>51.4</v>
      </c>
      <c r="AA814">
        <f>'Revenue drivers'!AA575</f>
        <v>57.2</v>
      </c>
      <c r="AB814">
        <f>'Revenue drivers'!AB575</f>
        <v>67.2</v>
      </c>
      <c r="AC814">
        <f>'Revenue drivers'!AC575</f>
        <v>74</v>
      </c>
      <c r="AD814">
        <f>'Revenue drivers'!AD575</f>
        <v>79.900000000000006</v>
      </c>
      <c r="AE814">
        <f>'Revenue drivers'!AE575</f>
        <v>86.2</v>
      </c>
      <c r="AF814">
        <f>'Revenue drivers'!AF575</f>
        <v>93.7</v>
      </c>
      <c r="AG814">
        <f>'Revenue drivers'!AG575</f>
        <v>99.7</v>
      </c>
      <c r="AH814">
        <f>'Revenue drivers'!AH575</f>
        <v>105.7</v>
      </c>
      <c r="AI814">
        <f>'Revenue drivers'!AI575</f>
        <v>112.7</v>
      </c>
      <c r="AJ814">
        <f>'Revenue drivers'!AJ575</f>
        <v>121.7</v>
      </c>
      <c r="AK814">
        <f>'Revenue drivers'!AK575</f>
        <v>130.69999999999999</v>
      </c>
      <c r="AL814">
        <f>'Revenue drivers'!AL575</f>
        <v>139.69999999999999</v>
      </c>
      <c r="AM814">
        <f>'Revenue drivers'!AM575</f>
        <v>148.69999999999999</v>
      </c>
      <c r="AN814">
        <f>'Revenue drivers'!AN575</f>
        <v>157.69999999999999</v>
      </c>
      <c r="AO814">
        <f>'Revenue drivers'!AO575</f>
        <v>166.7</v>
      </c>
      <c r="AP814">
        <f>'Revenue drivers'!AP575</f>
        <v>175.7</v>
      </c>
      <c r="AQ814">
        <f>'Revenue drivers'!AQ575</f>
        <v>184.7</v>
      </c>
      <c r="AR814">
        <f>'Revenue drivers'!AR575</f>
        <v>193.7</v>
      </c>
      <c r="AS814">
        <f>'Revenue drivers'!AS575</f>
        <v>202.7</v>
      </c>
      <c r="AT814">
        <f>'Revenue drivers'!AT575</f>
        <v>211.7</v>
      </c>
      <c r="AU814">
        <f>'Revenue drivers'!AU575</f>
        <v>220.7</v>
      </c>
      <c r="AV814">
        <f>'Revenue drivers'!AV575</f>
        <v>229.7</v>
      </c>
      <c r="AW814">
        <f>'Revenue drivers'!AW575</f>
        <v>238.7</v>
      </c>
      <c r="AX814">
        <f>'Revenue drivers'!AX575</f>
        <v>247.7</v>
      </c>
      <c r="AY814">
        <f>'Revenue drivers'!AY575</f>
        <v>256.7</v>
      </c>
      <c r="AZ814">
        <f>'Revenue drivers'!AZ575</f>
        <v>265.7</v>
      </c>
      <c r="BA814">
        <f>'Revenue drivers'!BA575</f>
        <v>274.7</v>
      </c>
      <c r="BB814">
        <f>'Revenue drivers'!BB575</f>
        <v>283.7</v>
      </c>
      <c r="BC814">
        <f>'Revenue drivers'!BC575</f>
        <v>292.7</v>
      </c>
      <c r="BD814">
        <f>'Revenue drivers'!BD575</f>
        <v>301.7</v>
      </c>
      <c r="BE814">
        <f>'Revenue drivers'!BE575</f>
        <v>0</v>
      </c>
      <c r="BF814">
        <f>'Revenue drivers'!BF575</f>
        <v>0</v>
      </c>
      <c r="BG814">
        <f>'Revenue drivers'!BG575</f>
        <v>0</v>
      </c>
      <c r="BH814">
        <f>'Revenue drivers'!BH575</f>
        <v>0</v>
      </c>
      <c r="BI814">
        <f>'Revenue drivers'!BI575</f>
        <v>0</v>
      </c>
      <c r="BJ814">
        <f>'Revenue drivers'!BJ575</f>
        <v>0</v>
      </c>
      <c r="BK814">
        <f>'Revenue drivers'!BK575</f>
        <v>51.4</v>
      </c>
      <c r="BL814">
        <f>'Revenue drivers'!BL575</f>
        <v>57.2</v>
      </c>
      <c r="BM814">
        <f>'Revenue drivers'!BM575</f>
        <v>67.2</v>
      </c>
      <c r="BN814">
        <f>'Revenue drivers'!BN575</f>
        <v>93.7</v>
      </c>
      <c r="BO814">
        <f>'Revenue drivers'!BO575</f>
        <v>121.7</v>
      </c>
      <c r="BP814">
        <f>'Revenue drivers'!BP575</f>
        <v>0</v>
      </c>
      <c r="BQ814">
        <f>'Revenue drivers'!BQ575</f>
        <v>0</v>
      </c>
      <c r="BR814">
        <f>'Revenue drivers'!BR575</f>
        <v>0</v>
      </c>
      <c r="BS814">
        <f>'Revenue drivers'!BS575</f>
        <v>0</v>
      </c>
      <c r="BT814">
        <f>'Revenue drivers'!BT575</f>
        <v>0</v>
      </c>
      <c r="BU814">
        <f>'Revenue drivers'!BU575</f>
        <v>0</v>
      </c>
      <c r="BV814">
        <f>'Revenue drivers'!BV575</f>
        <v>0</v>
      </c>
      <c r="BW814">
        <f>'Revenue drivers'!BW575</f>
        <v>0</v>
      </c>
      <c r="BX814">
        <f>'Revenue drivers'!BX575</f>
        <v>0</v>
      </c>
      <c r="BY814">
        <f>'Revenue drivers'!BY575</f>
        <v>0</v>
      </c>
    </row>
    <row r="815" spans="9:77" ht="11.25" customHeight="1">
      <c r="I815" t="str">
        <f>'Revenue drivers'!I576</f>
        <v>Active Business Account per Sales Rep</v>
      </c>
      <c r="J815">
        <f>'Revenue drivers'!J576</f>
        <v>0</v>
      </c>
      <c r="K815">
        <f>'Revenue drivers'!K576</f>
        <v>0</v>
      </c>
      <c r="L815">
        <f>'Revenue drivers'!L576</f>
        <v>0</v>
      </c>
      <c r="M815">
        <f>'Revenue drivers'!M576</f>
        <v>0</v>
      </c>
      <c r="N815">
        <f>'Revenue drivers'!N576</f>
        <v>0</v>
      </c>
      <c r="O815">
        <f>'Revenue drivers'!O576</f>
        <v>0</v>
      </c>
      <c r="P815">
        <f>'Revenue drivers'!P576</f>
        <v>0</v>
      </c>
      <c r="Q815">
        <f>'Revenue drivers'!Q576</f>
        <v>0</v>
      </c>
      <c r="R815">
        <f>'Revenue drivers'!R576</f>
        <v>0</v>
      </c>
      <c r="S815">
        <f>'Revenue drivers'!S576</f>
        <v>0</v>
      </c>
      <c r="T815">
        <f>'Revenue drivers'!T576</f>
        <v>0</v>
      </c>
      <c r="U815">
        <f>'Revenue drivers'!U576</f>
        <v>0</v>
      </c>
      <c r="V815">
        <f>'Revenue drivers'!V576</f>
        <v>0</v>
      </c>
      <c r="W815">
        <f>'Revenue drivers'!W576</f>
        <v>0</v>
      </c>
      <c r="X815">
        <f>'Revenue drivers'!X576</f>
        <v>0</v>
      </c>
      <c r="Y815">
        <f>'Revenue drivers'!Y576</f>
        <v>56.970588235294123</v>
      </c>
      <c r="Z815">
        <f>'Revenue drivers'!Z576</f>
        <v>62.303030303030305</v>
      </c>
      <c r="AA815">
        <f>'Revenue drivers'!AA576</f>
        <v>60.21052631578948</v>
      </c>
      <c r="AB815">
        <f>'Revenue drivers'!AB576</f>
        <v>62.511627906976742</v>
      </c>
      <c r="AC815">
        <f>'Revenue drivers'!AC576</f>
        <v>62.978723404255327</v>
      </c>
      <c r="AD815">
        <f>'Revenue drivers'!AD576</f>
        <v>61.46153846153846</v>
      </c>
      <c r="AE815">
        <f>'Revenue drivers'!AE576</f>
        <v>59.448275862068968</v>
      </c>
      <c r="AF815">
        <f>'Revenue drivers'!AF576</f>
        <v>60.451612903225808</v>
      </c>
      <c r="AG815">
        <f>'Revenue drivers'!AG576</f>
        <v>63.301587301587304</v>
      </c>
      <c r="AH815">
        <f>'Revenue drivers'!AH576</f>
        <v>63.104477611940297</v>
      </c>
      <c r="AI815">
        <f>'Revenue drivers'!AI576</f>
        <v>58.545454545454547</v>
      </c>
      <c r="AJ815">
        <f>'Revenue drivers'!AJ576</f>
        <v>56.604651162790695</v>
      </c>
      <c r="AK815">
        <f>'Revenue drivers'!AK576</f>
        <v>58.088888888888881</v>
      </c>
      <c r="AL815">
        <f>'Revenue drivers'!AL576</f>
        <v>59.446808510638292</v>
      </c>
      <c r="AM815">
        <f>'Revenue drivers'!AM576</f>
        <v>60.693877551020407</v>
      </c>
      <c r="AN815">
        <f>'Revenue drivers'!AN576</f>
        <v>63.717171717171716</v>
      </c>
      <c r="AO815">
        <f>'Revenue drivers'!AO576</f>
        <v>66.679999999999993</v>
      </c>
      <c r="AP815">
        <f>'Revenue drivers'!AP576</f>
        <v>67.57692307692308</v>
      </c>
      <c r="AQ815">
        <f>'Revenue drivers'!AQ576</f>
        <v>68.407407407407405</v>
      </c>
      <c r="AR815">
        <f>'Revenue drivers'!AR576</f>
        <v>69.178571428571416</v>
      </c>
      <c r="AS815">
        <f>'Revenue drivers'!AS576</f>
        <v>69.896551724137936</v>
      </c>
      <c r="AT815">
        <f>'Revenue drivers'!AT576</f>
        <v>70.566666666666663</v>
      </c>
      <c r="AU815">
        <f>'Revenue drivers'!AU576</f>
        <v>71.481781376518214</v>
      </c>
      <c r="AV815">
        <f>'Revenue drivers'!AV576</f>
        <v>72.632411067193672</v>
      </c>
      <c r="AW815">
        <f>'Revenue drivers'!AW576</f>
        <v>73.446153846153848</v>
      </c>
      <c r="AX815">
        <f>'Revenue drivers'!AX576</f>
        <v>73.940298507462686</v>
      </c>
      <c r="AY815">
        <f>'Revenue drivers'!AY576</f>
        <v>74.676363636363632</v>
      </c>
      <c r="AZ815">
        <f>'Revenue drivers'!AZ576</f>
        <v>75.914285714285711</v>
      </c>
      <c r="BA815">
        <f>'Revenue drivers'!BA576</f>
        <v>77.054698457222997</v>
      </c>
      <c r="BB815">
        <f>'Revenue drivers'!BB576</f>
        <v>77.83264746227708</v>
      </c>
      <c r="BC815">
        <f>'Revenue drivers'!BC576</f>
        <v>78.894878706199464</v>
      </c>
      <c r="BD815">
        <f>'Revenue drivers'!BD576</f>
        <v>80.346205059920095</v>
      </c>
      <c r="BE815">
        <f>'Revenue drivers'!BE576</f>
        <v>0</v>
      </c>
      <c r="BF815">
        <f>'Revenue drivers'!BF576</f>
        <v>0</v>
      </c>
      <c r="BG815">
        <f>'Revenue drivers'!BG576</f>
        <v>0</v>
      </c>
      <c r="BH815">
        <f>'Revenue drivers'!BH576</f>
        <v>0</v>
      </c>
      <c r="BI815">
        <f>'Revenue drivers'!BI576</f>
        <v>0</v>
      </c>
      <c r="BJ815">
        <f>'Revenue drivers'!BJ576</f>
        <v>0</v>
      </c>
      <c r="BK815">
        <f>'Revenue drivers'!BK576</f>
        <v>0</v>
      </c>
      <c r="BL815">
        <f>'Revenue drivers'!BL576</f>
        <v>74.36</v>
      </c>
      <c r="BM815">
        <f>'Revenue drivers'!BM576</f>
        <v>71.901234567901241</v>
      </c>
      <c r="BN815">
        <f>'Revenue drivers'!BN576</f>
        <v>70.716981132075475</v>
      </c>
      <c r="BO815">
        <f>'Revenue drivers'!BO576</f>
        <v>64.906666666666666</v>
      </c>
      <c r="BP815">
        <f>'Revenue drivers'!BP576</f>
        <v>0</v>
      </c>
      <c r="BQ815">
        <f>'Revenue drivers'!BQ576</f>
        <v>0</v>
      </c>
      <c r="BR815">
        <f>'Revenue drivers'!BR576</f>
        <v>0</v>
      </c>
      <c r="BS815">
        <f>'Revenue drivers'!BS576</f>
        <v>0</v>
      </c>
      <c r="BT815">
        <f>'Revenue drivers'!BT576</f>
        <v>0</v>
      </c>
      <c r="BU815">
        <f>'Revenue drivers'!BU576</f>
        <v>0</v>
      </c>
      <c r="BV815">
        <f>'Revenue drivers'!BV576</f>
        <v>0</v>
      </c>
      <c r="BW815">
        <f>'Revenue drivers'!BW576</f>
        <v>0</v>
      </c>
      <c r="BX815">
        <f>'Revenue drivers'!BX576</f>
        <v>0</v>
      </c>
      <c r="BY815">
        <f>'Revenue drivers'!BY576</f>
        <v>0</v>
      </c>
    </row>
    <row r="816" spans="9:77" ht="11.25" customHeight="1">
      <c r="I816" t="str">
        <f>'Revenue drivers'!I577</f>
        <v>abs  change Y/Y</v>
      </c>
      <c r="J816">
        <f>'Revenue drivers'!J577</f>
        <v>0</v>
      </c>
      <c r="K816">
        <f>'Revenue drivers'!K577</f>
        <v>0</v>
      </c>
      <c r="L816">
        <f>'Revenue drivers'!L577</f>
        <v>0</v>
      </c>
      <c r="M816">
        <f>'Revenue drivers'!M577</f>
        <v>0</v>
      </c>
      <c r="N816">
        <f>'Revenue drivers'!N577</f>
        <v>0</v>
      </c>
      <c r="O816">
        <f>'Revenue drivers'!O577</f>
        <v>0</v>
      </c>
      <c r="P816">
        <f>'Revenue drivers'!P577</f>
        <v>0</v>
      </c>
      <c r="Q816">
        <f>'Revenue drivers'!Q577</f>
        <v>0</v>
      </c>
      <c r="R816">
        <f>'Revenue drivers'!R577</f>
        <v>0</v>
      </c>
      <c r="S816">
        <f>'Revenue drivers'!S577</f>
        <v>0</v>
      </c>
      <c r="T816">
        <f>'Revenue drivers'!T577</f>
        <v>0</v>
      </c>
      <c r="U816">
        <f>'Revenue drivers'!U577</f>
        <v>0</v>
      </c>
      <c r="V816">
        <f>'Revenue drivers'!V577</f>
        <v>0</v>
      </c>
      <c r="W816">
        <f>'Revenue drivers'!W577</f>
        <v>0</v>
      </c>
      <c r="X816">
        <f>'Revenue drivers'!X577</f>
        <v>0</v>
      </c>
      <c r="Y816">
        <f>'Revenue drivers'!Y577</f>
        <v>0</v>
      </c>
      <c r="Z816">
        <f>'Revenue drivers'!Z577</f>
        <v>0</v>
      </c>
      <c r="AA816">
        <f>'Revenue drivers'!AA577</f>
        <v>0</v>
      </c>
      <c r="AB816">
        <f>'Revenue drivers'!AB577</f>
        <v>0</v>
      </c>
      <c r="AC816">
        <f>'Revenue drivers'!AC577</f>
        <v>6.0081351689612035</v>
      </c>
      <c r="AD816">
        <f>'Revenue drivers'!AD577</f>
        <v>-0.84149184149184464</v>
      </c>
      <c r="AE816">
        <f>'Revenue drivers'!AE577</f>
        <v>-0.7622504537205117</v>
      </c>
      <c r="AF816">
        <f>'Revenue drivers'!AF577</f>
        <v>-2.0600150037509337</v>
      </c>
      <c r="AG816">
        <f>'Revenue drivers'!AG577</f>
        <v>0.32286389733197751</v>
      </c>
      <c r="AH816">
        <f>'Revenue drivers'!AH577</f>
        <v>1.6429391504018369</v>
      </c>
      <c r="AI816">
        <f>'Revenue drivers'!AI577</f>
        <v>-0.90282131661442122</v>
      </c>
      <c r="AJ816">
        <f>'Revenue drivers'!AJ577</f>
        <v>-3.8469617404351126</v>
      </c>
      <c r="AK816">
        <f>'Revenue drivers'!AK577</f>
        <v>-5.2126984126984226</v>
      </c>
      <c r="AL816">
        <f>'Revenue drivers'!AL577</f>
        <v>-3.6576691013020053</v>
      </c>
      <c r="AM816">
        <f>'Revenue drivers'!AM577</f>
        <v>2.14842300556586</v>
      </c>
      <c r="AN816">
        <f>'Revenue drivers'!AN577</f>
        <v>7.112520554381021</v>
      </c>
      <c r="AO816">
        <f>'Revenue drivers'!AO577</f>
        <v>8.5911111111111111</v>
      </c>
      <c r="AP816">
        <f>'Revenue drivers'!AP577</f>
        <v>8.1301145662847887</v>
      </c>
      <c r="AQ816">
        <f>'Revenue drivers'!AQ577</f>
        <v>7.7135298563869981</v>
      </c>
      <c r="AR816">
        <f>'Revenue drivers'!AR577</f>
        <v>5.4613997113997002</v>
      </c>
      <c r="AS816">
        <f>'Revenue drivers'!AS577</f>
        <v>3.2165517241379433</v>
      </c>
      <c r="AT816">
        <f>'Revenue drivers'!AT577</f>
        <v>2.9897435897435827</v>
      </c>
      <c r="AU816">
        <f>'Revenue drivers'!AU577</f>
        <v>3.074373969110809</v>
      </c>
      <c r="AV816">
        <f>'Revenue drivers'!AV577</f>
        <v>3.4538396386222558</v>
      </c>
      <c r="AW816">
        <f>'Revenue drivers'!AW577</f>
        <v>3.5496021220159122</v>
      </c>
      <c r="AX816">
        <f>'Revenue drivers'!AX577</f>
        <v>3.3736318407960226</v>
      </c>
      <c r="AY816">
        <f>'Revenue drivers'!AY577</f>
        <v>3.1945822598454185</v>
      </c>
      <c r="AZ816">
        <f>'Revenue drivers'!AZ577</f>
        <v>3.2818746470920388</v>
      </c>
      <c r="BA816">
        <f>'Revenue drivers'!BA577</f>
        <v>3.6085446110691493</v>
      </c>
      <c r="BB816">
        <f>'Revenue drivers'!BB577</f>
        <v>3.8923489548143948</v>
      </c>
      <c r="BC816">
        <f>'Revenue drivers'!BC577</f>
        <v>4.2185150698358314</v>
      </c>
      <c r="BD816">
        <f>'Revenue drivers'!BD577</f>
        <v>4.4319193456343839</v>
      </c>
      <c r="BE816">
        <f>'Revenue drivers'!BE577</f>
        <v>0</v>
      </c>
      <c r="BF816">
        <f>'Revenue drivers'!BF577</f>
        <v>0</v>
      </c>
      <c r="BG816">
        <f>'Revenue drivers'!BG577</f>
        <v>0</v>
      </c>
      <c r="BH816">
        <f>'Revenue drivers'!BH577</f>
        <v>0</v>
      </c>
      <c r="BI816">
        <f>'Revenue drivers'!BI577</f>
        <v>0</v>
      </c>
      <c r="BJ816">
        <f>'Revenue drivers'!BJ577</f>
        <v>0</v>
      </c>
      <c r="BK816">
        <f>'Revenue drivers'!BK577</f>
        <v>0</v>
      </c>
      <c r="BL816" t="str">
        <f>'Revenue drivers'!BL577</f>
        <v>NA</v>
      </c>
      <c r="BM816">
        <f>'Revenue drivers'!BM577</f>
        <v>-2.4587654320987582</v>
      </c>
      <c r="BN816">
        <f>'Revenue drivers'!BN577</f>
        <v>-1.1842534358257666</v>
      </c>
      <c r="BO816">
        <f>'Revenue drivers'!BO577</f>
        <v>-5.8103144654088084</v>
      </c>
      <c r="BP816">
        <f>'Revenue drivers'!BP577</f>
        <v>0</v>
      </c>
      <c r="BQ816">
        <f>'Revenue drivers'!BQ577</f>
        <v>0</v>
      </c>
      <c r="BR816">
        <f>'Revenue drivers'!BR577</f>
        <v>0</v>
      </c>
      <c r="BS816">
        <f>'Revenue drivers'!BS577</f>
        <v>0</v>
      </c>
      <c r="BT816">
        <f>'Revenue drivers'!BT577</f>
        <v>0</v>
      </c>
      <c r="BU816">
        <f>'Revenue drivers'!BU577</f>
        <v>0</v>
      </c>
      <c r="BV816">
        <f>'Revenue drivers'!BV577</f>
        <v>0</v>
      </c>
      <c r="BW816">
        <f>'Revenue drivers'!BW577</f>
        <v>0</v>
      </c>
      <c r="BX816">
        <f>'Revenue drivers'!BX577</f>
        <v>0</v>
      </c>
      <c r="BY816">
        <f>'Revenue drivers'!BY577</f>
        <v>0</v>
      </c>
    </row>
    <row r="817" spans="9:77" ht="11.25" customHeight="1">
      <c r="I817">
        <f>'Revenue drivers'!I578</f>
        <v>0</v>
      </c>
      <c r="J817">
        <f>'Revenue drivers'!J578</f>
        <v>0</v>
      </c>
      <c r="K817">
        <f>'Revenue drivers'!K578</f>
        <v>0</v>
      </c>
      <c r="L817">
        <f>'Revenue drivers'!L578</f>
        <v>0</v>
      </c>
      <c r="M817">
        <f>'Revenue drivers'!M578</f>
        <v>0</v>
      </c>
      <c r="N817">
        <f>'Revenue drivers'!N578</f>
        <v>0</v>
      </c>
      <c r="O817">
        <f>'Revenue drivers'!O578</f>
        <v>0</v>
      </c>
      <c r="P817">
        <f>'Revenue drivers'!P578</f>
        <v>0</v>
      </c>
      <c r="Q817">
        <f>'Revenue drivers'!Q578</f>
        <v>0</v>
      </c>
      <c r="R817">
        <f>'Revenue drivers'!R578</f>
        <v>0</v>
      </c>
      <c r="S817">
        <f>'Revenue drivers'!S578</f>
        <v>0</v>
      </c>
      <c r="T817">
        <f>'Revenue drivers'!T578</f>
        <v>0</v>
      </c>
      <c r="U817">
        <f>'Revenue drivers'!U578</f>
        <v>0</v>
      </c>
      <c r="V817">
        <f>'Revenue drivers'!V578</f>
        <v>0</v>
      </c>
      <c r="W817">
        <f>'Revenue drivers'!W578</f>
        <v>0</v>
      </c>
      <c r="X817">
        <f>'Revenue drivers'!X578</f>
        <v>0</v>
      </c>
      <c r="Y817">
        <f>'Revenue drivers'!Y578</f>
        <v>0</v>
      </c>
      <c r="Z817">
        <f>'Revenue drivers'!Z578</f>
        <v>0</v>
      </c>
      <c r="AA817">
        <f>'Revenue drivers'!AA578</f>
        <v>0</v>
      </c>
      <c r="AB817">
        <f>'Revenue drivers'!AB578</f>
        <v>0</v>
      </c>
      <c r="AC817">
        <f>'Revenue drivers'!AC578</f>
        <v>0</v>
      </c>
      <c r="AD817">
        <f>'Revenue drivers'!AD578</f>
        <v>0</v>
      </c>
      <c r="AE817">
        <f>'Revenue drivers'!AE578</f>
        <v>0</v>
      </c>
      <c r="AF817">
        <f>'Revenue drivers'!AF578</f>
        <v>0</v>
      </c>
      <c r="AG817">
        <f>'Revenue drivers'!AG578</f>
        <v>0</v>
      </c>
      <c r="AH817">
        <f>'Revenue drivers'!AH578</f>
        <v>0</v>
      </c>
      <c r="AI817">
        <f>'Revenue drivers'!AI578</f>
        <v>0</v>
      </c>
      <c r="AJ817">
        <f>'Revenue drivers'!AJ578</f>
        <v>0</v>
      </c>
      <c r="AK817">
        <f>'Revenue drivers'!AK578</f>
        <v>0</v>
      </c>
      <c r="AL817">
        <f>'Revenue drivers'!AL578</f>
        <v>0</v>
      </c>
      <c r="AM817">
        <f>'Revenue drivers'!AM578</f>
        <v>0</v>
      </c>
      <c r="AN817">
        <f>'Revenue drivers'!AN578</f>
        <v>0</v>
      </c>
      <c r="AO817">
        <f>'Revenue drivers'!AO578</f>
        <v>0</v>
      </c>
      <c r="AP817">
        <f>'Revenue drivers'!AP578</f>
        <v>0</v>
      </c>
      <c r="AQ817">
        <f>'Revenue drivers'!AQ578</f>
        <v>0</v>
      </c>
      <c r="AR817">
        <f>'Revenue drivers'!AR578</f>
        <v>0</v>
      </c>
      <c r="AS817">
        <f>'Revenue drivers'!AS578</f>
        <v>0</v>
      </c>
      <c r="AT817">
        <f>'Revenue drivers'!AT578</f>
        <v>0</v>
      </c>
      <c r="AU817">
        <f>'Revenue drivers'!AU578</f>
        <v>0</v>
      </c>
      <c r="AV817">
        <f>'Revenue drivers'!AV578</f>
        <v>0</v>
      </c>
      <c r="AW817">
        <f>'Revenue drivers'!AW578</f>
        <v>0</v>
      </c>
      <c r="AX817">
        <f>'Revenue drivers'!AX578</f>
        <v>0</v>
      </c>
      <c r="AY817">
        <f>'Revenue drivers'!AY578</f>
        <v>0</v>
      </c>
      <c r="AZ817">
        <f>'Revenue drivers'!AZ578</f>
        <v>0</v>
      </c>
      <c r="BA817">
        <f>'Revenue drivers'!BA578</f>
        <v>0</v>
      </c>
      <c r="BB817">
        <f>'Revenue drivers'!BB578</f>
        <v>0</v>
      </c>
      <c r="BC817">
        <f>'Revenue drivers'!BC578</f>
        <v>0</v>
      </c>
      <c r="BD817">
        <f>'Revenue drivers'!BD578</f>
        <v>0</v>
      </c>
      <c r="BE817">
        <f>'Revenue drivers'!BE578</f>
        <v>0</v>
      </c>
      <c r="BF817">
        <f>'Revenue drivers'!BF578</f>
        <v>0</v>
      </c>
      <c r="BG817">
        <f>'Revenue drivers'!BG578</f>
        <v>0</v>
      </c>
      <c r="BH817">
        <f>'Revenue drivers'!BH578</f>
        <v>0</v>
      </c>
      <c r="BI817">
        <f>'Revenue drivers'!BI578</f>
        <v>0</v>
      </c>
      <c r="BJ817">
        <f>'Revenue drivers'!BJ578</f>
        <v>0</v>
      </c>
      <c r="BK817">
        <f>'Revenue drivers'!BK578</f>
        <v>0</v>
      </c>
      <c r="BL817">
        <f>'Revenue drivers'!BL578</f>
        <v>0</v>
      </c>
      <c r="BM817">
        <f>'Revenue drivers'!BM578</f>
        <v>0</v>
      </c>
      <c r="BN817">
        <f>'Revenue drivers'!BN578</f>
        <v>0</v>
      </c>
      <c r="BO817">
        <f>'Revenue drivers'!BO578</f>
        <v>0</v>
      </c>
      <c r="BP817">
        <f>'Revenue drivers'!BP578</f>
        <v>0</v>
      </c>
      <c r="BQ817">
        <f>'Revenue drivers'!BQ578</f>
        <v>0</v>
      </c>
      <c r="BR817">
        <f>'Revenue drivers'!BR578</f>
        <v>0</v>
      </c>
      <c r="BS817">
        <f>'Revenue drivers'!BS578</f>
        <v>0</v>
      </c>
      <c r="BT817">
        <f>'Revenue drivers'!BT578</f>
        <v>0</v>
      </c>
      <c r="BU817">
        <f>'Revenue drivers'!BU578</f>
        <v>0</v>
      </c>
      <c r="BV817">
        <f>'Revenue drivers'!BV578</f>
        <v>0</v>
      </c>
      <c r="BW817">
        <f>'Revenue drivers'!BW578</f>
        <v>0</v>
      </c>
      <c r="BX817">
        <f>'Revenue drivers'!BX578</f>
        <v>0</v>
      </c>
      <c r="BY817">
        <f>'Revenue drivers'!BY578</f>
        <v>0</v>
      </c>
    </row>
    <row r="818" spans="9:77" ht="11.25" customHeight="1">
      <c r="I818" t="str">
        <f>'Revenue drivers'!I579</f>
        <v>Sales Headcount</v>
      </c>
      <c r="J818">
        <f>'Revenue drivers'!J579</f>
        <v>0</v>
      </c>
      <c r="K818">
        <f>'Revenue drivers'!K579</f>
        <v>0</v>
      </c>
      <c r="L818">
        <f>'Revenue drivers'!L579</f>
        <v>0</v>
      </c>
      <c r="M818">
        <f>'Revenue drivers'!M579</f>
        <v>0</v>
      </c>
      <c r="N818">
        <f>'Revenue drivers'!N579</f>
        <v>0</v>
      </c>
      <c r="O818">
        <f>'Revenue drivers'!O579</f>
        <v>0</v>
      </c>
      <c r="P818">
        <f>'Revenue drivers'!P579</f>
        <v>0</v>
      </c>
      <c r="Q818">
        <f>'Revenue drivers'!Q579</f>
        <v>0</v>
      </c>
      <c r="R818">
        <f>'Revenue drivers'!R579</f>
        <v>0</v>
      </c>
      <c r="S818">
        <f>'Revenue drivers'!S579</f>
        <v>0</v>
      </c>
      <c r="T818">
        <f>'Revenue drivers'!T579</f>
        <v>0</v>
      </c>
      <c r="U818">
        <f>'Revenue drivers'!U579</f>
        <v>533.33333333333337</v>
      </c>
      <c r="V818">
        <f>'Revenue drivers'!V579</f>
        <v>566.66666666666663</v>
      </c>
      <c r="W818">
        <f>'Revenue drivers'!W579</f>
        <v>686.27450980392155</v>
      </c>
      <c r="X818">
        <f>'Revenue drivers'!X579</f>
        <v>769.23076923076928</v>
      </c>
      <c r="Y818">
        <f>'Revenue drivers'!Y579</f>
        <v>800</v>
      </c>
      <c r="Z818">
        <f>'Revenue drivers'!Z579</f>
        <v>850</v>
      </c>
      <c r="AA818">
        <f>'Revenue drivers'!AA579</f>
        <v>1050</v>
      </c>
      <c r="AB818">
        <f>'Revenue drivers'!AB579</f>
        <v>1100</v>
      </c>
      <c r="AC818">
        <f>'Revenue drivers'!AC579</f>
        <v>1250</v>
      </c>
      <c r="AD818">
        <f>'Revenue drivers'!AD579</f>
        <v>1350</v>
      </c>
      <c r="AE818">
        <f>'Revenue drivers'!AE579</f>
        <v>1550</v>
      </c>
      <c r="AF818">
        <f>'Revenue drivers'!AF579</f>
        <v>1550</v>
      </c>
      <c r="AG818">
        <f>'Revenue drivers'!AG579</f>
        <v>1600</v>
      </c>
      <c r="AH818">
        <f>'Revenue drivers'!AH579</f>
        <v>1750</v>
      </c>
      <c r="AI818">
        <f>'Revenue drivers'!AI579</f>
        <v>2100</v>
      </c>
      <c r="AJ818">
        <f>'Revenue drivers'!AJ579</f>
        <v>2200</v>
      </c>
      <c r="AK818">
        <f>'Revenue drivers'!AK579</f>
        <v>2300</v>
      </c>
      <c r="AL818">
        <f>'Revenue drivers'!AL579</f>
        <v>2400</v>
      </c>
      <c r="AM818">
        <f>'Revenue drivers'!AM579</f>
        <v>2500</v>
      </c>
      <c r="AN818">
        <f>'Revenue drivers'!AN579</f>
        <v>2450</v>
      </c>
      <c r="AO818">
        <f>'Revenue drivers'!AO579</f>
        <v>2550</v>
      </c>
      <c r="AP818">
        <f>'Revenue drivers'!AP579</f>
        <v>2650</v>
      </c>
      <c r="AQ818">
        <f>'Revenue drivers'!AQ579</f>
        <v>2750</v>
      </c>
      <c r="AR818">
        <f>'Revenue drivers'!AR579</f>
        <v>2850</v>
      </c>
      <c r="AS818">
        <f>'Revenue drivers'!AS579</f>
        <v>2950</v>
      </c>
      <c r="AT818">
        <f>'Revenue drivers'!AT579</f>
        <v>3050</v>
      </c>
      <c r="AU818">
        <f>'Revenue drivers'!AU579</f>
        <v>3125</v>
      </c>
      <c r="AV818">
        <f>'Revenue drivers'!AV579</f>
        <v>3200</v>
      </c>
      <c r="AW818">
        <f>'Revenue drivers'!AW579</f>
        <v>3300</v>
      </c>
      <c r="AX818">
        <f>'Revenue drivers'!AX579</f>
        <v>3400</v>
      </c>
      <c r="AY818">
        <f>'Revenue drivers'!AY579</f>
        <v>3475</v>
      </c>
      <c r="AZ818">
        <f>'Revenue drivers'!AZ579</f>
        <v>3525</v>
      </c>
      <c r="BA818">
        <f>'Revenue drivers'!BA579</f>
        <v>3605</v>
      </c>
      <c r="BB818">
        <f>'Revenue drivers'!BB579</f>
        <v>3685</v>
      </c>
      <c r="BC818">
        <f>'Revenue drivers'!BC579</f>
        <v>3735</v>
      </c>
      <c r="BD818">
        <f>'Revenue drivers'!BD579</f>
        <v>3775</v>
      </c>
      <c r="BE818">
        <f>'Revenue drivers'!BE579</f>
        <v>0</v>
      </c>
      <c r="BF818">
        <f>'Revenue drivers'!BF579</f>
        <v>0</v>
      </c>
      <c r="BG818">
        <f>'Revenue drivers'!BG579</f>
        <v>0</v>
      </c>
      <c r="BH818">
        <f>'Revenue drivers'!BH579</f>
        <v>0</v>
      </c>
      <c r="BI818">
        <f>'Revenue drivers'!BI579</f>
        <v>0</v>
      </c>
      <c r="BJ818">
        <f>'Revenue drivers'!BJ579</f>
        <v>0</v>
      </c>
      <c r="BK818">
        <f>'Revenue drivers'!BK579</f>
        <v>0</v>
      </c>
      <c r="BL818">
        <f>'Revenue drivers'!BL579</f>
        <v>769.23076923076928</v>
      </c>
      <c r="BM818">
        <f>'Revenue drivers'!BM579</f>
        <v>1100</v>
      </c>
      <c r="BN818">
        <f>'Revenue drivers'!BN579</f>
        <v>1550</v>
      </c>
      <c r="BO818">
        <f>'Revenue drivers'!BO579</f>
        <v>2200</v>
      </c>
      <c r="BP818">
        <f>'Revenue drivers'!BP579</f>
        <v>0</v>
      </c>
      <c r="BQ818">
        <f>'Revenue drivers'!BQ579</f>
        <v>0</v>
      </c>
      <c r="BR818">
        <f>'Revenue drivers'!BR579</f>
        <v>0</v>
      </c>
      <c r="BS818">
        <f>'Revenue drivers'!BS579</f>
        <v>0</v>
      </c>
      <c r="BT818">
        <f>'Revenue drivers'!BT579</f>
        <v>0</v>
      </c>
      <c r="BU818">
        <f>'Revenue drivers'!BU579</f>
        <v>0</v>
      </c>
      <c r="BV818">
        <f>'Revenue drivers'!BV579</f>
        <v>0</v>
      </c>
      <c r="BW818">
        <f>'Revenue drivers'!BW579</f>
        <v>0</v>
      </c>
      <c r="BX818">
        <f>'Revenue drivers'!BX579</f>
        <v>0</v>
      </c>
      <c r="BY818">
        <f>'Revenue drivers'!BY579</f>
        <v>0</v>
      </c>
    </row>
    <row r="819" spans="9:77" ht="11.25" customHeight="1">
      <c r="I819">
        <f>'Revenue drivers'!I580</f>
        <v>0</v>
      </c>
      <c r="J819">
        <f>'Revenue drivers'!J580</f>
        <v>0</v>
      </c>
      <c r="K819">
        <f>'Revenue drivers'!K580</f>
        <v>0</v>
      </c>
      <c r="L819">
        <f>'Revenue drivers'!L580</f>
        <v>0</v>
      </c>
      <c r="M819">
        <f>'Revenue drivers'!M580</f>
        <v>0</v>
      </c>
      <c r="N819">
        <f>'Revenue drivers'!N580</f>
        <v>0</v>
      </c>
      <c r="O819">
        <f>'Revenue drivers'!O580</f>
        <v>0</v>
      </c>
      <c r="P819">
        <f>'Revenue drivers'!P580</f>
        <v>0</v>
      </c>
      <c r="Q819">
        <f>'Revenue drivers'!Q580</f>
        <v>0</v>
      </c>
      <c r="R819">
        <f>'Revenue drivers'!R580</f>
        <v>0</v>
      </c>
      <c r="S819">
        <f>'Revenue drivers'!S580</f>
        <v>0</v>
      </c>
      <c r="T819">
        <f>'Revenue drivers'!T580</f>
        <v>0</v>
      </c>
      <c r="U819">
        <f>'Revenue drivers'!U580</f>
        <v>0</v>
      </c>
      <c r="V819">
        <f>'Revenue drivers'!V580</f>
        <v>0</v>
      </c>
      <c r="W819">
        <f>'Revenue drivers'!W580</f>
        <v>0</v>
      </c>
      <c r="X819">
        <f>'Revenue drivers'!X580</f>
        <v>0</v>
      </c>
      <c r="Y819">
        <f>'Revenue drivers'!Y580</f>
        <v>0</v>
      </c>
      <c r="Z819">
        <f>'Revenue drivers'!Z580</f>
        <v>0</v>
      </c>
      <c r="AA819">
        <f>'Revenue drivers'!AA580</f>
        <v>0</v>
      </c>
      <c r="AB819">
        <f>'Revenue drivers'!AB580</f>
        <v>0</v>
      </c>
      <c r="AC819">
        <f>'Revenue drivers'!AC580</f>
        <v>0</v>
      </c>
      <c r="AD819">
        <f>'Revenue drivers'!AD580</f>
        <v>0</v>
      </c>
      <c r="AE819">
        <f>'Revenue drivers'!AE580</f>
        <v>0</v>
      </c>
      <c r="AF819">
        <f>'Revenue drivers'!AF580</f>
        <v>0</v>
      </c>
      <c r="AG819">
        <f>'Revenue drivers'!AG580</f>
        <v>0</v>
      </c>
      <c r="AH819">
        <f>'Revenue drivers'!AH580</f>
        <v>0</v>
      </c>
      <c r="AI819">
        <f>'Revenue drivers'!AI580</f>
        <v>0</v>
      </c>
      <c r="AJ819">
        <f>'Revenue drivers'!AJ580</f>
        <v>0</v>
      </c>
      <c r="AK819">
        <f>'Revenue drivers'!AK580</f>
        <v>0</v>
      </c>
      <c r="AL819">
        <f>'Revenue drivers'!AL580</f>
        <v>0</v>
      </c>
      <c r="AM819">
        <f>'Revenue drivers'!AM580</f>
        <v>0</v>
      </c>
      <c r="AN819">
        <f>'Revenue drivers'!AN580</f>
        <v>0</v>
      </c>
      <c r="AO819">
        <f>'Revenue drivers'!AO580</f>
        <v>0</v>
      </c>
      <c r="AP819">
        <f>'Revenue drivers'!AP580</f>
        <v>0</v>
      </c>
      <c r="AQ819">
        <f>'Revenue drivers'!AQ580</f>
        <v>0</v>
      </c>
      <c r="AR819">
        <f>'Revenue drivers'!AR580</f>
        <v>0</v>
      </c>
      <c r="AS819">
        <f>'Revenue drivers'!AS580</f>
        <v>0</v>
      </c>
      <c r="AT819">
        <f>'Revenue drivers'!AT580</f>
        <v>0</v>
      </c>
      <c r="AU819">
        <f>'Revenue drivers'!AU580</f>
        <v>0</v>
      </c>
      <c r="AV819">
        <f>'Revenue drivers'!AV580</f>
        <v>0</v>
      </c>
      <c r="AW819">
        <f>'Revenue drivers'!AW580</f>
        <v>0</v>
      </c>
      <c r="AX819">
        <f>'Revenue drivers'!AX580</f>
        <v>0</v>
      </c>
      <c r="AY819">
        <f>'Revenue drivers'!AY580</f>
        <v>0</v>
      </c>
      <c r="AZ819">
        <f>'Revenue drivers'!AZ580</f>
        <v>0</v>
      </c>
      <c r="BA819">
        <f>'Revenue drivers'!BA580</f>
        <v>0</v>
      </c>
      <c r="BB819">
        <f>'Revenue drivers'!BB580</f>
        <v>0</v>
      </c>
      <c r="BC819">
        <f>'Revenue drivers'!BC580</f>
        <v>0</v>
      </c>
      <c r="BD819">
        <f>'Revenue drivers'!BD580</f>
        <v>0</v>
      </c>
      <c r="BE819">
        <f>'Revenue drivers'!BE580</f>
        <v>0</v>
      </c>
      <c r="BF819">
        <f>'Revenue drivers'!BF580</f>
        <v>0</v>
      </c>
      <c r="BG819">
        <f>'Revenue drivers'!BG580</f>
        <v>0</v>
      </c>
      <c r="BH819">
        <f>'Revenue drivers'!BH580</f>
        <v>0</v>
      </c>
      <c r="BI819">
        <f>'Revenue drivers'!BI580</f>
        <v>0</v>
      </c>
      <c r="BJ819">
        <f>'Revenue drivers'!BJ580</f>
        <v>0</v>
      </c>
      <c r="BK819">
        <f>'Revenue drivers'!BK580</f>
        <v>0</v>
      </c>
      <c r="BL819">
        <f>'Revenue drivers'!BL580</f>
        <v>0</v>
      </c>
      <c r="BM819">
        <f>'Revenue drivers'!BM580</f>
        <v>0</v>
      </c>
      <c r="BN819">
        <f>'Revenue drivers'!BN580</f>
        <v>0</v>
      </c>
      <c r="BO819">
        <f>'Revenue drivers'!BO580</f>
        <v>0</v>
      </c>
      <c r="BP819">
        <f>'Revenue drivers'!BP580</f>
        <v>0</v>
      </c>
      <c r="BQ819">
        <f>'Revenue drivers'!BQ580</f>
        <v>0</v>
      </c>
      <c r="BR819">
        <f>'Revenue drivers'!BR580</f>
        <v>0</v>
      </c>
      <c r="BS819">
        <f>'Revenue drivers'!BS580</f>
        <v>0</v>
      </c>
      <c r="BT819">
        <f>'Revenue drivers'!BT580</f>
        <v>0</v>
      </c>
      <c r="BU819">
        <f>'Revenue drivers'!BU580</f>
        <v>0</v>
      </c>
      <c r="BV819">
        <f>'Revenue drivers'!BV580</f>
        <v>0</v>
      </c>
      <c r="BW819">
        <f>'Revenue drivers'!BW580</f>
        <v>0</v>
      </c>
      <c r="BX819">
        <f>'Revenue drivers'!BX580</f>
        <v>0</v>
      </c>
      <c r="BY819">
        <f>'Revenue drivers'!BY580</f>
        <v>0</v>
      </c>
    </row>
    <row r="820" spans="9:77" ht="11.25" customHeight="1">
      <c r="I820" t="str">
        <f>'Revenue drivers'!I581</f>
        <v>Local Acts/Sales Rep (W/ 2Q Lag)</v>
      </c>
      <c r="J820">
        <f>'Revenue drivers'!J581</f>
        <v>0</v>
      </c>
      <c r="K820">
        <f>'Revenue drivers'!K581</f>
        <v>0</v>
      </c>
      <c r="L820">
        <f>'Revenue drivers'!L581</f>
        <v>0</v>
      </c>
      <c r="M820">
        <f>'Revenue drivers'!M581</f>
        <v>0</v>
      </c>
      <c r="N820">
        <f>'Revenue drivers'!N581</f>
        <v>0</v>
      </c>
      <c r="O820">
        <f>'Revenue drivers'!O581</f>
        <v>0</v>
      </c>
      <c r="P820">
        <f>'Revenue drivers'!P581</f>
        <v>0</v>
      </c>
      <c r="Q820">
        <f>'Revenue drivers'!Q581</f>
        <v>0</v>
      </c>
      <c r="R820">
        <f>'Revenue drivers'!R581</f>
        <v>0</v>
      </c>
      <c r="S820">
        <f>'Revenue drivers'!S581</f>
        <v>0</v>
      </c>
      <c r="T820">
        <f>'Revenue drivers'!T581</f>
        <v>0</v>
      </c>
      <c r="U820">
        <f>'Revenue drivers'!U581</f>
        <v>0</v>
      </c>
      <c r="V820">
        <f>'Revenue drivers'!V581</f>
        <v>0</v>
      </c>
      <c r="W820">
        <f>'Revenue drivers'!W581</f>
        <v>7.8749999999999973</v>
      </c>
      <c r="X820">
        <f>'Revenue drivers'!X581</f>
        <v>6.7058823529411722</v>
      </c>
      <c r="Y820">
        <f>'Revenue drivers'!Y581</f>
        <v>7.1400000000000086</v>
      </c>
      <c r="Z820">
        <f>'Revenue drivers'!Z581</f>
        <v>8.7099999999999937</v>
      </c>
      <c r="AA820">
        <f>'Revenue drivers'!AA581</f>
        <v>7.2500000000000053</v>
      </c>
      <c r="AB820">
        <f>'Revenue drivers'!AB581</f>
        <v>11.764705882352942</v>
      </c>
      <c r="AC820">
        <f>'Revenue drivers'!AC581</f>
        <v>6.4761904761904736</v>
      </c>
      <c r="AD820">
        <f>'Revenue drivers'!AD581</f>
        <v>5.3636363636363686</v>
      </c>
      <c r="AE820">
        <f>'Revenue drivers'!AE581</f>
        <v>5.0399999999999983</v>
      </c>
      <c r="AF820">
        <f>'Revenue drivers'!AF581</f>
        <v>5.5555555555555554</v>
      </c>
      <c r="AG820">
        <f>'Revenue drivers'!AG581</f>
        <v>0</v>
      </c>
      <c r="AH820">
        <f>'Revenue drivers'!AH581</f>
        <v>0</v>
      </c>
      <c r="AI820">
        <f>'Revenue drivers'!AI581</f>
        <v>0</v>
      </c>
      <c r="AJ820">
        <f>'Revenue drivers'!AJ581</f>
        <v>0</v>
      </c>
      <c r="AK820">
        <f>'Revenue drivers'!AK581</f>
        <v>0</v>
      </c>
      <c r="AL820">
        <f>'Revenue drivers'!AL581</f>
        <v>0</v>
      </c>
      <c r="AM820">
        <f>'Revenue drivers'!AM581</f>
        <v>0</v>
      </c>
      <c r="AN820">
        <f>'Revenue drivers'!AN581</f>
        <v>0</v>
      </c>
      <c r="AO820">
        <f>'Revenue drivers'!AO581</f>
        <v>0</v>
      </c>
      <c r="AP820">
        <f>'Revenue drivers'!AP581</f>
        <v>0</v>
      </c>
      <c r="AQ820">
        <f>'Revenue drivers'!AQ581</f>
        <v>0</v>
      </c>
      <c r="AR820">
        <f>'Revenue drivers'!AR581</f>
        <v>0</v>
      </c>
      <c r="AS820">
        <f>'Revenue drivers'!AS581</f>
        <v>0</v>
      </c>
      <c r="AT820">
        <f>'Revenue drivers'!AT581</f>
        <v>0</v>
      </c>
      <c r="AU820">
        <f>'Revenue drivers'!AU581</f>
        <v>0</v>
      </c>
      <c r="AV820">
        <f>'Revenue drivers'!AV581</f>
        <v>0</v>
      </c>
      <c r="AW820">
        <f>'Revenue drivers'!AW581</f>
        <v>0</v>
      </c>
      <c r="AX820">
        <f>'Revenue drivers'!AX581</f>
        <v>0</v>
      </c>
      <c r="AY820">
        <f>'Revenue drivers'!AY581</f>
        <v>0</v>
      </c>
      <c r="AZ820">
        <f>'Revenue drivers'!AZ581</f>
        <v>0</v>
      </c>
      <c r="BA820">
        <f>'Revenue drivers'!BA581</f>
        <v>0</v>
      </c>
      <c r="BB820">
        <f>'Revenue drivers'!BB581</f>
        <v>0</v>
      </c>
      <c r="BC820">
        <f>'Revenue drivers'!BC581</f>
        <v>0</v>
      </c>
      <c r="BD820">
        <f>'Revenue drivers'!BD581</f>
        <v>0</v>
      </c>
      <c r="BE820">
        <f>'Revenue drivers'!BE581</f>
        <v>0</v>
      </c>
      <c r="BF820">
        <f>'Revenue drivers'!BF581</f>
        <v>0</v>
      </c>
      <c r="BG820">
        <f>'Revenue drivers'!BG581</f>
        <v>0</v>
      </c>
      <c r="BH820">
        <f>'Revenue drivers'!BH581</f>
        <v>0</v>
      </c>
      <c r="BI820">
        <f>'Revenue drivers'!BI581</f>
        <v>0</v>
      </c>
      <c r="BJ820">
        <f>'Revenue drivers'!BJ581</f>
        <v>0</v>
      </c>
      <c r="BK820">
        <f>'Revenue drivers'!BK581</f>
        <v>0</v>
      </c>
      <c r="BL820">
        <f>'Revenue drivers'!BL581</f>
        <v>0</v>
      </c>
      <c r="BM820">
        <f>'Revenue drivers'!BM581</f>
        <v>0</v>
      </c>
      <c r="BN820">
        <f>'Revenue drivers'!BN581</f>
        <v>0</v>
      </c>
      <c r="BO820">
        <f>'Revenue drivers'!BO581</f>
        <v>0</v>
      </c>
      <c r="BP820">
        <f>'Revenue drivers'!BP581</f>
        <v>0</v>
      </c>
      <c r="BQ820">
        <f>'Revenue drivers'!BQ581</f>
        <v>0</v>
      </c>
      <c r="BR820">
        <f>'Revenue drivers'!BR581</f>
        <v>0</v>
      </c>
      <c r="BS820">
        <f>'Revenue drivers'!BS581</f>
        <v>0</v>
      </c>
      <c r="BT820">
        <f>'Revenue drivers'!BT581</f>
        <v>0</v>
      </c>
      <c r="BU820">
        <f>'Revenue drivers'!BU581</f>
        <v>0</v>
      </c>
      <c r="BV820">
        <f>'Revenue drivers'!BV581</f>
        <v>0</v>
      </c>
      <c r="BW820">
        <f>'Revenue drivers'!BW581</f>
        <v>0</v>
      </c>
      <c r="BX820">
        <f>'Revenue drivers'!BX581</f>
        <v>0</v>
      </c>
      <c r="BY820">
        <f>'Revenue drivers'!BY581</f>
        <v>0</v>
      </c>
    </row>
    <row r="821" spans="9:77" ht="11.25" customHeight="1">
      <c r="I821" t="str">
        <f>'Revenue drivers'!I582</f>
        <v>YoY % Change</v>
      </c>
      <c r="J821">
        <f>'Revenue drivers'!J582</f>
        <v>0</v>
      </c>
      <c r="K821">
        <f>'Revenue drivers'!K582</f>
        <v>0</v>
      </c>
      <c r="L821">
        <f>'Revenue drivers'!L582</f>
        <v>0</v>
      </c>
      <c r="M821">
        <f>'Revenue drivers'!M582</f>
        <v>0</v>
      </c>
      <c r="N821">
        <f>'Revenue drivers'!N582</f>
        <v>0</v>
      </c>
      <c r="O821">
        <f>'Revenue drivers'!O582</f>
        <v>0</v>
      </c>
      <c r="P821">
        <f>'Revenue drivers'!P582</f>
        <v>0</v>
      </c>
      <c r="Q821">
        <f>'Revenue drivers'!Q582</f>
        <v>0</v>
      </c>
      <c r="R821">
        <f>'Revenue drivers'!R582</f>
        <v>0</v>
      </c>
      <c r="S821">
        <f>'Revenue drivers'!S582</f>
        <v>0</v>
      </c>
      <c r="T821">
        <f>'Revenue drivers'!T582</f>
        <v>0</v>
      </c>
      <c r="U821">
        <f>'Revenue drivers'!U582</f>
        <v>0</v>
      </c>
      <c r="V821">
        <f>'Revenue drivers'!V582</f>
        <v>0</v>
      </c>
      <c r="W821">
        <f>'Revenue drivers'!W582</f>
        <v>0</v>
      </c>
      <c r="X821">
        <f>'Revenue drivers'!X582</f>
        <v>0</v>
      </c>
      <c r="Y821">
        <f>'Revenue drivers'!Y582</f>
        <v>0</v>
      </c>
      <c r="Z821">
        <f>'Revenue drivers'!Z582</f>
        <v>0</v>
      </c>
      <c r="AA821">
        <f>'Revenue drivers'!AA582</f>
        <v>-7.9365079365078417E-2</v>
      </c>
      <c r="AB821">
        <f>'Revenue drivers'!AB582</f>
        <v>0.75438596491228194</v>
      </c>
      <c r="AC821">
        <f>'Revenue drivers'!AC582</f>
        <v>-9.2970521541951512E-2</v>
      </c>
      <c r="AD821">
        <f>'Revenue drivers'!AD582</f>
        <v>-0.38419789166057716</v>
      </c>
      <c r="AE821">
        <f>'Revenue drivers'!AE582</f>
        <v>-0.30482758620689732</v>
      </c>
      <c r="AF821">
        <f>'Revenue drivers'!AF582</f>
        <v>-0.5277777777777779</v>
      </c>
      <c r="AG821">
        <f>'Revenue drivers'!AG582</f>
        <v>0</v>
      </c>
      <c r="AH821">
        <f>'Revenue drivers'!AH582</f>
        <v>0</v>
      </c>
      <c r="AI821">
        <f>'Revenue drivers'!AI582</f>
        <v>0</v>
      </c>
      <c r="AJ821">
        <f>'Revenue drivers'!AJ582</f>
        <v>0</v>
      </c>
      <c r="AK821">
        <f>'Revenue drivers'!AK582</f>
        <v>0</v>
      </c>
      <c r="AL821">
        <f>'Revenue drivers'!AL582</f>
        <v>0</v>
      </c>
      <c r="AM821">
        <f>'Revenue drivers'!AM582</f>
        <v>0</v>
      </c>
      <c r="AN821">
        <f>'Revenue drivers'!AN582</f>
        <v>0</v>
      </c>
      <c r="AO821">
        <f>'Revenue drivers'!AO582</f>
        <v>0</v>
      </c>
      <c r="AP821">
        <f>'Revenue drivers'!AP582</f>
        <v>0</v>
      </c>
      <c r="AQ821">
        <f>'Revenue drivers'!AQ582</f>
        <v>0</v>
      </c>
      <c r="AR821">
        <f>'Revenue drivers'!AR582</f>
        <v>0</v>
      </c>
      <c r="AS821">
        <f>'Revenue drivers'!AS582</f>
        <v>0</v>
      </c>
      <c r="AT821">
        <f>'Revenue drivers'!AT582</f>
        <v>0</v>
      </c>
      <c r="AU821">
        <f>'Revenue drivers'!AU582</f>
        <v>0</v>
      </c>
      <c r="AV821">
        <f>'Revenue drivers'!AV582</f>
        <v>0</v>
      </c>
      <c r="AW821">
        <f>'Revenue drivers'!AW582</f>
        <v>0</v>
      </c>
      <c r="AX821">
        <f>'Revenue drivers'!AX582</f>
        <v>0</v>
      </c>
      <c r="AY821">
        <f>'Revenue drivers'!AY582</f>
        <v>0</v>
      </c>
      <c r="AZ821">
        <f>'Revenue drivers'!AZ582</f>
        <v>0</v>
      </c>
      <c r="BA821">
        <f>'Revenue drivers'!BA582</f>
        <v>0</v>
      </c>
      <c r="BB821">
        <f>'Revenue drivers'!BB582</f>
        <v>0</v>
      </c>
      <c r="BC821">
        <f>'Revenue drivers'!BC582</f>
        <v>0</v>
      </c>
      <c r="BD821">
        <f>'Revenue drivers'!BD582</f>
        <v>0</v>
      </c>
      <c r="BE821">
        <f>'Revenue drivers'!BE582</f>
        <v>0</v>
      </c>
      <c r="BF821">
        <f>'Revenue drivers'!BF582</f>
        <v>0</v>
      </c>
      <c r="BG821">
        <f>'Revenue drivers'!BG582</f>
        <v>0</v>
      </c>
      <c r="BH821">
        <f>'Revenue drivers'!BH582</f>
        <v>0</v>
      </c>
      <c r="BI821">
        <f>'Revenue drivers'!BI582</f>
        <v>0</v>
      </c>
      <c r="BJ821">
        <f>'Revenue drivers'!BJ582</f>
        <v>0</v>
      </c>
      <c r="BK821">
        <f>'Revenue drivers'!BK582</f>
        <v>0</v>
      </c>
      <c r="BL821">
        <f>'Revenue drivers'!BL582</f>
        <v>0</v>
      </c>
      <c r="BM821">
        <f>'Revenue drivers'!BM582</f>
        <v>0</v>
      </c>
      <c r="BN821">
        <f>'Revenue drivers'!BN582</f>
        <v>0</v>
      </c>
      <c r="BO821">
        <f>'Revenue drivers'!BO582</f>
        <v>0</v>
      </c>
      <c r="BP821">
        <f>'Revenue drivers'!BP582</f>
        <v>0</v>
      </c>
      <c r="BQ821">
        <f>'Revenue drivers'!BQ582</f>
        <v>0</v>
      </c>
      <c r="BR821">
        <f>'Revenue drivers'!BR582</f>
        <v>0</v>
      </c>
      <c r="BS821">
        <f>'Revenue drivers'!BS582</f>
        <v>0</v>
      </c>
      <c r="BT821">
        <f>'Revenue drivers'!BT582</f>
        <v>0</v>
      </c>
      <c r="BU821">
        <f>'Revenue drivers'!BU582</f>
        <v>0</v>
      </c>
      <c r="BV821">
        <f>'Revenue drivers'!BV582</f>
        <v>0</v>
      </c>
      <c r="BW821">
        <f>'Revenue drivers'!BW582</f>
        <v>0</v>
      </c>
      <c r="BX821">
        <f>'Revenue drivers'!BX582</f>
        <v>0</v>
      </c>
      <c r="BY821">
        <f>'Revenue drivers'!BY582</f>
        <v>0</v>
      </c>
    </row>
    <row r="822" spans="9:77" ht="11.25" customHeight="1">
      <c r="I822" t="str">
        <f>'Revenue drivers'!I583</f>
        <v>2 Yr % Change</v>
      </c>
      <c r="J822">
        <f>'Revenue drivers'!J583</f>
        <v>0</v>
      </c>
      <c r="K822">
        <f>'Revenue drivers'!K583</f>
        <v>0</v>
      </c>
      <c r="L822">
        <f>'Revenue drivers'!L583</f>
        <v>0</v>
      </c>
      <c r="M822">
        <f>'Revenue drivers'!M583</f>
        <v>0</v>
      </c>
      <c r="N822">
        <f>'Revenue drivers'!N583</f>
        <v>0</v>
      </c>
      <c r="O822">
        <f>'Revenue drivers'!O583</f>
        <v>0</v>
      </c>
      <c r="P822">
        <f>'Revenue drivers'!P583</f>
        <v>0</v>
      </c>
      <c r="Q822">
        <f>'Revenue drivers'!Q583</f>
        <v>0</v>
      </c>
      <c r="R822">
        <f>'Revenue drivers'!R583</f>
        <v>0</v>
      </c>
      <c r="S822">
        <f>'Revenue drivers'!S583</f>
        <v>0</v>
      </c>
      <c r="T822">
        <f>'Revenue drivers'!T583</f>
        <v>0</v>
      </c>
      <c r="U822">
        <f>'Revenue drivers'!U583</f>
        <v>0</v>
      </c>
      <c r="V822">
        <f>'Revenue drivers'!V583</f>
        <v>0</v>
      </c>
      <c r="W822">
        <f>'Revenue drivers'!W583</f>
        <v>0</v>
      </c>
      <c r="X822">
        <f>'Revenue drivers'!X583</f>
        <v>0</v>
      </c>
      <c r="Y822">
        <f>'Revenue drivers'!Y583</f>
        <v>0</v>
      </c>
      <c r="Z822">
        <f>'Revenue drivers'!Z583</f>
        <v>0</v>
      </c>
      <c r="AA822">
        <f>'Revenue drivers'!AA583</f>
        <v>0</v>
      </c>
      <c r="AB822">
        <f>'Revenue drivers'!AB583</f>
        <v>0</v>
      </c>
      <c r="AC822">
        <f>'Revenue drivers'!AC583</f>
        <v>0</v>
      </c>
      <c r="AD822">
        <f>'Revenue drivers'!AD583</f>
        <v>0</v>
      </c>
      <c r="AE822">
        <f>'Revenue drivers'!AE583</f>
        <v>-0.38419266557197573</v>
      </c>
      <c r="AF822">
        <f>'Revenue drivers'!AF583</f>
        <v>0.22660818713450404</v>
      </c>
      <c r="AG822">
        <f>'Revenue drivers'!AG583</f>
        <v>0</v>
      </c>
      <c r="AH822">
        <f>'Revenue drivers'!AH583</f>
        <v>0</v>
      </c>
      <c r="AI822">
        <f>'Revenue drivers'!AI583</f>
        <v>0</v>
      </c>
      <c r="AJ822">
        <f>'Revenue drivers'!AJ583</f>
        <v>0</v>
      </c>
      <c r="AK822">
        <f>'Revenue drivers'!AK583</f>
        <v>0</v>
      </c>
      <c r="AL822">
        <f>'Revenue drivers'!AL583</f>
        <v>0</v>
      </c>
      <c r="AM822">
        <f>'Revenue drivers'!AM583</f>
        <v>0</v>
      </c>
      <c r="AN822">
        <f>'Revenue drivers'!AN583</f>
        <v>0</v>
      </c>
      <c r="AO822">
        <f>'Revenue drivers'!AO583</f>
        <v>0</v>
      </c>
      <c r="AP822">
        <f>'Revenue drivers'!AP583</f>
        <v>0</v>
      </c>
      <c r="AQ822">
        <f>'Revenue drivers'!AQ583</f>
        <v>0</v>
      </c>
      <c r="AR822">
        <f>'Revenue drivers'!AR583</f>
        <v>0</v>
      </c>
      <c r="AS822">
        <f>'Revenue drivers'!AS583</f>
        <v>0</v>
      </c>
      <c r="AT822">
        <f>'Revenue drivers'!AT583</f>
        <v>0</v>
      </c>
      <c r="AU822">
        <f>'Revenue drivers'!AU583</f>
        <v>0</v>
      </c>
      <c r="AV822">
        <f>'Revenue drivers'!AV583</f>
        <v>0</v>
      </c>
      <c r="AW822">
        <f>'Revenue drivers'!AW583</f>
        <v>0</v>
      </c>
      <c r="AX822">
        <f>'Revenue drivers'!AX583</f>
        <v>0</v>
      </c>
      <c r="AY822">
        <f>'Revenue drivers'!AY583</f>
        <v>0</v>
      </c>
      <c r="AZ822">
        <f>'Revenue drivers'!AZ583</f>
        <v>0</v>
      </c>
      <c r="BA822">
        <f>'Revenue drivers'!BA583</f>
        <v>0</v>
      </c>
      <c r="BB822">
        <f>'Revenue drivers'!BB583</f>
        <v>0</v>
      </c>
      <c r="BC822">
        <f>'Revenue drivers'!BC583</f>
        <v>0</v>
      </c>
      <c r="BD822">
        <f>'Revenue drivers'!BD583</f>
        <v>0</v>
      </c>
      <c r="BE822">
        <f>'Revenue drivers'!BE583</f>
        <v>0</v>
      </c>
      <c r="BF822">
        <f>'Revenue drivers'!BF583</f>
        <v>0</v>
      </c>
      <c r="BG822">
        <f>'Revenue drivers'!BG583</f>
        <v>0</v>
      </c>
      <c r="BH822">
        <f>'Revenue drivers'!BH583</f>
        <v>0</v>
      </c>
      <c r="BI822">
        <f>'Revenue drivers'!BI583</f>
        <v>0</v>
      </c>
      <c r="BJ822">
        <f>'Revenue drivers'!BJ583</f>
        <v>0</v>
      </c>
      <c r="BK822">
        <f>'Revenue drivers'!BK583</f>
        <v>0</v>
      </c>
      <c r="BL822">
        <f>'Revenue drivers'!BL583</f>
        <v>0</v>
      </c>
      <c r="BM822">
        <f>'Revenue drivers'!BM583</f>
        <v>0</v>
      </c>
      <c r="BN822">
        <f>'Revenue drivers'!BN583</f>
        <v>0</v>
      </c>
      <c r="BO822">
        <f>'Revenue drivers'!BO583</f>
        <v>0</v>
      </c>
      <c r="BP822">
        <f>'Revenue drivers'!BP583</f>
        <v>0</v>
      </c>
      <c r="BQ822">
        <f>'Revenue drivers'!BQ583</f>
        <v>0</v>
      </c>
      <c r="BR822">
        <f>'Revenue drivers'!BR583</f>
        <v>0</v>
      </c>
      <c r="BS822">
        <f>'Revenue drivers'!BS583</f>
        <v>0</v>
      </c>
      <c r="BT822">
        <f>'Revenue drivers'!BT583</f>
        <v>0</v>
      </c>
      <c r="BU822">
        <f>'Revenue drivers'!BU583</f>
        <v>0</v>
      </c>
      <c r="BV822">
        <f>'Revenue drivers'!BV583</f>
        <v>0</v>
      </c>
      <c r="BW822">
        <f>'Revenue drivers'!BW583</f>
        <v>0</v>
      </c>
      <c r="BX822">
        <f>'Revenue drivers'!BX583</f>
        <v>0</v>
      </c>
      <c r="BY822">
        <f>'Revenue drivers'!BY583</f>
        <v>0</v>
      </c>
    </row>
    <row r="823" spans="9:77" ht="11.25" customHeight="1">
      <c r="I823" t="str">
        <f>'Revenue drivers'!I584</f>
        <v>abs  change Y/Y</v>
      </c>
      <c r="J823">
        <f>'Revenue drivers'!J584</f>
        <v>0</v>
      </c>
      <c r="K823">
        <f>'Revenue drivers'!K584</f>
        <v>0</v>
      </c>
      <c r="L823">
        <f>'Revenue drivers'!L584</f>
        <v>0</v>
      </c>
      <c r="M823">
        <f>'Revenue drivers'!M584</f>
        <v>0</v>
      </c>
      <c r="N823">
        <f>'Revenue drivers'!N584</f>
        <v>0</v>
      </c>
      <c r="O823">
        <f>'Revenue drivers'!O584</f>
        <v>0</v>
      </c>
      <c r="P823">
        <f>'Revenue drivers'!P584</f>
        <v>0</v>
      </c>
      <c r="Q823">
        <f>'Revenue drivers'!Q584</f>
        <v>0</v>
      </c>
      <c r="R823">
        <f>'Revenue drivers'!R584</f>
        <v>0</v>
      </c>
      <c r="S823">
        <f>'Revenue drivers'!S584</f>
        <v>0</v>
      </c>
      <c r="T823">
        <f>'Revenue drivers'!T584</f>
        <v>0</v>
      </c>
      <c r="U823">
        <f>'Revenue drivers'!U584</f>
        <v>0</v>
      </c>
      <c r="V823">
        <f>'Revenue drivers'!V584</f>
        <v>0</v>
      </c>
      <c r="W823">
        <f>'Revenue drivers'!W584</f>
        <v>0</v>
      </c>
      <c r="X823">
        <f>'Revenue drivers'!X584</f>
        <v>0</v>
      </c>
      <c r="Y823">
        <f>'Revenue drivers'!Y584</f>
        <v>0</v>
      </c>
      <c r="Z823">
        <f>'Revenue drivers'!Z584</f>
        <v>0</v>
      </c>
      <c r="AA823">
        <f>'Revenue drivers'!AA584</f>
        <v>-0.62499999999999201</v>
      </c>
      <c r="AB823">
        <f>'Revenue drivers'!AB584</f>
        <v>5.0588235294117698</v>
      </c>
      <c r="AC823">
        <f>'Revenue drivers'!AC584</f>
        <v>-0.66380952380953495</v>
      </c>
      <c r="AD823">
        <f>'Revenue drivers'!AD584</f>
        <v>-3.3463636363636251</v>
      </c>
      <c r="AE823">
        <f>'Revenue drivers'!AE584</f>
        <v>-2.2100000000000071</v>
      </c>
      <c r="AF823">
        <f>'Revenue drivers'!AF584</f>
        <v>-6.2091503267973867</v>
      </c>
      <c r="AG823">
        <f>'Revenue drivers'!AG584</f>
        <v>0</v>
      </c>
      <c r="AH823">
        <f>'Revenue drivers'!AH584</f>
        <v>0</v>
      </c>
      <c r="AI823">
        <f>'Revenue drivers'!AI584</f>
        <v>0</v>
      </c>
      <c r="AJ823">
        <f>'Revenue drivers'!AJ584</f>
        <v>0</v>
      </c>
      <c r="AK823">
        <f>'Revenue drivers'!AK584</f>
        <v>0</v>
      </c>
      <c r="AL823">
        <f>'Revenue drivers'!AL584</f>
        <v>0</v>
      </c>
      <c r="AM823">
        <f>'Revenue drivers'!AM584</f>
        <v>0</v>
      </c>
      <c r="AN823">
        <f>'Revenue drivers'!AN584</f>
        <v>0</v>
      </c>
      <c r="AO823">
        <f>'Revenue drivers'!AO584</f>
        <v>0</v>
      </c>
      <c r="AP823">
        <f>'Revenue drivers'!AP584</f>
        <v>0</v>
      </c>
      <c r="AQ823">
        <f>'Revenue drivers'!AQ584</f>
        <v>0</v>
      </c>
      <c r="AR823">
        <f>'Revenue drivers'!AR584</f>
        <v>0</v>
      </c>
      <c r="AS823">
        <f>'Revenue drivers'!AS584</f>
        <v>0</v>
      </c>
      <c r="AT823">
        <f>'Revenue drivers'!AT584</f>
        <v>0</v>
      </c>
      <c r="AU823">
        <f>'Revenue drivers'!AU584</f>
        <v>0</v>
      </c>
      <c r="AV823">
        <f>'Revenue drivers'!AV584</f>
        <v>0</v>
      </c>
      <c r="AW823">
        <f>'Revenue drivers'!AW584</f>
        <v>0</v>
      </c>
      <c r="AX823">
        <f>'Revenue drivers'!AX584</f>
        <v>0</v>
      </c>
      <c r="AY823">
        <f>'Revenue drivers'!AY584</f>
        <v>0</v>
      </c>
      <c r="AZ823">
        <f>'Revenue drivers'!AZ584</f>
        <v>0</v>
      </c>
      <c r="BA823">
        <f>'Revenue drivers'!BA584</f>
        <v>0</v>
      </c>
      <c r="BB823">
        <f>'Revenue drivers'!BB584</f>
        <v>0</v>
      </c>
      <c r="BC823">
        <f>'Revenue drivers'!BC584</f>
        <v>0</v>
      </c>
      <c r="BD823">
        <f>'Revenue drivers'!BD584</f>
        <v>0</v>
      </c>
      <c r="BE823">
        <f>'Revenue drivers'!BE584</f>
        <v>0</v>
      </c>
      <c r="BF823">
        <f>'Revenue drivers'!BF584</f>
        <v>0</v>
      </c>
      <c r="BG823">
        <f>'Revenue drivers'!BG584</f>
        <v>0</v>
      </c>
      <c r="BH823">
        <f>'Revenue drivers'!BH584</f>
        <v>0</v>
      </c>
      <c r="BI823">
        <f>'Revenue drivers'!BI584</f>
        <v>0</v>
      </c>
      <c r="BJ823">
        <f>'Revenue drivers'!BJ584</f>
        <v>0</v>
      </c>
      <c r="BK823">
        <f>'Revenue drivers'!BK584</f>
        <v>0</v>
      </c>
      <c r="BL823">
        <f>'Revenue drivers'!BL584</f>
        <v>0</v>
      </c>
      <c r="BM823">
        <f>'Revenue drivers'!BM584</f>
        <v>0</v>
      </c>
      <c r="BN823">
        <f>'Revenue drivers'!BN584</f>
        <v>0</v>
      </c>
      <c r="BO823">
        <f>'Revenue drivers'!BO584</f>
        <v>0</v>
      </c>
      <c r="BP823">
        <f>'Revenue drivers'!BP584</f>
        <v>0</v>
      </c>
      <c r="BQ823">
        <f>'Revenue drivers'!BQ584</f>
        <v>0</v>
      </c>
      <c r="BR823">
        <f>'Revenue drivers'!BR584</f>
        <v>0</v>
      </c>
      <c r="BS823">
        <f>'Revenue drivers'!BS584</f>
        <v>0</v>
      </c>
      <c r="BT823">
        <f>'Revenue drivers'!BT584</f>
        <v>0</v>
      </c>
      <c r="BU823">
        <f>'Revenue drivers'!BU584</f>
        <v>0</v>
      </c>
      <c r="BV823">
        <f>'Revenue drivers'!BV584</f>
        <v>0</v>
      </c>
      <c r="BW823">
        <f>'Revenue drivers'!BW584</f>
        <v>0</v>
      </c>
      <c r="BX823">
        <f>'Revenue drivers'!BX584</f>
        <v>0</v>
      </c>
      <c r="BY823">
        <f>'Revenue drivers'!BY584</f>
        <v>0</v>
      </c>
    </row>
    <row r="824" spans="9:77" ht="11.25" customHeight="1">
      <c r="I824" t="str">
        <f>'Revenue drivers'!I585</f>
        <v>sequential change Q/Q</v>
      </c>
      <c r="J824">
        <f>'Revenue drivers'!J585</f>
        <v>0</v>
      </c>
      <c r="K824">
        <f>'Revenue drivers'!K585</f>
        <v>0</v>
      </c>
      <c r="L824">
        <f>'Revenue drivers'!L585</f>
        <v>0</v>
      </c>
      <c r="M824">
        <f>'Revenue drivers'!M585</f>
        <v>0</v>
      </c>
      <c r="N824">
        <f>'Revenue drivers'!N585</f>
        <v>0</v>
      </c>
      <c r="O824">
        <f>'Revenue drivers'!O585</f>
        <v>0</v>
      </c>
      <c r="P824">
        <f>'Revenue drivers'!P585</f>
        <v>0</v>
      </c>
      <c r="Q824">
        <f>'Revenue drivers'!Q585</f>
        <v>0</v>
      </c>
      <c r="R824">
        <f>'Revenue drivers'!R585</f>
        <v>0</v>
      </c>
      <c r="S824">
        <f>'Revenue drivers'!S585</f>
        <v>0</v>
      </c>
      <c r="T824">
        <f>'Revenue drivers'!T585</f>
        <v>0</v>
      </c>
      <c r="U824">
        <f>'Revenue drivers'!U585</f>
        <v>0</v>
      </c>
      <c r="V824">
        <f>'Revenue drivers'!V585</f>
        <v>0</v>
      </c>
      <c r="W824">
        <f>'Revenue drivers'!W585</f>
        <v>0</v>
      </c>
      <c r="X824">
        <f>'Revenue drivers'!X585</f>
        <v>-1.1691176470588251</v>
      </c>
      <c r="Y824">
        <f>'Revenue drivers'!Y585</f>
        <v>0.43411764705883638</v>
      </c>
      <c r="Z824">
        <f>'Revenue drivers'!Z585</f>
        <v>1.5699999999999852</v>
      </c>
      <c r="AA824">
        <f>'Revenue drivers'!AA585</f>
        <v>-1.4599999999999884</v>
      </c>
      <c r="AB824">
        <f>'Revenue drivers'!AB585</f>
        <v>4.5147058823529367</v>
      </c>
      <c r="AC824">
        <f>'Revenue drivers'!AC585</f>
        <v>-5.2885154061624684</v>
      </c>
      <c r="AD824">
        <f>'Revenue drivers'!AD585</f>
        <v>-1.112554112554105</v>
      </c>
      <c r="AE824">
        <f>'Revenue drivers'!AE585</f>
        <v>-0.32363636363637038</v>
      </c>
      <c r="AF824">
        <f>'Revenue drivers'!AF585</f>
        <v>0.5155555555555571</v>
      </c>
      <c r="AG824">
        <f>'Revenue drivers'!AG585</f>
        <v>0</v>
      </c>
      <c r="AH824">
        <f>'Revenue drivers'!AH585</f>
        <v>0</v>
      </c>
      <c r="AI824">
        <f>'Revenue drivers'!AI585</f>
        <v>0</v>
      </c>
      <c r="AJ824">
        <f>'Revenue drivers'!AJ585</f>
        <v>0</v>
      </c>
      <c r="AK824">
        <f>'Revenue drivers'!AK585</f>
        <v>0</v>
      </c>
      <c r="AL824">
        <f>'Revenue drivers'!AL585</f>
        <v>0</v>
      </c>
      <c r="AM824">
        <f>'Revenue drivers'!AM585</f>
        <v>0</v>
      </c>
      <c r="AN824">
        <f>'Revenue drivers'!AN585</f>
        <v>0</v>
      </c>
      <c r="AO824">
        <f>'Revenue drivers'!AO585</f>
        <v>0</v>
      </c>
      <c r="AP824">
        <f>'Revenue drivers'!AP585</f>
        <v>0</v>
      </c>
      <c r="AQ824">
        <f>'Revenue drivers'!AQ585</f>
        <v>0</v>
      </c>
      <c r="AR824">
        <f>'Revenue drivers'!AR585</f>
        <v>0</v>
      </c>
      <c r="AS824">
        <f>'Revenue drivers'!AS585</f>
        <v>0</v>
      </c>
      <c r="AT824">
        <f>'Revenue drivers'!AT585</f>
        <v>0</v>
      </c>
      <c r="AU824">
        <f>'Revenue drivers'!AU585</f>
        <v>0</v>
      </c>
      <c r="AV824">
        <f>'Revenue drivers'!AV585</f>
        <v>0</v>
      </c>
      <c r="AW824">
        <f>'Revenue drivers'!AW585</f>
        <v>0</v>
      </c>
      <c r="AX824">
        <f>'Revenue drivers'!AX585</f>
        <v>0</v>
      </c>
      <c r="AY824">
        <f>'Revenue drivers'!AY585</f>
        <v>0</v>
      </c>
      <c r="AZ824">
        <f>'Revenue drivers'!AZ585</f>
        <v>0</v>
      </c>
      <c r="BA824">
        <f>'Revenue drivers'!BA585</f>
        <v>0</v>
      </c>
      <c r="BB824">
        <f>'Revenue drivers'!BB585</f>
        <v>0</v>
      </c>
      <c r="BC824">
        <f>'Revenue drivers'!BC585</f>
        <v>0</v>
      </c>
      <c r="BD824">
        <f>'Revenue drivers'!BD585</f>
        <v>0</v>
      </c>
      <c r="BE824">
        <f>'Revenue drivers'!BE585</f>
        <v>0</v>
      </c>
      <c r="BF824">
        <f>'Revenue drivers'!BF585</f>
        <v>0</v>
      </c>
      <c r="BG824">
        <f>'Revenue drivers'!BG585</f>
        <v>0</v>
      </c>
      <c r="BH824">
        <f>'Revenue drivers'!BH585</f>
        <v>0</v>
      </c>
      <c r="BI824">
        <f>'Revenue drivers'!BI585</f>
        <v>0</v>
      </c>
      <c r="BJ824">
        <f>'Revenue drivers'!BJ585</f>
        <v>0</v>
      </c>
      <c r="BK824">
        <f>'Revenue drivers'!BK585</f>
        <v>0</v>
      </c>
      <c r="BL824">
        <f>'Revenue drivers'!BL585</f>
        <v>0</v>
      </c>
      <c r="BM824">
        <f>'Revenue drivers'!BM585</f>
        <v>0</v>
      </c>
      <c r="BN824">
        <f>'Revenue drivers'!BN585</f>
        <v>0</v>
      </c>
      <c r="BO824">
        <f>'Revenue drivers'!BO585</f>
        <v>0</v>
      </c>
      <c r="BP824">
        <f>'Revenue drivers'!BP585</f>
        <v>0</v>
      </c>
      <c r="BQ824">
        <f>'Revenue drivers'!BQ585</f>
        <v>0</v>
      </c>
      <c r="BR824">
        <f>'Revenue drivers'!BR585</f>
        <v>0</v>
      </c>
      <c r="BS824">
        <f>'Revenue drivers'!BS585</f>
        <v>0</v>
      </c>
      <c r="BT824">
        <f>'Revenue drivers'!BT585</f>
        <v>0</v>
      </c>
      <c r="BU824">
        <f>'Revenue drivers'!BU585</f>
        <v>0</v>
      </c>
      <c r="BV824">
        <f>'Revenue drivers'!BV585</f>
        <v>0</v>
      </c>
      <c r="BW824">
        <f>'Revenue drivers'!BW585</f>
        <v>0</v>
      </c>
      <c r="BX824">
        <f>'Revenue drivers'!BX585</f>
        <v>0</v>
      </c>
      <c r="BY824">
        <f>'Revenue drivers'!BY585</f>
        <v>0</v>
      </c>
    </row>
    <row r="825" spans="9:77" ht="11.25" customHeight="1">
      <c r="I825" t="str">
        <f>'Revenue drivers'!I586</f>
        <v>% change Q/Q</v>
      </c>
      <c r="J825">
        <f>'Revenue drivers'!J586</f>
        <v>0</v>
      </c>
      <c r="K825">
        <f>'Revenue drivers'!K586</f>
        <v>0</v>
      </c>
      <c r="L825">
        <f>'Revenue drivers'!L586</f>
        <v>0</v>
      </c>
      <c r="M825">
        <f>'Revenue drivers'!M586</f>
        <v>0</v>
      </c>
      <c r="N825">
        <f>'Revenue drivers'!N586</f>
        <v>0</v>
      </c>
      <c r="O825">
        <f>'Revenue drivers'!O586</f>
        <v>0</v>
      </c>
      <c r="P825">
        <f>'Revenue drivers'!P586</f>
        <v>0</v>
      </c>
      <c r="Q825">
        <f>'Revenue drivers'!Q586</f>
        <v>0</v>
      </c>
      <c r="R825">
        <f>'Revenue drivers'!R586</f>
        <v>0</v>
      </c>
      <c r="S825">
        <f>'Revenue drivers'!S586</f>
        <v>0</v>
      </c>
      <c r="T825">
        <f>'Revenue drivers'!T586</f>
        <v>0</v>
      </c>
      <c r="U825">
        <f>'Revenue drivers'!U586</f>
        <v>0</v>
      </c>
      <c r="V825">
        <f>'Revenue drivers'!V586</f>
        <v>0</v>
      </c>
      <c r="W825">
        <f>'Revenue drivers'!W586</f>
        <v>0</v>
      </c>
      <c r="X825">
        <f>'Revenue drivers'!X586</f>
        <v>-0.14845938375350165</v>
      </c>
      <c r="Y825">
        <f>'Revenue drivers'!Y586</f>
        <v>6.4736842105265202E-2</v>
      </c>
      <c r="Z825">
        <f>'Revenue drivers'!Z586</f>
        <v>0.21988795518207049</v>
      </c>
      <c r="AA825">
        <f>'Revenue drivers'!AA586</f>
        <v>-0.16762342135476338</v>
      </c>
      <c r="AB825">
        <f>'Revenue drivers'!AB586</f>
        <v>0.62271805273833558</v>
      </c>
      <c r="AC825">
        <f>'Revenue drivers'!AC586</f>
        <v>-0.44952380952380977</v>
      </c>
      <c r="AD825">
        <f>'Revenue drivers'!AD586</f>
        <v>-0.17179144385026623</v>
      </c>
      <c r="AE825">
        <f>'Revenue drivers'!AE586</f>
        <v>-6.0338983050848616E-2</v>
      </c>
      <c r="AF825">
        <f>'Revenue drivers'!AF586</f>
        <v>0.10229276895943595</v>
      </c>
      <c r="AG825">
        <f>'Revenue drivers'!AG586</f>
        <v>0</v>
      </c>
      <c r="AH825">
        <f>'Revenue drivers'!AH586</f>
        <v>0</v>
      </c>
      <c r="AI825">
        <f>'Revenue drivers'!AI586</f>
        <v>0</v>
      </c>
      <c r="AJ825">
        <f>'Revenue drivers'!AJ586</f>
        <v>0</v>
      </c>
      <c r="AK825">
        <f>'Revenue drivers'!AK586</f>
        <v>0</v>
      </c>
      <c r="AL825">
        <f>'Revenue drivers'!AL586</f>
        <v>0</v>
      </c>
      <c r="AM825">
        <f>'Revenue drivers'!AM586</f>
        <v>0</v>
      </c>
      <c r="AN825">
        <f>'Revenue drivers'!AN586</f>
        <v>0</v>
      </c>
      <c r="AO825">
        <f>'Revenue drivers'!AO586</f>
        <v>0</v>
      </c>
      <c r="AP825">
        <f>'Revenue drivers'!AP586</f>
        <v>0</v>
      </c>
      <c r="AQ825">
        <f>'Revenue drivers'!AQ586</f>
        <v>0</v>
      </c>
      <c r="AR825">
        <f>'Revenue drivers'!AR586</f>
        <v>0</v>
      </c>
      <c r="AS825">
        <f>'Revenue drivers'!AS586</f>
        <v>0</v>
      </c>
      <c r="AT825">
        <f>'Revenue drivers'!AT586</f>
        <v>0</v>
      </c>
      <c r="AU825">
        <f>'Revenue drivers'!AU586</f>
        <v>0</v>
      </c>
      <c r="AV825">
        <f>'Revenue drivers'!AV586</f>
        <v>0</v>
      </c>
      <c r="AW825">
        <f>'Revenue drivers'!AW586</f>
        <v>0</v>
      </c>
      <c r="AX825">
        <f>'Revenue drivers'!AX586</f>
        <v>0</v>
      </c>
      <c r="AY825">
        <f>'Revenue drivers'!AY586</f>
        <v>0</v>
      </c>
      <c r="AZ825">
        <f>'Revenue drivers'!AZ586</f>
        <v>0</v>
      </c>
      <c r="BA825">
        <f>'Revenue drivers'!BA586</f>
        <v>0</v>
      </c>
      <c r="BB825">
        <f>'Revenue drivers'!BB586</f>
        <v>0</v>
      </c>
      <c r="BC825">
        <f>'Revenue drivers'!BC586</f>
        <v>0</v>
      </c>
      <c r="BD825">
        <f>'Revenue drivers'!BD586</f>
        <v>0</v>
      </c>
      <c r="BE825">
        <f>'Revenue drivers'!BE586</f>
        <v>0</v>
      </c>
      <c r="BF825">
        <f>'Revenue drivers'!BF586</f>
        <v>0</v>
      </c>
      <c r="BG825">
        <f>'Revenue drivers'!BG586</f>
        <v>0</v>
      </c>
      <c r="BH825">
        <f>'Revenue drivers'!BH586</f>
        <v>0</v>
      </c>
      <c r="BI825">
        <f>'Revenue drivers'!BI586</f>
        <v>0</v>
      </c>
      <c r="BJ825">
        <f>'Revenue drivers'!BJ586</f>
        <v>0</v>
      </c>
      <c r="BK825">
        <f>'Revenue drivers'!BK586</f>
        <v>0</v>
      </c>
      <c r="BL825">
        <f>'Revenue drivers'!BL586</f>
        <v>0</v>
      </c>
      <c r="BM825">
        <f>'Revenue drivers'!BM586</f>
        <v>0</v>
      </c>
      <c r="BN825">
        <f>'Revenue drivers'!BN586</f>
        <v>0</v>
      </c>
      <c r="BO825">
        <f>'Revenue drivers'!BO586</f>
        <v>0</v>
      </c>
      <c r="BP825">
        <f>'Revenue drivers'!BP586</f>
        <v>0</v>
      </c>
      <c r="BQ825">
        <f>'Revenue drivers'!BQ586</f>
        <v>0</v>
      </c>
      <c r="BR825">
        <f>'Revenue drivers'!BR586</f>
        <v>0</v>
      </c>
      <c r="BS825">
        <f>'Revenue drivers'!BS586</f>
        <v>0</v>
      </c>
      <c r="BT825">
        <f>'Revenue drivers'!BT586</f>
        <v>0</v>
      </c>
      <c r="BU825">
        <f>'Revenue drivers'!BU586</f>
        <v>0</v>
      </c>
      <c r="BV825">
        <f>'Revenue drivers'!BV586</f>
        <v>0</v>
      </c>
      <c r="BW825">
        <f>'Revenue drivers'!BW586</f>
        <v>0</v>
      </c>
      <c r="BX825">
        <f>'Revenue drivers'!BX586</f>
        <v>0</v>
      </c>
      <c r="BY825">
        <f>'Revenue drivers'!BY586</f>
        <v>0</v>
      </c>
    </row>
    <row r="826" spans="9:77" ht="11.25" customHeight="1">
      <c r="I826">
        <f>'Revenue drivers'!I587</f>
        <v>0</v>
      </c>
      <c r="J826">
        <f>'Revenue drivers'!J587</f>
        <v>0</v>
      </c>
      <c r="K826">
        <f>'Revenue drivers'!K587</f>
        <v>0</v>
      </c>
      <c r="L826">
        <f>'Revenue drivers'!L587</f>
        <v>0</v>
      </c>
      <c r="M826">
        <f>'Revenue drivers'!M587</f>
        <v>0</v>
      </c>
      <c r="N826">
        <f>'Revenue drivers'!N587</f>
        <v>0</v>
      </c>
      <c r="O826">
        <f>'Revenue drivers'!O587</f>
        <v>0</v>
      </c>
      <c r="P826">
        <f>'Revenue drivers'!P587</f>
        <v>0</v>
      </c>
      <c r="Q826">
        <f>'Revenue drivers'!Q587</f>
        <v>0</v>
      </c>
      <c r="R826">
        <f>'Revenue drivers'!R587</f>
        <v>0</v>
      </c>
      <c r="S826">
        <f>'Revenue drivers'!S587</f>
        <v>0</v>
      </c>
      <c r="T826">
        <f>'Revenue drivers'!T587</f>
        <v>0</v>
      </c>
      <c r="U826">
        <f>'Revenue drivers'!U587</f>
        <v>0</v>
      </c>
      <c r="V826">
        <f>'Revenue drivers'!V587</f>
        <v>0</v>
      </c>
      <c r="W826">
        <f>'Revenue drivers'!W587</f>
        <v>0</v>
      </c>
      <c r="X826">
        <f>'Revenue drivers'!X587</f>
        <v>0</v>
      </c>
      <c r="Y826">
        <f>'Revenue drivers'!Y587</f>
        <v>0</v>
      </c>
      <c r="Z826">
        <f>'Revenue drivers'!Z587</f>
        <v>0</v>
      </c>
      <c r="AA826">
        <f>'Revenue drivers'!AA587</f>
        <v>0</v>
      </c>
      <c r="AB826">
        <f>'Revenue drivers'!AB587</f>
        <v>0</v>
      </c>
      <c r="AC826">
        <f>'Revenue drivers'!AC587</f>
        <v>0</v>
      </c>
      <c r="AD826">
        <f>'Revenue drivers'!AD587</f>
        <v>0</v>
      </c>
      <c r="AE826">
        <f>'Revenue drivers'!AE587</f>
        <v>0</v>
      </c>
      <c r="AF826">
        <f>'Revenue drivers'!AF587</f>
        <v>0</v>
      </c>
      <c r="AG826">
        <f>'Revenue drivers'!AG587</f>
        <v>0</v>
      </c>
      <c r="AH826">
        <f>'Revenue drivers'!AH587</f>
        <v>0</v>
      </c>
      <c r="AI826">
        <f>'Revenue drivers'!AI587</f>
        <v>0</v>
      </c>
      <c r="AJ826">
        <f>'Revenue drivers'!AJ587</f>
        <v>0</v>
      </c>
      <c r="AK826">
        <f>'Revenue drivers'!AK587</f>
        <v>0</v>
      </c>
      <c r="AL826">
        <f>'Revenue drivers'!AL587</f>
        <v>0</v>
      </c>
      <c r="AM826">
        <f>'Revenue drivers'!AM587</f>
        <v>0</v>
      </c>
      <c r="AN826">
        <f>'Revenue drivers'!AN587</f>
        <v>0</v>
      </c>
      <c r="AO826">
        <f>'Revenue drivers'!AO587</f>
        <v>0</v>
      </c>
      <c r="AP826">
        <f>'Revenue drivers'!AP587</f>
        <v>0</v>
      </c>
      <c r="AQ826">
        <f>'Revenue drivers'!AQ587</f>
        <v>0</v>
      </c>
      <c r="AR826">
        <f>'Revenue drivers'!AR587</f>
        <v>0</v>
      </c>
      <c r="AS826">
        <f>'Revenue drivers'!AS587</f>
        <v>0</v>
      </c>
      <c r="AT826">
        <f>'Revenue drivers'!AT587</f>
        <v>0</v>
      </c>
      <c r="AU826">
        <f>'Revenue drivers'!AU587</f>
        <v>0</v>
      </c>
      <c r="AV826">
        <f>'Revenue drivers'!AV587</f>
        <v>0</v>
      </c>
      <c r="AW826">
        <f>'Revenue drivers'!AW587</f>
        <v>0</v>
      </c>
      <c r="AX826">
        <f>'Revenue drivers'!AX587</f>
        <v>0</v>
      </c>
      <c r="AY826">
        <f>'Revenue drivers'!AY587</f>
        <v>0</v>
      </c>
      <c r="AZ826">
        <f>'Revenue drivers'!AZ587</f>
        <v>0</v>
      </c>
      <c r="BA826">
        <f>'Revenue drivers'!BA587</f>
        <v>0</v>
      </c>
      <c r="BB826">
        <f>'Revenue drivers'!BB587</f>
        <v>0</v>
      </c>
      <c r="BC826">
        <f>'Revenue drivers'!BC587</f>
        <v>0</v>
      </c>
      <c r="BD826">
        <f>'Revenue drivers'!BD587</f>
        <v>0</v>
      </c>
      <c r="BE826">
        <f>'Revenue drivers'!BE587</f>
        <v>0</v>
      </c>
      <c r="BF826">
        <f>'Revenue drivers'!BF587</f>
        <v>0</v>
      </c>
      <c r="BG826">
        <f>'Revenue drivers'!BG587</f>
        <v>0</v>
      </c>
      <c r="BH826">
        <f>'Revenue drivers'!BH587</f>
        <v>0</v>
      </c>
      <c r="BI826">
        <f>'Revenue drivers'!BI587</f>
        <v>0</v>
      </c>
      <c r="BJ826">
        <f>'Revenue drivers'!BJ587</f>
        <v>0</v>
      </c>
      <c r="BK826">
        <f>'Revenue drivers'!BK587</f>
        <v>0</v>
      </c>
      <c r="BL826">
        <f>'Revenue drivers'!BL587</f>
        <v>0</v>
      </c>
      <c r="BM826">
        <f>'Revenue drivers'!BM587</f>
        <v>0</v>
      </c>
      <c r="BN826">
        <f>'Revenue drivers'!BN587</f>
        <v>0</v>
      </c>
      <c r="BO826">
        <f>'Revenue drivers'!BO587</f>
        <v>0</v>
      </c>
      <c r="BP826">
        <f>'Revenue drivers'!BP587</f>
        <v>0</v>
      </c>
      <c r="BQ826">
        <f>'Revenue drivers'!BQ587</f>
        <v>0</v>
      </c>
      <c r="BR826">
        <f>'Revenue drivers'!BR587</f>
        <v>0</v>
      </c>
      <c r="BS826">
        <f>'Revenue drivers'!BS587</f>
        <v>0</v>
      </c>
      <c r="BT826">
        <f>'Revenue drivers'!BT587</f>
        <v>0</v>
      </c>
      <c r="BU826">
        <f>'Revenue drivers'!BU587</f>
        <v>0</v>
      </c>
      <c r="BV826">
        <f>'Revenue drivers'!BV587</f>
        <v>0</v>
      </c>
      <c r="BW826">
        <f>'Revenue drivers'!BW587</f>
        <v>0</v>
      </c>
      <c r="BX826">
        <f>'Revenue drivers'!BX587</f>
        <v>0</v>
      </c>
      <c r="BY826">
        <f>'Revenue drivers'!BY587</f>
        <v>0</v>
      </c>
    </row>
    <row r="827" spans="9:77" ht="11.25" customHeight="1">
      <c r="I827">
        <f>'Revenue drivers'!I588</f>
        <v>0</v>
      </c>
      <c r="J827">
        <f>'Revenue drivers'!J588</f>
        <v>0</v>
      </c>
      <c r="K827">
        <f>'Revenue drivers'!K588</f>
        <v>0</v>
      </c>
      <c r="L827">
        <f>'Revenue drivers'!L588</f>
        <v>0</v>
      </c>
      <c r="M827">
        <f>'Revenue drivers'!M588</f>
        <v>0</v>
      </c>
      <c r="N827">
        <f>'Revenue drivers'!N588</f>
        <v>0</v>
      </c>
      <c r="O827">
        <f>'Revenue drivers'!O588</f>
        <v>0</v>
      </c>
      <c r="P827">
        <f>'Revenue drivers'!P588</f>
        <v>0</v>
      </c>
      <c r="Q827">
        <f>'Revenue drivers'!Q588</f>
        <v>0</v>
      </c>
      <c r="R827">
        <f>'Revenue drivers'!R588</f>
        <v>0</v>
      </c>
      <c r="S827">
        <f>'Revenue drivers'!S588</f>
        <v>0</v>
      </c>
      <c r="T827">
        <f>'Revenue drivers'!T588</f>
        <v>0</v>
      </c>
      <c r="U827">
        <f>'Revenue drivers'!U588</f>
        <v>0</v>
      </c>
      <c r="V827">
        <f>'Revenue drivers'!V588</f>
        <v>0</v>
      </c>
      <c r="W827">
        <f>'Revenue drivers'!W588</f>
        <v>0</v>
      </c>
      <c r="X827">
        <f>'Revenue drivers'!X588</f>
        <v>0</v>
      </c>
      <c r="Y827">
        <f>'Revenue drivers'!Y588</f>
        <v>0</v>
      </c>
      <c r="Z827">
        <f>'Revenue drivers'!Z588</f>
        <v>0</v>
      </c>
      <c r="AA827">
        <f>'Revenue drivers'!AA588</f>
        <v>0</v>
      </c>
      <c r="AB827">
        <f>'Revenue drivers'!AB588</f>
        <v>0</v>
      </c>
      <c r="AC827">
        <f>'Revenue drivers'!AC588</f>
        <v>0</v>
      </c>
      <c r="AD827">
        <f>'Revenue drivers'!AD588</f>
        <v>0</v>
      </c>
      <c r="AE827">
        <f>'Revenue drivers'!AE588</f>
        <v>0</v>
      </c>
      <c r="AF827">
        <f>'Revenue drivers'!AF588</f>
        <v>0</v>
      </c>
      <c r="AG827">
        <f>'Revenue drivers'!AG588</f>
        <v>0</v>
      </c>
      <c r="AH827">
        <f>'Revenue drivers'!AH588</f>
        <v>0</v>
      </c>
      <c r="AI827">
        <f>'Revenue drivers'!AI588</f>
        <v>0</v>
      </c>
      <c r="AJ827">
        <f>'Revenue drivers'!AJ588</f>
        <v>0</v>
      </c>
      <c r="AK827">
        <f>'Revenue drivers'!AK588</f>
        <v>0</v>
      </c>
      <c r="AL827">
        <f>'Revenue drivers'!AL588</f>
        <v>0</v>
      </c>
      <c r="AM827">
        <f>'Revenue drivers'!AM588</f>
        <v>0</v>
      </c>
      <c r="AN827">
        <f>'Revenue drivers'!AN588</f>
        <v>0</v>
      </c>
      <c r="AO827">
        <f>'Revenue drivers'!AO588</f>
        <v>0</v>
      </c>
      <c r="AP827">
        <f>'Revenue drivers'!AP588</f>
        <v>0</v>
      </c>
      <c r="AQ827">
        <f>'Revenue drivers'!AQ588</f>
        <v>0</v>
      </c>
      <c r="AR827">
        <f>'Revenue drivers'!AR588</f>
        <v>0</v>
      </c>
      <c r="AS827">
        <f>'Revenue drivers'!AS588</f>
        <v>0</v>
      </c>
      <c r="AT827">
        <f>'Revenue drivers'!AT588</f>
        <v>0</v>
      </c>
      <c r="AU827">
        <f>'Revenue drivers'!AU588</f>
        <v>0</v>
      </c>
      <c r="AV827">
        <f>'Revenue drivers'!AV588</f>
        <v>0</v>
      </c>
      <c r="AW827">
        <f>'Revenue drivers'!AW588</f>
        <v>0</v>
      </c>
      <c r="AX827">
        <f>'Revenue drivers'!AX588</f>
        <v>0</v>
      </c>
      <c r="AY827">
        <f>'Revenue drivers'!AY588</f>
        <v>0</v>
      </c>
      <c r="AZ827">
        <f>'Revenue drivers'!AZ588</f>
        <v>0</v>
      </c>
      <c r="BA827">
        <f>'Revenue drivers'!BA588</f>
        <v>0</v>
      </c>
      <c r="BB827">
        <f>'Revenue drivers'!BB588</f>
        <v>0</v>
      </c>
      <c r="BC827">
        <f>'Revenue drivers'!BC588</f>
        <v>0</v>
      </c>
      <c r="BD827">
        <f>'Revenue drivers'!BD588</f>
        <v>0</v>
      </c>
      <c r="BE827">
        <f>'Revenue drivers'!BE588</f>
        <v>0</v>
      </c>
      <c r="BF827">
        <f>'Revenue drivers'!BF588</f>
        <v>0</v>
      </c>
      <c r="BG827">
        <f>'Revenue drivers'!BG588</f>
        <v>0</v>
      </c>
      <c r="BH827">
        <f>'Revenue drivers'!BH588</f>
        <v>0</v>
      </c>
      <c r="BI827">
        <f>'Revenue drivers'!BI588</f>
        <v>0</v>
      </c>
      <c r="BJ827">
        <f>'Revenue drivers'!BJ588</f>
        <v>0</v>
      </c>
      <c r="BK827">
        <f>'Revenue drivers'!BK588</f>
        <v>0</v>
      </c>
      <c r="BL827">
        <f>'Revenue drivers'!BL588</f>
        <v>0</v>
      </c>
      <c r="BM827">
        <f>'Revenue drivers'!BM588</f>
        <v>0</v>
      </c>
      <c r="BN827">
        <f>'Revenue drivers'!BN588</f>
        <v>0</v>
      </c>
      <c r="BO827">
        <f>'Revenue drivers'!BO588</f>
        <v>0</v>
      </c>
      <c r="BP827">
        <f>'Revenue drivers'!BP588</f>
        <v>0</v>
      </c>
      <c r="BQ827">
        <f>'Revenue drivers'!BQ588</f>
        <v>0</v>
      </c>
      <c r="BR827">
        <f>'Revenue drivers'!BR588</f>
        <v>0</v>
      </c>
      <c r="BS827">
        <f>'Revenue drivers'!BS588</f>
        <v>0</v>
      </c>
      <c r="BT827">
        <f>'Revenue drivers'!BT588</f>
        <v>0</v>
      </c>
      <c r="BU827">
        <f>'Revenue drivers'!BU588</f>
        <v>0</v>
      </c>
      <c r="BV827">
        <f>'Revenue drivers'!BV588</f>
        <v>0</v>
      </c>
      <c r="BW827">
        <f>'Revenue drivers'!BW588</f>
        <v>0</v>
      </c>
      <c r="BX827">
        <f>'Revenue drivers'!BX588</f>
        <v>0</v>
      </c>
      <c r="BY827">
        <f>'Revenue drivers'!BY588</f>
        <v>0</v>
      </c>
    </row>
    <row r="828" spans="9:77" ht="11.25" customHeight="1">
      <c r="I828">
        <f>'Revenue drivers'!I589</f>
        <v>0</v>
      </c>
      <c r="J828">
        <f>'Revenue drivers'!J589</f>
        <v>0</v>
      </c>
      <c r="K828">
        <f>'Revenue drivers'!K589</f>
        <v>0</v>
      </c>
      <c r="L828">
        <f>'Revenue drivers'!L589</f>
        <v>0</v>
      </c>
      <c r="M828">
        <f>'Revenue drivers'!M589</f>
        <v>0</v>
      </c>
      <c r="N828">
        <f>'Revenue drivers'!N589</f>
        <v>0</v>
      </c>
      <c r="O828">
        <f>'Revenue drivers'!O589</f>
        <v>0</v>
      </c>
      <c r="P828">
        <f>'Revenue drivers'!P589</f>
        <v>0</v>
      </c>
      <c r="Q828">
        <f>'Revenue drivers'!Q589</f>
        <v>0</v>
      </c>
      <c r="R828">
        <f>'Revenue drivers'!R589</f>
        <v>0</v>
      </c>
      <c r="S828">
        <f>'Revenue drivers'!S589</f>
        <v>0</v>
      </c>
      <c r="T828">
        <f>'Revenue drivers'!T589</f>
        <v>0</v>
      </c>
      <c r="U828">
        <f>'Revenue drivers'!U589</f>
        <v>0</v>
      </c>
      <c r="V828">
        <f>'Revenue drivers'!V589</f>
        <v>0</v>
      </c>
      <c r="W828">
        <f>'Revenue drivers'!W589</f>
        <v>0</v>
      </c>
      <c r="X828">
        <f>'Revenue drivers'!X589</f>
        <v>0</v>
      </c>
      <c r="Y828">
        <f>'Revenue drivers'!Y589</f>
        <v>0</v>
      </c>
      <c r="Z828">
        <f>'Revenue drivers'!Z589</f>
        <v>0</v>
      </c>
      <c r="AA828">
        <f>'Revenue drivers'!AA589</f>
        <v>0</v>
      </c>
      <c r="AB828">
        <f>'Revenue drivers'!AB589</f>
        <v>0</v>
      </c>
      <c r="AC828">
        <f>'Revenue drivers'!AC589</f>
        <v>0</v>
      </c>
      <c r="AD828">
        <f>'Revenue drivers'!AD589</f>
        <v>0</v>
      </c>
      <c r="AE828">
        <f>'Revenue drivers'!AE589</f>
        <v>0</v>
      </c>
      <c r="AF828">
        <f>'Revenue drivers'!AF589</f>
        <v>0</v>
      </c>
      <c r="AG828">
        <f>'Revenue drivers'!AG589</f>
        <v>0</v>
      </c>
      <c r="AH828">
        <f>'Revenue drivers'!AH589</f>
        <v>0</v>
      </c>
      <c r="AI828">
        <f>'Revenue drivers'!AI589</f>
        <v>0</v>
      </c>
      <c r="AJ828">
        <f>'Revenue drivers'!AJ589</f>
        <v>0</v>
      </c>
      <c r="AK828">
        <f>'Revenue drivers'!AK589</f>
        <v>0</v>
      </c>
      <c r="AL828">
        <f>'Revenue drivers'!AL589</f>
        <v>0</v>
      </c>
      <c r="AM828">
        <f>'Revenue drivers'!AM589</f>
        <v>0</v>
      </c>
      <c r="AN828">
        <f>'Revenue drivers'!AN589</f>
        <v>0</v>
      </c>
      <c r="AO828">
        <f>'Revenue drivers'!AO589</f>
        <v>0</v>
      </c>
      <c r="AP828">
        <f>'Revenue drivers'!AP589</f>
        <v>0</v>
      </c>
      <c r="AQ828">
        <f>'Revenue drivers'!AQ589</f>
        <v>0</v>
      </c>
      <c r="AR828">
        <f>'Revenue drivers'!AR589</f>
        <v>0</v>
      </c>
      <c r="AS828">
        <f>'Revenue drivers'!AS589</f>
        <v>0</v>
      </c>
      <c r="AT828">
        <f>'Revenue drivers'!AT589</f>
        <v>0</v>
      </c>
      <c r="AU828">
        <f>'Revenue drivers'!AU589</f>
        <v>0</v>
      </c>
      <c r="AV828">
        <f>'Revenue drivers'!AV589</f>
        <v>0</v>
      </c>
      <c r="AW828">
        <f>'Revenue drivers'!AW589</f>
        <v>0</v>
      </c>
      <c r="AX828">
        <f>'Revenue drivers'!AX589</f>
        <v>0</v>
      </c>
      <c r="AY828">
        <f>'Revenue drivers'!AY589</f>
        <v>0</v>
      </c>
      <c r="AZ828">
        <f>'Revenue drivers'!AZ589</f>
        <v>0</v>
      </c>
      <c r="BA828">
        <f>'Revenue drivers'!BA589</f>
        <v>0</v>
      </c>
      <c r="BB828">
        <f>'Revenue drivers'!BB589</f>
        <v>0</v>
      </c>
      <c r="BC828">
        <f>'Revenue drivers'!BC589</f>
        <v>0</v>
      </c>
      <c r="BD828">
        <f>'Revenue drivers'!BD589</f>
        <v>0</v>
      </c>
      <c r="BE828">
        <f>'Revenue drivers'!BE589</f>
        <v>0</v>
      </c>
      <c r="BF828">
        <f>'Revenue drivers'!BF589</f>
        <v>0</v>
      </c>
      <c r="BG828">
        <f>'Revenue drivers'!BG589</f>
        <v>0</v>
      </c>
      <c r="BH828">
        <f>'Revenue drivers'!BH589</f>
        <v>0</v>
      </c>
      <c r="BI828">
        <f>'Revenue drivers'!BI589</f>
        <v>0</v>
      </c>
      <c r="BJ828">
        <f>'Revenue drivers'!BJ589</f>
        <v>0</v>
      </c>
      <c r="BK828">
        <f>'Revenue drivers'!BK589</f>
        <v>0</v>
      </c>
      <c r="BL828">
        <f>'Revenue drivers'!BL589</f>
        <v>0</v>
      </c>
      <c r="BM828">
        <f>'Revenue drivers'!BM589</f>
        <v>0</v>
      </c>
      <c r="BN828">
        <f>'Revenue drivers'!BN589</f>
        <v>0</v>
      </c>
      <c r="BO828">
        <f>'Revenue drivers'!BO589</f>
        <v>0</v>
      </c>
      <c r="BP828">
        <f>'Revenue drivers'!BP589</f>
        <v>0</v>
      </c>
      <c r="BQ828">
        <f>'Revenue drivers'!BQ589</f>
        <v>0</v>
      </c>
      <c r="BR828">
        <f>'Revenue drivers'!BR589</f>
        <v>0</v>
      </c>
      <c r="BS828">
        <f>'Revenue drivers'!BS589</f>
        <v>0</v>
      </c>
      <c r="BT828">
        <f>'Revenue drivers'!BT589</f>
        <v>0</v>
      </c>
      <c r="BU828">
        <f>'Revenue drivers'!BU589</f>
        <v>0</v>
      </c>
      <c r="BV828">
        <f>'Revenue drivers'!BV589</f>
        <v>0</v>
      </c>
      <c r="BW828">
        <f>'Revenue drivers'!BW589</f>
        <v>0</v>
      </c>
      <c r="BX828">
        <f>'Revenue drivers'!BX589</f>
        <v>0</v>
      </c>
      <c r="BY828">
        <f>'Revenue drivers'!BY589</f>
        <v>0</v>
      </c>
    </row>
    <row r="829" spans="9:77" ht="11.25" customHeight="1">
      <c r="I829" t="str">
        <f>'Revenue drivers'!I590</f>
        <v>CPC/CPM Mix</v>
      </c>
      <c r="J829">
        <f>'Revenue drivers'!J590</f>
        <v>0</v>
      </c>
      <c r="K829">
        <f>'Revenue drivers'!K590</f>
        <v>0</v>
      </c>
      <c r="L829">
        <f>'Revenue drivers'!L590</f>
        <v>0</v>
      </c>
      <c r="M829">
        <f>'Revenue drivers'!M590</f>
        <v>0</v>
      </c>
      <c r="N829">
        <f>'Revenue drivers'!N590</f>
        <v>0</v>
      </c>
      <c r="O829">
        <f>'Revenue drivers'!O590</f>
        <v>0</v>
      </c>
      <c r="P829">
        <f>'Revenue drivers'!P590</f>
        <v>0</v>
      </c>
      <c r="Q829">
        <f>'Revenue drivers'!Q590</f>
        <v>0</v>
      </c>
      <c r="R829">
        <f>'Revenue drivers'!R590</f>
        <v>0</v>
      </c>
      <c r="S829">
        <f>'Revenue drivers'!S590</f>
        <v>0</v>
      </c>
      <c r="T829">
        <f>'Revenue drivers'!T590</f>
        <v>0</v>
      </c>
      <c r="U829">
        <f>'Revenue drivers'!U590</f>
        <v>0</v>
      </c>
      <c r="V829">
        <f>'Revenue drivers'!V590</f>
        <v>0</v>
      </c>
      <c r="W829">
        <f>'Revenue drivers'!W590</f>
        <v>0</v>
      </c>
      <c r="X829">
        <f>'Revenue drivers'!X590</f>
        <v>0</v>
      </c>
      <c r="Y829">
        <f>'Revenue drivers'!Y590</f>
        <v>0</v>
      </c>
      <c r="Z829">
        <f>'Revenue drivers'!Z590</f>
        <v>0</v>
      </c>
      <c r="AA829">
        <f>'Revenue drivers'!AA590</f>
        <v>0</v>
      </c>
      <c r="AB829">
        <f>'Revenue drivers'!AB590</f>
        <v>0</v>
      </c>
      <c r="AC829">
        <f>'Revenue drivers'!AC590</f>
        <v>0</v>
      </c>
      <c r="AD829">
        <f>'Revenue drivers'!AD590</f>
        <v>0</v>
      </c>
      <c r="AE829">
        <f>'Revenue drivers'!AE590</f>
        <v>0</v>
      </c>
      <c r="AF829">
        <f>'Revenue drivers'!AF590</f>
        <v>0</v>
      </c>
      <c r="AG829">
        <f>'Revenue drivers'!AG590</f>
        <v>0</v>
      </c>
      <c r="AH829">
        <f>'Revenue drivers'!AH590</f>
        <v>0</v>
      </c>
      <c r="AI829">
        <f>'Revenue drivers'!AI590</f>
        <v>0</v>
      </c>
      <c r="AJ829">
        <f>'Revenue drivers'!AJ590</f>
        <v>0</v>
      </c>
      <c r="AK829">
        <f>'Revenue drivers'!AK590</f>
        <v>0</v>
      </c>
      <c r="AL829">
        <f>'Revenue drivers'!AL590</f>
        <v>0</v>
      </c>
      <c r="AM829">
        <f>'Revenue drivers'!AM590</f>
        <v>0</v>
      </c>
      <c r="AN829">
        <f>'Revenue drivers'!AN590</f>
        <v>0</v>
      </c>
      <c r="AO829">
        <f>'Revenue drivers'!AO590</f>
        <v>0</v>
      </c>
      <c r="AP829">
        <f>'Revenue drivers'!AP590</f>
        <v>0</v>
      </c>
      <c r="AQ829">
        <f>'Revenue drivers'!AQ590</f>
        <v>0</v>
      </c>
      <c r="AR829">
        <f>'Revenue drivers'!AR590</f>
        <v>0</v>
      </c>
      <c r="AS829">
        <f>'Revenue drivers'!AS590</f>
        <v>0</v>
      </c>
      <c r="AT829">
        <f>'Revenue drivers'!AT590</f>
        <v>0</v>
      </c>
      <c r="AU829">
        <f>'Revenue drivers'!AU590</f>
        <v>0</v>
      </c>
      <c r="AV829">
        <f>'Revenue drivers'!AV590</f>
        <v>0</v>
      </c>
      <c r="AW829">
        <f>'Revenue drivers'!AW590</f>
        <v>0</v>
      </c>
      <c r="AX829">
        <f>'Revenue drivers'!AX590</f>
        <v>0</v>
      </c>
      <c r="AY829">
        <f>'Revenue drivers'!AY590</f>
        <v>0</v>
      </c>
      <c r="AZ829">
        <f>'Revenue drivers'!AZ590</f>
        <v>0</v>
      </c>
      <c r="BA829">
        <f>'Revenue drivers'!BA590</f>
        <v>0</v>
      </c>
      <c r="BB829">
        <f>'Revenue drivers'!BB590</f>
        <v>0</v>
      </c>
      <c r="BC829">
        <f>'Revenue drivers'!BC590</f>
        <v>0</v>
      </c>
      <c r="BD829">
        <f>'Revenue drivers'!BD590</f>
        <v>0</v>
      </c>
      <c r="BE829">
        <f>'Revenue drivers'!BE590</f>
        <v>0</v>
      </c>
      <c r="BF829">
        <f>'Revenue drivers'!BF590</f>
        <v>0</v>
      </c>
      <c r="BG829">
        <f>'Revenue drivers'!BG590</f>
        <v>0</v>
      </c>
      <c r="BH829">
        <f>'Revenue drivers'!BH590</f>
        <v>0</v>
      </c>
      <c r="BI829">
        <f>'Revenue drivers'!BI590</f>
        <v>0</v>
      </c>
      <c r="BJ829">
        <f>'Revenue drivers'!BJ590</f>
        <v>0</v>
      </c>
      <c r="BK829">
        <f>'Revenue drivers'!BK590</f>
        <v>0</v>
      </c>
      <c r="BL829">
        <f>'Revenue drivers'!BL590</f>
        <v>0</v>
      </c>
      <c r="BM829">
        <f>'Revenue drivers'!BM590</f>
        <v>0</v>
      </c>
      <c r="BN829">
        <f>'Revenue drivers'!BN590</f>
        <v>0</v>
      </c>
      <c r="BO829">
        <f>'Revenue drivers'!BO590</f>
        <v>0</v>
      </c>
      <c r="BP829">
        <f>'Revenue drivers'!BP590</f>
        <v>0</v>
      </c>
      <c r="BQ829">
        <f>'Revenue drivers'!BQ590</f>
        <v>0</v>
      </c>
      <c r="BR829">
        <f>'Revenue drivers'!BR590</f>
        <v>0</v>
      </c>
      <c r="BS829">
        <f>'Revenue drivers'!BS590</f>
        <v>0</v>
      </c>
      <c r="BT829">
        <f>'Revenue drivers'!BT590</f>
        <v>0</v>
      </c>
      <c r="BU829">
        <f>'Revenue drivers'!BU590</f>
        <v>0</v>
      </c>
      <c r="BV829">
        <f>'Revenue drivers'!BV590</f>
        <v>0</v>
      </c>
      <c r="BW829">
        <f>'Revenue drivers'!BW590</f>
        <v>0</v>
      </c>
      <c r="BX829">
        <f>'Revenue drivers'!BX590</f>
        <v>0</v>
      </c>
      <c r="BY829">
        <f>'Revenue drivers'!BY590</f>
        <v>0</v>
      </c>
    </row>
    <row r="830" spans="9:77" ht="11.25" customHeight="1">
      <c r="I830" t="str">
        <f>'Revenue drivers'!I591</f>
        <v>CPC Revenue</v>
      </c>
      <c r="J830">
        <f>'Revenue drivers'!J591</f>
        <v>0</v>
      </c>
      <c r="K830">
        <f>'Revenue drivers'!K591</f>
        <v>0</v>
      </c>
      <c r="L830">
        <f>'Revenue drivers'!L591</f>
        <v>0</v>
      </c>
      <c r="M830">
        <f>'Revenue drivers'!M591</f>
        <v>0</v>
      </c>
      <c r="N830">
        <f>'Revenue drivers'!N591</f>
        <v>0</v>
      </c>
      <c r="O830">
        <f>'Revenue drivers'!O591</f>
        <v>0</v>
      </c>
      <c r="P830">
        <f>'Revenue drivers'!P591</f>
        <v>0</v>
      </c>
      <c r="Q830">
        <f>'Revenue drivers'!Q591</f>
        <v>0</v>
      </c>
      <c r="R830">
        <f>'Revenue drivers'!R591</f>
        <v>0</v>
      </c>
      <c r="S830">
        <f>'Revenue drivers'!S591</f>
        <v>0</v>
      </c>
      <c r="T830">
        <f>'Revenue drivers'!T591</f>
        <v>0</v>
      </c>
      <c r="U830">
        <f>'Revenue drivers'!U591</f>
        <v>0</v>
      </c>
      <c r="V830">
        <f>'Revenue drivers'!V591</f>
        <v>0</v>
      </c>
      <c r="W830">
        <f>'Revenue drivers'!W591</f>
        <v>0</v>
      </c>
      <c r="X830">
        <f>'Revenue drivers'!X591</f>
        <v>0</v>
      </c>
      <c r="Y830">
        <f>'Revenue drivers'!Y591</f>
        <v>0</v>
      </c>
      <c r="Z830">
        <f>'Revenue drivers'!Z591</f>
        <v>0</v>
      </c>
      <c r="AA830">
        <f>'Revenue drivers'!AA591</f>
        <v>0</v>
      </c>
      <c r="AB830">
        <f>'Revenue drivers'!AB591</f>
        <v>0</v>
      </c>
      <c r="AC830">
        <f>'Revenue drivers'!AC591</f>
        <v>0</v>
      </c>
      <c r="AD830">
        <f>'Revenue drivers'!AD591</f>
        <v>0</v>
      </c>
      <c r="AE830">
        <f>'Revenue drivers'!AE591</f>
        <v>19.580360000000002</v>
      </c>
      <c r="AF830">
        <f>'Revenue drivers'!AF591</f>
        <v>29.791999999999998</v>
      </c>
      <c r="AG830">
        <f>'Revenue drivers'!AG591</f>
        <v>39.427999999999997</v>
      </c>
      <c r="AH830">
        <f>'Revenue drivers'!AH591</f>
        <v>49.625720000000001</v>
      </c>
      <c r="AI830">
        <f>'Revenue drivers'!AI591</f>
        <v>60.284640000000003</v>
      </c>
      <c r="AJ830">
        <f>'Revenue drivers'!AJ591</f>
        <v>76.769109999999998</v>
      </c>
      <c r="AK830">
        <f>'Revenue drivers'!AK591</f>
        <v>84.25076</v>
      </c>
      <c r="AL830">
        <f>'Revenue drivers'!AL591</f>
        <v>0</v>
      </c>
      <c r="AM830">
        <f>'Revenue drivers'!AM591</f>
        <v>0</v>
      </c>
      <c r="AN830">
        <f>'Revenue drivers'!AN591</f>
        <v>0</v>
      </c>
      <c r="AO830">
        <f>'Revenue drivers'!AO591</f>
        <v>0</v>
      </c>
      <c r="AP830">
        <f>'Revenue drivers'!AP591</f>
        <v>0</v>
      </c>
      <c r="AQ830">
        <f>'Revenue drivers'!AQ591</f>
        <v>0</v>
      </c>
      <c r="AR830">
        <f>'Revenue drivers'!AR591</f>
        <v>0</v>
      </c>
      <c r="AS830">
        <f>'Revenue drivers'!AS591</f>
        <v>0</v>
      </c>
      <c r="AT830">
        <f>'Revenue drivers'!AT591</f>
        <v>0</v>
      </c>
      <c r="AU830">
        <f>'Revenue drivers'!AU591</f>
        <v>0</v>
      </c>
      <c r="AV830">
        <f>'Revenue drivers'!AV591</f>
        <v>0</v>
      </c>
      <c r="AW830">
        <f>'Revenue drivers'!AW591</f>
        <v>0</v>
      </c>
      <c r="AX830">
        <f>'Revenue drivers'!AX591</f>
        <v>0</v>
      </c>
      <c r="AY830">
        <f>'Revenue drivers'!AY591</f>
        <v>0</v>
      </c>
      <c r="AZ830">
        <f>'Revenue drivers'!AZ591</f>
        <v>0</v>
      </c>
      <c r="BA830">
        <f>'Revenue drivers'!BA591</f>
        <v>0</v>
      </c>
      <c r="BB830">
        <f>'Revenue drivers'!BB591</f>
        <v>0</v>
      </c>
      <c r="BC830">
        <f>'Revenue drivers'!BC591</f>
        <v>0</v>
      </c>
      <c r="BD830">
        <f>'Revenue drivers'!BD591</f>
        <v>0</v>
      </c>
      <c r="BE830">
        <f>'Revenue drivers'!BE591</f>
        <v>0</v>
      </c>
      <c r="BF830">
        <f>'Revenue drivers'!BF591</f>
        <v>0</v>
      </c>
      <c r="BG830">
        <f>'Revenue drivers'!BG591</f>
        <v>0</v>
      </c>
      <c r="BH830">
        <f>'Revenue drivers'!BH591</f>
        <v>0</v>
      </c>
      <c r="BI830">
        <f>'Revenue drivers'!BI591</f>
        <v>0</v>
      </c>
      <c r="BJ830">
        <f>'Revenue drivers'!BJ591</f>
        <v>0</v>
      </c>
      <c r="BK830">
        <f>'Revenue drivers'!BK591</f>
        <v>0</v>
      </c>
      <c r="BL830">
        <f>'Revenue drivers'!BL591</f>
        <v>0</v>
      </c>
      <c r="BM830">
        <f>'Revenue drivers'!BM591</f>
        <v>0</v>
      </c>
      <c r="BN830">
        <f>'Revenue drivers'!BN591</f>
        <v>0</v>
      </c>
      <c r="BO830">
        <f>'Revenue drivers'!BO591</f>
        <v>0</v>
      </c>
      <c r="BP830">
        <f>'Revenue drivers'!BP591</f>
        <v>0</v>
      </c>
      <c r="BQ830">
        <f>'Revenue drivers'!BQ591</f>
        <v>0</v>
      </c>
      <c r="BR830">
        <f>'Revenue drivers'!BR591</f>
        <v>0</v>
      </c>
      <c r="BS830">
        <f>'Revenue drivers'!BS591</f>
        <v>0</v>
      </c>
      <c r="BT830">
        <f>'Revenue drivers'!BT591</f>
        <v>0</v>
      </c>
      <c r="BU830">
        <f>'Revenue drivers'!BU591</f>
        <v>0</v>
      </c>
      <c r="BV830">
        <f>'Revenue drivers'!BV591</f>
        <v>0</v>
      </c>
      <c r="BW830">
        <f>'Revenue drivers'!BW591</f>
        <v>0</v>
      </c>
      <c r="BX830">
        <f>'Revenue drivers'!BX591</f>
        <v>0</v>
      </c>
      <c r="BY830">
        <f>'Revenue drivers'!BY591</f>
        <v>0</v>
      </c>
    </row>
    <row r="831" spans="9:77" ht="11.25" customHeight="1">
      <c r="I831" t="str">
        <f>'Revenue drivers'!I592</f>
        <v>Display Revenue</v>
      </c>
      <c r="J831">
        <f>'Revenue drivers'!J592</f>
        <v>0</v>
      </c>
      <c r="K831">
        <f>'Revenue drivers'!K592</f>
        <v>0</v>
      </c>
      <c r="L831">
        <f>'Revenue drivers'!L592</f>
        <v>0</v>
      </c>
      <c r="M831">
        <f>'Revenue drivers'!M592</f>
        <v>0</v>
      </c>
      <c r="N831">
        <f>'Revenue drivers'!N592</f>
        <v>0</v>
      </c>
      <c r="O831">
        <f>'Revenue drivers'!O592</f>
        <v>0</v>
      </c>
      <c r="P831">
        <f>'Revenue drivers'!P592</f>
        <v>0</v>
      </c>
      <c r="Q831">
        <f>'Revenue drivers'!Q592</f>
        <v>0</v>
      </c>
      <c r="R831">
        <f>'Revenue drivers'!R592</f>
        <v>0</v>
      </c>
      <c r="S831">
        <f>'Revenue drivers'!S592</f>
        <v>0</v>
      </c>
      <c r="T831">
        <f>'Revenue drivers'!T592</f>
        <v>0</v>
      </c>
      <c r="U831">
        <f>'Revenue drivers'!U592</f>
        <v>0</v>
      </c>
      <c r="V831">
        <f>'Revenue drivers'!V592</f>
        <v>0</v>
      </c>
      <c r="W831">
        <f>'Revenue drivers'!W592</f>
        <v>0</v>
      </c>
      <c r="X831">
        <f>'Revenue drivers'!X592</f>
        <v>0</v>
      </c>
      <c r="Y831">
        <f>'Revenue drivers'!Y592</f>
        <v>0</v>
      </c>
      <c r="Z831">
        <f>'Revenue drivers'!Z592</f>
        <v>0</v>
      </c>
      <c r="AA831">
        <f>'Revenue drivers'!AA592</f>
        <v>0</v>
      </c>
      <c r="AB831">
        <f>'Revenue drivers'!AB592</f>
        <v>0</v>
      </c>
      <c r="AC831">
        <f>'Revenue drivers'!AC592</f>
        <v>0</v>
      </c>
      <c r="AD831">
        <f>'Revenue drivers'!AD592</f>
        <v>0</v>
      </c>
      <c r="AE831">
        <f>'Revenue drivers'!AE592</f>
        <v>96.351640000000003</v>
      </c>
      <c r="AF831">
        <f>'Revenue drivers'!AF592</f>
        <v>96.058999999999997</v>
      </c>
      <c r="AG831">
        <f>'Revenue drivers'!AG592</f>
        <v>98.688000000000017</v>
      </c>
      <c r="AH831">
        <f>'Revenue drivers'!AH592</f>
        <v>102.25327999999999</v>
      </c>
      <c r="AI831">
        <f>'Revenue drivers'!AI592</f>
        <v>103.31536</v>
      </c>
      <c r="AJ831">
        <f>'Revenue drivers'!AJ592</f>
        <v>94.330889999999997</v>
      </c>
      <c r="AK831">
        <f>'Revenue drivers'!AK592</f>
        <v>92.74924</v>
      </c>
      <c r="AL831">
        <f>'Revenue drivers'!AL592</f>
        <v>0</v>
      </c>
      <c r="AM831">
        <f>'Revenue drivers'!AM592</f>
        <v>0</v>
      </c>
      <c r="AN831">
        <f>'Revenue drivers'!AN592</f>
        <v>0</v>
      </c>
      <c r="AO831">
        <f>'Revenue drivers'!AO592</f>
        <v>0</v>
      </c>
      <c r="AP831">
        <f>'Revenue drivers'!AP592</f>
        <v>0</v>
      </c>
      <c r="AQ831">
        <f>'Revenue drivers'!AQ592</f>
        <v>0</v>
      </c>
      <c r="AR831">
        <f>'Revenue drivers'!AR592</f>
        <v>0</v>
      </c>
      <c r="AS831">
        <f>'Revenue drivers'!AS592</f>
        <v>0</v>
      </c>
      <c r="AT831">
        <f>'Revenue drivers'!AT592</f>
        <v>0</v>
      </c>
      <c r="AU831">
        <f>'Revenue drivers'!AU592</f>
        <v>0</v>
      </c>
      <c r="AV831">
        <f>'Revenue drivers'!AV592</f>
        <v>0</v>
      </c>
      <c r="AW831">
        <f>'Revenue drivers'!AW592</f>
        <v>0</v>
      </c>
      <c r="AX831">
        <f>'Revenue drivers'!AX592</f>
        <v>0</v>
      </c>
      <c r="AY831">
        <f>'Revenue drivers'!AY592</f>
        <v>0</v>
      </c>
      <c r="AZ831">
        <f>'Revenue drivers'!AZ592</f>
        <v>0</v>
      </c>
      <c r="BA831">
        <f>'Revenue drivers'!BA592</f>
        <v>0</v>
      </c>
      <c r="BB831">
        <f>'Revenue drivers'!BB592</f>
        <v>0</v>
      </c>
      <c r="BC831">
        <f>'Revenue drivers'!BC592</f>
        <v>0</v>
      </c>
      <c r="BD831">
        <f>'Revenue drivers'!BD592</f>
        <v>0</v>
      </c>
      <c r="BE831">
        <f>'Revenue drivers'!BE592</f>
        <v>0</v>
      </c>
      <c r="BF831">
        <f>'Revenue drivers'!BF592</f>
        <v>0</v>
      </c>
      <c r="BG831">
        <f>'Revenue drivers'!BG592</f>
        <v>0</v>
      </c>
      <c r="BH831">
        <f>'Revenue drivers'!BH592</f>
        <v>0</v>
      </c>
      <c r="BI831">
        <f>'Revenue drivers'!BI592</f>
        <v>0</v>
      </c>
      <c r="BJ831">
        <f>'Revenue drivers'!BJ592</f>
        <v>0</v>
      </c>
      <c r="BK831">
        <f>'Revenue drivers'!BK592</f>
        <v>0</v>
      </c>
      <c r="BL831">
        <f>'Revenue drivers'!BL592</f>
        <v>0</v>
      </c>
      <c r="BM831">
        <f>'Revenue drivers'!BM592</f>
        <v>0</v>
      </c>
      <c r="BN831">
        <f>'Revenue drivers'!BN592</f>
        <v>0</v>
      </c>
      <c r="BO831">
        <f>'Revenue drivers'!BO592</f>
        <v>0</v>
      </c>
      <c r="BP831">
        <f>'Revenue drivers'!BP592</f>
        <v>0</v>
      </c>
      <c r="BQ831">
        <f>'Revenue drivers'!BQ592</f>
        <v>0</v>
      </c>
      <c r="BR831">
        <f>'Revenue drivers'!BR592</f>
        <v>0</v>
      </c>
      <c r="BS831">
        <f>'Revenue drivers'!BS592</f>
        <v>0</v>
      </c>
      <c r="BT831">
        <f>'Revenue drivers'!BT592</f>
        <v>0</v>
      </c>
      <c r="BU831">
        <f>'Revenue drivers'!BU592</f>
        <v>0</v>
      </c>
      <c r="BV831">
        <f>'Revenue drivers'!BV592</f>
        <v>0</v>
      </c>
      <c r="BW831">
        <f>'Revenue drivers'!BW592</f>
        <v>0</v>
      </c>
      <c r="BX831">
        <f>'Revenue drivers'!BX592</f>
        <v>0</v>
      </c>
      <c r="BY831">
        <f>'Revenue drivers'!BY592</f>
        <v>0</v>
      </c>
    </row>
    <row r="832" spans="9:77" ht="11.25" customHeight="1">
      <c r="I832">
        <f>'Revenue drivers'!I593</f>
        <v>0</v>
      </c>
      <c r="J832">
        <f>'Revenue drivers'!J593</f>
        <v>0</v>
      </c>
      <c r="K832">
        <f>'Revenue drivers'!K593</f>
        <v>0</v>
      </c>
      <c r="L832">
        <f>'Revenue drivers'!L593</f>
        <v>0</v>
      </c>
      <c r="M832">
        <f>'Revenue drivers'!M593</f>
        <v>0</v>
      </c>
      <c r="N832">
        <f>'Revenue drivers'!N593</f>
        <v>0</v>
      </c>
      <c r="O832">
        <f>'Revenue drivers'!O593</f>
        <v>0</v>
      </c>
      <c r="P832">
        <f>'Revenue drivers'!P593</f>
        <v>0</v>
      </c>
      <c r="Q832">
        <f>'Revenue drivers'!Q593</f>
        <v>0</v>
      </c>
      <c r="R832">
        <f>'Revenue drivers'!R593</f>
        <v>0</v>
      </c>
      <c r="S832">
        <f>'Revenue drivers'!S593</f>
        <v>0</v>
      </c>
      <c r="T832">
        <f>'Revenue drivers'!T593</f>
        <v>0</v>
      </c>
      <c r="U832">
        <f>'Revenue drivers'!U593</f>
        <v>0</v>
      </c>
      <c r="V832">
        <f>'Revenue drivers'!V593</f>
        <v>0</v>
      </c>
      <c r="W832">
        <f>'Revenue drivers'!W593</f>
        <v>0</v>
      </c>
      <c r="X832">
        <f>'Revenue drivers'!X593</f>
        <v>0</v>
      </c>
      <c r="Y832">
        <f>'Revenue drivers'!Y593</f>
        <v>0</v>
      </c>
      <c r="Z832">
        <f>'Revenue drivers'!Z593</f>
        <v>0</v>
      </c>
      <c r="AA832">
        <f>'Revenue drivers'!AA593</f>
        <v>0</v>
      </c>
      <c r="AB832">
        <f>'Revenue drivers'!AB593</f>
        <v>0</v>
      </c>
      <c r="AC832">
        <f>'Revenue drivers'!AC593</f>
        <v>0</v>
      </c>
      <c r="AD832">
        <f>'Revenue drivers'!AD593</f>
        <v>0</v>
      </c>
      <c r="AE832">
        <f>'Revenue drivers'!AE593</f>
        <v>0</v>
      </c>
      <c r="AF832">
        <f>'Revenue drivers'!AF593</f>
        <v>0</v>
      </c>
      <c r="AG832">
        <f>'Revenue drivers'!AG593</f>
        <v>0</v>
      </c>
      <c r="AH832">
        <f>'Revenue drivers'!AH593</f>
        <v>0</v>
      </c>
      <c r="AI832">
        <f>'Revenue drivers'!AI593</f>
        <v>0</v>
      </c>
      <c r="AJ832">
        <f>'Revenue drivers'!AJ593</f>
        <v>0</v>
      </c>
      <c r="AK832">
        <f>'Revenue drivers'!AK593</f>
        <v>0</v>
      </c>
      <c r="AL832">
        <f>'Revenue drivers'!AL593</f>
        <v>0</v>
      </c>
      <c r="AM832">
        <f>'Revenue drivers'!AM593</f>
        <v>0</v>
      </c>
      <c r="AN832">
        <f>'Revenue drivers'!AN593</f>
        <v>0</v>
      </c>
      <c r="AO832">
        <f>'Revenue drivers'!AO593</f>
        <v>0</v>
      </c>
      <c r="AP832">
        <f>'Revenue drivers'!AP593</f>
        <v>0</v>
      </c>
      <c r="AQ832">
        <f>'Revenue drivers'!AQ593</f>
        <v>0</v>
      </c>
      <c r="AR832">
        <f>'Revenue drivers'!AR593</f>
        <v>0</v>
      </c>
      <c r="AS832">
        <f>'Revenue drivers'!AS593</f>
        <v>0</v>
      </c>
      <c r="AT832">
        <f>'Revenue drivers'!AT593</f>
        <v>0</v>
      </c>
      <c r="AU832">
        <f>'Revenue drivers'!AU593</f>
        <v>0</v>
      </c>
      <c r="AV832">
        <f>'Revenue drivers'!AV593</f>
        <v>0</v>
      </c>
      <c r="AW832">
        <f>'Revenue drivers'!AW593</f>
        <v>0</v>
      </c>
      <c r="AX832">
        <f>'Revenue drivers'!AX593</f>
        <v>0</v>
      </c>
      <c r="AY832">
        <f>'Revenue drivers'!AY593</f>
        <v>0</v>
      </c>
      <c r="AZ832">
        <f>'Revenue drivers'!AZ593</f>
        <v>0</v>
      </c>
      <c r="BA832">
        <f>'Revenue drivers'!BA593</f>
        <v>0</v>
      </c>
      <c r="BB832">
        <f>'Revenue drivers'!BB593</f>
        <v>0</v>
      </c>
      <c r="BC832">
        <f>'Revenue drivers'!BC593</f>
        <v>0</v>
      </c>
      <c r="BD832">
        <f>'Revenue drivers'!BD593</f>
        <v>0</v>
      </c>
      <c r="BE832">
        <f>'Revenue drivers'!BE593</f>
        <v>0</v>
      </c>
      <c r="BF832">
        <f>'Revenue drivers'!BF593</f>
        <v>0</v>
      </c>
      <c r="BG832">
        <f>'Revenue drivers'!BG593</f>
        <v>0</v>
      </c>
      <c r="BH832">
        <f>'Revenue drivers'!BH593</f>
        <v>0</v>
      </c>
      <c r="BI832">
        <f>'Revenue drivers'!BI593</f>
        <v>0</v>
      </c>
      <c r="BJ832">
        <f>'Revenue drivers'!BJ593</f>
        <v>0</v>
      </c>
      <c r="BK832">
        <f>'Revenue drivers'!BK593</f>
        <v>0</v>
      </c>
      <c r="BL832">
        <f>'Revenue drivers'!BL593</f>
        <v>0</v>
      </c>
      <c r="BM832">
        <f>'Revenue drivers'!BM593</f>
        <v>0</v>
      </c>
      <c r="BN832">
        <f>'Revenue drivers'!BN593</f>
        <v>0</v>
      </c>
      <c r="BO832">
        <f>'Revenue drivers'!BO593</f>
        <v>0</v>
      </c>
      <c r="BP832">
        <f>'Revenue drivers'!BP593</f>
        <v>0</v>
      </c>
      <c r="BQ832">
        <f>'Revenue drivers'!BQ593</f>
        <v>0</v>
      </c>
      <c r="BR832">
        <f>'Revenue drivers'!BR593</f>
        <v>0</v>
      </c>
      <c r="BS832">
        <f>'Revenue drivers'!BS593</f>
        <v>0</v>
      </c>
      <c r="BT832">
        <f>'Revenue drivers'!BT593</f>
        <v>0</v>
      </c>
      <c r="BU832">
        <f>'Revenue drivers'!BU593</f>
        <v>0</v>
      </c>
      <c r="BV832">
        <f>'Revenue drivers'!BV593</f>
        <v>0</v>
      </c>
      <c r="BW832">
        <f>'Revenue drivers'!BW593</f>
        <v>0</v>
      </c>
      <c r="BX832">
        <f>'Revenue drivers'!BX593</f>
        <v>0</v>
      </c>
      <c r="BY832">
        <f>'Revenue drivers'!BY593</f>
        <v>0</v>
      </c>
    </row>
    <row r="837" spans="9:77" ht="11.25" customHeight="1">
      <c r="I837">
        <f>'Revenue drivers'!I594</f>
        <v>0</v>
      </c>
      <c r="J837">
        <f>'Revenue drivers'!J594</f>
        <v>0</v>
      </c>
      <c r="K837">
        <f>'Revenue drivers'!K594</f>
        <v>0</v>
      </c>
      <c r="L837">
        <f>'Revenue drivers'!L594</f>
        <v>0</v>
      </c>
      <c r="M837">
        <f>'Revenue drivers'!M594</f>
        <v>0</v>
      </c>
      <c r="N837">
        <f>'Revenue drivers'!N594</f>
        <v>0</v>
      </c>
      <c r="O837">
        <f>'Revenue drivers'!O594</f>
        <v>0</v>
      </c>
      <c r="P837">
        <f>'Revenue drivers'!P594</f>
        <v>0</v>
      </c>
      <c r="Q837">
        <f>'Revenue drivers'!Q594</f>
        <v>0</v>
      </c>
      <c r="R837">
        <f>'Revenue drivers'!R594</f>
        <v>0</v>
      </c>
      <c r="S837">
        <f>'Revenue drivers'!S594</f>
        <v>0</v>
      </c>
      <c r="T837">
        <f>'Revenue drivers'!T594</f>
        <v>0</v>
      </c>
      <c r="U837">
        <f>'Revenue drivers'!U594</f>
        <v>0</v>
      </c>
      <c r="V837">
        <f>'Revenue drivers'!V594</f>
        <v>0</v>
      </c>
      <c r="W837">
        <f>'Revenue drivers'!W594</f>
        <v>0</v>
      </c>
      <c r="X837">
        <f>'Revenue drivers'!X594</f>
        <v>0</v>
      </c>
      <c r="Y837">
        <f>'Revenue drivers'!Y594</f>
        <v>0</v>
      </c>
      <c r="Z837">
        <f>'Revenue drivers'!Z594</f>
        <v>0</v>
      </c>
      <c r="AA837">
        <f>'Revenue drivers'!AA594</f>
        <v>0</v>
      </c>
      <c r="AB837">
        <f>'Revenue drivers'!AB594</f>
        <v>0</v>
      </c>
      <c r="AC837">
        <f>'Revenue drivers'!AC594</f>
        <v>0</v>
      </c>
      <c r="AD837">
        <f>'Revenue drivers'!AD594</f>
        <v>0</v>
      </c>
      <c r="AE837">
        <f>'Revenue drivers'!AE594</f>
        <v>0</v>
      </c>
      <c r="AF837">
        <f>'Revenue drivers'!AF594</f>
        <v>0</v>
      </c>
      <c r="AG837">
        <f>'Revenue drivers'!AG594</f>
        <v>0</v>
      </c>
      <c r="AH837">
        <f>'Revenue drivers'!AH594</f>
        <v>0</v>
      </c>
      <c r="AI837">
        <f>'Revenue drivers'!AI594</f>
        <v>0</v>
      </c>
      <c r="AJ837">
        <f>'Revenue drivers'!AJ594</f>
        <v>0</v>
      </c>
      <c r="AK837">
        <f>'Revenue drivers'!AK594</f>
        <v>0</v>
      </c>
      <c r="AL837">
        <f>'Revenue drivers'!AL594</f>
        <v>0</v>
      </c>
      <c r="AM837">
        <f>'Revenue drivers'!AM594</f>
        <v>0</v>
      </c>
      <c r="AN837">
        <f>'Revenue drivers'!AN594</f>
        <v>0</v>
      </c>
      <c r="AO837">
        <f>'Revenue drivers'!AO594</f>
        <v>0</v>
      </c>
      <c r="AP837">
        <f>'Revenue drivers'!AP594</f>
        <v>0</v>
      </c>
      <c r="AQ837">
        <f>'Revenue drivers'!AQ594</f>
        <v>0</v>
      </c>
      <c r="AR837">
        <f>'Revenue drivers'!AR594</f>
        <v>0</v>
      </c>
      <c r="AS837">
        <f>'Revenue drivers'!AS594</f>
        <v>0</v>
      </c>
      <c r="AT837">
        <f>'Revenue drivers'!AT594</f>
        <v>0</v>
      </c>
      <c r="AU837">
        <f>'Revenue drivers'!AU594</f>
        <v>0</v>
      </c>
      <c r="AV837">
        <f>'Revenue drivers'!AV594</f>
        <v>0</v>
      </c>
      <c r="AW837">
        <f>'Revenue drivers'!AW594</f>
        <v>0</v>
      </c>
      <c r="AX837">
        <f>'Revenue drivers'!AX594</f>
        <v>0</v>
      </c>
      <c r="AY837">
        <f>'Revenue drivers'!AY594</f>
        <v>0</v>
      </c>
      <c r="AZ837">
        <f>'Revenue drivers'!AZ594</f>
        <v>0</v>
      </c>
      <c r="BA837">
        <f>'Revenue drivers'!BA594</f>
        <v>0</v>
      </c>
      <c r="BB837">
        <f>'Revenue drivers'!BB594</f>
        <v>0</v>
      </c>
      <c r="BC837">
        <f>'Revenue drivers'!BC594</f>
        <v>0</v>
      </c>
      <c r="BD837">
        <f>'Revenue drivers'!BD594</f>
        <v>0</v>
      </c>
      <c r="BE837">
        <f>'Revenue drivers'!BE594</f>
        <v>0</v>
      </c>
      <c r="BF837">
        <f>'Revenue drivers'!BF594</f>
        <v>0</v>
      </c>
      <c r="BG837">
        <f>'Revenue drivers'!BG594</f>
        <v>0</v>
      </c>
      <c r="BH837">
        <f>'Revenue drivers'!BH594</f>
        <v>0</v>
      </c>
      <c r="BI837">
        <f>'Revenue drivers'!BI594</f>
        <v>0</v>
      </c>
      <c r="BJ837">
        <f>'Revenue drivers'!BJ594</f>
        <v>0</v>
      </c>
      <c r="BK837">
        <f>'Revenue drivers'!BK594</f>
        <v>0</v>
      </c>
      <c r="BL837">
        <f>'Revenue drivers'!BL594</f>
        <v>0</v>
      </c>
      <c r="BM837">
        <f>'Revenue drivers'!BM594</f>
        <v>0</v>
      </c>
      <c r="BN837">
        <f>'Revenue drivers'!BN594</f>
        <v>0</v>
      </c>
      <c r="BO837">
        <f>'Revenue drivers'!BO594</f>
        <v>0</v>
      </c>
      <c r="BP837">
        <f>'Revenue drivers'!BP594</f>
        <v>0</v>
      </c>
      <c r="BQ837">
        <f>'Revenue drivers'!BQ594</f>
        <v>0</v>
      </c>
      <c r="BR837">
        <f>'Revenue drivers'!BR594</f>
        <v>0</v>
      </c>
      <c r="BS837">
        <f>'Revenue drivers'!BS594</f>
        <v>0</v>
      </c>
      <c r="BT837">
        <f>'Revenue drivers'!BT594</f>
        <v>0</v>
      </c>
      <c r="BU837">
        <f>'Revenue drivers'!BU594</f>
        <v>0</v>
      </c>
      <c r="BV837">
        <f>'Revenue drivers'!BV594</f>
        <v>0</v>
      </c>
      <c r="BW837">
        <f>'Revenue drivers'!BW594</f>
        <v>0</v>
      </c>
      <c r="BX837">
        <f>'Revenue drivers'!BX594</f>
        <v>0</v>
      </c>
      <c r="BY837">
        <f>'Revenue drivers'!BY594</f>
        <v>0</v>
      </c>
    </row>
    <row r="838" spans="9:77" ht="11.25" customHeight="1">
      <c r="I838" t="str">
        <f>'Revenue drivers'!I595</f>
        <v>Cohort Sanity Check</v>
      </c>
      <c r="J838">
        <f>'Revenue drivers'!J595</f>
        <v>0</v>
      </c>
      <c r="K838">
        <f>'Revenue drivers'!K595</f>
        <v>0</v>
      </c>
      <c r="L838">
        <f>'Revenue drivers'!L595</f>
        <v>0</v>
      </c>
      <c r="M838">
        <f>'Revenue drivers'!M595</f>
        <v>0</v>
      </c>
      <c r="N838">
        <f>'Revenue drivers'!N595</f>
        <v>0</v>
      </c>
      <c r="O838">
        <f>'Revenue drivers'!O595</f>
        <v>0</v>
      </c>
      <c r="P838">
        <f>'Revenue drivers'!P595</f>
        <v>0</v>
      </c>
      <c r="Q838">
        <f>'Revenue drivers'!Q595</f>
        <v>0</v>
      </c>
      <c r="R838">
        <f>'Revenue drivers'!R595</f>
        <v>0</v>
      </c>
      <c r="S838">
        <f>'Revenue drivers'!S595</f>
        <v>0</v>
      </c>
      <c r="T838">
        <f>'Revenue drivers'!T595</f>
        <v>0</v>
      </c>
      <c r="U838">
        <f>'Revenue drivers'!U595</f>
        <v>0</v>
      </c>
      <c r="V838">
        <f>'Revenue drivers'!V595</f>
        <v>0</v>
      </c>
      <c r="W838">
        <f>'Revenue drivers'!W595</f>
        <v>0</v>
      </c>
      <c r="X838">
        <f>'Revenue drivers'!X595</f>
        <v>0</v>
      </c>
      <c r="Y838">
        <f>'Revenue drivers'!Y595</f>
        <v>0</v>
      </c>
      <c r="Z838">
        <f>'Revenue drivers'!Z595</f>
        <v>0</v>
      </c>
      <c r="AA838">
        <f>'Revenue drivers'!AA595</f>
        <v>0</v>
      </c>
      <c r="AB838">
        <f>'Revenue drivers'!AB595</f>
        <v>0</v>
      </c>
      <c r="AC838">
        <f>'Revenue drivers'!AC595</f>
        <v>0</v>
      </c>
      <c r="AD838">
        <f>'Revenue drivers'!AD595</f>
        <v>0</v>
      </c>
      <c r="AE838">
        <f>'Revenue drivers'!AE595</f>
        <v>0</v>
      </c>
      <c r="AF838">
        <f>'Revenue drivers'!AF595</f>
        <v>0</v>
      </c>
      <c r="AG838">
        <f>'Revenue drivers'!AG595</f>
        <v>0</v>
      </c>
      <c r="AH838">
        <f>'Revenue drivers'!AH595</f>
        <v>0</v>
      </c>
      <c r="AI838">
        <f>'Revenue drivers'!AI595</f>
        <v>0</v>
      </c>
      <c r="AJ838">
        <f>'Revenue drivers'!AJ595</f>
        <v>0</v>
      </c>
      <c r="AK838">
        <f>'Revenue drivers'!AK595</f>
        <v>0</v>
      </c>
      <c r="AL838">
        <f>'Revenue drivers'!AL595</f>
        <v>0</v>
      </c>
      <c r="AM838">
        <f>'Revenue drivers'!AM595</f>
        <v>0</v>
      </c>
      <c r="AN838">
        <f>'Revenue drivers'!AN595</f>
        <v>0</v>
      </c>
      <c r="AO838">
        <f>'Revenue drivers'!AO595</f>
        <v>0</v>
      </c>
      <c r="AP838">
        <f>'Revenue drivers'!AP595</f>
        <v>0</v>
      </c>
      <c r="AQ838">
        <f>'Revenue drivers'!AQ595</f>
        <v>0</v>
      </c>
      <c r="AR838">
        <f>'Revenue drivers'!AR595</f>
        <v>0</v>
      </c>
      <c r="AS838">
        <f>'Revenue drivers'!AS595</f>
        <v>0</v>
      </c>
      <c r="AT838">
        <f>'Revenue drivers'!AT595</f>
        <v>0</v>
      </c>
      <c r="AU838">
        <f>'Revenue drivers'!AU595</f>
        <v>0</v>
      </c>
      <c r="AV838">
        <f>'Revenue drivers'!AV595</f>
        <v>0</v>
      </c>
      <c r="AW838">
        <f>'Revenue drivers'!AW595</f>
        <v>0</v>
      </c>
      <c r="AX838">
        <f>'Revenue drivers'!AX595</f>
        <v>0</v>
      </c>
      <c r="AY838">
        <f>'Revenue drivers'!AY595</f>
        <v>0</v>
      </c>
      <c r="AZ838">
        <f>'Revenue drivers'!AZ595</f>
        <v>0</v>
      </c>
      <c r="BA838">
        <f>'Revenue drivers'!BA595</f>
        <v>0</v>
      </c>
      <c r="BB838">
        <f>'Revenue drivers'!BB595</f>
        <v>0</v>
      </c>
      <c r="BC838">
        <f>'Revenue drivers'!BC595</f>
        <v>0</v>
      </c>
      <c r="BD838">
        <f>'Revenue drivers'!BD595</f>
        <v>0</v>
      </c>
      <c r="BE838">
        <f>'Revenue drivers'!BE595</f>
        <v>0</v>
      </c>
      <c r="BF838">
        <f>'Revenue drivers'!BF595</f>
        <v>0</v>
      </c>
      <c r="BG838">
        <f>'Revenue drivers'!BG595</f>
        <v>0</v>
      </c>
      <c r="BH838">
        <f>'Revenue drivers'!BH595</f>
        <v>0</v>
      </c>
      <c r="BI838">
        <f>'Revenue drivers'!BI595</f>
        <v>0</v>
      </c>
      <c r="BJ838">
        <f>'Revenue drivers'!BJ595</f>
        <v>0</v>
      </c>
      <c r="BK838">
        <f>'Revenue drivers'!BK595</f>
        <v>0</v>
      </c>
      <c r="BL838">
        <f>'Revenue drivers'!BL595</f>
        <v>0</v>
      </c>
      <c r="BM838">
        <f>'Revenue drivers'!BM595</f>
        <v>0</v>
      </c>
      <c r="BN838">
        <f>'Revenue drivers'!BN595</f>
        <v>0</v>
      </c>
      <c r="BO838">
        <f>'Revenue drivers'!BO595</f>
        <v>0</v>
      </c>
      <c r="BP838">
        <f>'Revenue drivers'!BP595</f>
        <v>0</v>
      </c>
      <c r="BQ838">
        <f>'Revenue drivers'!BQ595</f>
        <v>0</v>
      </c>
      <c r="BR838">
        <f>'Revenue drivers'!BR595</f>
        <v>0</v>
      </c>
      <c r="BS838">
        <f>'Revenue drivers'!BS595</f>
        <v>0</v>
      </c>
      <c r="BT838">
        <f>'Revenue drivers'!BT595</f>
        <v>0</v>
      </c>
      <c r="BU838">
        <f>'Revenue drivers'!BU595</f>
        <v>0</v>
      </c>
      <c r="BV838">
        <f>'Revenue drivers'!BV595</f>
        <v>0</v>
      </c>
      <c r="BW838">
        <f>'Revenue drivers'!BW595</f>
        <v>0</v>
      </c>
      <c r="BX838">
        <f>'Revenue drivers'!BX595</f>
        <v>0</v>
      </c>
      <c r="BY838">
        <f>'Revenue drivers'!BY595</f>
        <v>0</v>
      </c>
    </row>
    <row r="839" spans="9:77" ht="11.25" customHeight="1">
      <c r="I839">
        <f>'Revenue drivers'!I596</f>
        <v>0</v>
      </c>
      <c r="J839">
        <f>'Revenue drivers'!J596</f>
        <v>0</v>
      </c>
      <c r="K839">
        <f>'Revenue drivers'!K596</f>
        <v>0</v>
      </c>
      <c r="L839">
        <f>'Revenue drivers'!L596</f>
        <v>0</v>
      </c>
      <c r="M839">
        <f>'Revenue drivers'!M596</f>
        <v>0</v>
      </c>
      <c r="N839">
        <f>'Revenue drivers'!N596</f>
        <v>0</v>
      </c>
      <c r="O839">
        <f>'Revenue drivers'!O596</f>
        <v>0</v>
      </c>
      <c r="P839">
        <f>'Revenue drivers'!P596</f>
        <v>0</v>
      </c>
      <c r="Q839">
        <f>'Revenue drivers'!Q596</f>
        <v>0</v>
      </c>
      <c r="R839">
        <f>'Revenue drivers'!R596</f>
        <v>0</v>
      </c>
      <c r="S839">
        <f>'Revenue drivers'!S596</f>
        <v>0</v>
      </c>
      <c r="T839">
        <f>'Revenue drivers'!T596</f>
        <v>0</v>
      </c>
      <c r="U839">
        <f>'Revenue drivers'!U596</f>
        <v>0</v>
      </c>
      <c r="V839">
        <f>'Revenue drivers'!V596</f>
        <v>0</v>
      </c>
      <c r="W839">
        <f>'Revenue drivers'!W596</f>
        <v>0</v>
      </c>
      <c r="X839">
        <f>'Revenue drivers'!X596</f>
        <v>0</v>
      </c>
      <c r="Y839">
        <f>'Revenue drivers'!Y596</f>
        <v>0</v>
      </c>
      <c r="Z839">
        <f>'Revenue drivers'!Z596</f>
        <v>0</v>
      </c>
      <c r="AA839">
        <f>'Revenue drivers'!AA596</f>
        <v>0</v>
      </c>
      <c r="AB839">
        <f>'Revenue drivers'!AB596</f>
        <v>0</v>
      </c>
      <c r="AC839">
        <f>'Revenue drivers'!AC596</f>
        <v>0</v>
      </c>
      <c r="AD839">
        <f>'Revenue drivers'!AD596</f>
        <v>0</v>
      </c>
      <c r="AE839">
        <f>'Revenue drivers'!AE596</f>
        <v>0</v>
      </c>
      <c r="AF839">
        <f>'Revenue drivers'!AF596</f>
        <v>0</v>
      </c>
      <c r="AG839">
        <f>'Revenue drivers'!AG596</f>
        <v>0</v>
      </c>
      <c r="AH839">
        <f>'Revenue drivers'!AH596</f>
        <v>0</v>
      </c>
      <c r="AI839">
        <f>'Revenue drivers'!AI596</f>
        <v>0</v>
      </c>
      <c r="AJ839">
        <f>'Revenue drivers'!AJ596</f>
        <v>0</v>
      </c>
      <c r="AK839">
        <f>'Revenue drivers'!AK596</f>
        <v>0</v>
      </c>
      <c r="AL839">
        <f>'Revenue drivers'!AL596</f>
        <v>0</v>
      </c>
      <c r="AM839">
        <f>'Revenue drivers'!AM596</f>
        <v>0</v>
      </c>
      <c r="AN839">
        <f>'Revenue drivers'!AN596</f>
        <v>0</v>
      </c>
      <c r="AO839">
        <f>'Revenue drivers'!AO596</f>
        <v>0</v>
      </c>
      <c r="AP839">
        <f>'Revenue drivers'!AP596</f>
        <v>0</v>
      </c>
      <c r="AQ839">
        <f>'Revenue drivers'!AQ596</f>
        <v>0</v>
      </c>
      <c r="AR839">
        <f>'Revenue drivers'!AR596</f>
        <v>0</v>
      </c>
      <c r="AS839">
        <f>'Revenue drivers'!AS596</f>
        <v>0</v>
      </c>
      <c r="AT839">
        <f>'Revenue drivers'!AT596</f>
        <v>0</v>
      </c>
      <c r="AU839">
        <f>'Revenue drivers'!AU596</f>
        <v>0</v>
      </c>
      <c r="AV839">
        <f>'Revenue drivers'!AV596</f>
        <v>0</v>
      </c>
      <c r="AW839">
        <f>'Revenue drivers'!AW596</f>
        <v>0</v>
      </c>
      <c r="AX839">
        <f>'Revenue drivers'!AX596</f>
        <v>0</v>
      </c>
      <c r="AY839">
        <f>'Revenue drivers'!AY596</f>
        <v>0</v>
      </c>
      <c r="AZ839">
        <f>'Revenue drivers'!AZ596</f>
        <v>0</v>
      </c>
      <c r="BA839">
        <f>'Revenue drivers'!BA596</f>
        <v>0</v>
      </c>
      <c r="BB839">
        <f>'Revenue drivers'!BB596</f>
        <v>0</v>
      </c>
      <c r="BC839">
        <f>'Revenue drivers'!BC596</f>
        <v>0</v>
      </c>
      <c r="BD839">
        <f>'Revenue drivers'!BD596</f>
        <v>0</v>
      </c>
      <c r="BE839">
        <f>'Revenue drivers'!BE596</f>
        <v>0</v>
      </c>
      <c r="BF839">
        <f>'Revenue drivers'!BF596</f>
        <v>0</v>
      </c>
      <c r="BG839">
        <f>'Revenue drivers'!BG596</f>
        <v>0</v>
      </c>
      <c r="BH839">
        <f>'Revenue drivers'!BH596</f>
        <v>0</v>
      </c>
      <c r="BI839">
        <f>'Revenue drivers'!BI596</f>
        <v>0</v>
      </c>
      <c r="BJ839">
        <f>'Revenue drivers'!BJ596</f>
        <v>0</v>
      </c>
      <c r="BK839">
        <f>'Revenue drivers'!BK596</f>
        <v>0</v>
      </c>
      <c r="BL839">
        <f>'Revenue drivers'!BL596</f>
        <v>0</v>
      </c>
      <c r="BM839">
        <f>'Revenue drivers'!BM596</f>
        <v>0</v>
      </c>
      <c r="BN839">
        <f>'Revenue drivers'!BN596</f>
        <v>0</v>
      </c>
      <c r="BO839">
        <f>'Revenue drivers'!BO596</f>
        <v>0</v>
      </c>
      <c r="BP839">
        <f>'Revenue drivers'!BP596</f>
        <v>0</v>
      </c>
      <c r="BQ839">
        <f>'Revenue drivers'!BQ596</f>
        <v>0</v>
      </c>
      <c r="BR839">
        <f>'Revenue drivers'!BR596</f>
        <v>0</v>
      </c>
      <c r="BS839">
        <f>'Revenue drivers'!BS596</f>
        <v>0</v>
      </c>
      <c r="BT839">
        <f>'Revenue drivers'!BT596</f>
        <v>0</v>
      </c>
      <c r="BU839">
        <f>'Revenue drivers'!BU596</f>
        <v>0</v>
      </c>
      <c r="BV839">
        <f>'Revenue drivers'!BV596</f>
        <v>0</v>
      </c>
      <c r="BW839">
        <f>'Revenue drivers'!BW596</f>
        <v>0</v>
      </c>
      <c r="BX839">
        <f>'Revenue drivers'!BX596</f>
        <v>0</v>
      </c>
      <c r="BY839">
        <f>'Revenue drivers'!BY596</f>
        <v>0</v>
      </c>
    </row>
    <row r="840" spans="9:77" ht="11.25" customHeight="1">
      <c r="I840" t="str">
        <f>'Revenue drivers'!I597</f>
        <v>2005-2006</v>
      </c>
      <c r="J840">
        <f>'Revenue drivers'!J597</f>
        <v>0</v>
      </c>
      <c r="K840">
        <f>'Revenue drivers'!K597</f>
        <v>0</v>
      </c>
      <c r="L840">
        <f>'Revenue drivers'!L597</f>
        <v>0</v>
      </c>
      <c r="M840">
        <f>'Revenue drivers'!M597</f>
        <v>0</v>
      </c>
      <c r="N840">
        <f>'Revenue drivers'!N597</f>
        <v>0</v>
      </c>
      <c r="O840">
        <f>'Revenue drivers'!O597</f>
        <v>0</v>
      </c>
      <c r="P840">
        <f>'Revenue drivers'!P597</f>
        <v>0</v>
      </c>
      <c r="Q840">
        <f>'Revenue drivers'!Q597</f>
        <v>0</v>
      </c>
      <c r="R840">
        <f>'Revenue drivers'!R597</f>
        <v>0</v>
      </c>
      <c r="S840">
        <f>'Revenue drivers'!S597</f>
        <v>0</v>
      </c>
      <c r="T840">
        <f>'Revenue drivers'!T597</f>
        <v>0</v>
      </c>
      <c r="U840">
        <f>'Revenue drivers'!U597</f>
        <v>0</v>
      </c>
      <c r="V840">
        <f>'Revenue drivers'!V597</f>
        <v>0</v>
      </c>
      <c r="W840">
        <f>'Revenue drivers'!W597</f>
        <v>0</v>
      </c>
      <c r="X840">
        <f>'Revenue drivers'!X597</f>
        <v>0</v>
      </c>
      <c r="Y840">
        <f>'Revenue drivers'!Y597</f>
        <v>0</v>
      </c>
      <c r="Z840">
        <f>'Revenue drivers'!Z597</f>
        <v>0</v>
      </c>
      <c r="AA840">
        <f>'Revenue drivers'!AA597</f>
        <v>0</v>
      </c>
      <c r="AB840">
        <f>'Revenue drivers'!AB597</f>
        <v>0</v>
      </c>
      <c r="AC840">
        <f>'Revenue drivers'!AC597</f>
        <v>0</v>
      </c>
      <c r="AD840">
        <f>'Revenue drivers'!AD597</f>
        <v>0</v>
      </c>
      <c r="AE840">
        <f>'Revenue drivers'!AE597</f>
        <v>0</v>
      </c>
      <c r="AF840">
        <f>'Revenue drivers'!AF597</f>
        <v>0</v>
      </c>
      <c r="AG840">
        <f>'Revenue drivers'!AG597</f>
        <v>0</v>
      </c>
      <c r="AH840">
        <f>'Revenue drivers'!AH597</f>
        <v>0</v>
      </c>
      <c r="AI840">
        <f>'Revenue drivers'!AI597</f>
        <v>0</v>
      </c>
      <c r="AJ840">
        <f>'Revenue drivers'!AJ597</f>
        <v>0</v>
      </c>
      <c r="AK840">
        <f>'Revenue drivers'!AK597</f>
        <v>0</v>
      </c>
      <c r="AL840">
        <f>'Revenue drivers'!AL597</f>
        <v>0</v>
      </c>
      <c r="AM840">
        <f>'Revenue drivers'!AM597</f>
        <v>0</v>
      </c>
      <c r="AN840">
        <f>'Revenue drivers'!AN597</f>
        <v>0</v>
      </c>
      <c r="AO840">
        <f>'Revenue drivers'!AO597</f>
        <v>0</v>
      </c>
      <c r="AP840">
        <f>'Revenue drivers'!AP597</f>
        <v>0</v>
      </c>
      <c r="AQ840">
        <f>'Revenue drivers'!AQ597</f>
        <v>0</v>
      </c>
      <c r="AR840">
        <f>'Revenue drivers'!AR597</f>
        <v>0</v>
      </c>
      <c r="AS840">
        <f>'Revenue drivers'!AS597</f>
        <v>0</v>
      </c>
      <c r="AT840">
        <f>'Revenue drivers'!AT597</f>
        <v>0</v>
      </c>
      <c r="AU840">
        <f>'Revenue drivers'!AU597</f>
        <v>0</v>
      </c>
      <c r="AV840">
        <f>'Revenue drivers'!AV597</f>
        <v>0</v>
      </c>
      <c r="AW840">
        <f>'Revenue drivers'!AW597</f>
        <v>0</v>
      </c>
      <c r="AX840">
        <f>'Revenue drivers'!AX597</f>
        <v>0</v>
      </c>
      <c r="AY840">
        <f>'Revenue drivers'!AY597</f>
        <v>0</v>
      </c>
      <c r="AZ840">
        <f>'Revenue drivers'!AZ597</f>
        <v>0</v>
      </c>
      <c r="BA840">
        <f>'Revenue drivers'!BA597</f>
        <v>0</v>
      </c>
      <c r="BB840">
        <f>'Revenue drivers'!BB597</f>
        <v>0</v>
      </c>
      <c r="BC840">
        <f>'Revenue drivers'!BC597</f>
        <v>0</v>
      </c>
      <c r="BD840">
        <f>'Revenue drivers'!BD597</f>
        <v>0</v>
      </c>
      <c r="BE840">
        <f>'Revenue drivers'!BE597</f>
        <v>0</v>
      </c>
      <c r="BF840">
        <f>'Revenue drivers'!BF597</f>
        <v>0</v>
      </c>
      <c r="BG840">
        <f>'Revenue drivers'!BG597</f>
        <v>0</v>
      </c>
      <c r="BH840">
        <f>'Revenue drivers'!BH597</f>
        <v>0</v>
      </c>
      <c r="BI840">
        <f>'Revenue drivers'!BI597</f>
        <v>0</v>
      </c>
      <c r="BJ840">
        <f>'Revenue drivers'!BJ597</f>
        <v>0</v>
      </c>
      <c r="BK840">
        <f>'Revenue drivers'!BK597</f>
        <v>0</v>
      </c>
      <c r="BL840">
        <f>'Revenue drivers'!BL597</f>
        <v>0</v>
      </c>
      <c r="BM840">
        <f>'Revenue drivers'!BM597</f>
        <v>0</v>
      </c>
      <c r="BN840">
        <f>'Revenue drivers'!BN597</f>
        <v>0</v>
      </c>
      <c r="BO840">
        <f>'Revenue drivers'!BO597</f>
        <v>0</v>
      </c>
      <c r="BP840">
        <f>'Revenue drivers'!BP597</f>
        <v>0</v>
      </c>
      <c r="BQ840">
        <f>'Revenue drivers'!BQ597</f>
        <v>0</v>
      </c>
      <c r="BR840">
        <f>'Revenue drivers'!BR597</f>
        <v>0</v>
      </c>
      <c r="BS840">
        <f>'Revenue drivers'!BS597</f>
        <v>0</v>
      </c>
      <c r="BT840">
        <f>'Revenue drivers'!BT597</f>
        <v>0</v>
      </c>
      <c r="BU840">
        <f>'Revenue drivers'!BU597</f>
        <v>0</v>
      </c>
      <c r="BV840">
        <f>'Revenue drivers'!BV597</f>
        <v>0</v>
      </c>
      <c r="BW840">
        <f>'Revenue drivers'!BW597</f>
        <v>0</v>
      </c>
      <c r="BX840">
        <f>'Revenue drivers'!BX597</f>
        <v>0</v>
      </c>
      <c r="BY840">
        <f>'Revenue drivers'!BY597</f>
        <v>0</v>
      </c>
    </row>
    <row r="841" spans="9:77" ht="11.25" customHeight="1">
      <c r="I841">
        <f>'Revenue drivers'!I598</f>
        <v>0</v>
      </c>
      <c r="J841">
        <f>'Revenue drivers'!J598</f>
        <v>0</v>
      </c>
      <c r="K841">
        <f>'Revenue drivers'!K598</f>
        <v>0</v>
      </c>
      <c r="L841">
        <f>'Revenue drivers'!L598</f>
        <v>0</v>
      </c>
      <c r="M841">
        <f>'Revenue drivers'!M598</f>
        <v>0</v>
      </c>
      <c r="N841">
        <f>'Revenue drivers'!N598</f>
        <v>0</v>
      </c>
      <c r="O841">
        <f>'Revenue drivers'!O598</f>
        <v>0</v>
      </c>
      <c r="P841">
        <f>'Revenue drivers'!P598</f>
        <v>0</v>
      </c>
      <c r="Q841">
        <f>'Revenue drivers'!Q598</f>
        <v>0</v>
      </c>
      <c r="R841">
        <f>'Revenue drivers'!R598</f>
        <v>0</v>
      </c>
      <c r="S841">
        <f>'Revenue drivers'!S598</f>
        <v>0</v>
      </c>
      <c r="T841">
        <f>'Revenue drivers'!T598</f>
        <v>0</v>
      </c>
      <c r="U841">
        <f>'Revenue drivers'!U598</f>
        <v>0</v>
      </c>
      <c r="V841">
        <f>'Revenue drivers'!V598</f>
        <v>0</v>
      </c>
      <c r="W841">
        <f>'Revenue drivers'!W598</f>
        <v>0</v>
      </c>
      <c r="X841">
        <f>'Revenue drivers'!X598</f>
        <v>0</v>
      </c>
      <c r="Y841">
        <f>'Revenue drivers'!Y598</f>
        <v>0</v>
      </c>
      <c r="Z841">
        <f>'Revenue drivers'!Z598</f>
        <v>0</v>
      </c>
      <c r="AA841">
        <f>'Revenue drivers'!AA598</f>
        <v>0</v>
      </c>
      <c r="AB841">
        <f>'Revenue drivers'!AB598</f>
        <v>0</v>
      </c>
      <c r="AC841">
        <f>'Revenue drivers'!AC598</f>
        <v>0</v>
      </c>
      <c r="AD841">
        <f>'Revenue drivers'!AD598</f>
        <v>0</v>
      </c>
      <c r="AE841">
        <f>'Revenue drivers'!AE598</f>
        <v>0</v>
      </c>
      <c r="AF841">
        <f>'Revenue drivers'!AF598</f>
        <v>0</v>
      </c>
      <c r="AG841">
        <f>'Revenue drivers'!AG598</f>
        <v>0</v>
      </c>
      <c r="AH841">
        <f>'Revenue drivers'!AH598</f>
        <v>0</v>
      </c>
      <c r="AI841">
        <f>'Revenue drivers'!AI598</f>
        <v>0</v>
      </c>
      <c r="AJ841">
        <f>'Revenue drivers'!AJ598</f>
        <v>0</v>
      </c>
      <c r="AK841">
        <f>'Revenue drivers'!AK598</f>
        <v>0</v>
      </c>
      <c r="AL841">
        <f>'Revenue drivers'!AL598</f>
        <v>0</v>
      </c>
      <c r="AM841">
        <f>'Revenue drivers'!AM598</f>
        <v>0</v>
      </c>
      <c r="AN841">
        <f>'Revenue drivers'!AN598</f>
        <v>0</v>
      </c>
      <c r="AO841">
        <f>'Revenue drivers'!AO598</f>
        <v>0</v>
      </c>
      <c r="AP841">
        <f>'Revenue drivers'!AP598</f>
        <v>0</v>
      </c>
      <c r="AQ841">
        <f>'Revenue drivers'!AQ598</f>
        <v>0</v>
      </c>
      <c r="AR841">
        <f>'Revenue drivers'!AR598</f>
        <v>0</v>
      </c>
      <c r="AS841">
        <f>'Revenue drivers'!AS598</f>
        <v>0</v>
      </c>
      <c r="AT841">
        <f>'Revenue drivers'!AT598</f>
        <v>0</v>
      </c>
      <c r="AU841">
        <f>'Revenue drivers'!AU598</f>
        <v>0</v>
      </c>
      <c r="AV841">
        <f>'Revenue drivers'!AV598</f>
        <v>0</v>
      </c>
      <c r="AW841">
        <f>'Revenue drivers'!AW598</f>
        <v>0</v>
      </c>
      <c r="AX841">
        <f>'Revenue drivers'!AX598</f>
        <v>0</v>
      </c>
      <c r="AY841">
        <f>'Revenue drivers'!AY598</f>
        <v>0</v>
      </c>
      <c r="AZ841">
        <f>'Revenue drivers'!AZ598</f>
        <v>0</v>
      </c>
      <c r="BA841">
        <f>'Revenue drivers'!BA598</f>
        <v>0</v>
      </c>
      <c r="BB841">
        <f>'Revenue drivers'!BB598</f>
        <v>0</v>
      </c>
      <c r="BC841">
        <f>'Revenue drivers'!BC598</f>
        <v>0</v>
      </c>
      <c r="BD841">
        <f>'Revenue drivers'!BD598</f>
        <v>0</v>
      </c>
      <c r="BE841">
        <f>'Revenue drivers'!BE598</f>
        <v>0</v>
      </c>
      <c r="BF841">
        <f>'Revenue drivers'!BF598</f>
        <v>0</v>
      </c>
      <c r="BG841">
        <f>'Revenue drivers'!BG598</f>
        <v>0</v>
      </c>
      <c r="BH841">
        <f>'Revenue drivers'!BH598</f>
        <v>0</v>
      </c>
      <c r="BI841">
        <f>'Revenue drivers'!BI598</f>
        <v>0</v>
      </c>
      <c r="BJ841">
        <f>'Revenue drivers'!BJ598</f>
        <v>0</v>
      </c>
      <c r="BK841">
        <f>'Revenue drivers'!BK598</f>
        <v>0</v>
      </c>
      <c r="BL841">
        <f>'Revenue drivers'!BL598</f>
        <v>0</v>
      </c>
      <c r="BM841">
        <f>'Revenue drivers'!BM598</f>
        <v>0</v>
      </c>
      <c r="BN841">
        <f>'Revenue drivers'!BN598</f>
        <v>0</v>
      </c>
      <c r="BO841">
        <f>'Revenue drivers'!BO598</f>
        <v>0</v>
      </c>
      <c r="BP841">
        <f>'Revenue drivers'!BP598</f>
        <v>0</v>
      </c>
      <c r="BQ841">
        <f>'Revenue drivers'!BQ598</f>
        <v>0</v>
      </c>
      <c r="BR841">
        <f>'Revenue drivers'!BR598</f>
        <v>0</v>
      </c>
      <c r="BS841">
        <f>'Revenue drivers'!BS598</f>
        <v>0</v>
      </c>
      <c r="BT841">
        <f>'Revenue drivers'!BT598</f>
        <v>0</v>
      </c>
      <c r="BU841">
        <f>'Revenue drivers'!BU598</f>
        <v>0</v>
      </c>
      <c r="BV841">
        <f>'Revenue drivers'!BV598</f>
        <v>0</v>
      </c>
      <c r="BW841">
        <f>'Revenue drivers'!BW598</f>
        <v>0</v>
      </c>
      <c r="BX841">
        <f>'Revenue drivers'!BX598</f>
        <v>0</v>
      </c>
      <c r="BY841">
        <f>'Revenue drivers'!BY598</f>
        <v>0</v>
      </c>
    </row>
    <row r="842" spans="9:77" ht="11.25" customHeight="1">
      <c r="I842" t="str">
        <f>'Revenue drivers'!I599</f>
        <v>Average Local Advertising Revenue per Market</v>
      </c>
      <c r="J842">
        <f>'Revenue drivers'!J599</f>
        <v>0</v>
      </c>
      <c r="K842">
        <f>'Revenue drivers'!K599</f>
        <v>0</v>
      </c>
      <c r="L842">
        <f>'Revenue drivers'!L599</f>
        <v>0</v>
      </c>
      <c r="M842">
        <f>'Revenue drivers'!M599</f>
        <v>0</v>
      </c>
      <c r="N842">
        <f>'Revenue drivers'!N599</f>
        <v>0</v>
      </c>
      <c r="O842">
        <f>'Revenue drivers'!O599</f>
        <v>0</v>
      </c>
      <c r="P842">
        <f>'Revenue drivers'!P599</f>
        <v>0</v>
      </c>
      <c r="Q842">
        <f>'Revenue drivers'!Q599</f>
        <v>0</v>
      </c>
      <c r="R842">
        <f>'Revenue drivers'!R599</f>
        <v>0</v>
      </c>
      <c r="S842">
        <f>'Revenue drivers'!S599</f>
        <v>0</v>
      </c>
      <c r="T842">
        <f>'Revenue drivers'!T599</f>
        <v>0</v>
      </c>
      <c r="U842">
        <f>'Revenue drivers'!U599</f>
        <v>1.9755693581780538</v>
      </c>
      <c r="V842">
        <f>'Revenue drivers'!V599</f>
        <v>1.9770000000000001</v>
      </c>
      <c r="W842">
        <f>'Revenue drivers'!W599</f>
        <v>2.4449999999999998</v>
      </c>
      <c r="X842">
        <f>'Revenue drivers'!X599</f>
        <v>2.6493827160493826</v>
      </c>
      <c r="Y842">
        <f>'Revenue drivers'!Y599</f>
        <v>2.9633540372670808</v>
      </c>
      <c r="Z842">
        <f>'Revenue drivers'!Z599</f>
        <v>3.2122807017543864</v>
      </c>
      <c r="AA842">
        <f>'Revenue drivers'!AA599</f>
        <v>3.840127388535032</v>
      </c>
      <c r="AB842">
        <f>'Revenue drivers'!AB599</f>
        <v>4.2919999999999998</v>
      </c>
      <c r="AC842">
        <f>'Revenue drivers'!AC599</f>
        <v>4.7709999999999999</v>
      </c>
      <c r="AD842">
        <f>'Revenue drivers'!AD599</f>
        <v>5.4930000000000003</v>
      </c>
      <c r="AE842">
        <f>'Revenue drivers'!AE599</f>
        <v>6.0289999999999999</v>
      </c>
      <c r="AF842">
        <f>'Revenue drivers'!AF599</f>
        <v>6.5229999999999997</v>
      </c>
      <c r="AG842">
        <f>'Revenue drivers'!AG599</f>
        <v>6.8650000000000002</v>
      </c>
      <c r="AH842">
        <f>'Revenue drivers'!AH599</f>
        <v>7.4489999999999998</v>
      </c>
      <c r="AI842">
        <f>'Revenue drivers'!AI599</f>
        <v>8.0129999999999999</v>
      </c>
      <c r="AJ842">
        <f>'Revenue drivers'!AJ599</f>
        <v>8.4760000000000009</v>
      </c>
      <c r="AK842">
        <f>'Revenue drivers'!AK599</f>
        <v>9.0869999999999997</v>
      </c>
      <c r="AL842">
        <f>'Revenue drivers'!AL599</f>
        <v>9.83</v>
      </c>
      <c r="AM842">
        <f>'Revenue drivers'!AM599</f>
        <v>10.475</v>
      </c>
      <c r="AN842">
        <f>'Revenue drivers'!AN599</f>
        <v>11.018800000000002</v>
      </c>
      <c r="AO842">
        <f>'Revenue drivers'!AO599</f>
        <v>11.72223</v>
      </c>
      <c r="AP842">
        <f>'Revenue drivers'!AP599</f>
        <v>12.5824</v>
      </c>
      <c r="AQ842">
        <f>'Revenue drivers'!AQ599</f>
        <v>13.30325</v>
      </c>
      <c r="AR842">
        <f>'Revenue drivers'!AR599</f>
        <v>13.883688000000003</v>
      </c>
      <c r="AS842">
        <f>'Revenue drivers'!AS599</f>
        <v>14.652787499999999</v>
      </c>
      <c r="AT842">
        <f>'Revenue drivers'!AT599</f>
        <v>15.602176</v>
      </c>
      <c r="AU842">
        <f>'Revenue drivers'!AU599</f>
        <v>16.362997499999999</v>
      </c>
      <c r="AV842">
        <f>'Revenue drivers'!AV599</f>
        <v>16.938099360000002</v>
      </c>
      <c r="AW842">
        <f>'Revenue drivers'!AW599</f>
        <v>17.729872874999998</v>
      </c>
      <c r="AX842">
        <f>'Revenue drivers'!AX599</f>
        <v>18.722611199999999</v>
      </c>
      <c r="AY842">
        <f>'Revenue drivers'!AY599</f>
        <v>19.471967024999998</v>
      </c>
      <c r="AZ842">
        <f>'Revenue drivers'!AZ599</f>
        <v>19.986957244800003</v>
      </c>
      <c r="BA842">
        <f>'Revenue drivers'!BA599</f>
        <v>20.743951263749995</v>
      </c>
      <c r="BB842">
        <f>'Revenue drivers'!BB599</f>
        <v>21.718228991999997</v>
      </c>
      <c r="BC842">
        <f>'Revenue drivers'!BC599</f>
        <v>22.392762078749996</v>
      </c>
      <c r="BD842">
        <f>'Revenue drivers'!BD599</f>
        <v>22.785131259072003</v>
      </c>
      <c r="BE842">
        <f>'Revenue drivers'!BE599</f>
        <v>0</v>
      </c>
      <c r="BF842">
        <f>'Revenue drivers'!BF599</f>
        <v>0</v>
      </c>
      <c r="BG842">
        <f>'Revenue drivers'!BG599</f>
        <v>0</v>
      </c>
      <c r="BH842">
        <f>'Revenue drivers'!BH599</f>
        <v>0</v>
      </c>
      <c r="BI842">
        <f>'Revenue drivers'!BI599</f>
        <v>0</v>
      </c>
      <c r="BJ842">
        <f>'Revenue drivers'!BJ599</f>
        <v>0</v>
      </c>
      <c r="BK842">
        <f>'Revenue drivers'!BK599</f>
        <v>5.8591194968553468</v>
      </c>
      <c r="BL842">
        <f>'Revenue drivers'!BL599</f>
        <v>9.3160000000000007</v>
      </c>
      <c r="BM842">
        <f>'Revenue drivers'!BM599</f>
        <v>14.307762127556499</v>
      </c>
      <c r="BN842">
        <f>'Revenue drivers'!BN599</f>
        <v>22.815999999999999</v>
      </c>
      <c r="BO842">
        <f>'Revenue drivers'!BO599</f>
        <v>30.802999999999997</v>
      </c>
      <c r="BP842">
        <f>'Revenue drivers'!BP599</f>
        <v>40.410800000000009</v>
      </c>
      <c r="BQ842">
        <f>'Revenue drivers'!BQ599</f>
        <v>51.491568000000001</v>
      </c>
      <c r="BR842">
        <f>'Revenue drivers'!BR599</f>
        <v>63.556060359999996</v>
      </c>
      <c r="BS842">
        <f>'Revenue drivers'!BS599</f>
        <v>75.911408344800009</v>
      </c>
      <c r="BT842">
        <f>'Revenue drivers'!BT599</f>
        <v>87.640073593571984</v>
      </c>
      <c r="BU842">
        <f>'Revenue drivers'!BU599</f>
        <v>97.795672481500787</v>
      </c>
      <c r="BV842">
        <f>'Revenue drivers'!BV599</f>
        <v>109.128086775254</v>
      </c>
      <c r="BW842">
        <f>'Revenue drivers'!BW599</f>
        <v>121.77368406030527</v>
      </c>
      <c r="BX842">
        <f>'Revenue drivers'!BX599</f>
        <v>134.47353899814141</v>
      </c>
      <c r="BY842">
        <f>'Revenue drivers'!BY599</f>
        <v>148.497869882375</v>
      </c>
    </row>
    <row r="843" spans="9:77" ht="11.25" customHeight="1">
      <c r="I843" t="str">
        <f>'Revenue drivers'!I600</f>
        <v>% change Y/Y</v>
      </c>
      <c r="J843">
        <f>'Revenue drivers'!J600</f>
        <v>0</v>
      </c>
      <c r="K843">
        <f>'Revenue drivers'!K600</f>
        <v>0</v>
      </c>
      <c r="L843">
        <f>'Revenue drivers'!L600</f>
        <v>0</v>
      </c>
      <c r="M843">
        <f>'Revenue drivers'!M600</f>
        <v>0</v>
      </c>
      <c r="N843">
        <f>'Revenue drivers'!N600</f>
        <v>0</v>
      </c>
      <c r="O843">
        <f>'Revenue drivers'!O600</f>
        <v>0</v>
      </c>
      <c r="P843">
        <f>'Revenue drivers'!P600</f>
        <v>0</v>
      </c>
      <c r="Q843">
        <f>'Revenue drivers'!Q600</f>
        <v>0</v>
      </c>
      <c r="R843">
        <f>'Revenue drivers'!R600</f>
        <v>0</v>
      </c>
      <c r="S843">
        <f>'Revenue drivers'!S600</f>
        <v>0</v>
      </c>
      <c r="T843">
        <f>'Revenue drivers'!T600</f>
        <v>0</v>
      </c>
      <c r="U843">
        <f>'Revenue drivers'!U600</f>
        <v>0</v>
      </c>
      <c r="V843">
        <f>'Revenue drivers'!V600</f>
        <v>0.71</v>
      </c>
      <c r="W843">
        <f>'Revenue drivers'!W600</f>
        <v>0.56999999999999995</v>
      </c>
      <c r="X843">
        <f>'Revenue drivers'!X600</f>
        <v>0</v>
      </c>
      <c r="Y843">
        <f>'Revenue drivers'!Y600</f>
        <v>0.5</v>
      </c>
      <c r="Z843">
        <f>'Revenue drivers'!Z600</f>
        <v>0.43</v>
      </c>
      <c r="AA843">
        <f>'Revenue drivers'!AA600</f>
        <v>0.56999999999999995</v>
      </c>
      <c r="AB843">
        <f>'Revenue drivers'!AB600</f>
        <v>0.62</v>
      </c>
      <c r="AC843">
        <f>'Revenue drivers'!AC600</f>
        <v>0.61</v>
      </c>
      <c r="AD843">
        <f>'Revenue drivers'!AD600</f>
        <v>0.71</v>
      </c>
      <c r="AE843">
        <f>'Revenue drivers'!AE600</f>
        <v>0.56999999999999995</v>
      </c>
      <c r="AF843">
        <f>'Revenue drivers'!AF600</f>
        <v>0.51980428704566628</v>
      </c>
      <c r="AG843">
        <f>'Revenue drivers'!AG600</f>
        <v>0.43890169775728372</v>
      </c>
      <c r="AH843">
        <f>'Revenue drivers'!AH600</f>
        <v>0.36</v>
      </c>
      <c r="AI843">
        <f>'Revenue drivers'!AI600</f>
        <v>0.33</v>
      </c>
      <c r="AJ843">
        <f>'Revenue drivers'!AJ600</f>
        <v>0.29940211559098584</v>
      </c>
      <c r="AK843">
        <f>'Revenue drivers'!AK600</f>
        <v>0.32</v>
      </c>
      <c r="AL843">
        <f>'Revenue drivers'!AL600</f>
        <v>0.32</v>
      </c>
      <c r="AM843">
        <f>'Revenue drivers'!AM600</f>
        <v>0.31</v>
      </c>
      <c r="AN843">
        <f>'Revenue drivers'!AN600</f>
        <v>0.3</v>
      </c>
      <c r="AO843">
        <f>'Revenue drivers'!AO600</f>
        <v>0.28999999999999998</v>
      </c>
      <c r="AP843">
        <f>'Revenue drivers'!AP600</f>
        <v>0.27999999999999997</v>
      </c>
      <c r="AQ843">
        <f>'Revenue drivers'!AQ600</f>
        <v>0.26999999999999996</v>
      </c>
      <c r="AR843">
        <f>'Revenue drivers'!AR600</f>
        <v>0.25999999999999995</v>
      </c>
      <c r="AS843">
        <f>'Revenue drivers'!AS600</f>
        <v>0.24999999999999994</v>
      </c>
      <c r="AT843">
        <f>'Revenue drivers'!AT600</f>
        <v>0.23999999999999994</v>
      </c>
      <c r="AU843">
        <f>'Revenue drivers'!AU600</f>
        <v>0.22999999999999993</v>
      </c>
      <c r="AV843">
        <f>'Revenue drivers'!AV600</f>
        <v>0.21999999999999992</v>
      </c>
      <c r="AW843">
        <f>'Revenue drivers'!AW600</f>
        <v>0.20999999999999991</v>
      </c>
      <c r="AX843">
        <f>'Revenue drivers'!AX600</f>
        <v>0.1999999999999999</v>
      </c>
      <c r="AY843">
        <f>'Revenue drivers'!AY600</f>
        <v>0.18999999999999989</v>
      </c>
      <c r="AZ843">
        <f>'Revenue drivers'!AZ600</f>
        <v>0.17999999999999988</v>
      </c>
      <c r="BA843">
        <f>'Revenue drivers'!BA600</f>
        <v>0.16999999999999987</v>
      </c>
      <c r="BB843">
        <f>'Revenue drivers'!BB600</f>
        <v>0.15999999999999986</v>
      </c>
      <c r="BC843">
        <f>'Revenue drivers'!BC600</f>
        <v>0.14999999999999986</v>
      </c>
      <c r="BD843">
        <f>'Revenue drivers'!BD600</f>
        <v>0.13999999999999985</v>
      </c>
      <c r="BE843">
        <f>'Revenue drivers'!BE600</f>
        <v>0</v>
      </c>
      <c r="BF843">
        <f>'Revenue drivers'!BF600</f>
        <v>0</v>
      </c>
      <c r="BG843">
        <f>'Revenue drivers'!BG600</f>
        <v>0</v>
      </c>
      <c r="BH843">
        <f>'Revenue drivers'!BH600</f>
        <v>0</v>
      </c>
      <c r="BI843">
        <f>'Revenue drivers'!BI600</f>
        <v>0</v>
      </c>
      <c r="BJ843">
        <f>'Revenue drivers'!BJ600</f>
        <v>0</v>
      </c>
      <c r="BK843">
        <f>'Revenue drivers'!BK600</f>
        <v>0</v>
      </c>
      <c r="BL843">
        <f>'Revenue drivers'!BL600</f>
        <v>0.59</v>
      </c>
      <c r="BM843">
        <f>'Revenue drivers'!BM600</f>
        <v>0.53582676337016943</v>
      </c>
      <c r="BN843">
        <f>'Revenue drivers'!BN600</f>
        <v>0.5946588849179133</v>
      </c>
      <c r="BO843">
        <f>'Revenue drivers'!BO600</f>
        <v>0.35006136044880787</v>
      </c>
      <c r="BP843">
        <f>'Revenue drivers'!BP600</f>
        <v>0.31191117748271302</v>
      </c>
      <c r="BQ843">
        <f>'Revenue drivers'!BQ600</f>
        <v>0.27420313381571226</v>
      </c>
      <c r="BR843">
        <f>'Revenue drivers'!BR600</f>
        <v>0.234300349136775</v>
      </c>
      <c r="BS843">
        <f>'Revenue drivers'!BS600</f>
        <v>0.19440078435975616</v>
      </c>
      <c r="BT843">
        <f>'Revenue drivers'!BT600</f>
        <v>0.15450464567194921</v>
      </c>
      <c r="BU843">
        <f>'Revenue drivers'!BU600</f>
        <v>0.11587848425396191</v>
      </c>
      <c r="BV843">
        <f>'Revenue drivers'!BV600</f>
        <v>0.11587848425396191</v>
      </c>
      <c r="BW843">
        <f>'Revenue drivers'!BW600</f>
        <v>0.11587848425396191</v>
      </c>
      <c r="BX843">
        <f>'Revenue drivers'!BX600</f>
        <v>0.10429063582856572</v>
      </c>
      <c r="BY843">
        <f>'Revenue drivers'!BY600</f>
        <v>0.10429063582856572</v>
      </c>
    </row>
    <row r="844" spans="9:77" ht="11.25" customHeight="1">
      <c r="I844">
        <f>'Revenue drivers'!I601</f>
        <v>0</v>
      </c>
      <c r="J844">
        <f>'Revenue drivers'!J601</f>
        <v>0</v>
      </c>
      <c r="K844">
        <f>'Revenue drivers'!K601</f>
        <v>0</v>
      </c>
      <c r="L844">
        <f>'Revenue drivers'!L601</f>
        <v>0</v>
      </c>
      <c r="M844">
        <f>'Revenue drivers'!M601</f>
        <v>0</v>
      </c>
      <c r="N844">
        <f>'Revenue drivers'!N601</f>
        <v>0</v>
      </c>
      <c r="O844">
        <f>'Revenue drivers'!O601</f>
        <v>0</v>
      </c>
      <c r="P844">
        <f>'Revenue drivers'!P601</f>
        <v>0</v>
      </c>
      <c r="Q844">
        <f>'Revenue drivers'!Q601</f>
        <v>0</v>
      </c>
      <c r="R844">
        <f>'Revenue drivers'!R601</f>
        <v>0</v>
      </c>
      <c r="S844">
        <f>'Revenue drivers'!S601</f>
        <v>0</v>
      </c>
      <c r="T844">
        <f>'Revenue drivers'!T601</f>
        <v>0</v>
      </c>
      <c r="U844">
        <f>'Revenue drivers'!U601</f>
        <v>0</v>
      </c>
      <c r="V844">
        <f>'Revenue drivers'!V601</f>
        <v>0</v>
      </c>
      <c r="W844">
        <f>'Revenue drivers'!W601</f>
        <v>0</v>
      </c>
      <c r="X844">
        <f>'Revenue drivers'!X601</f>
        <v>0</v>
      </c>
      <c r="Y844">
        <f>'Revenue drivers'!Y601</f>
        <v>0</v>
      </c>
      <c r="Z844">
        <f>'Revenue drivers'!Z601</f>
        <v>0</v>
      </c>
      <c r="AA844">
        <f>'Revenue drivers'!AA601</f>
        <v>0</v>
      </c>
      <c r="AB844">
        <f>'Revenue drivers'!AB601</f>
        <v>0</v>
      </c>
      <c r="AC844">
        <f>'Revenue drivers'!AC601</f>
        <v>0</v>
      </c>
      <c r="AD844">
        <f>'Revenue drivers'!AD601</f>
        <v>0</v>
      </c>
      <c r="AE844">
        <f>'Revenue drivers'!AE601</f>
        <v>0</v>
      </c>
      <c r="AF844">
        <f>'Revenue drivers'!AF601</f>
        <v>0</v>
      </c>
      <c r="AG844">
        <f>'Revenue drivers'!AG601</f>
        <v>0</v>
      </c>
      <c r="AH844">
        <f>'Revenue drivers'!AH601</f>
        <v>0</v>
      </c>
      <c r="AI844">
        <f>'Revenue drivers'!AI601</f>
        <v>0</v>
      </c>
      <c r="AJ844">
        <f>'Revenue drivers'!AJ601</f>
        <v>0</v>
      </c>
      <c r="AK844">
        <f>'Revenue drivers'!AK601</f>
        <v>0</v>
      </c>
      <c r="AL844">
        <f>'Revenue drivers'!AL601</f>
        <v>0</v>
      </c>
      <c r="AM844">
        <f>'Revenue drivers'!AM601</f>
        <v>0</v>
      </c>
      <c r="AN844">
        <f>'Revenue drivers'!AN601</f>
        <v>0</v>
      </c>
      <c r="AO844">
        <f>'Revenue drivers'!AO601</f>
        <v>0</v>
      </c>
      <c r="AP844">
        <f>'Revenue drivers'!AP601</f>
        <v>0</v>
      </c>
      <c r="AQ844">
        <f>'Revenue drivers'!AQ601</f>
        <v>0</v>
      </c>
      <c r="AR844">
        <f>'Revenue drivers'!AR601</f>
        <v>0</v>
      </c>
      <c r="AS844">
        <f>'Revenue drivers'!AS601</f>
        <v>0</v>
      </c>
      <c r="AT844">
        <f>'Revenue drivers'!AT601</f>
        <v>0</v>
      </c>
      <c r="AU844">
        <f>'Revenue drivers'!AU601</f>
        <v>0</v>
      </c>
      <c r="AV844">
        <f>'Revenue drivers'!AV601</f>
        <v>0</v>
      </c>
      <c r="AW844">
        <f>'Revenue drivers'!AW601</f>
        <v>0</v>
      </c>
      <c r="AX844">
        <f>'Revenue drivers'!AX601</f>
        <v>0</v>
      </c>
      <c r="AY844">
        <f>'Revenue drivers'!AY601</f>
        <v>0</v>
      </c>
      <c r="AZ844">
        <f>'Revenue drivers'!AZ601</f>
        <v>0</v>
      </c>
      <c r="BA844">
        <f>'Revenue drivers'!BA601</f>
        <v>0</v>
      </c>
      <c r="BB844">
        <f>'Revenue drivers'!BB601</f>
        <v>0</v>
      </c>
      <c r="BC844">
        <f>'Revenue drivers'!BC601</f>
        <v>0</v>
      </c>
      <c r="BD844">
        <f>'Revenue drivers'!BD601</f>
        <v>0</v>
      </c>
      <c r="BE844">
        <f>'Revenue drivers'!BE601</f>
        <v>0</v>
      </c>
      <c r="BF844">
        <f>'Revenue drivers'!BF601</f>
        <v>0</v>
      </c>
      <c r="BG844">
        <f>'Revenue drivers'!BG601</f>
        <v>0</v>
      </c>
      <c r="BH844">
        <f>'Revenue drivers'!BH601</f>
        <v>0</v>
      </c>
      <c r="BI844">
        <f>'Revenue drivers'!BI601</f>
        <v>0</v>
      </c>
      <c r="BJ844">
        <f>'Revenue drivers'!BJ601</f>
        <v>0</v>
      </c>
      <c r="BK844">
        <f>'Revenue drivers'!BK601</f>
        <v>0</v>
      </c>
      <c r="BL844">
        <f>'Revenue drivers'!BL601</f>
        <v>0</v>
      </c>
      <c r="BM844">
        <f>'Revenue drivers'!BM601</f>
        <v>0</v>
      </c>
      <c r="BN844">
        <f>'Revenue drivers'!BN601</f>
        <v>0</v>
      </c>
      <c r="BO844">
        <f>'Revenue drivers'!BO601</f>
        <v>0</v>
      </c>
      <c r="BP844">
        <f>'Revenue drivers'!BP601</f>
        <v>0</v>
      </c>
      <c r="BQ844">
        <f>'Revenue drivers'!BQ601</f>
        <v>0</v>
      </c>
      <c r="BR844">
        <f>'Revenue drivers'!BR601</f>
        <v>0</v>
      </c>
      <c r="BS844">
        <f>'Revenue drivers'!BS601</f>
        <v>0</v>
      </c>
      <c r="BT844">
        <f>'Revenue drivers'!BT601</f>
        <v>0</v>
      </c>
      <c r="BU844">
        <f>'Revenue drivers'!BU601</f>
        <v>0</v>
      </c>
      <c r="BV844">
        <f>'Revenue drivers'!BV601</f>
        <v>0</v>
      </c>
      <c r="BW844">
        <f>'Revenue drivers'!BW601</f>
        <v>0</v>
      </c>
      <c r="BX844">
        <f>'Revenue drivers'!BX601</f>
        <v>0</v>
      </c>
      <c r="BY844">
        <f>'Revenue drivers'!BY601</f>
        <v>0</v>
      </c>
    </row>
    <row r="845" spans="9:77" ht="11.25" customHeight="1">
      <c r="I845" t="str">
        <f>'Revenue drivers'!I602</f>
        <v>Number of Yelp Markets</v>
      </c>
      <c r="J845">
        <f>'Revenue drivers'!J602</f>
        <v>0</v>
      </c>
      <c r="K845">
        <f>'Revenue drivers'!K602</f>
        <v>0</v>
      </c>
      <c r="L845">
        <f>'Revenue drivers'!L602</f>
        <v>0</v>
      </c>
      <c r="M845">
        <f>'Revenue drivers'!M602</f>
        <v>0</v>
      </c>
      <c r="N845">
        <f>'Revenue drivers'!N602</f>
        <v>0</v>
      </c>
      <c r="O845">
        <f>'Revenue drivers'!O602</f>
        <v>0</v>
      </c>
      <c r="P845">
        <f>'Revenue drivers'!P602</f>
        <v>0</v>
      </c>
      <c r="Q845">
        <f>'Revenue drivers'!Q602</f>
        <v>0</v>
      </c>
      <c r="R845">
        <f>'Revenue drivers'!R602</f>
        <v>0</v>
      </c>
      <c r="S845">
        <f>'Revenue drivers'!S602</f>
        <v>0</v>
      </c>
      <c r="T845">
        <f>'Revenue drivers'!T602</f>
        <v>6</v>
      </c>
      <c r="U845">
        <f>'Revenue drivers'!U602</f>
        <v>6</v>
      </c>
      <c r="V845">
        <f>'Revenue drivers'!V602</f>
        <v>6</v>
      </c>
      <c r="W845">
        <f>'Revenue drivers'!W602</f>
        <v>6</v>
      </c>
      <c r="X845">
        <f>'Revenue drivers'!X602</f>
        <v>6</v>
      </c>
      <c r="Y845">
        <f>'Revenue drivers'!Y602</f>
        <v>6</v>
      </c>
      <c r="Z845">
        <f>'Revenue drivers'!Z602</f>
        <v>6</v>
      </c>
      <c r="AA845">
        <f>'Revenue drivers'!AA602</f>
        <v>6</v>
      </c>
      <c r="AB845">
        <f>'Revenue drivers'!AB602</f>
        <v>6</v>
      </c>
      <c r="AC845">
        <f>'Revenue drivers'!AC602</f>
        <v>6</v>
      </c>
      <c r="AD845">
        <f>'Revenue drivers'!AD602</f>
        <v>6</v>
      </c>
      <c r="AE845">
        <f>'Revenue drivers'!AE602</f>
        <v>6</v>
      </c>
      <c r="AF845">
        <f>'Revenue drivers'!AF602</f>
        <v>6</v>
      </c>
      <c r="AG845">
        <f>'Revenue drivers'!AG602</f>
        <v>6</v>
      </c>
      <c r="AH845">
        <f>'Revenue drivers'!AH602</f>
        <v>6</v>
      </c>
      <c r="AI845">
        <f>'Revenue drivers'!AI602</f>
        <v>6</v>
      </c>
      <c r="AJ845">
        <f>'Revenue drivers'!AJ602</f>
        <v>6</v>
      </c>
      <c r="AK845">
        <f>'Revenue drivers'!AK602</f>
        <v>6</v>
      </c>
      <c r="AL845">
        <f>'Revenue drivers'!AL602</f>
        <v>6</v>
      </c>
      <c r="AM845">
        <f>'Revenue drivers'!AM602</f>
        <v>6</v>
      </c>
      <c r="AN845">
        <f>'Revenue drivers'!AN602</f>
        <v>6</v>
      </c>
      <c r="AO845">
        <f>'Revenue drivers'!AO602</f>
        <v>6</v>
      </c>
      <c r="AP845">
        <f>'Revenue drivers'!AP602</f>
        <v>6</v>
      </c>
      <c r="AQ845">
        <f>'Revenue drivers'!AQ602</f>
        <v>6</v>
      </c>
      <c r="AR845">
        <f>'Revenue drivers'!AR602</f>
        <v>6</v>
      </c>
      <c r="AS845">
        <f>'Revenue drivers'!AS602</f>
        <v>6</v>
      </c>
      <c r="AT845">
        <f>'Revenue drivers'!AT602</f>
        <v>6</v>
      </c>
      <c r="AU845">
        <f>'Revenue drivers'!AU602</f>
        <v>6</v>
      </c>
      <c r="AV845">
        <f>'Revenue drivers'!AV602</f>
        <v>6</v>
      </c>
      <c r="AW845">
        <f>'Revenue drivers'!AW602</f>
        <v>6</v>
      </c>
      <c r="AX845">
        <f>'Revenue drivers'!AX602</f>
        <v>6</v>
      </c>
      <c r="AY845">
        <f>'Revenue drivers'!AY602</f>
        <v>6</v>
      </c>
      <c r="AZ845">
        <f>'Revenue drivers'!AZ602</f>
        <v>6</v>
      </c>
      <c r="BA845">
        <f>'Revenue drivers'!BA602</f>
        <v>6</v>
      </c>
      <c r="BB845">
        <f>'Revenue drivers'!BB602</f>
        <v>6</v>
      </c>
      <c r="BC845">
        <f>'Revenue drivers'!BC602</f>
        <v>6</v>
      </c>
      <c r="BD845">
        <f>'Revenue drivers'!BD602</f>
        <v>6</v>
      </c>
      <c r="BE845">
        <f>'Revenue drivers'!BE602</f>
        <v>0</v>
      </c>
      <c r="BF845">
        <f>'Revenue drivers'!BF602</f>
        <v>0</v>
      </c>
      <c r="BG845">
        <f>'Revenue drivers'!BG602</f>
        <v>0</v>
      </c>
      <c r="BH845">
        <f>'Revenue drivers'!BH602</f>
        <v>0</v>
      </c>
      <c r="BI845">
        <f>'Revenue drivers'!BI602</f>
        <v>0</v>
      </c>
      <c r="BJ845">
        <f>'Revenue drivers'!BJ602</f>
        <v>0</v>
      </c>
      <c r="BK845">
        <f>'Revenue drivers'!BK602</f>
        <v>0</v>
      </c>
      <c r="BL845">
        <f>'Revenue drivers'!BL602</f>
        <v>6</v>
      </c>
      <c r="BM845">
        <f>'Revenue drivers'!BM602</f>
        <v>6</v>
      </c>
      <c r="BN845">
        <f>'Revenue drivers'!BN602</f>
        <v>6</v>
      </c>
      <c r="BO845">
        <f>'Revenue drivers'!BO602</f>
        <v>6</v>
      </c>
      <c r="BP845">
        <f>'Revenue drivers'!BP602</f>
        <v>6</v>
      </c>
      <c r="BQ845">
        <f>'Revenue drivers'!BQ602</f>
        <v>6</v>
      </c>
      <c r="BR845">
        <f>'Revenue drivers'!BR602</f>
        <v>6</v>
      </c>
      <c r="BS845">
        <f>'Revenue drivers'!BS602</f>
        <v>6</v>
      </c>
      <c r="BT845">
        <f>'Revenue drivers'!BT602</f>
        <v>6</v>
      </c>
      <c r="BU845">
        <f>'Revenue drivers'!BU602</f>
        <v>6</v>
      </c>
      <c r="BV845">
        <f>'Revenue drivers'!BV602</f>
        <v>6</v>
      </c>
      <c r="BW845">
        <f>'Revenue drivers'!BW602</f>
        <v>6</v>
      </c>
      <c r="BX845">
        <f>'Revenue drivers'!BX602</f>
        <v>6</v>
      </c>
      <c r="BY845">
        <f>'Revenue drivers'!BY602</f>
        <v>6</v>
      </c>
    </row>
    <row r="846" spans="9:77" ht="11.25" customHeight="1">
      <c r="I846">
        <f>'Revenue drivers'!I603</f>
        <v>0</v>
      </c>
      <c r="J846">
        <f>'Revenue drivers'!J603</f>
        <v>0</v>
      </c>
      <c r="K846">
        <f>'Revenue drivers'!K603</f>
        <v>0</v>
      </c>
      <c r="L846">
        <f>'Revenue drivers'!L603</f>
        <v>0</v>
      </c>
      <c r="M846">
        <f>'Revenue drivers'!M603</f>
        <v>0</v>
      </c>
      <c r="N846">
        <f>'Revenue drivers'!N603</f>
        <v>0</v>
      </c>
      <c r="O846">
        <f>'Revenue drivers'!O603</f>
        <v>0</v>
      </c>
      <c r="P846">
        <f>'Revenue drivers'!P603</f>
        <v>0</v>
      </c>
      <c r="Q846">
        <f>'Revenue drivers'!Q603</f>
        <v>0</v>
      </c>
      <c r="R846">
        <f>'Revenue drivers'!R603</f>
        <v>0</v>
      </c>
      <c r="S846">
        <f>'Revenue drivers'!S603</f>
        <v>0</v>
      </c>
      <c r="T846">
        <f>'Revenue drivers'!T603</f>
        <v>0</v>
      </c>
      <c r="U846">
        <f>'Revenue drivers'!U603</f>
        <v>0</v>
      </c>
      <c r="V846">
        <f>'Revenue drivers'!V603</f>
        <v>0</v>
      </c>
      <c r="W846">
        <f>'Revenue drivers'!W603</f>
        <v>0</v>
      </c>
      <c r="X846">
        <f>'Revenue drivers'!X603</f>
        <v>0</v>
      </c>
      <c r="Y846">
        <f>'Revenue drivers'!Y603</f>
        <v>0</v>
      </c>
      <c r="Z846">
        <f>'Revenue drivers'!Z603</f>
        <v>0</v>
      </c>
      <c r="AA846">
        <f>'Revenue drivers'!AA603</f>
        <v>0</v>
      </c>
      <c r="AB846">
        <f>'Revenue drivers'!AB603</f>
        <v>0</v>
      </c>
      <c r="AC846">
        <f>'Revenue drivers'!AC603</f>
        <v>136.89599999999999</v>
      </c>
      <c r="AD846">
        <f>'Revenue drivers'!AD603</f>
        <v>0</v>
      </c>
      <c r="AE846">
        <f>'Revenue drivers'!AE603</f>
        <v>0</v>
      </c>
      <c r="AF846">
        <f>'Revenue drivers'!AF603</f>
        <v>0</v>
      </c>
      <c r="AG846">
        <f>'Revenue drivers'!AG603</f>
        <v>0</v>
      </c>
      <c r="AH846">
        <f>'Revenue drivers'!AH603</f>
        <v>0</v>
      </c>
      <c r="AI846">
        <f>'Revenue drivers'!AI603</f>
        <v>0</v>
      </c>
      <c r="AJ846">
        <f>'Revenue drivers'!AJ603</f>
        <v>0</v>
      </c>
      <c r="AK846">
        <f>'Revenue drivers'!AK603</f>
        <v>0</v>
      </c>
      <c r="AL846">
        <f>'Revenue drivers'!AL603</f>
        <v>0</v>
      </c>
      <c r="AM846">
        <f>'Revenue drivers'!AM603</f>
        <v>0</v>
      </c>
      <c r="AN846">
        <f>'Revenue drivers'!AN603</f>
        <v>0</v>
      </c>
      <c r="AO846">
        <f>'Revenue drivers'!AO603</f>
        <v>0</v>
      </c>
      <c r="AP846">
        <f>'Revenue drivers'!AP603</f>
        <v>0</v>
      </c>
      <c r="AQ846">
        <f>'Revenue drivers'!AQ603</f>
        <v>0</v>
      </c>
      <c r="AR846">
        <f>'Revenue drivers'!AR603</f>
        <v>0</v>
      </c>
      <c r="AS846">
        <f>'Revenue drivers'!AS603</f>
        <v>0</v>
      </c>
      <c r="AT846">
        <f>'Revenue drivers'!AT603</f>
        <v>0</v>
      </c>
      <c r="AU846">
        <f>'Revenue drivers'!AU603</f>
        <v>0</v>
      </c>
      <c r="AV846">
        <f>'Revenue drivers'!AV603</f>
        <v>0</v>
      </c>
      <c r="AW846">
        <f>'Revenue drivers'!AW603</f>
        <v>0</v>
      </c>
      <c r="AX846">
        <f>'Revenue drivers'!AX603</f>
        <v>0</v>
      </c>
      <c r="AY846">
        <f>'Revenue drivers'!AY603</f>
        <v>0</v>
      </c>
      <c r="AZ846">
        <f>'Revenue drivers'!AZ603</f>
        <v>0</v>
      </c>
      <c r="BA846">
        <f>'Revenue drivers'!BA603</f>
        <v>0</v>
      </c>
      <c r="BB846">
        <f>'Revenue drivers'!BB603</f>
        <v>0</v>
      </c>
      <c r="BC846">
        <f>'Revenue drivers'!BC603</f>
        <v>0</v>
      </c>
      <c r="BD846">
        <f>'Revenue drivers'!BD603</f>
        <v>0</v>
      </c>
      <c r="BE846">
        <f>'Revenue drivers'!BE603</f>
        <v>0</v>
      </c>
      <c r="BF846">
        <f>'Revenue drivers'!BF603</f>
        <v>0</v>
      </c>
      <c r="BG846">
        <f>'Revenue drivers'!BG603</f>
        <v>0</v>
      </c>
      <c r="BH846">
        <f>'Revenue drivers'!BH603</f>
        <v>0</v>
      </c>
      <c r="BI846">
        <f>'Revenue drivers'!BI603</f>
        <v>0</v>
      </c>
      <c r="BJ846">
        <f>'Revenue drivers'!BJ603</f>
        <v>0</v>
      </c>
      <c r="BK846">
        <f>'Revenue drivers'!BK603</f>
        <v>0</v>
      </c>
      <c r="BL846">
        <f>'Revenue drivers'!BL603</f>
        <v>0</v>
      </c>
      <c r="BM846">
        <f>'Revenue drivers'!BM603</f>
        <v>0</v>
      </c>
      <c r="BN846">
        <f>'Revenue drivers'!BN603</f>
        <v>0</v>
      </c>
      <c r="BO846">
        <f>'Revenue drivers'!BO603</f>
        <v>0</v>
      </c>
      <c r="BP846">
        <f>'Revenue drivers'!BP603</f>
        <v>0</v>
      </c>
      <c r="BQ846">
        <f>'Revenue drivers'!BQ603</f>
        <v>0</v>
      </c>
      <c r="BR846">
        <f>'Revenue drivers'!BR603</f>
        <v>0</v>
      </c>
      <c r="BS846">
        <f>'Revenue drivers'!BS603</f>
        <v>0</v>
      </c>
      <c r="BT846">
        <f>'Revenue drivers'!BT603</f>
        <v>0</v>
      </c>
      <c r="BU846">
        <f>'Revenue drivers'!BU603</f>
        <v>0</v>
      </c>
      <c r="BV846">
        <f>'Revenue drivers'!BV603</f>
        <v>0</v>
      </c>
      <c r="BW846">
        <f>'Revenue drivers'!BW603</f>
        <v>0</v>
      </c>
      <c r="BX846">
        <f>'Revenue drivers'!BX603</f>
        <v>0</v>
      </c>
      <c r="BY846">
        <f>'Revenue drivers'!BY603</f>
        <v>0</v>
      </c>
    </row>
    <row r="847" spans="9:77" ht="11.25" customHeight="1">
      <c r="I847" t="str">
        <f>'Revenue drivers'!I604</f>
        <v>Revenue from Cohort</v>
      </c>
      <c r="J847">
        <f>'Revenue drivers'!J604</f>
        <v>0</v>
      </c>
      <c r="K847">
        <f>'Revenue drivers'!K604</f>
        <v>0</v>
      </c>
      <c r="L847">
        <f>'Revenue drivers'!L604</f>
        <v>0</v>
      </c>
      <c r="M847">
        <f>'Revenue drivers'!M604</f>
        <v>0</v>
      </c>
      <c r="N847">
        <f>'Revenue drivers'!N604</f>
        <v>0</v>
      </c>
      <c r="O847">
        <f>'Revenue drivers'!O604</f>
        <v>0</v>
      </c>
      <c r="P847">
        <f>'Revenue drivers'!P604</f>
        <v>0</v>
      </c>
      <c r="Q847">
        <f>'Revenue drivers'!Q604</f>
        <v>0</v>
      </c>
      <c r="R847">
        <f>'Revenue drivers'!R604</f>
        <v>0</v>
      </c>
      <c r="S847">
        <f>'Revenue drivers'!S604</f>
        <v>0</v>
      </c>
      <c r="T847">
        <f>'Revenue drivers'!T604</f>
        <v>0</v>
      </c>
      <c r="U847">
        <f>'Revenue drivers'!U604</f>
        <v>11.853416149068323</v>
      </c>
      <c r="V847">
        <f>'Revenue drivers'!V604</f>
        <v>11.862</v>
      </c>
      <c r="W847">
        <f>'Revenue drivers'!W604</f>
        <v>14.669999999999998</v>
      </c>
      <c r="X847">
        <f>'Revenue drivers'!X604</f>
        <v>15.896296296296295</v>
      </c>
      <c r="Y847">
        <f>'Revenue drivers'!Y604</f>
        <v>17.780124223602485</v>
      </c>
      <c r="Z847">
        <f>'Revenue drivers'!Z604</f>
        <v>19.273684210526319</v>
      </c>
      <c r="AA847">
        <f>'Revenue drivers'!AA604</f>
        <v>23.040764331210191</v>
      </c>
      <c r="AB847">
        <f>'Revenue drivers'!AB604</f>
        <v>25.751999999999999</v>
      </c>
      <c r="AC847">
        <f>'Revenue drivers'!AC604</f>
        <v>28.625999999999998</v>
      </c>
      <c r="AD847">
        <f>'Revenue drivers'!AD604</f>
        <v>32.957999999999998</v>
      </c>
      <c r="AE847">
        <f>'Revenue drivers'!AE604</f>
        <v>36.173999999999999</v>
      </c>
      <c r="AF847">
        <f>'Revenue drivers'!AF604</f>
        <v>39.137999999999998</v>
      </c>
      <c r="AG847">
        <f>'Revenue drivers'!AG604</f>
        <v>41.19</v>
      </c>
      <c r="AH847">
        <f>'Revenue drivers'!AH604</f>
        <v>44.694000000000003</v>
      </c>
      <c r="AI847">
        <f>'Revenue drivers'!AI604</f>
        <v>48.078000000000003</v>
      </c>
      <c r="AJ847">
        <f>'Revenue drivers'!AJ604</f>
        <v>50.856000000000009</v>
      </c>
      <c r="AK847">
        <f>'Revenue drivers'!AK604</f>
        <v>54.521999999999998</v>
      </c>
      <c r="AL847">
        <f>'Revenue drivers'!AL604</f>
        <v>58.980000000000004</v>
      </c>
      <c r="AM847">
        <f>'Revenue drivers'!AM604</f>
        <v>62.849999999999994</v>
      </c>
      <c r="AN847">
        <f>'Revenue drivers'!AN604</f>
        <v>66.112800000000021</v>
      </c>
      <c r="AO847">
        <f>'Revenue drivers'!AO604</f>
        <v>70.333380000000005</v>
      </c>
      <c r="AP847">
        <f>'Revenue drivers'!AP604</f>
        <v>75.494399999999999</v>
      </c>
      <c r="AQ847">
        <f>'Revenue drivers'!AQ604</f>
        <v>79.819500000000005</v>
      </c>
      <c r="AR847">
        <f>'Revenue drivers'!AR604</f>
        <v>83.30212800000001</v>
      </c>
      <c r="AS847">
        <f>'Revenue drivers'!AS604</f>
        <v>87.916724999999985</v>
      </c>
      <c r="AT847">
        <f>'Revenue drivers'!AT604</f>
        <v>93.613056</v>
      </c>
      <c r="AU847">
        <f>'Revenue drivers'!AU604</f>
        <v>98.177984999999993</v>
      </c>
      <c r="AV847">
        <f>'Revenue drivers'!AV604</f>
        <v>101.62859616000001</v>
      </c>
      <c r="AW847">
        <f>'Revenue drivers'!AW604</f>
        <v>106.37923724999999</v>
      </c>
      <c r="AX847">
        <f>'Revenue drivers'!AX604</f>
        <v>112.33566719999999</v>
      </c>
      <c r="AY847">
        <f>'Revenue drivers'!AY604</f>
        <v>116.83180214999999</v>
      </c>
      <c r="AZ847">
        <f>'Revenue drivers'!AZ604</f>
        <v>119.92174346880002</v>
      </c>
      <c r="BA847">
        <f>'Revenue drivers'!BA604</f>
        <v>124.46370758249998</v>
      </c>
      <c r="BB847">
        <f>'Revenue drivers'!BB604</f>
        <v>130.30937395199999</v>
      </c>
      <c r="BC847">
        <f>'Revenue drivers'!BC604</f>
        <v>134.35657247249998</v>
      </c>
      <c r="BD847">
        <f>'Revenue drivers'!BD604</f>
        <v>136.71078755443202</v>
      </c>
      <c r="BE847">
        <f>'Revenue drivers'!BE604</f>
        <v>0</v>
      </c>
      <c r="BF847">
        <f>'Revenue drivers'!BF604</f>
        <v>0</v>
      </c>
      <c r="BG847">
        <f>'Revenue drivers'!BG604</f>
        <v>0</v>
      </c>
      <c r="BH847">
        <f>'Revenue drivers'!BH604</f>
        <v>0</v>
      </c>
      <c r="BI847">
        <f>'Revenue drivers'!BI604</f>
        <v>0</v>
      </c>
      <c r="BJ847">
        <f>'Revenue drivers'!BJ604</f>
        <v>0</v>
      </c>
      <c r="BK847">
        <f>'Revenue drivers'!BK604</f>
        <v>0</v>
      </c>
      <c r="BL847">
        <f>'Revenue drivers'!BL604</f>
        <v>54.281712445364619</v>
      </c>
      <c r="BM847">
        <f>'Revenue drivers'!BM604</f>
        <v>85.846572765338991</v>
      </c>
      <c r="BN847">
        <f>'Revenue drivers'!BN604</f>
        <v>136.89599999999999</v>
      </c>
      <c r="BO847">
        <f>'Revenue drivers'!BO604</f>
        <v>184.81799999999998</v>
      </c>
      <c r="BP847">
        <f>'Revenue drivers'!BP604</f>
        <v>242.46480000000003</v>
      </c>
      <c r="BQ847">
        <f>'Revenue drivers'!BQ604</f>
        <v>308.94940800000006</v>
      </c>
      <c r="BR847">
        <f>'Revenue drivers'!BR604</f>
        <v>381.33636216000002</v>
      </c>
      <c r="BS847">
        <f>'Revenue drivers'!BS604</f>
        <v>455.4684500688</v>
      </c>
      <c r="BT847">
        <f>'Revenue drivers'!BT604</f>
        <v>525.84044156143193</v>
      </c>
      <c r="BU847">
        <f>'Revenue drivers'!BU604</f>
        <v>586.77403488900472</v>
      </c>
      <c r="BV847">
        <f>'Revenue drivers'!BV604</f>
        <v>654.768520651524</v>
      </c>
      <c r="BW847">
        <f>'Revenue drivers'!BW604</f>
        <v>730.64210436183157</v>
      </c>
      <c r="BX847">
        <f>'Revenue drivers'!BX604</f>
        <v>806.84123398884844</v>
      </c>
      <c r="BY847">
        <f>'Revenue drivers'!BY604</f>
        <v>890.98721929425005</v>
      </c>
    </row>
    <row r="848" spans="9:77" ht="11.25" customHeight="1">
      <c r="I848" t="str">
        <f>'Revenue drivers'!I605</f>
        <v>Y/Y% Growth</v>
      </c>
      <c r="J848">
        <f>'Revenue drivers'!J605</f>
        <v>0</v>
      </c>
      <c r="K848">
        <f>'Revenue drivers'!K605</f>
        <v>0</v>
      </c>
      <c r="L848">
        <f>'Revenue drivers'!L605</f>
        <v>0</v>
      </c>
      <c r="M848">
        <f>'Revenue drivers'!M605</f>
        <v>0</v>
      </c>
      <c r="N848">
        <f>'Revenue drivers'!N605</f>
        <v>0</v>
      </c>
      <c r="O848">
        <f>'Revenue drivers'!O605</f>
        <v>0</v>
      </c>
      <c r="P848">
        <f>'Revenue drivers'!P605</f>
        <v>0</v>
      </c>
      <c r="Q848">
        <f>'Revenue drivers'!Q605</f>
        <v>0</v>
      </c>
      <c r="R848">
        <f>'Revenue drivers'!R605</f>
        <v>0</v>
      </c>
      <c r="S848">
        <f>'Revenue drivers'!S605</f>
        <v>0</v>
      </c>
      <c r="T848">
        <f>'Revenue drivers'!T605</f>
        <v>0</v>
      </c>
      <c r="U848">
        <f>'Revenue drivers'!U605</f>
        <v>0</v>
      </c>
      <c r="V848">
        <f>'Revenue drivers'!V605</f>
        <v>0</v>
      </c>
      <c r="W848">
        <f>'Revenue drivers'!W605</f>
        <v>0</v>
      </c>
      <c r="X848">
        <f>'Revenue drivers'!X605</f>
        <v>0</v>
      </c>
      <c r="Y848">
        <f>'Revenue drivers'!Y605</f>
        <v>0.5</v>
      </c>
      <c r="Z848">
        <f>'Revenue drivers'!Z605</f>
        <v>0.6248258481306963</v>
      </c>
      <c r="AA848">
        <f>'Revenue drivers'!AA605</f>
        <v>0.57060424888958372</v>
      </c>
      <c r="AB848">
        <f>'Revenue drivers'!AB605</f>
        <v>0.62000000000000011</v>
      </c>
      <c r="AC848">
        <f>'Revenue drivers'!AC605</f>
        <v>0.60999999999999988</v>
      </c>
      <c r="AD848">
        <f>'Revenue drivers'!AD605</f>
        <v>0.70999999999999952</v>
      </c>
      <c r="AE848">
        <f>'Revenue drivers'!AE605</f>
        <v>0.57000000000000006</v>
      </c>
      <c r="AF848">
        <f>'Revenue drivers'!AF605</f>
        <v>0.51980428704566628</v>
      </c>
      <c r="AG848">
        <f>'Revenue drivers'!AG605</f>
        <v>0.43890169775728372</v>
      </c>
      <c r="AH848">
        <f>'Revenue drivers'!AH605</f>
        <v>0.35608956854178064</v>
      </c>
      <c r="AI848">
        <f>'Revenue drivers'!AI605</f>
        <v>0.32907613202852892</v>
      </c>
      <c r="AJ848">
        <f>'Revenue drivers'!AJ605</f>
        <v>0.29940211559098606</v>
      </c>
      <c r="AK848">
        <f>'Revenue drivers'!AK605</f>
        <v>0.32367079388201025</v>
      </c>
      <c r="AL848">
        <f>'Revenue drivers'!AL605</f>
        <v>0.31964022016378046</v>
      </c>
      <c r="AM848">
        <f>'Revenue drivers'!AM605</f>
        <v>0.30725071758392586</v>
      </c>
      <c r="AN848">
        <f>'Revenue drivers'!AN605</f>
        <v>0.30000000000000027</v>
      </c>
      <c r="AO848">
        <f>'Revenue drivers'!AO605</f>
        <v>0.29000000000000004</v>
      </c>
      <c r="AP848">
        <f>'Revenue drivers'!AP605</f>
        <v>0.2799999999999998</v>
      </c>
      <c r="AQ848">
        <f>'Revenue drivers'!AQ605</f>
        <v>0.27000000000000024</v>
      </c>
      <c r="AR848">
        <f>'Revenue drivers'!AR605</f>
        <v>0.25999999999999979</v>
      </c>
      <c r="AS848">
        <f>'Revenue drivers'!AS605</f>
        <v>0.24999999999999978</v>
      </c>
      <c r="AT848">
        <f>'Revenue drivers'!AT605</f>
        <v>0.24</v>
      </c>
      <c r="AU848">
        <f>'Revenue drivers'!AU605</f>
        <v>0.22999999999999976</v>
      </c>
      <c r="AV848">
        <f>'Revenue drivers'!AV605</f>
        <v>0.21999999999999997</v>
      </c>
      <c r="AW848">
        <f>'Revenue drivers'!AW605</f>
        <v>0.20999999999999996</v>
      </c>
      <c r="AX848">
        <f>'Revenue drivers'!AX605</f>
        <v>0.19999999999999996</v>
      </c>
      <c r="AY848">
        <f>'Revenue drivers'!AY605</f>
        <v>0.18999999999999995</v>
      </c>
      <c r="AZ848">
        <f>'Revenue drivers'!AZ605</f>
        <v>0.17999999999999994</v>
      </c>
      <c r="BA848">
        <f>'Revenue drivers'!BA605</f>
        <v>0.16999999999999993</v>
      </c>
      <c r="BB848">
        <f>'Revenue drivers'!BB605</f>
        <v>0.15999999999999992</v>
      </c>
      <c r="BC848">
        <f>'Revenue drivers'!BC605</f>
        <v>0.14999999999999991</v>
      </c>
      <c r="BD848">
        <f>'Revenue drivers'!BD605</f>
        <v>0.1399999999999999</v>
      </c>
      <c r="BE848">
        <f>'Revenue drivers'!BE605</f>
        <v>0</v>
      </c>
      <c r="BF848">
        <f>'Revenue drivers'!BF605</f>
        <v>0</v>
      </c>
      <c r="BG848">
        <f>'Revenue drivers'!BG605</f>
        <v>0</v>
      </c>
      <c r="BH848">
        <f>'Revenue drivers'!BH605</f>
        <v>0</v>
      </c>
      <c r="BI848">
        <f>'Revenue drivers'!BI605</f>
        <v>0</v>
      </c>
      <c r="BJ848">
        <f>'Revenue drivers'!BJ605</f>
        <v>0</v>
      </c>
      <c r="BK848">
        <f>'Revenue drivers'!BK605</f>
        <v>0</v>
      </c>
      <c r="BL848">
        <f>'Revenue drivers'!BL605</f>
        <v>0</v>
      </c>
      <c r="BM848">
        <f>'Revenue drivers'!BM605</f>
        <v>0.58150082040512063</v>
      </c>
      <c r="BN848">
        <f>'Revenue drivers'!BN605</f>
        <v>0.5946588849179133</v>
      </c>
      <c r="BO848">
        <f>'Revenue drivers'!BO605</f>
        <v>0.35006136044880787</v>
      </c>
      <c r="BP848">
        <f>'Revenue drivers'!BP605</f>
        <v>0.31191117748271302</v>
      </c>
      <c r="BQ848">
        <f>'Revenue drivers'!BQ605</f>
        <v>0.27420313381571271</v>
      </c>
      <c r="BR848">
        <f>'Revenue drivers'!BR605</f>
        <v>0.234300349136775</v>
      </c>
      <c r="BS848">
        <f>'Revenue drivers'!BS605</f>
        <v>0.19440078435975594</v>
      </c>
      <c r="BT848">
        <f>'Revenue drivers'!BT605</f>
        <v>0.15450464567194944</v>
      </c>
      <c r="BU848">
        <f>'Revenue drivers'!BU605</f>
        <v>0.11587848425396197</v>
      </c>
      <c r="BV848">
        <f>'Revenue drivers'!BV605</f>
        <v>0.11587848425396197</v>
      </c>
      <c r="BW848">
        <f>'Revenue drivers'!BW605</f>
        <v>0.11587848425396197</v>
      </c>
      <c r="BX848">
        <f>'Revenue drivers'!BX605</f>
        <v>0.10429063582856601</v>
      </c>
      <c r="BY848">
        <f>'Revenue drivers'!BY605</f>
        <v>0.10429063582856579</v>
      </c>
    </row>
    <row r="849" spans="9:77" ht="11.25" customHeight="1">
      <c r="I849" t="str">
        <f>'Revenue drivers'!I606</f>
        <v>Abs Growth</v>
      </c>
      <c r="J849">
        <f>'Revenue drivers'!J606</f>
        <v>0</v>
      </c>
      <c r="K849">
        <f>'Revenue drivers'!K606</f>
        <v>0</v>
      </c>
      <c r="L849">
        <f>'Revenue drivers'!L606</f>
        <v>0</v>
      </c>
      <c r="M849">
        <f>'Revenue drivers'!M606</f>
        <v>0</v>
      </c>
      <c r="N849">
        <f>'Revenue drivers'!N606</f>
        <v>0</v>
      </c>
      <c r="O849">
        <f>'Revenue drivers'!O606</f>
        <v>0</v>
      </c>
      <c r="P849">
        <f>'Revenue drivers'!P606</f>
        <v>0</v>
      </c>
      <c r="Q849">
        <f>'Revenue drivers'!Q606</f>
        <v>0</v>
      </c>
      <c r="R849">
        <f>'Revenue drivers'!R606</f>
        <v>0</v>
      </c>
      <c r="S849">
        <f>'Revenue drivers'!S606</f>
        <v>0</v>
      </c>
      <c r="T849">
        <f>'Revenue drivers'!T606</f>
        <v>0</v>
      </c>
      <c r="U849">
        <f>'Revenue drivers'!U606</f>
        <v>0</v>
      </c>
      <c r="V849">
        <f>'Revenue drivers'!V606</f>
        <v>0</v>
      </c>
      <c r="W849">
        <f>'Revenue drivers'!W606</f>
        <v>0</v>
      </c>
      <c r="X849">
        <f>'Revenue drivers'!X606</f>
        <v>0</v>
      </c>
      <c r="Y849">
        <f>'Revenue drivers'!Y606</f>
        <v>5.9267080745341616</v>
      </c>
      <c r="Z849">
        <f>'Revenue drivers'!Z606</f>
        <v>7.4116842105263192</v>
      </c>
      <c r="AA849">
        <f>'Revenue drivers'!AA606</f>
        <v>8.3707643312101929</v>
      </c>
      <c r="AB849">
        <f>'Revenue drivers'!AB606</f>
        <v>9.8557037037037034</v>
      </c>
      <c r="AC849">
        <f>'Revenue drivers'!AC606</f>
        <v>10.845875776397513</v>
      </c>
      <c r="AD849">
        <f>'Revenue drivers'!AD606</f>
        <v>13.684315789473679</v>
      </c>
      <c r="AE849">
        <f>'Revenue drivers'!AE606</f>
        <v>13.133235668789808</v>
      </c>
      <c r="AF849">
        <f>'Revenue drivers'!AF606</f>
        <v>13.385999999999999</v>
      </c>
      <c r="AG849">
        <f>'Revenue drivers'!AG606</f>
        <v>12.564</v>
      </c>
      <c r="AH849">
        <f>'Revenue drivers'!AH606</f>
        <v>11.736000000000004</v>
      </c>
      <c r="AI849">
        <f>'Revenue drivers'!AI606</f>
        <v>11.904000000000003</v>
      </c>
      <c r="AJ849">
        <f>'Revenue drivers'!AJ606</f>
        <v>11.718000000000011</v>
      </c>
      <c r="AK849">
        <f>'Revenue drivers'!AK606</f>
        <v>13.332000000000001</v>
      </c>
      <c r="AL849">
        <f>'Revenue drivers'!AL606</f>
        <v>14.286000000000001</v>
      </c>
      <c r="AM849">
        <f>'Revenue drivers'!AM606</f>
        <v>14.771999999999991</v>
      </c>
      <c r="AN849">
        <f>'Revenue drivers'!AN606</f>
        <v>15.256800000000013</v>
      </c>
      <c r="AO849">
        <f>'Revenue drivers'!AO606</f>
        <v>15.811380000000007</v>
      </c>
      <c r="AP849">
        <f>'Revenue drivers'!AP606</f>
        <v>16.514399999999995</v>
      </c>
      <c r="AQ849">
        <f>'Revenue drivers'!AQ606</f>
        <v>16.969500000000011</v>
      </c>
      <c r="AR849">
        <f>'Revenue drivers'!AR606</f>
        <v>17.189327999999989</v>
      </c>
      <c r="AS849">
        <f>'Revenue drivers'!AS606</f>
        <v>17.58334499999998</v>
      </c>
      <c r="AT849">
        <f>'Revenue drivers'!AT606</f>
        <v>18.118656000000001</v>
      </c>
      <c r="AU849">
        <f>'Revenue drivers'!AU606</f>
        <v>18.358484999999988</v>
      </c>
      <c r="AV849">
        <f>'Revenue drivers'!AV606</f>
        <v>18.326468160000005</v>
      </c>
      <c r="AW849">
        <f>'Revenue drivers'!AW606</f>
        <v>18.462512250000003</v>
      </c>
      <c r="AX849">
        <f>'Revenue drivers'!AX606</f>
        <v>18.722611199999989</v>
      </c>
      <c r="AY849">
        <f>'Revenue drivers'!AY606</f>
        <v>18.653817149999995</v>
      </c>
      <c r="AZ849">
        <f>'Revenue drivers'!AZ606</f>
        <v>18.293147308800002</v>
      </c>
      <c r="BA849">
        <f>'Revenue drivers'!BA606</f>
        <v>18.08447033249999</v>
      </c>
      <c r="BB849">
        <f>'Revenue drivers'!BB606</f>
        <v>17.973706751999998</v>
      </c>
      <c r="BC849">
        <f>'Revenue drivers'!BC606</f>
        <v>17.52477032249999</v>
      </c>
      <c r="BD849">
        <f>'Revenue drivers'!BD606</f>
        <v>16.789044085632</v>
      </c>
      <c r="BE849">
        <f>'Revenue drivers'!BE606</f>
        <v>0</v>
      </c>
      <c r="BF849">
        <f>'Revenue drivers'!BF606</f>
        <v>0</v>
      </c>
      <c r="BG849">
        <f>'Revenue drivers'!BG606</f>
        <v>0</v>
      </c>
      <c r="BH849">
        <f>'Revenue drivers'!BH606</f>
        <v>0</v>
      </c>
      <c r="BI849">
        <f>'Revenue drivers'!BI606</f>
        <v>0</v>
      </c>
      <c r="BJ849">
        <f>'Revenue drivers'!BJ606</f>
        <v>0</v>
      </c>
      <c r="BK849">
        <f>'Revenue drivers'!BK606</f>
        <v>0</v>
      </c>
      <c r="BL849">
        <f>'Revenue drivers'!BL606</f>
        <v>0</v>
      </c>
      <c r="BM849">
        <f>'Revenue drivers'!BM606</f>
        <v>31.564860319974372</v>
      </c>
      <c r="BN849">
        <f>'Revenue drivers'!BN606</f>
        <v>51.049427234660996</v>
      </c>
      <c r="BO849">
        <f>'Revenue drivers'!BO606</f>
        <v>47.921999999999997</v>
      </c>
      <c r="BP849">
        <f>'Revenue drivers'!BP606</f>
        <v>57.646800000000042</v>
      </c>
      <c r="BQ849">
        <f>'Revenue drivers'!BQ606</f>
        <v>66.484608000000037</v>
      </c>
      <c r="BR849">
        <f>'Revenue drivers'!BR606</f>
        <v>72.386954159999959</v>
      </c>
      <c r="BS849">
        <f>'Revenue drivers'!BS606</f>
        <v>74.132087908799974</v>
      </c>
      <c r="BT849">
        <f>'Revenue drivers'!BT606</f>
        <v>70.371991492631935</v>
      </c>
      <c r="BU849">
        <f>'Revenue drivers'!BU606</f>
        <v>60.933593327572794</v>
      </c>
      <c r="BV849">
        <f>'Revenue drivers'!BV606</f>
        <v>67.994485762519275</v>
      </c>
      <c r="BW849">
        <f>'Revenue drivers'!BW606</f>
        <v>75.873583710307571</v>
      </c>
      <c r="BX849">
        <f>'Revenue drivers'!BX606</f>
        <v>76.199129627016873</v>
      </c>
      <c r="BY849">
        <f>'Revenue drivers'!BY606</f>
        <v>84.145985305401609</v>
      </c>
    </row>
    <row r="850" spans="9:77" ht="11.25" customHeight="1">
      <c r="I850">
        <f>'Revenue drivers'!I607</f>
        <v>0</v>
      </c>
      <c r="J850">
        <f>'Revenue drivers'!J607</f>
        <v>0</v>
      </c>
      <c r="K850">
        <f>'Revenue drivers'!K607</f>
        <v>0</v>
      </c>
      <c r="L850">
        <f>'Revenue drivers'!L607</f>
        <v>0</v>
      </c>
      <c r="M850">
        <f>'Revenue drivers'!M607</f>
        <v>0</v>
      </c>
      <c r="N850">
        <f>'Revenue drivers'!N607</f>
        <v>0</v>
      </c>
      <c r="O850">
        <f>'Revenue drivers'!O607</f>
        <v>0</v>
      </c>
      <c r="P850">
        <f>'Revenue drivers'!P607</f>
        <v>0</v>
      </c>
      <c r="Q850">
        <f>'Revenue drivers'!Q607</f>
        <v>0</v>
      </c>
      <c r="R850">
        <f>'Revenue drivers'!R607</f>
        <v>0</v>
      </c>
      <c r="S850">
        <f>'Revenue drivers'!S607</f>
        <v>0</v>
      </c>
      <c r="T850">
        <f>'Revenue drivers'!T607</f>
        <v>0</v>
      </c>
      <c r="U850">
        <f>'Revenue drivers'!U607</f>
        <v>0</v>
      </c>
      <c r="V850">
        <f>'Revenue drivers'!V607</f>
        <v>0</v>
      </c>
      <c r="W850">
        <f>'Revenue drivers'!W607</f>
        <v>0</v>
      </c>
      <c r="X850">
        <f>'Revenue drivers'!X607</f>
        <v>0</v>
      </c>
      <c r="Y850">
        <f>'Revenue drivers'!Y607</f>
        <v>0</v>
      </c>
      <c r="Z850">
        <f>'Revenue drivers'!Z607</f>
        <v>0</v>
      </c>
      <c r="AA850">
        <f>'Revenue drivers'!AA607</f>
        <v>0</v>
      </c>
      <c r="AB850">
        <f>'Revenue drivers'!AB607</f>
        <v>0</v>
      </c>
      <c r="AC850">
        <f>'Revenue drivers'!AC607</f>
        <v>0</v>
      </c>
      <c r="AD850">
        <f>'Revenue drivers'!AD607</f>
        <v>0</v>
      </c>
      <c r="AE850">
        <f>'Revenue drivers'!AE607</f>
        <v>0</v>
      </c>
      <c r="AF850">
        <f>'Revenue drivers'!AF607</f>
        <v>0</v>
      </c>
      <c r="AG850">
        <f>'Revenue drivers'!AG607</f>
        <v>0</v>
      </c>
      <c r="AH850">
        <f>'Revenue drivers'!AH607</f>
        <v>0</v>
      </c>
      <c r="AI850">
        <f>'Revenue drivers'!AI607</f>
        <v>0</v>
      </c>
      <c r="AJ850">
        <f>'Revenue drivers'!AJ607</f>
        <v>0</v>
      </c>
      <c r="AK850">
        <f>'Revenue drivers'!AK607</f>
        <v>0</v>
      </c>
      <c r="AL850">
        <f>'Revenue drivers'!AL607</f>
        <v>0</v>
      </c>
      <c r="AM850">
        <f>'Revenue drivers'!AM607</f>
        <v>0</v>
      </c>
      <c r="AN850">
        <f>'Revenue drivers'!AN607</f>
        <v>0</v>
      </c>
      <c r="AO850">
        <f>'Revenue drivers'!AO607</f>
        <v>0</v>
      </c>
      <c r="AP850">
        <f>'Revenue drivers'!AP607</f>
        <v>0</v>
      </c>
      <c r="AQ850">
        <f>'Revenue drivers'!AQ607</f>
        <v>0</v>
      </c>
      <c r="AR850">
        <f>'Revenue drivers'!AR607</f>
        <v>0</v>
      </c>
      <c r="AS850">
        <f>'Revenue drivers'!AS607</f>
        <v>0</v>
      </c>
      <c r="AT850">
        <f>'Revenue drivers'!AT607</f>
        <v>0</v>
      </c>
      <c r="AU850">
        <f>'Revenue drivers'!AU607</f>
        <v>0</v>
      </c>
      <c r="AV850">
        <f>'Revenue drivers'!AV607</f>
        <v>0</v>
      </c>
      <c r="AW850">
        <f>'Revenue drivers'!AW607</f>
        <v>0</v>
      </c>
      <c r="AX850">
        <f>'Revenue drivers'!AX607</f>
        <v>0</v>
      </c>
      <c r="AY850">
        <f>'Revenue drivers'!AY607</f>
        <v>0</v>
      </c>
      <c r="AZ850">
        <f>'Revenue drivers'!AZ607</f>
        <v>0</v>
      </c>
      <c r="BA850">
        <f>'Revenue drivers'!BA607</f>
        <v>0</v>
      </c>
      <c r="BB850">
        <f>'Revenue drivers'!BB607</f>
        <v>0</v>
      </c>
      <c r="BC850">
        <f>'Revenue drivers'!BC607</f>
        <v>0</v>
      </c>
      <c r="BD850">
        <f>'Revenue drivers'!BD607</f>
        <v>0</v>
      </c>
      <c r="BE850">
        <f>'Revenue drivers'!BE607</f>
        <v>0</v>
      </c>
      <c r="BF850">
        <f>'Revenue drivers'!BF607</f>
        <v>0</v>
      </c>
      <c r="BG850">
        <f>'Revenue drivers'!BG607</f>
        <v>0</v>
      </c>
      <c r="BH850">
        <f>'Revenue drivers'!BH607</f>
        <v>0</v>
      </c>
      <c r="BI850">
        <f>'Revenue drivers'!BI607</f>
        <v>0</v>
      </c>
      <c r="BJ850">
        <f>'Revenue drivers'!BJ607</f>
        <v>0</v>
      </c>
      <c r="BK850">
        <f>'Revenue drivers'!BK607</f>
        <v>0</v>
      </c>
      <c r="BL850">
        <f>'Revenue drivers'!BL607</f>
        <v>0</v>
      </c>
      <c r="BM850">
        <f>'Revenue drivers'!BM607</f>
        <v>0</v>
      </c>
      <c r="BN850">
        <f>'Revenue drivers'!BN607</f>
        <v>0</v>
      </c>
      <c r="BO850">
        <f>'Revenue drivers'!BO607</f>
        <v>0</v>
      </c>
      <c r="BP850">
        <f>'Revenue drivers'!BP607</f>
        <v>0</v>
      </c>
      <c r="BQ850">
        <f>'Revenue drivers'!BQ607</f>
        <v>0</v>
      </c>
      <c r="BR850">
        <f>'Revenue drivers'!BR607</f>
        <v>0</v>
      </c>
      <c r="BS850">
        <f>'Revenue drivers'!BS607</f>
        <v>0</v>
      </c>
      <c r="BT850">
        <f>'Revenue drivers'!BT607</f>
        <v>0</v>
      </c>
      <c r="BU850">
        <f>'Revenue drivers'!BU607</f>
        <v>0</v>
      </c>
      <c r="BV850">
        <f>'Revenue drivers'!BV607</f>
        <v>0</v>
      </c>
      <c r="BW850">
        <f>'Revenue drivers'!BW607</f>
        <v>0</v>
      </c>
      <c r="BX850">
        <f>'Revenue drivers'!BX607</f>
        <v>0</v>
      </c>
      <c r="BY850">
        <f>'Revenue drivers'!BY607</f>
        <v>0</v>
      </c>
    </row>
    <row r="851" spans="9:77" ht="11.25" customHeight="1">
      <c r="I851" t="str">
        <f>'Revenue drivers'!I608</f>
        <v>Cumulative Reviews</v>
      </c>
      <c r="J851">
        <f>'Revenue drivers'!J608</f>
        <v>0</v>
      </c>
      <c r="K851">
        <f>'Revenue drivers'!K608</f>
        <v>0</v>
      </c>
      <c r="L851">
        <f>'Revenue drivers'!L608</f>
        <v>0</v>
      </c>
      <c r="M851">
        <f>'Revenue drivers'!M608</f>
        <v>0</v>
      </c>
      <c r="N851">
        <f>'Revenue drivers'!N608</f>
        <v>0</v>
      </c>
      <c r="O851">
        <f>'Revenue drivers'!O608</f>
        <v>0</v>
      </c>
      <c r="P851">
        <f>'Revenue drivers'!P608</f>
        <v>0</v>
      </c>
      <c r="Q851">
        <f>'Revenue drivers'!Q608</f>
        <v>0</v>
      </c>
      <c r="R851">
        <f>'Revenue drivers'!R608</f>
        <v>0</v>
      </c>
      <c r="S851">
        <f>'Revenue drivers'!S608</f>
        <v>0</v>
      </c>
      <c r="T851">
        <f>'Revenue drivers'!T608</f>
        <v>0</v>
      </c>
      <c r="U851">
        <f>'Revenue drivers'!U608</f>
        <v>2.1580530184896412</v>
      </c>
      <c r="V851">
        <f>'Revenue drivers'!V608</f>
        <v>2.2730000000000001</v>
      </c>
      <c r="W851">
        <f>'Revenue drivers'!W608</f>
        <v>2.569</v>
      </c>
      <c r="X851">
        <f>'Revenue drivers'!X608</f>
        <v>2.6807407407407409</v>
      </c>
      <c r="Y851">
        <f>'Revenue drivers'!Y608</f>
        <v>2.8917910447761193</v>
      </c>
      <c r="Z851">
        <f>'Revenue drivers'!Z608</f>
        <v>3.0932835820895517</v>
      </c>
      <c r="AA851">
        <f>'Revenue drivers'!AA608</f>
        <v>3.3984732824427479</v>
      </c>
      <c r="AB851">
        <f>'Revenue drivers'!AB608</f>
        <v>3.6190000000000002</v>
      </c>
      <c r="AC851">
        <f>'Revenue drivers'!AC608</f>
        <v>3.875</v>
      </c>
      <c r="AD851">
        <f>'Revenue drivers'!AD608</f>
        <v>4.1449999999999996</v>
      </c>
      <c r="AE851">
        <f>'Revenue drivers'!AE608</f>
        <v>4.452</v>
      </c>
      <c r="AF851">
        <f>'Revenue drivers'!AF608</f>
        <v>4.7279999999999998</v>
      </c>
      <c r="AG851">
        <f>'Revenue drivers'!AG608</f>
        <v>5.0490000000000004</v>
      </c>
      <c r="AH851">
        <f>'Revenue drivers'!AH608</f>
        <v>5.3809999999999997E-2</v>
      </c>
      <c r="AI851">
        <f>'Revenue drivers'!AI608</f>
        <v>5.7489999999999997</v>
      </c>
      <c r="AJ851">
        <f>'Revenue drivers'!AJ608</f>
        <v>6.0709999999999997</v>
      </c>
      <c r="AK851">
        <f>'Revenue drivers'!AK608</f>
        <v>6.4390000000000001</v>
      </c>
      <c r="AL851">
        <f>'Revenue drivers'!AL608</f>
        <v>6.819</v>
      </c>
      <c r="AM851">
        <f>'Revenue drivers'!AM608</f>
        <v>7.2069999999999999</v>
      </c>
      <c r="AN851">
        <f>'Revenue drivers'!AN608</f>
        <v>0</v>
      </c>
      <c r="AO851">
        <f>'Revenue drivers'!AO608</f>
        <v>0</v>
      </c>
      <c r="AP851">
        <f>'Revenue drivers'!AP608</f>
        <v>0</v>
      </c>
      <c r="AQ851">
        <f>'Revenue drivers'!AQ608</f>
        <v>0</v>
      </c>
      <c r="AR851">
        <f>'Revenue drivers'!AR608</f>
        <v>0</v>
      </c>
      <c r="AS851">
        <f>'Revenue drivers'!AS608</f>
        <v>0</v>
      </c>
      <c r="AT851">
        <f>'Revenue drivers'!AT608</f>
        <v>0</v>
      </c>
      <c r="AU851">
        <f>'Revenue drivers'!AU608</f>
        <v>0</v>
      </c>
      <c r="AV851">
        <f>'Revenue drivers'!AV608</f>
        <v>0</v>
      </c>
      <c r="AW851">
        <f>'Revenue drivers'!AW608</f>
        <v>0</v>
      </c>
      <c r="AX851">
        <f>'Revenue drivers'!AX608</f>
        <v>0</v>
      </c>
      <c r="AY851">
        <f>'Revenue drivers'!AY608</f>
        <v>0</v>
      </c>
      <c r="AZ851">
        <f>'Revenue drivers'!AZ608</f>
        <v>0</v>
      </c>
      <c r="BA851">
        <f>'Revenue drivers'!BA608</f>
        <v>0</v>
      </c>
      <c r="BB851">
        <f>'Revenue drivers'!BB608</f>
        <v>0</v>
      </c>
      <c r="BC851">
        <f>'Revenue drivers'!BC608</f>
        <v>0</v>
      </c>
      <c r="BD851">
        <f>'Revenue drivers'!BD608</f>
        <v>0</v>
      </c>
      <c r="BE851">
        <f>'Revenue drivers'!BE608</f>
        <v>0</v>
      </c>
      <c r="BF851">
        <f>'Revenue drivers'!BF608</f>
        <v>0</v>
      </c>
      <c r="BG851">
        <f>'Revenue drivers'!BG608</f>
        <v>0</v>
      </c>
      <c r="BH851">
        <f>'Revenue drivers'!BH608</f>
        <v>0</v>
      </c>
      <c r="BI851">
        <f>'Revenue drivers'!BI608</f>
        <v>0</v>
      </c>
      <c r="BJ851">
        <f>'Revenue drivers'!BJ608</f>
        <v>0</v>
      </c>
      <c r="BK851">
        <f>'Revenue drivers'!BK608</f>
        <v>1.9583941605839412</v>
      </c>
      <c r="BL851">
        <f>'Revenue drivers'!BL608</f>
        <v>2.6829999999999998</v>
      </c>
      <c r="BM851">
        <f>'Revenue drivers'!BM608</f>
        <v>0</v>
      </c>
      <c r="BN851">
        <f>'Revenue drivers'!BN608</f>
        <v>0</v>
      </c>
      <c r="BO851">
        <f>'Revenue drivers'!BO608</f>
        <v>0</v>
      </c>
      <c r="BP851">
        <f>'Revenue drivers'!BP608</f>
        <v>0</v>
      </c>
      <c r="BQ851">
        <f>'Revenue drivers'!BQ608</f>
        <v>0</v>
      </c>
      <c r="BR851">
        <f>'Revenue drivers'!BR608</f>
        <v>0</v>
      </c>
      <c r="BS851">
        <f>'Revenue drivers'!BS608</f>
        <v>0</v>
      </c>
      <c r="BT851">
        <f>'Revenue drivers'!BT608</f>
        <v>0</v>
      </c>
      <c r="BU851">
        <f>'Revenue drivers'!BU608</f>
        <v>0</v>
      </c>
      <c r="BV851">
        <f>'Revenue drivers'!BV608</f>
        <v>0</v>
      </c>
      <c r="BW851">
        <f>'Revenue drivers'!BW608</f>
        <v>0</v>
      </c>
      <c r="BX851">
        <f>'Revenue drivers'!BX608</f>
        <v>0</v>
      </c>
      <c r="BY851">
        <f>'Revenue drivers'!BY608</f>
        <v>0</v>
      </c>
    </row>
    <row r="852" spans="9:77" ht="11.25" customHeight="1">
      <c r="I852" t="str">
        <f>'Revenue drivers'!I609</f>
        <v>% change Y/Y</v>
      </c>
      <c r="J852">
        <f>'Revenue drivers'!J609</f>
        <v>0</v>
      </c>
      <c r="K852">
        <f>'Revenue drivers'!K609</f>
        <v>0</v>
      </c>
      <c r="L852">
        <f>'Revenue drivers'!L609</f>
        <v>0</v>
      </c>
      <c r="M852">
        <f>'Revenue drivers'!M609</f>
        <v>0</v>
      </c>
      <c r="N852">
        <f>'Revenue drivers'!N609</f>
        <v>0</v>
      </c>
      <c r="O852">
        <f>'Revenue drivers'!O609</f>
        <v>0</v>
      </c>
      <c r="P852">
        <f>'Revenue drivers'!P609</f>
        <v>0</v>
      </c>
      <c r="Q852">
        <f>'Revenue drivers'!Q609</f>
        <v>0</v>
      </c>
      <c r="R852">
        <f>'Revenue drivers'!R609</f>
        <v>0</v>
      </c>
      <c r="S852">
        <f>'Revenue drivers'!S609</f>
        <v>0</v>
      </c>
      <c r="T852">
        <f>'Revenue drivers'!T609</f>
        <v>0</v>
      </c>
      <c r="U852">
        <f>'Revenue drivers'!U609</f>
        <v>0</v>
      </c>
      <c r="V852">
        <f>'Revenue drivers'!V609</f>
        <v>0.49</v>
      </c>
      <c r="W852">
        <f>'Revenue drivers'!W609</f>
        <v>0.4</v>
      </c>
      <c r="X852">
        <f>'Revenue drivers'!X609</f>
        <v>0</v>
      </c>
      <c r="Y852">
        <f>'Revenue drivers'!Y609</f>
        <v>0.34</v>
      </c>
      <c r="Z852">
        <f>'Revenue drivers'!Z609</f>
        <v>0.33</v>
      </c>
      <c r="AA852">
        <f>'Revenue drivers'!AA609</f>
        <v>0.35</v>
      </c>
      <c r="AB852">
        <f>'Revenue drivers'!AB609</f>
        <v>0.35</v>
      </c>
      <c r="AC852">
        <f>'Revenue drivers'!AC609</f>
        <v>0.34</v>
      </c>
      <c r="AD852">
        <f>'Revenue drivers'!AD609</f>
        <v>0.34</v>
      </c>
      <c r="AE852">
        <f>'Revenue drivers'!AE609</f>
        <v>0.31</v>
      </c>
      <c r="AF852">
        <f>'Revenue drivers'!AF609</f>
        <v>0.31</v>
      </c>
      <c r="AG852">
        <f>'Revenue drivers'!AG609</f>
        <v>0.3</v>
      </c>
      <c r="AH852">
        <f>'Revenue drivers'!AH609</f>
        <v>0.3</v>
      </c>
      <c r="AI852">
        <f>'Revenue drivers'!AI609</f>
        <v>0.28999999999999998</v>
      </c>
      <c r="AJ852">
        <f>'Revenue drivers'!AJ609</f>
        <v>0.28405245346869723</v>
      </c>
      <c r="AK852">
        <f>'Revenue drivers'!AK609</f>
        <v>0.28000000000000003</v>
      </c>
      <c r="AL852">
        <f>'Revenue drivers'!AL609</f>
        <v>0.27</v>
      </c>
      <c r="AM852">
        <f>'Revenue drivers'!AM609</f>
        <v>0.25</v>
      </c>
      <c r="AN852">
        <f>'Revenue drivers'!AN609</f>
        <v>0</v>
      </c>
      <c r="AO852">
        <f>'Revenue drivers'!AO609</f>
        <v>0</v>
      </c>
      <c r="AP852">
        <f>'Revenue drivers'!AP609</f>
        <v>0</v>
      </c>
      <c r="AQ852">
        <f>'Revenue drivers'!AQ609</f>
        <v>0</v>
      </c>
      <c r="AR852">
        <f>'Revenue drivers'!AR609</f>
        <v>0</v>
      </c>
      <c r="AS852">
        <f>'Revenue drivers'!AS609</f>
        <v>0</v>
      </c>
      <c r="AT852">
        <f>'Revenue drivers'!AT609</f>
        <v>0</v>
      </c>
      <c r="AU852">
        <f>'Revenue drivers'!AU609</f>
        <v>0</v>
      </c>
      <c r="AV852">
        <f>'Revenue drivers'!AV609</f>
        <v>0</v>
      </c>
      <c r="AW852">
        <f>'Revenue drivers'!AW609</f>
        <v>0</v>
      </c>
      <c r="AX852">
        <f>'Revenue drivers'!AX609</f>
        <v>0</v>
      </c>
      <c r="AY852">
        <f>'Revenue drivers'!AY609</f>
        <v>0</v>
      </c>
      <c r="AZ852">
        <f>'Revenue drivers'!AZ609</f>
        <v>0</v>
      </c>
      <c r="BA852">
        <f>'Revenue drivers'!BA609</f>
        <v>0</v>
      </c>
      <c r="BB852">
        <f>'Revenue drivers'!BB609</f>
        <v>0</v>
      </c>
      <c r="BC852">
        <f>'Revenue drivers'!BC609</f>
        <v>0</v>
      </c>
      <c r="BD852">
        <f>'Revenue drivers'!BD609</f>
        <v>0</v>
      </c>
      <c r="BE852">
        <f>'Revenue drivers'!BE609</f>
        <v>0</v>
      </c>
      <c r="BF852">
        <f>'Revenue drivers'!BF609</f>
        <v>0</v>
      </c>
      <c r="BG852">
        <f>'Revenue drivers'!BG609</f>
        <v>0</v>
      </c>
      <c r="BH852">
        <f>'Revenue drivers'!BH609</f>
        <v>0</v>
      </c>
      <c r="BI852">
        <f>'Revenue drivers'!BI609</f>
        <v>0</v>
      </c>
      <c r="BJ852">
        <f>'Revenue drivers'!BJ609</f>
        <v>0</v>
      </c>
      <c r="BK852">
        <f>'Revenue drivers'!BK609</f>
        <v>0</v>
      </c>
      <c r="BL852">
        <f>'Revenue drivers'!BL609</f>
        <v>0.37</v>
      </c>
      <c r="BM852">
        <f>'Revenue drivers'!BM609</f>
        <v>0</v>
      </c>
      <c r="BN852">
        <f>'Revenue drivers'!BN609</f>
        <v>0</v>
      </c>
      <c r="BO852">
        <f>'Revenue drivers'!BO609</f>
        <v>0</v>
      </c>
      <c r="BP852">
        <f>'Revenue drivers'!BP609</f>
        <v>0</v>
      </c>
      <c r="BQ852">
        <f>'Revenue drivers'!BQ609</f>
        <v>0</v>
      </c>
      <c r="BR852">
        <f>'Revenue drivers'!BR609</f>
        <v>0</v>
      </c>
      <c r="BS852">
        <f>'Revenue drivers'!BS609</f>
        <v>0</v>
      </c>
      <c r="BT852">
        <f>'Revenue drivers'!BT609</f>
        <v>0</v>
      </c>
      <c r="BU852">
        <f>'Revenue drivers'!BU609</f>
        <v>0</v>
      </c>
      <c r="BV852">
        <f>'Revenue drivers'!BV609</f>
        <v>0</v>
      </c>
      <c r="BW852">
        <f>'Revenue drivers'!BW609</f>
        <v>0</v>
      </c>
      <c r="BX852">
        <f>'Revenue drivers'!BX609</f>
        <v>0</v>
      </c>
      <c r="BY852">
        <f>'Revenue drivers'!BY609</f>
        <v>0</v>
      </c>
    </row>
    <row r="853" spans="9:77" ht="11.25" customHeight="1">
      <c r="I853">
        <f>'Revenue drivers'!I610</f>
        <v>0</v>
      </c>
      <c r="J853">
        <f>'Revenue drivers'!J610</f>
        <v>0</v>
      </c>
      <c r="K853">
        <f>'Revenue drivers'!K610</f>
        <v>0</v>
      </c>
      <c r="L853">
        <f>'Revenue drivers'!L610</f>
        <v>0</v>
      </c>
      <c r="M853">
        <f>'Revenue drivers'!M610</f>
        <v>0</v>
      </c>
      <c r="N853">
        <f>'Revenue drivers'!N610</f>
        <v>0</v>
      </c>
      <c r="O853">
        <f>'Revenue drivers'!O610</f>
        <v>0</v>
      </c>
      <c r="P853">
        <f>'Revenue drivers'!P610</f>
        <v>0</v>
      </c>
      <c r="Q853">
        <f>'Revenue drivers'!Q610</f>
        <v>0</v>
      </c>
      <c r="R853">
        <f>'Revenue drivers'!R610</f>
        <v>0</v>
      </c>
      <c r="S853">
        <f>'Revenue drivers'!S610</f>
        <v>0</v>
      </c>
      <c r="T853">
        <f>'Revenue drivers'!T610</f>
        <v>0</v>
      </c>
      <c r="U853">
        <f>'Revenue drivers'!U610</f>
        <v>0</v>
      </c>
      <c r="V853">
        <f>'Revenue drivers'!V610</f>
        <v>0</v>
      </c>
      <c r="W853">
        <f>'Revenue drivers'!W610</f>
        <v>0</v>
      </c>
      <c r="X853">
        <f>'Revenue drivers'!X610</f>
        <v>0</v>
      </c>
      <c r="Y853">
        <f>'Revenue drivers'!Y610</f>
        <v>0</v>
      </c>
      <c r="Z853">
        <f>'Revenue drivers'!Z610</f>
        <v>0</v>
      </c>
      <c r="AA853">
        <f>'Revenue drivers'!AA610</f>
        <v>0</v>
      </c>
      <c r="AB853">
        <f>'Revenue drivers'!AB610</f>
        <v>0</v>
      </c>
      <c r="AC853">
        <f>'Revenue drivers'!AC610</f>
        <v>0</v>
      </c>
      <c r="AD853">
        <f>'Revenue drivers'!AD610</f>
        <v>0</v>
      </c>
      <c r="AE853">
        <f>'Revenue drivers'!AE610</f>
        <v>0</v>
      </c>
      <c r="AF853">
        <f>'Revenue drivers'!AF610</f>
        <v>0</v>
      </c>
      <c r="AG853">
        <f>'Revenue drivers'!AG610</f>
        <v>0</v>
      </c>
      <c r="AH853">
        <f>'Revenue drivers'!AH610</f>
        <v>0</v>
      </c>
      <c r="AI853">
        <f>'Revenue drivers'!AI610</f>
        <v>0</v>
      </c>
      <c r="AJ853">
        <f>'Revenue drivers'!AJ610</f>
        <v>0</v>
      </c>
      <c r="AK853">
        <f>'Revenue drivers'!AK610</f>
        <v>0</v>
      </c>
      <c r="AL853">
        <f>'Revenue drivers'!AL610</f>
        <v>0</v>
      </c>
      <c r="AM853">
        <f>'Revenue drivers'!AM610</f>
        <v>0</v>
      </c>
      <c r="AN853">
        <f>'Revenue drivers'!AN610</f>
        <v>0</v>
      </c>
      <c r="AO853">
        <f>'Revenue drivers'!AO610</f>
        <v>0</v>
      </c>
      <c r="AP853">
        <f>'Revenue drivers'!AP610</f>
        <v>0</v>
      </c>
      <c r="AQ853">
        <f>'Revenue drivers'!AQ610</f>
        <v>0</v>
      </c>
      <c r="AR853">
        <f>'Revenue drivers'!AR610</f>
        <v>0</v>
      </c>
      <c r="AS853">
        <f>'Revenue drivers'!AS610</f>
        <v>0</v>
      </c>
      <c r="AT853">
        <f>'Revenue drivers'!AT610</f>
        <v>0</v>
      </c>
      <c r="AU853">
        <f>'Revenue drivers'!AU610</f>
        <v>0</v>
      </c>
      <c r="AV853">
        <f>'Revenue drivers'!AV610</f>
        <v>0</v>
      </c>
      <c r="AW853">
        <f>'Revenue drivers'!AW610</f>
        <v>0</v>
      </c>
      <c r="AX853">
        <f>'Revenue drivers'!AX610</f>
        <v>0</v>
      </c>
      <c r="AY853">
        <f>'Revenue drivers'!AY610</f>
        <v>0</v>
      </c>
      <c r="AZ853">
        <f>'Revenue drivers'!AZ610</f>
        <v>0</v>
      </c>
      <c r="BA853">
        <f>'Revenue drivers'!BA610</f>
        <v>0</v>
      </c>
      <c r="BB853">
        <f>'Revenue drivers'!BB610</f>
        <v>0</v>
      </c>
      <c r="BC853">
        <f>'Revenue drivers'!BC610</f>
        <v>0</v>
      </c>
      <c r="BD853">
        <f>'Revenue drivers'!BD610</f>
        <v>0</v>
      </c>
      <c r="BE853">
        <f>'Revenue drivers'!BE610</f>
        <v>0</v>
      </c>
      <c r="BF853">
        <f>'Revenue drivers'!BF610</f>
        <v>0</v>
      </c>
      <c r="BG853">
        <f>'Revenue drivers'!BG610</f>
        <v>0</v>
      </c>
      <c r="BH853">
        <f>'Revenue drivers'!BH610</f>
        <v>0</v>
      </c>
      <c r="BI853">
        <f>'Revenue drivers'!BI610</f>
        <v>0</v>
      </c>
      <c r="BJ853">
        <f>'Revenue drivers'!BJ610</f>
        <v>0</v>
      </c>
      <c r="BK853">
        <f>'Revenue drivers'!BK610</f>
        <v>0</v>
      </c>
      <c r="BL853">
        <f>'Revenue drivers'!BL610</f>
        <v>0</v>
      </c>
      <c r="BM853">
        <f>'Revenue drivers'!BM610</f>
        <v>0</v>
      </c>
      <c r="BN853">
        <f>'Revenue drivers'!BN610</f>
        <v>0</v>
      </c>
      <c r="BO853">
        <f>'Revenue drivers'!BO610</f>
        <v>0</v>
      </c>
      <c r="BP853">
        <f>'Revenue drivers'!BP610</f>
        <v>0</v>
      </c>
      <c r="BQ853">
        <f>'Revenue drivers'!BQ610</f>
        <v>0</v>
      </c>
      <c r="BR853">
        <f>'Revenue drivers'!BR610</f>
        <v>0</v>
      </c>
      <c r="BS853">
        <f>'Revenue drivers'!BS610</f>
        <v>0</v>
      </c>
      <c r="BT853">
        <f>'Revenue drivers'!BT610</f>
        <v>0</v>
      </c>
      <c r="BU853">
        <f>'Revenue drivers'!BU610</f>
        <v>0</v>
      </c>
      <c r="BV853">
        <f>'Revenue drivers'!BV610</f>
        <v>0</v>
      </c>
      <c r="BW853">
        <f>'Revenue drivers'!BW610</f>
        <v>0</v>
      </c>
      <c r="BX853">
        <f>'Revenue drivers'!BX610</f>
        <v>0</v>
      </c>
      <c r="BY853">
        <f>'Revenue drivers'!BY610</f>
        <v>0</v>
      </c>
    </row>
    <row r="855" spans="9:77" ht="11.25" customHeight="1">
      <c r="I855" t="str">
        <f>'Revenue drivers'!I611</f>
        <v>2007-2008</v>
      </c>
      <c r="J855">
        <f>'Revenue drivers'!J611</f>
        <v>0</v>
      </c>
      <c r="K855">
        <f>'Revenue drivers'!K611</f>
        <v>0</v>
      </c>
      <c r="L855">
        <f>'Revenue drivers'!L611</f>
        <v>0</v>
      </c>
      <c r="M855">
        <f>'Revenue drivers'!M611</f>
        <v>0</v>
      </c>
      <c r="N855">
        <f>'Revenue drivers'!N611</f>
        <v>0</v>
      </c>
      <c r="O855">
        <f>'Revenue drivers'!O611</f>
        <v>0</v>
      </c>
      <c r="P855">
        <f>'Revenue drivers'!P611</f>
        <v>0</v>
      </c>
      <c r="Q855">
        <f>'Revenue drivers'!Q611</f>
        <v>0</v>
      </c>
      <c r="R855">
        <f>'Revenue drivers'!R611</f>
        <v>0</v>
      </c>
      <c r="S855">
        <f>'Revenue drivers'!S611</f>
        <v>0</v>
      </c>
      <c r="T855">
        <f>'Revenue drivers'!T611</f>
        <v>0</v>
      </c>
      <c r="U855">
        <f>'Revenue drivers'!U611</f>
        <v>0</v>
      </c>
      <c r="V855">
        <f>'Revenue drivers'!V611</f>
        <v>0</v>
      </c>
      <c r="W855">
        <f>'Revenue drivers'!W611</f>
        <v>0</v>
      </c>
      <c r="X855">
        <f>'Revenue drivers'!X611</f>
        <v>0</v>
      </c>
      <c r="Y855">
        <f>'Revenue drivers'!Y611</f>
        <v>0</v>
      </c>
      <c r="Z855">
        <f>'Revenue drivers'!Z611</f>
        <v>0</v>
      </c>
      <c r="AA855">
        <f>'Revenue drivers'!AA611</f>
        <v>0</v>
      </c>
      <c r="AB855">
        <f>'Revenue drivers'!AB611</f>
        <v>0</v>
      </c>
      <c r="AC855">
        <f>'Revenue drivers'!AC611</f>
        <v>0</v>
      </c>
      <c r="AD855">
        <f>'Revenue drivers'!AD611</f>
        <v>0</v>
      </c>
      <c r="AE855">
        <f>'Revenue drivers'!AE611</f>
        <v>0</v>
      </c>
      <c r="AF855">
        <f>'Revenue drivers'!AF611</f>
        <v>0</v>
      </c>
      <c r="AG855">
        <f>'Revenue drivers'!AG611</f>
        <v>0</v>
      </c>
      <c r="AH855">
        <f>'Revenue drivers'!AH611</f>
        <v>0</v>
      </c>
      <c r="AI855">
        <f>'Revenue drivers'!AI611</f>
        <v>0</v>
      </c>
      <c r="AJ855">
        <f>'Revenue drivers'!AJ611</f>
        <v>0</v>
      </c>
      <c r="AK855">
        <f>'Revenue drivers'!AK611</f>
        <v>0</v>
      </c>
      <c r="AL855">
        <f>'Revenue drivers'!AL611</f>
        <v>0</v>
      </c>
      <c r="AM855">
        <f>'Revenue drivers'!AM611</f>
        <v>0</v>
      </c>
      <c r="AN855">
        <f>'Revenue drivers'!AN611</f>
        <v>0</v>
      </c>
      <c r="AO855">
        <f>'Revenue drivers'!AO611</f>
        <v>0</v>
      </c>
      <c r="AP855">
        <f>'Revenue drivers'!AP611</f>
        <v>0</v>
      </c>
      <c r="AQ855">
        <f>'Revenue drivers'!AQ611</f>
        <v>0</v>
      </c>
      <c r="AR855">
        <f>'Revenue drivers'!AR611</f>
        <v>0</v>
      </c>
      <c r="AS855">
        <f>'Revenue drivers'!AS611</f>
        <v>0</v>
      </c>
      <c r="AT855">
        <f>'Revenue drivers'!AT611</f>
        <v>0</v>
      </c>
      <c r="AU855">
        <f>'Revenue drivers'!AU611</f>
        <v>0</v>
      </c>
      <c r="AV855">
        <f>'Revenue drivers'!AV611</f>
        <v>0</v>
      </c>
      <c r="AW855">
        <f>'Revenue drivers'!AW611</f>
        <v>0</v>
      </c>
      <c r="AX855">
        <f>'Revenue drivers'!AX611</f>
        <v>0</v>
      </c>
      <c r="AY855">
        <f>'Revenue drivers'!AY611</f>
        <v>0</v>
      </c>
      <c r="AZ855">
        <f>'Revenue drivers'!AZ611</f>
        <v>0</v>
      </c>
      <c r="BA855">
        <f>'Revenue drivers'!BA611</f>
        <v>0</v>
      </c>
      <c r="BB855">
        <f>'Revenue drivers'!BB611</f>
        <v>0</v>
      </c>
      <c r="BC855">
        <f>'Revenue drivers'!BC611</f>
        <v>0</v>
      </c>
      <c r="BD855">
        <f>'Revenue drivers'!BD611</f>
        <v>0</v>
      </c>
      <c r="BE855">
        <f>'Revenue drivers'!BE611</f>
        <v>0</v>
      </c>
      <c r="BF855">
        <f>'Revenue drivers'!BF611</f>
        <v>0</v>
      </c>
      <c r="BG855">
        <f>'Revenue drivers'!BG611</f>
        <v>0</v>
      </c>
      <c r="BH855">
        <f>'Revenue drivers'!BH611</f>
        <v>0</v>
      </c>
      <c r="BI855">
        <f>'Revenue drivers'!BI611</f>
        <v>0</v>
      </c>
      <c r="BJ855">
        <f>'Revenue drivers'!BJ611</f>
        <v>0</v>
      </c>
      <c r="BK855">
        <f>'Revenue drivers'!BK611</f>
        <v>0</v>
      </c>
      <c r="BL855">
        <f>'Revenue drivers'!BL611</f>
        <v>0</v>
      </c>
      <c r="BM855">
        <f>'Revenue drivers'!BM611</f>
        <v>0</v>
      </c>
      <c r="BN855">
        <f>'Revenue drivers'!BN611</f>
        <v>0</v>
      </c>
      <c r="BO855">
        <f>'Revenue drivers'!BO611</f>
        <v>0</v>
      </c>
      <c r="BP855">
        <f>'Revenue drivers'!BP611</f>
        <v>0</v>
      </c>
      <c r="BQ855">
        <f>'Revenue drivers'!BQ611</f>
        <v>0</v>
      </c>
      <c r="BR855">
        <f>'Revenue drivers'!BR611</f>
        <v>0</v>
      </c>
      <c r="BS855">
        <f>'Revenue drivers'!BS611</f>
        <v>0</v>
      </c>
      <c r="BT855">
        <f>'Revenue drivers'!BT611</f>
        <v>0</v>
      </c>
      <c r="BU855">
        <f>'Revenue drivers'!BU611</f>
        <v>0</v>
      </c>
      <c r="BV855">
        <f>'Revenue drivers'!BV611</f>
        <v>0</v>
      </c>
      <c r="BW855">
        <f>'Revenue drivers'!BW611</f>
        <v>0</v>
      </c>
      <c r="BX855">
        <f>'Revenue drivers'!BX611</f>
        <v>0</v>
      </c>
      <c r="BY855">
        <f>'Revenue drivers'!BY611</f>
        <v>0</v>
      </c>
    </row>
    <row r="856" spans="9:77" ht="11.25" customHeight="1">
      <c r="I856">
        <f>'Revenue drivers'!I612</f>
        <v>0</v>
      </c>
      <c r="J856">
        <f>'Revenue drivers'!J612</f>
        <v>0</v>
      </c>
      <c r="K856">
        <f>'Revenue drivers'!K612</f>
        <v>0</v>
      </c>
      <c r="L856">
        <f>'Revenue drivers'!L612</f>
        <v>0</v>
      </c>
      <c r="M856">
        <f>'Revenue drivers'!M612</f>
        <v>0</v>
      </c>
      <c r="N856">
        <f>'Revenue drivers'!N612</f>
        <v>0</v>
      </c>
      <c r="O856">
        <f>'Revenue drivers'!O612</f>
        <v>0</v>
      </c>
      <c r="P856">
        <f>'Revenue drivers'!P612</f>
        <v>0</v>
      </c>
      <c r="Q856">
        <f>'Revenue drivers'!Q612</f>
        <v>0</v>
      </c>
      <c r="R856">
        <f>'Revenue drivers'!R612</f>
        <v>0</v>
      </c>
      <c r="S856">
        <f>'Revenue drivers'!S612</f>
        <v>0</v>
      </c>
      <c r="T856">
        <f>'Revenue drivers'!T612</f>
        <v>0</v>
      </c>
      <c r="U856">
        <f>'Revenue drivers'!U612</f>
        <v>0</v>
      </c>
      <c r="V856">
        <f>'Revenue drivers'!V612</f>
        <v>0</v>
      </c>
      <c r="W856">
        <f>'Revenue drivers'!W612</f>
        <v>0</v>
      </c>
      <c r="X856">
        <f>'Revenue drivers'!X612</f>
        <v>0</v>
      </c>
      <c r="Y856">
        <f>'Revenue drivers'!Y612</f>
        <v>0</v>
      </c>
      <c r="Z856">
        <f>'Revenue drivers'!Z612</f>
        <v>0</v>
      </c>
      <c r="AA856">
        <f>'Revenue drivers'!AA612</f>
        <v>0</v>
      </c>
      <c r="AB856">
        <f>'Revenue drivers'!AB612</f>
        <v>0</v>
      </c>
      <c r="AC856">
        <f>'Revenue drivers'!AC612</f>
        <v>0</v>
      </c>
      <c r="AD856">
        <f>'Revenue drivers'!AD612</f>
        <v>0</v>
      </c>
      <c r="AE856">
        <f>'Revenue drivers'!AE612</f>
        <v>0</v>
      </c>
      <c r="AF856">
        <f>'Revenue drivers'!AF612</f>
        <v>0</v>
      </c>
      <c r="AG856">
        <f>'Revenue drivers'!AG612</f>
        <v>0</v>
      </c>
      <c r="AH856">
        <f>'Revenue drivers'!AH612</f>
        <v>0</v>
      </c>
      <c r="AI856">
        <f>'Revenue drivers'!AI612</f>
        <v>0</v>
      </c>
      <c r="AJ856">
        <f>'Revenue drivers'!AJ612</f>
        <v>0</v>
      </c>
      <c r="AK856">
        <f>'Revenue drivers'!AK612</f>
        <v>0</v>
      </c>
      <c r="AL856">
        <f>'Revenue drivers'!AL612</f>
        <v>0</v>
      </c>
      <c r="AM856">
        <f>'Revenue drivers'!AM612</f>
        <v>0</v>
      </c>
      <c r="AN856">
        <f>'Revenue drivers'!AN612</f>
        <v>0</v>
      </c>
      <c r="AO856">
        <f>'Revenue drivers'!AO612</f>
        <v>0</v>
      </c>
      <c r="AP856">
        <f>'Revenue drivers'!AP612</f>
        <v>0</v>
      </c>
      <c r="AQ856">
        <f>'Revenue drivers'!AQ612</f>
        <v>0</v>
      </c>
      <c r="AR856">
        <f>'Revenue drivers'!AR612</f>
        <v>0</v>
      </c>
      <c r="AS856">
        <f>'Revenue drivers'!AS612</f>
        <v>0</v>
      </c>
      <c r="AT856">
        <f>'Revenue drivers'!AT612</f>
        <v>0</v>
      </c>
      <c r="AU856">
        <f>'Revenue drivers'!AU612</f>
        <v>0</v>
      </c>
      <c r="AV856">
        <f>'Revenue drivers'!AV612</f>
        <v>0</v>
      </c>
      <c r="AW856">
        <f>'Revenue drivers'!AW612</f>
        <v>0</v>
      </c>
      <c r="AX856">
        <f>'Revenue drivers'!AX612</f>
        <v>0</v>
      </c>
      <c r="AY856">
        <f>'Revenue drivers'!AY612</f>
        <v>0</v>
      </c>
      <c r="AZ856">
        <f>'Revenue drivers'!AZ612</f>
        <v>0</v>
      </c>
      <c r="BA856">
        <f>'Revenue drivers'!BA612</f>
        <v>0</v>
      </c>
      <c r="BB856">
        <f>'Revenue drivers'!BB612</f>
        <v>0</v>
      </c>
      <c r="BC856">
        <f>'Revenue drivers'!BC612</f>
        <v>0</v>
      </c>
      <c r="BD856">
        <f>'Revenue drivers'!BD612</f>
        <v>0</v>
      </c>
      <c r="BE856">
        <f>'Revenue drivers'!BE612</f>
        <v>0</v>
      </c>
      <c r="BF856">
        <f>'Revenue drivers'!BF612</f>
        <v>0</v>
      </c>
      <c r="BG856">
        <f>'Revenue drivers'!BG612</f>
        <v>0</v>
      </c>
      <c r="BH856">
        <f>'Revenue drivers'!BH612</f>
        <v>0</v>
      </c>
      <c r="BI856">
        <f>'Revenue drivers'!BI612</f>
        <v>0</v>
      </c>
      <c r="BJ856">
        <f>'Revenue drivers'!BJ612</f>
        <v>0</v>
      </c>
      <c r="BK856">
        <f>'Revenue drivers'!BK612</f>
        <v>0</v>
      </c>
      <c r="BL856">
        <f>'Revenue drivers'!BL612</f>
        <v>0</v>
      </c>
      <c r="BM856">
        <f>'Revenue drivers'!BM612</f>
        <v>0</v>
      </c>
      <c r="BN856">
        <f>'Revenue drivers'!BN612</f>
        <v>0</v>
      </c>
      <c r="BO856">
        <f>'Revenue drivers'!BO612</f>
        <v>0</v>
      </c>
      <c r="BP856">
        <f>'Revenue drivers'!BP612</f>
        <v>0</v>
      </c>
      <c r="BQ856">
        <f>'Revenue drivers'!BQ612</f>
        <v>0</v>
      </c>
      <c r="BR856">
        <f>'Revenue drivers'!BR612</f>
        <v>0</v>
      </c>
      <c r="BS856">
        <f>'Revenue drivers'!BS612</f>
        <v>0</v>
      </c>
      <c r="BT856">
        <f>'Revenue drivers'!BT612</f>
        <v>0</v>
      </c>
      <c r="BU856">
        <f>'Revenue drivers'!BU612</f>
        <v>0</v>
      </c>
      <c r="BV856">
        <f>'Revenue drivers'!BV612</f>
        <v>0</v>
      </c>
      <c r="BW856">
        <f>'Revenue drivers'!BW612</f>
        <v>0</v>
      </c>
      <c r="BX856">
        <f>'Revenue drivers'!BX612</f>
        <v>0</v>
      </c>
      <c r="BY856">
        <f>'Revenue drivers'!BY612</f>
        <v>0</v>
      </c>
    </row>
    <row r="857" spans="9:77" ht="11.25" customHeight="1">
      <c r="I857" t="str">
        <f>'Revenue drivers'!I613</f>
        <v>Average Local Advertising Revenue per Market</v>
      </c>
      <c r="J857">
        <f>'Revenue drivers'!J613</f>
        <v>0</v>
      </c>
      <c r="K857">
        <f>'Revenue drivers'!K613</f>
        <v>0</v>
      </c>
      <c r="L857">
        <f>'Revenue drivers'!L613</f>
        <v>0</v>
      </c>
      <c r="M857">
        <f>'Revenue drivers'!M613</f>
        <v>0</v>
      </c>
      <c r="N857">
        <f>'Revenue drivers'!N613</f>
        <v>0</v>
      </c>
      <c r="O857">
        <f>'Revenue drivers'!O613</f>
        <v>0</v>
      </c>
      <c r="P857">
        <f>'Revenue drivers'!P613</f>
        <v>0</v>
      </c>
      <c r="Q857">
        <f>'Revenue drivers'!Q613</f>
        <v>0</v>
      </c>
      <c r="R857">
        <f>'Revenue drivers'!R613</f>
        <v>0</v>
      </c>
      <c r="S857">
        <f>'Revenue drivers'!S613</f>
        <v>0</v>
      </c>
      <c r="T857">
        <f>'Revenue drivers'!T613</f>
        <v>0</v>
      </c>
      <c r="U857">
        <f>'Revenue drivers'!U613</f>
        <v>0.41641741442339647</v>
      </c>
      <c r="V857">
        <f>'Revenue drivers'!V613</f>
        <v>0.41699999999999998</v>
      </c>
      <c r="W857">
        <f>'Revenue drivers'!W613</f>
        <v>0.54900000000000004</v>
      </c>
      <c r="X857">
        <f>'Revenue drivers'!X613</f>
        <v>0.63563218390804599</v>
      </c>
      <c r="Y857">
        <f>'Revenue drivers'!Y613</f>
        <v>0.73705882352941177</v>
      </c>
      <c r="Z857">
        <f>'Revenue drivers'!Z613</f>
        <v>0.80611111111111111</v>
      </c>
      <c r="AA857">
        <f>'Revenue drivers'!AA613</f>
        <v>0.95722543352601153</v>
      </c>
      <c r="AB857">
        <f>'Revenue drivers'!AB613</f>
        <v>1.1060000000000001</v>
      </c>
      <c r="AC857">
        <f>'Revenue drivers'!AC613</f>
        <v>1.2529999999999999</v>
      </c>
      <c r="AD857">
        <f>'Revenue drivers'!AD613</f>
        <v>1.4510000000000001</v>
      </c>
      <c r="AE857">
        <f>'Revenue drivers'!AE613</f>
        <v>1.6559999999999999</v>
      </c>
      <c r="AF857">
        <f>'Revenue drivers'!AF613</f>
        <v>1.802</v>
      </c>
      <c r="AG857">
        <f>'Revenue drivers'!AG613</f>
        <v>1.9259999999999999</v>
      </c>
      <c r="AH857">
        <f>'Revenue drivers'!AH613</f>
        <v>2.109</v>
      </c>
      <c r="AI857">
        <f>'Revenue drivers'!AI613</f>
        <v>2.234</v>
      </c>
      <c r="AJ857">
        <f>'Revenue drivers'!AJ613</f>
        <v>2.431</v>
      </c>
      <c r="AK857">
        <f>'Revenue drivers'!AK613</f>
        <v>2.6709999999999998</v>
      </c>
      <c r="AL857">
        <f>'Revenue drivers'!AL613</f>
        <v>2.9329999999999998</v>
      </c>
      <c r="AM857">
        <f>'Revenue drivers'!AM613</f>
        <v>3.1619999999999999</v>
      </c>
      <c r="AN857">
        <f>'Revenue drivers'!AN613</f>
        <v>3.4277099999999998</v>
      </c>
      <c r="AO857">
        <f>'Revenue drivers'!AO613</f>
        <v>3.7393999999999994</v>
      </c>
      <c r="AP857">
        <f>'Revenue drivers'!AP613</f>
        <v>4.0768699999999995</v>
      </c>
      <c r="AQ857">
        <f>'Revenue drivers'!AQ613</f>
        <v>4.3635599999999997</v>
      </c>
      <c r="AR857">
        <f>'Revenue drivers'!AR613</f>
        <v>4.695962699999999</v>
      </c>
      <c r="AS857">
        <f>'Revenue drivers'!AS613</f>
        <v>5.085583999999999</v>
      </c>
      <c r="AT857">
        <f>'Revenue drivers'!AT613</f>
        <v>5.5037744999999987</v>
      </c>
      <c r="AU857">
        <f>'Revenue drivers'!AU613</f>
        <v>5.8471703999999987</v>
      </c>
      <c r="AV857">
        <f>'Revenue drivers'!AV613</f>
        <v>6.2456303909999979</v>
      </c>
      <c r="AW857">
        <f>'Revenue drivers'!AW613</f>
        <v>6.7129708799999976</v>
      </c>
      <c r="AX857">
        <f>'Revenue drivers'!AX613</f>
        <v>7.209944594999997</v>
      </c>
      <c r="AY857">
        <f>'Revenue drivers'!AY613</f>
        <v>7.6013215199999973</v>
      </c>
      <c r="AZ857">
        <f>'Revenue drivers'!AZ613</f>
        <v>8.0568632043899964</v>
      </c>
      <c r="BA857">
        <f>'Revenue drivers'!BA613</f>
        <v>8.5926027263999956</v>
      </c>
      <c r="BB857">
        <f>'Revenue drivers'!BB613</f>
        <v>9.1566296356499954</v>
      </c>
      <c r="BC857">
        <f>'Revenue drivers'!BC613</f>
        <v>9.577665115199995</v>
      </c>
      <c r="BD857">
        <f>'Revenue drivers'!BD613</f>
        <v>10.071079005487494</v>
      </c>
      <c r="BE857">
        <f>'Revenue drivers'!BE613</f>
        <v>0</v>
      </c>
      <c r="BF857">
        <f>'Revenue drivers'!BF613</f>
        <v>0</v>
      </c>
      <c r="BG857">
        <f>'Revenue drivers'!BG613</f>
        <v>0</v>
      </c>
      <c r="BH857">
        <f>'Revenue drivers'!BH613</f>
        <v>0</v>
      </c>
      <c r="BI857">
        <f>'Revenue drivers'!BI613</f>
        <v>0</v>
      </c>
      <c r="BJ857">
        <f>'Revenue drivers'!BJ613</f>
        <v>0</v>
      </c>
      <c r="BK857">
        <f>'Revenue drivers'!BK613</f>
        <v>1.1193548387096774</v>
      </c>
      <c r="BL857">
        <f>'Revenue drivers'!BL613</f>
        <v>2.0819999999999999</v>
      </c>
      <c r="BM857">
        <f>'Revenue drivers'!BM613</f>
        <v>3.6063953681665346</v>
      </c>
      <c r="BN857">
        <f>'Revenue drivers'!BN613</f>
        <v>6.161999999999999</v>
      </c>
      <c r="BO857">
        <f>'Revenue drivers'!BO613</f>
        <v>8.6999999999999993</v>
      </c>
      <c r="BP857">
        <f>'Revenue drivers'!BP613</f>
        <v>12.193709999999998</v>
      </c>
      <c r="BQ857">
        <f>'Revenue drivers'!BQ613</f>
        <v>16.875792699999998</v>
      </c>
      <c r="BR857">
        <f>'Revenue drivers'!BR613</f>
        <v>22.682159290999994</v>
      </c>
      <c r="BS857">
        <f>'Revenue drivers'!BS613</f>
        <v>29.581100199389986</v>
      </c>
      <c r="BT857">
        <f>'Revenue drivers'!BT613</f>
        <v>37.397976482737477</v>
      </c>
      <c r="BU857">
        <f>'Revenue drivers'!BU613</f>
        <v>46.906501203633262</v>
      </c>
      <c r="BV857">
        <f>'Revenue drivers'!BV613</f>
        <v>58.363526002133845</v>
      </c>
      <c r="BW857">
        <f>'Revenue drivers'!BW613</f>
        <v>72.035321174484807</v>
      </c>
      <c r="BX857">
        <f>'Revenue drivers'!BX613</f>
        <v>88.189413763633894</v>
      </c>
      <c r="BY857">
        <f>'Revenue drivers'!BY613</f>
        <v>107.08420600835976</v>
      </c>
    </row>
    <row r="858" spans="9:77" ht="11.25" customHeight="1">
      <c r="I858" t="str">
        <f>'Revenue drivers'!I614</f>
        <v>% change Y/Y</v>
      </c>
      <c r="J858">
        <f>'Revenue drivers'!J614</f>
        <v>0</v>
      </c>
      <c r="K858">
        <f>'Revenue drivers'!K614</f>
        <v>0</v>
      </c>
      <c r="L858">
        <f>'Revenue drivers'!L614</f>
        <v>0</v>
      </c>
      <c r="M858">
        <f>'Revenue drivers'!M614</f>
        <v>0</v>
      </c>
      <c r="N858">
        <f>'Revenue drivers'!N614</f>
        <v>0</v>
      </c>
      <c r="O858">
        <f>'Revenue drivers'!O614</f>
        <v>0</v>
      </c>
      <c r="P858">
        <f>'Revenue drivers'!P614</f>
        <v>0</v>
      </c>
      <c r="Q858">
        <f>'Revenue drivers'!Q614</f>
        <v>0</v>
      </c>
      <c r="R858">
        <f>'Revenue drivers'!R614</f>
        <v>0</v>
      </c>
      <c r="S858">
        <f>'Revenue drivers'!S614</f>
        <v>0</v>
      </c>
      <c r="T858">
        <f>'Revenue drivers'!T614</f>
        <v>0</v>
      </c>
      <c r="U858">
        <f>'Revenue drivers'!U614</f>
        <v>0</v>
      </c>
      <c r="V858">
        <f>'Revenue drivers'!V614</f>
        <v>1.02</v>
      </c>
      <c r="W858">
        <f>'Revenue drivers'!W614</f>
        <v>0.81</v>
      </c>
      <c r="X858">
        <f>'Revenue drivers'!X614</f>
        <v>0</v>
      </c>
      <c r="Y858">
        <f>'Revenue drivers'!Y614</f>
        <v>0.77</v>
      </c>
      <c r="Z858">
        <f>'Revenue drivers'!Z614</f>
        <v>0.67</v>
      </c>
      <c r="AA858">
        <f>'Revenue drivers'!AA614</f>
        <v>0.74</v>
      </c>
      <c r="AB858">
        <f>'Revenue drivers'!AB614</f>
        <v>0.74</v>
      </c>
      <c r="AC858">
        <f>'Revenue drivers'!AC614</f>
        <v>0.7</v>
      </c>
      <c r="AD858">
        <f>'Revenue drivers'!AD614</f>
        <v>0.8</v>
      </c>
      <c r="AE858">
        <f>'Revenue drivers'!AE614</f>
        <v>0.73</v>
      </c>
      <c r="AF858">
        <f>'Revenue drivers'!AF614</f>
        <v>0.63</v>
      </c>
      <c r="AG858">
        <f>'Revenue drivers'!AG614</f>
        <v>0.53711093375897856</v>
      </c>
      <c r="AH858">
        <f>'Revenue drivers'!AH614</f>
        <v>0.45</v>
      </c>
      <c r="AI858">
        <f>'Revenue drivers'!AI614</f>
        <v>0.35</v>
      </c>
      <c r="AJ858">
        <f>'Revenue drivers'!AJ614</f>
        <v>0.34905660377358494</v>
      </c>
      <c r="AK858">
        <f>'Revenue drivers'!AK614</f>
        <v>0.39</v>
      </c>
      <c r="AL858">
        <f>'Revenue drivers'!AL614</f>
        <v>0.39</v>
      </c>
      <c r="AM858">
        <f>'Revenue drivers'!AM614</f>
        <v>0.42</v>
      </c>
      <c r="AN858">
        <f>'Revenue drivers'!AN614</f>
        <v>0.41</v>
      </c>
      <c r="AO858">
        <f>'Revenue drivers'!AO614</f>
        <v>0.39999999999999997</v>
      </c>
      <c r="AP858">
        <f>'Revenue drivers'!AP614</f>
        <v>0.38999999999999996</v>
      </c>
      <c r="AQ858">
        <f>'Revenue drivers'!AQ614</f>
        <v>0.37999999999999995</v>
      </c>
      <c r="AR858">
        <f>'Revenue drivers'!AR614</f>
        <v>0.36999999999999994</v>
      </c>
      <c r="AS858">
        <f>'Revenue drivers'!AS614</f>
        <v>0.35999999999999993</v>
      </c>
      <c r="AT858">
        <f>'Revenue drivers'!AT614</f>
        <v>0.34999999999999992</v>
      </c>
      <c r="AU858">
        <f>'Revenue drivers'!AU614</f>
        <v>0.33999999999999991</v>
      </c>
      <c r="AV858">
        <f>'Revenue drivers'!AV614</f>
        <v>0.3299999999999999</v>
      </c>
      <c r="AW858">
        <f>'Revenue drivers'!AW614</f>
        <v>0.3199999999999999</v>
      </c>
      <c r="AX858">
        <f>'Revenue drivers'!AX614</f>
        <v>0.30999999999999989</v>
      </c>
      <c r="AY858">
        <f>'Revenue drivers'!AY614</f>
        <v>0.29999999999999988</v>
      </c>
      <c r="AZ858">
        <f>'Revenue drivers'!AZ614</f>
        <v>0.28999999999999987</v>
      </c>
      <c r="BA858">
        <f>'Revenue drivers'!BA614</f>
        <v>0.27999999999999986</v>
      </c>
      <c r="BB858">
        <f>'Revenue drivers'!BB614</f>
        <v>0.26999999999999985</v>
      </c>
      <c r="BC858">
        <f>'Revenue drivers'!BC614</f>
        <v>0.25999999999999984</v>
      </c>
      <c r="BD858">
        <f>'Revenue drivers'!BD614</f>
        <v>0.24999999999999983</v>
      </c>
      <c r="BE858">
        <f>'Revenue drivers'!BE614</f>
        <v>0</v>
      </c>
      <c r="BF858">
        <f>'Revenue drivers'!BF614</f>
        <v>0</v>
      </c>
      <c r="BG858">
        <f>'Revenue drivers'!BG614</f>
        <v>0</v>
      </c>
      <c r="BH858">
        <f>'Revenue drivers'!BH614</f>
        <v>0</v>
      </c>
      <c r="BI858">
        <f>'Revenue drivers'!BI614</f>
        <v>0</v>
      </c>
      <c r="BJ858">
        <f>'Revenue drivers'!BJ614</f>
        <v>0</v>
      </c>
      <c r="BK858">
        <f>'Revenue drivers'!BK614</f>
        <v>0</v>
      </c>
      <c r="BL858">
        <f>'Revenue drivers'!BL614</f>
        <v>0.86</v>
      </c>
      <c r="BM858">
        <f>'Revenue drivers'!BM614</f>
        <v>0.7321783708772982</v>
      </c>
      <c r="BN858">
        <f>'Revenue drivers'!BN614</f>
        <v>0.70863129827407567</v>
      </c>
      <c r="BO858">
        <f>'Revenue drivers'!BO614</f>
        <v>0.41187925998052588</v>
      </c>
      <c r="BP858">
        <f>'Revenue drivers'!BP614</f>
        <v>0.40157586206896534</v>
      </c>
      <c r="BQ858">
        <f>'Revenue drivers'!BQ614</f>
        <v>0.38397523805306188</v>
      </c>
      <c r="BR858">
        <f>'Revenue drivers'!BR614</f>
        <v>0.34406482078912926</v>
      </c>
      <c r="BS858">
        <f>'Revenue drivers'!BS614</f>
        <v>0.30415714923258697</v>
      </c>
      <c r="BT858">
        <f>'Revenue drivers'!BT614</f>
        <v>0.26425238516005867</v>
      </c>
      <c r="BU858">
        <f>'Revenue drivers'!BU614</f>
        <v>0.25425238516005866</v>
      </c>
      <c r="BV858">
        <f>'Revenue drivers'!BV614</f>
        <v>0.24425238516005865</v>
      </c>
      <c r="BW858">
        <f>'Revenue drivers'!BW614</f>
        <v>0.23425238516005864</v>
      </c>
      <c r="BX858">
        <f>'Revenue drivers'!BX614</f>
        <v>0.22425238516005863</v>
      </c>
      <c r="BY858">
        <f>'Revenue drivers'!BY614</f>
        <v>0.21425238516005862</v>
      </c>
    </row>
    <row r="859" spans="9:77" ht="11.25" customHeight="1">
      <c r="I859">
        <f>'Revenue drivers'!I615</f>
        <v>0</v>
      </c>
      <c r="J859">
        <f>'Revenue drivers'!J615</f>
        <v>0</v>
      </c>
      <c r="K859">
        <f>'Revenue drivers'!K615</f>
        <v>0</v>
      </c>
      <c r="L859">
        <f>'Revenue drivers'!L615</f>
        <v>0</v>
      </c>
      <c r="M859">
        <f>'Revenue drivers'!M615</f>
        <v>0</v>
      </c>
      <c r="N859">
        <f>'Revenue drivers'!N615</f>
        <v>0</v>
      </c>
      <c r="O859">
        <f>'Revenue drivers'!O615</f>
        <v>0</v>
      </c>
      <c r="P859">
        <f>'Revenue drivers'!P615</f>
        <v>0</v>
      </c>
      <c r="Q859">
        <f>'Revenue drivers'!Q615</f>
        <v>0</v>
      </c>
      <c r="R859">
        <f>'Revenue drivers'!R615</f>
        <v>0</v>
      </c>
      <c r="S859">
        <f>'Revenue drivers'!S615</f>
        <v>0</v>
      </c>
      <c r="T859">
        <f>'Revenue drivers'!T615</f>
        <v>0</v>
      </c>
      <c r="U859">
        <f>'Revenue drivers'!U615</f>
        <v>0</v>
      </c>
      <c r="V859">
        <f>'Revenue drivers'!V615</f>
        <v>0</v>
      </c>
      <c r="W859">
        <f>'Revenue drivers'!W615</f>
        <v>0</v>
      </c>
      <c r="X859">
        <f>'Revenue drivers'!X615</f>
        <v>0</v>
      </c>
      <c r="Y859">
        <f>'Revenue drivers'!Y615</f>
        <v>0</v>
      </c>
      <c r="Z859">
        <f>'Revenue drivers'!Z615</f>
        <v>0</v>
      </c>
      <c r="AA859">
        <f>'Revenue drivers'!AA615</f>
        <v>0</v>
      </c>
      <c r="AB859">
        <f>'Revenue drivers'!AB615</f>
        <v>0</v>
      </c>
      <c r="AC859">
        <f>'Revenue drivers'!AC615</f>
        <v>0</v>
      </c>
      <c r="AD859">
        <f>'Revenue drivers'!AD615</f>
        <v>0</v>
      </c>
      <c r="AE859">
        <f>'Revenue drivers'!AE615</f>
        <v>0</v>
      </c>
      <c r="AF859">
        <f>'Revenue drivers'!AF615</f>
        <v>0</v>
      </c>
      <c r="AG859">
        <f>'Revenue drivers'!AG615</f>
        <v>0</v>
      </c>
      <c r="AH859">
        <f>'Revenue drivers'!AH615</f>
        <v>0</v>
      </c>
      <c r="AI859">
        <f>'Revenue drivers'!AI615</f>
        <v>0</v>
      </c>
      <c r="AJ859">
        <f>'Revenue drivers'!AJ615</f>
        <v>0</v>
      </c>
      <c r="AK859">
        <f>'Revenue drivers'!AK615</f>
        <v>0</v>
      </c>
      <c r="AL859">
        <f>'Revenue drivers'!AL615</f>
        <v>0</v>
      </c>
      <c r="AM859">
        <f>'Revenue drivers'!AM615</f>
        <v>0</v>
      </c>
      <c r="AN859">
        <f>'Revenue drivers'!AN615</f>
        <v>0</v>
      </c>
      <c r="AO859">
        <f>'Revenue drivers'!AO615</f>
        <v>0</v>
      </c>
      <c r="AP859">
        <f>'Revenue drivers'!AP615</f>
        <v>0</v>
      </c>
      <c r="AQ859">
        <f>'Revenue drivers'!AQ615</f>
        <v>0</v>
      </c>
      <c r="AR859">
        <f>'Revenue drivers'!AR615</f>
        <v>0</v>
      </c>
      <c r="AS859">
        <f>'Revenue drivers'!AS615</f>
        <v>0</v>
      </c>
      <c r="AT859">
        <f>'Revenue drivers'!AT615</f>
        <v>0</v>
      </c>
      <c r="AU859">
        <f>'Revenue drivers'!AU615</f>
        <v>0</v>
      </c>
      <c r="AV859">
        <f>'Revenue drivers'!AV615</f>
        <v>0</v>
      </c>
      <c r="AW859">
        <f>'Revenue drivers'!AW615</f>
        <v>0</v>
      </c>
      <c r="AX859">
        <f>'Revenue drivers'!AX615</f>
        <v>0</v>
      </c>
      <c r="AY859">
        <f>'Revenue drivers'!AY615</f>
        <v>0</v>
      </c>
      <c r="AZ859">
        <f>'Revenue drivers'!AZ615</f>
        <v>0</v>
      </c>
      <c r="BA859">
        <f>'Revenue drivers'!BA615</f>
        <v>0</v>
      </c>
      <c r="BB859">
        <f>'Revenue drivers'!BB615</f>
        <v>0</v>
      </c>
      <c r="BC859">
        <f>'Revenue drivers'!BC615</f>
        <v>0</v>
      </c>
      <c r="BD859">
        <f>'Revenue drivers'!BD615</f>
        <v>0</v>
      </c>
      <c r="BE859">
        <f>'Revenue drivers'!BE615</f>
        <v>0</v>
      </c>
      <c r="BF859">
        <f>'Revenue drivers'!BF615</f>
        <v>0</v>
      </c>
      <c r="BG859">
        <f>'Revenue drivers'!BG615</f>
        <v>0</v>
      </c>
      <c r="BH859">
        <f>'Revenue drivers'!BH615</f>
        <v>0</v>
      </c>
      <c r="BI859">
        <f>'Revenue drivers'!BI615</f>
        <v>0</v>
      </c>
      <c r="BJ859">
        <f>'Revenue drivers'!BJ615</f>
        <v>0</v>
      </c>
      <c r="BK859">
        <f>'Revenue drivers'!BK615</f>
        <v>0</v>
      </c>
      <c r="BL859">
        <f>'Revenue drivers'!BL615</f>
        <v>0</v>
      </c>
      <c r="BM859">
        <f>'Revenue drivers'!BM615</f>
        <v>0</v>
      </c>
      <c r="BN859">
        <f>'Revenue drivers'!BN615</f>
        <v>0</v>
      </c>
      <c r="BO859">
        <f>'Revenue drivers'!BO615</f>
        <v>0</v>
      </c>
      <c r="BP859">
        <f>'Revenue drivers'!BP615</f>
        <v>0</v>
      </c>
      <c r="BQ859">
        <f>'Revenue drivers'!BQ615</f>
        <v>0</v>
      </c>
      <c r="BR859">
        <f>'Revenue drivers'!BR615</f>
        <v>0</v>
      </c>
      <c r="BS859">
        <f>'Revenue drivers'!BS615</f>
        <v>0</v>
      </c>
      <c r="BT859">
        <f>'Revenue drivers'!BT615</f>
        <v>0</v>
      </c>
      <c r="BU859">
        <f>'Revenue drivers'!BU615</f>
        <v>0</v>
      </c>
      <c r="BV859">
        <f>'Revenue drivers'!BV615</f>
        <v>0</v>
      </c>
      <c r="BW859">
        <f>'Revenue drivers'!BW615</f>
        <v>0</v>
      </c>
      <c r="BX859">
        <f>'Revenue drivers'!BX615</f>
        <v>0</v>
      </c>
      <c r="BY859">
        <f>'Revenue drivers'!BY615</f>
        <v>0</v>
      </c>
    </row>
    <row r="860" spans="9:77" ht="11.25" customHeight="1">
      <c r="I860" t="str">
        <f>'Revenue drivers'!I616</f>
        <v>Number of Yelp Markets</v>
      </c>
      <c r="J860">
        <f>'Revenue drivers'!J616</f>
        <v>0</v>
      </c>
      <c r="K860">
        <f>'Revenue drivers'!K616</f>
        <v>0</v>
      </c>
      <c r="L860">
        <f>'Revenue drivers'!L616</f>
        <v>0</v>
      </c>
      <c r="M860">
        <f>'Revenue drivers'!M616</f>
        <v>0</v>
      </c>
      <c r="N860">
        <f>'Revenue drivers'!N616</f>
        <v>0</v>
      </c>
      <c r="O860">
        <f>'Revenue drivers'!O616</f>
        <v>0</v>
      </c>
      <c r="P860">
        <f>'Revenue drivers'!P616</f>
        <v>0</v>
      </c>
      <c r="Q860">
        <f>'Revenue drivers'!Q616</f>
        <v>0</v>
      </c>
      <c r="R860">
        <f>'Revenue drivers'!R616</f>
        <v>0</v>
      </c>
      <c r="S860">
        <f>'Revenue drivers'!S616</f>
        <v>0</v>
      </c>
      <c r="T860">
        <f>'Revenue drivers'!T616</f>
        <v>14</v>
      </c>
      <c r="U860">
        <f>'Revenue drivers'!U616</f>
        <v>14</v>
      </c>
      <c r="V860">
        <f>'Revenue drivers'!V616</f>
        <v>14</v>
      </c>
      <c r="W860">
        <f>'Revenue drivers'!W616</f>
        <v>14</v>
      </c>
      <c r="X860">
        <f>'Revenue drivers'!X616</f>
        <v>14</v>
      </c>
      <c r="Y860">
        <f>'Revenue drivers'!Y616</f>
        <v>14</v>
      </c>
      <c r="Z860">
        <f>'Revenue drivers'!Z616</f>
        <v>14</v>
      </c>
      <c r="AA860">
        <f>'Revenue drivers'!AA616</f>
        <v>14</v>
      </c>
      <c r="AB860">
        <f>'Revenue drivers'!AB616</f>
        <v>14</v>
      </c>
      <c r="AC860">
        <f>'Revenue drivers'!AC616</f>
        <v>14</v>
      </c>
      <c r="AD860">
        <f>'Revenue drivers'!AD616</f>
        <v>14</v>
      </c>
      <c r="AE860">
        <f>'Revenue drivers'!AE616</f>
        <v>14</v>
      </c>
      <c r="AF860">
        <f>'Revenue drivers'!AF616</f>
        <v>14</v>
      </c>
      <c r="AG860">
        <f>'Revenue drivers'!AG616</f>
        <v>14</v>
      </c>
      <c r="AH860">
        <f>'Revenue drivers'!AH616</f>
        <v>14</v>
      </c>
      <c r="AI860">
        <f>'Revenue drivers'!AI616</f>
        <v>14</v>
      </c>
      <c r="AJ860">
        <f>'Revenue drivers'!AJ616</f>
        <v>14</v>
      </c>
      <c r="AK860">
        <f>'Revenue drivers'!AK616</f>
        <v>14</v>
      </c>
      <c r="AL860">
        <f>'Revenue drivers'!AL616</f>
        <v>14</v>
      </c>
      <c r="AM860">
        <f>'Revenue drivers'!AM616</f>
        <v>14</v>
      </c>
      <c r="AN860">
        <f>'Revenue drivers'!AN616</f>
        <v>14</v>
      </c>
      <c r="AO860">
        <f>'Revenue drivers'!AO616</f>
        <v>14</v>
      </c>
      <c r="AP860">
        <f>'Revenue drivers'!AP616</f>
        <v>14</v>
      </c>
      <c r="AQ860">
        <f>'Revenue drivers'!AQ616</f>
        <v>14</v>
      </c>
      <c r="AR860">
        <f>'Revenue drivers'!AR616</f>
        <v>14</v>
      </c>
      <c r="AS860">
        <f>'Revenue drivers'!AS616</f>
        <v>14</v>
      </c>
      <c r="AT860">
        <f>'Revenue drivers'!AT616</f>
        <v>14</v>
      </c>
      <c r="AU860">
        <f>'Revenue drivers'!AU616</f>
        <v>14</v>
      </c>
      <c r="AV860">
        <f>'Revenue drivers'!AV616</f>
        <v>14</v>
      </c>
      <c r="AW860">
        <f>'Revenue drivers'!AW616</f>
        <v>14</v>
      </c>
      <c r="AX860">
        <f>'Revenue drivers'!AX616</f>
        <v>14</v>
      </c>
      <c r="AY860">
        <f>'Revenue drivers'!AY616</f>
        <v>14</v>
      </c>
      <c r="AZ860">
        <f>'Revenue drivers'!AZ616</f>
        <v>14</v>
      </c>
      <c r="BA860">
        <f>'Revenue drivers'!BA616</f>
        <v>14</v>
      </c>
      <c r="BB860">
        <f>'Revenue drivers'!BB616</f>
        <v>14</v>
      </c>
      <c r="BC860">
        <f>'Revenue drivers'!BC616</f>
        <v>14</v>
      </c>
      <c r="BD860">
        <f>'Revenue drivers'!BD616</f>
        <v>14</v>
      </c>
      <c r="BE860">
        <f>'Revenue drivers'!BE616</f>
        <v>0</v>
      </c>
      <c r="BF860">
        <f>'Revenue drivers'!BF616</f>
        <v>0</v>
      </c>
      <c r="BG860">
        <f>'Revenue drivers'!BG616</f>
        <v>0</v>
      </c>
      <c r="BH860">
        <f>'Revenue drivers'!BH616</f>
        <v>0</v>
      </c>
      <c r="BI860">
        <f>'Revenue drivers'!BI616</f>
        <v>0</v>
      </c>
      <c r="BJ860">
        <f>'Revenue drivers'!BJ616</f>
        <v>0</v>
      </c>
      <c r="BK860">
        <f>'Revenue drivers'!BK616</f>
        <v>0</v>
      </c>
      <c r="BL860">
        <f>'Revenue drivers'!BL616</f>
        <v>14</v>
      </c>
      <c r="BM860">
        <f>'Revenue drivers'!BM616</f>
        <v>14</v>
      </c>
      <c r="BN860">
        <f>'Revenue drivers'!BN616</f>
        <v>14</v>
      </c>
      <c r="BO860">
        <f>'Revenue drivers'!BO616</f>
        <v>14</v>
      </c>
      <c r="BP860">
        <f>'Revenue drivers'!BP616</f>
        <v>14</v>
      </c>
      <c r="BQ860">
        <f>'Revenue drivers'!BQ616</f>
        <v>14</v>
      </c>
      <c r="BR860">
        <f>'Revenue drivers'!BR616</f>
        <v>14</v>
      </c>
      <c r="BS860">
        <f>'Revenue drivers'!BS616</f>
        <v>14</v>
      </c>
      <c r="BT860">
        <f>'Revenue drivers'!BT616</f>
        <v>14</v>
      </c>
      <c r="BU860">
        <f>'Revenue drivers'!BU616</f>
        <v>14</v>
      </c>
      <c r="BV860">
        <f>'Revenue drivers'!BV616</f>
        <v>14</v>
      </c>
      <c r="BW860">
        <f>'Revenue drivers'!BW616</f>
        <v>14</v>
      </c>
      <c r="BX860">
        <f>'Revenue drivers'!BX616</f>
        <v>14</v>
      </c>
      <c r="BY860">
        <f>'Revenue drivers'!BY616</f>
        <v>14</v>
      </c>
    </row>
    <row r="861" spans="9:77" ht="11.25" customHeight="1">
      <c r="I861">
        <f>'Revenue drivers'!I617</f>
        <v>0</v>
      </c>
      <c r="J861">
        <f>'Revenue drivers'!J617</f>
        <v>0</v>
      </c>
      <c r="K861">
        <f>'Revenue drivers'!K617</f>
        <v>0</v>
      </c>
      <c r="L861">
        <f>'Revenue drivers'!L617</f>
        <v>0</v>
      </c>
      <c r="M861">
        <f>'Revenue drivers'!M617</f>
        <v>0</v>
      </c>
      <c r="N861">
        <f>'Revenue drivers'!N617</f>
        <v>0</v>
      </c>
      <c r="O861">
        <f>'Revenue drivers'!O617</f>
        <v>0</v>
      </c>
      <c r="P861">
        <f>'Revenue drivers'!P617</f>
        <v>0</v>
      </c>
      <c r="Q861">
        <f>'Revenue drivers'!Q617</f>
        <v>0</v>
      </c>
      <c r="R861">
        <f>'Revenue drivers'!R617</f>
        <v>0</v>
      </c>
      <c r="S861">
        <f>'Revenue drivers'!S617</f>
        <v>0</v>
      </c>
      <c r="T861">
        <f>'Revenue drivers'!T617</f>
        <v>0</v>
      </c>
      <c r="U861">
        <f>'Revenue drivers'!U617</f>
        <v>0</v>
      </c>
      <c r="V861">
        <f>'Revenue drivers'!V617</f>
        <v>0</v>
      </c>
      <c r="W861">
        <f>'Revenue drivers'!W617</f>
        <v>0</v>
      </c>
      <c r="X861">
        <f>'Revenue drivers'!X617</f>
        <v>0</v>
      </c>
      <c r="Y861">
        <f>'Revenue drivers'!Y617</f>
        <v>0</v>
      </c>
      <c r="Z861">
        <f>'Revenue drivers'!Z617</f>
        <v>0</v>
      </c>
      <c r="AA861">
        <f>'Revenue drivers'!AA617</f>
        <v>0</v>
      </c>
      <c r="AB861">
        <f>'Revenue drivers'!AB617</f>
        <v>0</v>
      </c>
      <c r="AC861">
        <f>'Revenue drivers'!AC617</f>
        <v>0</v>
      </c>
      <c r="AD861">
        <f>'Revenue drivers'!AD617</f>
        <v>0</v>
      </c>
      <c r="AE861">
        <f>'Revenue drivers'!AE617</f>
        <v>0</v>
      </c>
      <c r="AF861">
        <f>'Revenue drivers'!AF617</f>
        <v>0</v>
      </c>
      <c r="AG861">
        <f>'Revenue drivers'!AG617</f>
        <v>0</v>
      </c>
      <c r="AH861">
        <f>'Revenue drivers'!AH617</f>
        <v>0</v>
      </c>
      <c r="AI861">
        <f>'Revenue drivers'!AI617</f>
        <v>0</v>
      </c>
      <c r="AJ861">
        <f>'Revenue drivers'!AJ617</f>
        <v>0</v>
      </c>
      <c r="AK861">
        <f>'Revenue drivers'!AK617</f>
        <v>0</v>
      </c>
      <c r="AL861">
        <f>'Revenue drivers'!AL617</f>
        <v>0</v>
      </c>
      <c r="AM861">
        <f>'Revenue drivers'!AM617</f>
        <v>0</v>
      </c>
      <c r="AN861">
        <f>'Revenue drivers'!AN617</f>
        <v>0</v>
      </c>
      <c r="AO861">
        <f>'Revenue drivers'!AO617</f>
        <v>0</v>
      </c>
      <c r="AP861">
        <f>'Revenue drivers'!AP617</f>
        <v>0</v>
      </c>
      <c r="AQ861">
        <f>'Revenue drivers'!AQ617</f>
        <v>0</v>
      </c>
      <c r="AR861">
        <f>'Revenue drivers'!AR617</f>
        <v>0</v>
      </c>
      <c r="AS861">
        <f>'Revenue drivers'!AS617</f>
        <v>0</v>
      </c>
      <c r="AT861">
        <f>'Revenue drivers'!AT617</f>
        <v>0</v>
      </c>
      <c r="AU861">
        <f>'Revenue drivers'!AU617</f>
        <v>0</v>
      </c>
      <c r="AV861">
        <f>'Revenue drivers'!AV617</f>
        <v>0</v>
      </c>
      <c r="AW861">
        <f>'Revenue drivers'!AW617</f>
        <v>0</v>
      </c>
      <c r="AX861">
        <f>'Revenue drivers'!AX617</f>
        <v>0</v>
      </c>
      <c r="AY861">
        <f>'Revenue drivers'!AY617</f>
        <v>0</v>
      </c>
      <c r="AZ861">
        <f>'Revenue drivers'!AZ617</f>
        <v>0</v>
      </c>
      <c r="BA861">
        <f>'Revenue drivers'!BA617</f>
        <v>0</v>
      </c>
      <c r="BB861">
        <f>'Revenue drivers'!BB617</f>
        <v>0</v>
      </c>
      <c r="BC861">
        <f>'Revenue drivers'!BC617</f>
        <v>0</v>
      </c>
      <c r="BD861">
        <f>'Revenue drivers'!BD617</f>
        <v>0</v>
      </c>
      <c r="BE861">
        <f>'Revenue drivers'!BE617</f>
        <v>0</v>
      </c>
      <c r="BF861">
        <f>'Revenue drivers'!BF617</f>
        <v>0</v>
      </c>
      <c r="BG861">
        <f>'Revenue drivers'!BG617</f>
        <v>0</v>
      </c>
      <c r="BH861">
        <f>'Revenue drivers'!BH617</f>
        <v>0</v>
      </c>
      <c r="BI861">
        <f>'Revenue drivers'!BI617</f>
        <v>0</v>
      </c>
      <c r="BJ861">
        <f>'Revenue drivers'!BJ617</f>
        <v>0</v>
      </c>
      <c r="BK861">
        <f>'Revenue drivers'!BK617</f>
        <v>0</v>
      </c>
      <c r="BL861">
        <f>'Revenue drivers'!BL617</f>
        <v>0</v>
      </c>
      <c r="BM861">
        <f>'Revenue drivers'!BM617</f>
        <v>0</v>
      </c>
      <c r="BN861">
        <f>'Revenue drivers'!BN617</f>
        <v>0</v>
      </c>
      <c r="BO861">
        <f>'Revenue drivers'!BO617</f>
        <v>0</v>
      </c>
      <c r="BP861">
        <f>'Revenue drivers'!BP617</f>
        <v>0</v>
      </c>
      <c r="BQ861">
        <f>'Revenue drivers'!BQ617</f>
        <v>0</v>
      </c>
      <c r="BR861">
        <f>'Revenue drivers'!BR617</f>
        <v>0</v>
      </c>
      <c r="BS861">
        <f>'Revenue drivers'!BS617</f>
        <v>0</v>
      </c>
      <c r="BT861">
        <f>'Revenue drivers'!BT617</f>
        <v>0</v>
      </c>
      <c r="BU861">
        <f>'Revenue drivers'!BU617</f>
        <v>0</v>
      </c>
      <c r="BV861">
        <f>'Revenue drivers'!BV617</f>
        <v>0</v>
      </c>
      <c r="BW861">
        <f>'Revenue drivers'!BW617</f>
        <v>0</v>
      </c>
      <c r="BX861">
        <f>'Revenue drivers'!BX617</f>
        <v>0</v>
      </c>
      <c r="BY861">
        <f>'Revenue drivers'!BY617</f>
        <v>0</v>
      </c>
    </row>
    <row r="862" spans="9:77" ht="11.25" customHeight="1">
      <c r="I862" t="str">
        <f>'Revenue drivers'!I618</f>
        <v>Revenue from Cohort</v>
      </c>
      <c r="J862">
        <f>'Revenue drivers'!J618</f>
        <v>0</v>
      </c>
      <c r="K862">
        <f>'Revenue drivers'!K618</f>
        <v>0</v>
      </c>
      <c r="L862">
        <f>'Revenue drivers'!L618</f>
        <v>0</v>
      </c>
      <c r="M862">
        <f>'Revenue drivers'!M618</f>
        <v>0</v>
      </c>
      <c r="N862">
        <f>'Revenue drivers'!N618</f>
        <v>0</v>
      </c>
      <c r="O862">
        <f>'Revenue drivers'!O618</f>
        <v>0</v>
      </c>
      <c r="P862">
        <f>'Revenue drivers'!P618</f>
        <v>0</v>
      </c>
      <c r="Q862">
        <f>'Revenue drivers'!Q618</f>
        <v>0</v>
      </c>
      <c r="R862">
        <f>'Revenue drivers'!R618</f>
        <v>0</v>
      </c>
      <c r="S862">
        <f>'Revenue drivers'!S618</f>
        <v>0</v>
      </c>
      <c r="T862">
        <f>'Revenue drivers'!T618</f>
        <v>0</v>
      </c>
      <c r="U862">
        <f>'Revenue drivers'!U618</f>
        <v>5.8298438019275505</v>
      </c>
      <c r="V862">
        <f>'Revenue drivers'!V618</f>
        <v>5.8380000000000001</v>
      </c>
      <c r="W862">
        <f>'Revenue drivers'!W618</f>
        <v>7.6860000000000008</v>
      </c>
      <c r="X862">
        <f>'Revenue drivers'!X618</f>
        <v>8.8988505747126432</v>
      </c>
      <c r="Y862">
        <f>'Revenue drivers'!Y618</f>
        <v>10.318823529411764</v>
      </c>
      <c r="Z862">
        <f>'Revenue drivers'!Z618</f>
        <v>11.285555555555556</v>
      </c>
      <c r="AA862">
        <f>'Revenue drivers'!AA618</f>
        <v>13.401156069364161</v>
      </c>
      <c r="AB862">
        <f>'Revenue drivers'!AB618</f>
        <v>15.484000000000002</v>
      </c>
      <c r="AC862">
        <f>'Revenue drivers'!AC618</f>
        <v>17.541999999999998</v>
      </c>
      <c r="AD862">
        <f>'Revenue drivers'!AD618</f>
        <v>20.314</v>
      </c>
      <c r="AE862">
        <f>'Revenue drivers'!AE618</f>
        <v>23.183999999999997</v>
      </c>
      <c r="AF862">
        <f>'Revenue drivers'!AF618</f>
        <v>25.228000000000002</v>
      </c>
      <c r="AG862">
        <f>'Revenue drivers'!AG618</f>
        <v>26.963999999999999</v>
      </c>
      <c r="AH862">
        <f>'Revenue drivers'!AH618</f>
        <v>29.526</v>
      </c>
      <c r="AI862">
        <f>'Revenue drivers'!AI618</f>
        <v>31.276</v>
      </c>
      <c r="AJ862">
        <f>'Revenue drivers'!AJ618</f>
        <v>34.033999999999999</v>
      </c>
      <c r="AK862">
        <f>'Revenue drivers'!AK618</f>
        <v>37.393999999999998</v>
      </c>
      <c r="AL862">
        <f>'Revenue drivers'!AL618</f>
        <v>41.061999999999998</v>
      </c>
      <c r="AM862">
        <f>'Revenue drivers'!AM618</f>
        <v>44.268000000000001</v>
      </c>
      <c r="AN862">
        <f>'Revenue drivers'!AN618</f>
        <v>47.987939999999995</v>
      </c>
      <c r="AO862">
        <f>'Revenue drivers'!AO618</f>
        <v>52.351599999999991</v>
      </c>
      <c r="AP862">
        <f>'Revenue drivers'!AP618</f>
        <v>57.076179999999994</v>
      </c>
      <c r="AQ862">
        <f>'Revenue drivers'!AQ618</f>
        <v>61.089839999999995</v>
      </c>
      <c r="AR862">
        <f>'Revenue drivers'!AR618</f>
        <v>65.743477799999994</v>
      </c>
      <c r="AS862">
        <f>'Revenue drivers'!AS618</f>
        <v>71.198175999999989</v>
      </c>
      <c r="AT862">
        <f>'Revenue drivers'!AT618</f>
        <v>77.052842999999982</v>
      </c>
      <c r="AU862">
        <f>'Revenue drivers'!AU618</f>
        <v>81.860385599999987</v>
      </c>
      <c r="AV862">
        <f>'Revenue drivers'!AV618</f>
        <v>87.43882547399997</v>
      </c>
      <c r="AW862">
        <f>'Revenue drivers'!AW618</f>
        <v>93.981592319999962</v>
      </c>
      <c r="AX862">
        <f>'Revenue drivers'!AX618</f>
        <v>100.93922432999996</v>
      </c>
      <c r="AY862">
        <f>'Revenue drivers'!AY618</f>
        <v>106.41850127999996</v>
      </c>
      <c r="AZ862">
        <f>'Revenue drivers'!AZ618</f>
        <v>112.79608486145995</v>
      </c>
      <c r="BA862">
        <f>'Revenue drivers'!BA618</f>
        <v>120.29643816959994</v>
      </c>
      <c r="BB862">
        <f>'Revenue drivers'!BB618</f>
        <v>128.19281489909994</v>
      </c>
      <c r="BC862">
        <f>'Revenue drivers'!BC618</f>
        <v>134.08731161279994</v>
      </c>
      <c r="BD862">
        <f>'Revenue drivers'!BD618</f>
        <v>140.99510607682492</v>
      </c>
      <c r="BE862">
        <f>'Revenue drivers'!BE618</f>
        <v>0</v>
      </c>
      <c r="BF862">
        <f>'Revenue drivers'!BF618</f>
        <v>0</v>
      </c>
      <c r="BG862">
        <f>'Revenue drivers'!BG618</f>
        <v>0</v>
      </c>
      <c r="BH862">
        <f>'Revenue drivers'!BH618</f>
        <v>0</v>
      </c>
      <c r="BI862">
        <f>'Revenue drivers'!BI618</f>
        <v>0</v>
      </c>
      <c r="BJ862">
        <f>'Revenue drivers'!BJ618</f>
        <v>0</v>
      </c>
      <c r="BK862">
        <f>'Revenue drivers'!BK618</f>
        <v>0</v>
      </c>
      <c r="BL862">
        <f>'Revenue drivers'!BL618</f>
        <v>28.252694376640193</v>
      </c>
      <c r="BM862">
        <f>'Revenue drivers'!BM618</f>
        <v>50.489535154331485</v>
      </c>
      <c r="BN862">
        <f>'Revenue drivers'!BN618</f>
        <v>86.268000000000001</v>
      </c>
      <c r="BO862">
        <f>'Revenue drivers'!BO618</f>
        <v>121.79999999999998</v>
      </c>
      <c r="BP862">
        <f>'Revenue drivers'!BP618</f>
        <v>170.71193999999997</v>
      </c>
      <c r="BQ862">
        <f>'Revenue drivers'!BQ618</f>
        <v>236.26109779999996</v>
      </c>
      <c r="BR862">
        <f>'Revenue drivers'!BR618</f>
        <v>317.55023007399996</v>
      </c>
      <c r="BS862">
        <f>'Revenue drivers'!BS618</f>
        <v>414.1354027914598</v>
      </c>
      <c r="BT862">
        <f>'Revenue drivers'!BT618</f>
        <v>523.57167075832467</v>
      </c>
      <c r="BU862">
        <f>'Revenue drivers'!BU618</f>
        <v>656.69101685086571</v>
      </c>
      <c r="BV862">
        <f>'Revenue drivers'!BV618</f>
        <v>817.08936402987388</v>
      </c>
      <c r="BW862">
        <f>'Revenue drivers'!BW618</f>
        <v>1008.4944964427873</v>
      </c>
      <c r="BX862">
        <f>'Revenue drivers'!BX618</f>
        <v>1234.6517926908746</v>
      </c>
      <c r="BY862">
        <f>'Revenue drivers'!BY618</f>
        <v>1499.1788841170367</v>
      </c>
    </row>
    <row r="863" spans="9:77" ht="11.25" customHeight="1">
      <c r="I863" t="str">
        <f>'Revenue drivers'!I619</f>
        <v>Y/Y% Growth</v>
      </c>
      <c r="J863">
        <f>'Revenue drivers'!J619</f>
        <v>0</v>
      </c>
      <c r="K863">
        <f>'Revenue drivers'!K619</f>
        <v>0</v>
      </c>
      <c r="L863">
        <f>'Revenue drivers'!L619</f>
        <v>0</v>
      </c>
      <c r="M863">
        <f>'Revenue drivers'!M619</f>
        <v>0</v>
      </c>
      <c r="N863">
        <f>'Revenue drivers'!N619</f>
        <v>0</v>
      </c>
      <c r="O863">
        <f>'Revenue drivers'!O619</f>
        <v>0</v>
      </c>
      <c r="P863">
        <f>'Revenue drivers'!P619</f>
        <v>0</v>
      </c>
      <c r="Q863">
        <f>'Revenue drivers'!Q619</f>
        <v>0</v>
      </c>
      <c r="R863">
        <f>'Revenue drivers'!R619</f>
        <v>0</v>
      </c>
      <c r="S863">
        <f>'Revenue drivers'!S619</f>
        <v>0</v>
      </c>
      <c r="T863">
        <f>'Revenue drivers'!T619</f>
        <v>0</v>
      </c>
      <c r="U863">
        <f>'Revenue drivers'!U619</f>
        <v>0</v>
      </c>
      <c r="V863">
        <f>'Revenue drivers'!V619</f>
        <v>0</v>
      </c>
      <c r="W863">
        <f>'Revenue drivers'!W619</f>
        <v>0</v>
      </c>
      <c r="X863">
        <f>'Revenue drivers'!X619</f>
        <v>0</v>
      </c>
      <c r="Y863">
        <f>'Revenue drivers'!Y619</f>
        <v>0.77</v>
      </c>
      <c r="Z863">
        <f>'Revenue drivers'!Z619</f>
        <v>0.93312017053024254</v>
      </c>
      <c r="AA863">
        <f>'Revenue drivers'!AA619</f>
        <v>0.74358002463754347</v>
      </c>
      <c r="AB863">
        <f>'Revenue drivers'!AB619</f>
        <v>0.74000000000000021</v>
      </c>
      <c r="AC863">
        <f>'Revenue drivers'!AC619</f>
        <v>0.7</v>
      </c>
      <c r="AD863">
        <f>'Revenue drivers'!AD619</f>
        <v>0.8</v>
      </c>
      <c r="AE863">
        <f>'Revenue drivers'!AE619</f>
        <v>0.73</v>
      </c>
      <c r="AF863">
        <f>'Revenue drivers'!AF619</f>
        <v>0.62929475587703432</v>
      </c>
      <c r="AG863">
        <f>'Revenue drivers'!AG619</f>
        <v>0.53711093375897856</v>
      </c>
      <c r="AH863">
        <f>'Revenue drivers'!AH619</f>
        <v>0.4534803583735354</v>
      </c>
      <c r="AI863">
        <f>'Revenue drivers'!AI619</f>
        <v>0.34903381642512099</v>
      </c>
      <c r="AJ863">
        <f>'Revenue drivers'!AJ619</f>
        <v>0.34905660377358472</v>
      </c>
      <c r="AK863">
        <f>'Revenue drivers'!AK619</f>
        <v>0.38681204569055039</v>
      </c>
      <c r="AL863">
        <f>'Revenue drivers'!AL619</f>
        <v>0.39070649596965379</v>
      </c>
      <c r="AM863">
        <f>'Revenue drivers'!AM619</f>
        <v>0.41539838854073419</v>
      </c>
      <c r="AN863">
        <f>'Revenue drivers'!AN619</f>
        <v>0.40999999999999992</v>
      </c>
      <c r="AO863">
        <f>'Revenue drivers'!AO619</f>
        <v>0.39999999999999991</v>
      </c>
      <c r="AP863">
        <f>'Revenue drivers'!AP619</f>
        <v>0.3899999999999999</v>
      </c>
      <c r="AQ863">
        <f>'Revenue drivers'!AQ619</f>
        <v>0.37999999999999989</v>
      </c>
      <c r="AR863">
        <f>'Revenue drivers'!AR619</f>
        <v>0.37000000000000011</v>
      </c>
      <c r="AS863">
        <f>'Revenue drivers'!AS619</f>
        <v>0.3600000000000001</v>
      </c>
      <c r="AT863">
        <f>'Revenue drivers'!AT619</f>
        <v>0.34999999999999987</v>
      </c>
      <c r="AU863">
        <f>'Revenue drivers'!AU619</f>
        <v>0.33999999999999986</v>
      </c>
      <c r="AV863">
        <f>'Revenue drivers'!AV619</f>
        <v>0.32999999999999963</v>
      </c>
      <c r="AW863">
        <f>'Revenue drivers'!AW619</f>
        <v>0.31999999999999962</v>
      </c>
      <c r="AX863">
        <f>'Revenue drivers'!AX619</f>
        <v>0.30999999999999983</v>
      </c>
      <c r="AY863">
        <f>'Revenue drivers'!AY619</f>
        <v>0.2999999999999996</v>
      </c>
      <c r="AZ863">
        <f>'Revenue drivers'!AZ619</f>
        <v>0.28999999999999981</v>
      </c>
      <c r="BA863">
        <f>'Revenue drivers'!BA619</f>
        <v>0.2799999999999998</v>
      </c>
      <c r="BB863">
        <f>'Revenue drivers'!BB619</f>
        <v>0.27</v>
      </c>
      <c r="BC863">
        <f>'Revenue drivers'!BC619</f>
        <v>0.26</v>
      </c>
      <c r="BD863">
        <f>'Revenue drivers'!BD619</f>
        <v>0.25</v>
      </c>
      <c r="BE863">
        <f>'Revenue drivers'!BE619</f>
        <v>0</v>
      </c>
      <c r="BF863">
        <f>'Revenue drivers'!BF619</f>
        <v>0</v>
      </c>
      <c r="BG863">
        <f>'Revenue drivers'!BG619</f>
        <v>0</v>
      </c>
      <c r="BH863">
        <f>'Revenue drivers'!BH619</f>
        <v>0</v>
      </c>
      <c r="BI863">
        <f>'Revenue drivers'!BI619</f>
        <v>0</v>
      </c>
      <c r="BJ863">
        <f>'Revenue drivers'!BJ619</f>
        <v>0</v>
      </c>
      <c r="BK863">
        <f>'Revenue drivers'!BK619</f>
        <v>0</v>
      </c>
      <c r="BL863">
        <f>'Revenue drivers'!BL619</f>
        <v>0</v>
      </c>
      <c r="BM863">
        <f>'Revenue drivers'!BM619</f>
        <v>0.7870697385972889</v>
      </c>
      <c r="BN863">
        <f>'Revenue drivers'!BN619</f>
        <v>0.70863129827407589</v>
      </c>
      <c r="BO863">
        <f>'Revenue drivers'!BO619</f>
        <v>0.41187925998052566</v>
      </c>
      <c r="BP863">
        <f>'Revenue drivers'!BP619</f>
        <v>0.40157586206896556</v>
      </c>
      <c r="BQ863">
        <f>'Revenue drivers'!BQ619</f>
        <v>0.38397523805306188</v>
      </c>
      <c r="BR863">
        <f>'Revenue drivers'!BR619</f>
        <v>0.34406482078912948</v>
      </c>
      <c r="BS863">
        <f>'Revenue drivers'!BS619</f>
        <v>0.30415714923258674</v>
      </c>
      <c r="BT863">
        <f>'Revenue drivers'!BT619</f>
        <v>0.26425238516005867</v>
      </c>
      <c r="BU863">
        <f>'Revenue drivers'!BU619</f>
        <v>0.25425238516005866</v>
      </c>
      <c r="BV863">
        <f>'Revenue drivers'!BV619</f>
        <v>0.24425238516005865</v>
      </c>
      <c r="BW863">
        <f>'Revenue drivers'!BW619</f>
        <v>0.23425238516005864</v>
      </c>
      <c r="BX863">
        <f>'Revenue drivers'!BX619</f>
        <v>0.22425238516005863</v>
      </c>
      <c r="BY863">
        <f>'Revenue drivers'!BY619</f>
        <v>0.21425238516005862</v>
      </c>
    </row>
    <row r="864" spans="9:77" ht="11.25" customHeight="1">
      <c r="I864" t="str">
        <f>'Revenue drivers'!I620</f>
        <v>Abs Growth</v>
      </c>
      <c r="J864">
        <f>'Revenue drivers'!J620</f>
        <v>0</v>
      </c>
      <c r="K864">
        <f>'Revenue drivers'!K620</f>
        <v>0</v>
      </c>
      <c r="L864">
        <f>'Revenue drivers'!L620</f>
        <v>0</v>
      </c>
      <c r="M864">
        <f>'Revenue drivers'!M620</f>
        <v>0</v>
      </c>
      <c r="N864">
        <f>'Revenue drivers'!N620</f>
        <v>0</v>
      </c>
      <c r="O864">
        <f>'Revenue drivers'!O620</f>
        <v>0</v>
      </c>
      <c r="P864">
        <f>'Revenue drivers'!P620</f>
        <v>0</v>
      </c>
      <c r="Q864">
        <f>'Revenue drivers'!Q620</f>
        <v>0</v>
      </c>
      <c r="R864">
        <f>'Revenue drivers'!R620</f>
        <v>0</v>
      </c>
      <c r="S864">
        <f>'Revenue drivers'!S620</f>
        <v>0</v>
      </c>
      <c r="T864">
        <f>'Revenue drivers'!T620</f>
        <v>0</v>
      </c>
      <c r="U864">
        <f>'Revenue drivers'!U620</f>
        <v>0</v>
      </c>
      <c r="V864">
        <f>'Revenue drivers'!V620</f>
        <v>0</v>
      </c>
      <c r="W864">
        <f>'Revenue drivers'!W620</f>
        <v>0</v>
      </c>
      <c r="X864">
        <f>'Revenue drivers'!X620</f>
        <v>0</v>
      </c>
      <c r="Y864">
        <f>'Revenue drivers'!Y620</f>
        <v>4.4889797274842138</v>
      </c>
      <c r="Z864">
        <f>'Revenue drivers'!Z620</f>
        <v>5.4475555555555557</v>
      </c>
      <c r="AA864">
        <f>'Revenue drivers'!AA620</f>
        <v>5.7151560693641601</v>
      </c>
      <c r="AB864">
        <f>'Revenue drivers'!AB620</f>
        <v>6.5851494252873586</v>
      </c>
      <c r="AC864">
        <f>'Revenue drivers'!AC620</f>
        <v>7.2231764705882338</v>
      </c>
      <c r="AD864">
        <f>'Revenue drivers'!AD620</f>
        <v>9.0284444444444443</v>
      </c>
      <c r="AE864">
        <f>'Revenue drivers'!AE620</f>
        <v>9.7828439306358366</v>
      </c>
      <c r="AF864">
        <f>'Revenue drivers'!AF620</f>
        <v>9.7439999999999998</v>
      </c>
      <c r="AG864">
        <f>'Revenue drivers'!AG620</f>
        <v>9.4220000000000006</v>
      </c>
      <c r="AH864">
        <f>'Revenue drivers'!AH620</f>
        <v>9.2119999999999997</v>
      </c>
      <c r="AI864">
        <f>'Revenue drivers'!AI620</f>
        <v>8.0920000000000023</v>
      </c>
      <c r="AJ864">
        <f>'Revenue drivers'!AJ620</f>
        <v>8.8059999999999974</v>
      </c>
      <c r="AK864">
        <f>'Revenue drivers'!AK620</f>
        <v>10.43</v>
      </c>
      <c r="AL864">
        <f>'Revenue drivers'!AL620</f>
        <v>11.535999999999998</v>
      </c>
      <c r="AM864">
        <f>'Revenue drivers'!AM620</f>
        <v>12.992000000000001</v>
      </c>
      <c r="AN864">
        <f>'Revenue drivers'!AN620</f>
        <v>13.953939999999996</v>
      </c>
      <c r="AO864">
        <f>'Revenue drivers'!AO620</f>
        <v>14.957599999999992</v>
      </c>
      <c r="AP864">
        <f>'Revenue drivers'!AP620</f>
        <v>16.014179999999996</v>
      </c>
      <c r="AQ864">
        <f>'Revenue drivers'!AQ620</f>
        <v>16.821839999999995</v>
      </c>
      <c r="AR864">
        <f>'Revenue drivers'!AR620</f>
        <v>17.755537799999999</v>
      </c>
      <c r="AS864">
        <f>'Revenue drivers'!AS620</f>
        <v>18.846575999999999</v>
      </c>
      <c r="AT864">
        <f>'Revenue drivers'!AT620</f>
        <v>19.976662999999988</v>
      </c>
      <c r="AU864">
        <f>'Revenue drivers'!AU620</f>
        <v>20.770545599999991</v>
      </c>
      <c r="AV864">
        <f>'Revenue drivers'!AV620</f>
        <v>21.695347673999976</v>
      </c>
      <c r="AW864">
        <f>'Revenue drivers'!AW620</f>
        <v>22.783416319999972</v>
      </c>
      <c r="AX864">
        <f>'Revenue drivers'!AX620</f>
        <v>23.886381329999978</v>
      </c>
      <c r="AY864">
        <f>'Revenue drivers'!AY620</f>
        <v>24.558115679999972</v>
      </c>
      <c r="AZ864">
        <f>'Revenue drivers'!AZ620</f>
        <v>25.357259387459976</v>
      </c>
      <c r="BA864">
        <f>'Revenue drivers'!BA620</f>
        <v>26.314845849599976</v>
      </c>
      <c r="BB864">
        <f>'Revenue drivers'!BB620</f>
        <v>27.253590569099984</v>
      </c>
      <c r="BC864">
        <f>'Revenue drivers'!BC620</f>
        <v>27.668810332799978</v>
      </c>
      <c r="BD864">
        <f>'Revenue drivers'!BD620</f>
        <v>28.199021215364979</v>
      </c>
      <c r="BE864">
        <f>'Revenue drivers'!BE620</f>
        <v>0</v>
      </c>
      <c r="BF864">
        <f>'Revenue drivers'!BF620</f>
        <v>0</v>
      </c>
      <c r="BG864">
        <f>'Revenue drivers'!BG620</f>
        <v>0</v>
      </c>
      <c r="BH864">
        <f>'Revenue drivers'!BH620</f>
        <v>0</v>
      </c>
      <c r="BI864">
        <f>'Revenue drivers'!BI620</f>
        <v>0</v>
      </c>
      <c r="BJ864">
        <f>'Revenue drivers'!BJ620</f>
        <v>0</v>
      </c>
      <c r="BK864">
        <f>'Revenue drivers'!BK620</f>
        <v>0</v>
      </c>
      <c r="BL864">
        <f>'Revenue drivers'!BL620</f>
        <v>0</v>
      </c>
      <c r="BM864">
        <f>'Revenue drivers'!BM620</f>
        <v>22.236840777691292</v>
      </c>
      <c r="BN864">
        <f>'Revenue drivers'!BN620</f>
        <v>35.778464845668516</v>
      </c>
      <c r="BO864">
        <f>'Revenue drivers'!BO620</f>
        <v>35.531999999999982</v>
      </c>
      <c r="BP864">
        <f>'Revenue drivers'!BP620</f>
        <v>48.911939999999987</v>
      </c>
      <c r="BQ864">
        <f>'Revenue drivers'!BQ620</f>
        <v>65.549157799999989</v>
      </c>
      <c r="BR864">
        <f>'Revenue drivers'!BR620</f>
        <v>81.289132273999996</v>
      </c>
      <c r="BS864">
        <f>'Revenue drivers'!BS620</f>
        <v>96.585172717459841</v>
      </c>
      <c r="BT864">
        <f>'Revenue drivers'!BT620</f>
        <v>109.43626796686488</v>
      </c>
      <c r="BU864">
        <f>'Revenue drivers'!BU620</f>
        <v>133.11934609254104</v>
      </c>
      <c r="BV864">
        <f>'Revenue drivers'!BV620</f>
        <v>160.39834717900817</v>
      </c>
      <c r="BW864">
        <f>'Revenue drivers'!BW620</f>
        <v>191.40513241291342</v>
      </c>
      <c r="BX864">
        <f>'Revenue drivers'!BX620</f>
        <v>226.15729624808728</v>
      </c>
      <c r="BY864">
        <f>'Revenue drivers'!BY620</f>
        <v>264.52709142616209</v>
      </c>
    </row>
    <row r="865" spans="9:77" ht="11.25" customHeight="1">
      <c r="I865">
        <f>'Revenue drivers'!I621</f>
        <v>0</v>
      </c>
      <c r="J865">
        <f>'Revenue drivers'!J621</f>
        <v>0</v>
      </c>
      <c r="K865">
        <f>'Revenue drivers'!K621</f>
        <v>0</v>
      </c>
      <c r="L865">
        <f>'Revenue drivers'!L621</f>
        <v>0</v>
      </c>
      <c r="M865">
        <f>'Revenue drivers'!M621</f>
        <v>0</v>
      </c>
      <c r="N865">
        <f>'Revenue drivers'!N621</f>
        <v>0</v>
      </c>
      <c r="O865">
        <f>'Revenue drivers'!O621</f>
        <v>0</v>
      </c>
      <c r="P865">
        <f>'Revenue drivers'!P621</f>
        <v>0</v>
      </c>
      <c r="Q865">
        <f>'Revenue drivers'!Q621</f>
        <v>0</v>
      </c>
      <c r="R865">
        <f>'Revenue drivers'!R621</f>
        <v>0</v>
      </c>
      <c r="S865">
        <f>'Revenue drivers'!S621</f>
        <v>0</v>
      </c>
      <c r="T865">
        <f>'Revenue drivers'!T621</f>
        <v>0</v>
      </c>
      <c r="U865">
        <f>'Revenue drivers'!U621</f>
        <v>0</v>
      </c>
      <c r="V865">
        <f>'Revenue drivers'!V621</f>
        <v>0</v>
      </c>
      <c r="W865">
        <f>'Revenue drivers'!W621</f>
        <v>0</v>
      </c>
      <c r="X865">
        <f>'Revenue drivers'!X621</f>
        <v>0</v>
      </c>
      <c r="Y865">
        <f>'Revenue drivers'!Y621</f>
        <v>0</v>
      </c>
      <c r="Z865">
        <f>'Revenue drivers'!Z621</f>
        <v>0</v>
      </c>
      <c r="AA865">
        <f>'Revenue drivers'!AA621</f>
        <v>0</v>
      </c>
      <c r="AB865">
        <f>'Revenue drivers'!AB621</f>
        <v>0</v>
      </c>
      <c r="AC865">
        <f>'Revenue drivers'!AC621</f>
        <v>0</v>
      </c>
      <c r="AD865">
        <f>'Revenue drivers'!AD621</f>
        <v>0</v>
      </c>
      <c r="AE865">
        <f>'Revenue drivers'!AE621</f>
        <v>0</v>
      </c>
      <c r="AF865">
        <f>'Revenue drivers'!AF621</f>
        <v>0</v>
      </c>
      <c r="AG865">
        <f>'Revenue drivers'!AG621</f>
        <v>0</v>
      </c>
      <c r="AH865">
        <f>'Revenue drivers'!AH621</f>
        <v>0</v>
      </c>
      <c r="AI865">
        <f>'Revenue drivers'!AI621</f>
        <v>0</v>
      </c>
      <c r="AJ865">
        <f>'Revenue drivers'!AJ621</f>
        <v>0</v>
      </c>
      <c r="AK865">
        <f>'Revenue drivers'!AK621</f>
        <v>0</v>
      </c>
      <c r="AL865">
        <f>'Revenue drivers'!AL621</f>
        <v>0</v>
      </c>
      <c r="AM865">
        <f>'Revenue drivers'!AM621</f>
        <v>0</v>
      </c>
      <c r="AN865">
        <f>'Revenue drivers'!AN621</f>
        <v>0</v>
      </c>
      <c r="AO865">
        <f>'Revenue drivers'!AO621</f>
        <v>0</v>
      </c>
      <c r="AP865">
        <f>'Revenue drivers'!AP621</f>
        <v>0</v>
      </c>
      <c r="AQ865">
        <f>'Revenue drivers'!AQ621</f>
        <v>0</v>
      </c>
      <c r="AR865">
        <f>'Revenue drivers'!AR621</f>
        <v>0</v>
      </c>
      <c r="AS865">
        <f>'Revenue drivers'!AS621</f>
        <v>0</v>
      </c>
      <c r="AT865">
        <f>'Revenue drivers'!AT621</f>
        <v>0</v>
      </c>
      <c r="AU865">
        <f>'Revenue drivers'!AU621</f>
        <v>0</v>
      </c>
      <c r="AV865">
        <f>'Revenue drivers'!AV621</f>
        <v>0</v>
      </c>
      <c r="AW865">
        <f>'Revenue drivers'!AW621</f>
        <v>0</v>
      </c>
      <c r="AX865">
        <f>'Revenue drivers'!AX621</f>
        <v>0</v>
      </c>
      <c r="AY865">
        <f>'Revenue drivers'!AY621</f>
        <v>0</v>
      </c>
      <c r="AZ865">
        <f>'Revenue drivers'!AZ621</f>
        <v>0</v>
      </c>
      <c r="BA865">
        <f>'Revenue drivers'!BA621</f>
        <v>0</v>
      </c>
      <c r="BB865">
        <f>'Revenue drivers'!BB621</f>
        <v>0</v>
      </c>
      <c r="BC865">
        <f>'Revenue drivers'!BC621</f>
        <v>0</v>
      </c>
      <c r="BD865">
        <f>'Revenue drivers'!BD621</f>
        <v>0</v>
      </c>
      <c r="BE865">
        <f>'Revenue drivers'!BE621</f>
        <v>0</v>
      </c>
      <c r="BF865">
        <f>'Revenue drivers'!BF621</f>
        <v>0</v>
      </c>
      <c r="BG865">
        <f>'Revenue drivers'!BG621</f>
        <v>0</v>
      </c>
      <c r="BH865">
        <f>'Revenue drivers'!BH621</f>
        <v>0</v>
      </c>
      <c r="BI865">
        <f>'Revenue drivers'!BI621</f>
        <v>0</v>
      </c>
      <c r="BJ865">
        <f>'Revenue drivers'!BJ621</f>
        <v>0</v>
      </c>
      <c r="BK865">
        <f>'Revenue drivers'!BK621</f>
        <v>0</v>
      </c>
      <c r="BL865">
        <f>'Revenue drivers'!BL621</f>
        <v>0</v>
      </c>
      <c r="BM865">
        <f>'Revenue drivers'!BM621</f>
        <v>0</v>
      </c>
      <c r="BN865">
        <f>'Revenue drivers'!BN621</f>
        <v>0</v>
      </c>
      <c r="BO865">
        <f>'Revenue drivers'!BO621</f>
        <v>0</v>
      </c>
      <c r="BP865">
        <f>'Revenue drivers'!BP621</f>
        <v>0</v>
      </c>
      <c r="BQ865">
        <f>'Revenue drivers'!BQ621</f>
        <v>0</v>
      </c>
      <c r="BR865">
        <f>'Revenue drivers'!BR621</f>
        <v>0</v>
      </c>
      <c r="BS865">
        <f>'Revenue drivers'!BS621</f>
        <v>0</v>
      </c>
      <c r="BT865">
        <f>'Revenue drivers'!BT621</f>
        <v>0</v>
      </c>
      <c r="BU865">
        <f>'Revenue drivers'!BU621</f>
        <v>0</v>
      </c>
      <c r="BV865">
        <f>'Revenue drivers'!BV621</f>
        <v>0</v>
      </c>
      <c r="BW865">
        <f>'Revenue drivers'!BW621</f>
        <v>0</v>
      </c>
      <c r="BX865">
        <f>'Revenue drivers'!BX621</f>
        <v>0</v>
      </c>
      <c r="BY865">
        <f>'Revenue drivers'!BY621</f>
        <v>0</v>
      </c>
    </row>
    <row r="866" spans="9:77" ht="11.25" customHeight="1">
      <c r="I866" t="str">
        <f>'Revenue drivers'!I622</f>
        <v>Cumulative Reviews</v>
      </c>
      <c r="J866">
        <f>'Revenue drivers'!J622</f>
        <v>0</v>
      </c>
      <c r="K866">
        <f>'Revenue drivers'!K622</f>
        <v>0</v>
      </c>
      <c r="L866">
        <f>'Revenue drivers'!L622</f>
        <v>0</v>
      </c>
      <c r="M866">
        <f>'Revenue drivers'!M622</f>
        <v>0</v>
      </c>
      <c r="N866">
        <f>'Revenue drivers'!N622</f>
        <v>0</v>
      </c>
      <c r="O866">
        <f>'Revenue drivers'!O622</f>
        <v>0</v>
      </c>
      <c r="P866">
        <f>'Revenue drivers'!P622</f>
        <v>0</v>
      </c>
      <c r="Q866">
        <f>'Revenue drivers'!Q622</f>
        <v>0</v>
      </c>
      <c r="R866">
        <f>'Revenue drivers'!R622</f>
        <v>0</v>
      </c>
      <c r="S866">
        <f>'Revenue drivers'!S622</f>
        <v>0</v>
      </c>
      <c r="T866">
        <f>'Revenue drivers'!T622</f>
        <v>0</v>
      </c>
      <c r="U866">
        <f>'Revenue drivers'!U622</f>
        <v>2.0799785292538915</v>
      </c>
      <c r="V866">
        <f>'Revenue drivers'!V622</f>
        <v>0.52400000000000002</v>
      </c>
      <c r="W866">
        <f>'Revenue drivers'!W622</f>
        <v>0.52100000000000002</v>
      </c>
      <c r="X866">
        <f>'Revenue drivers'!X622</f>
        <v>0.56740740740740736</v>
      </c>
      <c r="Y866">
        <f>'Revenue drivers'!Y622</f>
        <v>2.8703703703703702</v>
      </c>
      <c r="Z866">
        <f>'Revenue drivers'!Z622</f>
        <v>0.6585185185185185</v>
      </c>
      <c r="AA866">
        <f>'Revenue drivers'!AA622</f>
        <v>0.71716417910447749</v>
      </c>
      <c r="AB866">
        <f>'Revenue drivers'!AB622</f>
        <v>0.76600000000000001</v>
      </c>
      <c r="AC866">
        <f>'Revenue drivers'!AC622</f>
        <v>3.875</v>
      </c>
      <c r="AD866">
        <f>'Revenue drivers'!AD622</f>
        <v>0.88900000000000001</v>
      </c>
      <c r="AE866">
        <f>'Revenue drivers'!AE622</f>
        <v>0.96099999999999997</v>
      </c>
      <c r="AF866">
        <f>'Revenue drivers'!AF622</f>
        <v>1.026</v>
      </c>
      <c r="AG866">
        <f>'Revenue drivers'!AG622</f>
        <v>1.1040000000000001</v>
      </c>
      <c r="AH866">
        <f>'Revenue drivers'!AH622</f>
        <v>1.1839999999999999</v>
      </c>
      <c r="AI866">
        <f>'Revenue drivers'!AI622</f>
        <v>1.276</v>
      </c>
      <c r="AJ866">
        <f>'Revenue drivers'!AJ622</f>
        <v>1.353</v>
      </c>
      <c r="AK866">
        <f>'Revenue drivers'!AK622</f>
        <v>1.4410000000000001</v>
      </c>
      <c r="AL866">
        <f>'Revenue drivers'!AL622</f>
        <v>1.534</v>
      </c>
      <c r="AM866">
        <f>'Revenue drivers'!AM622</f>
        <v>1.629</v>
      </c>
      <c r="AN866">
        <f>'Revenue drivers'!AN622</f>
        <v>0</v>
      </c>
      <c r="AO866">
        <f>'Revenue drivers'!AO622</f>
        <v>0</v>
      </c>
      <c r="AP866">
        <f>'Revenue drivers'!AP622</f>
        <v>0</v>
      </c>
      <c r="AQ866">
        <f>'Revenue drivers'!AQ622</f>
        <v>0</v>
      </c>
      <c r="AR866">
        <f>'Revenue drivers'!AR622</f>
        <v>0</v>
      </c>
      <c r="AS866">
        <f>'Revenue drivers'!AS622</f>
        <v>0</v>
      </c>
      <c r="AT866">
        <f>'Revenue drivers'!AT622</f>
        <v>0</v>
      </c>
      <c r="AU866">
        <f>'Revenue drivers'!AU622</f>
        <v>0</v>
      </c>
      <c r="AV866">
        <f>'Revenue drivers'!AV622</f>
        <v>0</v>
      </c>
      <c r="AW866">
        <f>'Revenue drivers'!AW622</f>
        <v>0</v>
      </c>
      <c r="AX866">
        <f>'Revenue drivers'!AX622</f>
        <v>0</v>
      </c>
      <c r="AY866">
        <f>'Revenue drivers'!AY622</f>
        <v>0</v>
      </c>
      <c r="AZ866">
        <f>'Revenue drivers'!AZ622</f>
        <v>0</v>
      </c>
      <c r="BA866">
        <f>'Revenue drivers'!BA622</f>
        <v>0</v>
      </c>
      <c r="BB866">
        <f>'Revenue drivers'!BB622</f>
        <v>0</v>
      </c>
      <c r="BC866">
        <f>'Revenue drivers'!BC622</f>
        <v>0</v>
      </c>
      <c r="BD866">
        <f>'Revenue drivers'!BD622</f>
        <v>0</v>
      </c>
      <c r="BE866">
        <f>'Revenue drivers'!BE622</f>
        <v>0</v>
      </c>
      <c r="BF866">
        <f>'Revenue drivers'!BF622</f>
        <v>0</v>
      </c>
      <c r="BG866">
        <f>'Revenue drivers'!BG622</f>
        <v>0</v>
      </c>
      <c r="BH866">
        <f>'Revenue drivers'!BH622</f>
        <v>0</v>
      </c>
      <c r="BI866">
        <f>'Revenue drivers'!BI622</f>
        <v>0</v>
      </c>
      <c r="BJ866">
        <f>'Revenue drivers'!BJ622</f>
        <v>0</v>
      </c>
      <c r="BK866">
        <f>'Revenue drivers'!BK622</f>
        <v>0.39507042253521135</v>
      </c>
      <c r="BL866">
        <f>'Revenue drivers'!BL622</f>
        <v>0.56100000000000005</v>
      </c>
      <c r="BM866">
        <f>'Revenue drivers'!BM622</f>
        <v>0</v>
      </c>
      <c r="BN866">
        <f>'Revenue drivers'!BN622</f>
        <v>0</v>
      </c>
      <c r="BO866">
        <f>'Revenue drivers'!BO622</f>
        <v>0</v>
      </c>
      <c r="BP866">
        <f>'Revenue drivers'!BP622</f>
        <v>0</v>
      </c>
      <c r="BQ866">
        <f>'Revenue drivers'!BQ622</f>
        <v>0</v>
      </c>
      <c r="BR866">
        <f>'Revenue drivers'!BR622</f>
        <v>0</v>
      </c>
      <c r="BS866">
        <f>'Revenue drivers'!BS622</f>
        <v>0</v>
      </c>
      <c r="BT866">
        <f>'Revenue drivers'!BT622</f>
        <v>0</v>
      </c>
      <c r="BU866">
        <f>'Revenue drivers'!BU622</f>
        <v>0</v>
      </c>
      <c r="BV866">
        <f>'Revenue drivers'!BV622</f>
        <v>0</v>
      </c>
      <c r="BW866">
        <f>'Revenue drivers'!BW622</f>
        <v>0</v>
      </c>
      <c r="BX866">
        <f>'Revenue drivers'!BX622</f>
        <v>0</v>
      </c>
      <c r="BY866">
        <f>'Revenue drivers'!BY622</f>
        <v>0</v>
      </c>
    </row>
    <row r="867" spans="9:77" ht="11.25" customHeight="1">
      <c r="I867" t="str">
        <f>'Revenue drivers'!I623</f>
        <v>% change Y/Y</v>
      </c>
      <c r="J867">
        <f>'Revenue drivers'!J623</f>
        <v>0</v>
      </c>
      <c r="K867">
        <f>'Revenue drivers'!K623</f>
        <v>0</v>
      </c>
      <c r="L867">
        <f>'Revenue drivers'!L623</f>
        <v>0</v>
      </c>
      <c r="M867">
        <f>'Revenue drivers'!M623</f>
        <v>0</v>
      </c>
      <c r="N867">
        <f>'Revenue drivers'!N623</f>
        <v>0</v>
      </c>
      <c r="O867">
        <f>'Revenue drivers'!O623</f>
        <v>0</v>
      </c>
      <c r="P867">
        <f>'Revenue drivers'!P623</f>
        <v>0</v>
      </c>
      <c r="Q867">
        <f>'Revenue drivers'!Q623</f>
        <v>0</v>
      </c>
      <c r="R867">
        <f>'Revenue drivers'!R623</f>
        <v>0</v>
      </c>
      <c r="S867">
        <f>'Revenue drivers'!S623</f>
        <v>0</v>
      </c>
      <c r="T867">
        <f>'Revenue drivers'!T623</f>
        <v>0</v>
      </c>
      <c r="U867">
        <f>'Revenue drivers'!U623</f>
        <v>0</v>
      </c>
      <c r="V867">
        <f>'Revenue drivers'!V623</f>
        <v>0.57999999999999996</v>
      </c>
      <c r="W867">
        <f>'Revenue drivers'!W623</f>
        <v>0.45</v>
      </c>
      <c r="X867">
        <f>'Revenue drivers'!X623</f>
        <v>0</v>
      </c>
      <c r="Y867">
        <f>'Revenue drivers'!Y623</f>
        <v>0.38</v>
      </c>
      <c r="Z867">
        <f>'Revenue drivers'!Z623</f>
        <v>0.36</v>
      </c>
      <c r="AA867">
        <f>'Revenue drivers'!AA623</f>
        <v>0.35</v>
      </c>
      <c r="AB867">
        <f>'Revenue drivers'!AB623</f>
        <v>0.35</v>
      </c>
      <c r="AC867">
        <f>'Revenue drivers'!AC623</f>
        <v>0.35</v>
      </c>
      <c r="AD867">
        <f>'Revenue drivers'!AD623</f>
        <v>0.35</v>
      </c>
      <c r="AE867">
        <f>'Revenue drivers'!AE623</f>
        <v>0.34</v>
      </c>
      <c r="AF867">
        <f>'Revenue drivers'!AF623</f>
        <v>0.33942558746736284</v>
      </c>
      <c r="AG867">
        <f>'Revenue drivers'!AG623</f>
        <v>0.34</v>
      </c>
      <c r="AH867">
        <f>'Revenue drivers'!AH623</f>
        <v>0.33</v>
      </c>
      <c r="AI867">
        <f>'Revenue drivers'!AI623</f>
        <v>0.34</v>
      </c>
      <c r="AJ867">
        <f>'Revenue drivers'!AJ623</f>
        <v>0.31871345029239762</v>
      </c>
      <c r="AK867">
        <f>'Revenue drivers'!AK623</f>
        <v>0.31</v>
      </c>
      <c r="AL867">
        <f>'Revenue drivers'!AL623</f>
        <v>0.3</v>
      </c>
      <c r="AM867">
        <f>'Revenue drivers'!AM623</f>
        <v>0.28000000000000003</v>
      </c>
      <c r="AN867">
        <f>'Revenue drivers'!AN623</f>
        <v>0</v>
      </c>
      <c r="AO867">
        <f>'Revenue drivers'!AO623</f>
        <v>0</v>
      </c>
      <c r="AP867">
        <f>'Revenue drivers'!AP623</f>
        <v>0</v>
      </c>
      <c r="AQ867">
        <f>'Revenue drivers'!AQ623</f>
        <v>0</v>
      </c>
      <c r="AR867">
        <f>'Revenue drivers'!AR623</f>
        <v>0</v>
      </c>
      <c r="AS867">
        <f>'Revenue drivers'!AS623</f>
        <v>0</v>
      </c>
      <c r="AT867">
        <f>'Revenue drivers'!AT623</f>
        <v>0</v>
      </c>
      <c r="AU867">
        <f>'Revenue drivers'!AU623</f>
        <v>0</v>
      </c>
      <c r="AV867">
        <f>'Revenue drivers'!AV623</f>
        <v>0</v>
      </c>
      <c r="AW867">
        <f>'Revenue drivers'!AW623</f>
        <v>0</v>
      </c>
      <c r="AX867">
        <f>'Revenue drivers'!AX623</f>
        <v>0</v>
      </c>
      <c r="AY867">
        <f>'Revenue drivers'!AY623</f>
        <v>0</v>
      </c>
      <c r="AZ867">
        <f>'Revenue drivers'!AZ623</f>
        <v>0</v>
      </c>
      <c r="BA867">
        <f>'Revenue drivers'!BA623</f>
        <v>0</v>
      </c>
      <c r="BB867">
        <f>'Revenue drivers'!BB623</f>
        <v>0</v>
      </c>
      <c r="BC867">
        <f>'Revenue drivers'!BC623</f>
        <v>0</v>
      </c>
      <c r="BD867">
        <f>'Revenue drivers'!BD623</f>
        <v>0</v>
      </c>
      <c r="BE867">
        <f>'Revenue drivers'!BE623</f>
        <v>0</v>
      </c>
      <c r="BF867">
        <f>'Revenue drivers'!BF623</f>
        <v>0</v>
      </c>
      <c r="BG867">
        <f>'Revenue drivers'!BG623</f>
        <v>0</v>
      </c>
      <c r="BH867">
        <f>'Revenue drivers'!BH623</f>
        <v>0</v>
      </c>
      <c r="BI867">
        <f>'Revenue drivers'!BI623</f>
        <v>0</v>
      </c>
      <c r="BJ867">
        <f>'Revenue drivers'!BJ623</f>
        <v>0</v>
      </c>
      <c r="BK867">
        <f>'Revenue drivers'!BK623</f>
        <v>0</v>
      </c>
      <c r="BL867">
        <f>'Revenue drivers'!BL623</f>
        <v>0.42</v>
      </c>
      <c r="BM867">
        <f>'Revenue drivers'!BM623</f>
        <v>0</v>
      </c>
      <c r="BN867">
        <f>'Revenue drivers'!BN623</f>
        <v>0</v>
      </c>
      <c r="BO867">
        <f>'Revenue drivers'!BO623</f>
        <v>0</v>
      </c>
      <c r="BP867">
        <f>'Revenue drivers'!BP623</f>
        <v>0</v>
      </c>
      <c r="BQ867">
        <f>'Revenue drivers'!BQ623</f>
        <v>0</v>
      </c>
      <c r="BR867">
        <f>'Revenue drivers'!BR623</f>
        <v>0</v>
      </c>
      <c r="BS867">
        <f>'Revenue drivers'!BS623</f>
        <v>0</v>
      </c>
      <c r="BT867">
        <f>'Revenue drivers'!BT623</f>
        <v>0</v>
      </c>
      <c r="BU867">
        <f>'Revenue drivers'!BU623</f>
        <v>0</v>
      </c>
      <c r="BV867">
        <f>'Revenue drivers'!BV623</f>
        <v>0</v>
      </c>
      <c r="BW867">
        <f>'Revenue drivers'!BW623</f>
        <v>0</v>
      </c>
      <c r="BX867">
        <f>'Revenue drivers'!BX623</f>
        <v>0</v>
      </c>
      <c r="BY867">
        <f>'Revenue drivers'!BY623</f>
        <v>0</v>
      </c>
    </row>
    <row r="868" spans="9:77" ht="11.25" customHeight="1">
      <c r="I868">
        <f>'Revenue drivers'!I624</f>
        <v>0</v>
      </c>
      <c r="J868">
        <f>'Revenue drivers'!J624</f>
        <v>0</v>
      </c>
      <c r="K868">
        <f>'Revenue drivers'!K624</f>
        <v>0</v>
      </c>
      <c r="L868">
        <f>'Revenue drivers'!L624</f>
        <v>0</v>
      </c>
      <c r="M868">
        <f>'Revenue drivers'!M624</f>
        <v>0</v>
      </c>
      <c r="N868">
        <f>'Revenue drivers'!N624</f>
        <v>0</v>
      </c>
      <c r="O868">
        <f>'Revenue drivers'!O624</f>
        <v>0</v>
      </c>
      <c r="P868">
        <f>'Revenue drivers'!P624</f>
        <v>0</v>
      </c>
      <c r="Q868">
        <f>'Revenue drivers'!Q624</f>
        <v>0</v>
      </c>
      <c r="R868">
        <f>'Revenue drivers'!R624</f>
        <v>0</v>
      </c>
      <c r="S868">
        <f>'Revenue drivers'!S624</f>
        <v>0</v>
      </c>
      <c r="T868">
        <f>'Revenue drivers'!T624</f>
        <v>0</v>
      </c>
      <c r="U868">
        <f>'Revenue drivers'!U624</f>
        <v>0</v>
      </c>
      <c r="V868">
        <f>'Revenue drivers'!V624</f>
        <v>0</v>
      </c>
      <c r="W868">
        <f>'Revenue drivers'!W624</f>
        <v>0</v>
      </c>
      <c r="X868">
        <f>'Revenue drivers'!X624</f>
        <v>0</v>
      </c>
      <c r="Y868">
        <f>'Revenue drivers'!Y624</f>
        <v>0</v>
      </c>
      <c r="Z868">
        <f>'Revenue drivers'!Z624</f>
        <v>0</v>
      </c>
      <c r="AA868">
        <f>'Revenue drivers'!AA624</f>
        <v>0</v>
      </c>
      <c r="AB868">
        <f>'Revenue drivers'!AB624</f>
        <v>0</v>
      </c>
      <c r="AC868">
        <f>'Revenue drivers'!AC624</f>
        <v>0</v>
      </c>
      <c r="AD868">
        <f>'Revenue drivers'!AD624</f>
        <v>0</v>
      </c>
      <c r="AE868">
        <f>'Revenue drivers'!AE624</f>
        <v>0</v>
      </c>
      <c r="AF868">
        <f>'Revenue drivers'!AF624</f>
        <v>0</v>
      </c>
      <c r="AG868">
        <f>'Revenue drivers'!AG624</f>
        <v>0</v>
      </c>
      <c r="AH868">
        <f>'Revenue drivers'!AH624</f>
        <v>0</v>
      </c>
      <c r="AI868">
        <f>'Revenue drivers'!AI624</f>
        <v>0</v>
      </c>
      <c r="AJ868">
        <f>'Revenue drivers'!AJ624</f>
        <v>0</v>
      </c>
      <c r="AK868">
        <f>'Revenue drivers'!AK624</f>
        <v>0</v>
      </c>
      <c r="AL868">
        <f>'Revenue drivers'!AL624</f>
        <v>0</v>
      </c>
      <c r="AM868">
        <f>'Revenue drivers'!AM624</f>
        <v>0</v>
      </c>
      <c r="AN868">
        <f>'Revenue drivers'!AN624</f>
        <v>0</v>
      </c>
      <c r="AO868">
        <f>'Revenue drivers'!AO624</f>
        <v>0</v>
      </c>
      <c r="AP868">
        <f>'Revenue drivers'!AP624</f>
        <v>0</v>
      </c>
      <c r="AQ868">
        <f>'Revenue drivers'!AQ624</f>
        <v>0</v>
      </c>
      <c r="AR868">
        <f>'Revenue drivers'!AR624</f>
        <v>0</v>
      </c>
      <c r="AS868">
        <f>'Revenue drivers'!AS624</f>
        <v>0</v>
      </c>
      <c r="AT868">
        <f>'Revenue drivers'!AT624</f>
        <v>0</v>
      </c>
      <c r="AU868">
        <f>'Revenue drivers'!AU624</f>
        <v>0</v>
      </c>
      <c r="AV868">
        <f>'Revenue drivers'!AV624</f>
        <v>0</v>
      </c>
      <c r="AW868">
        <f>'Revenue drivers'!AW624</f>
        <v>0</v>
      </c>
      <c r="AX868">
        <f>'Revenue drivers'!AX624</f>
        <v>0</v>
      </c>
      <c r="AY868">
        <f>'Revenue drivers'!AY624</f>
        <v>0</v>
      </c>
      <c r="AZ868">
        <f>'Revenue drivers'!AZ624</f>
        <v>0</v>
      </c>
      <c r="BA868">
        <f>'Revenue drivers'!BA624</f>
        <v>0</v>
      </c>
      <c r="BB868">
        <f>'Revenue drivers'!BB624</f>
        <v>0</v>
      </c>
      <c r="BC868">
        <f>'Revenue drivers'!BC624</f>
        <v>0</v>
      </c>
      <c r="BD868">
        <f>'Revenue drivers'!BD624</f>
        <v>0</v>
      </c>
      <c r="BE868">
        <f>'Revenue drivers'!BE624</f>
        <v>0</v>
      </c>
      <c r="BF868">
        <f>'Revenue drivers'!BF624</f>
        <v>0</v>
      </c>
      <c r="BG868">
        <f>'Revenue drivers'!BG624</f>
        <v>0</v>
      </c>
      <c r="BH868">
        <f>'Revenue drivers'!BH624</f>
        <v>0</v>
      </c>
      <c r="BI868">
        <f>'Revenue drivers'!BI624</f>
        <v>0</v>
      </c>
      <c r="BJ868">
        <f>'Revenue drivers'!BJ624</f>
        <v>0</v>
      </c>
      <c r="BK868">
        <f>'Revenue drivers'!BK624</f>
        <v>0</v>
      </c>
      <c r="BL868">
        <f>'Revenue drivers'!BL624</f>
        <v>0</v>
      </c>
      <c r="BM868">
        <f>'Revenue drivers'!BM624</f>
        <v>0</v>
      </c>
      <c r="BN868">
        <f>'Revenue drivers'!BN624</f>
        <v>0</v>
      </c>
      <c r="BO868">
        <f>'Revenue drivers'!BO624</f>
        <v>0</v>
      </c>
      <c r="BP868">
        <f>'Revenue drivers'!BP624</f>
        <v>0</v>
      </c>
      <c r="BQ868">
        <f>'Revenue drivers'!BQ624</f>
        <v>0</v>
      </c>
      <c r="BR868">
        <f>'Revenue drivers'!BR624</f>
        <v>0</v>
      </c>
      <c r="BS868">
        <f>'Revenue drivers'!BS624</f>
        <v>0</v>
      </c>
      <c r="BT868">
        <f>'Revenue drivers'!BT624</f>
        <v>0</v>
      </c>
      <c r="BU868">
        <f>'Revenue drivers'!BU624</f>
        <v>0</v>
      </c>
      <c r="BV868">
        <f>'Revenue drivers'!BV624</f>
        <v>0</v>
      </c>
      <c r="BW868">
        <f>'Revenue drivers'!BW624</f>
        <v>0</v>
      </c>
      <c r="BX868">
        <f>'Revenue drivers'!BX624</f>
        <v>0</v>
      </c>
      <c r="BY868">
        <f>'Revenue drivers'!BY624</f>
        <v>0</v>
      </c>
    </row>
    <row r="870" spans="9:77" ht="11.25" customHeight="1">
      <c r="I870" t="str">
        <f>'Revenue drivers'!I625</f>
        <v>2009-2010</v>
      </c>
      <c r="J870">
        <f>'Revenue drivers'!J625</f>
        <v>0</v>
      </c>
      <c r="K870">
        <f>'Revenue drivers'!K625</f>
        <v>0</v>
      </c>
      <c r="L870">
        <f>'Revenue drivers'!L625</f>
        <v>0</v>
      </c>
      <c r="M870">
        <f>'Revenue drivers'!M625</f>
        <v>0</v>
      </c>
      <c r="N870">
        <f>'Revenue drivers'!N625</f>
        <v>0</v>
      </c>
      <c r="O870">
        <f>'Revenue drivers'!O625</f>
        <v>0</v>
      </c>
      <c r="P870">
        <f>'Revenue drivers'!P625</f>
        <v>0</v>
      </c>
      <c r="Q870">
        <f>'Revenue drivers'!Q625</f>
        <v>0</v>
      </c>
      <c r="R870">
        <f>'Revenue drivers'!R625</f>
        <v>0</v>
      </c>
      <c r="S870">
        <f>'Revenue drivers'!S625</f>
        <v>0</v>
      </c>
      <c r="T870">
        <f>'Revenue drivers'!T625</f>
        <v>0</v>
      </c>
      <c r="U870">
        <f>'Revenue drivers'!U625</f>
        <v>0</v>
      </c>
      <c r="V870">
        <f>'Revenue drivers'!V625</f>
        <v>0</v>
      </c>
      <c r="W870">
        <f>'Revenue drivers'!W625</f>
        <v>0</v>
      </c>
      <c r="X870">
        <f>'Revenue drivers'!X625</f>
        <v>0</v>
      </c>
      <c r="Y870">
        <f>'Revenue drivers'!Y625</f>
        <v>0</v>
      </c>
      <c r="Z870">
        <f>'Revenue drivers'!Z625</f>
        <v>0</v>
      </c>
      <c r="AA870">
        <f>'Revenue drivers'!AA625</f>
        <v>0</v>
      </c>
      <c r="AB870">
        <f>'Revenue drivers'!AB625</f>
        <v>0</v>
      </c>
      <c r="AC870">
        <f>'Revenue drivers'!AC625</f>
        <v>0</v>
      </c>
      <c r="AD870">
        <f>'Revenue drivers'!AD625</f>
        <v>0</v>
      </c>
      <c r="AE870">
        <f>'Revenue drivers'!AE625</f>
        <v>0</v>
      </c>
      <c r="AF870">
        <f>'Revenue drivers'!AF625</f>
        <v>0</v>
      </c>
      <c r="AG870">
        <f>'Revenue drivers'!AG625</f>
        <v>0</v>
      </c>
      <c r="AH870">
        <f>'Revenue drivers'!AH625</f>
        <v>0</v>
      </c>
      <c r="AI870">
        <f>'Revenue drivers'!AI625</f>
        <v>0</v>
      </c>
      <c r="AJ870">
        <f>'Revenue drivers'!AJ625</f>
        <v>0</v>
      </c>
      <c r="AK870">
        <f>'Revenue drivers'!AK625</f>
        <v>0</v>
      </c>
      <c r="AL870">
        <f>'Revenue drivers'!AL625</f>
        <v>0</v>
      </c>
      <c r="AM870">
        <f>'Revenue drivers'!AM625</f>
        <v>0</v>
      </c>
      <c r="AN870">
        <f>'Revenue drivers'!AN625</f>
        <v>0</v>
      </c>
      <c r="AO870">
        <f>'Revenue drivers'!AO625</f>
        <v>0</v>
      </c>
      <c r="AP870">
        <f>'Revenue drivers'!AP625</f>
        <v>0</v>
      </c>
      <c r="AQ870">
        <f>'Revenue drivers'!AQ625</f>
        <v>0</v>
      </c>
      <c r="AR870">
        <f>'Revenue drivers'!AR625</f>
        <v>0</v>
      </c>
      <c r="AS870">
        <f>'Revenue drivers'!AS625</f>
        <v>0</v>
      </c>
      <c r="AT870">
        <f>'Revenue drivers'!AT625</f>
        <v>0</v>
      </c>
      <c r="AU870">
        <f>'Revenue drivers'!AU625</f>
        <v>0</v>
      </c>
      <c r="AV870">
        <f>'Revenue drivers'!AV625</f>
        <v>0</v>
      </c>
      <c r="AW870">
        <f>'Revenue drivers'!AW625</f>
        <v>0</v>
      </c>
      <c r="AX870">
        <f>'Revenue drivers'!AX625</f>
        <v>0</v>
      </c>
      <c r="AY870">
        <f>'Revenue drivers'!AY625</f>
        <v>0</v>
      </c>
      <c r="AZ870">
        <f>'Revenue drivers'!AZ625</f>
        <v>0</v>
      </c>
      <c r="BA870">
        <f>'Revenue drivers'!BA625</f>
        <v>0</v>
      </c>
      <c r="BB870">
        <f>'Revenue drivers'!BB625</f>
        <v>0</v>
      </c>
      <c r="BC870">
        <f>'Revenue drivers'!BC625</f>
        <v>0</v>
      </c>
      <c r="BD870">
        <f>'Revenue drivers'!BD625</f>
        <v>0</v>
      </c>
      <c r="BE870">
        <f>'Revenue drivers'!BE625</f>
        <v>0</v>
      </c>
      <c r="BF870">
        <f>'Revenue drivers'!BF625</f>
        <v>0</v>
      </c>
      <c r="BG870">
        <f>'Revenue drivers'!BG625</f>
        <v>0</v>
      </c>
      <c r="BH870">
        <f>'Revenue drivers'!BH625</f>
        <v>0</v>
      </c>
      <c r="BI870">
        <f>'Revenue drivers'!BI625</f>
        <v>0</v>
      </c>
      <c r="BJ870">
        <f>'Revenue drivers'!BJ625</f>
        <v>0</v>
      </c>
      <c r="BK870">
        <f>'Revenue drivers'!BK625</f>
        <v>0</v>
      </c>
      <c r="BL870">
        <f>'Revenue drivers'!BL625</f>
        <v>0</v>
      </c>
      <c r="BM870">
        <f>'Revenue drivers'!BM625</f>
        <v>0</v>
      </c>
      <c r="BN870">
        <f>'Revenue drivers'!BN625</f>
        <v>0</v>
      </c>
      <c r="BO870">
        <f>'Revenue drivers'!BO625</f>
        <v>0</v>
      </c>
      <c r="BP870">
        <f>'Revenue drivers'!BP625</f>
        <v>0</v>
      </c>
      <c r="BQ870">
        <f>'Revenue drivers'!BQ625</f>
        <v>0</v>
      </c>
      <c r="BR870">
        <f>'Revenue drivers'!BR625</f>
        <v>0</v>
      </c>
      <c r="BS870">
        <f>'Revenue drivers'!BS625</f>
        <v>0</v>
      </c>
      <c r="BT870">
        <f>'Revenue drivers'!BT625</f>
        <v>0</v>
      </c>
      <c r="BU870">
        <f>'Revenue drivers'!BU625</f>
        <v>0</v>
      </c>
      <c r="BV870">
        <f>'Revenue drivers'!BV625</f>
        <v>0</v>
      </c>
      <c r="BW870">
        <f>'Revenue drivers'!BW625</f>
        <v>0</v>
      </c>
      <c r="BX870">
        <f>'Revenue drivers'!BX625</f>
        <v>0</v>
      </c>
      <c r="BY870">
        <f>'Revenue drivers'!BY625</f>
        <v>0</v>
      </c>
    </row>
    <row r="871" spans="9:77" ht="11.25" customHeight="1">
      <c r="I871">
        <f>'Revenue drivers'!I626</f>
        <v>0</v>
      </c>
      <c r="J871">
        <f>'Revenue drivers'!J626</f>
        <v>0</v>
      </c>
      <c r="K871">
        <f>'Revenue drivers'!K626</f>
        <v>0</v>
      </c>
      <c r="L871">
        <f>'Revenue drivers'!L626</f>
        <v>0</v>
      </c>
      <c r="M871">
        <f>'Revenue drivers'!M626</f>
        <v>0</v>
      </c>
      <c r="N871">
        <f>'Revenue drivers'!N626</f>
        <v>0</v>
      </c>
      <c r="O871">
        <f>'Revenue drivers'!O626</f>
        <v>0</v>
      </c>
      <c r="P871">
        <f>'Revenue drivers'!P626</f>
        <v>0</v>
      </c>
      <c r="Q871">
        <f>'Revenue drivers'!Q626</f>
        <v>0</v>
      </c>
      <c r="R871">
        <f>'Revenue drivers'!R626</f>
        <v>0</v>
      </c>
      <c r="S871">
        <f>'Revenue drivers'!S626</f>
        <v>0</v>
      </c>
      <c r="T871">
        <f>'Revenue drivers'!T626</f>
        <v>0</v>
      </c>
      <c r="U871">
        <f>'Revenue drivers'!U626</f>
        <v>0</v>
      </c>
      <c r="V871">
        <f>'Revenue drivers'!V626</f>
        <v>0</v>
      </c>
      <c r="W871">
        <f>'Revenue drivers'!W626</f>
        <v>0</v>
      </c>
      <c r="X871">
        <f>'Revenue drivers'!X626</f>
        <v>0</v>
      </c>
      <c r="Y871">
        <f>'Revenue drivers'!Y626</f>
        <v>0</v>
      </c>
      <c r="Z871">
        <f>'Revenue drivers'!Z626</f>
        <v>0</v>
      </c>
      <c r="AA871">
        <f>'Revenue drivers'!AA626</f>
        <v>0</v>
      </c>
      <c r="AB871">
        <f>'Revenue drivers'!AB626</f>
        <v>0</v>
      </c>
      <c r="AC871">
        <f>'Revenue drivers'!AC626</f>
        <v>0</v>
      </c>
      <c r="AD871">
        <f>'Revenue drivers'!AD626</f>
        <v>0</v>
      </c>
      <c r="AE871">
        <f>'Revenue drivers'!AE626</f>
        <v>0</v>
      </c>
      <c r="AF871">
        <f>'Revenue drivers'!AF626</f>
        <v>0</v>
      </c>
      <c r="AG871">
        <f>'Revenue drivers'!AG626</f>
        <v>0</v>
      </c>
      <c r="AH871">
        <f>'Revenue drivers'!AH626</f>
        <v>0</v>
      </c>
      <c r="AI871">
        <f>'Revenue drivers'!AI626</f>
        <v>0</v>
      </c>
      <c r="AJ871">
        <f>'Revenue drivers'!AJ626</f>
        <v>0</v>
      </c>
      <c r="AK871">
        <f>'Revenue drivers'!AK626</f>
        <v>0</v>
      </c>
      <c r="AL871">
        <f>'Revenue drivers'!AL626</f>
        <v>0</v>
      </c>
      <c r="AM871">
        <f>'Revenue drivers'!AM626</f>
        <v>0</v>
      </c>
      <c r="AN871">
        <f>'Revenue drivers'!AN626</f>
        <v>0</v>
      </c>
      <c r="AO871">
        <f>'Revenue drivers'!AO626</f>
        <v>0</v>
      </c>
      <c r="AP871">
        <f>'Revenue drivers'!AP626</f>
        <v>0</v>
      </c>
      <c r="AQ871">
        <f>'Revenue drivers'!AQ626</f>
        <v>0</v>
      </c>
      <c r="AR871">
        <f>'Revenue drivers'!AR626</f>
        <v>0</v>
      </c>
      <c r="AS871">
        <f>'Revenue drivers'!AS626</f>
        <v>0</v>
      </c>
      <c r="AT871">
        <f>'Revenue drivers'!AT626</f>
        <v>0</v>
      </c>
      <c r="AU871">
        <f>'Revenue drivers'!AU626</f>
        <v>0</v>
      </c>
      <c r="AV871">
        <f>'Revenue drivers'!AV626</f>
        <v>0</v>
      </c>
      <c r="AW871">
        <f>'Revenue drivers'!AW626</f>
        <v>0</v>
      </c>
      <c r="AX871">
        <f>'Revenue drivers'!AX626</f>
        <v>0</v>
      </c>
      <c r="AY871">
        <f>'Revenue drivers'!AY626</f>
        <v>0</v>
      </c>
      <c r="AZ871">
        <f>'Revenue drivers'!AZ626</f>
        <v>0</v>
      </c>
      <c r="BA871">
        <f>'Revenue drivers'!BA626</f>
        <v>0</v>
      </c>
      <c r="BB871">
        <f>'Revenue drivers'!BB626</f>
        <v>0</v>
      </c>
      <c r="BC871">
        <f>'Revenue drivers'!BC626</f>
        <v>0</v>
      </c>
      <c r="BD871">
        <f>'Revenue drivers'!BD626</f>
        <v>0</v>
      </c>
      <c r="BE871">
        <f>'Revenue drivers'!BE626</f>
        <v>0</v>
      </c>
      <c r="BF871">
        <f>'Revenue drivers'!BF626</f>
        <v>0</v>
      </c>
      <c r="BG871">
        <f>'Revenue drivers'!BG626</f>
        <v>0</v>
      </c>
      <c r="BH871">
        <f>'Revenue drivers'!BH626</f>
        <v>0</v>
      </c>
      <c r="BI871">
        <f>'Revenue drivers'!BI626</f>
        <v>0</v>
      </c>
      <c r="BJ871">
        <f>'Revenue drivers'!BJ626</f>
        <v>0</v>
      </c>
      <c r="BK871">
        <f>'Revenue drivers'!BK626</f>
        <v>0</v>
      </c>
      <c r="BL871">
        <f>'Revenue drivers'!BL626</f>
        <v>0</v>
      </c>
      <c r="BM871">
        <f>'Revenue drivers'!BM626</f>
        <v>0</v>
      </c>
      <c r="BN871">
        <f>'Revenue drivers'!BN626</f>
        <v>0</v>
      </c>
      <c r="BO871">
        <f>'Revenue drivers'!BO626</f>
        <v>0</v>
      </c>
      <c r="BP871">
        <f>'Revenue drivers'!BP626</f>
        <v>0</v>
      </c>
      <c r="BQ871">
        <f>'Revenue drivers'!BQ626</f>
        <v>0</v>
      </c>
      <c r="BR871">
        <f>'Revenue drivers'!BR626</f>
        <v>0</v>
      </c>
      <c r="BS871">
        <f>'Revenue drivers'!BS626</f>
        <v>0</v>
      </c>
      <c r="BT871">
        <f>'Revenue drivers'!BT626</f>
        <v>0</v>
      </c>
      <c r="BU871">
        <f>'Revenue drivers'!BU626</f>
        <v>0</v>
      </c>
      <c r="BV871">
        <f>'Revenue drivers'!BV626</f>
        <v>0</v>
      </c>
      <c r="BW871">
        <f>'Revenue drivers'!BW626</f>
        <v>0</v>
      </c>
      <c r="BX871">
        <f>'Revenue drivers'!BX626</f>
        <v>0</v>
      </c>
      <c r="BY871">
        <f>'Revenue drivers'!BY626</f>
        <v>0</v>
      </c>
    </row>
    <row r="872" spans="9:77" ht="11.25" customHeight="1">
      <c r="I872" t="str">
        <f>'Revenue drivers'!I627</f>
        <v>Average Local Advertising Revenue per Market</v>
      </c>
      <c r="J872">
        <f>'Revenue drivers'!J627</f>
        <v>0</v>
      </c>
      <c r="K872">
        <f>'Revenue drivers'!K627</f>
        <v>0</v>
      </c>
      <c r="L872">
        <f>'Revenue drivers'!L627</f>
        <v>0</v>
      </c>
      <c r="M872">
        <f>'Revenue drivers'!M627</f>
        <v>0</v>
      </c>
      <c r="N872">
        <f>'Revenue drivers'!N627</f>
        <v>0</v>
      </c>
      <c r="O872">
        <f>'Revenue drivers'!O627</f>
        <v>0</v>
      </c>
      <c r="P872">
        <f>'Revenue drivers'!P627</f>
        <v>0</v>
      </c>
      <c r="Q872">
        <f>'Revenue drivers'!Q627</f>
        <v>0</v>
      </c>
      <c r="R872">
        <f>'Revenue drivers'!R627</f>
        <v>0</v>
      </c>
      <c r="S872">
        <f>'Revenue drivers'!S627</f>
        <v>0</v>
      </c>
      <c r="T872">
        <f>'Revenue drivers'!T627</f>
        <v>0</v>
      </c>
      <c r="U872">
        <f>'Revenue drivers'!U627</f>
        <v>6.8022803835190465E-2</v>
      </c>
      <c r="V872">
        <f>'Revenue drivers'!V627</f>
        <v>6.8000000000000005E-2</v>
      </c>
      <c r="W872">
        <f>'Revenue drivers'!W627</f>
        <v>0.107</v>
      </c>
      <c r="X872">
        <f>'Revenue drivers'!X627</f>
        <v>0.13134328358208958</v>
      </c>
      <c r="Y872">
        <f>'Revenue drivers'!Y627</f>
        <v>0.15441176470588236</v>
      </c>
      <c r="Z872">
        <f>'Revenue drivers'!Z627</f>
        <v>0.16981981981981983</v>
      </c>
      <c r="AA872">
        <f>'Revenue drivers'!AA627</f>
        <v>0.21299999999999999</v>
      </c>
      <c r="AB872">
        <f>'Revenue drivers'!AB627</f>
        <v>0.26400000000000001</v>
      </c>
      <c r="AC872">
        <f>'Revenue drivers'!AC627</f>
        <v>0.315</v>
      </c>
      <c r="AD872">
        <f>'Revenue drivers'!AD627</f>
        <v>0.377</v>
      </c>
      <c r="AE872">
        <f>'Revenue drivers'!AE627</f>
        <v>0.42599999999999999</v>
      </c>
      <c r="AF872">
        <f>'Revenue drivers'!AF627</f>
        <v>0.47</v>
      </c>
      <c r="AG872">
        <f>'Revenue drivers'!AG627</f>
        <v>0.50600000000000001</v>
      </c>
      <c r="AH872">
        <f>'Revenue drivers'!AH627</f>
        <v>0.54600000000000004</v>
      </c>
      <c r="AI872">
        <f>'Revenue drivers'!AI627</f>
        <v>0.57899999999999996</v>
      </c>
      <c r="AJ872">
        <f>'Revenue drivers'!AJ627</f>
        <v>0.65500000000000003</v>
      </c>
      <c r="AK872">
        <f>'Revenue drivers'!AK627</f>
        <v>0.72899999999999998</v>
      </c>
      <c r="AL872">
        <f>'Revenue drivers'!AL627</f>
        <v>0.76900000000000002</v>
      </c>
      <c r="AM872">
        <f>'Revenue drivers'!AM627</f>
        <v>0.84199999999999997</v>
      </c>
      <c r="AN872">
        <f>'Revenue drivers'!AN627</f>
        <v>0.94320000000000004</v>
      </c>
      <c r="AO872">
        <f>'Revenue drivers'!AO627</f>
        <v>1.04247</v>
      </c>
      <c r="AP872">
        <f>'Revenue drivers'!AP627</f>
        <v>1.09198</v>
      </c>
      <c r="AQ872">
        <f>'Revenue drivers'!AQ627</f>
        <v>1.1872199999999999</v>
      </c>
      <c r="AR872">
        <f>'Revenue drivers'!AR627</f>
        <v>1.3204799999999999</v>
      </c>
      <c r="AS872">
        <f>'Revenue drivers'!AS627</f>
        <v>1.4490333</v>
      </c>
      <c r="AT872">
        <f>'Revenue drivers'!AT627</f>
        <v>1.5069323999999997</v>
      </c>
      <c r="AU872">
        <f>'Revenue drivers'!AU627</f>
        <v>1.6264913999999997</v>
      </c>
      <c r="AV872">
        <f>'Revenue drivers'!AV627</f>
        <v>1.7958527999999996</v>
      </c>
      <c r="AW872">
        <f>'Revenue drivers'!AW627</f>
        <v>1.9561949549999997</v>
      </c>
      <c r="AX872">
        <f>'Revenue drivers'!AX627</f>
        <v>2.0192894159999994</v>
      </c>
      <c r="AY872">
        <f>'Revenue drivers'!AY627</f>
        <v>2.1632335619999994</v>
      </c>
      <c r="AZ872">
        <f>'Revenue drivers'!AZ627</f>
        <v>2.3705256959999992</v>
      </c>
      <c r="BA872">
        <f>'Revenue drivers'!BA627</f>
        <v>2.5626153910499991</v>
      </c>
      <c r="BB872">
        <f>'Revenue drivers'!BB627</f>
        <v>2.625076240799999</v>
      </c>
      <c r="BC872">
        <f>'Revenue drivers'!BC627</f>
        <v>2.790571294979999</v>
      </c>
      <c r="BD872">
        <f>'Revenue drivers'!BD627</f>
        <v>3.0342728908799983</v>
      </c>
      <c r="BE872">
        <f>'Revenue drivers'!BE627</f>
        <v>0</v>
      </c>
      <c r="BF872">
        <f>'Revenue drivers'!BF627</f>
        <v>0</v>
      </c>
      <c r="BG872">
        <f>'Revenue drivers'!BG627</f>
        <v>0</v>
      </c>
      <c r="BH872">
        <f>'Revenue drivers'!BH627</f>
        <v>0</v>
      </c>
      <c r="BI872">
        <f>'Revenue drivers'!BI627</f>
        <v>0</v>
      </c>
      <c r="BJ872">
        <f>'Revenue drivers'!BJ627</f>
        <v>0</v>
      </c>
      <c r="BK872">
        <f>'Revenue drivers'!BK627</f>
        <v>0.14332129963898918</v>
      </c>
      <c r="BL872">
        <f>'Revenue drivers'!BL627</f>
        <v>0.39700000000000002</v>
      </c>
      <c r="BM872">
        <f>'Revenue drivers'!BM627</f>
        <v>0.8012315845257022</v>
      </c>
      <c r="BN872">
        <f>'Revenue drivers'!BN627</f>
        <v>1.5879999999999999</v>
      </c>
      <c r="BO872">
        <f>'Revenue drivers'!BO627</f>
        <v>2.286</v>
      </c>
      <c r="BP872">
        <f>'Revenue drivers'!BP627</f>
        <v>3.2831999999999999</v>
      </c>
      <c r="BQ872">
        <f>'Revenue drivers'!BQ627</f>
        <v>4.64215</v>
      </c>
      <c r="BR872">
        <f>'Revenue drivers'!BR627</f>
        <v>6.3783098999999988</v>
      </c>
      <c r="BS872">
        <f>'Revenue drivers'!BS627</f>
        <v>8.5092436289999984</v>
      </c>
      <c r="BT872">
        <f>'Revenue drivers'!BT627</f>
        <v>11.012535817709995</v>
      </c>
      <c r="BU872">
        <f>'Revenue drivers'!BU627</f>
        <v>14.142133764247138</v>
      </c>
      <c r="BV872">
        <f>'Revenue drivers'!BV627</f>
        <v>18.019695294934163</v>
      </c>
      <c r="BW872">
        <f>'Revenue drivers'!BW627</f>
        <v>22.780229241234547</v>
      </c>
      <c r="BX872">
        <f>'Revenue drivers'!BX627</f>
        <v>28.57062275249314</v>
      </c>
      <c r="BY872">
        <f>'Revenue drivers'!BY627</f>
        <v>35.547141450220444</v>
      </c>
    </row>
    <row r="873" spans="9:77" ht="11.25" customHeight="1">
      <c r="I873" t="str">
        <f>'Revenue drivers'!I628</f>
        <v>% change Y/Y</v>
      </c>
      <c r="J873">
        <f>'Revenue drivers'!J628</f>
        <v>0</v>
      </c>
      <c r="K873">
        <f>'Revenue drivers'!K628</f>
        <v>0</v>
      </c>
      <c r="L873">
        <f>'Revenue drivers'!L628</f>
        <v>0</v>
      </c>
      <c r="M873">
        <f>'Revenue drivers'!M628</f>
        <v>0</v>
      </c>
      <c r="N873">
        <f>'Revenue drivers'!N628</f>
        <v>0</v>
      </c>
      <c r="O873">
        <f>'Revenue drivers'!O628</f>
        <v>0</v>
      </c>
      <c r="P873">
        <f>'Revenue drivers'!P628</f>
        <v>0</v>
      </c>
      <c r="Q873">
        <f>'Revenue drivers'!Q628</f>
        <v>0</v>
      </c>
      <c r="R873">
        <f>'Revenue drivers'!R628</f>
        <v>0</v>
      </c>
      <c r="S873">
        <f>'Revenue drivers'!S628</f>
        <v>0</v>
      </c>
      <c r="T873">
        <f>'Revenue drivers'!T628</f>
        <v>0</v>
      </c>
      <c r="U873">
        <f>'Revenue drivers'!U628</f>
        <v>0</v>
      </c>
      <c r="V873">
        <f>'Revenue drivers'!V628</f>
        <v>1.48</v>
      </c>
      <c r="W873">
        <f>'Revenue drivers'!W628</f>
        <v>1.91</v>
      </c>
      <c r="X873">
        <f>'Revenue drivers'!X628</f>
        <v>0</v>
      </c>
      <c r="Y873">
        <f>'Revenue drivers'!Y628</f>
        <v>1.27</v>
      </c>
      <c r="Z873">
        <f>'Revenue drivers'!Z628</f>
        <v>0.87</v>
      </c>
      <c r="AA873">
        <f>'Revenue drivers'!AA628</f>
        <v>0.99</v>
      </c>
      <c r="AB873">
        <f>'Revenue drivers'!AB628</f>
        <v>1.01</v>
      </c>
      <c r="AC873">
        <f>'Revenue drivers'!AC628</f>
        <v>1.04</v>
      </c>
      <c r="AD873">
        <f>'Revenue drivers'!AD628</f>
        <v>1.22</v>
      </c>
      <c r="AE873">
        <f>'Revenue drivers'!AE628</f>
        <v>1</v>
      </c>
      <c r="AF873">
        <f>'Revenue drivers'!AF628</f>
        <v>0.78</v>
      </c>
      <c r="AG873">
        <f>'Revenue drivers'!AG628</f>
        <v>0.60634920634920642</v>
      </c>
      <c r="AH873">
        <f>'Revenue drivers'!AH628</f>
        <v>0.45</v>
      </c>
      <c r="AI873">
        <f>'Revenue drivers'!AI628</f>
        <v>0.36</v>
      </c>
      <c r="AJ873">
        <f>'Revenue drivers'!AJ628</f>
        <v>0.39361702127659592</v>
      </c>
      <c r="AK873">
        <f>'Revenue drivers'!AK628</f>
        <v>0.44</v>
      </c>
      <c r="AL873">
        <f>'Revenue drivers'!AL628</f>
        <v>0.41</v>
      </c>
      <c r="AM873">
        <f>'Revenue drivers'!AM628</f>
        <v>0.45</v>
      </c>
      <c r="AN873">
        <f>'Revenue drivers'!AN628</f>
        <v>0.44</v>
      </c>
      <c r="AO873">
        <f>'Revenue drivers'!AO628</f>
        <v>0.43</v>
      </c>
      <c r="AP873">
        <f>'Revenue drivers'!AP628</f>
        <v>0.42</v>
      </c>
      <c r="AQ873">
        <f>'Revenue drivers'!AQ628</f>
        <v>0.41</v>
      </c>
      <c r="AR873">
        <f>'Revenue drivers'!AR628</f>
        <v>0.39999999999999997</v>
      </c>
      <c r="AS873">
        <f>'Revenue drivers'!AS628</f>
        <v>0.38999999999999996</v>
      </c>
      <c r="AT873">
        <f>'Revenue drivers'!AT628</f>
        <v>0.37999999999999995</v>
      </c>
      <c r="AU873">
        <f>'Revenue drivers'!AU628</f>
        <v>0.36999999999999994</v>
      </c>
      <c r="AV873">
        <f>'Revenue drivers'!AV628</f>
        <v>0.35999999999999993</v>
      </c>
      <c r="AW873">
        <f>'Revenue drivers'!AW628</f>
        <v>0.34999999999999992</v>
      </c>
      <c r="AX873">
        <f>'Revenue drivers'!AX628</f>
        <v>0.33999999999999991</v>
      </c>
      <c r="AY873">
        <f>'Revenue drivers'!AY628</f>
        <v>0.3299999999999999</v>
      </c>
      <c r="AZ873">
        <f>'Revenue drivers'!AZ628</f>
        <v>0.3199999999999999</v>
      </c>
      <c r="BA873">
        <f>'Revenue drivers'!BA628</f>
        <v>0.30999999999999989</v>
      </c>
      <c r="BB873">
        <f>'Revenue drivers'!BB628</f>
        <v>0.29999999999999988</v>
      </c>
      <c r="BC873">
        <f>'Revenue drivers'!BC628</f>
        <v>0.28999999999999987</v>
      </c>
      <c r="BD873">
        <f>'Revenue drivers'!BD628</f>
        <v>0.27999999999999986</v>
      </c>
      <c r="BE873">
        <f>'Revenue drivers'!BE628</f>
        <v>0</v>
      </c>
      <c r="BF873">
        <f>'Revenue drivers'!BF628</f>
        <v>0</v>
      </c>
      <c r="BG873">
        <f>'Revenue drivers'!BG628</f>
        <v>0</v>
      </c>
      <c r="BH873">
        <f>'Revenue drivers'!BH628</f>
        <v>0</v>
      </c>
      <c r="BI873">
        <f>'Revenue drivers'!BI628</f>
        <v>0</v>
      </c>
      <c r="BJ873">
        <f>'Revenue drivers'!BJ628</f>
        <v>0</v>
      </c>
      <c r="BK873">
        <f>'Revenue drivers'!BK628</f>
        <v>0</v>
      </c>
      <c r="BL873">
        <f>'Revenue drivers'!BL628</f>
        <v>1.77</v>
      </c>
      <c r="BM873">
        <f>'Revenue drivers'!BM628</f>
        <v>1.0182155781503832</v>
      </c>
      <c r="BN873">
        <f>'Revenue drivers'!BN628</f>
        <v>0.98194882811569872</v>
      </c>
      <c r="BO873">
        <f>'Revenue drivers'!BO628</f>
        <v>0.43954659949622177</v>
      </c>
      <c r="BP873">
        <f>'Revenue drivers'!BP628</f>
        <v>0.43622047244094486</v>
      </c>
      <c r="BQ873">
        <f>'Revenue drivers'!BQ628</f>
        <v>0.41391020955165692</v>
      </c>
      <c r="BR873">
        <f>'Revenue drivers'!BR628</f>
        <v>0.37399909524681418</v>
      </c>
      <c r="BS873">
        <f>'Revenue drivers'!BS628</f>
        <v>0.33409065448513253</v>
      </c>
      <c r="BT873">
        <f>'Revenue drivers'!BT628</f>
        <v>0.2941850413330076</v>
      </c>
      <c r="BU873">
        <f>'Revenue drivers'!BU628</f>
        <v>0.28418504133300759</v>
      </c>
      <c r="BV873">
        <f>'Revenue drivers'!BV628</f>
        <v>0.27418504133300758</v>
      </c>
      <c r="BW873">
        <f>'Revenue drivers'!BW628</f>
        <v>0.26418504133300758</v>
      </c>
      <c r="BX873">
        <f>'Revenue drivers'!BX628</f>
        <v>0.25418504133300757</v>
      </c>
      <c r="BY873">
        <f>'Revenue drivers'!BY628</f>
        <v>0.24418504133300756</v>
      </c>
    </row>
    <row r="874" spans="9:77" ht="11.25" customHeight="1">
      <c r="I874">
        <f>'Revenue drivers'!I629</f>
        <v>0</v>
      </c>
      <c r="J874">
        <f>'Revenue drivers'!J629</f>
        <v>0</v>
      </c>
      <c r="K874">
        <f>'Revenue drivers'!K629</f>
        <v>0</v>
      </c>
      <c r="L874">
        <f>'Revenue drivers'!L629</f>
        <v>0</v>
      </c>
      <c r="M874">
        <f>'Revenue drivers'!M629</f>
        <v>0</v>
      </c>
      <c r="N874">
        <f>'Revenue drivers'!N629</f>
        <v>0</v>
      </c>
      <c r="O874">
        <f>'Revenue drivers'!O629</f>
        <v>0</v>
      </c>
      <c r="P874">
        <f>'Revenue drivers'!P629</f>
        <v>0</v>
      </c>
      <c r="Q874">
        <f>'Revenue drivers'!Q629</f>
        <v>0</v>
      </c>
      <c r="R874">
        <f>'Revenue drivers'!R629</f>
        <v>0</v>
      </c>
      <c r="S874">
        <f>'Revenue drivers'!S629</f>
        <v>0</v>
      </c>
      <c r="T874">
        <f>'Revenue drivers'!T629</f>
        <v>0</v>
      </c>
      <c r="U874">
        <f>'Revenue drivers'!U629</f>
        <v>0</v>
      </c>
      <c r="V874">
        <f>'Revenue drivers'!V629</f>
        <v>0</v>
      </c>
      <c r="W874">
        <f>'Revenue drivers'!W629</f>
        <v>0</v>
      </c>
      <c r="X874">
        <f>'Revenue drivers'!X629</f>
        <v>0</v>
      </c>
      <c r="Y874">
        <f>'Revenue drivers'!Y629</f>
        <v>0</v>
      </c>
      <c r="Z874">
        <f>'Revenue drivers'!Z629</f>
        <v>0</v>
      </c>
      <c r="AA874">
        <f>'Revenue drivers'!AA629</f>
        <v>0</v>
      </c>
      <c r="AB874">
        <f>'Revenue drivers'!AB629</f>
        <v>0</v>
      </c>
      <c r="AC874">
        <f>'Revenue drivers'!AC629</f>
        <v>0</v>
      </c>
      <c r="AD874">
        <f>'Revenue drivers'!AD629</f>
        <v>0</v>
      </c>
      <c r="AE874">
        <f>'Revenue drivers'!AE629</f>
        <v>0</v>
      </c>
      <c r="AF874">
        <f>'Revenue drivers'!AF629</f>
        <v>0</v>
      </c>
      <c r="AG874">
        <f>'Revenue drivers'!AG629</f>
        <v>0</v>
      </c>
      <c r="AH874">
        <f>'Revenue drivers'!AH629</f>
        <v>0</v>
      </c>
      <c r="AI874">
        <f>'Revenue drivers'!AI629</f>
        <v>0</v>
      </c>
      <c r="AJ874">
        <f>'Revenue drivers'!AJ629</f>
        <v>0</v>
      </c>
      <c r="AK874">
        <f>'Revenue drivers'!AK629</f>
        <v>0</v>
      </c>
      <c r="AL874">
        <f>'Revenue drivers'!AL629</f>
        <v>0</v>
      </c>
      <c r="AM874">
        <f>'Revenue drivers'!AM629</f>
        <v>0</v>
      </c>
      <c r="AN874">
        <f>'Revenue drivers'!AN629</f>
        <v>0</v>
      </c>
      <c r="AO874">
        <f>'Revenue drivers'!AO629</f>
        <v>0</v>
      </c>
      <c r="AP874">
        <f>'Revenue drivers'!AP629</f>
        <v>0</v>
      </c>
      <c r="AQ874">
        <f>'Revenue drivers'!AQ629</f>
        <v>0</v>
      </c>
      <c r="AR874">
        <f>'Revenue drivers'!AR629</f>
        <v>0</v>
      </c>
      <c r="AS874">
        <f>'Revenue drivers'!AS629</f>
        <v>0</v>
      </c>
      <c r="AT874">
        <f>'Revenue drivers'!AT629</f>
        <v>0</v>
      </c>
      <c r="AU874">
        <f>'Revenue drivers'!AU629</f>
        <v>0</v>
      </c>
      <c r="AV874">
        <f>'Revenue drivers'!AV629</f>
        <v>0</v>
      </c>
      <c r="AW874">
        <f>'Revenue drivers'!AW629</f>
        <v>0</v>
      </c>
      <c r="AX874">
        <f>'Revenue drivers'!AX629</f>
        <v>0</v>
      </c>
      <c r="AY874">
        <f>'Revenue drivers'!AY629</f>
        <v>0</v>
      </c>
      <c r="AZ874">
        <f>'Revenue drivers'!AZ629</f>
        <v>0</v>
      </c>
      <c r="BA874">
        <f>'Revenue drivers'!BA629</f>
        <v>0</v>
      </c>
      <c r="BB874">
        <f>'Revenue drivers'!BB629</f>
        <v>0</v>
      </c>
      <c r="BC874">
        <f>'Revenue drivers'!BC629</f>
        <v>0</v>
      </c>
      <c r="BD874">
        <f>'Revenue drivers'!BD629</f>
        <v>0</v>
      </c>
      <c r="BE874">
        <f>'Revenue drivers'!BE629</f>
        <v>0</v>
      </c>
      <c r="BF874">
        <f>'Revenue drivers'!BF629</f>
        <v>0</v>
      </c>
      <c r="BG874">
        <f>'Revenue drivers'!BG629</f>
        <v>0</v>
      </c>
      <c r="BH874">
        <f>'Revenue drivers'!BH629</f>
        <v>0</v>
      </c>
      <c r="BI874">
        <f>'Revenue drivers'!BI629</f>
        <v>0</v>
      </c>
      <c r="BJ874">
        <f>'Revenue drivers'!BJ629</f>
        <v>0</v>
      </c>
      <c r="BK874">
        <f>'Revenue drivers'!BK629</f>
        <v>0</v>
      </c>
      <c r="BL874">
        <f>'Revenue drivers'!BL629</f>
        <v>0</v>
      </c>
      <c r="BM874">
        <f>'Revenue drivers'!BM629</f>
        <v>0</v>
      </c>
      <c r="BN874">
        <f>'Revenue drivers'!BN629</f>
        <v>0</v>
      </c>
      <c r="BO874">
        <f>'Revenue drivers'!BO629</f>
        <v>0</v>
      </c>
      <c r="BP874">
        <f>'Revenue drivers'!BP629</f>
        <v>0</v>
      </c>
      <c r="BQ874">
        <f>'Revenue drivers'!BQ629</f>
        <v>0</v>
      </c>
      <c r="BR874">
        <f>'Revenue drivers'!BR629</f>
        <v>0</v>
      </c>
      <c r="BS874">
        <f>'Revenue drivers'!BS629</f>
        <v>0</v>
      </c>
      <c r="BT874">
        <f>'Revenue drivers'!BT629</f>
        <v>0</v>
      </c>
      <c r="BU874">
        <f>'Revenue drivers'!BU629</f>
        <v>0</v>
      </c>
      <c r="BV874">
        <f>'Revenue drivers'!BV629</f>
        <v>0</v>
      </c>
      <c r="BW874">
        <f>'Revenue drivers'!BW629</f>
        <v>0</v>
      </c>
      <c r="BX874">
        <f>'Revenue drivers'!BX629</f>
        <v>0</v>
      </c>
      <c r="BY874">
        <f>'Revenue drivers'!BY629</f>
        <v>0</v>
      </c>
    </row>
    <row r="875" spans="9:77" ht="11.25" customHeight="1">
      <c r="I875" t="str">
        <f>'Revenue drivers'!I630</f>
        <v>Number of Yelp Markets</v>
      </c>
      <c r="J875">
        <f>'Revenue drivers'!J630</f>
        <v>0</v>
      </c>
      <c r="K875">
        <f>'Revenue drivers'!K630</f>
        <v>0</v>
      </c>
      <c r="L875">
        <f>'Revenue drivers'!L630</f>
        <v>0</v>
      </c>
      <c r="M875">
        <f>'Revenue drivers'!M630</f>
        <v>0</v>
      </c>
      <c r="N875">
        <f>'Revenue drivers'!N630</f>
        <v>0</v>
      </c>
      <c r="O875">
        <f>'Revenue drivers'!O630</f>
        <v>0</v>
      </c>
      <c r="P875">
        <f>'Revenue drivers'!P630</f>
        <v>0</v>
      </c>
      <c r="Q875">
        <f>'Revenue drivers'!Q630</f>
        <v>0</v>
      </c>
      <c r="R875">
        <f>'Revenue drivers'!R630</f>
        <v>0</v>
      </c>
      <c r="S875">
        <f>'Revenue drivers'!S630</f>
        <v>0</v>
      </c>
      <c r="T875">
        <f>'Revenue drivers'!T630</f>
        <v>18</v>
      </c>
      <c r="U875">
        <f>'Revenue drivers'!U630</f>
        <v>18</v>
      </c>
      <c r="V875">
        <f>'Revenue drivers'!V630</f>
        <v>18</v>
      </c>
      <c r="W875">
        <f>'Revenue drivers'!W630</f>
        <v>18</v>
      </c>
      <c r="X875">
        <f>'Revenue drivers'!X630</f>
        <v>18</v>
      </c>
      <c r="Y875">
        <f>'Revenue drivers'!Y630</f>
        <v>18</v>
      </c>
      <c r="Z875">
        <f>'Revenue drivers'!Z630</f>
        <v>18</v>
      </c>
      <c r="AA875">
        <f>'Revenue drivers'!AA630</f>
        <v>18</v>
      </c>
      <c r="AB875">
        <f>'Revenue drivers'!AB630</f>
        <v>18</v>
      </c>
      <c r="AC875">
        <f>'Revenue drivers'!AC630</f>
        <v>18</v>
      </c>
      <c r="AD875">
        <f>'Revenue drivers'!AD630</f>
        <v>18</v>
      </c>
      <c r="AE875">
        <f>'Revenue drivers'!AE630</f>
        <v>18</v>
      </c>
      <c r="AF875">
        <f>'Revenue drivers'!AF630</f>
        <v>18</v>
      </c>
      <c r="AG875">
        <f>'Revenue drivers'!AG630</f>
        <v>18</v>
      </c>
      <c r="AH875">
        <f>'Revenue drivers'!AH630</f>
        <v>18</v>
      </c>
      <c r="AI875">
        <f>'Revenue drivers'!AI630</f>
        <v>18</v>
      </c>
      <c r="AJ875">
        <f>'Revenue drivers'!AJ630</f>
        <v>18</v>
      </c>
      <c r="AK875">
        <f>'Revenue drivers'!AK630</f>
        <v>18</v>
      </c>
      <c r="AL875">
        <f>'Revenue drivers'!AL630</f>
        <v>18</v>
      </c>
      <c r="AM875">
        <f>'Revenue drivers'!AM630</f>
        <v>18</v>
      </c>
      <c r="AN875">
        <f>'Revenue drivers'!AN630</f>
        <v>18</v>
      </c>
      <c r="AO875">
        <f>'Revenue drivers'!AO630</f>
        <v>18</v>
      </c>
      <c r="AP875">
        <f>'Revenue drivers'!AP630</f>
        <v>18</v>
      </c>
      <c r="AQ875">
        <f>'Revenue drivers'!AQ630</f>
        <v>18</v>
      </c>
      <c r="AR875">
        <f>'Revenue drivers'!AR630</f>
        <v>18</v>
      </c>
      <c r="AS875">
        <f>'Revenue drivers'!AS630</f>
        <v>18</v>
      </c>
      <c r="AT875">
        <f>'Revenue drivers'!AT630</f>
        <v>18</v>
      </c>
      <c r="AU875">
        <f>'Revenue drivers'!AU630</f>
        <v>18</v>
      </c>
      <c r="AV875">
        <f>'Revenue drivers'!AV630</f>
        <v>18</v>
      </c>
      <c r="AW875">
        <f>'Revenue drivers'!AW630</f>
        <v>18</v>
      </c>
      <c r="AX875">
        <f>'Revenue drivers'!AX630</f>
        <v>18</v>
      </c>
      <c r="AY875">
        <f>'Revenue drivers'!AY630</f>
        <v>18</v>
      </c>
      <c r="AZ875">
        <f>'Revenue drivers'!AZ630</f>
        <v>18</v>
      </c>
      <c r="BA875">
        <f>'Revenue drivers'!BA630</f>
        <v>18</v>
      </c>
      <c r="BB875">
        <f>'Revenue drivers'!BB630</f>
        <v>18</v>
      </c>
      <c r="BC875">
        <f>'Revenue drivers'!BC630</f>
        <v>18</v>
      </c>
      <c r="BD875">
        <f>'Revenue drivers'!BD630</f>
        <v>18</v>
      </c>
      <c r="BE875">
        <f>'Revenue drivers'!BE630</f>
        <v>0</v>
      </c>
      <c r="BF875">
        <f>'Revenue drivers'!BF630</f>
        <v>0</v>
      </c>
      <c r="BG875">
        <f>'Revenue drivers'!BG630</f>
        <v>0</v>
      </c>
      <c r="BH875">
        <f>'Revenue drivers'!BH630</f>
        <v>0</v>
      </c>
      <c r="BI875">
        <f>'Revenue drivers'!BI630</f>
        <v>0</v>
      </c>
      <c r="BJ875">
        <f>'Revenue drivers'!BJ630</f>
        <v>0</v>
      </c>
      <c r="BK875">
        <f>'Revenue drivers'!BK630</f>
        <v>0</v>
      </c>
      <c r="BL875">
        <f>'Revenue drivers'!BL630</f>
        <v>18</v>
      </c>
      <c r="BM875">
        <f>'Revenue drivers'!BM630</f>
        <v>18</v>
      </c>
      <c r="BN875">
        <f>'Revenue drivers'!BN630</f>
        <v>18</v>
      </c>
      <c r="BO875">
        <f>'Revenue drivers'!BO630</f>
        <v>18</v>
      </c>
      <c r="BP875">
        <f>'Revenue drivers'!BP630</f>
        <v>18</v>
      </c>
      <c r="BQ875">
        <f>'Revenue drivers'!BQ630</f>
        <v>18</v>
      </c>
      <c r="BR875">
        <f>'Revenue drivers'!BR630</f>
        <v>18</v>
      </c>
      <c r="BS875">
        <f>'Revenue drivers'!BS630</f>
        <v>18</v>
      </c>
      <c r="BT875">
        <f>'Revenue drivers'!BT630</f>
        <v>18</v>
      </c>
      <c r="BU875">
        <f>'Revenue drivers'!BU630</f>
        <v>18</v>
      </c>
      <c r="BV875">
        <f>'Revenue drivers'!BV630</f>
        <v>18</v>
      </c>
      <c r="BW875">
        <f>'Revenue drivers'!BW630</f>
        <v>18</v>
      </c>
      <c r="BX875">
        <f>'Revenue drivers'!BX630</f>
        <v>18</v>
      </c>
      <c r="BY875">
        <f>'Revenue drivers'!BY630</f>
        <v>18</v>
      </c>
    </row>
    <row r="876" spans="9:77" ht="11.25" customHeight="1">
      <c r="I876">
        <f>'Revenue drivers'!I631</f>
        <v>0</v>
      </c>
      <c r="J876">
        <f>'Revenue drivers'!J631</f>
        <v>0</v>
      </c>
      <c r="K876">
        <f>'Revenue drivers'!K631</f>
        <v>0</v>
      </c>
      <c r="L876">
        <f>'Revenue drivers'!L631</f>
        <v>0</v>
      </c>
      <c r="M876">
        <f>'Revenue drivers'!M631</f>
        <v>0</v>
      </c>
      <c r="N876">
        <f>'Revenue drivers'!N631</f>
        <v>0</v>
      </c>
      <c r="O876">
        <f>'Revenue drivers'!O631</f>
        <v>0</v>
      </c>
      <c r="P876">
        <f>'Revenue drivers'!P631</f>
        <v>0</v>
      </c>
      <c r="Q876">
        <f>'Revenue drivers'!Q631</f>
        <v>0</v>
      </c>
      <c r="R876">
        <f>'Revenue drivers'!R631</f>
        <v>0</v>
      </c>
      <c r="S876">
        <f>'Revenue drivers'!S631</f>
        <v>0</v>
      </c>
      <c r="T876">
        <f>'Revenue drivers'!T631</f>
        <v>0</v>
      </c>
      <c r="U876">
        <f>'Revenue drivers'!U631</f>
        <v>0</v>
      </c>
      <c r="V876">
        <f>'Revenue drivers'!V631</f>
        <v>0</v>
      </c>
      <c r="W876">
        <f>'Revenue drivers'!W631</f>
        <v>0</v>
      </c>
      <c r="X876">
        <f>'Revenue drivers'!X631</f>
        <v>0</v>
      </c>
      <c r="Y876">
        <f>'Revenue drivers'!Y631</f>
        <v>0</v>
      </c>
      <c r="Z876">
        <f>'Revenue drivers'!Z631</f>
        <v>0</v>
      </c>
      <c r="AA876">
        <f>'Revenue drivers'!AA631</f>
        <v>0</v>
      </c>
      <c r="AB876">
        <f>'Revenue drivers'!AB631</f>
        <v>0</v>
      </c>
      <c r="AC876">
        <f>'Revenue drivers'!AC631</f>
        <v>0</v>
      </c>
      <c r="AD876">
        <f>'Revenue drivers'!AD631</f>
        <v>0</v>
      </c>
      <c r="AE876">
        <f>'Revenue drivers'!AE631</f>
        <v>0</v>
      </c>
      <c r="AF876">
        <f>'Revenue drivers'!AF631</f>
        <v>0</v>
      </c>
      <c r="AG876">
        <f>'Revenue drivers'!AG631</f>
        <v>0</v>
      </c>
      <c r="AH876">
        <f>'Revenue drivers'!AH631</f>
        <v>0</v>
      </c>
      <c r="AI876">
        <f>'Revenue drivers'!AI631</f>
        <v>0</v>
      </c>
      <c r="AJ876">
        <f>'Revenue drivers'!AJ631</f>
        <v>0</v>
      </c>
      <c r="AK876">
        <f>'Revenue drivers'!AK631</f>
        <v>0</v>
      </c>
      <c r="AL876">
        <f>'Revenue drivers'!AL631</f>
        <v>0</v>
      </c>
      <c r="AM876">
        <f>'Revenue drivers'!AM631</f>
        <v>0</v>
      </c>
      <c r="AN876">
        <f>'Revenue drivers'!AN631</f>
        <v>0</v>
      </c>
      <c r="AO876">
        <f>'Revenue drivers'!AO631</f>
        <v>0</v>
      </c>
      <c r="AP876">
        <f>'Revenue drivers'!AP631</f>
        <v>0</v>
      </c>
      <c r="AQ876">
        <f>'Revenue drivers'!AQ631</f>
        <v>0</v>
      </c>
      <c r="AR876">
        <f>'Revenue drivers'!AR631</f>
        <v>0</v>
      </c>
      <c r="AS876">
        <f>'Revenue drivers'!AS631</f>
        <v>0</v>
      </c>
      <c r="AT876">
        <f>'Revenue drivers'!AT631</f>
        <v>0</v>
      </c>
      <c r="AU876">
        <f>'Revenue drivers'!AU631</f>
        <v>0</v>
      </c>
      <c r="AV876">
        <f>'Revenue drivers'!AV631</f>
        <v>0</v>
      </c>
      <c r="AW876">
        <f>'Revenue drivers'!AW631</f>
        <v>0</v>
      </c>
      <c r="AX876">
        <f>'Revenue drivers'!AX631</f>
        <v>0</v>
      </c>
      <c r="AY876">
        <f>'Revenue drivers'!AY631</f>
        <v>0</v>
      </c>
      <c r="AZ876">
        <f>'Revenue drivers'!AZ631</f>
        <v>0</v>
      </c>
      <c r="BA876">
        <f>'Revenue drivers'!BA631</f>
        <v>0</v>
      </c>
      <c r="BB876">
        <f>'Revenue drivers'!BB631</f>
        <v>0</v>
      </c>
      <c r="BC876">
        <f>'Revenue drivers'!BC631</f>
        <v>0</v>
      </c>
      <c r="BD876">
        <f>'Revenue drivers'!BD631</f>
        <v>0</v>
      </c>
      <c r="BE876">
        <f>'Revenue drivers'!BE631</f>
        <v>0</v>
      </c>
      <c r="BF876">
        <f>'Revenue drivers'!BF631</f>
        <v>0</v>
      </c>
      <c r="BG876">
        <f>'Revenue drivers'!BG631</f>
        <v>0</v>
      </c>
      <c r="BH876">
        <f>'Revenue drivers'!BH631</f>
        <v>0</v>
      </c>
      <c r="BI876">
        <f>'Revenue drivers'!BI631</f>
        <v>0</v>
      </c>
      <c r="BJ876">
        <f>'Revenue drivers'!BJ631</f>
        <v>0</v>
      </c>
      <c r="BK876">
        <f>'Revenue drivers'!BK631</f>
        <v>0</v>
      </c>
      <c r="BL876">
        <f>'Revenue drivers'!BL631</f>
        <v>0</v>
      </c>
      <c r="BM876">
        <f>'Revenue drivers'!BM631</f>
        <v>0</v>
      </c>
      <c r="BN876">
        <f>'Revenue drivers'!BN631</f>
        <v>0</v>
      </c>
      <c r="BO876">
        <f>'Revenue drivers'!BO631</f>
        <v>0</v>
      </c>
      <c r="BP876">
        <f>'Revenue drivers'!BP631</f>
        <v>0</v>
      </c>
      <c r="BQ876">
        <f>'Revenue drivers'!BQ631</f>
        <v>0</v>
      </c>
      <c r="BR876">
        <f>'Revenue drivers'!BR631</f>
        <v>0</v>
      </c>
      <c r="BS876">
        <f>'Revenue drivers'!BS631</f>
        <v>0</v>
      </c>
      <c r="BT876">
        <f>'Revenue drivers'!BT631</f>
        <v>0</v>
      </c>
      <c r="BU876">
        <f>'Revenue drivers'!BU631</f>
        <v>0</v>
      </c>
      <c r="BV876">
        <f>'Revenue drivers'!BV631</f>
        <v>0</v>
      </c>
      <c r="BW876">
        <f>'Revenue drivers'!BW631</f>
        <v>0</v>
      </c>
      <c r="BX876">
        <f>'Revenue drivers'!BX631</f>
        <v>0</v>
      </c>
      <c r="BY876">
        <f>'Revenue drivers'!BY631</f>
        <v>0</v>
      </c>
    </row>
    <row r="877" spans="9:77" ht="11.25" customHeight="1">
      <c r="I877" t="str">
        <f>'Revenue drivers'!I632</f>
        <v>Revenue from Cohort</v>
      </c>
      <c r="J877">
        <f>'Revenue drivers'!J632</f>
        <v>0</v>
      </c>
      <c r="K877">
        <f>'Revenue drivers'!K632</f>
        <v>0</v>
      </c>
      <c r="L877">
        <f>'Revenue drivers'!L632</f>
        <v>0</v>
      </c>
      <c r="M877">
        <f>'Revenue drivers'!M632</f>
        <v>0</v>
      </c>
      <c r="N877">
        <f>'Revenue drivers'!N632</f>
        <v>0</v>
      </c>
      <c r="O877">
        <f>'Revenue drivers'!O632</f>
        <v>0</v>
      </c>
      <c r="P877">
        <f>'Revenue drivers'!P632</f>
        <v>0</v>
      </c>
      <c r="Q877">
        <f>'Revenue drivers'!Q632</f>
        <v>0</v>
      </c>
      <c r="R877">
        <f>'Revenue drivers'!R632</f>
        <v>0</v>
      </c>
      <c r="S877">
        <f>'Revenue drivers'!S632</f>
        <v>0</v>
      </c>
      <c r="T877">
        <f>'Revenue drivers'!T632</f>
        <v>0</v>
      </c>
      <c r="U877">
        <f>'Revenue drivers'!U632</f>
        <v>1.2244104690334283</v>
      </c>
      <c r="V877">
        <f>'Revenue drivers'!V632</f>
        <v>1.2240000000000002</v>
      </c>
      <c r="W877">
        <f>'Revenue drivers'!W632</f>
        <v>1.9259999999999999</v>
      </c>
      <c r="X877">
        <f>'Revenue drivers'!X632</f>
        <v>2.3641791044776124</v>
      </c>
      <c r="Y877">
        <f>'Revenue drivers'!Y632</f>
        <v>2.7794117647058822</v>
      </c>
      <c r="Z877">
        <f>'Revenue drivers'!Z632</f>
        <v>3.0567567567567568</v>
      </c>
      <c r="AA877">
        <f>'Revenue drivers'!AA632</f>
        <v>3.8340000000000001</v>
      </c>
      <c r="AB877">
        <f>'Revenue drivers'!AB632</f>
        <v>4.7520000000000007</v>
      </c>
      <c r="AC877">
        <f>'Revenue drivers'!AC632</f>
        <v>5.67</v>
      </c>
      <c r="AD877">
        <f>'Revenue drivers'!AD632</f>
        <v>6.7859999999999996</v>
      </c>
      <c r="AE877">
        <f>'Revenue drivers'!AE632</f>
        <v>7.6680000000000001</v>
      </c>
      <c r="AF877">
        <f>'Revenue drivers'!AF632</f>
        <v>8.4599999999999991</v>
      </c>
      <c r="AG877">
        <f>'Revenue drivers'!AG632</f>
        <v>9.1080000000000005</v>
      </c>
      <c r="AH877">
        <f>'Revenue drivers'!AH632</f>
        <v>9.8280000000000012</v>
      </c>
      <c r="AI877">
        <f>'Revenue drivers'!AI632</f>
        <v>10.421999999999999</v>
      </c>
      <c r="AJ877">
        <f>'Revenue drivers'!AJ632</f>
        <v>11.790000000000001</v>
      </c>
      <c r="AK877">
        <f>'Revenue drivers'!AK632</f>
        <v>13.122</v>
      </c>
      <c r="AL877">
        <f>'Revenue drivers'!AL632</f>
        <v>13.842000000000001</v>
      </c>
      <c r="AM877">
        <f>'Revenue drivers'!AM632</f>
        <v>15.155999999999999</v>
      </c>
      <c r="AN877">
        <f>'Revenue drivers'!AN632</f>
        <v>16.977600000000002</v>
      </c>
      <c r="AO877">
        <f>'Revenue drivers'!AO632</f>
        <v>18.76446</v>
      </c>
      <c r="AP877">
        <f>'Revenue drivers'!AP632</f>
        <v>19.655639999999998</v>
      </c>
      <c r="AQ877">
        <f>'Revenue drivers'!AQ632</f>
        <v>21.369959999999999</v>
      </c>
      <c r="AR877">
        <f>'Revenue drivers'!AR632</f>
        <v>23.768639999999998</v>
      </c>
      <c r="AS877">
        <f>'Revenue drivers'!AS632</f>
        <v>26.082599399999999</v>
      </c>
      <c r="AT877">
        <f>'Revenue drivers'!AT632</f>
        <v>27.124783199999996</v>
      </c>
      <c r="AU877">
        <f>'Revenue drivers'!AU632</f>
        <v>29.276845199999993</v>
      </c>
      <c r="AV877">
        <f>'Revenue drivers'!AV632</f>
        <v>32.325350399999991</v>
      </c>
      <c r="AW877">
        <f>'Revenue drivers'!AW632</f>
        <v>35.211509189999994</v>
      </c>
      <c r="AX877">
        <f>'Revenue drivers'!AX632</f>
        <v>36.34720948799999</v>
      </c>
      <c r="AY877">
        <f>'Revenue drivers'!AY632</f>
        <v>38.938204115999987</v>
      </c>
      <c r="AZ877">
        <f>'Revenue drivers'!AZ632</f>
        <v>42.669462527999983</v>
      </c>
      <c r="BA877">
        <f>'Revenue drivers'!BA632</f>
        <v>46.127077038899984</v>
      </c>
      <c r="BB877">
        <f>'Revenue drivers'!BB632</f>
        <v>47.251372334399981</v>
      </c>
      <c r="BC877">
        <f>'Revenue drivers'!BC632</f>
        <v>50.230283309639979</v>
      </c>
      <c r="BD877">
        <f>'Revenue drivers'!BD632</f>
        <v>54.616912035839967</v>
      </c>
      <c r="BE877">
        <f>'Revenue drivers'!BE632</f>
        <v>0</v>
      </c>
      <c r="BF877">
        <f>'Revenue drivers'!BF632</f>
        <v>0</v>
      </c>
      <c r="BG877">
        <f>'Revenue drivers'!BG632</f>
        <v>0</v>
      </c>
      <c r="BH877">
        <f>'Revenue drivers'!BH632</f>
        <v>0</v>
      </c>
      <c r="BI877">
        <f>'Revenue drivers'!BI632</f>
        <v>0</v>
      </c>
      <c r="BJ877">
        <f>'Revenue drivers'!BJ632</f>
        <v>0</v>
      </c>
      <c r="BK877">
        <f>'Revenue drivers'!BK632</f>
        <v>0</v>
      </c>
      <c r="BL877">
        <f>'Revenue drivers'!BL632</f>
        <v>6.7385895735110406</v>
      </c>
      <c r="BM877">
        <f>'Revenue drivers'!BM632</f>
        <v>14.422168521462639</v>
      </c>
      <c r="BN877">
        <f>'Revenue drivers'!BN632</f>
        <v>28.583999999999996</v>
      </c>
      <c r="BO877">
        <f>'Revenue drivers'!BO632</f>
        <v>41.147999999999996</v>
      </c>
      <c r="BP877">
        <f>'Revenue drivers'!BP632</f>
        <v>59.0976</v>
      </c>
      <c r="BQ877">
        <f>'Revenue drivers'!BQ632</f>
        <v>83.558699999999988</v>
      </c>
      <c r="BR877">
        <f>'Revenue drivers'!BR632</f>
        <v>114.80957819999998</v>
      </c>
      <c r="BS877">
        <f>'Revenue drivers'!BS632</f>
        <v>153.16638532199994</v>
      </c>
      <c r="BT877">
        <f>'Revenue drivers'!BT632</f>
        <v>198.2256447187799</v>
      </c>
      <c r="BU877">
        <f>'Revenue drivers'!BU632</f>
        <v>254.55840775644847</v>
      </c>
      <c r="BV877">
        <f>'Revenue drivers'!BV632</f>
        <v>324.35451530881494</v>
      </c>
      <c r="BW877">
        <f>'Revenue drivers'!BW632</f>
        <v>410.04412634222183</v>
      </c>
      <c r="BX877">
        <f>'Revenue drivers'!BX632</f>
        <v>514.27120954487657</v>
      </c>
      <c r="BY877">
        <f>'Revenue drivers'!BY632</f>
        <v>639.84854610396803</v>
      </c>
    </row>
    <row r="878" spans="9:77" ht="11.25" customHeight="1">
      <c r="I878" t="str">
        <f>'Revenue drivers'!I633</f>
        <v>Y/Y% Growth</v>
      </c>
      <c r="J878">
        <f>'Revenue drivers'!J633</f>
        <v>0</v>
      </c>
      <c r="K878">
        <f>'Revenue drivers'!K633</f>
        <v>0</v>
      </c>
      <c r="L878">
        <f>'Revenue drivers'!L633</f>
        <v>0</v>
      </c>
      <c r="M878">
        <f>'Revenue drivers'!M633</f>
        <v>0</v>
      </c>
      <c r="N878">
        <f>'Revenue drivers'!N633</f>
        <v>0</v>
      </c>
      <c r="O878">
        <f>'Revenue drivers'!O633</f>
        <v>0</v>
      </c>
      <c r="P878">
        <f>'Revenue drivers'!P633</f>
        <v>0</v>
      </c>
      <c r="Q878">
        <f>'Revenue drivers'!Q633</f>
        <v>0</v>
      </c>
      <c r="R878">
        <f>'Revenue drivers'!R633</f>
        <v>0</v>
      </c>
      <c r="S878">
        <f>'Revenue drivers'!S633</f>
        <v>0</v>
      </c>
      <c r="T878">
        <f>'Revenue drivers'!T633</f>
        <v>0</v>
      </c>
      <c r="U878">
        <f>'Revenue drivers'!U633</f>
        <v>0</v>
      </c>
      <c r="V878">
        <f>'Revenue drivers'!V633</f>
        <v>0</v>
      </c>
      <c r="W878">
        <f>'Revenue drivers'!W633</f>
        <v>0</v>
      </c>
      <c r="X878">
        <f>'Revenue drivers'!X633</f>
        <v>0</v>
      </c>
      <c r="Y878">
        <f>'Revenue drivers'!Y633</f>
        <v>1.27</v>
      </c>
      <c r="Z878">
        <f>'Revenue drivers'!Z633</f>
        <v>1.4973502914679382</v>
      </c>
      <c r="AA878">
        <f>'Revenue drivers'!AA633</f>
        <v>0.99065420560747675</v>
      </c>
      <c r="AB878">
        <f>'Revenue drivers'!AB633</f>
        <v>1.0099999999999998</v>
      </c>
      <c r="AC878">
        <f>'Revenue drivers'!AC633</f>
        <v>1.04</v>
      </c>
      <c r="AD878">
        <f>'Revenue drivers'!AD633</f>
        <v>1.2199999999999998</v>
      </c>
      <c r="AE878">
        <f>'Revenue drivers'!AE633</f>
        <v>1</v>
      </c>
      <c r="AF878">
        <f>'Revenue drivers'!AF633</f>
        <v>0.78030303030302983</v>
      </c>
      <c r="AG878">
        <f>'Revenue drivers'!AG633</f>
        <v>0.60634920634920642</v>
      </c>
      <c r="AH878">
        <f>'Revenue drivers'!AH633</f>
        <v>0.44827586206896575</v>
      </c>
      <c r="AI878">
        <f>'Revenue drivers'!AI633</f>
        <v>0.35915492957746453</v>
      </c>
      <c r="AJ878">
        <f>'Revenue drivers'!AJ633</f>
        <v>0.39361702127659592</v>
      </c>
      <c r="AK878">
        <f>'Revenue drivers'!AK633</f>
        <v>0.44071146245059278</v>
      </c>
      <c r="AL878">
        <f>'Revenue drivers'!AL633</f>
        <v>0.40842490842490831</v>
      </c>
      <c r="AM878">
        <f>'Revenue drivers'!AM633</f>
        <v>0.45423143350604489</v>
      </c>
      <c r="AN878">
        <f>'Revenue drivers'!AN633</f>
        <v>0.44000000000000017</v>
      </c>
      <c r="AO878">
        <f>'Revenue drivers'!AO633</f>
        <v>0.42999999999999994</v>
      </c>
      <c r="AP878">
        <f>'Revenue drivers'!AP633</f>
        <v>0.41999999999999971</v>
      </c>
      <c r="AQ878">
        <f>'Revenue drivers'!AQ633</f>
        <v>0.41000000000000014</v>
      </c>
      <c r="AR878">
        <f>'Revenue drivers'!AR633</f>
        <v>0.39999999999999969</v>
      </c>
      <c r="AS878">
        <f>'Revenue drivers'!AS633</f>
        <v>0.3899999999999999</v>
      </c>
      <c r="AT878">
        <f>'Revenue drivers'!AT633</f>
        <v>0.37999999999999989</v>
      </c>
      <c r="AU878">
        <f>'Revenue drivers'!AU633</f>
        <v>0.36999999999999966</v>
      </c>
      <c r="AV878">
        <f>'Revenue drivers'!AV633</f>
        <v>0.35999999999999965</v>
      </c>
      <c r="AW878">
        <f>'Revenue drivers'!AW633</f>
        <v>0.34999999999999987</v>
      </c>
      <c r="AX878">
        <f>'Revenue drivers'!AX633</f>
        <v>0.33999999999999986</v>
      </c>
      <c r="AY878">
        <f>'Revenue drivers'!AY633</f>
        <v>0.32999999999999985</v>
      </c>
      <c r="AZ878">
        <f>'Revenue drivers'!AZ633</f>
        <v>0.31999999999999984</v>
      </c>
      <c r="BA878">
        <f>'Revenue drivers'!BA633</f>
        <v>0.30999999999999983</v>
      </c>
      <c r="BB878">
        <f>'Revenue drivers'!BB633</f>
        <v>0.29999999999999982</v>
      </c>
      <c r="BC878">
        <f>'Revenue drivers'!BC633</f>
        <v>0.28999999999999981</v>
      </c>
      <c r="BD878">
        <f>'Revenue drivers'!BD633</f>
        <v>0.2799999999999998</v>
      </c>
      <c r="BE878">
        <f>'Revenue drivers'!BE633</f>
        <v>0</v>
      </c>
      <c r="BF878">
        <f>'Revenue drivers'!BF633</f>
        <v>0</v>
      </c>
      <c r="BG878">
        <f>'Revenue drivers'!BG633</f>
        <v>0</v>
      </c>
      <c r="BH878">
        <f>'Revenue drivers'!BH633</f>
        <v>0</v>
      </c>
      <c r="BI878">
        <f>'Revenue drivers'!BI633</f>
        <v>0</v>
      </c>
      <c r="BJ878">
        <f>'Revenue drivers'!BJ633</f>
        <v>0</v>
      </c>
      <c r="BK878">
        <f>'Revenue drivers'!BK633</f>
        <v>0</v>
      </c>
      <c r="BL878">
        <f>'Revenue drivers'!BL633</f>
        <v>0</v>
      </c>
      <c r="BM878">
        <f>'Revenue drivers'!BM633</f>
        <v>1.1402354846116833</v>
      </c>
      <c r="BN878">
        <f>'Revenue drivers'!BN633</f>
        <v>0.98194882811569872</v>
      </c>
      <c r="BO878">
        <f>'Revenue drivers'!BO633</f>
        <v>0.43954659949622177</v>
      </c>
      <c r="BP878">
        <f>'Revenue drivers'!BP633</f>
        <v>0.43622047244094508</v>
      </c>
      <c r="BQ878">
        <f>'Revenue drivers'!BQ633</f>
        <v>0.41391020955165669</v>
      </c>
      <c r="BR878">
        <f>'Revenue drivers'!BR633</f>
        <v>0.37399909524681441</v>
      </c>
      <c r="BS878">
        <f>'Revenue drivers'!BS633</f>
        <v>0.33409065448513231</v>
      </c>
      <c r="BT878">
        <f>'Revenue drivers'!BT633</f>
        <v>0.29418504133300782</v>
      </c>
      <c r="BU878">
        <f>'Revenue drivers'!BU633</f>
        <v>0.28418504133300782</v>
      </c>
      <c r="BV878">
        <f>'Revenue drivers'!BV633</f>
        <v>0.27418504133300781</v>
      </c>
      <c r="BW878">
        <f>'Revenue drivers'!BW633</f>
        <v>0.26418504133300758</v>
      </c>
      <c r="BX878">
        <f>'Revenue drivers'!BX633</f>
        <v>0.25418504133300779</v>
      </c>
      <c r="BY878">
        <f>'Revenue drivers'!BY633</f>
        <v>0.24418504133300756</v>
      </c>
    </row>
    <row r="879" spans="9:77" ht="11.25" customHeight="1">
      <c r="I879" t="str">
        <f>'Revenue drivers'!I634</f>
        <v>Abs Growth</v>
      </c>
      <c r="J879">
        <f>'Revenue drivers'!J634</f>
        <v>0</v>
      </c>
      <c r="K879">
        <f>'Revenue drivers'!K634</f>
        <v>0</v>
      </c>
      <c r="L879">
        <f>'Revenue drivers'!L634</f>
        <v>0</v>
      </c>
      <c r="M879">
        <f>'Revenue drivers'!M634</f>
        <v>0</v>
      </c>
      <c r="N879">
        <f>'Revenue drivers'!N634</f>
        <v>0</v>
      </c>
      <c r="O879">
        <f>'Revenue drivers'!O634</f>
        <v>0</v>
      </c>
      <c r="P879">
        <f>'Revenue drivers'!P634</f>
        <v>0</v>
      </c>
      <c r="Q879">
        <f>'Revenue drivers'!Q634</f>
        <v>0</v>
      </c>
      <c r="R879">
        <f>'Revenue drivers'!R634</f>
        <v>0</v>
      </c>
      <c r="S879">
        <f>'Revenue drivers'!S634</f>
        <v>0</v>
      </c>
      <c r="T879">
        <f>'Revenue drivers'!T634</f>
        <v>0</v>
      </c>
      <c r="U879">
        <f>'Revenue drivers'!U634</f>
        <v>0</v>
      </c>
      <c r="V879">
        <f>'Revenue drivers'!V634</f>
        <v>0</v>
      </c>
      <c r="W879">
        <f>'Revenue drivers'!W634</f>
        <v>0</v>
      </c>
      <c r="X879">
        <f>'Revenue drivers'!X634</f>
        <v>0</v>
      </c>
      <c r="Y879">
        <f>'Revenue drivers'!Y634</f>
        <v>1.5550012956724539</v>
      </c>
      <c r="Z879">
        <f>'Revenue drivers'!Z634</f>
        <v>1.8327567567567566</v>
      </c>
      <c r="AA879">
        <f>'Revenue drivers'!AA634</f>
        <v>1.9080000000000001</v>
      </c>
      <c r="AB879">
        <f>'Revenue drivers'!AB634</f>
        <v>2.3878208955223883</v>
      </c>
      <c r="AC879">
        <f>'Revenue drivers'!AC634</f>
        <v>2.8905882352941177</v>
      </c>
      <c r="AD879">
        <f>'Revenue drivers'!AD634</f>
        <v>3.7292432432432427</v>
      </c>
      <c r="AE879">
        <f>'Revenue drivers'!AE634</f>
        <v>3.8340000000000001</v>
      </c>
      <c r="AF879">
        <f>'Revenue drivers'!AF634</f>
        <v>3.7079999999999984</v>
      </c>
      <c r="AG879">
        <f>'Revenue drivers'!AG634</f>
        <v>3.4380000000000006</v>
      </c>
      <c r="AH879">
        <f>'Revenue drivers'!AH634</f>
        <v>3.0420000000000016</v>
      </c>
      <c r="AI879">
        <f>'Revenue drivers'!AI634</f>
        <v>2.7539999999999987</v>
      </c>
      <c r="AJ879">
        <f>'Revenue drivers'!AJ634</f>
        <v>3.3300000000000018</v>
      </c>
      <c r="AK879">
        <f>'Revenue drivers'!AK634</f>
        <v>4.0139999999999993</v>
      </c>
      <c r="AL879">
        <f>'Revenue drivers'!AL634</f>
        <v>4.0139999999999993</v>
      </c>
      <c r="AM879">
        <f>'Revenue drivers'!AM634</f>
        <v>4.734</v>
      </c>
      <c r="AN879">
        <f>'Revenue drivers'!AN634</f>
        <v>5.1876000000000015</v>
      </c>
      <c r="AO879">
        <f>'Revenue drivers'!AO634</f>
        <v>5.6424599999999998</v>
      </c>
      <c r="AP879">
        <f>'Revenue drivers'!AP634</f>
        <v>5.8136399999999977</v>
      </c>
      <c r="AQ879">
        <f>'Revenue drivers'!AQ634</f>
        <v>6.2139600000000002</v>
      </c>
      <c r="AR879">
        <f>'Revenue drivers'!AR634</f>
        <v>6.7910399999999953</v>
      </c>
      <c r="AS879">
        <f>'Revenue drivers'!AS634</f>
        <v>7.3181393999999997</v>
      </c>
      <c r="AT879">
        <f>'Revenue drivers'!AT634</f>
        <v>7.4691431999999978</v>
      </c>
      <c r="AU879">
        <f>'Revenue drivers'!AU634</f>
        <v>7.9068851999999943</v>
      </c>
      <c r="AV879">
        <f>'Revenue drivers'!AV634</f>
        <v>8.5567103999999929</v>
      </c>
      <c r="AW879">
        <f>'Revenue drivers'!AW634</f>
        <v>9.1289097899999945</v>
      </c>
      <c r="AX879">
        <f>'Revenue drivers'!AX634</f>
        <v>9.2224262879999941</v>
      </c>
      <c r="AY879">
        <f>'Revenue drivers'!AY634</f>
        <v>9.661358915999994</v>
      </c>
      <c r="AZ879">
        <f>'Revenue drivers'!AZ634</f>
        <v>10.344112127999992</v>
      </c>
      <c r="BA879">
        <f>'Revenue drivers'!BA634</f>
        <v>10.91556784889999</v>
      </c>
      <c r="BB879">
        <f>'Revenue drivers'!BB634</f>
        <v>10.904162846399991</v>
      </c>
      <c r="BC879">
        <f>'Revenue drivers'!BC634</f>
        <v>11.292079193639992</v>
      </c>
      <c r="BD879">
        <f>'Revenue drivers'!BD634</f>
        <v>11.947449507839984</v>
      </c>
      <c r="BE879">
        <f>'Revenue drivers'!BE634</f>
        <v>0</v>
      </c>
      <c r="BF879">
        <f>'Revenue drivers'!BF634</f>
        <v>0</v>
      </c>
      <c r="BG879">
        <f>'Revenue drivers'!BG634</f>
        <v>0</v>
      </c>
      <c r="BH879">
        <f>'Revenue drivers'!BH634</f>
        <v>0</v>
      </c>
      <c r="BI879">
        <f>'Revenue drivers'!BI634</f>
        <v>0</v>
      </c>
      <c r="BJ879">
        <f>'Revenue drivers'!BJ634</f>
        <v>0</v>
      </c>
      <c r="BK879">
        <f>'Revenue drivers'!BK634</f>
        <v>0</v>
      </c>
      <c r="BL879">
        <f>'Revenue drivers'!BL634</f>
        <v>0</v>
      </c>
      <c r="BM879">
        <f>'Revenue drivers'!BM634</f>
        <v>7.6835789479515988</v>
      </c>
      <c r="BN879">
        <f>'Revenue drivers'!BN634</f>
        <v>14.161831478537357</v>
      </c>
      <c r="BO879">
        <f>'Revenue drivers'!BO634</f>
        <v>12.564</v>
      </c>
      <c r="BP879">
        <f>'Revenue drivers'!BP634</f>
        <v>17.949600000000004</v>
      </c>
      <c r="BQ879">
        <f>'Revenue drivers'!BQ634</f>
        <v>24.461099999999988</v>
      </c>
      <c r="BR879">
        <f>'Revenue drivers'!BR634</f>
        <v>31.250878199999988</v>
      </c>
      <c r="BS879">
        <f>'Revenue drivers'!BS634</f>
        <v>38.356807121999964</v>
      </c>
      <c r="BT879">
        <f>'Revenue drivers'!BT634</f>
        <v>45.059259396779964</v>
      </c>
      <c r="BU879">
        <f>'Revenue drivers'!BU634</f>
        <v>56.33276303766857</v>
      </c>
      <c r="BV879">
        <f>'Revenue drivers'!BV634</f>
        <v>69.796107552366465</v>
      </c>
      <c r="BW879">
        <f>'Revenue drivers'!BW634</f>
        <v>85.689611033406891</v>
      </c>
      <c r="BX879">
        <f>'Revenue drivers'!BX634</f>
        <v>104.22708320265474</v>
      </c>
      <c r="BY879">
        <f>'Revenue drivers'!BY634</f>
        <v>125.57733655909146</v>
      </c>
    </row>
    <row r="880" spans="9:77" ht="11.25" customHeight="1">
      <c r="I880">
        <f>'Revenue drivers'!I635</f>
        <v>0</v>
      </c>
      <c r="J880">
        <f>'Revenue drivers'!J635</f>
        <v>0</v>
      </c>
      <c r="K880">
        <f>'Revenue drivers'!K635</f>
        <v>0</v>
      </c>
      <c r="L880">
        <f>'Revenue drivers'!L635</f>
        <v>0</v>
      </c>
      <c r="M880">
        <f>'Revenue drivers'!M635</f>
        <v>0</v>
      </c>
      <c r="N880">
        <f>'Revenue drivers'!N635</f>
        <v>0</v>
      </c>
      <c r="O880">
        <f>'Revenue drivers'!O635</f>
        <v>0</v>
      </c>
      <c r="P880">
        <f>'Revenue drivers'!P635</f>
        <v>0</v>
      </c>
      <c r="Q880">
        <f>'Revenue drivers'!Q635</f>
        <v>0</v>
      </c>
      <c r="R880">
        <f>'Revenue drivers'!R635</f>
        <v>0</v>
      </c>
      <c r="S880">
        <f>'Revenue drivers'!S635</f>
        <v>0</v>
      </c>
      <c r="T880">
        <f>'Revenue drivers'!T635</f>
        <v>0</v>
      </c>
      <c r="U880">
        <f>'Revenue drivers'!U635</f>
        <v>0</v>
      </c>
      <c r="V880">
        <f>'Revenue drivers'!V635</f>
        <v>0</v>
      </c>
      <c r="W880">
        <f>'Revenue drivers'!W635</f>
        <v>0</v>
      </c>
      <c r="X880">
        <f>'Revenue drivers'!X635</f>
        <v>0</v>
      </c>
      <c r="Y880">
        <f>'Revenue drivers'!Y635</f>
        <v>0</v>
      </c>
      <c r="Z880">
        <f>'Revenue drivers'!Z635</f>
        <v>0</v>
      </c>
      <c r="AA880">
        <f>'Revenue drivers'!AA635</f>
        <v>0</v>
      </c>
      <c r="AB880">
        <f>'Revenue drivers'!AB635</f>
        <v>0</v>
      </c>
      <c r="AC880">
        <f>'Revenue drivers'!AC635</f>
        <v>0</v>
      </c>
      <c r="AD880">
        <f>'Revenue drivers'!AD635</f>
        <v>0</v>
      </c>
      <c r="AE880">
        <f>'Revenue drivers'!AE635</f>
        <v>0</v>
      </c>
      <c r="AF880">
        <f>'Revenue drivers'!AF635</f>
        <v>0</v>
      </c>
      <c r="AG880">
        <f>'Revenue drivers'!AG635</f>
        <v>0</v>
      </c>
      <c r="AH880">
        <f>'Revenue drivers'!AH635</f>
        <v>0</v>
      </c>
      <c r="AI880">
        <f>'Revenue drivers'!AI635</f>
        <v>0</v>
      </c>
      <c r="AJ880">
        <f>'Revenue drivers'!AJ635</f>
        <v>0</v>
      </c>
      <c r="AK880">
        <f>'Revenue drivers'!AK635</f>
        <v>0</v>
      </c>
      <c r="AL880">
        <f>'Revenue drivers'!AL635</f>
        <v>0</v>
      </c>
      <c r="AM880">
        <f>'Revenue drivers'!AM635</f>
        <v>0</v>
      </c>
      <c r="AN880">
        <f>'Revenue drivers'!AN635</f>
        <v>0</v>
      </c>
      <c r="AO880">
        <f>'Revenue drivers'!AO635</f>
        <v>0</v>
      </c>
      <c r="AP880">
        <f>'Revenue drivers'!AP635</f>
        <v>0</v>
      </c>
      <c r="AQ880">
        <f>'Revenue drivers'!AQ635</f>
        <v>0</v>
      </c>
      <c r="AR880">
        <f>'Revenue drivers'!AR635</f>
        <v>0</v>
      </c>
      <c r="AS880">
        <f>'Revenue drivers'!AS635</f>
        <v>0</v>
      </c>
      <c r="AT880">
        <f>'Revenue drivers'!AT635</f>
        <v>0</v>
      </c>
      <c r="AU880">
        <f>'Revenue drivers'!AU635</f>
        <v>0</v>
      </c>
      <c r="AV880">
        <f>'Revenue drivers'!AV635</f>
        <v>0</v>
      </c>
      <c r="AW880">
        <f>'Revenue drivers'!AW635</f>
        <v>0</v>
      </c>
      <c r="AX880">
        <f>'Revenue drivers'!AX635</f>
        <v>0</v>
      </c>
      <c r="AY880">
        <f>'Revenue drivers'!AY635</f>
        <v>0</v>
      </c>
      <c r="AZ880">
        <f>'Revenue drivers'!AZ635</f>
        <v>0</v>
      </c>
      <c r="BA880">
        <f>'Revenue drivers'!BA635</f>
        <v>0</v>
      </c>
      <c r="BB880">
        <f>'Revenue drivers'!BB635</f>
        <v>0</v>
      </c>
      <c r="BC880">
        <f>'Revenue drivers'!BC635</f>
        <v>0</v>
      </c>
      <c r="BD880">
        <f>'Revenue drivers'!BD635</f>
        <v>0</v>
      </c>
      <c r="BE880">
        <f>'Revenue drivers'!BE635</f>
        <v>0</v>
      </c>
      <c r="BF880">
        <f>'Revenue drivers'!BF635</f>
        <v>0</v>
      </c>
      <c r="BG880">
        <f>'Revenue drivers'!BG635</f>
        <v>0</v>
      </c>
      <c r="BH880">
        <f>'Revenue drivers'!BH635</f>
        <v>0</v>
      </c>
      <c r="BI880">
        <f>'Revenue drivers'!BI635</f>
        <v>0</v>
      </c>
      <c r="BJ880">
        <f>'Revenue drivers'!BJ635</f>
        <v>0</v>
      </c>
      <c r="BK880">
        <f>'Revenue drivers'!BK635</f>
        <v>0</v>
      </c>
      <c r="BL880">
        <f>'Revenue drivers'!BL635</f>
        <v>0</v>
      </c>
      <c r="BM880">
        <f>'Revenue drivers'!BM635</f>
        <v>0</v>
      </c>
      <c r="BN880">
        <f>'Revenue drivers'!BN635</f>
        <v>0</v>
      </c>
      <c r="BO880">
        <f>'Revenue drivers'!BO635</f>
        <v>0</v>
      </c>
      <c r="BP880">
        <f>'Revenue drivers'!BP635</f>
        <v>0</v>
      </c>
      <c r="BQ880">
        <f>'Revenue drivers'!BQ635</f>
        <v>0</v>
      </c>
      <c r="BR880">
        <f>'Revenue drivers'!BR635</f>
        <v>0</v>
      </c>
      <c r="BS880">
        <f>'Revenue drivers'!BS635</f>
        <v>0</v>
      </c>
      <c r="BT880">
        <f>'Revenue drivers'!BT635</f>
        <v>0</v>
      </c>
      <c r="BU880">
        <f>'Revenue drivers'!BU635</f>
        <v>0</v>
      </c>
      <c r="BV880">
        <f>'Revenue drivers'!BV635</f>
        <v>0</v>
      </c>
      <c r="BW880">
        <f>'Revenue drivers'!BW635</f>
        <v>0</v>
      </c>
      <c r="BX880">
        <f>'Revenue drivers'!BX635</f>
        <v>0</v>
      </c>
      <c r="BY880">
        <f>'Revenue drivers'!BY635</f>
        <v>0</v>
      </c>
    </row>
    <row r="881" spans="9:77" ht="11.25" customHeight="1">
      <c r="I881" t="str">
        <f>'Revenue drivers'!I636</f>
        <v>Cumulative Reviews</v>
      </c>
      <c r="J881">
        <f>'Revenue drivers'!J636</f>
        <v>0</v>
      </c>
      <c r="K881">
        <f>'Revenue drivers'!K636</f>
        <v>0</v>
      </c>
      <c r="L881">
        <f>'Revenue drivers'!L636</f>
        <v>0</v>
      </c>
      <c r="M881">
        <f>'Revenue drivers'!M636</f>
        <v>0</v>
      </c>
      <c r="N881">
        <f>'Revenue drivers'!N636</f>
        <v>0</v>
      </c>
      <c r="O881">
        <f>'Revenue drivers'!O636</f>
        <v>0</v>
      </c>
      <c r="P881">
        <f>'Revenue drivers'!P636</f>
        <v>0</v>
      </c>
      <c r="Q881">
        <f>'Revenue drivers'!Q636</f>
        <v>0</v>
      </c>
      <c r="R881">
        <f>'Revenue drivers'!R636</f>
        <v>0</v>
      </c>
      <c r="S881">
        <f>'Revenue drivers'!S636</f>
        <v>0</v>
      </c>
      <c r="T881">
        <f>'Revenue drivers'!T636</f>
        <v>0</v>
      </c>
      <c r="U881">
        <f>'Revenue drivers'!U636</f>
        <v>0</v>
      </c>
      <c r="V881">
        <f>'Revenue drivers'!V636</f>
        <v>0.14099999999999999</v>
      </c>
      <c r="W881">
        <f>'Revenue drivers'!W636</f>
        <v>0.14299999999999999</v>
      </c>
      <c r="X881">
        <f>'Revenue drivers'!X636</f>
        <v>0.16326530612244897</v>
      </c>
      <c r="Y881">
        <f>'Revenue drivers'!Y636</f>
        <v>0.18206896551724139</v>
      </c>
      <c r="Z881">
        <f>'Revenue drivers'!Z636</f>
        <v>0.20069444444444443</v>
      </c>
      <c r="AA881">
        <f>'Revenue drivers'!AA636</f>
        <v>0.22013888888888891</v>
      </c>
      <c r="AB881">
        <f>'Revenue drivers'!AB636</f>
        <v>0.24</v>
      </c>
      <c r="AC881">
        <f>'Revenue drivers'!AC636</f>
        <v>0.26400000000000001</v>
      </c>
      <c r="AD881">
        <f>'Revenue drivers'!AD636</f>
        <v>0.28899999999999998</v>
      </c>
      <c r="AE881">
        <f>'Revenue drivers'!AE636</f>
        <v>0.317</v>
      </c>
      <c r="AF881">
        <f>'Revenue drivers'!AF636</f>
        <v>0.34399999999999997</v>
      </c>
      <c r="AG881">
        <f>'Revenue drivers'!AG636</f>
        <v>0.375</v>
      </c>
      <c r="AH881">
        <f>'Revenue drivers'!AH636</f>
        <v>0.40799999999999997</v>
      </c>
      <c r="AI881">
        <f>'Revenue drivers'!AI636</f>
        <v>0.44500000000000001</v>
      </c>
      <c r="AJ881">
        <f>'Revenue drivers'!AJ636</f>
        <v>0.47899999999999998</v>
      </c>
      <c r="AK881">
        <f>'Revenue drivers'!AK636</f>
        <v>0.51700000000000002</v>
      </c>
      <c r="AL881">
        <f>'Revenue drivers'!AL636</f>
        <v>0.55800000000000005</v>
      </c>
      <c r="AM881">
        <f>'Revenue drivers'!AM636</f>
        <v>0.6</v>
      </c>
      <c r="AN881">
        <f>'Revenue drivers'!AN636</f>
        <v>0</v>
      </c>
      <c r="AO881">
        <f>'Revenue drivers'!AO636</f>
        <v>0</v>
      </c>
      <c r="AP881">
        <f>'Revenue drivers'!AP636</f>
        <v>0</v>
      </c>
      <c r="AQ881">
        <f>'Revenue drivers'!AQ636</f>
        <v>0</v>
      </c>
      <c r="AR881">
        <f>'Revenue drivers'!AR636</f>
        <v>0</v>
      </c>
      <c r="AS881">
        <f>'Revenue drivers'!AS636</f>
        <v>0</v>
      </c>
      <c r="AT881">
        <f>'Revenue drivers'!AT636</f>
        <v>0</v>
      </c>
      <c r="AU881">
        <f>'Revenue drivers'!AU636</f>
        <v>0</v>
      </c>
      <c r="AV881">
        <f>'Revenue drivers'!AV636</f>
        <v>0</v>
      </c>
      <c r="AW881">
        <f>'Revenue drivers'!AW636</f>
        <v>0</v>
      </c>
      <c r="AX881">
        <f>'Revenue drivers'!AX636</f>
        <v>0</v>
      </c>
      <c r="AY881">
        <f>'Revenue drivers'!AY636</f>
        <v>0</v>
      </c>
      <c r="AZ881">
        <f>'Revenue drivers'!AZ636</f>
        <v>0</v>
      </c>
      <c r="BA881">
        <f>'Revenue drivers'!BA636</f>
        <v>0</v>
      </c>
      <c r="BB881">
        <f>'Revenue drivers'!BB636</f>
        <v>0</v>
      </c>
      <c r="BC881">
        <f>'Revenue drivers'!BC636</f>
        <v>0</v>
      </c>
      <c r="BD881">
        <f>'Revenue drivers'!BD636</f>
        <v>0</v>
      </c>
      <c r="BE881">
        <f>'Revenue drivers'!BE636</f>
        <v>0</v>
      </c>
      <c r="BF881">
        <f>'Revenue drivers'!BF636</f>
        <v>0</v>
      </c>
      <c r="BG881">
        <f>'Revenue drivers'!BG636</f>
        <v>0</v>
      </c>
      <c r="BH881">
        <f>'Revenue drivers'!BH636</f>
        <v>0</v>
      </c>
      <c r="BI881">
        <f>'Revenue drivers'!BI636</f>
        <v>0</v>
      </c>
      <c r="BJ881">
        <f>'Revenue drivers'!BJ636</f>
        <v>0</v>
      </c>
      <c r="BK881">
        <f>'Revenue drivers'!BK636</f>
        <v>9.9393939393939409E-2</v>
      </c>
      <c r="BL881">
        <f>'Revenue drivers'!BL636</f>
        <v>0.16400000000000001</v>
      </c>
      <c r="BM881">
        <f>'Revenue drivers'!BM636</f>
        <v>0</v>
      </c>
      <c r="BN881">
        <f>'Revenue drivers'!BN636</f>
        <v>0</v>
      </c>
      <c r="BO881">
        <f>'Revenue drivers'!BO636</f>
        <v>0</v>
      </c>
      <c r="BP881">
        <f>'Revenue drivers'!BP636</f>
        <v>0</v>
      </c>
      <c r="BQ881">
        <f>'Revenue drivers'!BQ636</f>
        <v>0</v>
      </c>
      <c r="BR881">
        <f>'Revenue drivers'!BR636</f>
        <v>0</v>
      </c>
      <c r="BS881">
        <f>'Revenue drivers'!BS636</f>
        <v>0</v>
      </c>
      <c r="BT881">
        <f>'Revenue drivers'!BT636</f>
        <v>0</v>
      </c>
      <c r="BU881">
        <f>'Revenue drivers'!BU636</f>
        <v>0</v>
      </c>
      <c r="BV881">
        <f>'Revenue drivers'!BV636</f>
        <v>0</v>
      </c>
      <c r="BW881">
        <f>'Revenue drivers'!BW636</f>
        <v>0</v>
      </c>
      <c r="BX881">
        <f>'Revenue drivers'!BX636</f>
        <v>0</v>
      </c>
      <c r="BY881">
        <f>'Revenue drivers'!BY636</f>
        <v>0</v>
      </c>
    </row>
    <row r="882" spans="9:77" ht="11.25" customHeight="1">
      <c r="I882" t="str">
        <f>'Revenue drivers'!I637</f>
        <v>% change Y/Y</v>
      </c>
      <c r="J882">
        <f>'Revenue drivers'!J637</f>
        <v>0</v>
      </c>
      <c r="K882">
        <f>'Revenue drivers'!K637</f>
        <v>0</v>
      </c>
      <c r="L882">
        <f>'Revenue drivers'!L637</f>
        <v>0</v>
      </c>
      <c r="M882">
        <f>'Revenue drivers'!M637</f>
        <v>0</v>
      </c>
      <c r="N882">
        <f>'Revenue drivers'!N637</f>
        <v>0</v>
      </c>
      <c r="O882">
        <f>'Revenue drivers'!O637</f>
        <v>0</v>
      </c>
      <c r="P882">
        <f>'Revenue drivers'!P637</f>
        <v>0</v>
      </c>
      <c r="Q882">
        <f>'Revenue drivers'!Q637</f>
        <v>0</v>
      </c>
      <c r="R882">
        <f>'Revenue drivers'!R637</f>
        <v>0</v>
      </c>
      <c r="S882">
        <f>'Revenue drivers'!S637</f>
        <v>0</v>
      </c>
      <c r="T882">
        <f>'Revenue drivers'!T637</f>
        <v>0</v>
      </c>
      <c r="U882">
        <f>'Revenue drivers'!U637</f>
        <v>0</v>
      </c>
      <c r="V882">
        <f>'Revenue drivers'!V637</f>
        <v>0.79</v>
      </c>
      <c r="W882">
        <f>'Revenue drivers'!W637</f>
        <v>0.56999999999999995</v>
      </c>
      <c r="X882">
        <f>'Revenue drivers'!X637</f>
        <v>0</v>
      </c>
      <c r="Y882">
        <f>'Revenue drivers'!Y637</f>
        <v>0.55000000000000004</v>
      </c>
      <c r="Z882">
        <f>'Revenue drivers'!Z637</f>
        <v>0.52</v>
      </c>
      <c r="AA882">
        <f>'Revenue drivers'!AA637</f>
        <v>0.54</v>
      </c>
      <c r="AB882">
        <f>'Revenue drivers'!AB637</f>
        <v>0.47</v>
      </c>
      <c r="AC882">
        <f>'Revenue drivers'!AC637</f>
        <v>0.45</v>
      </c>
      <c r="AD882">
        <f>'Revenue drivers'!AD637</f>
        <v>0.44</v>
      </c>
      <c r="AE882">
        <f>'Revenue drivers'!AE637</f>
        <v>0.44</v>
      </c>
      <c r="AF882">
        <f>'Revenue drivers'!AF637</f>
        <v>0.43</v>
      </c>
      <c r="AG882">
        <f>'Revenue drivers'!AG637</f>
        <v>0.42045454545454541</v>
      </c>
      <c r="AH882">
        <f>'Revenue drivers'!AH637</f>
        <v>0.41</v>
      </c>
      <c r="AI882">
        <f>'Revenue drivers'!AI637</f>
        <v>0.4</v>
      </c>
      <c r="AJ882">
        <f>'Revenue drivers'!AJ637</f>
        <v>0.39244186046511631</v>
      </c>
      <c r="AK882">
        <f>'Revenue drivers'!AK637</f>
        <v>0.38</v>
      </c>
      <c r="AL882">
        <f>'Revenue drivers'!AL637</f>
        <v>0.37</v>
      </c>
      <c r="AM882">
        <f>'Revenue drivers'!AM637</f>
        <v>0.35</v>
      </c>
      <c r="AN882">
        <f>'Revenue drivers'!AN637</f>
        <v>0</v>
      </c>
      <c r="AO882">
        <f>'Revenue drivers'!AO637</f>
        <v>0</v>
      </c>
      <c r="AP882">
        <f>'Revenue drivers'!AP637</f>
        <v>0</v>
      </c>
      <c r="AQ882">
        <f>'Revenue drivers'!AQ637</f>
        <v>0</v>
      </c>
      <c r="AR882">
        <f>'Revenue drivers'!AR637</f>
        <v>0</v>
      </c>
      <c r="AS882">
        <f>'Revenue drivers'!AS637</f>
        <v>0</v>
      </c>
      <c r="AT882">
        <f>'Revenue drivers'!AT637</f>
        <v>0</v>
      </c>
      <c r="AU882">
        <f>'Revenue drivers'!AU637</f>
        <v>0</v>
      </c>
      <c r="AV882">
        <f>'Revenue drivers'!AV637</f>
        <v>0</v>
      </c>
      <c r="AW882">
        <f>'Revenue drivers'!AW637</f>
        <v>0</v>
      </c>
      <c r="AX882">
        <f>'Revenue drivers'!AX637</f>
        <v>0</v>
      </c>
      <c r="AY882">
        <f>'Revenue drivers'!AY637</f>
        <v>0</v>
      </c>
      <c r="AZ882">
        <f>'Revenue drivers'!AZ637</f>
        <v>0</v>
      </c>
      <c r="BA882">
        <f>'Revenue drivers'!BA637</f>
        <v>0</v>
      </c>
      <c r="BB882">
        <f>'Revenue drivers'!BB637</f>
        <v>0</v>
      </c>
      <c r="BC882">
        <f>'Revenue drivers'!BC637</f>
        <v>0</v>
      </c>
      <c r="BD882">
        <f>'Revenue drivers'!BD637</f>
        <v>0</v>
      </c>
      <c r="BE882">
        <f>'Revenue drivers'!BE637</f>
        <v>0</v>
      </c>
      <c r="BF882">
        <f>'Revenue drivers'!BF637</f>
        <v>0</v>
      </c>
      <c r="BG882">
        <f>'Revenue drivers'!BG637</f>
        <v>0</v>
      </c>
      <c r="BH882">
        <f>'Revenue drivers'!BH637</f>
        <v>0</v>
      </c>
      <c r="BI882">
        <f>'Revenue drivers'!BI637</f>
        <v>0</v>
      </c>
      <c r="BJ882">
        <f>'Revenue drivers'!BJ637</f>
        <v>0</v>
      </c>
      <c r="BK882">
        <f>'Revenue drivers'!BK637</f>
        <v>0</v>
      </c>
      <c r="BL882">
        <f>'Revenue drivers'!BL637</f>
        <v>0.65</v>
      </c>
      <c r="BM882">
        <f>'Revenue drivers'!BM637</f>
        <v>0</v>
      </c>
      <c r="BN882">
        <f>'Revenue drivers'!BN637</f>
        <v>0</v>
      </c>
      <c r="BO882">
        <f>'Revenue drivers'!BO637</f>
        <v>0</v>
      </c>
      <c r="BP882">
        <f>'Revenue drivers'!BP637</f>
        <v>0</v>
      </c>
      <c r="BQ882">
        <f>'Revenue drivers'!BQ637</f>
        <v>0</v>
      </c>
      <c r="BR882">
        <f>'Revenue drivers'!BR637</f>
        <v>0</v>
      </c>
      <c r="BS882">
        <f>'Revenue drivers'!BS637</f>
        <v>0</v>
      </c>
      <c r="BT882">
        <f>'Revenue drivers'!BT637</f>
        <v>0</v>
      </c>
      <c r="BU882">
        <f>'Revenue drivers'!BU637</f>
        <v>0</v>
      </c>
      <c r="BV882">
        <f>'Revenue drivers'!BV637</f>
        <v>0</v>
      </c>
      <c r="BW882">
        <f>'Revenue drivers'!BW637</f>
        <v>0</v>
      </c>
      <c r="BX882">
        <f>'Revenue drivers'!BX637</f>
        <v>0</v>
      </c>
      <c r="BY882">
        <f>'Revenue drivers'!BY637</f>
        <v>0</v>
      </c>
    </row>
    <row r="883" spans="9:77" ht="11.25" customHeight="1">
      <c r="I883">
        <f>'Revenue drivers'!I638</f>
        <v>0</v>
      </c>
      <c r="J883">
        <f>'Revenue drivers'!J638</f>
        <v>0</v>
      </c>
      <c r="K883">
        <f>'Revenue drivers'!K638</f>
        <v>0</v>
      </c>
      <c r="L883">
        <f>'Revenue drivers'!L638</f>
        <v>0</v>
      </c>
      <c r="M883">
        <f>'Revenue drivers'!M638</f>
        <v>0</v>
      </c>
      <c r="N883">
        <f>'Revenue drivers'!N638</f>
        <v>0</v>
      </c>
      <c r="O883">
        <f>'Revenue drivers'!O638</f>
        <v>0</v>
      </c>
      <c r="P883">
        <f>'Revenue drivers'!P638</f>
        <v>0</v>
      </c>
      <c r="Q883">
        <f>'Revenue drivers'!Q638</f>
        <v>0</v>
      </c>
      <c r="R883">
        <f>'Revenue drivers'!R638</f>
        <v>0</v>
      </c>
      <c r="S883">
        <f>'Revenue drivers'!S638</f>
        <v>0</v>
      </c>
      <c r="T883">
        <f>'Revenue drivers'!T638</f>
        <v>0</v>
      </c>
      <c r="U883">
        <f>'Revenue drivers'!U638</f>
        <v>0</v>
      </c>
      <c r="V883">
        <f>'Revenue drivers'!V638</f>
        <v>0</v>
      </c>
      <c r="W883">
        <f>'Revenue drivers'!W638</f>
        <v>0</v>
      </c>
      <c r="X883">
        <f>'Revenue drivers'!X638</f>
        <v>0</v>
      </c>
      <c r="Y883">
        <f>'Revenue drivers'!Y638</f>
        <v>0</v>
      </c>
      <c r="Z883">
        <f>'Revenue drivers'!Z638</f>
        <v>0</v>
      </c>
      <c r="AA883">
        <f>'Revenue drivers'!AA638</f>
        <v>0</v>
      </c>
      <c r="AB883">
        <f>'Revenue drivers'!AB638</f>
        <v>0</v>
      </c>
      <c r="AC883">
        <f>'Revenue drivers'!AC638</f>
        <v>0</v>
      </c>
      <c r="AD883">
        <f>'Revenue drivers'!AD638</f>
        <v>0</v>
      </c>
      <c r="AE883">
        <f>'Revenue drivers'!AE638</f>
        <v>0</v>
      </c>
      <c r="AF883">
        <f>'Revenue drivers'!AF638</f>
        <v>0</v>
      </c>
      <c r="AG883">
        <f>'Revenue drivers'!AG638</f>
        <v>0</v>
      </c>
      <c r="AH883">
        <f>'Revenue drivers'!AH638</f>
        <v>0</v>
      </c>
      <c r="AI883">
        <f>'Revenue drivers'!AI638</f>
        <v>0</v>
      </c>
      <c r="AJ883">
        <f>'Revenue drivers'!AJ638</f>
        <v>0</v>
      </c>
      <c r="AK883">
        <f>'Revenue drivers'!AK638</f>
        <v>0</v>
      </c>
      <c r="AL883">
        <f>'Revenue drivers'!AL638</f>
        <v>0</v>
      </c>
      <c r="AM883">
        <f>'Revenue drivers'!AM638</f>
        <v>0</v>
      </c>
      <c r="AN883">
        <f>'Revenue drivers'!AN638</f>
        <v>0</v>
      </c>
      <c r="AO883">
        <f>'Revenue drivers'!AO638</f>
        <v>0</v>
      </c>
      <c r="AP883">
        <f>'Revenue drivers'!AP638</f>
        <v>0</v>
      </c>
      <c r="AQ883">
        <f>'Revenue drivers'!AQ638</f>
        <v>0</v>
      </c>
      <c r="AR883">
        <f>'Revenue drivers'!AR638</f>
        <v>0</v>
      </c>
      <c r="AS883">
        <f>'Revenue drivers'!AS638</f>
        <v>0</v>
      </c>
      <c r="AT883">
        <f>'Revenue drivers'!AT638</f>
        <v>0</v>
      </c>
      <c r="AU883">
        <f>'Revenue drivers'!AU638</f>
        <v>0</v>
      </c>
      <c r="AV883">
        <f>'Revenue drivers'!AV638</f>
        <v>0</v>
      </c>
      <c r="AW883">
        <f>'Revenue drivers'!AW638</f>
        <v>0</v>
      </c>
      <c r="AX883">
        <f>'Revenue drivers'!AX638</f>
        <v>0</v>
      </c>
      <c r="AY883">
        <f>'Revenue drivers'!AY638</f>
        <v>0</v>
      </c>
      <c r="AZ883">
        <f>'Revenue drivers'!AZ638</f>
        <v>0</v>
      </c>
      <c r="BA883">
        <f>'Revenue drivers'!BA638</f>
        <v>0</v>
      </c>
      <c r="BB883">
        <f>'Revenue drivers'!BB638</f>
        <v>0</v>
      </c>
      <c r="BC883">
        <f>'Revenue drivers'!BC638</f>
        <v>0</v>
      </c>
      <c r="BD883">
        <f>'Revenue drivers'!BD638</f>
        <v>0</v>
      </c>
      <c r="BE883">
        <f>'Revenue drivers'!BE638</f>
        <v>0</v>
      </c>
      <c r="BF883">
        <f>'Revenue drivers'!BF638</f>
        <v>0</v>
      </c>
      <c r="BG883">
        <f>'Revenue drivers'!BG638</f>
        <v>0</v>
      </c>
      <c r="BH883">
        <f>'Revenue drivers'!BH638</f>
        <v>0</v>
      </c>
      <c r="BI883">
        <f>'Revenue drivers'!BI638</f>
        <v>0</v>
      </c>
      <c r="BJ883">
        <f>'Revenue drivers'!BJ638</f>
        <v>0</v>
      </c>
      <c r="BK883">
        <f>'Revenue drivers'!BK638</f>
        <v>0</v>
      </c>
      <c r="BL883">
        <f>'Revenue drivers'!BL638</f>
        <v>0</v>
      </c>
      <c r="BM883">
        <f>'Revenue drivers'!BM638</f>
        <v>0</v>
      </c>
      <c r="BN883">
        <f>'Revenue drivers'!BN638</f>
        <v>0</v>
      </c>
      <c r="BO883">
        <f>'Revenue drivers'!BO638</f>
        <v>0</v>
      </c>
      <c r="BP883">
        <f>'Revenue drivers'!BP638</f>
        <v>0</v>
      </c>
      <c r="BQ883">
        <f>'Revenue drivers'!BQ638</f>
        <v>0</v>
      </c>
      <c r="BR883">
        <f>'Revenue drivers'!BR638</f>
        <v>0</v>
      </c>
      <c r="BS883">
        <f>'Revenue drivers'!BS638</f>
        <v>0</v>
      </c>
      <c r="BT883">
        <f>'Revenue drivers'!BT638</f>
        <v>0</v>
      </c>
      <c r="BU883">
        <f>'Revenue drivers'!BU638</f>
        <v>0</v>
      </c>
      <c r="BV883">
        <f>'Revenue drivers'!BV638</f>
        <v>0</v>
      </c>
      <c r="BW883">
        <f>'Revenue drivers'!BW638</f>
        <v>0</v>
      </c>
      <c r="BX883">
        <f>'Revenue drivers'!BX638</f>
        <v>0</v>
      </c>
      <c r="BY883">
        <f>'Revenue drivers'!BY638</f>
        <v>0</v>
      </c>
    </row>
    <row r="884" spans="9:77" ht="11.25" customHeight="1">
      <c r="I884" t="str">
        <f>'Revenue drivers'!I639</f>
        <v>Total Reported Cohort Revenue</v>
      </c>
      <c r="J884">
        <f>'Revenue drivers'!J639</f>
        <v>0</v>
      </c>
      <c r="K884">
        <f>'Revenue drivers'!K639</f>
        <v>0</v>
      </c>
      <c r="L884">
        <f>'Revenue drivers'!L639</f>
        <v>0</v>
      </c>
      <c r="M884">
        <f>'Revenue drivers'!M639</f>
        <v>0</v>
      </c>
      <c r="N884">
        <f>'Revenue drivers'!N639</f>
        <v>0</v>
      </c>
      <c r="O884">
        <f>'Revenue drivers'!O639</f>
        <v>0</v>
      </c>
      <c r="P884">
        <f>'Revenue drivers'!P639</f>
        <v>0</v>
      </c>
      <c r="Q884">
        <f>'Revenue drivers'!Q639</f>
        <v>0</v>
      </c>
      <c r="R884">
        <f>'Revenue drivers'!R639</f>
        <v>0</v>
      </c>
      <c r="S884">
        <f>'Revenue drivers'!S639</f>
        <v>0</v>
      </c>
      <c r="T884">
        <f>'Revenue drivers'!T639</f>
        <v>0</v>
      </c>
      <c r="U884">
        <f>'Revenue drivers'!U639</f>
        <v>18.907670420029302</v>
      </c>
      <c r="V884">
        <f>'Revenue drivers'!V639</f>
        <v>18.923999999999999</v>
      </c>
      <c r="W884">
        <f>'Revenue drivers'!W639</f>
        <v>24.281999999999996</v>
      </c>
      <c r="X884">
        <f>'Revenue drivers'!X639</f>
        <v>27.159325975486553</v>
      </c>
      <c r="Y884">
        <f>'Revenue drivers'!Y639</f>
        <v>30.878359517720131</v>
      </c>
      <c r="Z884">
        <f>'Revenue drivers'!Z639</f>
        <v>33.615996522838628</v>
      </c>
      <c r="AA884">
        <f>'Revenue drivers'!AA639</f>
        <v>40.27592040057435</v>
      </c>
      <c r="AB884">
        <f>'Revenue drivers'!AB639</f>
        <v>45.988</v>
      </c>
      <c r="AC884">
        <f>'Revenue drivers'!AC639</f>
        <v>51.837999999999994</v>
      </c>
      <c r="AD884">
        <f>'Revenue drivers'!AD639</f>
        <v>60.058</v>
      </c>
      <c r="AE884">
        <f>'Revenue drivers'!AE639</f>
        <v>67.025999999999996</v>
      </c>
      <c r="AF884">
        <f>'Revenue drivers'!AF639</f>
        <v>72.825999999999993</v>
      </c>
      <c r="AG884">
        <f>'Revenue drivers'!AG639</f>
        <v>77.262</v>
      </c>
      <c r="AH884">
        <f>'Revenue drivers'!AH639</f>
        <v>84.048000000000002</v>
      </c>
      <c r="AI884">
        <f>'Revenue drivers'!AI639</f>
        <v>89.77600000000001</v>
      </c>
      <c r="AJ884">
        <f>'Revenue drivers'!AJ639</f>
        <v>96.68</v>
      </c>
      <c r="AK884">
        <f>'Revenue drivers'!AK639</f>
        <v>105.038</v>
      </c>
      <c r="AL884">
        <f>'Revenue drivers'!AL639</f>
        <v>113.884</v>
      </c>
      <c r="AM884">
        <f>'Revenue drivers'!AM639</f>
        <v>122.274</v>
      </c>
      <c r="AN884">
        <f>'Revenue drivers'!AN639</f>
        <v>131.07834000000003</v>
      </c>
      <c r="AO884">
        <f>'Revenue drivers'!AO639</f>
        <v>141.44943999999998</v>
      </c>
      <c r="AP884">
        <f>'Revenue drivers'!AP639</f>
        <v>152.22622000000001</v>
      </c>
      <c r="AQ884">
        <f>'Revenue drivers'!AQ639</f>
        <v>162.27930000000001</v>
      </c>
      <c r="AR884">
        <f>'Revenue drivers'!AR639</f>
        <v>172.81424580000001</v>
      </c>
      <c r="AS884">
        <f>'Revenue drivers'!AS639</f>
        <v>185.19750039999997</v>
      </c>
      <c r="AT884">
        <f>'Revenue drivers'!AT639</f>
        <v>197.79068219999999</v>
      </c>
      <c r="AU884">
        <f>'Revenue drivers'!AU639</f>
        <v>209.31521579999998</v>
      </c>
      <c r="AV884">
        <f>'Revenue drivers'!AV639</f>
        <v>221.39277203399996</v>
      </c>
      <c r="AW884">
        <f>'Revenue drivers'!AW639</f>
        <v>235.57233875999995</v>
      </c>
      <c r="AX884">
        <f>'Revenue drivers'!AX639</f>
        <v>249.62210101799994</v>
      </c>
      <c r="AY884">
        <f>'Revenue drivers'!AY639</f>
        <v>262.18850754599993</v>
      </c>
      <c r="AZ884">
        <f>'Revenue drivers'!AZ639</f>
        <v>275.38729085825992</v>
      </c>
      <c r="BA884">
        <f>'Revenue drivers'!BA639</f>
        <v>290.88722279099989</v>
      </c>
      <c r="BB884">
        <f>'Revenue drivers'!BB639</f>
        <v>305.7535611854999</v>
      </c>
      <c r="BC884">
        <f>'Revenue drivers'!BC639</f>
        <v>318.6741673949399</v>
      </c>
      <c r="BD884">
        <f>'Revenue drivers'!BD639</f>
        <v>332.32280566709687</v>
      </c>
      <c r="BE884">
        <f>'Revenue drivers'!BE639</f>
        <v>0</v>
      </c>
      <c r="BF884">
        <f>'Revenue drivers'!BF639</f>
        <v>0</v>
      </c>
      <c r="BG884">
        <f>'Revenue drivers'!BG639</f>
        <v>0</v>
      </c>
      <c r="BH884">
        <f>'Revenue drivers'!BH639</f>
        <v>0</v>
      </c>
      <c r="BI884">
        <f>'Revenue drivers'!BI639</f>
        <v>0</v>
      </c>
      <c r="BJ884">
        <f>'Revenue drivers'!BJ639</f>
        <v>0</v>
      </c>
      <c r="BK884">
        <f>'Revenue drivers'!BK639</f>
        <v>0</v>
      </c>
      <c r="BL884">
        <f>'Revenue drivers'!BL639</f>
        <v>89.272996395515861</v>
      </c>
      <c r="BM884">
        <f>'Revenue drivers'!BM639</f>
        <v>150.75827644113312</v>
      </c>
      <c r="BN884">
        <f>'Revenue drivers'!BN639</f>
        <v>251.74799999999999</v>
      </c>
      <c r="BO884">
        <f>'Revenue drivers'!BO639</f>
        <v>347.76599999999996</v>
      </c>
      <c r="BP884">
        <f>'Revenue drivers'!BP639</f>
        <v>472.27434</v>
      </c>
      <c r="BQ884">
        <f>'Revenue drivers'!BQ639</f>
        <v>628.76920580000001</v>
      </c>
      <c r="BR884">
        <f>'Revenue drivers'!BR639</f>
        <v>813.6961704339999</v>
      </c>
      <c r="BS884">
        <f>'Revenue drivers'!BS639</f>
        <v>1022.7702381822596</v>
      </c>
      <c r="BT884">
        <f>'Revenue drivers'!BT639</f>
        <v>1247.6377570385366</v>
      </c>
      <c r="BU884">
        <f>'Revenue drivers'!BU639</f>
        <v>1498.023459496319</v>
      </c>
      <c r="BV884">
        <f>'Revenue drivers'!BV639</f>
        <v>1796.2123999902128</v>
      </c>
      <c r="BW884">
        <f>'Revenue drivers'!BW639</f>
        <v>2149.1807271468406</v>
      </c>
      <c r="BX884">
        <f>'Revenue drivers'!BX639</f>
        <v>2555.7642362245997</v>
      </c>
      <c r="BY884">
        <f>'Revenue drivers'!BY639</f>
        <v>3030.0146495152549</v>
      </c>
    </row>
    <row r="885" spans="9:77" ht="11.25" customHeight="1">
      <c r="I885" t="str">
        <f>'Revenue drivers'!I640</f>
        <v>% change Y/Y</v>
      </c>
      <c r="J885">
        <f>'Revenue drivers'!J640</f>
        <v>0</v>
      </c>
      <c r="K885">
        <f>'Revenue drivers'!K640</f>
        <v>0</v>
      </c>
      <c r="L885">
        <f>'Revenue drivers'!L640</f>
        <v>0</v>
      </c>
      <c r="M885">
        <f>'Revenue drivers'!M640</f>
        <v>0</v>
      </c>
      <c r="N885">
        <f>'Revenue drivers'!N640</f>
        <v>0</v>
      </c>
      <c r="O885">
        <f>'Revenue drivers'!O640</f>
        <v>0</v>
      </c>
      <c r="P885">
        <f>'Revenue drivers'!P640</f>
        <v>0</v>
      </c>
      <c r="Q885">
        <f>'Revenue drivers'!Q640</f>
        <v>0</v>
      </c>
      <c r="R885">
        <f>'Revenue drivers'!R640</f>
        <v>0</v>
      </c>
      <c r="S885">
        <f>'Revenue drivers'!S640</f>
        <v>0</v>
      </c>
      <c r="T885">
        <f>'Revenue drivers'!T640</f>
        <v>0</v>
      </c>
      <c r="U885">
        <f>'Revenue drivers'!U640</f>
        <v>0</v>
      </c>
      <c r="V885">
        <f>'Revenue drivers'!V640</f>
        <v>0</v>
      </c>
      <c r="W885">
        <f>'Revenue drivers'!W640</f>
        <v>0</v>
      </c>
      <c r="X885">
        <f>'Revenue drivers'!X640</f>
        <v>0</v>
      </c>
      <c r="Y885">
        <f>'Revenue drivers'!Y640</f>
        <v>0</v>
      </c>
      <c r="Z885">
        <f>'Revenue drivers'!Z640</f>
        <v>0.77636844868096744</v>
      </c>
      <c r="AA885">
        <f>'Revenue drivers'!AA640</f>
        <v>0.65867393133079455</v>
      </c>
      <c r="AB885">
        <f>'Revenue drivers'!AB640</f>
        <v>0.69326735286095897</v>
      </c>
      <c r="AC885">
        <f>'Revenue drivers'!AC640</f>
        <v>0.67878089411621034</v>
      </c>
      <c r="AD885">
        <f>'Revenue drivers'!AD640</f>
        <v>0.78658990398207407</v>
      </c>
      <c r="AE885">
        <f>'Revenue drivers'!AE640</f>
        <v>0.66417053498407896</v>
      </c>
      <c r="AF885">
        <f>'Revenue drivers'!AF640</f>
        <v>0.58358702270157425</v>
      </c>
      <c r="AG885">
        <f>'Revenue drivers'!AG640</f>
        <v>0.4904510204869017</v>
      </c>
      <c r="AH885">
        <f>'Revenue drivers'!AH640</f>
        <v>0.39944720103899578</v>
      </c>
      <c r="AI885">
        <f>'Revenue drivers'!AI640</f>
        <v>0.33942052337898754</v>
      </c>
      <c r="AJ885">
        <f>'Revenue drivers'!AJ640</f>
        <v>0.32754785378848239</v>
      </c>
      <c r="AK885">
        <f>'Revenue drivers'!AK640</f>
        <v>0.35950402526468372</v>
      </c>
      <c r="AL885">
        <f>'Revenue drivers'!AL640</f>
        <v>0.35498762611840839</v>
      </c>
      <c r="AM885">
        <f>'Revenue drivers'!AM640</f>
        <v>0.36198984138299761</v>
      </c>
      <c r="AN885">
        <f>'Revenue drivers'!AN640</f>
        <v>0.35579582126603237</v>
      </c>
      <c r="AO885">
        <f>'Revenue drivers'!AO640</f>
        <v>0.34665016470229815</v>
      </c>
      <c r="AP885">
        <f>'Revenue drivers'!AP640</f>
        <v>0.3366778476344352</v>
      </c>
      <c r="AQ885">
        <f>'Revenue drivers'!AQ640</f>
        <v>0.32717748662839208</v>
      </c>
      <c r="AR885">
        <f>'Revenue drivers'!AR640</f>
        <v>0.31840429013672256</v>
      </c>
      <c r="AS885">
        <f>'Revenue drivers'!AS640</f>
        <v>0.30928408341524705</v>
      </c>
      <c r="AT885">
        <f>'Revenue drivers'!AT640</f>
        <v>0.29932072280320687</v>
      </c>
      <c r="AU885">
        <f>'Revenue drivers'!AU640</f>
        <v>0.28984544424335068</v>
      </c>
      <c r="AV885">
        <f>'Revenue drivers'!AV640</f>
        <v>0.28110255615280955</v>
      </c>
      <c r="AW885">
        <f>'Revenue drivers'!AW640</f>
        <v>0.27200603815492963</v>
      </c>
      <c r="AX885">
        <f>'Revenue drivers'!AX640</f>
        <v>0.26205187343248837</v>
      </c>
      <c r="AY885">
        <f>'Revenue drivers'!AY640</f>
        <v>0.25260128148791727</v>
      </c>
      <c r="AZ885">
        <f>'Revenue drivers'!AZ640</f>
        <v>0.2438856441797832</v>
      </c>
      <c r="BA885">
        <f>'Revenue drivers'!BA640</f>
        <v>0.2348106077401324</v>
      </c>
      <c r="BB885">
        <f>'Revenue drivers'!BB640</f>
        <v>0.22486574681723548</v>
      </c>
      <c r="BC885">
        <f>'Revenue drivers'!BC640</f>
        <v>0.21543911431369578</v>
      </c>
      <c r="BD885">
        <f>'Revenue drivers'!BD640</f>
        <v>0.20674706748954974</v>
      </c>
      <c r="BE885">
        <f>'Revenue drivers'!BE640</f>
        <v>0</v>
      </c>
      <c r="BF885">
        <f>'Revenue drivers'!BF640</f>
        <v>0</v>
      </c>
      <c r="BG885">
        <f>'Revenue drivers'!BG640</f>
        <v>0</v>
      </c>
      <c r="BH885">
        <f>'Revenue drivers'!BH640</f>
        <v>0</v>
      </c>
      <c r="BI885">
        <f>'Revenue drivers'!BI640</f>
        <v>0</v>
      </c>
      <c r="BJ885">
        <f>'Revenue drivers'!BJ640</f>
        <v>0</v>
      </c>
      <c r="BK885">
        <f>'Revenue drivers'!BK640</f>
        <v>0</v>
      </c>
      <c r="BL885">
        <f>'Revenue drivers'!BL640</f>
        <v>0</v>
      </c>
      <c r="BM885">
        <f>'Revenue drivers'!BM640</f>
        <v>0.68873323992859325</v>
      </c>
      <c r="BN885">
        <f>'Revenue drivers'!BN640</f>
        <v>0.66987846997773626</v>
      </c>
      <c r="BO885">
        <f>'Revenue drivers'!BO640</f>
        <v>0.38140521473854805</v>
      </c>
      <c r="BP885">
        <f>'Revenue drivers'!BP640</f>
        <v>0.35802332602957176</v>
      </c>
      <c r="BQ885">
        <f>'Revenue drivers'!BQ640</f>
        <v>0.33136432057689191</v>
      </c>
      <c r="BR885">
        <f>'Revenue drivers'!BR640</f>
        <v>0.29410944894909785</v>
      </c>
      <c r="BS885">
        <f>'Revenue drivers'!BS640</f>
        <v>0.25694365457901336</v>
      </c>
      <c r="BT885">
        <f>'Revenue drivers'!BT640</f>
        <v>0.21986122636490446</v>
      </c>
      <c r="BU885">
        <f>'Revenue drivers'!BU640</f>
        <v>0.20068782067970758</v>
      </c>
      <c r="BV885">
        <f>'Revenue drivers'!BV640</f>
        <v>0.19905492040435324</v>
      </c>
      <c r="BW885">
        <f>'Revenue drivers'!BW640</f>
        <v>0.19650700950430533</v>
      </c>
      <c r="BX885">
        <f>'Revenue drivers'!BX640</f>
        <v>0.18918069752910993</v>
      </c>
      <c r="BY885">
        <f>'Revenue drivers'!BY640</f>
        <v>0.18556109619532934</v>
      </c>
    </row>
    <row r="886" spans="9:77" ht="11.25" customHeight="1">
      <c r="I886">
        <f>'Revenue drivers'!I641</f>
        <v>0</v>
      </c>
      <c r="J886">
        <f>'Revenue drivers'!J641</f>
        <v>0</v>
      </c>
      <c r="K886">
        <f>'Revenue drivers'!K641</f>
        <v>0</v>
      </c>
      <c r="L886">
        <f>'Revenue drivers'!L641</f>
        <v>0</v>
      </c>
      <c r="M886">
        <f>'Revenue drivers'!M641</f>
        <v>0</v>
      </c>
      <c r="N886">
        <f>'Revenue drivers'!N641</f>
        <v>0</v>
      </c>
      <c r="O886">
        <f>'Revenue drivers'!O641</f>
        <v>0</v>
      </c>
      <c r="P886">
        <f>'Revenue drivers'!P641</f>
        <v>0</v>
      </c>
      <c r="Q886">
        <f>'Revenue drivers'!Q641</f>
        <v>0</v>
      </c>
      <c r="R886">
        <f>'Revenue drivers'!R641</f>
        <v>0</v>
      </c>
      <c r="S886">
        <f>'Revenue drivers'!S641</f>
        <v>0</v>
      </c>
      <c r="T886">
        <f>'Revenue drivers'!T641</f>
        <v>0</v>
      </c>
      <c r="U886">
        <f>'Revenue drivers'!U641</f>
        <v>0</v>
      </c>
      <c r="V886">
        <f>'Revenue drivers'!V641</f>
        <v>0</v>
      </c>
      <c r="W886">
        <f>'Revenue drivers'!W641</f>
        <v>0</v>
      </c>
      <c r="X886">
        <f>'Revenue drivers'!X641</f>
        <v>0</v>
      </c>
      <c r="Y886">
        <f>'Revenue drivers'!Y641</f>
        <v>0</v>
      </c>
      <c r="Z886">
        <f>'Revenue drivers'!Z641</f>
        <v>0</v>
      </c>
      <c r="AA886">
        <f>'Revenue drivers'!AA641</f>
        <v>0</v>
      </c>
      <c r="AB886">
        <f>'Revenue drivers'!AB641</f>
        <v>0</v>
      </c>
      <c r="AC886">
        <f>'Revenue drivers'!AC641</f>
        <v>0</v>
      </c>
      <c r="AD886">
        <f>'Revenue drivers'!AD641</f>
        <v>0</v>
      </c>
      <c r="AE886">
        <f>'Revenue drivers'!AE641</f>
        <v>0</v>
      </c>
      <c r="AF886">
        <f>'Revenue drivers'!AF641</f>
        <v>0</v>
      </c>
      <c r="AG886">
        <f>'Revenue drivers'!AG641</f>
        <v>0</v>
      </c>
      <c r="AH886">
        <f>'Revenue drivers'!AH641</f>
        <v>0</v>
      </c>
      <c r="AI886">
        <f>'Revenue drivers'!AI641</f>
        <v>0</v>
      </c>
      <c r="AJ886">
        <f>'Revenue drivers'!AJ641</f>
        <v>0</v>
      </c>
      <c r="AK886">
        <f>'Revenue drivers'!AK641</f>
        <v>0</v>
      </c>
      <c r="AL886">
        <f>'Revenue drivers'!AL641</f>
        <v>0</v>
      </c>
      <c r="AM886">
        <f>'Revenue drivers'!AM641</f>
        <v>0</v>
      </c>
      <c r="AN886">
        <f>'Revenue drivers'!AN641</f>
        <v>0</v>
      </c>
      <c r="AO886">
        <f>'Revenue drivers'!AO641</f>
        <v>0</v>
      </c>
      <c r="AP886">
        <f>'Revenue drivers'!AP641</f>
        <v>0</v>
      </c>
      <c r="AQ886">
        <f>'Revenue drivers'!AQ641</f>
        <v>0</v>
      </c>
      <c r="AR886">
        <f>'Revenue drivers'!AR641</f>
        <v>0</v>
      </c>
      <c r="AS886">
        <f>'Revenue drivers'!AS641</f>
        <v>0</v>
      </c>
      <c r="AT886">
        <f>'Revenue drivers'!AT641</f>
        <v>0</v>
      </c>
      <c r="AU886">
        <f>'Revenue drivers'!AU641</f>
        <v>0</v>
      </c>
      <c r="AV886">
        <f>'Revenue drivers'!AV641</f>
        <v>0</v>
      </c>
      <c r="AW886">
        <f>'Revenue drivers'!AW641</f>
        <v>0</v>
      </c>
      <c r="AX886">
        <f>'Revenue drivers'!AX641</f>
        <v>0</v>
      </c>
      <c r="AY886">
        <f>'Revenue drivers'!AY641</f>
        <v>0</v>
      </c>
      <c r="AZ886">
        <f>'Revenue drivers'!AZ641</f>
        <v>0</v>
      </c>
      <c r="BA886">
        <f>'Revenue drivers'!BA641</f>
        <v>0</v>
      </c>
      <c r="BB886">
        <f>'Revenue drivers'!BB641</f>
        <v>0</v>
      </c>
      <c r="BC886">
        <f>'Revenue drivers'!BC641</f>
        <v>0</v>
      </c>
      <c r="BD886">
        <f>'Revenue drivers'!BD641</f>
        <v>0</v>
      </c>
      <c r="BE886">
        <f>'Revenue drivers'!BE641</f>
        <v>0</v>
      </c>
      <c r="BF886">
        <f>'Revenue drivers'!BF641</f>
        <v>0</v>
      </c>
      <c r="BG886">
        <f>'Revenue drivers'!BG641</f>
        <v>0</v>
      </c>
      <c r="BH886">
        <f>'Revenue drivers'!BH641</f>
        <v>0</v>
      </c>
      <c r="BI886">
        <f>'Revenue drivers'!BI641</f>
        <v>0</v>
      </c>
      <c r="BJ886">
        <f>'Revenue drivers'!BJ641</f>
        <v>0</v>
      </c>
      <c r="BK886">
        <f>'Revenue drivers'!BK641</f>
        <v>0</v>
      </c>
      <c r="BL886">
        <f>'Revenue drivers'!BL641</f>
        <v>0</v>
      </c>
      <c r="BM886">
        <f>'Revenue drivers'!BM641</f>
        <v>0</v>
      </c>
      <c r="BN886">
        <f>'Revenue drivers'!BN641</f>
        <v>0</v>
      </c>
      <c r="BO886">
        <f>'Revenue drivers'!BO641</f>
        <v>0</v>
      </c>
      <c r="BP886">
        <f>'Revenue drivers'!BP641</f>
        <v>0</v>
      </c>
      <c r="BQ886">
        <f>'Revenue drivers'!BQ641</f>
        <v>0</v>
      </c>
      <c r="BR886">
        <f>'Revenue drivers'!BR641</f>
        <v>0</v>
      </c>
      <c r="BS886">
        <f>'Revenue drivers'!BS641</f>
        <v>0</v>
      </c>
      <c r="BT886">
        <f>'Revenue drivers'!BT641</f>
        <v>0</v>
      </c>
      <c r="BU886">
        <f>'Revenue drivers'!BU641</f>
        <v>0</v>
      </c>
      <c r="BV886">
        <f>'Revenue drivers'!BV641</f>
        <v>0</v>
      </c>
      <c r="BW886">
        <f>'Revenue drivers'!BW641</f>
        <v>0</v>
      </c>
      <c r="BX886">
        <f>'Revenue drivers'!BX641</f>
        <v>0</v>
      </c>
      <c r="BY886">
        <f>'Revenue drivers'!BY641</f>
        <v>0</v>
      </c>
    </row>
    <row r="889" spans="9:77" ht="11.25" customHeight="1">
      <c r="I889" t="str">
        <f>'Revenue drivers'!I642</f>
        <v>2011-Present</v>
      </c>
      <c r="J889">
        <f>'Revenue drivers'!J642</f>
        <v>0</v>
      </c>
      <c r="K889">
        <f>'Revenue drivers'!K642</f>
        <v>0</v>
      </c>
      <c r="L889">
        <f>'Revenue drivers'!L642</f>
        <v>0</v>
      </c>
      <c r="M889">
        <f>'Revenue drivers'!M642</f>
        <v>0</v>
      </c>
      <c r="N889">
        <f>'Revenue drivers'!N642</f>
        <v>0</v>
      </c>
      <c r="O889">
        <f>'Revenue drivers'!O642</f>
        <v>0</v>
      </c>
      <c r="P889">
        <f>'Revenue drivers'!P642</f>
        <v>0</v>
      </c>
      <c r="Q889">
        <f>'Revenue drivers'!Q642</f>
        <v>0</v>
      </c>
      <c r="R889">
        <f>'Revenue drivers'!R642</f>
        <v>0</v>
      </c>
      <c r="S889">
        <f>'Revenue drivers'!S642</f>
        <v>0</v>
      </c>
      <c r="T889">
        <f>'Revenue drivers'!T642</f>
        <v>0</v>
      </c>
      <c r="U889">
        <f>'Revenue drivers'!U642</f>
        <v>0</v>
      </c>
      <c r="V889">
        <f>'Revenue drivers'!V642</f>
        <v>0</v>
      </c>
      <c r="W889">
        <f>'Revenue drivers'!W642</f>
        <v>0</v>
      </c>
      <c r="X889">
        <f>'Revenue drivers'!X642</f>
        <v>0</v>
      </c>
      <c r="Y889">
        <f>'Revenue drivers'!Y642</f>
        <v>0</v>
      </c>
      <c r="Z889">
        <f>'Revenue drivers'!Z642</f>
        <v>0</v>
      </c>
      <c r="AA889">
        <f>'Revenue drivers'!AA642</f>
        <v>0</v>
      </c>
      <c r="AB889">
        <f>'Revenue drivers'!AB642</f>
        <v>0</v>
      </c>
      <c r="AC889">
        <f>'Revenue drivers'!AC642</f>
        <v>0</v>
      </c>
      <c r="AD889">
        <f>'Revenue drivers'!AD642</f>
        <v>0</v>
      </c>
      <c r="AE889">
        <f>'Revenue drivers'!AE642</f>
        <v>0</v>
      </c>
      <c r="AF889">
        <f>'Revenue drivers'!AF642</f>
        <v>0</v>
      </c>
      <c r="AG889">
        <f>'Revenue drivers'!AG642</f>
        <v>0</v>
      </c>
      <c r="AH889">
        <f>'Revenue drivers'!AH642</f>
        <v>0</v>
      </c>
      <c r="AI889">
        <f>'Revenue drivers'!AI642</f>
        <v>0</v>
      </c>
      <c r="AJ889">
        <f>'Revenue drivers'!AJ642</f>
        <v>0</v>
      </c>
      <c r="AK889">
        <f>'Revenue drivers'!AK642</f>
        <v>0</v>
      </c>
      <c r="AL889">
        <f>'Revenue drivers'!AL642</f>
        <v>0</v>
      </c>
      <c r="AM889">
        <f>'Revenue drivers'!AM642</f>
        <v>0</v>
      </c>
      <c r="AN889">
        <f>'Revenue drivers'!AN642</f>
        <v>0</v>
      </c>
      <c r="AO889">
        <f>'Revenue drivers'!AO642</f>
        <v>0</v>
      </c>
      <c r="AP889">
        <f>'Revenue drivers'!AP642</f>
        <v>0</v>
      </c>
      <c r="AQ889">
        <f>'Revenue drivers'!AQ642</f>
        <v>0</v>
      </c>
      <c r="AR889">
        <f>'Revenue drivers'!AR642</f>
        <v>0</v>
      </c>
      <c r="AS889">
        <f>'Revenue drivers'!AS642</f>
        <v>0</v>
      </c>
      <c r="AT889">
        <f>'Revenue drivers'!AT642</f>
        <v>0</v>
      </c>
      <c r="AU889">
        <f>'Revenue drivers'!AU642</f>
        <v>0</v>
      </c>
      <c r="AV889">
        <f>'Revenue drivers'!AV642</f>
        <v>0</v>
      </c>
      <c r="AW889">
        <f>'Revenue drivers'!AW642</f>
        <v>0</v>
      </c>
      <c r="AX889">
        <f>'Revenue drivers'!AX642</f>
        <v>0</v>
      </c>
      <c r="AY889">
        <f>'Revenue drivers'!AY642</f>
        <v>0</v>
      </c>
      <c r="AZ889">
        <f>'Revenue drivers'!AZ642</f>
        <v>0</v>
      </c>
      <c r="BA889">
        <f>'Revenue drivers'!BA642</f>
        <v>0</v>
      </c>
      <c r="BB889">
        <f>'Revenue drivers'!BB642</f>
        <v>0</v>
      </c>
      <c r="BC889">
        <f>'Revenue drivers'!BC642</f>
        <v>0</v>
      </c>
      <c r="BD889">
        <f>'Revenue drivers'!BD642</f>
        <v>0</v>
      </c>
      <c r="BE889">
        <f>'Revenue drivers'!BE642</f>
        <v>0</v>
      </c>
      <c r="BF889">
        <f>'Revenue drivers'!BF642</f>
        <v>0</v>
      </c>
      <c r="BG889">
        <f>'Revenue drivers'!BG642</f>
        <v>0</v>
      </c>
      <c r="BH889">
        <f>'Revenue drivers'!BH642</f>
        <v>0</v>
      </c>
      <c r="BI889">
        <f>'Revenue drivers'!BI642</f>
        <v>0</v>
      </c>
      <c r="BJ889">
        <f>'Revenue drivers'!BJ642</f>
        <v>0</v>
      </c>
      <c r="BK889">
        <f>'Revenue drivers'!BK642</f>
        <v>0</v>
      </c>
      <c r="BL889">
        <f>'Revenue drivers'!BL642</f>
        <v>0</v>
      </c>
      <c r="BM889">
        <f>'Revenue drivers'!BM642</f>
        <v>0</v>
      </c>
      <c r="BN889">
        <f>'Revenue drivers'!BN642</f>
        <v>0</v>
      </c>
      <c r="BO889">
        <f>'Revenue drivers'!BO642</f>
        <v>0</v>
      </c>
      <c r="BP889">
        <f>'Revenue drivers'!BP642</f>
        <v>0</v>
      </c>
      <c r="BQ889">
        <f>'Revenue drivers'!BQ642</f>
        <v>0</v>
      </c>
      <c r="BR889">
        <f>'Revenue drivers'!BR642</f>
        <v>0</v>
      </c>
      <c r="BS889">
        <f>'Revenue drivers'!BS642</f>
        <v>0</v>
      </c>
      <c r="BT889">
        <f>'Revenue drivers'!BT642</f>
        <v>0</v>
      </c>
      <c r="BU889">
        <f>'Revenue drivers'!BU642</f>
        <v>0</v>
      </c>
      <c r="BV889">
        <f>'Revenue drivers'!BV642</f>
        <v>0</v>
      </c>
      <c r="BW889">
        <f>'Revenue drivers'!BW642</f>
        <v>0</v>
      </c>
      <c r="BX889">
        <f>'Revenue drivers'!BX642</f>
        <v>0</v>
      </c>
      <c r="BY889">
        <f>'Revenue drivers'!BY642</f>
        <v>0</v>
      </c>
    </row>
    <row r="890" spans="9:77" ht="11.25" customHeight="1">
      <c r="I890">
        <f>'Revenue drivers'!I643</f>
        <v>0</v>
      </c>
      <c r="J890">
        <f>'Revenue drivers'!J643</f>
        <v>0</v>
      </c>
      <c r="K890">
        <f>'Revenue drivers'!K643</f>
        <v>0</v>
      </c>
      <c r="L890">
        <f>'Revenue drivers'!L643</f>
        <v>0</v>
      </c>
      <c r="M890">
        <f>'Revenue drivers'!M643</f>
        <v>0</v>
      </c>
      <c r="N890">
        <f>'Revenue drivers'!N643</f>
        <v>0</v>
      </c>
      <c r="O890">
        <f>'Revenue drivers'!O643</f>
        <v>0</v>
      </c>
      <c r="P890">
        <f>'Revenue drivers'!P643</f>
        <v>0</v>
      </c>
      <c r="Q890">
        <f>'Revenue drivers'!Q643</f>
        <v>0</v>
      </c>
      <c r="R890">
        <f>'Revenue drivers'!R643</f>
        <v>0</v>
      </c>
      <c r="S890">
        <f>'Revenue drivers'!S643</f>
        <v>0</v>
      </c>
      <c r="T890">
        <f>'Revenue drivers'!T643</f>
        <v>0</v>
      </c>
      <c r="U890">
        <f>'Revenue drivers'!U643</f>
        <v>0</v>
      </c>
      <c r="V890">
        <f>'Revenue drivers'!V643</f>
        <v>0</v>
      </c>
      <c r="W890">
        <f>'Revenue drivers'!W643</f>
        <v>0</v>
      </c>
      <c r="X890">
        <f>'Revenue drivers'!X643</f>
        <v>0</v>
      </c>
      <c r="Y890">
        <f>'Revenue drivers'!Y643</f>
        <v>0</v>
      </c>
      <c r="Z890">
        <f>'Revenue drivers'!Z643</f>
        <v>0</v>
      </c>
      <c r="AA890">
        <f>'Revenue drivers'!AA643</f>
        <v>0</v>
      </c>
      <c r="AB890">
        <f>'Revenue drivers'!AB643</f>
        <v>0</v>
      </c>
      <c r="AC890">
        <f>'Revenue drivers'!AC643</f>
        <v>0</v>
      </c>
      <c r="AD890">
        <f>'Revenue drivers'!AD643</f>
        <v>0</v>
      </c>
      <c r="AE890">
        <f>'Revenue drivers'!AE643</f>
        <v>0</v>
      </c>
      <c r="AF890">
        <f>'Revenue drivers'!AF643</f>
        <v>0</v>
      </c>
      <c r="AG890">
        <f>'Revenue drivers'!AG643</f>
        <v>0</v>
      </c>
      <c r="AH890">
        <f>'Revenue drivers'!AH643</f>
        <v>0</v>
      </c>
      <c r="AI890">
        <f>'Revenue drivers'!AI643</f>
        <v>0</v>
      </c>
      <c r="AJ890">
        <f>'Revenue drivers'!AJ643</f>
        <v>0</v>
      </c>
      <c r="AK890">
        <f>'Revenue drivers'!AK643</f>
        <v>0</v>
      </c>
      <c r="AL890">
        <f>'Revenue drivers'!AL643</f>
        <v>0</v>
      </c>
      <c r="AM890">
        <f>'Revenue drivers'!AM643</f>
        <v>0</v>
      </c>
      <c r="AN890">
        <f>'Revenue drivers'!AN643</f>
        <v>0</v>
      </c>
      <c r="AO890">
        <f>'Revenue drivers'!AO643</f>
        <v>0</v>
      </c>
      <c r="AP890">
        <f>'Revenue drivers'!AP643</f>
        <v>0</v>
      </c>
      <c r="AQ890">
        <f>'Revenue drivers'!AQ643</f>
        <v>0</v>
      </c>
      <c r="AR890">
        <f>'Revenue drivers'!AR643</f>
        <v>0</v>
      </c>
      <c r="AS890">
        <f>'Revenue drivers'!AS643</f>
        <v>0</v>
      </c>
      <c r="AT890">
        <f>'Revenue drivers'!AT643</f>
        <v>0</v>
      </c>
      <c r="AU890">
        <f>'Revenue drivers'!AU643</f>
        <v>0</v>
      </c>
      <c r="AV890">
        <f>'Revenue drivers'!AV643</f>
        <v>0</v>
      </c>
      <c r="AW890">
        <f>'Revenue drivers'!AW643</f>
        <v>0</v>
      </c>
      <c r="AX890">
        <f>'Revenue drivers'!AX643</f>
        <v>0</v>
      </c>
      <c r="AY890">
        <f>'Revenue drivers'!AY643</f>
        <v>0</v>
      </c>
      <c r="AZ890">
        <f>'Revenue drivers'!AZ643</f>
        <v>0</v>
      </c>
      <c r="BA890">
        <f>'Revenue drivers'!BA643</f>
        <v>0</v>
      </c>
      <c r="BB890">
        <f>'Revenue drivers'!BB643</f>
        <v>0</v>
      </c>
      <c r="BC890">
        <f>'Revenue drivers'!BC643</f>
        <v>0</v>
      </c>
      <c r="BD890">
        <f>'Revenue drivers'!BD643</f>
        <v>0</v>
      </c>
      <c r="BE890">
        <f>'Revenue drivers'!BE643</f>
        <v>0</v>
      </c>
      <c r="BF890">
        <f>'Revenue drivers'!BF643</f>
        <v>0</v>
      </c>
      <c r="BG890">
        <f>'Revenue drivers'!BG643</f>
        <v>0</v>
      </c>
      <c r="BH890">
        <f>'Revenue drivers'!BH643</f>
        <v>0</v>
      </c>
      <c r="BI890">
        <f>'Revenue drivers'!BI643</f>
        <v>0</v>
      </c>
      <c r="BJ890">
        <f>'Revenue drivers'!BJ643</f>
        <v>0</v>
      </c>
      <c r="BK890">
        <f>'Revenue drivers'!BK643</f>
        <v>0</v>
      </c>
      <c r="BL890">
        <f>'Revenue drivers'!BL643</f>
        <v>0</v>
      </c>
      <c r="BM890">
        <f>'Revenue drivers'!BM643</f>
        <v>0</v>
      </c>
      <c r="BN890">
        <f>'Revenue drivers'!BN643</f>
        <v>0</v>
      </c>
      <c r="BO890">
        <f>'Revenue drivers'!BO643</f>
        <v>0</v>
      </c>
      <c r="BP890">
        <f>'Revenue drivers'!BP643</f>
        <v>0</v>
      </c>
      <c r="BQ890">
        <f>'Revenue drivers'!BQ643</f>
        <v>0</v>
      </c>
      <c r="BR890">
        <f>'Revenue drivers'!BR643</f>
        <v>0</v>
      </c>
      <c r="BS890">
        <f>'Revenue drivers'!BS643</f>
        <v>0</v>
      </c>
      <c r="BT890">
        <f>'Revenue drivers'!BT643</f>
        <v>0</v>
      </c>
      <c r="BU890">
        <f>'Revenue drivers'!BU643</f>
        <v>0</v>
      </c>
      <c r="BV890">
        <f>'Revenue drivers'!BV643</f>
        <v>0</v>
      </c>
      <c r="BW890">
        <f>'Revenue drivers'!BW643</f>
        <v>0</v>
      </c>
      <c r="BX890">
        <f>'Revenue drivers'!BX643</f>
        <v>0</v>
      </c>
      <c r="BY890">
        <f>'Revenue drivers'!BY643</f>
        <v>0</v>
      </c>
    </row>
    <row r="891" spans="9:77" ht="11.25" customHeight="1">
      <c r="I891" t="str">
        <f>'Revenue drivers'!I644</f>
        <v>Implied 2011 Cohort Local Revenue</v>
      </c>
      <c r="J891">
        <f>'Revenue drivers'!J644</f>
        <v>0</v>
      </c>
      <c r="K891">
        <f>'Revenue drivers'!K644</f>
        <v>0</v>
      </c>
      <c r="L891">
        <f>'Revenue drivers'!L644</f>
        <v>0</v>
      </c>
      <c r="M891">
        <f>'Revenue drivers'!M644</f>
        <v>0</v>
      </c>
      <c r="N891">
        <f>'Revenue drivers'!N644</f>
        <v>0</v>
      </c>
      <c r="O891">
        <f>'Revenue drivers'!O644</f>
        <v>0</v>
      </c>
      <c r="P891">
        <f>'Revenue drivers'!P644</f>
        <v>0</v>
      </c>
      <c r="Q891">
        <f>'Revenue drivers'!Q644</f>
        <v>0</v>
      </c>
      <c r="R891">
        <f>'Revenue drivers'!R644</f>
        <v>0</v>
      </c>
      <c r="S891">
        <f>'Revenue drivers'!S644</f>
        <v>0</v>
      </c>
      <c r="T891">
        <f>'Revenue drivers'!T644</f>
        <v>0</v>
      </c>
      <c r="U891">
        <f>'Revenue drivers'!U644</f>
        <v>2.5653295799706974</v>
      </c>
      <c r="V891">
        <f>'Revenue drivers'!V644</f>
        <v>6.3309999999999995</v>
      </c>
      <c r="W891">
        <f>'Revenue drivers'!W644</f>
        <v>4.203000000000003</v>
      </c>
      <c r="X891">
        <f>'Revenue drivers'!X644</f>
        <v>6.7856740245134475</v>
      </c>
      <c r="Y891">
        <f>'Revenue drivers'!Y644</f>
        <v>5.680990482279868</v>
      </c>
      <c r="Z891">
        <f>'Revenue drivers'!Z644</f>
        <v>8.4328534771613679</v>
      </c>
      <c r="AA891">
        <f>'Revenue drivers'!AA644</f>
        <v>7.8320295994256517</v>
      </c>
      <c r="AB891">
        <f>'Revenue drivers'!AB644</f>
        <v>9.4499130000000005</v>
      </c>
      <c r="AC891">
        <f>'Revenue drivers'!AC644</f>
        <v>10.840569000000009</v>
      </c>
      <c r="AD891">
        <f>'Revenue drivers'!AD644</f>
        <v>12.963390000000002</v>
      </c>
      <c r="AE891">
        <f>'Revenue drivers'!AE644</f>
        <v>15.032350000000008</v>
      </c>
      <c r="AF891">
        <f>'Revenue drivers'!AF644</f>
        <v>16.97739</v>
      </c>
      <c r="AG891">
        <f>'Revenue drivers'!AG644</f>
        <v>18.107999999999993</v>
      </c>
      <c r="AH891">
        <f>'Revenue drivers'!AH644</f>
        <v>20.834000000000003</v>
      </c>
      <c r="AI891">
        <f>'Revenue drivers'!AI644</f>
        <v>23.255999999999993</v>
      </c>
      <c r="AJ891">
        <f>'Revenue drivers'!AJ644</f>
        <v>26.170999999999992</v>
      </c>
      <c r="AK891">
        <f>'Revenue drivers'!AK644</f>
        <v>29.878000000000018</v>
      </c>
      <c r="AL891">
        <f>'Revenue drivers'!AL644</f>
        <v>34.294999999999987</v>
      </c>
      <c r="AM891">
        <f>'Revenue drivers'!AM644</f>
        <v>37.425999999999995</v>
      </c>
      <c r="AN891">
        <f>'Revenue drivers'!AN644</f>
        <v>36.12165999999997</v>
      </c>
      <c r="AO891">
        <f>'Revenue drivers'!AO644</f>
        <v>35.550560000000019</v>
      </c>
      <c r="AP891">
        <f>'Revenue drivers'!AP644</f>
        <v>35.652779999999979</v>
      </c>
      <c r="AQ891">
        <f>'Revenue drivers'!AQ644</f>
        <v>35.320699999999988</v>
      </c>
      <c r="AR891">
        <f>'Revenue drivers'!AR644</f>
        <v>36.285754199999985</v>
      </c>
      <c r="AS891">
        <f>'Revenue drivers'!AS644</f>
        <v>27.802499600000033</v>
      </c>
      <c r="AT891">
        <f>'Revenue drivers'!AT644</f>
        <v>27.088317799999999</v>
      </c>
      <c r="AU891">
        <f>'Revenue drivers'!AU644</f>
        <v>25.284784200000018</v>
      </c>
      <c r="AV891">
        <f>'Revenue drivers'!AV644</f>
        <v>23.707227966000033</v>
      </c>
      <c r="AW891">
        <f>'Revenue drivers'!AW644</f>
        <v>14.427661240000049</v>
      </c>
      <c r="AX891">
        <f>'Revenue drivers'!AX644</f>
        <v>12.256898982000081</v>
      </c>
      <c r="AY891">
        <f>'Revenue drivers'!AY644</f>
        <v>9.411492454000097</v>
      </c>
      <c r="AZ891">
        <f>'Revenue drivers'!AZ644</f>
        <v>6.7127091417401061</v>
      </c>
      <c r="BA891">
        <f>'Revenue drivers'!BA644</f>
        <v>-3.8872227909998855</v>
      </c>
      <c r="BB891">
        <f>'Revenue drivers'!BB644</f>
        <v>-6.8745611854998856</v>
      </c>
      <c r="BC891">
        <f>'Revenue drivers'!BC644</f>
        <v>-10.074167394939877</v>
      </c>
      <c r="BD891">
        <f>'Revenue drivers'!BD644</f>
        <v>-13.22280566709685</v>
      </c>
      <c r="BE891">
        <f>'Revenue drivers'!BE644</f>
        <v>0</v>
      </c>
      <c r="BF891">
        <f>'Revenue drivers'!BF644</f>
        <v>0</v>
      </c>
      <c r="BG891">
        <f>'Revenue drivers'!BG644</f>
        <v>0</v>
      </c>
      <c r="BH891">
        <f>'Revenue drivers'!BH644</f>
        <v>0</v>
      </c>
      <c r="BI891">
        <f>'Revenue drivers'!BI644</f>
        <v>0</v>
      </c>
      <c r="BJ891">
        <f>'Revenue drivers'!BJ644</f>
        <v>0</v>
      </c>
      <c r="BK891">
        <f>'Revenue drivers'!BK644</f>
        <v>0</v>
      </c>
      <c r="BL891">
        <f>'Revenue drivers'!BL644</f>
        <v>19.885003604484126</v>
      </c>
      <c r="BM891">
        <f>'Revenue drivers'!BM644</f>
        <v>31.395786558866874</v>
      </c>
      <c r="BN891">
        <f>'Revenue drivers'!BN644</f>
        <v>55.813698999999971</v>
      </c>
      <c r="BO891">
        <f>'Revenue drivers'!BO644</f>
        <v>88.369000000000057</v>
      </c>
      <c r="BP891">
        <f>'Revenue drivers'!BP644</f>
        <v>137.72066000000007</v>
      </c>
      <c r="BQ891">
        <f>'Revenue drivers'!BQ644</f>
        <v>142.80979420000006</v>
      </c>
      <c r="BR891">
        <f>'Revenue drivers'!BR644</f>
        <v>103.88282956600017</v>
      </c>
      <c r="BS891">
        <f>'Revenue drivers'!BS644</f>
        <v>42.80876181774056</v>
      </c>
      <c r="BT891">
        <f>'Revenue drivers'!BT644</f>
        <v>-34.058757038536442</v>
      </c>
      <c r="BU891">
        <f>'Revenue drivers'!BU644</f>
        <v>-182.45645949631881</v>
      </c>
      <c r="BV891">
        <f>'Revenue drivers'!BV644</f>
        <v>-359.38539999021265</v>
      </c>
      <c r="BW891">
        <f>'Revenue drivers'!BW644</f>
        <v>-606.01372714684044</v>
      </c>
      <c r="BX891">
        <f>'Revenue drivers'!BX644</f>
        <v>-911.17723622459948</v>
      </c>
      <c r="BY891">
        <f>'Revenue drivers'!BY644</f>
        <v>-1287.9476495152546</v>
      </c>
    </row>
    <row r="892" spans="9:77" ht="11.25" customHeight="1">
      <c r="I892" t="str">
        <f>'Revenue drivers'!I645</f>
        <v>% change Y/Y</v>
      </c>
      <c r="J892">
        <f>'Revenue drivers'!J645</f>
        <v>0</v>
      </c>
      <c r="K892">
        <f>'Revenue drivers'!K645</f>
        <v>0</v>
      </c>
      <c r="L892">
        <f>'Revenue drivers'!L645</f>
        <v>0</v>
      </c>
      <c r="M892">
        <f>'Revenue drivers'!M645</f>
        <v>0</v>
      </c>
      <c r="N892">
        <f>'Revenue drivers'!N645</f>
        <v>0</v>
      </c>
      <c r="O892">
        <f>'Revenue drivers'!O645</f>
        <v>0</v>
      </c>
      <c r="P892">
        <f>'Revenue drivers'!P645</f>
        <v>0</v>
      </c>
      <c r="Q892">
        <f>'Revenue drivers'!Q645</f>
        <v>0</v>
      </c>
      <c r="R892">
        <f>'Revenue drivers'!R645</f>
        <v>0</v>
      </c>
      <c r="S892">
        <f>'Revenue drivers'!S645</f>
        <v>0</v>
      </c>
      <c r="T892">
        <f>'Revenue drivers'!T645</f>
        <v>0</v>
      </c>
      <c r="U892">
        <f>'Revenue drivers'!U645</f>
        <v>0</v>
      </c>
      <c r="V892">
        <f>'Revenue drivers'!V645</f>
        <v>0</v>
      </c>
      <c r="W892">
        <f>'Revenue drivers'!W645</f>
        <v>0</v>
      </c>
      <c r="X892">
        <f>'Revenue drivers'!X645</f>
        <v>0</v>
      </c>
      <c r="Y892">
        <f>'Revenue drivers'!Y645</f>
        <v>1.2145265569910744</v>
      </c>
      <c r="Z892">
        <f>'Revenue drivers'!Z645</f>
        <v>0.33199391520476529</v>
      </c>
      <c r="AA892">
        <f>'Revenue drivers'!AA645</f>
        <v>0.86343792515480522</v>
      </c>
      <c r="AB892">
        <f>'Revenue drivers'!AB645</f>
        <v>0.39262702067059374</v>
      </c>
      <c r="AC892">
        <f>'Revenue drivers'!AC645</f>
        <v>0.90821812390178902</v>
      </c>
      <c r="AD892">
        <f>'Revenue drivers'!AD645</f>
        <v>0.53724833890552603</v>
      </c>
      <c r="AE892">
        <f>'Revenue drivers'!AE645</f>
        <v>0.91934284838535074</v>
      </c>
      <c r="AF892">
        <f>'Revenue drivers'!AF645</f>
        <v>0.79656574616083753</v>
      </c>
      <c r="AG892">
        <f>'Revenue drivers'!AG645</f>
        <v>0.6703920246252737</v>
      </c>
      <c r="AH892">
        <f>'Revenue drivers'!AH645</f>
        <v>0.60714134188665159</v>
      </c>
      <c r="AI892">
        <f>'Revenue drivers'!AI645</f>
        <v>0.54706349971893831</v>
      </c>
      <c r="AJ892">
        <f>'Revenue drivers'!AJ645</f>
        <v>0.54152081091380899</v>
      </c>
      <c r="AK892">
        <f>'Revenue drivers'!AK645</f>
        <v>0.64998895515794275</v>
      </c>
      <c r="AL892">
        <f>'Revenue drivers'!AL645</f>
        <v>0.64610732456561304</v>
      </c>
      <c r="AM892">
        <f>'Revenue drivers'!AM645</f>
        <v>0.60930512555899585</v>
      </c>
      <c r="AN892">
        <f>'Revenue drivers'!AN645</f>
        <v>0.38021703412173702</v>
      </c>
      <c r="AO892">
        <f>'Revenue drivers'!AO645</f>
        <v>0.18985742017537977</v>
      </c>
      <c r="AP892">
        <f>'Revenue drivers'!AP645</f>
        <v>3.9591194051610712E-2</v>
      </c>
      <c r="AQ892">
        <f>'Revenue drivers'!AQ645</f>
        <v>-5.6252337946882003E-2</v>
      </c>
      <c r="AR892">
        <f>'Revenue drivers'!AR645</f>
        <v>4.5428200143629027E-3</v>
      </c>
      <c r="AS892">
        <f>'Revenue drivers'!AS645</f>
        <v>-0.21794481999720905</v>
      </c>
      <c r="AT892">
        <f>'Revenue drivers'!AT645</f>
        <v>-0.24021863652708109</v>
      </c>
      <c r="AU892">
        <f>'Revenue drivers'!AU645</f>
        <v>-0.2841369451907797</v>
      </c>
      <c r="AV892">
        <f>'Revenue drivers'!AV645</f>
        <v>-0.34665191647029225</v>
      </c>
      <c r="AW892">
        <f>'Revenue drivers'!AW645</f>
        <v>-0.48106603911253965</v>
      </c>
      <c r="AX892">
        <f>'Revenue drivers'!AX645</f>
        <v>-0.54752085114712878</v>
      </c>
      <c r="AY892">
        <f>'Revenue drivers'!AY645</f>
        <v>-0.6277803923673555</v>
      </c>
      <c r="AZ892">
        <f>'Revenue drivers'!AZ645</f>
        <v>-0.7168496818199408</v>
      </c>
      <c r="BA892">
        <f>'Revenue drivers'!BA645</f>
        <v>-1.2694284767528872</v>
      </c>
      <c r="BB892">
        <f>'Revenue drivers'!BB645</f>
        <v>-1.560872794627381</v>
      </c>
      <c r="BC892">
        <f>'Revenue drivers'!BC645</f>
        <v>-2.0704112492443354</v>
      </c>
      <c r="BD892">
        <f>'Revenue drivers'!BD645</f>
        <v>-2.9698165655467621</v>
      </c>
      <c r="BE892">
        <f>'Revenue drivers'!BE645</f>
        <v>0</v>
      </c>
      <c r="BF892">
        <f>'Revenue drivers'!BF645</f>
        <v>0</v>
      </c>
      <c r="BG892">
        <f>'Revenue drivers'!BG645</f>
        <v>0</v>
      </c>
      <c r="BH892">
        <f>'Revenue drivers'!BH645</f>
        <v>0</v>
      </c>
      <c r="BI892">
        <f>'Revenue drivers'!BI645</f>
        <v>0</v>
      </c>
      <c r="BJ892">
        <f>'Revenue drivers'!BJ645</f>
        <v>0</v>
      </c>
      <c r="BK892">
        <f>'Revenue drivers'!BK645</f>
        <v>0</v>
      </c>
      <c r="BL892">
        <f>'Revenue drivers'!BL645</f>
        <v>0</v>
      </c>
      <c r="BM892">
        <f>'Revenue drivers'!BM645</f>
        <v>0.57886753170047367</v>
      </c>
      <c r="BN892">
        <f>'Revenue drivers'!BN645</f>
        <v>0.77774488609640935</v>
      </c>
      <c r="BO892">
        <f>'Revenue drivers'!BO645</f>
        <v>0.58328513578718555</v>
      </c>
      <c r="BP892">
        <f>'Revenue drivers'!BP645</f>
        <v>0.55847254127578649</v>
      </c>
      <c r="BQ892">
        <f>'Revenue drivers'!BQ645</f>
        <v>3.6952583584772158E-2</v>
      </c>
      <c r="BR892">
        <f>'Revenue drivers'!BR645</f>
        <v>-0.27257909621719678</v>
      </c>
      <c r="BS892">
        <f>'Revenue drivers'!BS645</f>
        <v>-0.58791301703480503</v>
      </c>
      <c r="BT892">
        <f>'Revenue drivers'!BT645</f>
        <v>-1.7956024793135223</v>
      </c>
      <c r="BU892">
        <f>'Revenue drivers'!BU645</f>
        <v>4.3571085782688694</v>
      </c>
      <c r="BV892">
        <f>'Revenue drivers'!BV645</f>
        <v>0.96970499691990075</v>
      </c>
      <c r="BW892">
        <f>'Revenue drivers'!BW645</f>
        <v>0.68625026827284685</v>
      </c>
      <c r="BX892">
        <f>'Revenue drivers'!BX645</f>
        <v>0.50355874035146453</v>
      </c>
      <c r="BY892">
        <f>'Revenue drivers'!BY645</f>
        <v>0.41349849218334023</v>
      </c>
    </row>
    <row r="893" spans="9:77" ht="11.25" customHeight="1">
      <c r="I893" t="str">
        <f>'Revenue drivers'!I646</f>
        <v>Abs Growth</v>
      </c>
      <c r="J893">
        <f>'Revenue drivers'!J646</f>
        <v>0</v>
      </c>
      <c r="K893">
        <f>'Revenue drivers'!K646</f>
        <v>0</v>
      </c>
      <c r="L893">
        <f>'Revenue drivers'!L646</f>
        <v>0</v>
      </c>
      <c r="M893">
        <f>'Revenue drivers'!M646</f>
        <v>0</v>
      </c>
      <c r="N893">
        <f>'Revenue drivers'!N646</f>
        <v>0</v>
      </c>
      <c r="O893">
        <f>'Revenue drivers'!O646</f>
        <v>0</v>
      </c>
      <c r="P893">
        <f>'Revenue drivers'!P646</f>
        <v>0</v>
      </c>
      <c r="Q893">
        <f>'Revenue drivers'!Q646</f>
        <v>0</v>
      </c>
      <c r="R893">
        <f>'Revenue drivers'!R646</f>
        <v>0</v>
      </c>
      <c r="S893">
        <f>'Revenue drivers'!S646</f>
        <v>0</v>
      </c>
      <c r="T893">
        <f>'Revenue drivers'!T646</f>
        <v>0</v>
      </c>
      <c r="U893">
        <f>'Revenue drivers'!U646</f>
        <v>0</v>
      </c>
      <c r="V893">
        <f>'Revenue drivers'!V646</f>
        <v>0</v>
      </c>
      <c r="W893">
        <f>'Revenue drivers'!W646</f>
        <v>0</v>
      </c>
      <c r="X893">
        <f>'Revenue drivers'!X646</f>
        <v>0</v>
      </c>
      <c r="Y893">
        <f>'Revenue drivers'!Y646</f>
        <v>3.1156609023091706</v>
      </c>
      <c r="Z893">
        <f>'Revenue drivers'!Z646</f>
        <v>2.1018534771613684</v>
      </c>
      <c r="AA893">
        <f>'Revenue drivers'!AA646</f>
        <v>3.6290295994256487</v>
      </c>
      <c r="AB893">
        <f>'Revenue drivers'!AB646</f>
        <v>2.664238975486553</v>
      </c>
      <c r="AC893">
        <f>'Revenue drivers'!AC646</f>
        <v>5.1595785177201412</v>
      </c>
      <c r="AD893">
        <f>'Revenue drivers'!AD646</f>
        <v>4.5305365228386343</v>
      </c>
      <c r="AE893">
        <f>'Revenue drivers'!AE646</f>
        <v>7.2003204005743564</v>
      </c>
      <c r="AF893">
        <f>'Revenue drivers'!AF646</f>
        <v>7.5274769999999993</v>
      </c>
      <c r="AG893">
        <f>'Revenue drivers'!AG646</f>
        <v>7.2674309999999842</v>
      </c>
      <c r="AH893">
        <f>'Revenue drivers'!AH646</f>
        <v>7.870610000000001</v>
      </c>
      <c r="AI893">
        <f>'Revenue drivers'!AI646</f>
        <v>8.223649999999985</v>
      </c>
      <c r="AJ893">
        <f>'Revenue drivers'!AJ646</f>
        <v>9.1936099999999925</v>
      </c>
      <c r="AK893">
        <f>'Revenue drivers'!AK646</f>
        <v>11.770000000000024</v>
      </c>
      <c r="AL893">
        <f>'Revenue drivers'!AL646</f>
        <v>13.460999999999984</v>
      </c>
      <c r="AM893">
        <f>'Revenue drivers'!AM646</f>
        <v>14.170000000000002</v>
      </c>
      <c r="AN893">
        <f>'Revenue drivers'!AN646</f>
        <v>9.9506599999999779</v>
      </c>
      <c r="AO893">
        <f>'Revenue drivers'!AO646</f>
        <v>5.6725600000000007</v>
      </c>
      <c r="AP893">
        <f>'Revenue drivers'!AP646</f>
        <v>1.3577799999999911</v>
      </c>
      <c r="AQ893">
        <f>'Revenue drivers'!AQ646</f>
        <v>-2.1053000000000068</v>
      </c>
      <c r="AR893">
        <f>'Revenue drivers'!AR646</f>
        <v>0.16409420000001518</v>
      </c>
      <c r="AS893">
        <f>'Revenue drivers'!AS646</f>
        <v>-7.7480603999999857</v>
      </c>
      <c r="AT893">
        <f>'Revenue drivers'!AT646</f>
        <v>-8.5644621999999799</v>
      </c>
      <c r="AU893">
        <f>'Revenue drivers'!AU646</f>
        <v>-10.03591579999997</v>
      </c>
      <c r="AV893">
        <f>'Revenue drivers'!AV646</f>
        <v>-12.578526233999952</v>
      </c>
      <c r="AW893">
        <f>'Revenue drivers'!AW646</f>
        <v>-13.374838359999984</v>
      </c>
      <c r="AX893">
        <f>'Revenue drivers'!AX646</f>
        <v>-14.831418817999918</v>
      </c>
      <c r="AY893">
        <f>'Revenue drivers'!AY646</f>
        <v>-15.873291745999921</v>
      </c>
      <c r="AZ893">
        <f>'Revenue drivers'!AZ646</f>
        <v>-16.994518824259927</v>
      </c>
      <c r="BA893">
        <f>'Revenue drivers'!BA646</f>
        <v>-18.314884030999934</v>
      </c>
      <c r="BB893">
        <f>'Revenue drivers'!BB646</f>
        <v>-19.131460167499966</v>
      </c>
      <c r="BC893">
        <f>'Revenue drivers'!BC646</f>
        <v>-19.485659848939974</v>
      </c>
      <c r="BD893">
        <f>'Revenue drivers'!BD646</f>
        <v>-19.935514808836956</v>
      </c>
      <c r="BE893">
        <f>'Revenue drivers'!BE646</f>
        <v>0</v>
      </c>
      <c r="BF893">
        <f>'Revenue drivers'!BF646</f>
        <v>0</v>
      </c>
      <c r="BG893">
        <f>'Revenue drivers'!BG646</f>
        <v>0</v>
      </c>
      <c r="BH893">
        <f>'Revenue drivers'!BH646</f>
        <v>0</v>
      </c>
      <c r="BI893">
        <f>'Revenue drivers'!BI646</f>
        <v>0</v>
      </c>
      <c r="BJ893">
        <f>'Revenue drivers'!BJ646</f>
        <v>0</v>
      </c>
      <c r="BK893">
        <f>'Revenue drivers'!BK646</f>
        <v>0</v>
      </c>
      <c r="BL893">
        <f>'Revenue drivers'!BL646</f>
        <v>0</v>
      </c>
      <c r="BM893">
        <f>'Revenue drivers'!BM646</f>
        <v>11.510782954382748</v>
      </c>
      <c r="BN893">
        <f>'Revenue drivers'!BN646</f>
        <v>24.417912441133097</v>
      </c>
      <c r="BO893">
        <f>'Revenue drivers'!BO646</f>
        <v>32.555301000000085</v>
      </c>
      <c r="BP893">
        <f>'Revenue drivers'!BP646</f>
        <v>49.35166000000001</v>
      </c>
      <c r="BQ893">
        <f>'Revenue drivers'!BQ646</f>
        <v>5.0891341999999895</v>
      </c>
      <c r="BR893">
        <f>'Revenue drivers'!BR646</f>
        <v>-38.926964633999887</v>
      </c>
      <c r="BS893">
        <f>'Revenue drivers'!BS646</f>
        <v>-61.074067748259608</v>
      </c>
      <c r="BT893">
        <f>'Revenue drivers'!BT646</f>
        <v>-76.867518856277002</v>
      </c>
      <c r="BU893">
        <f>'Revenue drivers'!BU646</f>
        <v>-148.39770245778237</v>
      </c>
      <c r="BV893">
        <f>'Revenue drivers'!BV646</f>
        <v>-176.92894049389383</v>
      </c>
      <c r="BW893">
        <f>'Revenue drivers'!BW646</f>
        <v>-246.62832715662779</v>
      </c>
      <c r="BX893">
        <f>'Revenue drivers'!BX646</f>
        <v>-305.16350907775904</v>
      </c>
      <c r="BY893">
        <f>'Revenue drivers'!BY646</f>
        <v>-376.77041329065514</v>
      </c>
    </row>
    <row r="894" spans="9:77" ht="11.25" customHeight="1">
      <c r="I894" t="str">
        <f>'Revenue drivers'!I647</f>
        <v>% change Two-Year</v>
      </c>
      <c r="J894">
        <f>'Revenue drivers'!J647</f>
        <v>0</v>
      </c>
      <c r="K894">
        <f>'Revenue drivers'!K647</f>
        <v>0</v>
      </c>
      <c r="L894">
        <f>'Revenue drivers'!L647</f>
        <v>0</v>
      </c>
      <c r="M894">
        <f>'Revenue drivers'!M647</f>
        <v>0</v>
      </c>
      <c r="N894">
        <f>'Revenue drivers'!N647</f>
        <v>0</v>
      </c>
      <c r="O894">
        <f>'Revenue drivers'!O647</f>
        <v>0</v>
      </c>
      <c r="P894">
        <f>'Revenue drivers'!P647</f>
        <v>0</v>
      </c>
      <c r="Q894">
        <f>'Revenue drivers'!Q647</f>
        <v>0</v>
      </c>
      <c r="R894">
        <f>'Revenue drivers'!R647</f>
        <v>0</v>
      </c>
      <c r="S894">
        <f>'Revenue drivers'!S647</f>
        <v>0</v>
      </c>
      <c r="T894">
        <f>'Revenue drivers'!T647</f>
        <v>0</v>
      </c>
      <c r="U894">
        <f>'Revenue drivers'!U647</f>
        <v>0</v>
      </c>
      <c r="V894">
        <f>'Revenue drivers'!V647</f>
        <v>0</v>
      </c>
      <c r="W894">
        <f>'Revenue drivers'!W647</f>
        <v>0</v>
      </c>
      <c r="X894">
        <f>'Revenue drivers'!X647</f>
        <v>0</v>
      </c>
      <c r="Y894">
        <f>'Revenue drivers'!Y647</f>
        <v>0</v>
      </c>
      <c r="Z894">
        <f>'Revenue drivers'!Z647</f>
        <v>0</v>
      </c>
      <c r="AA894">
        <f>'Revenue drivers'!AA647</f>
        <v>0</v>
      </c>
      <c r="AB894">
        <f>'Revenue drivers'!AB647</f>
        <v>0</v>
      </c>
      <c r="AC894">
        <f>'Revenue drivers'!AC647</f>
        <v>2.1227446808928634</v>
      </c>
      <c r="AD894">
        <f>'Revenue drivers'!AD647</f>
        <v>0.86924225411029132</v>
      </c>
      <c r="AE894">
        <f>'Revenue drivers'!AE647</f>
        <v>1.782780773540156</v>
      </c>
      <c r="AF894">
        <f>'Revenue drivers'!AF647</f>
        <v>1.1891927668314313</v>
      </c>
      <c r="AG894">
        <f>'Revenue drivers'!AG647</f>
        <v>1.5786101485270627</v>
      </c>
      <c r="AH894">
        <f>'Revenue drivers'!AH647</f>
        <v>1.1443896807921776</v>
      </c>
      <c r="AI894">
        <f>'Revenue drivers'!AI647</f>
        <v>1.466406348104289</v>
      </c>
      <c r="AJ894">
        <f>'Revenue drivers'!AJ647</f>
        <v>1.3380865570746465</v>
      </c>
      <c r="AK894">
        <f>'Revenue drivers'!AK647</f>
        <v>1.3203809797832164</v>
      </c>
      <c r="AL894">
        <f>'Revenue drivers'!AL647</f>
        <v>1.2532486664522646</v>
      </c>
      <c r="AM894">
        <f>'Revenue drivers'!AM647</f>
        <v>1.1563686252779342</v>
      </c>
      <c r="AN894">
        <f>'Revenue drivers'!AN647</f>
        <v>0.92173784503554601</v>
      </c>
      <c r="AO894">
        <f>'Revenue drivers'!AO647</f>
        <v>0.83984637533332251</v>
      </c>
      <c r="AP894">
        <f>'Revenue drivers'!AP647</f>
        <v>0.68569851861722375</v>
      </c>
      <c r="AQ894">
        <f>'Revenue drivers'!AQ647</f>
        <v>0.55305278761211385</v>
      </c>
      <c r="AR894">
        <f>'Revenue drivers'!AR647</f>
        <v>0.38475985413609992</v>
      </c>
      <c r="AS894">
        <f>'Revenue drivers'!AS647</f>
        <v>-2.8087399821829284E-2</v>
      </c>
      <c r="AT894">
        <f>'Revenue drivers'!AT647</f>
        <v>-0.20062744247547037</v>
      </c>
      <c r="AU894">
        <f>'Revenue drivers'!AU647</f>
        <v>-0.3403892831376617</v>
      </c>
      <c r="AV894">
        <f>'Revenue drivers'!AV647</f>
        <v>-0.34210909645592935</v>
      </c>
      <c r="AW894">
        <f>'Revenue drivers'!AW647</f>
        <v>-0.69901085910974869</v>
      </c>
      <c r="AX894">
        <f>'Revenue drivers'!AX647</f>
        <v>-0.78773948767420987</v>
      </c>
      <c r="AY894">
        <f>'Revenue drivers'!AY647</f>
        <v>-0.9119173375581352</v>
      </c>
      <c r="AZ894">
        <f>'Revenue drivers'!AZ647</f>
        <v>-1.0635015982902329</v>
      </c>
      <c r="BA894">
        <f>'Revenue drivers'!BA647</f>
        <v>-1.7504945158654268</v>
      </c>
      <c r="BB894">
        <f>'Revenue drivers'!BB647</f>
        <v>-2.1083936457745098</v>
      </c>
      <c r="BC894">
        <f>'Revenue drivers'!BC647</f>
        <v>-2.6981916416116909</v>
      </c>
      <c r="BD894">
        <f>'Revenue drivers'!BD647</f>
        <v>-3.6866662473667029</v>
      </c>
      <c r="BE894">
        <f>'Revenue drivers'!BE647</f>
        <v>0</v>
      </c>
      <c r="BF894">
        <f>'Revenue drivers'!BF647</f>
        <v>0</v>
      </c>
      <c r="BG894">
        <f>'Revenue drivers'!BG647</f>
        <v>0</v>
      </c>
      <c r="BH894">
        <f>'Revenue drivers'!BH647</f>
        <v>0</v>
      </c>
      <c r="BI894">
        <f>'Revenue drivers'!BI647</f>
        <v>0</v>
      </c>
      <c r="BJ894">
        <f>'Revenue drivers'!BJ647</f>
        <v>0</v>
      </c>
      <c r="BK894">
        <f>'Revenue drivers'!BK647</f>
        <v>0</v>
      </c>
      <c r="BL894">
        <f>'Revenue drivers'!BL647</f>
        <v>0</v>
      </c>
      <c r="BM894">
        <f>'Revenue drivers'!BM647</f>
        <v>0</v>
      </c>
      <c r="BN894">
        <f>'Revenue drivers'!BN647</f>
        <v>0</v>
      </c>
      <c r="BO894">
        <f>'Revenue drivers'!BO647</f>
        <v>0</v>
      </c>
      <c r="BP894">
        <f>'Revenue drivers'!BP647</f>
        <v>0</v>
      </c>
      <c r="BQ894">
        <f>'Revenue drivers'!BQ647</f>
        <v>0</v>
      </c>
      <c r="BR894">
        <f>'Revenue drivers'!BR647</f>
        <v>0</v>
      </c>
      <c r="BS894">
        <f>'Revenue drivers'!BS647</f>
        <v>0</v>
      </c>
      <c r="BT894">
        <f>'Revenue drivers'!BT647</f>
        <v>0</v>
      </c>
      <c r="BU894">
        <f>'Revenue drivers'!BU647</f>
        <v>0</v>
      </c>
      <c r="BV894">
        <f>'Revenue drivers'!BV647</f>
        <v>0</v>
      </c>
      <c r="BW894">
        <f>'Revenue drivers'!BW647</f>
        <v>0</v>
      </c>
      <c r="BX894">
        <f>'Revenue drivers'!BX647</f>
        <v>0</v>
      </c>
      <c r="BY894">
        <f>'Revenue drivers'!BY647</f>
        <v>0</v>
      </c>
    </row>
    <row r="895" spans="9:77" ht="11.25" customHeight="1">
      <c r="I895">
        <f>'Revenue drivers'!I648</f>
        <v>0</v>
      </c>
      <c r="J895">
        <f>'Revenue drivers'!J648</f>
        <v>0</v>
      </c>
      <c r="K895">
        <f>'Revenue drivers'!K648</f>
        <v>0</v>
      </c>
      <c r="L895">
        <f>'Revenue drivers'!L648</f>
        <v>0</v>
      </c>
      <c r="M895">
        <f>'Revenue drivers'!M648</f>
        <v>0</v>
      </c>
      <c r="N895">
        <f>'Revenue drivers'!N648</f>
        <v>0</v>
      </c>
      <c r="O895">
        <f>'Revenue drivers'!O648</f>
        <v>0</v>
      </c>
      <c r="P895">
        <f>'Revenue drivers'!P648</f>
        <v>0</v>
      </c>
      <c r="Q895">
        <f>'Revenue drivers'!Q648</f>
        <v>0</v>
      </c>
      <c r="R895">
        <f>'Revenue drivers'!R648</f>
        <v>0</v>
      </c>
      <c r="S895">
        <f>'Revenue drivers'!S648</f>
        <v>0</v>
      </c>
      <c r="T895">
        <f>'Revenue drivers'!T648</f>
        <v>0</v>
      </c>
      <c r="U895">
        <f>'Revenue drivers'!U648</f>
        <v>0</v>
      </c>
      <c r="V895">
        <f>'Revenue drivers'!V648</f>
        <v>0</v>
      </c>
      <c r="W895">
        <f>'Revenue drivers'!W648</f>
        <v>0</v>
      </c>
      <c r="X895">
        <f>'Revenue drivers'!X648</f>
        <v>0</v>
      </c>
      <c r="Y895">
        <f>'Revenue drivers'!Y648</f>
        <v>0</v>
      </c>
      <c r="Z895">
        <f>'Revenue drivers'!Z648</f>
        <v>0</v>
      </c>
      <c r="AA895">
        <f>'Revenue drivers'!AA648</f>
        <v>0</v>
      </c>
      <c r="AB895">
        <f>'Revenue drivers'!AB648</f>
        <v>0</v>
      </c>
      <c r="AC895">
        <f>'Revenue drivers'!AC648</f>
        <v>0</v>
      </c>
      <c r="AD895">
        <f>'Revenue drivers'!AD648</f>
        <v>0</v>
      </c>
      <c r="AE895">
        <f>'Revenue drivers'!AE648</f>
        <v>0</v>
      </c>
      <c r="AF895">
        <f>'Revenue drivers'!AF648</f>
        <v>0</v>
      </c>
      <c r="AG895">
        <f>'Revenue drivers'!AG648</f>
        <v>0</v>
      </c>
      <c r="AH895">
        <f>'Revenue drivers'!AH648</f>
        <v>0</v>
      </c>
      <c r="AI895">
        <f>'Revenue drivers'!AI648</f>
        <v>0</v>
      </c>
      <c r="AJ895">
        <f>'Revenue drivers'!AJ648</f>
        <v>0</v>
      </c>
      <c r="AK895">
        <f>'Revenue drivers'!AK648</f>
        <v>0</v>
      </c>
      <c r="AL895">
        <f>'Revenue drivers'!AL648</f>
        <v>0</v>
      </c>
      <c r="AM895">
        <f>'Revenue drivers'!AM648</f>
        <v>0</v>
      </c>
      <c r="AN895">
        <f>'Revenue drivers'!AN648</f>
        <v>0</v>
      </c>
      <c r="AO895">
        <f>'Revenue drivers'!AO648</f>
        <v>0</v>
      </c>
      <c r="AP895">
        <f>'Revenue drivers'!AP648</f>
        <v>0</v>
      </c>
      <c r="AQ895">
        <f>'Revenue drivers'!AQ648</f>
        <v>0</v>
      </c>
      <c r="AR895">
        <f>'Revenue drivers'!AR648</f>
        <v>0</v>
      </c>
      <c r="AS895">
        <f>'Revenue drivers'!AS648</f>
        <v>0</v>
      </c>
      <c r="AT895">
        <f>'Revenue drivers'!AT648</f>
        <v>0</v>
      </c>
      <c r="AU895">
        <f>'Revenue drivers'!AU648</f>
        <v>0</v>
      </c>
      <c r="AV895">
        <f>'Revenue drivers'!AV648</f>
        <v>0</v>
      </c>
      <c r="AW895">
        <f>'Revenue drivers'!AW648</f>
        <v>0</v>
      </c>
      <c r="AX895">
        <f>'Revenue drivers'!AX648</f>
        <v>0</v>
      </c>
      <c r="AY895">
        <f>'Revenue drivers'!AY648</f>
        <v>0</v>
      </c>
      <c r="AZ895">
        <f>'Revenue drivers'!AZ648</f>
        <v>0</v>
      </c>
      <c r="BA895">
        <f>'Revenue drivers'!BA648</f>
        <v>0</v>
      </c>
      <c r="BB895">
        <f>'Revenue drivers'!BB648</f>
        <v>0</v>
      </c>
      <c r="BC895">
        <f>'Revenue drivers'!BC648</f>
        <v>0</v>
      </c>
      <c r="BD895">
        <f>'Revenue drivers'!BD648</f>
        <v>0</v>
      </c>
      <c r="BE895">
        <f>'Revenue drivers'!BE648</f>
        <v>0</v>
      </c>
      <c r="BF895">
        <f>'Revenue drivers'!BF648</f>
        <v>0</v>
      </c>
      <c r="BG895">
        <f>'Revenue drivers'!BG648</f>
        <v>0</v>
      </c>
      <c r="BH895">
        <f>'Revenue drivers'!BH648</f>
        <v>0</v>
      </c>
      <c r="BI895">
        <f>'Revenue drivers'!BI648</f>
        <v>0</v>
      </c>
      <c r="BJ895">
        <f>'Revenue drivers'!BJ648</f>
        <v>0</v>
      </c>
      <c r="BK895">
        <f>'Revenue drivers'!BK648</f>
        <v>0</v>
      </c>
      <c r="BL895">
        <f>'Revenue drivers'!BL648</f>
        <v>0</v>
      </c>
      <c r="BM895">
        <f>'Revenue drivers'!BM648</f>
        <v>0</v>
      </c>
      <c r="BN895">
        <f>'Revenue drivers'!BN648</f>
        <v>0</v>
      </c>
      <c r="BO895">
        <f>'Revenue drivers'!BO648</f>
        <v>0</v>
      </c>
      <c r="BP895">
        <f>'Revenue drivers'!BP648</f>
        <v>0</v>
      </c>
      <c r="BQ895">
        <f>'Revenue drivers'!BQ648</f>
        <v>0</v>
      </c>
      <c r="BR895">
        <f>'Revenue drivers'!BR648</f>
        <v>0</v>
      </c>
      <c r="BS895">
        <f>'Revenue drivers'!BS648</f>
        <v>0</v>
      </c>
      <c r="BT895">
        <f>'Revenue drivers'!BT648</f>
        <v>0</v>
      </c>
      <c r="BU895">
        <f>'Revenue drivers'!BU648</f>
        <v>0</v>
      </c>
      <c r="BV895">
        <f>'Revenue drivers'!BV648</f>
        <v>0</v>
      </c>
      <c r="BW895">
        <f>'Revenue drivers'!BW648</f>
        <v>0</v>
      </c>
      <c r="BX895">
        <f>'Revenue drivers'!BX648</f>
        <v>0</v>
      </c>
      <c r="BY895">
        <f>'Revenue drivers'!BY648</f>
        <v>0</v>
      </c>
    </row>
    <row r="896" spans="9:77" ht="11.25" customHeight="1">
      <c r="I896">
        <f>'Revenue drivers'!I649</f>
        <v>0</v>
      </c>
      <c r="J896">
        <f>'Revenue drivers'!J649</f>
        <v>0</v>
      </c>
      <c r="K896">
        <f>'Revenue drivers'!K649</f>
        <v>0</v>
      </c>
      <c r="L896">
        <f>'Revenue drivers'!L649</f>
        <v>0</v>
      </c>
      <c r="M896">
        <f>'Revenue drivers'!M649</f>
        <v>0</v>
      </c>
      <c r="N896">
        <f>'Revenue drivers'!N649</f>
        <v>0</v>
      </c>
      <c r="O896">
        <f>'Revenue drivers'!O649</f>
        <v>0</v>
      </c>
      <c r="P896">
        <f>'Revenue drivers'!P649</f>
        <v>0</v>
      </c>
      <c r="Q896">
        <f>'Revenue drivers'!Q649</f>
        <v>0</v>
      </c>
      <c r="R896">
        <f>'Revenue drivers'!R649</f>
        <v>0</v>
      </c>
      <c r="S896">
        <f>'Revenue drivers'!S649</f>
        <v>0</v>
      </c>
      <c r="T896">
        <f>'Revenue drivers'!T649</f>
        <v>0</v>
      </c>
      <c r="U896">
        <f>'Revenue drivers'!U649</f>
        <v>0</v>
      </c>
      <c r="V896">
        <f>'Revenue drivers'!V649</f>
        <v>0</v>
      </c>
      <c r="W896">
        <f>'Revenue drivers'!W649</f>
        <v>0</v>
      </c>
      <c r="X896">
        <f>'Revenue drivers'!X649</f>
        <v>0</v>
      </c>
      <c r="Y896">
        <f>'Revenue drivers'!Y649</f>
        <v>0</v>
      </c>
      <c r="Z896">
        <f>'Revenue drivers'!Z649</f>
        <v>0</v>
      </c>
      <c r="AA896">
        <f>'Revenue drivers'!AA649</f>
        <v>0</v>
      </c>
      <c r="AB896">
        <f>'Revenue drivers'!AB649</f>
        <v>0</v>
      </c>
      <c r="AC896">
        <f>'Revenue drivers'!AC649</f>
        <v>0</v>
      </c>
      <c r="AD896">
        <f>'Revenue drivers'!AD649</f>
        <v>0</v>
      </c>
      <c r="AE896">
        <f>'Revenue drivers'!AE649</f>
        <v>0</v>
      </c>
      <c r="AF896">
        <f>'Revenue drivers'!AF649</f>
        <v>0</v>
      </c>
      <c r="AG896">
        <f>'Revenue drivers'!AG649</f>
        <v>0</v>
      </c>
      <c r="AH896">
        <f>'Revenue drivers'!AH649</f>
        <v>0</v>
      </c>
      <c r="AI896">
        <f>'Revenue drivers'!AI649</f>
        <v>0</v>
      </c>
      <c r="AJ896">
        <f>'Revenue drivers'!AJ649</f>
        <v>0</v>
      </c>
      <c r="AK896">
        <f>'Revenue drivers'!AK649</f>
        <v>0</v>
      </c>
      <c r="AL896">
        <f>'Revenue drivers'!AL649</f>
        <v>0</v>
      </c>
      <c r="AM896">
        <f>'Revenue drivers'!AM649</f>
        <v>0</v>
      </c>
      <c r="AN896">
        <f>'Revenue drivers'!AN649</f>
        <v>0</v>
      </c>
      <c r="AO896">
        <f>'Revenue drivers'!AO649</f>
        <v>0</v>
      </c>
      <c r="AP896">
        <f>'Revenue drivers'!AP649</f>
        <v>0</v>
      </c>
      <c r="AQ896">
        <f>'Revenue drivers'!AQ649</f>
        <v>0</v>
      </c>
      <c r="AR896">
        <f>'Revenue drivers'!AR649</f>
        <v>0</v>
      </c>
      <c r="AS896">
        <f>'Revenue drivers'!AS649</f>
        <v>0</v>
      </c>
      <c r="AT896">
        <f>'Revenue drivers'!AT649</f>
        <v>0</v>
      </c>
      <c r="AU896">
        <f>'Revenue drivers'!AU649</f>
        <v>0</v>
      </c>
      <c r="AV896">
        <f>'Revenue drivers'!AV649</f>
        <v>0</v>
      </c>
      <c r="AW896">
        <f>'Revenue drivers'!AW649</f>
        <v>0</v>
      </c>
      <c r="AX896">
        <f>'Revenue drivers'!AX649</f>
        <v>0</v>
      </c>
      <c r="AY896">
        <f>'Revenue drivers'!AY649</f>
        <v>0</v>
      </c>
      <c r="AZ896">
        <f>'Revenue drivers'!AZ649</f>
        <v>0</v>
      </c>
      <c r="BA896">
        <f>'Revenue drivers'!BA649</f>
        <v>0</v>
      </c>
      <c r="BB896">
        <f>'Revenue drivers'!BB649</f>
        <v>0</v>
      </c>
      <c r="BC896">
        <f>'Revenue drivers'!BC649</f>
        <v>0</v>
      </c>
      <c r="BD896">
        <f>'Revenue drivers'!BD649</f>
        <v>0</v>
      </c>
      <c r="BE896">
        <f>'Revenue drivers'!BE649</f>
        <v>0</v>
      </c>
      <c r="BF896">
        <f>'Revenue drivers'!BF649</f>
        <v>0</v>
      </c>
      <c r="BG896">
        <f>'Revenue drivers'!BG649</f>
        <v>0</v>
      </c>
      <c r="BH896">
        <f>'Revenue drivers'!BH649</f>
        <v>0</v>
      </c>
      <c r="BI896">
        <f>'Revenue drivers'!BI649</f>
        <v>0</v>
      </c>
      <c r="BJ896">
        <f>'Revenue drivers'!BJ649</f>
        <v>0</v>
      </c>
      <c r="BK896">
        <f>'Revenue drivers'!BK649</f>
        <v>0</v>
      </c>
      <c r="BL896">
        <f>'Revenue drivers'!BL649</f>
        <v>0</v>
      </c>
      <c r="BM896">
        <f>'Revenue drivers'!BM649</f>
        <v>0</v>
      </c>
      <c r="BN896">
        <f>'Revenue drivers'!BN649</f>
        <v>0</v>
      </c>
      <c r="BO896">
        <f>'Revenue drivers'!BO649</f>
        <v>0</v>
      </c>
      <c r="BP896">
        <f>'Revenue drivers'!BP649</f>
        <v>0</v>
      </c>
      <c r="BQ896">
        <f>'Revenue drivers'!BQ649</f>
        <v>0</v>
      </c>
      <c r="BR896">
        <f>'Revenue drivers'!BR649</f>
        <v>0</v>
      </c>
      <c r="BS896">
        <f>'Revenue drivers'!BS649</f>
        <v>0</v>
      </c>
      <c r="BT896">
        <f>'Revenue drivers'!BT649</f>
        <v>0</v>
      </c>
      <c r="BU896">
        <f>'Revenue drivers'!BU649</f>
        <v>0</v>
      </c>
      <c r="BV896">
        <f>'Revenue drivers'!BV649</f>
        <v>0</v>
      </c>
      <c r="BW896">
        <f>'Revenue drivers'!BW649</f>
        <v>0</v>
      </c>
      <c r="BX896">
        <f>'Revenue drivers'!BX649</f>
        <v>0</v>
      </c>
      <c r="BY896">
        <f>'Revenue drivers'!BY649</f>
        <v>0</v>
      </c>
    </row>
    <row r="897" spans="9:77" ht="11.25" customHeight="1">
      <c r="I897" t="str">
        <f>'Revenue drivers'!I650</f>
        <v>Number of Yelp Markets</v>
      </c>
      <c r="J897">
        <f>'Revenue drivers'!J650</f>
        <v>0</v>
      </c>
      <c r="K897">
        <f>'Revenue drivers'!K650</f>
        <v>0</v>
      </c>
      <c r="L897">
        <f>'Revenue drivers'!L650</f>
        <v>0</v>
      </c>
      <c r="M897">
        <f>'Revenue drivers'!M650</f>
        <v>0</v>
      </c>
      <c r="N897">
        <f>'Revenue drivers'!N650</f>
        <v>0</v>
      </c>
      <c r="O897">
        <f>'Revenue drivers'!O650</f>
        <v>0</v>
      </c>
      <c r="P897">
        <f>'Revenue drivers'!P650</f>
        <v>0</v>
      </c>
      <c r="Q897">
        <f>'Revenue drivers'!Q650</f>
        <v>0</v>
      </c>
      <c r="R897">
        <f>'Revenue drivers'!R650</f>
        <v>0</v>
      </c>
      <c r="S897">
        <f>'Revenue drivers'!S650</f>
        <v>0</v>
      </c>
      <c r="T897">
        <f>'Revenue drivers'!T650</f>
        <v>11</v>
      </c>
      <c r="U897">
        <f>'Revenue drivers'!U650</f>
        <v>11</v>
      </c>
      <c r="V897">
        <f>'Revenue drivers'!V650</f>
        <v>13</v>
      </c>
      <c r="W897">
        <f>'Revenue drivers'!W650</f>
        <v>15</v>
      </c>
      <c r="X897">
        <f>'Revenue drivers'!X650</f>
        <v>15</v>
      </c>
      <c r="Y897">
        <f>'Revenue drivers'!Y650</f>
        <v>16</v>
      </c>
      <c r="Z897">
        <f>'Revenue drivers'!Z650</f>
        <v>18</v>
      </c>
      <c r="AA897">
        <f>'Revenue drivers'!AA650</f>
        <v>22</v>
      </c>
      <c r="AB897">
        <f>'Revenue drivers'!AB650</f>
        <v>23</v>
      </c>
      <c r="AC897">
        <f>'Revenue drivers'!AC650</f>
        <v>23</v>
      </c>
      <c r="AD897">
        <f>'Revenue drivers'!AD650</f>
        <v>23</v>
      </c>
      <c r="AE897">
        <f>'Revenue drivers'!AE650</f>
        <v>23</v>
      </c>
      <c r="AF897">
        <f>'Revenue drivers'!AF650</f>
        <v>23</v>
      </c>
      <c r="AG897">
        <f>'Revenue drivers'!AG650</f>
        <v>23</v>
      </c>
      <c r="AH897">
        <f>'Revenue drivers'!AH650</f>
        <v>23</v>
      </c>
      <c r="AI897">
        <f>'Revenue drivers'!AI650</f>
        <v>23</v>
      </c>
      <c r="AJ897">
        <f>'Revenue drivers'!AJ650</f>
        <v>23</v>
      </c>
      <c r="AK897">
        <f>'Revenue drivers'!AK650</f>
        <v>23</v>
      </c>
      <c r="AL897">
        <f>'Revenue drivers'!AL650</f>
        <v>23</v>
      </c>
      <c r="AM897">
        <f>'Revenue drivers'!AM650</f>
        <v>23</v>
      </c>
      <c r="AN897">
        <f>'Revenue drivers'!AN650</f>
        <v>23</v>
      </c>
      <c r="AO897">
        <f>'Revenue drivers'!AO650</f>
        <v>23</v>
      </c>
      <c r="AP897">
        <f>'Revenue drivers'!AP650</f>
        <v>23</v>
      </c>
      <c r="AQ897">
        <f>'Revenue drivers'!AQ650</f>
        <v>23</v>
      </c>
      <c r="AR897">
        <f>'Revenue drivers'!AR650</f>
        <v>23</v>
      </c>
      <c r="AS897">
        <f>'Revenue drivers'!AS650</f>
        <v>23</v>
      </c>
      <c r="AT897">
        <f>'Revenue drivers'!AT650</f>
        <v>23</v>
      </c>
      <c r="AU897">
        <f>'Revenue drivers'!AU650</f>
        <v>23</v>
      </c>
      <c r="AV897">
        <f>'Revenue drivers'!AV650</f>
        <v>23</v>
      </c>
      <c r="AW897">
        <f>'Revenue drivers'!AW650</f>
        <v>23</v>
      </c>
      <c r="AX897">
        <f>'Revenue drivers'!AX650</f>
        <v>23</v>
      </c>
      <c r="AY897">
        <f>'Revenue drivers'!AY650</f>
        <v>23</v>
      </c>
      <c r="AZ897">
        <f>'Revenue drivers'!AZ650</f>
        <v>23</v>
      </c>
      <c r="BA897">
        <f>'Revenue drivers'!BA650</f>
        <v>23</v>
      </c>
      <c r="BB897">
        <f>'Revenue drivers'!BB650</f>
        <v>23</v>
      </c>
      <c r="BC897">
        <f>'Revenue drivers'!BC650</f>
        <v>23</v>
      </c>
      <c r="BD897">
        <f>'Revenue drivers'!BD650</f>
        <v>23</v>
      </c>
      <c r="BE897">
        <f>'Revenue drivers'!BE650</f>
        <v>0</v>
      </c>
      <c r="BF897">
        <f>'Revenue drivers'!BF650</f>
        <v>0</v>
      </c>
      <c r="BG897">
        <f>'Revenue drivers'!BG650</f>
        <v>0</v>
      </c>
      <c r="BH897">
        <f>'Revenue drivers'!BH650</f>
        <v>0</v>
      </c>
      <c r="BI897">
        <f>'Revenue drivers'!BI650</f>
        <v>0</v>
      </c>
      <c r="BJ897">
        <f>'Revenue drivers'!BJ650</f>
        <v>0</v>
      </c>
      <c r="BK897">
        <f>'Revenue drivers'!BK650</f>
        <v>0</v>
      </c>
      <c r="BL897">
        <f>'Revenue drivers'!BL650</f>
        <v>15</v>
      </c>
      <c r="BM897">
        <f>'Revenue drivers'!BM650</f>
        <v>23</v>
      </c>
      <c r="BN897">
        <f>'Revenue drivers'!BN650</f>
        <v>23</v>
      </c>
      <c r="BO897">
        <f>'Revenue drivers'!BO650</f>
        <v>23</v>
      </c>
      <c r="BP897">
        <f>'Revenue drivers'!BP650</f>
        <v>23</v>
      </c>
      <c r="BQ897">
        <f>'Revenue drivers'!BQ650</f>
        <v>23</v>
      </c>
      <c r="BR897">
        <f>'Revenue drivers'!BR650</f>
        <v>23</v>
      </c>
      <c r="BS897">
        <f>'Revenue drivers'!BS650</f>
        <v>23</v>
      </c>
      <c r="BT897">
        <f>'Revenue drivers'!BT650</f>
        <v>23</v>
      </c>
      <c r="BU897">
        <f>'Revenue drivers'!BU650</f>
        <v>23</v>
      </c>
      <c r="BV897">
        <f>'Revenue drivers'!BV650</f>
        <v>23</v>
      </c>
      <c r="BW897">
        <f>'Revenue drivers'!BW650</f>
        <v>23</v>
      </c>
      <c r="BX897">
        <f>'Revenue drivers'!BX650</f>
        <v>23</v>
      </c>
      <c r="BY897">
        <f>'Revenue drivers'!BY650</f>
        <v>23</v>
      </c>
    </row>
    <row r="898" spans="9:77" ht="11.25" customHeight="1">
      <c r="I898" t="str">
        <f>'Revenue drivers'!I651</f>
        <v>% change Y/Y</v>
      </c>
      <c r="J898">
        <f>'Revenue drivers'!J651</f>
        <v>0</v>
      </c>
      <c r="K898">
        <f>'Revenue drivers'!K651</f>
        <v>0</v>
      </c>
      <c r="L898">
        <f>'Revenue drivers'!L651</f>
        <v>0</v>
      </c>
      <c r="M898">
        <f>'Revenue drivers'!M651</f>
        <v>0</v>
      </c>
      <c r="N898">
        <f>'Revenue drivers'!N651</f>
        <v>0</v>
      </c>
      <c r="O898">
        <f>'Revenue drivers'!O651</f>
        <v>0</v>
      </c>
      <c r="P898">
        <f>'Revenue drivers'!P651</f>
        <v>0</v>
      </c>
      <c r="Q898">
        <f>'Revenue drivers'!Q651</f>
        <v>0</v>
      </c>
      <c r="R898">
        <f>'Revenue drivers'!R651</f>
        <v>0</v>
      </c>
      <c r="S898">
        <f>'Revenue drivers'!S651</f>
        <v>0</v>
      </c>
      <c r="T898">
        <f>'Revenue drivers'!T651</f>
        <v>0</v>
      </c>
      <c r="U898">
        <f>'Revenue drivers'!U651</f>
        <v>0</v>
      </c>
      <c r="V898">
        <f>'Revenue drivers'!V651</f>
        <v>0</v>
      </c>
      <c r="W898">
        <f>'Revenue drivers'!W651</f>
        <v>0</v>
      </c>
      <c r="X898">
        <f>'Revenue drivers'!X651</f>
        <v>0</v>
      </c>
      <c r="Y898">
        <f>'Revenue drivers'!Y651</f>
        <v>0.45454545454545459</v>
      </c>
      <c r="Z898">
        <f>'Revenue drivers'!Z651</f>
        <v>0.38461538461538458</v>
      </c>
      <c r="AA898">
        <f>'Revenue drivers'!AA651</f>
        <v>0.46666666666666656</v>
      </c>
      <c r="AB898">
        <f>'Revenue drivers'!AB651</f>
        <v>0.53333333333333344</v>
      </c>
      <c r="AC898">
        <f>'Revenue drivers'!AC651</f>
        <v>0.4375</v>
      </c>
      <c r="AD898">
        <f>'Revenue drivers'!AD651</f>
        <v>0.27777777777777768</v>
      </c>
      <c r="AE898">
        <f>'Revenue drivers'!AE651</f>
        <v>4.5454545454545414E-2</v>
      </c>
      <c r="AF898">
        <f>'Revenue drivers'!AF651</f>
        <v>0</v>
      </c>
      <c r="AG898">
        <f>'Revenue drivers'!AG651</f>
        <v>0</v>
      </c>
      <c r="AH898">
        <f>'Revenue drivers'!AH651</f>
        <v>0</v>
      </c>
      <c r="AI898">
        <f>'Revenue drivers'!AI651</f>
        <v>0</v>
      </c>
      <c r="AJ898">
        <f>'Revenue drivers'!AJ651</f>
        <v>0</v>
      </c>
      <c r="AK898">
        <f>'Revenue drivers'!AK651</f>
        <v>0</v>
      </c>
      <c r="AL898">
        <f>'Revenue drivers'!AL651</f>
        <v>0</v>
      </c>
      <c r="AM898">
        <f>'Revenue drivers'!AM651</f>
        <v>0</v>
      </c>
      <c r="AN898">
        <f>'Revenue drivers'!AN651</f>
        <v>0</v>
      </c>
      <c r="AO898">
        <f>'Revenue drivers'!AO651</f>
        <v>0</v>
      </c>
      <c r="AP898">
        <f>'Revenue drivers'!AP651</f>
        <v>0</v>
      </c>
      <c r="AQ898">
        <f>'Revenue drivers'!AQ651</f>
        <v>0</v>
      </c>
      <c r="AR898">
        <f>'Revenue drivers'!AR651</f>
        <v>0</v>
      </c>
      <c r="AS898">
        <f>'Revenue drivers'!AS651</f>
        <v>0</v>
      </c>
      <c r="AT898">
        <f>'Revenue drivers'!AT651</f>
        <v>0</v>
      </c>
      <c r="AU898">
        <f>'Revenue drivers'!AU651</f>
        <v>0</v>
      </c>
      <c r="AV898">
        <f>'Revenue drivers'!AV651</f>
        <v>0</v>
      </c>
      <c r="AW898">
        <f>'Revenue drivers'!AW651</f>
        <v>0</v>
      </c>
      <c r="AX898">
        <f>'Revenue drivers'!AX651</f>
        <v>0</v>
      </c>
      <c r="AY898">
        <f>'Revenue drivers'!AY651</f>
        <v>0</v>
      </c>
      <c r="AZ898">
        <f>'Revenue drivers'!AZ651</f>
        <v>0</v>
      </c>
      <c r="BA898">
        <f>'Revenue drivers'!BA651</f>
        <v>0</v>
      </c>
      <c r="BB898">
        <f>'Revenue drivers'!BB651</f>
        <v>0</v>
      </c>
      <c r="BC898">
        <f>'Revenue drivers'!BC651</f>
        <v>0</v>
      </c>
      <c r="BD898">
        <f>'Revenue drivers'!BD651</f>
        <v>0</v>
      </c>
      <c r="BE898">
        <f>'Revenue drivers'!BE651</f>
        <v>0</v>
      </c>
      <c r="BF898">
        <f>'Revenue drivers'!BF651</f>
        <v>0</v>
      </c>
      <c r="BG898">
        <f>'Revenue drivers'!BG651</f>
        <v>0</v>
      </c>
      <c r="BH898">
        <f>'Revenue drivers'!BH651</f>
        <v>0</v>
      </c>
      <c r="BI898">
        <f>'Revenue drivers'!BI651</f>
        <v>0</v>
      </c>
      <c r="BJ898">
        <f>'Revenue drivers'!BJ651</f>
        <v>0</v>
      </c>
      <c r="BK898">
        <f>'Revenue drivers'!BK651</f>
        <v>0</v>
      </c>
      <c r="BL898">
        <f>'Revenue drivers'!BL651</f>
        <v>0</v>
      </c>
      <c r="BM898">
        <f>'Revenue drivers'!BM651</f>
        <v>0</v>
      </c>
      <c r="BN898">
        <f>'Revenue drivers'!BN651</f>
        <v>0</v>
      </c>
      <c r="BO898">
        <f>'Revenue drivers'!BO651</f>
        <v>0</v>
      </c>
      <c r="BP898">
        <f>'Revenue drivers'!BP651</f>
        <v>0</v>
      </c>
      <c r="BQ898">
        <f>'Revenue drivers'!BQ651</f>
        <v>0</v>
      </c>
      <c r="BR898">
        <f>'Revenue drivers'!BR651</f>
        <v>0</v>
      </c>
      <c r="BS898">
        <f>'Revenue drivers'!BS651</f>
        <v>0</v>
      </c>
      <c r="BT898">
        <f>'Revenue drivers'!BT651</f>
        <v>0</v>
      </c>
      <c r="BU898">
        <f>'Revenue drivers'!BU651</f>
        <v>0</v>
      </c>
      <c r="BV898">
        <f>'Revenue drivers'!BV651</f>
        <v>0</v>
      </c>
      <c r="BW898">
        <f>'Revenue drivers'!BW651</f>
        <v>0</v>
      </c>
      <c r="BX898">
        <f>'Revenue drivers'!BX651</f>
        <v>0</v>
      </c>
      <c r="BY898">
        <f>'Revenue drivers'!BY651</f>
        <v>0</v>
      </c>
    </row>
    <row r="899" spans="9:77" ht="11.25" customHeight="1">
      <c r="I899">
        <f>'Revenue drivers'!I652</f>
        <v>0</v>
      </c>
      <c r="J899">
        <f>'Revenue drivers'!J652</f>
        <v>0</v>
      </c>
      <c r="K899">
        <f>'Revenue drivers'!K652</f>
        <v>0</v>
      </c>
      <c r="L899">
        <f>'Revenue drivers'!L652</f>
        <v>0</v>
      </c>
      <c r="M899">
        <f>'Revenue drivers'!M652</f>
        <v>0</v>
      </c>
      <c r="N899">
        <f>'Revenue drivers'!N652</f>
        <v>0</v>
      </c>
      <c r="O899">
        <f>'Revenue drivers'!O652</f>
        <v>0</v>
      </c>
      <c r="P899">
        <f>'Revenue drivers'!P652</f>
        <v>0</v>
      </c>
      <c r="Q899">
        <f>'Revenue drivers'!Q652</f>
        <v>0</v>
      </c>
      <c r="R899">
        <f>'Revenue drivers'!R652</f>
        <v>0</v>
      </c>
      <c r="S899">
        <f>'Revenue drivers'!S652</f>
        <v>0</v>
      </c>
      <c r="T899">
        <f>'Revenue drivers'!T652</f>
        <v>0</v>
      </c>
      <c r="U899">
        <f>'Revenue drivers'!U652</f>
        <v>0</v>
      </c>
      <c r="V899">
        <f>'Revenue drivers'!V652</f>
        <v>0</v>
      </c>
      <c r="W899">
        <f>'Revenue drivers'!W652</f>
        <v>0</v>
      </c>
      <c r="X899">
        <f>'Revenue drivers'!X652</f>
        <v>0</v>
      </c>
      <c r="Y899">
        <f>'Revenue drivers'!Y652</f>
        <v>0</v>
      </c>
      <c r="Z899">
        <f>'Revenue drivers'!Z652</f>
        <v>0</v>
      </c>
      <c r="AA899">
        <f>'Revenue drivers'!AA652</f>
        <v>0</v>
      </c>
      <c r="AB899">
        <f>'Revenue drivers'!AB652</f>
        <v>0</v>
      </c>
      <c r="AC899">
        <f>'Revenue drivers'!AC652</f>
        <v>0</v>
      </c>
      <c r="AD899">
        <f>'Revenue drivers'!AD652</f>
        <v>0</v>
      </c>
      <c r="AE899">
        <f>'Revenue drivers'!AE652</f>
        <v>0</v>
      </c>
      <c r="AF899">
        <f>'Revenue drivers'!AF652</f>
        <v>0</v>
      </c>
      <c r="AG899">
        <f>'Revenue drivers'!AG652</f>
        <v>0</v>
      </c>
      <c r="AH899">
        <f>'Revenue drivers'!AH652</f>
        <v>0</v>
      </c>
      <c r="AI899">
        <f>'Revenue drivers'!AI652</f>
        <v>0</v>
      </c>
      <c r="AJ899">
        <f>'Revenue drivers'!AJ652</f>
        <v>0</v>
      </c>
      <c r="AK899">
        <f>'Revenue drivers'!AK652</f>
        <v>0</v>
      </c>
      <c r="AL899">
        <f>'Revenue drivers'!AL652</f>
        <v>0</v>
      </c>
      <c r="AM899">
        <f>'Revenue drivers'!AM652</f>
        <v>0</v>
      </c>
      <c r="AN899">
        <f>'Revenue drivers'!AN652</f>
        <v>0</v>
      </c>
      <c r="AO899">
        <f>'Revenue drivers'!AO652</f>
        <v>0</v>
      </c>
      <c r="AP899">
        <f>'Revenue drivers'!AP652</f>
        <v>0</v>
      </c>
      <c r="AQ899">
        <f>'Revenue drivers'!AQ652</f>
        <v>0</v>
      </c>
      <c r="AR899">
        <f>'Revenue drivers'!AR652</f>
        <v>0</v>
      </c>
      <c r="AS899">
        <f>'Revenue drivers'!AS652</f>
        <v>0</v>
      </c>
      <c r="AT899">
        <f>'Revenue drivers'!AT652</f>
        <v>0</v>
      </c>
      <c r="AU899">
        <f>'Revenue drivers'!AU652</f>
        <v>0</v>
      </c>
      <c r="AV899">
        <f>'Revenue drivers'!AV652</f>
        <v>0</v>
      </c>
      <c r="AW899">
        <f>'Revenue drivers'!AW652</f>
        <v>0</v>
      </c>
      <c r="AX899">
        <f>'Revenue drivers'!AX652</f>
        <v>0</v>
      </c>
      <c r="AY899">
        <f>'Revenue drivers'!AY652</f>
        <v>0</v>
      </c>
      <c r="AZ899">
        <f>'Revenue drivers'!AZ652</f>
        <v>0</v>
      </c>
      <c r="BA899">
        <f>'Revenue drivers'!BA652</f>
        <v>0</v>
      </c>
      <c r="BB899">
        <f>'Revenue drivers'!BB652</f>
        <v>0</v>
      </c>
      <c r="BC899">
        <f>'Revenue drivers'!BC652</f>
        <v>0</v>
      </c>
      <c r="BD899">
        <f>'Revenue drivers'!BD652</f>
        <v>0</v>
      </c>
      <c r="BE899">
        <f>'Revenue drivers'!BE652</f>
        <v>0</v>
      </c>
      <c r="BF899">
        <f>'Revenue drivers'!BF652</f>
        <v>0</v>
      </c>
      <c r="BG899">
        <f>'Revenue drivers'!BG652</f>
        <v>0</v>
      </c>
      <c r="BH899">
        <f>'Revenue drivers'!BH652</f>
        <v>0</v>
      </c>
      <c r="BI899">
        <f>'Revenue drivers'!BI652</f>
        <v>0</v>
      </c>
      <c r="BJ899">
        <f>'Revenue drivers'!BJ652</f>
        <v>0</v>
      </c>
      <c r="BK899">
        <f>'Revenue drivers'!BK652</f>
        <v>0</v>
      </c>
      <c r="BL899">
        <f>'Revenue drivers'!BL652</f>
        <v>0</v>
      </c>
      <c r="BM899">
        <f>'Revenue drivers'!BM652</f>
        <v>0</v>
      </c>
      <c r="BN899">
        <f>'Revenue drivers'!BN652</f>
        <v>0</v>
      </c>
      <c r="BO899">
        <f>'Revenue drivers'!BO652</f>
        <v>0</v>
      </c>
      <c r="BP899">
        <f>'Revenue drivers'!BP652</f>
        <v>0</v>
      </c>
      <c r="BQ899">
        <f>'Revenue drivers'!BQ652</f>
        <v>0</v>
      </c>
      <c r="BR899">
        <f>'Revenue drivers'!BR652</f>
        <v>0</v>
      </c>
      <c r="BS899">
        <f>'Revenue drivers'!BS652</f>
        <v>0</v>
      </c>
      <c r="BT899">
        <f>'Revenue drivers'!BT652</f>
        <v>0</v>
      </c>
      <c r="BU899">
        <f>'Revenue drivers'!BU652</f>
        <v>0</v>
      </c>
      <c r="BV899">
        <f>'Revenue drivers'!BV652</f>
        <v>0</v>
      </c>
      <c r="BW899">
        <f>'Revenue drivers'!BW652</f>
        <v>0</v>
      </c>
      <c r="BX899">
        <f>'Revenue drivers'!BX652</f>
        <v>0</v>
      </c>
      <c r="BY899">
        <f>'Revenue drivers'!BY652</f>
        <v>0</v>
      </c>
    </row>
    <row r="900" spans="9:77" ht="11.25" customHeight="1">
      <c r="I900" t="str">
        <f>'Revenue drivers'!I653</f>
        <v>Average Local Advertising Revenue per Market</v>
      </c>
      <c r="J900">
        <f>'Revenue drivers'!J653</f>
        <v>0</v>
      </c>
      <c r="K900">
        <f>'Revenue drivers'!K653</f>
        <v>0</v>
      </c>
      <c r="L900">
        <f>'Revenue drivers'!L653</f>
        <v>0</v>
      </c>
      <c r="M900">
        <f>'Revenue drivers'!M653</f>
        <v>0</v>
      </c>
      <c r="N900">
        <f>'Revenue drivers'!N653</f>
        <v>0</v>
      </c>
      <c r="O900">
        <f>'Revenue drivers'!O653</f>
        <v>0</v>
      </c>
      <c r="P900">
        <f>'Revenue drivers'!P653</f>
        <v>0</v>
      </c>
      <c r="Q900">
        <f>'Revenue drivers'!Q653</f>
        <v>0</v>
      </c>
      <c r="R900">
        <f>'Revenue drivers'!R653</f>
        <v>0</v>
      </c>
      <c r="S900">
        <f>'Revenue drivers'!S653</f>
        <v>0</v>
      </c>
      <c r="T900">
        <f>'Revenue drivers'!T653</f>
        <v>0</v>
      </c>
      <c r="U900">
        <f>'Revenue drivers'!U653</f>
        <v>0.23321177999733614</v>
      </c>
      <c r="V900">
        <f>'Revenue drivers'!V653</f>
        <v>0.52758333333333329</v>
      </c>
      <c r="W900">
        <f>'Revenue drivers'!W653</f>
        <v>0.30021428571428593</v>
      </c>
      <c r="X900">
        <f>'Revenue drivers'!X653</f>
        <v>0.4523782683008965</v>
      </c>
      <c r="Y900">
        <f>'Revenue drivers'!Y653</f>
        <v>0.36651551498579793</v>
      </c>
      <c r="Z900">
        <f>'Revenue drivers'!Z653</f>
        <v>0.49605020453890397</v>
      </c>
      <c r="AA900">
        <f>'Revenue drivers'!AA653</f>
        <v>0.39160147997128258</v>
      </c>
      <c r="AB900">
        <f>'Revenue drivers'!AB653</f>
        <v>0.41999613333333335</v>
      </c>
      <c r="AC900">
        <f>'Revenue drivers'!AC653</f>
        <v>0.47132908695652215</v>
      </c>
      <c r="AD900">
        <f>'Revenue drivers'!AD653</f>
        <v>0.56362565217391314</v>
      </c>
      <c r="AE900">
        <f>'Revenue drivers'!AE653</f>
        <v>0.65358043478260908</v>
      </c>
      <c r="AF900">
        <f>'Revenue drivers'!AF653</f>
        <v>0.73814739130434781</v>
      </c>
      <c r="AG900">
        <f>'Revenue drivers'!AG653</f>
        <v>0.78730434782608671</v>
      </c>
      <c r="AH900">
        <f>'Revenue drivers'!AH653</f>
        <v>0.90582608695652189</v>
      </c>
      <c r="AI900">
        <f>'Revenue drivers'!AI653</f>
        <v>1.0111304347826084</v>
      </c>
      <c r="AJ900">
        <f>'Revenue drivers'!AJ653</f>
        <v>1.1378695652173909</v>
      </c>
      <c r="AK900">
        <f>'Revenue drivers'!AK653</f>
        <v>1.2990434782608704</v>
      </c>
      <c r="AL900">
        <f>'Revenue drivers'!AL653</f>
        <v>1.4910869565217386</v>
      </c>
      <c r="AM900">
        <f>'Revenue drivers'!AM653</f>
        <v>1.6272173913043475</v>
      </c>
      <c r="AN900">
        <f>'Revenue drivers'!AN653</f>
        <v>1.5705069565217378</v>
      </c>
      <c r="AO900">
        <f>'Revenue drivers'!AO653</f>
        <v>1.5456765217391313</v>
      </c>
      <c r="AP900">
        <f>'Revenue drivers'!AP653</f>
        <v>1.5501208695652164</v>
      </c>
      <c r="AQ900">
        <f>'Revenue drivers'!AQ653</f>
        <v>1.5356826086956517</v>
      </c>
      <c r="AR900">
        <f>'Revenue drivers'!AR653</f>
        <v>1.5776414869565212</v>
      </c>
      <c r="AS900">
        <f>'Revenue drivers'!AS653</f>
        <v>1.208804330434784</v>
      </c>
      <c r="AT900">
        <f>'Revenue drivers'!AT653</f>
        <v>1.1777529478260869</v>
      </c>
      <c r="AU900">
        <f>'Revenue drivers'!AU653</f>
        <v>1.0993384434782616</v>
      </c>
      <c r="AV900">
        <f>'Revenue drivers'!AV653</f>
        <v>1.0307490420000014</v>
      </c>
      <c r="AW900">
        <f>'Revenue drivers'!AW653</f>
        <v>0.6272896191304369</v>
      </c>
      <c r="AX900">
        <f>'Revenue drivers'!AX653</f>
        <v>0.53290865139130783</v>
      </c>
      <c r="AY900">
        <f>'Revenue drivers'!AY653</f>
        <v>0.40919532408696074</v>
      </c>
      <c r="AZ900">
        <f>'Revenue drivers'!AZ653</f>
        <v>0.29185691920609158</v>
      </c>
      <c r="BA900">
        <f>'Revenue drivers'!BA653</f>
        <v>-0.16900968656521242</v>
      </c>
      <c r="BB900">
        <f>'Revenue drivers'!BB653</f>
        <v>-0.29889396458695155</v>
      </c>
      <c r="BC900">
        <f>'Revenue drivers'!BC653</f>
        <v>-0.43800727804086426</v>
      </c>
      <c r="BD900">
        <f>'Revenue drivers'!BD653</f>
        <v>-0.57490459422160212</v>
      </c>
      <c r="BE900">
        <f>'Revenue drivers'!BE653</f>
        <v>0</v>
      </c>
      <c r="BF900">
        <f>'Revenue drivers'!BF653</f>
        <v>0</v>
      </c>
      <c r="BG900">
        <f>'Revenue drivers'!BG653</f>
        <v>0</v>
      </c>
      <c r="BH900">
        <f>'Revenue drivers'!BH653</f>
        <v>0</v>
      </c>
      <c r="BI900">
        <f>'Revenue drivers'!BI653</f>
        <v>0</v>
      </c>
      <c r="BJ900">
        <f>'Revenue drivers'!BJ653</f>
        <v>0</v>
      </c>
      <c r="BK900">
        <f>'Revenue drivers'!BK653</f>
        <v>0</v>
      </c>
      <c r="BL900">
        <f>'Revenue drivers'!BL653</f>
        <v>0</v>
      </c>
      <c r="BM900">
        <f>'Revenue drivers'!BM653</f>
        <v>1.6524098188877303</v>
      </c>
      <c r="BN900">
        <f>'Revenue drivers'!BN653</f>
        <v>2.4266825652173902</v>
      </c>
      <c r="BO900">
        <f>'Revenue drivers'!BO653</f>
        <v>3.8421304347826113</v>
      </c>
      <c r="BP900">
        <f>'Revenue drivers'!BP653</f>
        <v>5.9878547826086983</v>
      </c>
      <c r="BQ900">
        <f>'Revenue drivers'!BQ653</f>
        <v>6.2091214869565245</v>
      </c>
      <c r="BR900">
        <f>'Revenue drivers'!BR653</f>
        <v>4.516644763739138</v>
      </c>
      <c r="BS900">
        <f>'Revenue drivers'!BS653</f>
        <v>1.861250513814807</v>
      </c>
      <c r="BT900">
        <f>'Revenue drivers'!BT653</f>
        <v>-1.4808155234146279</v>
      </c>
      <c r="BU900">
        <f>'Revenue drivers'!BU653</f>
        <v>-7.9328895433182094</v>
      </c>
      <c r="BV900">
        <f>'Revenue drivers'!BV653</f>
        <v>-15.625452173487506</v>
      </c>
      <c r="BW900">
        <f>'Revenue drivers'!BW653</f>
        <v>-26.348422919427843</v>
      </c>
      <c r="BX900">
        <f>'Revenue drivers'!BX653</f>
        <v>-39.616401574982589</v>
      </c>
      <c r="BY900">
        <f>'Revenue drivers'!BY653</f>
        <v>-55.997723891967595</v>
      </c>
    </row>
    <row r="901" spans="9:77" ht="11.25" customHeight="1">
      <c r="I901" t="str">
        <f>'Revenue drivers'!I654</f>
        <v>% change Y/Y</v>
      </c>
      <c r="J901">
        <f>'Revenue drivers'!J654</f>
        <v>0</v>
      </c>
      <c r="K901">
        <f>'Revenue drivers'!K654</f>
        <v>0</v>
      </c>
      <c r="L901">
        <f>'Revenue drivers'!L654</f>
        <v>0</v>
      </c>
      <c r="M901">
        <f>'Revenue drivers'!M654</f>
        <v>0</v>
      </c>
      <c r="N901">
        <f>'Revenue drivers'!N654</f>
        <v>0</v>
      </c>
      <c r="O901">
        <f>'Revenue drivers'!O654</f>
        <v>0</v>
      </c>
      <c r="P901">
        <f>'Revenue drivers'!P654</f>
        <v>0</v>
      </c>
      <c r="Q901">
        <f>'Revenue drivers'!Q654</f>
        <v>0</v>
      </c>
      <c r="R901">
        <f>'Revenue drivers'!R654</f>
        <v>0</v>
      </c>
      <c r="S901">
        <f>'Revenue drivers'!S654</f>
        <v>0</v>
      </c>
      <c r="T901">
        <f>'Revenue drivers'!T654</f>
        <v>0</v>
      </c>
      <c r="U901">
        <f>'Revenue drivers'!U654</f>
        <v>0</v>
      </c>
      <c r="V901">
        <f>'Revenue drivers'!V654</f>
        <v>0</v>
      </c>
      <c r="W901">
        <f>'Revenue drivers'!W654</f>
        <v>0</v>
      </c>
      <c r="X901">
        <f>'Revenue drivers'!X654</f>
        <v>0</v>
      </c>
      <c r="Y901">
        <f>'Revenue drivers'!Y654</f>
        <v>0.57159949205818195</v>
      </c>
      <c r="Z901">
        <f>'Revenue drivers'!Z654</f>
        <v>-5.9769001031930502E-2</v>
      </c>
      <c r="AA901">
        <f>'Revenue drivers'!AA654</f>
        <v>0.3044065476083635</v>
      </c>
      <c r="AB901">
        <f>'Revenue drivers'!AB654</f>
        <v>-7.1581986219604099E-2</v>
      </c>
      <c r="AC901">
        <f>'Revenue drivers'!AC654</f>
        <v>0.28597308349903172</v>
      </c>
      <c r="AD901">
        <f>'Revenue drivers'!AD654</f>
        <v>0.13622703310408446</v>
      </c>
      <c r="AE901">
        <f>'Revenue drivers'!AE654</f>
        <v>0.66899378120465292</v>
      </c>
      <c r="AF901">
        <f>'Revenue drivers'!AF654</f>
        <v>0.75750996907038459</v>
      </c>
      <c r="AG901">
        <f>'Revenue drivers'!AG654</f>
        <v>0.6703920246252737</v>
      </c>
      <c r="AH901">
        <f>'Revenue drivers'!AH654</f>
        <v>0.60714134188665159</v>
      </c>
      <c r="AI901">
        <f>'Revenue drivers'!AI654</f>
        <v>0.54706349971893831</v>
      </c>
      <c r="AJ901">
        <f>'Revenue drivers'!AJ654</f>
        <v>0.54152081091380899</v>
      </c>
      <c r="AK901">
        <f>'Revenue drivers'!AK654</f>
        <v>0.64998895515794275</v>
      </c>
      <c r="AL901">
        <f>'Revenue drivers'!AL654</f>
        <v>0.64610732456561304</v>
      </c>
      <c r="AM901">
        <f>'Revenue drivers'!AM654</f>
        <v>0.60930512555899563</v>
      </c>
      <c r="AN901">
        <f>'Revenue drivers'!AN654</f>
        <v>0.38021703412173702</v>
      </c>
      <c r="AO901">
        <f>'Revenue drivers'!AO654</f>
        <v>0.18985742017537977</v>
      </c>
      <c r="AP901">
        <f>'Revenue drivers'!AP654</f>
        <v>3.9591194051610712E-2</v>
      </c>
      <c r="AQ901">
        <f>'Revenue drivers'!AQ654</f>
        <v>-5.6252337946882003E-2</v>
      </c>
      <c r="AR901">
        <f>'Revenue drivers'!AR654</f>
        <v>4.5428200143631248E-3</v>
      </c>
      <c r="AS901">
        <f>'Revenue drivers'!AS654</f>
        <v>-0.21794481999720916</v>
      </c>
      <c r="AT901">
        <f>'Revenue drivers'!AT654</f>
        <v>-0.24021863652708109</v>
      </c>
      <c r="AU901">
        <f>'Revenue drivers'!AU654</f>
        <v>-0.28413694519077981</v>
      </c>
      <c r="AV901">
        <f>'Revenue drivers'!AV654</f>
        <v>-0.34665191647029236</v>
      </c>
      <c r="AW901">
        <f>'Revenue drivers'!AW654</f>
        <v>-0.48106603911253965</v>
      </c>
      <c r="AX901">
        <f>'Revenue drivers'!AX654</f>
        <v>-0.54752085114712878</v>
      </c>
      <c r="AY901">
        <f>'Revenue drivers'!AY654</f>
        <v>-0.6277803923673555</v>
      </c>
      <c r="AZ901">
        <f>'Revenue drivers'!AZ654</f>
        <v>-0.7168496818199408</v>
      </c>
      <c r="BA901">
        <f>'Revenue drivers'!BA654</f>
        <v>-1.2694284767528874</v>
      </c>
      <c r="BB901">
        <f>'Revenue drivers'!BB654</f>
        <v>-1.560872794627381</v>
      </c>
      <c r="BC901">
        <f>'Revenue drivers'!BC654</f>
        <v>-2.0704112492443354</v>
      </c>
      <c r="BD901">
        <f>'Revenue drivers'!BD654</f>
        <v>-2.9698165655467621</v>
      </c>
      <c r="BE901">
        <f>'Revenue drivers'!BE654</f>
        <v>0</v>
      </c>
      <c r="BF901">
        <f>'Revenue drivers'!BF654</f>
        <v>0</v>
      </c>
      <c r="BG901">
        <f>'Revenue drivers'!BG654</f>
        <v>0</v>
      </c>
      <c r="BH901">
        <f>'Revenue drivers'!BH654</f>
        <v>0</v>
      </c>
      <c r="BI901">
        <f>'Revenue drivers'!BI654</f>
        <v>0</v>
      </c>
      <c r="BJ901">
        <f>'Revenue drivers'!BJ654</f>
        <v>0</v>
      </c>
      <c r="BK901">
        <f>'Revenue drivers'!BK654</f>
        <v>0</v>
      </c>
      <c r="BL901">
        <f>'Revenue drivers'!BL654</f>
        <v>0</v>
      </c>
      <c r="BM901">
        <f>'Revenue drivers'!BM654</f>
        <v>0</v>
      </c>
      <c r="BN901">
        <f>'Revenue drivers'!BN654</f>
        <v>0.46857186242746862</v>
      </c>
      <c r="BO901">
        <f>'Revenue drivers'!BO654</f>
        <v>0.58328513578718555</v>
      </c>
      <c r="BP901">
        <f>'Revenue drivers'!BP654</f>
        <v>0.55847254127578649</v>
      </c>
      <c r="BQ901">
        <f>'Revenue drivers'!BQ654</f>
        <v>3.6952583584772158E-2</v>
      </c>
      <c r="BR901">
        <f>'Revenue drivers'!BR654</f>
        <v>-0.27257909621719678</v>
      </c>
      <c r="BS901">
        <f>'Revenue drivers'!BS654</f>
        <v>-0.58791301703480503</v>
      </c>
      <c r="BT901">
        <f>'Revenue drivers'!BT654</f>
        <v>-1.7956024793135223</v>
      </c>
      <c r="BU901">
        <f>'Revenue drivers'!BU654</f>
        <v>4.3571085782688694</v>
      </c>
      <c r="BV901">
        <f>'Revenue drivers'!BV654</f>
        <v>0.96970499691990075</v>
      </c>
      <c r="BW901">
        <f>'Revenue drivers'!BW654</f>
        <v>0.68625026827284663</v>
      </c>
      <c r="BX901">
        <f>'Revenue drivers'!BX654</f>
        <v>0.50355874035146475</v>
      </c>
      <c r="BY901">
        <f>'Revenue drivers'!BY654</f>
        <v>0.41349849218334023</v>
      </c>
    </row>
    <row r="902" spans="9:77" ht="11.25" customHeight="1">
      <c r="I902" t="str">
        <f>'Revenue drivers'!I655</f>
        <v>% change Two-Year</v>
      </c>
      <c r="J902">
        <f>'Revenue drivers'!J655</f>
        <v>0</v>
      </c>
      <c r="K902">
        <f>'Revenue drivers'!K655</f>
        <v>0</v>
      </c>
      <c r="L902">
        <f>'Revenue drivers'!L655</f>
        <v>0</v>
      </c>
      <c r="M902">
        <f>'Revenue drivers'!M655</f>
        <v>0</v>
      </c>
      <c r="N902">
        <f>'Revenue drivers'!N655</f>
        <v>0</v>
      </c>
      <c r="O902">
        <f>'Revenue drivers'!O655</f>
        <v>0</v>
      </c>
      <c r="P902">
        <f>'Revenue drivers'!P655</f>
        <v>0</v>
      </c>
      <c r="Q902">
        <f>'Revenue drivers'!Q655</f>
        <v>0</v>
      </c>
      <c r="R902">
        <f>'Revenue drivers'!R655</f>
        <v>0</v>
      </c>
      <c r="S902">
        <f>'Revenue drivers'!S655</f>
        <v>0</v>
      </c>
      <c r="T902">
        <f>'Revenue drivers'!T655</f>
        <v>0</v>
      </c>
      <c r="U902">
        <f>'Revenue drivers'!U655</f>
        <v>0</v>
      </c>
      <c r="V902">
        <f>'Revenue drivers'!V655</f>
        <v>0</v>
      </c>
      <c r="W902">
        <f>'Revenue drivers'!W655</f>
        <v>0</v>
      </c>
      <c r="X902">
        <f>'Revenue drivers'!X655</f>
        <v>0</v>
      </c>
      <c r="Y902">
        <f>'Revenue drivers'!Y655</f>
        <v>0</v>
      </c>
      <c r="Z902">
        <f>'Revenue drivers'!Z655</f>
        <v>0</v>
      </c>
      <c r="AA902">
        <f>'Revenue drivers'!AA655</f>
        <v>0</v>
      </c>
      <c r="AB902">
        <f>'Revenue drivers'!AB655</f>
        <v>0</v>
      </c>
      <c r="AC902">
        <f>'Revenue drivers'!AC655</f>
        <v>0.85757257555721367</v>
      </c>
      <c r="AD902">
        <f>'Revenue drivers'!AD655</f>
        <v>7.6458032072153959E-2</v>
      </c>
      <c r="AE902">
        <f>'Revenue drivers'!AE655</f>
        <v>0.97340032881301641</v>
      </c>
      <c r="AF902">
        <f>'Revenue drivers'!AF655</f>
        <v>0.68592798285078049</v>
      </c>
      <c r="AG902">
        <f>'Revenue drivers'!AG655</f>
        <v>0.95636510812430542</v>
      </c>
      <c r="AH902">
        <f>'Revenue drivers'!AH655</f>
        <v>0.74336837499073605</v>
      </c>
      <c r="AI902">
        <f>'Revenue drivers'!AI655</f>
        <v>1.2160572809235912</v>
      </c>
      <c r="AJ902">
        <f>'Revenue drivers'!AJ655</f>
        <v>1.2990307799841936</v>
      </c>
      <c r="AK902">
        <f>'Revenue drivers'!AK655</f>
        <v>1.3203809797832164</v>
      </c>
      <c r="AL902">
        <f>'Revenue drivers'!AL655</f>
        <v>1.2532486664522646</v>
      </c>
      <c r="AM902">
        <f>'Revenue drivers'!AM655</f>
        <v>1.1563686252779339</v>
      </c>
      <c r="AN902">
        <f>'Revenue drivers'!AN655</f>
        <v>0.92173784503554601</v>
      </c>
      <c r="AO902">
        <f>'Revenue drivers'!AO655</f>
        <v>0.83984637533332251</v>
      </c>
      <c r="AP902">
        <f>'Revenue drivers'!AP655</f>
        <v>0.68569851861722375</v>
      </c>
      <c r="AQ902">
        <f>'Revenue drivers'!AQ655</f>
        <v>0.55305278761211363</v>
      </c>
      <c r="AR902">
        <f>'Revenue drivers'!AR655</f>
        <v>0.38475985413610014</v>
      </c>
      <c r="AS902">
        <f>'Revenue drivers'!AS655</f>
        <v>-2.8087399821829395E-2</v>
      </c>
      <c r="AT902">
        <f>'Revenue drivers'!AT655</f>
        <v>-0.20062744247547037</v>
      </c>
      <c r="AU902">
        <f>'Revenue drivers'!AU655</f>
        <v>-0.34038928313766181</v>
      </c>
      <c r="AV902">
        <f>'Revenue drivers'!AV655</f>
        <v>-0.34210909645592924</v>
      </c>
      <c r="AW902">
        <f>'Revenue drivers'!AW655</f>
        <v>-0.69901085910974881</v>
      </c>
      <c r="AX902">
        <f>'Revenue drivers'!AX655</f>
        <v>-0.78773948767420987</v>
      </c>
      <c r="AY902">
        <f>'Revenue drivers'!AY655</f>
        <v>-0.91191733755813531</v>
      </c>
      <c r="AZ902">
        <f>'Revenue drivers'!AZ655</f>
        <v>-1.0635015982902332</v>
      </c>
      <c r="BA902">
        <f>'Revenue drivers'!BA655</f>
        <v>-1.750494515865427</v>
      </c>
      <c r="BB902">
        <f>'Revenue drivers'!BB655</f>
        <v>-2.1083936457745098</v>
      </c>
      <c r="BC902">
        <f>'Revenue drivers'!BC655</f>
        <v>-2.6981916416116909</v>
      </c>
      <c r="BD902">
        <f>'Revenue drivers'!BD655</f>
        <v>-3.6866662473667029</v>
      </c>
      <c r="BE902">
        <f>'Revenue drivers'!BE655</f>
        <v>0</v>
      </c>
      <c r="BF902">
        <f>'Revenue drivers'!BF655</f>
        <v>0</v>
      </c>
      <c r="BG902">
        <f>'Revenue drivers'!BG655</f>
        <v>0</v>
      </c>
      <c r="BH902">
        <f>'Revenue drivers'!BH655</f>
        <v>0</v>
      </c>
      <c r="BI902">
        <f>'Revenue drivers'!BI655</f>
        <v>0</v>
      </c>
      <c r="BJ902">
        <f>'Revenue drivers'!BJ655</f>
        <v>0</v>
      </c>
      <c r="BK902">
        <f>'Revenue drivers'!BK655</f>
        <v>0</v>
      </c>
      <c r="BL902">
        <f>'Revenue drivers'!BL655</f>
        <v>0</v>
      </c>
      <c r="BM902">
        <f>'Revenue drivers'!BM655</f>
        <v>0</v>
      </c>
      <c r="BN902">
        <f>'Revenue drivers'!BN655</f>
        <v>0</v>
      </c>
      <c r="BO902">
        <f>'Revenue drivers'!BO655</f>
        <v>0</v>
      </c>
      <c r="BP902">
        <f>'Revenue drivers'!BP655</f>
        <v>1.141757677062972</v>
      </c>
      <c r="BQ902">
        <f>'Revenue drivers'!BQ655</f>
        <v>0.59542512486055865</v>
      </c>
      <c r="BR902">
        <f>'Revenue drivers'!BR655</f>
        <v>-0.23562651263242462</v>
      </c>
      <c r="BS902">
        <f>'Revenue drivers'!BS655</f>
        <v>-0.86049211325200181</v>
      </c>
      <c r="BT902">
        <f>'Revenue drivers'!BT655</f>
        <v>-2.3835154963483274</v>
      </c>
      <c r="BU902">
        <f>'Revenue drivers'!BU655</f>
        <v>2.5615060989553471</v>
      </c>
      <c r="BV902">
        <f>'Revenue drivers'!BV655</f>
        <v>5.32681357518877</v>
      </c>
      <c r="BW902">
        <f>'Revenue drivers'!BW655</f>
        <v>1.6559552651927474</v>
      </c>
      <c r="BX902">
        <f>'Revenue drivers'!BX655</f>
        <v>1.1898090086243114</v>
      </c>
      <c r="BY902">
        <f>'Revenue drivers'!BY655</f>
        <v>0.91705723253480498</v>
      </c>
    </row>
    <row r="903" spans="9:77" ht="11.25" customHeight="1">
      <c r="I903">
        <f>'Revenue drivers'!I656</f>
        <v>0</v>
      </c>
      <c r="J903">
        <f>'Revenue drivers'!J656</f>
        <v>0</v>
      </c>
      <c r="K903">
        <f>'Revenue drivers'!K656</f>
        <v>0</v>
      </c>
      <c r="L903">
        <f>'Revenue drivers'!L656</f>
        <v>0</v>
      </c>
      <c r="M903">
        <f>'Revenue drivers'!M656</f>
        <v>0</v>
      </c>
      <c r="N903">
        <f>'Revenue drivers'!N656</f>
        <v>0</v>
      </c>
      <c r="O903">
        <f>'Revenue drivers'!O656</f>
        <v>0</v>
      </c>
      <c r="P903">
        <f>'Revenue drivers'!P656</f>
        <v>0</v>
      </c>
      <c r="Q903">
        <f>'Revenue drivers'!Q656</f>
        <v>0</v>
      </c>
      <c r="R903">
        <f>'Revenue drivers'!R656</f>
        <v>0</v>
      </c>
      <c r="S903">
        <f>'Revenue drivers'!S656</f>
        <v>0</v>
      </c>
      <c r="T903">
        <f>'Revenue drivers'!T656</f>
        <v>0</v>
      </c>
      <c r="U903">
        <f>'Revenue drivers'!U656</f>
        <v>0</v>
      </c>
      <c r="V903">
        <f>'Revenue drivers'!V656</f>
        <v>0</v>
      </c>
      <c r="W903">
        <f>'Revenue drivers'!W656</f>
        <v>0</v>
      </c>
      <c r="X903">
        <f>'Revenue drivers'!X656</f>
        <v>0</v>
      </c>
      <c r="Y903">
        <f>'Revenue drivers'!Y656</f>
        <v>0</v>
      </c>
      <c r="Z903">
        <f>'Revenue drivers'!Z656</f>
        <v>0</v>
      </c>
      <c r="AA903">
        <f>'Revenue drivers'!AA656</f>
        <v>0</v>
      </c>
      <c r="AB903">
        <f>'Revenue drivers'!AB656</f>
        <v>0</v>
      </c>
      <c r="AC903">
        <f>'Revenue drivers'!AC656</f>
        <v>0</v>
      </c>
      <c r="AD903">
        <f>'Revenue drivers'!AD656</f>
        <v>0</v>
      </c>
      <c r="AE903">
        <f>'Revenue drivers'!AE656</f>
        <v>0</v>
      </c>
      <c r="AF903">
        <f>'Revenue drivers'!AF656</f>
        <v>0</v>
      </c>
      <c r="AG903">
        <f>'Revenue drivers'!AG656</f>
        <v>0</v>
      </c>
      <c r="AH903">
        <f>'Revenue drivers'!AH656</f>
        <v>0</v>
      </c>
      <c r="AI903">
        <f>'Revenue drivers'!AI656</f>
        <v>0</v>
      </c>
      <c r="AJ903">
        <f>'Revenue drivers'!AJ656</f>
        <v>0</v>
      </c>
      <c r="AK903">
        <f>'Revenue drivers'!AK656</f>
        <v>0</v>
      </c>
      <c r="AL903">
        <f>'Revenue drivers'!AL656</f>
        <v>0</v>
      </c>
      <c r="AM903">
        <f>'Revenue drivers'!AM656</f>
        <v>0</v>
      </c>
      <c r="AN903">
        <f>'Revenue drivers'!AN656</f>
        <v>0</v>
      </c>
      <c r="AO903">
        <f>'Revenue drivers'!AO656</f>
        <v>0</v>
      </c>
      <c r="AP903">
        <f>'Revenue drivers'!AP656</f>
        <v>0</v>
      </c>
      <c r="AQ903">
        <f>'Revenue drivers'!AQ656</f>
        <v>0</v>
      </c>
      <c r="AR903">
        <f>'Revenue drivers'!AR656</f>
        <v>0</v>
      </c>
      <c r="AS903">
        <f>'Revenue drivers'!AS656</f>
        <v>0</v>
      </c>
      <c r="AT903">
        <f>'Revenue drivers'!AT656</f>
        <v>0</v>
      </c>
      <c r="AU903">
        <f>'Revenue drivers'!AU656</f>
        <v>0</v>
      </c>
      <c r="AV903">
        <f>'Revenue drivers'!AV656</f>
        <v>0</v>
      </c>
      <c r="AW903">
        <f>'Revenue drivers'!AW656</f>
        <v>0</v>
      </c>
      <c r="AX903">
        <f>'Revenue drivers'!AX656</f>
        <v>0</v>
      </c>
      <c r="AY903">
        <f>'Revenue drivers'!AY656</f>
        <v>0</v>
      </c>
      <c r="AZ903">
        <f>'Revenue drivers'!AZ656</f>
        <v>0</v>
      </c>
      <c r="BA903">
        <f>'Revenue drivers'!BA656</f>
        <v>0</v>
      </c>
      <c r="BB903">
        <f>'Revenue drivers'!BB656</f>
        <v>0</v>
      </c>
      <c r="BC903">
        <f>'Revenue drivers'!BC656</f>
        <v>0</v>
      </c>
      <c r="BD903">
        <f>'Revenue drivers'!BD656</f>
        <v>0</v>
      </c>
      <c r="BE903">
        <f>'Revenue drivers'!BE656</f>
        <v>0</v>
      </c>
      <c r="BF903">
        <f>'Revenue drivers'!BF656</f>
        <v>0</v>
      </c>
      <c r="BG903">
        <f>'Revenue drivers'!BG656</f>
        <v>0</v>
      </c>
      <c r="BH903">
        <f>'Revenue drivers'!BH656</f>
        <v>0</v>
      </c>
      <c r="BI903">
        <f>'Revenue drivers'!BI656</f>
        <v>0</v>
      </c>
      <c r="BJ903">
        <f>'Revenue drivers'!BJ656</f>
        <v>0</v>
      </c>
      <c r="BK903">
        <f>'Revenue drivers'!BK656</f>
        <v>0</v>
      </c>
      <c r="BL903">
        <f>'Revenue drivers'!BL656</f>
        <v>0</v>
      </c>
      <c r="BM903">
        <f>'Revenue drivers'!BM656</f>
        <v>0</v>
      </c>
      <c r="BN903">
        <f>'Revenue drivers'!BN656</f>
        <v>0</v>
      </c>
      <c r="BO903">
        <f>'Revenue drivers'!BO656</f>
        <v>0</v>
      </c>
      <c r="BP903">
        <f>'Revenue drivers'!BP656</f>
        <v>0</v>
      </c>
      <c r="BQ903">
        <f>'Revenue drivers'!BQ656</f>
        <v>0</v>
      </c>
      <c r="BR903">
        <f>'Revenue drivers'!BR656</f>
        <v>0</v>
      </c>
      <c r="BS903">
        <f>'Revenue drivers'!BS656</f>
        <v>0</v>
      </c>
      <c r="BT903">
        <f>'Revenue drivers'!BT656</f>
        <v>0</v>
      </c>
      <c r="BU903">
        <f>'Revenue drivers'!BU656</f>
        <v>0</v>
      </c>
      <c r="BV903">
        <f>'Revenue drivers'!BV656</f>
        <v>0</v>
      </c>
      <c r="BW903">
        <f>'Revenue drivers'!BW656</f>
        <v>0</v>
      </c>
      <c r="BX903">
        <f>'Revenue drivers'!BX656</f>
        <v>0</v>
      </c>
      <c r="BY903">
        <f>'Revenue drivers'!BY656</f>
        <v>0</v>
      </c>
    </row>
    <row r="904" spans="9:77" ht="11.25" customHeight="1">
      <c r="I904" t="str">
        <f>'Revenue drivers'!I657</f>
        <v>Delta to Oldest Cohort</v>
      </c>
      <c r="J904">
        <f>'Revenue drivers'!J657</f>
        <v>0</v>
      </c>
      <c r="K904">
        <f>'Revenue drivers'!K657</f>
        <v>0</v>
      </c>
      <c r="L904">
        <f>'Revenue drivers'!L657</f>
        <v>0</v>
      </c>
      <c r="M904">
        <f>'Revenue drivers'!M657</f>
        <v>0</v>
      </c>
      <c r="N904">
        <f>'Revenue drivers'!N657</f>
        <v>0</v>
      </c>
      <c r="O904">
        <f>'Revenue drivers'!O657</f>
        <v>0</v>
      </c>
      <c r="P904">
        <f>'Revenue drivers'!P657</f>
        <v>0</v>
      </c>
      <c r="Q904">
        <f>'Revenue drivers'!Q657</f>
        <v>0</v>
      </c>
      <c r="R904">
        <f>'Revenue drivers'!R657</f>
        <v>0</v>
      </c>
      <c r="S904">
        <f>'Revenue drivers'!S657</f>
        <v>0</v>
      </c>
      <c r="T904">
        <f>'Revenue drivers'!T657</f>
        <v>0</v>
      </c>
      <c r="U904">
        <f>'Revenue drivers'!U657</f>
        <v>0.11804788276955917</v>
      </c>
      <c r="V904">
        <f>'Revenue drivers'!V657</f>
        <v>0.26686056314280893</v>
      </c>
      <c r="W904">
        <f>'Revenue drivers'!W657</f>
        <v>0.12278702892199835</v>
      </c>
      <c r="X904">
        <f>'Revenue drivers'!X657</f>
        <v>0.17074855420490503</v>
      </c>
      <c r="Y904">
        <f>'Revenue drivers'!Y657</f>
        <v>0.12368266173278865</v>
      </c>
      <c r="Z904">
        <f>'Revenue drivers'!Z657</f>
        <v>0.15442305657409897</v>
      </c>
      <c r="AA904">
        <f>'Revenue drivers'!AA657</f>
        <v>0.10197616910846137</v>
      </c>
      <c r="AB904">
        <f>'Revenue drivers'!AB657</f>
        <v>9.7855576265921104E-2</v>
      </c>
      <c r="AC904">
        <f>'Revenue drivers'!AC657</f>
        <v>9.8790418561417348E-2</v>
      </c>
      <c r="AD904">
        <f>'Revenue drivers'!AD657</f>
        <v>0.10260798328307175</v>
      </c>
      <c r="AE904">
        <f>'Revenue drivers'!AE657</f>
        <v>0.10840610960069814</v>
      </c>
      <c r="AF904">
        <f>'Revenue drivers'!AF657</f>
        <v>0.113160722260363</v>
      </c>
      <c r="AG904">
        <f>'Revenue drivers'!AG657</f>
        <v>0.11468380886031852</v>
      </c>
      <c r="AH904">
        <f>'Revenue drivers'!AH657</f>
        <v>0.12160371686891153</v>
      </c>
      <c r="AI904">
        <f>'Revenue drivers'!AI657</f>
        <v>0.12618625168883171</v>
      </c>
      <c r="AJ904">
        <f>'Revenue drivers'!AJ657</f>
        <v>0.13424605535835191</v>
      </c>
      <c r="AK904">
        <f>'Revenue drivers'!AK657</f>
        <v>0.14295625379782881</v>
      </c>
      <c r="AL904">
        <f>'Revenue drivers'!AL657</f>
        <v>0.15168738113140778</v>
      </c>
      <c r="AM904">
        <f>'Revenue drivers'!AM657</f>
        <v>0.15534294905053436</v>
      </c>
      <c r="AN904">
        <f>'Revenue drivers'!AN657</f>
        <v>0.14252976336095921</v>
      </c>
      <c r="AO904">
        <f>'Revenue drivers'!AO657</f>
        <v>0.13185857313319491</v>
      </c>
      <c r="AP904">
        <f>'Revenue drivers'!AP657</f>
        <v>0.12319755130700157</v>
      </c>
      <c r="AQ904">
        <f>'Revenue drivers'!AQ657</f>
        <v>0.11543664959281767</v>
      </c>
      <c r="AR904">
        <f>'Revenue drivers'!AR657</f>
        <v>0.11363273843063319</v>
      </c>
      <c r="AS904">
        <f>'Revenue drivers'!AS657</f>
        <v>8.2496544117273529E-2</v>
      </c>
      <c r="AT904">
        <f>'Revenue drivers'!AT657</f>
        <v>7.5486454442385914E-2</v>
      </c>
      <c r="AU904">
        <f>'Revenue drivers'!AU657</f>
        <v>6.7184416759720325E-2</v>
      </c>
      <c r="AV904">
        <f>'Revenue drivers'!AV657</f>
        <v>6.0853878590071117E-2</v>
      </c>
      <c r="AW904">
        <f>'Revenue drivers'!AW657</f>
        <v>3.5380378841573447E-2</v>
      </c>
      <c r="AX904">
        <f>'Revenue drivers'!AX657</f>
        <v>2.8463372213343181E-2</v>
      </c>
      <c r="AY904">
        <f>'Revenue drivers'!AY657</f>
        <v>2.101458592044636E-2</v>
      </c>
      <c r="AZ904">
        <f>'Revenue drivers'!AZ657</f>
        <v>1.4602368716329939E-2</v>
      </c>
      <c r="BA904">
        <f>'Revenue drivers'!BA657</f>
        <v>-8.1474201523292454E-3</v>
      </c>
      <c r="BB904">
        <f>'Revenue drivers'!BB657</f>
        <v>-1.3762354411911322E-2</v>
      </c>
      <c r="BC904">
        <f>'Revenue drivers'!BC657</f>
        <v>-1.9560216667354267E-2</v>
      </c>
      <c r="BD904">
        <f>'Revenue drivers'!BD657</f>
        <v>-2.5231568240042562E-2</v>
      </c>
      <c r="BE904">
        <f>'Revenue drivers'!BE657</f>
        <v>0</v>
      </c>
      <c r="BF904">
        <f>'Revenue drivers'!BF657</f>
        <v>0</v>
      </c>
      <c r="BG904">
        <f>'Revenue drivers'!BG657</f>
        <v>0</v>
      </c>
      <c r="BH904">
        <f>'Revenue drivers'!BH657</f>
        <v>0</v>
      </c>
      <c r="BI904">
        <f>'Revenue drivers'!BI657</f>
        <v>0</v>
      </c>
      <c r="BJ904">
        <f>'Revenue drivers'!BJ657</f>
        <v>0</v>
      </c>
      <c r="BK904">
        <f>'Revenue drivers'!BK657</f>
        <v>0</v>
      </c>
      <c r="BL904">
        <f>'Revenue drivers'!BL657</f>
        <v>0</v>
      </c>
      <c r="BM904">
        <f>'Revenue drivers'!BM657</f>
        <v>0.11549044526713356</v>
      </c>
      <c r="BN904">
        <f>'Revenue drivers'!BN657</f>
        <v>0.10635880808280988</v>
      </c>
      <c r="BO904">
        <f>'Revenue drivers'!BO657</f>
        <v>0.12473234538137881</v>
      </c>
      <c r="BP904">
        <f>'Revenue drivers'!BP657</f>
        <v>0.14817461625626557</v>
      </c>
      <c r="BQ904">
        <f>'Revenue drivers'!BQ657</f>
        <v>0.12058520895997038</v>
      </c>
      <c r="BR904">
        <f>'Revenue drivers'!BR657</f>
        <v>7.1065524485871986E-2</v>
      </c>
      <c r="BS904">
        <f>'Revenue drivers'!BS657</f>
        <v>2.4518719312395739E-2</v>
      </c>
      <c r="BT904">
        <f>'Revenue drivers'!BT657</f>
        <v>-1.6896557279057776E-2</v>
      </c>
      <c r="BU904">
        <f>'Revenue drivers'!BU657</f>
        <v>-8.111697933074502E-2</v>
      </c>
      <c r="BV904">
        <f>'Revenue drivers'!BV657</f>
        <v>-0.14318451496054954</v>
      </c>
      <c r="BW904">
        <f>'Revenue drivers'!BW657</f>
        <v>-0.21637206037372958</v>
      </c>
      <c r="BX904">
        <f>'Revenue drivers'!BX657</f>
        <v>-0.29460369579126</v>
      </c>
      <c r="BY904">
        <f>'Revenue drivers'!BY657</f>
        <v>-0.37709445890586396</v>
      </c>
    </row>
    <row r="905" spans="9:77" ht="11.25" customHeight="1">
      <c r="I905">
        <f>'Revenue drivers'!I658</f>
        <v>0</v>
      </c>
      <c r="J905">
        <f>'Revenue drivers'!J658</f>
        <v>0</v>
      </c>
      <c r="K905">
        <f>'Revenue drivers'!K658</f>
        <v>0</v>
      </c>
      <c r="L905">
        <f>'Revenue drivers'!L658</f>
        <v>0</v>
      </c>
      <c r="M905">
        <f>'Revenue drivers'!M658</f>
        <v>0</v>
      </c>
      <c r="N905">
        <f>'Revenue drivers'!N658</f>
        <v>0</v>
      </c>
      <c r="O905">
        <f>'Revenue drivers'!O658</f>
        <v>0</v>
      </c>
      <c r="P905">
        <f>'Revenue drivers'!P658</f>
        <v>0</v>
      </c>
      <c r="Q905">
        <f>'Revenue drivers'!Q658</f>
        <v>0</v>
      </c>
      <c r="R905">
        <f>'Revenue drivers'!R658</f>
        <v>0</v>
      </c>
      <c r="S905">
        <f>'Revenue drivers'!S658</f>
        <v>0</v>
      </c>
      <c r="T905">
        <f>'Revenue drivers'!T658</f>
        <v>0</v>
      </c>
      <c r="U905">
        <f>'Revenue drivers'!U658</f>
        <v>0</v>
      </c>
      <c r="V905">
        <f>'Revenue drivers'!V658</f>
        <v>0</v>
      </c>
      <c r="W905">
        <f>'Revenue drivers'!W658</f>
        <v>0</v>
      </c>
      <c r="X905">
        <f>'Revenue drivers'!X658</f>
        <v>0</v>
      </c>
      <c r="Y905">
        <f>'Revenue drivers'!Y658</f>
        <v>0</v>
      </c>
      <c r="Z905">
        <f>'Revenue drivers'!Z658</f>
        <v>0</v>
      </c>
      <c r="AA905">
        <f>'Revenue drivers'!AA658</f>
        <v>0</v>
      </c>
      <c r="AB905">
        <f>'Revenue drivers'!AB658</f>
        <v>0</v>
      </c>
      <c r="AC905">
        <f>'Revenue drivers'!AC658</f>
        <v>0</v>
      </c>
      <c r="AD905">
        <f>'Revenue drivers'!AD658</f>
        <v>0</v>
      </c>
      <c r="AE905">
        <f>'Revenue drivers'!AE658</f>
        <v>0</v>
      </c>
      <c r="AF905">
        <f>'Revenue drivers'!AF658</f>
        <v>0</v>
      </c>
      <c r="AG905">
        <f>'Revenue drivers'!AG658</f>
        <v>0</v>
      </c>
      <c r="AH905">
        <f>'Revenue drivers'!AH658</f>
        <v>0</v>
      </c>
      <c r="AI905">
        <f>'Revenue drivers'!AI658</f>
        <v>0</v>
      </c>
      <c r="AJ905">
        <f>'Revenue drivers'!AJ658</f>
        <v>0</v>
      </c>
      <c r="AK905">
        <f>'Revenue drivers'!AK658</f>
        <v>0</v>
      </c>
      <c r="AL905">
        <f>'Revenue drivers'!AL658</f>
        <v>0</v>
      </c>
      <c r="AM905">
        <f>'Revenue drivers'!AM658</f>
        <v>0</v>
      </c>
      <c r="AN905">
        <f>'Revenue drivers'!AN658</f>
        <v>0</v>
      </c>
      <c r="AO905">
        <f>'Revenue drivers'!AO658</f>
        <v>0</v>
      </c>
      <c r="AP905">
        <f>'Revenue drivers'!AP658</f>
        <v>0</v>
      </c>
      <c r="AQ905">
        <f>'Revenue drivers'!AQ658</f>
        <v>0</v>
      </c>
      <c r="AR905">
        <f>'Revenue drivers'!AR658</f>
        <v>0</v>
      </c>
      <c r="AS905">
        <f>'Revenue drivers'!AS658</f>
        <v>0</v>
      </c>
      <c r="AT905">
        <f>'Revenue drivers'!AT658</f>
        <v>0</v>
      </c>
      <c r="AU905">
        <f>'Revenue drivers'!AU658</f>
        <v>0</v>
      </c>
      <c r="AV905">
        <f>'Revenue drivers'!AV658</f>
        <v>0</v>
      </c>
      <c r="AW905">
        <f>'Revenue drivers'!AW658</f>
        <v>0</v>
      </c>
      <c r="AX905">
        <f>'Revenue drivers'!AX658</f>
        <v>0</v>
      </c>
      <c r="AY905">
        <f>'Revenue drivers'!AY658</f>
        <v>0</v>
      </c>
      <c r="AZ905">
        <f>'Revenue drivers'!AZ658</f>
        <v>0</v>
      </c>
      <c r="BA905">
        <f>'Revenue drivers'!BA658</f>
        <v>0</v>
      </c>
      <c r="BB905">
        <f>'Revenue drivers'!BB658</f>
        <v>0</v>
      </c>
      <c r="BC905">
        <f>'Revenue drivers'!BC658</f>
        <v>0</v>
      </c>
      <c r="BD905">
        <f>'Revenue drivers'!BD658</f>
        <v>0</v>
      </c>
      <c r="BE905">
        <f>'Revenue drivers'!BE658</f>
        <v>0</v>
      </c>
      <c r="BF905">
        <f>'Revenue drivers'!BF658</f>
        <v>0</v>
      </c>
      <c r="BG905">
        <f>'Revenue drivers'!BG658</f>
        <v>0</v>
      </c>
      <c r="BH905">
        <f>'Revenue drivers'!BH658</f>
        <v>0</v>
      </c>
      <c r="BI905">
        <f>'Revenue drivers'!BI658</f>
        <v>0</v>
      </c>
      <c r="BJ905">
        <f>'Revenue drivers'!BJ658</f>
        <v>0</v>
      </c>
      <c r="BK905">
        <f>'Revenue drivers'!BK658</f>
        <v>0</v>
      </c>
      <c r="BL905">
        <f>'Revenue drivers'!BL658</f>
        <v>0</v>
      </c>
      <c r="BM905">
        <f>'Revenue drivers'!BM658</f>
        <v>0</v>
      </c>
      <c r="BN905">
        <f>'Revenue drivers'!BN658</f>
        <v>0</v>
      </c>
      <c r="BO905">
        <f>'Revenue drivers'!BO658</f>
        <v>0</v>
      </c>
      <c r="BP905">
        <f>'Revenue drivers'!BP658</f>
        <v>0</v>
      </c>
      <c r="BQ905">
        <f>'Revenue drivers'!BQ658</f>
        <v>0</v>
      </c>
      <c r="BR905">
        <f>'Revenue drivers'!BR658</f>
        <v>0</v>
      </c>
      <c r="BS905">
        <f>'Revenue drivers'!BS658</f>
        <v>0</v>
      </c>
      <c r="BT905">
        <f>'Revenue drivers'!BT658</f>
        <v>0</v>
      </c>
      <c r="BU905">
        <f>'Revenue drivers'!BU658</f>
        <v>0</v>
      </c>
      <c r="BV905">
        <f>'Revenue drivers'!BV658</f>
        <v>0</v>
      </c>
      <c r="BW905">
        <f>'Revenue drivers'!BW658</f>
        <v>0</v>
      </c>
      <c r="BX905">
        <f>'Revenue drivers'!BX658</f>
        <v>0</v>
      </c>
      <c r="BY905">
        <f>'Revenue drivers'!BY658</f>
        <v>0</v>
      </c>
    </row>
    <row r="906" spans="9:77" ht="11.25" customHeight="1">
      <c r="I906" t="str">
        <f>'Revenue drivers'!I659</f>
        <v>Reviews</v>
      </c>
      <c r="J906">
        <f>'Revenue drivers'!J659</f>
        <v>0</v>
      </c>
      <c r="K906">
        <f>'Revenue drivers'!K659</f>
        <v>0</v>
      </c>
      <c r="L906">
        <f>'Revenue drivers'!L659</f>
        <v>0</v>
      </c>
      <c r="M906">
        <f>'Revenue drivers'!M659</f>
        <v>0</v>
      </c>
      <c r="N906">
        <f>'Revenue drivers'!N659</f>
        <v>0</v>
      </c>
      <c r="O906">
        <f>'Revenue drivers'!O659</f>
        <v>0</v>
      </c>
      <c r="P906">
        <f>'Revenue drivers'!P659</f>
        <v>0</v>
      </c>
      <c r="Q906">
        <f>'Revenue drivers'!Q659</f>
        <v>0</v>
      </c>
      <c r="R906">
        <f>'Revenue drivers'!R659</f>
        <v>0</v>
      </c>
      <c r="S906">
        <f>'Revenue drivers'!S659</f>
        <v>0</v>
      </c>
      <c r="T906">
        <f>'Revenue drivers'!T659</f>
        <v>0</v>
      </c>
      <c r="U906">
        <f>'Revenue drivers'!U659</f>
        <v>0</v>
      </c>
      <c r="V906">
        <f>'Revenue drivers'!V659</f>
        <v>0</v>
      </c>
      <c r="W906">
        <f>'Revenue drivers'!W659</f>
        <v>0</v>
      </c>
      <c r="X906">
        <f>'Revenue drivers'!X659</f>
        <v>0</v>
      </c>
      <c r="Y906">
        <f>'Revenue drivers'!Y659</f>
        <v>0</v>
      </c>
      <c r="Z906">
        <f>'Revenue drivers'!Z659</f>
        <v>0</v>
      </c>
      <c r="AA906">
        <f>'Revenue drivers'!AA659</f>
        <v>0</v>
      </c>
      <c r="AB906">
        <f>'Revenue drivers'!AB659</f>
        <v>0</v>
      </c>
      <c r="AC906">
        <f>'Revenue drivers'!AC659</f>
        <v>7.2449999999999992</v>
      </c>
      <c r="AD906">
        <f>'Revenue drivers'!AD659</f>
        <v>8.6709999999999994</v>
      </c>
      <c r="AE906">
        <f>'Revenue drivers'!AE659</f>
        <v>9.7979999999999983</v>
      </c>
      <c r="AF906">
        <f>'Revenue drivers'!AF659</f>
        <v>10.809999999999999</v>
      </c>
      <c r="AG906">
        <f>'Revenue drivers'!AG659</f>
        <v>0</v>
      </c>
      <c r="AH906">
        <f>'Revenue drivers'!AH659</f>
        <v>0</v>
      </c>
      <c r="AI906">
        <f>'Revenue drivers'!AI659</f>
        <v>0</v>
      </c>
      <c r="AJ906">
        <f>'Revenue drivers'!AJ659</f>
        <v>0</v>
      </c>
      <c r="AK906">
        <f>'Revenue drivers'!AK659</f>
        <v>0</v>
      </c>
      <c r="AL906">
        <f>'Revenue drivers'!AL659</f>
        <v>0</v>
      </c>
      <c r="AM906">
        <f>'Revenue drivers'!AM659</f>
        <v>0</v>
      </c>
      <c r="AN906">
        <f>'Revenue drivers'!AN659</f>
        <v>0</v>
      </c>
      <c r="AO906">
        <f>'Revenue drivers'!AO659</f>
        <v>0</v>
      </c>
      <c r="AP906">
        <f>'Revenue drivers'!AP659</f>
        <v>0</v>
      </c>
      <c r="AQ906">
        <f>'Revenue drivers'!AQ659</f>
        <v>0</v>
      </c>
      <c r="AR906">
        <f>'Revenue drivers'!AR659</f>
        <v>0</v>
      </c>
      <c r="AS906">
        <f>'Revenue drivers'!AS659</f>
        <v>0</v>
      </c>
      <c r="AT906">
        <f>'Revenue drivers'!AT659</f>
        <v>0</v>
      </c>
      <c r="AU906">
        <f>'Revenue drivers'!AU659</f>
        <v>0</v>
      </c>
      <c r="AV906">
        <f>'Revenue drivers'!AV659</f>
        <v>0</v>
      </c>
      <c r="AW906">
        <f>'Revenue drivers'!AW659</f>
        <v>0</v>
      </c>
      <c r="AX906">
        <f>'Revenue drivers'!AX659</f>
        <v>0</v>
      </c>
      <c r="AY906">
        <f>'Revenue drivers'!AY659</f>
        <v>0</v>
      </c>
      <c r="AZ906">
        <f>'Revenue drivers'!AZ659</f>
        <v>0</v>
      </c>
      <c r="BA906">
        <f>'Revenue drivers'!BA659</f>
        <v>0</v>
      </c>
      <c r="BB906">
        <f>'Revenue drivers'!BB659</f>
        <v>0</v>
      </c>
      <c r="BC906">
        <f>'Revenue drivers'!BC659</f>
        <v>0</v>
      </c>
      <c r="BD906">
        <f>'Revenue drivers'!BD659</f>
        <v>0</v>
      </c>
      <c r="BE906">
        <f>'Revenue drivers'!BE659</f>
        <v>0</v>
      </c>
      <c r="BF906">
        <f>'Revenue drivers'!BF659</f>
        <v>0</v>
      </c>
      <c r="BG906">
        <f>'Revenue drivers'!BG659</f>
        <v>0</v>
      </c>
      <c r="BH906">
        <f>'Revenue drivers'!BH659</f>
        <v>0</v>
      </c>
      <c r="BI906">
        <f>'Revenue drivers'!BI659</f>
        <v>0</v>
      </c>
      <c r="BJ906">
        <f>'Revenue drivers'!BJ659</f>
        <v>0</v>
      </c>
      <c r="BK906">
        <f>'Revenue drivers'!BK659</f>
        <v>0</v>
      </c>
      <c r="BL906">
        <f>'Revenue drivers'!BL659</f>
        <v>24.817</v>
      </c>
      <c r="BM906">
        <f>'Revenue drivers'!BM659</f>
        <v>113.533</v>
      </c>
      <c r="BN906">
        <f>'Revenue drivers'!BN659</f>
        <v>0</v>
      </c>
      <c r="BO906">
        <f>'Revenue drivers'!BO659</f>
        <v>0</v>
      </c>
      <c r="BP906">
        <f>'Revenue drivers'!BP659</f>
        <v>0</v>
      </c>
      <c r="BQ906">
        <f>'Revenue drivers'!BQ659</f>
        <v>0</v>
      </c>
      <c r="BR906">
        <f>'Revenue drivers'!BR659</f>
        <v>0</v>
      </c>
      <c r="BS906">
        <f>'Revenue drivers'!BS659</f>
        <v>0</v>
      </c>
      <c r="BT906">
        <f>'Revenue drivers'!BT659</f>
        <v>0</v>
      </c>
      <c r="BU906">
        <f>'Revenue drivers'!BU659</f>
        <v>0</v>
      </c>
      <c r="BV906">
        <f>'Revenue drivers'!BV659</f>
        <v>0</v>
      </c>
      <c r="BW906">
        <f>'Revenue drivers'!BW659</f>
        <v>0</v>
      </c>
      <c r="BX906">
        <f>'Revenue drivers'!BX659</f>
        <v>0</v>
      </c>
      <c r="BY906">
        <f>'Revenue drivers'!BY659</f>
        <v>0</v>
      </c>
    </row>
    <row r="907" spans="9:77" ht="11.25" customHeight="1">
      <c r="I907">
        <f>'Revenue drivers'!I660</f>
        <v>0</v>
      </c>
      <c r="J907">
        <f>'Revenue drivers'!J660</f>
        <v>0</v>
      </c>
      <c r="K907">
        <f>'Revenue drivers'!K660</f>
        <v>0</v>
      </c>
      <c r="L907">
        <f>'Revenue drivers'!L660</f>
        <v>0</v>
      </c>
      <c r="M907">
        <f>'Revenue drivers'!M660</f>
        <v>0</v>
      </c>
      <c r="N907">
        <f>'Revenue drivers'!N660</f>
        <v>0</v>
      </c>
      <c r="O907">
        <f>'Revenue drivers'!O660</f>
        <v>0</v>
      </c>
      <c r="P907">
        <f>'Revenue drivers'!P660</f>
        <v>0</v>
      </c>
      <c r="Q907">
        <f>'Revenue drivers'!Q660</f>
        <v>0</v>
      </c>
      <c r="R907">
        <f>'Revenue drivers'!R660</f>
        <v>0</v>
      </c>
      <c r="S907">
        <f>'Revenue drivers'!S660</f>
        <v>0</v>
      </c>
      <c r="T907">
        <f>'Revenue drivers'!T660</f>
        <v>0</v>
      </c>
      <c r="U907">
        <f>'Revenue drivers'!U660</f>
        <v>0</v>
      </c>
      <c r="V907">
        <f>'Revenue drivers'!V660</f>
        <v>0</v>
      </c>
      <c r="W907">
        <f>'Revenue drivers'!W660</f>
        <v>0</v>
      </c>
      <c r="X907">
        <f>'Revenue drivers'!X660</f>
        <v>0</v>
      </c>
      <c r="Y907">
        <f>'Revenue drivers'!Y660</f>
        <v>2.3736242875270723</v>
      </c>
      <c r="Z907">
        <f>'Revenue drivers'!Z660</f>
        <v>2.9210383397251105</v>
      </c>
      <c r="AA907">
        <f>'Revenue drivers'!AA660</f>
        <v>1.8385046008041437</v>
      </c>
      <c r="AB907">
        <f>'Revenue drivers'!AB660</f>
        <v>1.5908944444444444</v>
      </c>
      <c r="AC907">
        <f>'Revenue drivers'!AC660</f>
        <v>1.496282815734991</v>
      </c>
      <c r="AD907">
        <f>'Revenue drivers'!AD660</f>
        <v>1.4950282551032179</v>
      </c>
      <c r="AE907">
        <f>'Revenue drivers'!AE660</f>
        <v>1.5342263727291294</v>
      </c>
      <c r="AF907">
        <f>'Revenue drivers'!AF660</f>
        <v>1.570526364477336</v>
      </c>
      <c r="AG907">
        <f>'Revenue drivers'!AG660</f>
        <v>1.555937446296614</v>
      </c>
      <c r="AH907">
        <f>'Revenue drivers'!AH660</f>
        <v>1.659022137283007</v>
      </c>
      <c r="AI907">
        <f>'Revenue drivers'!AI660</f>
        <v>1.7463392656003602</v>
      </c>
      <c r="AJ907">
        <f>'Revenue drivers'!AJ660</f>
        <v>1.7372054430799861</v>
      </c>
      <c r="AK907">
        <f>'Revenue drivers'!AK660</f>
        <v>1.7819526450766399</v>
      </c>
      <c r="AL907">
        <f>'Revenue drivers'!AL660</f>
        <v>1.9389947419008304</v>
      </c>
      <c r="AM907">
        <f>'Revenue drivers'!AM660</f>
        <v>1.9325622224517192</v>
      </c>
      <c r="AN907">
        <f>'Revenue drivers'!AN660</f>
        <v>1.6650837113249977</v>
      </c>
      <c r="AO907">
        <f>'Revenue drivers'!AO660</f>
        <v>1.4827059980039055</v>
      </c>
      <c r="AP907">
        <f>'Revenue drivers'!AP660</f>
        <v>1.4195506049242812</v>
      </c>
      <c r="AQ907">
        <f>'Revenue drivers'!AQ660</f>
        <v>1.293511403695736</v>
      </c>
      <c r="AR907">
        <f>'Revenue drivers'!AR660</f>
        <v>1.1947484906674251</v>
      </c>
      <c r="AS907">
        <f>'Revenue drivers'!AS660</f>
        <v>0.83421432097853376</v>
      </c>
      <c r="AT907">
        <f>'Revenue drivers'!AT660</f>
        <v>0.78155658994795463</v>
      </c>
      <c r="AU907">
        <f>'Revenue drivers'!AU660</f>
        <v>0.6758956385986804</v>
      </c>
      <c r="AV907">
        <f>'Revenue drivers'!AV660</f>
        <v>0.57396076226292136</v>
      </c>
      <c r="AW907">
        <f>'Revenue drivers'!AW660</f>
        <v>0.32066825319587688</v>
      </c>
      <c r="AX907">
        <f>'Revenue drivers'!AX660</f>
        <v>0.26390900044776344</v>
      </c>
      <c r="AY907">
        <f>'Revenue drivers'!AY660</f>
        <v>0.18915910481189219</v>
      </c>
      <c r="AZ907">
        <f>'Revenue drivers'!AZ660</f>
        <v>0.12311907004364811</v>
      </c>
      <c r="BA907">
        <f>'Revenue drivers'!BA660</f>
        <v>-6.5952029772194123E-2</v>
      </c>
      <c r="BB907">
        <f>'Revenue drivers'!BB660</f>
        <v>-0.11386106046804295</v>
      </c>
      <c r="BC907">
        <f>'Revenue drivers'!BC660</f>
        <v>-0.15695971603692843</v>
      </c>
      <c r="BD907">
        <f>'Revenue drivers'!BD660</f>
        <v>-0.18947029977085172</v>
      </c>
      <c r="BE907">
        <f>'Revenue drivers'!BE660</f>
        <v>0</v>
      </c>
      <c r="BF907">
        <f>'Revenue drivers'!BF660</f>
        <v>0</v>
      </c>
      <c r="BG907">
        <f>'Revenue drivers'!BG660</f>
        <v>0</v>
      </c>
      <c r="BH907">
        <f>'Revenue drivers'!BH660</f>
        <v>0</v>
      </c>
      <c r="BI907">
        <f>'Revenue drivers'!BI660</f>
        <v>0</v>
      </c>
      <c r="BJ907">
        <f>'Revenue drivers'!BJ660</f>
        <v>0</v>
      </c>
      <c r="BK907">
        <f>'Revenue drivers'!BK660</f>
        <v>0</v>
      </c>
      <c r="BL907">
        <f>'Revenue drivers'!BL660</f>
        <v>0</v>
      </c>
      <c r="BM907">
        <f>'Revenue drivers'!BM660</f>
        <v>0</v>
      </c>
      <c r="BN907">
        <f>'Revenue drivers'!BN660</f>
        <v>0</v>
      </c>
      <c r="BO907">
        <f>'Revenue drivers'!BO660</f>
        <v>0</v>
      </c>
      <c r="BP907">
        <f>'Revenue drivers'!BP660</f>
        <v>0</v>
      </c>
      <c r="BQ907">
        <f>'Revenue drivers'!BQ660</f>
        <v>0</v>
      </c>
      <c r="BR907">
        <f>'Revenue drivers'!BR660</f>
        <v>0</v>
      </c>
      <c r="BS907">
        <f>'Revenue drivers'!BS660</f>
        <v>0</v>
      </c>
      <c r="BT907">
        <f>'Revenue drivers'!BT660</f>
        <v>0</v>
      </c>
      <c r="BU907">
        <f>'Revenue drivers'!BU660</f>
        <v>0</v>
      </c>
      <c r="BV907">
        <f>'Revenue drivers'!BV660</f>
        <v>0</v>
      </c>
      <c r="BW907">
        <f>'Revenue drivers'!BW660</f>
        <v>0</v>
      </c>
      <c r="BX907">
        <f>'Revenue drivers'!BX660</f>
        <v>0</v>
      </c>
      <c r="BY907">
        <f>'Revenue drivers'!BY660</f>
        <v>0</v>
      </c>
    </row>
    <row r="908" spans="9:77" ht="11.25" customHeight="1">
      <c r="I908" t="str">
        <f>'Revenue drivers'!I661</f>
        <v>Unique Visitors</v>
      </c>
      <c r="J908">
        <f>'Revenue drivers'!J661</f>
        <v>0</v>
      </c>
      <c r="K908">
        <f>'Revenue drivers'!K661</f>
        <v>0</v>
      </c>
      <c r="L908">
        <f>'Revenue drivers'!L661</f>
        <v>0</v>
      </c>
      <c r="M908">
        <f>'Revenue drivers'!M661</f>
        <v>0</v>
      </c>
      <c r="N908">
        <f>'Revenue drivers'!N661</f>
        <v>0</v>
      </c>
      <c r="O908">
        <f>'Revenue drivers'!O661</f>
        <v>0</v>
      </c>
      <c r="P908">
        <f>'Revenue drivers'!P661</f>
        <v>0</v>
      </c>
      <c r="Q908">
        <f>'Revenue drivers'!Q661</f>
        <v>0</v>
      </c>
      <c r="R908">
        <f>'Revenue drivers'!R661</f>
        <v>0</v>
      </c>
      <c r="S908">
        <f>'Revenue drivers'!S661</f>
        <v>0</v>
      </c>
      <c r="T908">
        <f>'Revenue drivers'!T661</f>
        <v>0</v>
      </c>
      <c r="U908">
        <f>'Revenue drivers'!U661</f>
        <v>0</v>
      </c>
      <c r="V908">
        <f>'Revenue drivers'!V661</f>
        <v>0</v>
      </c>
      <c r="W908">
        <f>'Revenue drivers'!W661</f>
        <v>0</v>
      </c>
      <c r="X908">
        <f>'Revenue drivers'!X661</f>
        <v>0</v>
      </c>
      <c r="Y908">
        <f>'Revenue drivers'!Y661</f>
        <v>0</v>
      </c>
      <c r="Z908">
        <f>'Revenue drivers'!Z661</f>
        <v>0</v>
      </c>
      <c r="AA908">
        <f>'Revenue drivers'!AA661</f>
        <v>0</v>
      </c>
      <c r="AB908">
        <f>'Revenue drivers'!AB661</f>
        <v>0</v>
      </c>
      <c r="AC908">
        <f>'Revenue drivers'!AC661</f>
        <v>0</v>
      </c>
      <c r="AD908">
        <f>'Revenue drivers'!AD661</f>
        <v>0</v>
      </c>
      <c r="AE908">
        <f>'Revenue drivers'!AE661</f>
        <v>0</v>
      </c>
      <c r="AF908">
        <f>'Revenue drivers'!AF661</f>
        <v>0</v>
      </c>
      <c r="AG908">
        <f>'Revenue drivers'!AG661</f>
        <v>0</v>
      </c>
      <c r="AH908">
        <f>'Revenue drivers'!AH661</f>
        <v>0</v>
      </c>
      <c r="AI908">
        <f>'Revenue drivers'!AI661</f>
        <v>0</v>
      </c>
      <c r="AJ908">
        <f>'Revenue drivers'!AJ661</f>
        <v>0</v>
      </c>
      <c r="AK908">
        <f>'Revenue drivers'!AK661</f>
        <v>0</v>
      </c>
      <c r="AL908">
        <f>'Revenue drivers'!AL661</f>
        <v>0</v>
      </c>
      <c r="AM908">
        <f>'Revenue drivers'!AM661</f>
        <v>0</v>
      </c>
      <c r="AN908">
        <f>'Revenue drivers'!AN661</f>
        <v>0</v>
      </c>
      <c r="AO908">
        <f>'Revenue drivers'!AO661</f>
        <v>0</v>
      </c>
      <c r="AP908">
        <f>'Revenue drivers'!AP661</f>
        <v>0</v>
      </c>
      <c r="AQ908">
        <f>'Revenue drivers'!AQ661</f>
        <v>0</v>
      </c>
      <c r="AR908">
        <f>'Revenue drivers'!AR661</f>
        <v>0</v>
      </c>
      <c r="AS908">
        <f>'Revenue drivers'!AS661</f>
        <v>0</v>
      </c>
      <c r="AT908">
        <f>'Revenue drivers'!AT661</f>
        <v>0</v>
      </c>
      <c r="AU908">
        <f>'Revenue drivers'!AU661</f>
        <v>0</v>
      </c>
      <c r="AV908">
        <f>'Revenue drivers'!AV661</f>
        <v>0</v>
      </c>
      <c r="AW908">
        <f>'Revenue drivers'!AW661</f>
        <v>0</v>
      </c>
      <c r="AX908">
        <f>'Revenue drivers'!AX661</f>
        <v>0</v>
      </c>
      <c r="AY908">
        <f>'Revenue drivers'!AY661</f>
        <v>0</v>
      </c>
      <c r="AZ908">
        <f>'Revenue drivers'!AZ661</f>
        <v>0</v>
      </c>
      <c r="BA908">
        <f>'Revenue drivers'!BA661</f>
        <v>0</v>
      </c>
      <c r="BB908">
        <f>'Revenue drivers'!BB661</f>
        <v>0</v>
      </c>
      <c r="BC908">
        <f>'Revenue drivers'!BC661</f>
        <v>0</v>
      </c>
      <c r="BD908">
        <f>'Revenue drivers'!BD661</f>
        <v>0</v>
      </c>
      <c r="BE908">
        <f>'Revenue drivers'!BE661</f>
        <v>0</v>
      </c>
      <c r="BF908">
        <f>'Revenue drivers'!BF661</f>
        <v>0</v>
      </c>
      <c r="BG908">
        <f>'Revenue drivers'!BG661</f>
        <v>0</v>
      </c>
      <c r="BH908">
        <f>'Revenue drivers'!BH661</f>
        <v>0</v>
      </c>
      <c r="BI908">
        <f>'Revenue drivers'!BI661</f>
        <v>0</v>
      </c>
      <c r="BJ908">
        <f>'Revenue drivers'!BJ661</f>
        <v>0</v>
      </c>
      <c r="BK908">
        <f>'Revenue drivers'!BK661</f>
        <v>0</v>
      </c>
      <c r="BL908">
        <f>'Revenue drivers'!BL661</f>
        <v>65.796000000000006</v>
      </c>
      <c r="BM908">
        <f>'Revenue drivers'!BM661</f>
        <v>272.10899999999998</v>
      </c>
      <c r="BN908">
        <f>'Revenue drivers'!BN661</f>
        <v>0</v>
      </c>
      <c r="BO908">
        <f>'Revenue drivers'!BO661</f>
        <v>0</v>
      </c>
      <c r="BP908">
        <f>'Revenue drivers'!BP661</f>
        <v>0</v>
      </c>
      <c r="BQ908">
        <f>'Revenue drivers'!BQ661</f>
        <v>0</v>
      </c>
      <c r="BR908">
        <f>'Revenue drivers'!BR661</f>
        <v>0</v>
      </c>
      <c r="BS908">
        <f>'Revenue drivers'!BS661</f>
        <v>0</v>
      </c>
      <c r="BT908">
        <f>'Revenue drivers'!BT661</f>
        <v>0</v>
      </c>
      <c r="BU908">
        <f>'Revenue drivers'!BU661</f>
        <v>0</v>
      </c>
      <c r="BV908">
        <f>'Revenue drivers'!BV661</f>
        <v>0</v>
      </c>
      <c r="BW908">
        <f>'Revenue drivers'!BW661</f>
        <v>0</v>
      </c>
      <c r="BX908">
        <f>'Revenue drivers'!BX661</f>
        <v>0</v>
      </c>
      <c r="BY908">
        <f>'Revenue drivers'!BY661</f>
        <v>0</v>
      </c>
    </row>
    <row r="909" spans="9:77" ht="11.25" customHeight="1">
      <c r="I909">
        <f>'Revenue drivers'!I662</f>
        <v>0</v>
      </c>
      <c r="J909">
        <f>'Revenue drivers'!J662</f>
        <v>0</v>
      </c>
      <c r="K909">
        <f>'Revenue drivers'!K662</f>
        <v>0</v>
      </c>
      <c r="L909">
        <f>'Revenue drivers'!L662</f>
        <v>0</v>
      </c>
      <c r="M909">
        <f>'Revenue drivers'!M662</f>
        <v>0</v>
      </c>
      <c r="N909">
        <f>'Revenue drivers'!N662</f>
        <v>0</v>
      </c>
      <c r="O909">
        <f>'Revenue drivers'!O662</f>
        <v>0</v>
      </c>
      <c r="P909">
        <f>'Revenue drivers'!P662</f>
        <v>0</v>
      </c>
      <c r="Q909">
        <f>'Revenue drivers'!Q662</f>
        <v>0</v>
      </c>
      <c r="R909">
        <f>'Revenue drivers'!R662</f>
        <v>0</v>
      </c>
      <c r="S909">
        <f>'Revenue drivers'!S662</f>
        <v>0</v>
      </c>
      <c r="T909">
        <f>'Revenue drivers'!T662</f>
        <v>0</v>
      </c>
      <c r="U909">
        <f>'Revenue drivers'!U662</f>
        <v>0</v>
      </c>
      <c r="V909">
        <f>'Revenue drivers'!V662</f>
        <v>0</v>
      </c>
      <c r="W909">
        <f>'Revenue drivers'!W662</f>
        <v>0</v>
      </c>
      <c r="X909">
        <f>'Revenue drivers'!X662</f>
        <v>0</v>
      </c>
      <c r="Y909">
        <f>'Revenue drivers'!Y662</f>
        <v>0</v>
      </c>
      <c r="Z909">
        <f>'Revenue drivers'!Z662</f>
        <v>0</v>
      </c>
      <c r="AA909">
        <f>'Revenue drivers'!AA662</f>
        <v>0</v>
      </c>
      <c r="AB909">
        <f>'Revenue drivers'!AB662</f>
        <v>0</v>
      </c>
      <c r="AC909">
        <f>'Revenue drivers'!AC662</f>
        <v>0</v>
      </c>
      <c r="AD909">
        <f>'Revenue drivers'!AD662</f>
        <v>0</v>
      </c>
      <c r="AE909">
        <f>'Revenue drivers'!AE662</f>
        <v>0</v>
      </c>
      <c r="AF909">
        <f>'Revenue drivers'!AF662</f>
        <v>0</v>
      </c>
      <c r="AG909">
        <f>'Revenue drivers'!AG662</f>
        <v>0</v>
      </c>
      <c r="AH909">
        <f>'Revenue drivers'!AH662</f>
        <v>0</v>
      </c>
      <c r="AI909">
        <f>'Revenue drivers'!AI662</f>
        <v>0</v>
      </c>
      <c r="AJ909">
        <f>'Revenue drivers'!AJ662</f>
        <v>0</v>
      </c>
      <c r="AK909">
        <f>'Revenue drivers'!AK662</f>
        <v>0</v>
      </c>
      <c r="AL909">
        <f>'Revenue drivers'!AL662</f>
        <v>0</v>
      </c>
      <c r="AM909">
        <f>'Revenue drivers'!AM662</f>
        <v>0</v>
      </c>
      <c r="AN909">
        <f>'Revenue drivers'!AN662</f>
        <v>0</v>
      </c>
      <c r="AO909">
        <f>'Revenue drivers'!AO662</f>
        <v>0</v>
      </c>
      <c r="AP909">
        <f>'Revenue drivers'!AP662</f>
        <v>0</v>
      </c>
      <c r="AQ909">
        <f>'Revenue drivers'!AQ662</f>
        <v>0</v>
      </c>
      <c r="AR909">
        <f>'Revenue drivers'!AR662</f>
        <v>0</v>
      </c>
      <c r="AS909">
        <f>'Revenue drivers'!AS662</f>
        <v>0</v>
      </c>
      <c r="AT909">
        <f>'Revenue drivers'!AT662</f>
        <v>0</v>
      </c>
      <c r="AU909">
        <f>'Revenue drivers'!AU662</f>
        <v>0</v>
      </c>
      <c r="AV909">
        <f>'Revenue drivers'!AV662</f>
        <v>0</v>
      </c>
      <c r="AW909">
        <f>'Revenue drivers'!AW662</f>
        <v>0</v>
      </c>
      <c r="AX909">
        <f>'Revenue drivers'!AX662</f>
        <v>0</v>
      </c>
      <c r="AY909">
        <f>'Revenue drivers'!AY662</f>
        <v>0</v>
      </c>
      <c r="AZ909">
        <f>'Revenue drivers'!AZ662</f>
        <v>0</v>
      </c>
      <c r="BA909">
        <f>'Revenue drivers'!BA662</f>
        <v>0</v>
      </c>
      <c r="BB909">
        <f>'Revenue drivers'!BB662</f>
        <v>0</v>
      </c>
      <c r="BC909">
        <f>'Revenue drivers'!BC662</f>
        <v>0</v>
      </c>
      <c r="BD909">
        <f>'Revenue drivers'!BD662</f>
        <v>0</v>
      </c>
      <c r="BE909">
        <f>'Revenue drivers'!BE662</f>
        <v>0</v>
      </c>
      <c r="BF909">
        <f>'Revenue drivers'!BF662</f>
        <v>0</v>
      </c>
      <c r="BG909">
        <f>'Revenue drivers'!BG662</f>
        <v>0</v>
      </c>
      <c r="BH909">
        <f>'Revenue drivers'!BH662</f>
        <v>0</v>
      </c>
      <c r="BI909">
        <f>'Revenue drivers'!BI662</f>
        <v>0</v>
      </c>
      <c r="BJ909">
        <f>'Revenue drivers'!BJ662</f>
        <v>0</v>
      </c>
      <c r="BK909">
        <f>'Revenue drivers'!BK662</f>
        <v>0</v>
      </c>
      <c r="BL909">
        <f>'Revenue drivers'!BL662</f>
        <v>0</v>
      </c>
      <c r="BM909">
        <f>'Revenue drivers'!BM662</f>
        <v>0</v>
      </c>
      <c r="BN909">
        <f>'Revenue drivers'!BN662</f>
        <v>0</v>
      </c>
      <c r="BO909">
        <f>'Revenue drivers'!BO662</f>
        <v>0</v>
      </c>
      <c r="BP909">
        <f>'Revenue drivers'!BP662</f>
        <v>0</v>
      </c>
      <c r="BQ909">
        <f>'Revenue drivers'!BQ662</f>
        <v>0</v>
      </c>
      <c r="BR909">
        <f>'Revenue drivers'!BR662</f>
        <v>0</v>
      </c>
      <c r="BS909">
        <f>'Revenue drivers'!BS662</f>
        <v>0</v>
      </c>
      <c r="BT909">
        <f>'Revenue drivers'!BT662</f>
        <v>0</v>
      </c>
      <c r="BU909">
        <f>'Revenue drivers'!BU662</f>
        <v>0</v>
      </c>
      <c r="BV909">
        <f>'Revenue drivers'!BV662</f>
        <v>0</v>
      </c>
      <c r="BW909">
        <f>'Revenue drivers'!BW662</f>
        <v>0</v>
      </c>
      <c r="BX909">
        <f>'Revenue drivers'!BX662</f>
        <v>0</v>
      </c>
      <c r="BY909">
        <f>'Revenue drivers'!BY662</f>
        <v>0</v>
      </c>
    </row>
    <row r="910" spans="9:77" ht="11.25" customHeight="1">
      <c r="I910" t="str">
        <f>'Revenue drivers'!I663</f>
        <v>Claimed Business Locations</v>
      </c>
      <c r="J910">
        <f>'Revenue drivers'!J663</f>
        <v>0</v>
      </c>
      <c r="K910">
        <f>'Revenue drivers'!K663</f>
        <v>0</v>
      </c>
      <c r="L910">
        <f>'Revenue drivers'!L663</f>
        <v>0</v>
      </c>
      <c r="M910">
        <f>'Revenue drivers'!M663</f>
        <v>0</v>
      </c>
      <c r="N910">
        <f>'Revenue drivers'!N663</f>
        <v>0</v>
      </c>
      <c r="O910">
        <f>'Revenue drivers'!O663</f>
        <v>0</v>
      </c>
      <c r="P910">
        <f>'Revenue drivers'!P663</f>
        <v>0</v>
      </c>
      <c r="Q910">
        <f>'Revenue drivers'!Q663</f>
        <v>0</v>
      </c>
      <c r="R910">
        <f>'Revenue drivers'!R663</f>
        <v>0</v>
      </c>
      <c r="S910">
        <f>'Revenue drivers'!S663</f>
        <v>0</v>
      </c>
      <c r="T910">
        <f>'Revenue drivers'!T663</f>
        <v>0</v>
      </c>
      <c r="U910">
        <f>'Revenue drivers'!U663</f>
        <v>0</v>
      </c>
      <c r="V910">
        <f>'Revenue drivers'!V663</f>
        <v>0</v>
      </c>
      <c r="W910">
        <f>'Revenue drivers'!W663</f>
        <v>0</v>
      </c>
      <c r="X910">
        <f>'Revenue drivers'!X663</f>
        <v>0</v>
      </c>
      <c r="Y910">
        <f>'Revenue drivers'!Y663</f>
        <v>0</v>
      </c>
      <c r="Z910">
        <f>'Revenue drivers'!Z663</f>
        <v>0</v>
      </c>
      <c r="AA910">
        <f>'Revenue drivers'!AA663</f>
        <v>0</v>
      </c>
      <c r="AB910">
        <f>'Revenue drivers'!AB663</f>
        <v>0</v>
      </c>
      <c r="AC910">
        <f>'Revenue drivers'!AC663</f>
        <v>0</v>
      </c>
      <c r="AD910">
        <f>'Revenue drivers'!AD663</f>
        <v>0</v>
      </c>
      <c r="AE910">
        <f>'Revenue drivers'!AE663</f>
        <v>0</v>
      </c>
      <c r="AF910">
        <f>'Revenue drivers'!AF663</f>
        <v>0</v>
      </c>
      <c r="AG910">
        <f>'Revenue drivers'!AG663</f>
        <v>0</v>
      </c>
      <c r="AH910">
        <f>'Revenue drivers'!AH663</f>
        <v>0</v>
      </c>
      <c r="AI910">
        <f>'Revenue drivers'!AI663</f>
        <v>0</v>
      </c>
      <c r="AJ910">
        <f>'Revenue drivers'!AJ663</f>
        <v>0</v>
      </c>
      <c r="AK910">
        <f>'Revenue drivers'!AK663</f>
        <v>0</v>
      </c>
      <c r="AL910">
        <f>'Revenue drivers'!AL663</f>
        <v>0</v>
      </c>
      <c r="AM910">
        <f>'Revenue drivers'!AM663</f>
        <v>0</v>
      </c>
      <c r="AN910">
        <f>'Revenue drivers'!AN663</f>
        <v>0</v>
      </c>
      <c r="AO910">
        <f>'Revenue drivers'!AO663</f>
        <v>0</v>
      </c>
      <c r="AP910">
        <f>'Revenue drivers'!AP663</f>
        <v>0</v>
      </c>
      <c r="AQ910">
        <f>'Revenue drivers'!AQ663</f>
        <v>0</v>
      </c>
      <c r="AR910">
        <f>'Revenue drivers'!AR663</f>
        <v>0</v>
      </c>
      <c r="AS910">
        <f>'Revenue drivers'!AS663</f>
        <v>0</v>
      </c>
      <c r="AT910">
        <f>'Revenue drivers'!AT663</f>
        <v>0</v>
      </c>
      <c r="AU910">
        <f>'Revenue drivers'!AU663</f>
        <v>0</v>
      </c>
      <c r="AV910">
        <f>'Revenue drivers'!AV663</f>
        <v>0</v>
      </c>
      <c r="AW910">
        <f>'Revenue drivers'!AW663</f>
        <v>0</v>
      </c>
      <c r="AX910">
        <f>'Revenue drivers'!AX663</f>
        <v>0</v>
      </c>
      <c r="AY910">
        <f>'Revenue drivers'!AY663</f>
        <v>0</v>
      </c>
      <c r="AZ910">
        <f>'Revenue drivers'!AZ663</f>
        <v>0</v>
      </c>
      <c r="BA910">
        <f>'Revenue drivers'!BA663</f>
        <v>0</v>
      </c>
      <c r="BB910">
        <f>'Revenue drivers'!BB663</f>
        <v>0</v>
      </c>
      <c r="BC910">
        <f>'Revenue drivers'!BC663</f>
        <v>0</v>
      </c>
      <c r="BD910">
        <f>'Revenue drivers'!BD663</f>
        <v>0</v>
      </c>
      <c r="BE910">
        <f>'Revenue drivers'!BE663</f>
        <v>0</v>
      </c>
      <c r="BF910">
        <f>'Revenue drivers'!BF663</f>
        <v>0</v>
      </c>
      <c r="BG910">
        <f>'Revenue drivers'!BG663</f>
        <v>0</v>
      </c>
      <c r="BH910">
        <f>'Revenue drivers'!BH663</f>
        <v>0</v>
      </c>
      <c r="BI910">
        <f>'Revenue drivers'!BI663</f>
        <v>0</v>
      </c>
      <c r="BJ910">
        <f>'Revenue drivers'!BJ663</f>
        <v>0</v>
      </c>
      <c r="BK910">
        <f>'Revenue drivers'!BK663</f>
        <v>0</v>
      </c>
      <c r="BL910">
        <f>'Revenue drivers'!BL663</f>
        <v>0.60599999999999998</v>
      </c>
      <c r="BM910">
        <f>'Revenue drivers'!BM663</f>
        <v>3.0880000000000001</v>
      </c>
      <c r="BN910">
        <f>'Revenue drivers'!BN663</f>
        <v>0</v>
      </c>
      <c r="BO910">
        <f>'Revenue drivers'!BO663</f>
        <v>0</v>
      </c>
      <c r="BP910">
        <f>'Revenue drivers'!BP663</f>
        <v>0</v>
      </c>
      <c r="BQ910">
        <f>'Revenue drivers'!BQ663</f>
        <v>0</v>
      </c>
      <c r="BR910">
        <f>'Revenue drivers'!BR663</f>
        <v>0</v>
      </c>
      <c r="BS910">
        <f>'Revenue drivers'!BS663</f>
        <v>0</v>
      </c>
      <c r="BT910">
        <f>'Revenue drivers'!BT663</f>
        <v>0</v>
      </c>
      <c r="BU910">
        <f>'Revenue drivers'!BU663</f>
        <v>0</v>
      </c>
      <c r="BV910">
        <f>'Revenue drivers'!BV663</f>
        <v>0</v>
      </c>
      <c r="BW910">
        <f>'Revenue drivers'!BW663</f>
        <v>0</v>
      </c>
      <c r="BX910">
        <f>'Revenue drivers'!BX663</f>
        <v>0</v>
      </c>
      <c r="BY910">
        <f>'Revenue drivers'!BY663</f>
        <v>0</v>
      </c>
    </row>
    <row r="911" spans="9:77" ht="11.25" customHeight="1">
      <c r="I911">
        <f>'Revenue drivers'!I664</f>
        <v>0</v>
      </c>
      <c r="J911">
        <f>'Revenue drivers'!J664</f>
        <v>0</v>
      </c>
      <c r="K911">
        <f>'Revenue drivers'!K664</f>
        <v>0</v>
      </c>
      <c r="L911">
        <f>'Revenue drivers'!L664</f>
        <v>0</v>
      </c>
      <c r="M911">
        <f>'Revenue drivers'!M664</f>
        <v>0</v>
      </c>
      <c r="N911">
        <f>'Revenue drivers'!N664</f>
        <v>0</v>
      </c>
      <c r="O911">
        <f>'Revenue drivers'!O664</f>
        <v>0</v>
      </c>
      <c r="P911">
        <f>'Revenue drivers'!P664</f>
        <v>0</v>
      </c>
      <c r="Q911">
        <f>'Revenue drivers'!Q664</f>
        <v>0</v>
      </c>
      <c r="R911">
        <f>'Revenue drivers'!R664</f>
        <v>0</v>
      </c>
      <c r="S911">
        <f>'Revenue drivers'!S664</f>
        <v>0</v>
      </c>
      <c r="T911">
        <f>'Revenue drivers'!T664</f>
        <v>0</v>
      </c>
      <c r="U911">
        <f>'Revenue drivers'!U664</f>
        <v>0</v>
      </c>
      <c r="V911">
        <f>'Revenue drivers'!V664</f>
        <v>0</v>
      </c>
      <c r="W911">
        <f>'Revenue drivers'!W664</f>
        <v>0</v>
      </c>
      <c r="X911">
        <f>'Revenue drivers'!X664</f>
        <v>0</v>
      </c>
      <c r="Y911">
        <f>'Revenue drivers'!Y664</f>
        <v>0</v>
      </c>
      <c r="Z911">
        <f>'Revenue drivers'!Z664</f>
        <v>0</v>
      </c>
      <c r="AA911">
        <f>'Revenue drivers'!AA664</f>
        <v>0</v>
      </c>
      <c r="AB911">
        <f>'Revenue drivers'!AB664</f>
        <v>0</v>
      </c>
      <c r="AC911">
        <f>'Revenue drivers'!AC664</f>
        <v>0</v>
      </c>
      <c r="AD911">
        <f>'Revenue drivers'!AD664</f>
        <v>0</v>
      </c>
      <c r="AE911">
        <f>'Revenue drivers'!AE664</f>
        <v>0</v>
      </c>
      <c r="AF911">
        <f>'Revenue drivers'!AF664</f>
        <v>0</v>
      </c>
      <c r="AG911">
        <f>'Revenue drivers'!AG664</f>
        <v>0</v>
      </c>
      <c r="AH911">
        <f>'Revenue drivers'!AH664</f>
        <v>0</v>
      </c>
      <c r="AI911">
        <f>'Revenue drivers'!AI664</f>
        <v>0</v>
      </c>
      <c r="AJ911">
        <f>'Revenue drivers'!AJ664</f>
        <v>0</v>
      </c>
      <c r="AK911">
        <f>'Revenue drivers'!AK664</f>
        <v>0</v>
      </c>
      <c r="AL911">
        <f>'Revenue drivers'!AL664</f>
        <v>0</v>
      </c>
      <c r="AM911">
        <f>'Revenue drivers'!AM664</f>
        <v>0</v>
      </c>
      <c r="AN911">
        <f>'Revenue drivers'!AN664</f>
        <v>0</v>
      </c>
      <c r="AO911">
        <f>'Revenue drivers'!AO664</f>
        <v>0</v>
      </c>
      <c r="AP911">
        <f>'Revenue drivers'!AP664</f>
        <v>0</v>
      </c>
      <c r="AQ911">
        <f>'Revenue drivers'!AQ664</f>
        <v>0</v>
      </c>
      <c r="AR911">
        <f>'Revenue drivers'!AR664</f>
        <v>0</v>
      </c>
      <c r="AS911">
        <f>'Revenue drivers'!AS664</f>
        <v>0</v>
      </c>
      <c r="AT911">
        <f>'Revenue drivers'!AT664</f>
        <v>0</v>
      </c>
      <c r="AU911">
        <f>'Revenue drivers'!AU664</f>
        <v>0</v>
      </c>
      <c r="AV911">
        <f>'Revenue drivers'!AV664</f>
        <v>0</v>
      </c>
      <c r="AW911">
        <f>'Revenue drivers'!AW664</f>
        <v>0</v>
      </c>
      <c r="AX911">
        <f>'Revenue drivers'!AX664</f>
        <v>0</v>
      </c>
      <c r="AY911">
        <f>'Revenue drivers'!AY664</f>
        <v>0</v>
      </c>
      <c r="AZ911">
        <f>'Revenue drivers'!AZ664</f>
        <v>0</v>
      </c>
      <c r="BA911">
        <f>'Revenue drivers'!BA664</f>
        <v>0</v>
      </c>
      <c r="BB911">
        <f>'Revenue drivers'!BB664</f>
        <v>0</v>
      </c>
      <c r="BC911">
        <f>'Revenue drivers'!BC664</f>
        <v>0</v>
      </c>
      <c r="BD911">
        <f>'Revenue drivers'!BD664</f>
        <v>0</v>
      </c>
      <c r="BE911">
        <f>'Revenue drivers'!BE664</f>
        <v>0</v>
      </c>
      <c r="BF911">
        <f>'Revenue drivers'!BF664</f>
        <v>0</v>
      </c>
      <c r="BG911">
        <f>'Revenue drivers'!BG664</f>
        <v>0</v>
      </c>
      <c r="BH911">
        <f>'Revenue drivers'!BH664</f>
        <v>0</v>
      </c>
      <c r="BI911">
        <f>'Revenue drivers'!BI664</f>
        <v>0</v>
      </c>
      <c r="BJ911">
        <f>'Revenue drivers'!BJ664</f>
        <v>0</v>
      </c>
      <c r="BK911">
        <f>'Revenue drivers'!BK664</f>
        <v>0</v>
      </c>
      <c r="BL911">
        <f>'Revenue drivers'!BL664</f>
        <v>0</v>
      </c>
      <c r="BM911">
        <f>'Revenue drivers'!BM664</f>
        <v>0</v>
      </c>
      <c r="BN911">
        <f>'Revenue drivers'!BN664</f>
        <v>0</v>
      </c>
      <c r="BO911">
        <f>'Revenue drivers'!BO664</f>
        <v>0</v>
      </c>
      <c r="BP911">
        <f>'Revenue drivers'!BP664</f>
        <v>0</v>
      </c>
      <c r="BQ911">
        <f>'Revenue drivers'!BQ664</f>
        <v>0</v>
      </c>
      <c r="BR911">
        <f>'Revenue drivers'!BR664</f>
        <v>0</v>
      </c>
      <c r="BS911">
        <f>'Revenue drivers'!BS664</f>
        <v>0</v>
      </c>
      <c r="BT911">
        <f>'Revenue drivers'!BT664</f>
        <v>0</v>
      </c>
      <c r="BU911">
        <f>'Revenue drivers'!BU664</f>
        <v>0</v>
      </c>
      <c r="BV911">
        <f>'Revenue drivers'!BV664</f>
        <v>0</v>
      </c>
      <c r="BW911">
        <f>'Revenue drivers'!BW664</f>
        <v>0</v>
      </c>
      <c r="BX911">
        <f>'Revenue drivers'!BX664</f>
        <v>0</v>
      </c>
      <c r="BY911">
        <f>'Revenue drivers'!BY664</f>
        <v>0</v>
      </c>
    </row>
    <row r="912" spans="9:77" ht="11.25" customHeight="1">
      <c r="I912" t="str">
        <f>'Revenue drivers'!I665</f>
        <v>Active Local Business Accounts</v>
      </c>
      <c r="J912">
        <f>'Revenue drivers'!J665</f>
        <v>0</v>
      </c>
      <c r="K912">
        <f>'Revenue drivers'!K665</f>
        <v>0</v>
      </c>
      <c r="L912">
        <f>'Revenue drivers'!L665</f>
        <v>0</v>
      </c>
      <c r="M912">
        <f>'Revenue drivers'!M665</f>
        <v>0</v>
      </c>
      <c r="N912">
        <f>'Revenue drivers'!N665</f>
        <v>0</v>
      </c>
      <c r="O912">
        <f>'Revenue drivers'!O665</f>
        <v>0</v>
      </c>
      <c r="P912">
        <f>'Revenue drivers'!P665</f>
        <v>0</v>
      </c>
      <c r="Q912">
        <f>'Revenue drivers'!Q665</f>
        <v>0</v>
      </c>
      <c r="R912">
        <f>'Revenue drivers'!R665</f>
        <v>0</v>
      </c>
      <c r="S912">
        <f>'Revenue drivers'!S665</f>
        <v>0</v>
      </c>
      <c r="T912">
        <f>'Revenue drivers'!T665</f>
        <v>0</v>
      </c>
      <c r="U912">
        <f>'Revenue drivers'!U665</f>
        <v>0</v>
      </c>
      <c r="V912">
        <f>'Revenue drivers'!V665</f>
        <v>0</v>
      </c>
      <c r="W912">
        <f>'Revenue drivers'!W665</f>
        <v>0</v>
      </c>
      <c r="X912">
        <f>'Revenue drivers'!X665</f>
        <v>0</v>
      </c>
      <c r="Y912">
        <f>'Revenue drivers'!Y665</f>
        <v>0</v>
      </c>
      <c r="Z912">
        <f>'Revenue drivers'!Z665</f>
        <v>0</v>
      </c>
      <c r="AA912">
        <f>'Revenue drivers'!AA665</f>
        <v>0</v>
      </c>
      <c r="AB912">
        <f>'Revenue drivers'!AB665</f>
        <v>0</v>
      </c>
      <c r="AC912">
        <f>'Revenue drivers'!AC665</f>
        <v>0</v>
      </c>
      <c r="AD912">
        <f>'Revenue drivers'!AD665</f>
        <v>0</v>
      </c>
      <c r="AE912">
        <f>'Revenue drivers'!AE665</f>
        <v>0</v>
      </c>
      <c r="AF912">
        <f>'Revenue drivers'!AF665</f>
        <v>0</v>
      </c>
      <c r="AG912">
        <f>'Revenue drivers'!AG665</f>
        <v>0</v>
      </c>
      <c r="AH912">
        <f>'Revenue drivers'!AH665</f>
        <v>0</v>
      </c>
      <c r="AI912">
        <f>'Revenue drivers'!AI665</f>
        <v>0</v>
      </c>
      <c r="AJ912">
        <f>'Revenue drivers'!AJ665</f>
        <v>0</v>
      </c>
      <c r="AK912">
        <f>'Revenue drivers'!AK665</f>
        <v>0</v>
      </c>
      <c r="AL912">
        <f>'Revenue drivers'!AL665</f>
        <v>0</v>
      </c>
      <c r="AM912">
        <f>'Revenue drivers'!AM665</f>
        <v>0</v>
      </c>
      <c r="AN912">
        <f>'Revenue drivers'!AN665</f>
        <v>0</v>
      </c>
      <c r="AO912">
        <f>'Revenue drivers'!AO665</f>
        <v>0</v>
      </c>
      <c r="AP912">
        <f>'Revenue drivers'!AP665</f>
        <v>0</v>
      </c>
      <c r="AQ912">
        <f>'Revenue drivers'!AQ665</f>
        <v>0</v>
      </c>
      <c r="AR912">
        <f>'Revenue drivers'!AR665</f>
        <v>0</v>
      </c>
      <c r="AS912">
        <f>'Revenue drivers'!AS665</f>
        <v>0</v>
      </c>
      <c r="AT912">
        <f>'Revenue drivers'!AT665</f>
        <v>0</v>
      </c>
      <c r="AU912">
        <f>'Revenue drivers'!AU665</f>
        <v>0</v>
      </c>
      <c r="AV912">
        <f>'Revenue drivers'!AV665</f>
        <v>0</v>
      </c>
      <c r="AW912">
        <f>'Revenue drivers'!AW665</f>
        <v>0</v>
      </c>
      <c r="AX912">
        <f>'Revenue drivers'!AX665</f>
        <v>0</v>
      </c>
      <c r="AY912">
        <f>'Revenue drivers'!AY665</f>
        <v>0</v>
      </c>
      <c r="AZ912">
        <f>'Revenue drivers'!AZ665</f>
        <v>0</v>
      </c>
      <c r="BA912">
        <f>'Revenue drivers'!BA665</f>
        <v>0</v>
      </c>
      <c r="BB912">
        <f>'Revenue drivers'!BB665</f>
        <v>0</v>
      </c>
      <c r="BC912">
        <f>'Revenue drivers'!BC665</f>
        <v>0</v>
      </c>
      <c r="BD912">
        <f>'Revenue drivers'!BD665</f>
        <v>0</v>
      </c>
      <c r="BE912">
        <f>'Revenue drivers'!BE665</f>
        <v>0</v>
      </c>
      <c r="BF912">
        <f>'Revenue drivers'!BF665</f>
        <v>0</v>
      </c>
      <c r="BG912">
        <f>'Revenue drivers'!BG665</f>
        <v>0</v>
      </c>
      <c r="BH912">
        <f>'Revenue drivers'!BH665</f>
        <v>0</v>
      </c>
      <c r="BI912">
        <f>'Revenue drivers'!BI665</f>
        <v>0</v>
      </c>
      <c r="BJ912">
        <f>'Revenue drivers'!BJ665</f>
        <v>0</v>
      </c>
      <c r="BK912">
        <f>'Revenue drivers'!BK665</f>
        <v>0</v>
      </c>
      <c r="BL912">
        <f>'Revenue drivers'!BL665</f>
        <v>2.4E-2</v>
      </c>
      <c r="BM912">
        <f>'Revenue drivers'!BM665</f>
        <v>0.14199999999999999</v>
      </c>
      <c r="BN912">
        <f>'Revenue drivers'!BN665</f>
        <v>0</v>
      </c>
      <c r="BO912">
        <f>'Revenue drivers'!BO665</f>
        <v>0</v>
      </c>
      <c r="BP912">
        <f>'Revenue drivers'!BP665</f>
        <v>0</v>
      </c>
      <c r="BQ912">
        <f>'Revenue drivers'!BQ665</f>
        <v>0</v>
      </c>
      <c r="BR912">
        <f>'Revenue drivers'!BR665</f>
        <v>0</v>
      </c>
      <c r="BS912">
        <f>'Revenue drivers'!BS665</f>
        <v>0</v>
      </c>
      <c r="BT912">
        <f>'Revenue drivers'!BT665</f>
        <v>0</v>
      </c>
      <c r="BU912">
        <f>'Revenue drivers'!BU665</f>
        <v>0</v>
      </c>
      <c r="BV912">
        <f>'Revenue drivers'!BV665</f>
        <v>0</v>
      </c>
      <c r="BW912">
        <f>'Revenue drivers'!BW665</f>
        <v>0</v>
      </c>
      <c r="BX912">
        <f>'Revenue drivers'!BX665</f>
        <v>0</v>
      </c>
      <c r="BY912">
        <f>'Revenue drivers'!BY665</f>
        <v>0</v>
      </c>
    </row>
    <row r="913" spans="9:77" ht="11.25" customHeight="1">
      <c r="I913">
        <f>'Revenue drivers'!I666</f>
        <v>0</v>
      </c>
      <c r="J913">
        <f>'Revenue drivers'!J666</f>
        <v>0</v>
      </c>
      <c r="K913">
        <f>'Revenue drivers'!K666</f>
        <v>0</v>
      </c>
      <c r="L913">
        <f>'Revenue drivers'!L666</f>
        <v>0</v>
      </c>
      <c r="M913">
        <f>'Revenue drivers'!M666</f>
        <v>0</v>
      </c>
      <c r="N913">
        <f>'Revenue drivers'!N666</f>
        <v>0</v>
      </c>
      <c r="O913">
        <f>'Revenue drivers'!O666</f>
        <v>0</v>
      </c>
      <c r="P913">
        <f>'Revenue drivers'!P666</f>
        <v>0</v>
      </c>
      <c r="Q913">
        <f>'Revenue drivers'!Q666</f>
        <v>0</v>
      </c>
      <c r="R913">
        <f>'Revenue drivers'!R666</f>
        <v>0</v>
      </c>
      <c r="S913">
        <f>'Revenue drivers'!S666</f>
        <v>0</v>
      </c>
      <c r="T913">
        <f>'Revenue drivers'!T666</f>
        <v>0</v>
      </c>
      <c r="U913">
        <f>'Revenue drivers'!U666</f>
        <v>0</v>
      </c>
      <c r="V913">
        <f>'Revenue drivers'!V666</f>
        <v>0</v>
      </c>
      <c r="W913">
        <f>'Revenue drivers'!W666</f>
        <v>0</v>
      </c>
      <c r="X913">
        <f>'Revenue drivers'!X666</f>
        <v>0</v>
      </c>
      <c r="Y913">
        <f>'Revenue drivers'!Y666</f>
        <v>0</v>
      </c>
      <c r="Z913">
        <f>'Revenue drivers'!Z666</f>
        <v>0</v>
      </c>
      <c r="AA913">
        <f>'Revenue drivers'!AA666</f>
        <v>0</v>
      </c>
      <c r="AB913">
        <f>'Revenue drivers'!AB666</f>
        <v>0</v>
      </c>
      <c r="AC913">
        <f>'Revenue drivers'!AC666</f>
        <v>0</v>
      </c>
      <c r="AD913">
        <f>'Revenue drivers'!AD666</f>
        <v>0</v>
      </c>
      <c r="AE913">
        <f>'Revenue drivers'!AE666</f>
        <v>0</v>
      </c>
      <c r="AF913">
        <f>'Revenue drivers'!AF666</f>
        <v>0</v>
      </c>
      <c r="AG913">
        <f>'Revenue drivers'!AG666</f>
        <v>0</v>
      </c>
      <c r="AH913">
        <f>'Revenue drivers'!AH666</f>
        <v>0</v>
      </c>
      <c r="AI913">
        <f>'Revenue drivers'!AI666</f>
        <v>0</v>
      </c>
      <c r="AJ913">
        <f>'Revenue drivers'!AJ666</f>
        <v>0</v>
      </c>
      <c r="AK913">
        <f>'Revenue drivers'!AK666</f>
        <v>0</v>
      </c>
      <c r="AL913">
        <f>'Revenue drivers'!AL666</f>
        <v>0</v>
      </c>
      <c r="AM913">
        <f>'Revenue drivers'!AM666</f>
        <v>0</v>
      </c>
      <c r="AN913">
        <f>'Revenue drivers'!AN666</f>
        <v>0</v>
      </c>
      <c r="AO913">
        <f>'Revenue drivers'!AO666</f>
        <v>0</v>
      </c>
      <c r="AP913">
        <f>'Revenue drivers'!AP666</f>
        <v>0</v>
      </c>
      <c r="AQ913">
        <f>'Revenue drivers'!AQ666</f>
        <v>0</v>
      </c>
      <c r="AR913">
        <f>'Revenue drivers'!AR666</f>
        <v>0</v>
      </c>
      <c r="AS913">
        <f>'Revenue drivers'!AS666</f>
        <v>0</v>
      </c>
      <c r="AT913">
        <f>'Revenue drivers'!AT666</f>
        <v>0</v>
      </c>
      <c r="AU913">
        <f>'Revenue drivers'!AU666</f>
        <v>0</v>
      </c>
      <c r="AV913">
        <f>'Revenue drivers'!AV666</f>
        <v>0</v>
      </c>
      <c r="AW913">
        <f>'Revenue drivers'!AW666</f>
        <v>0</v>
      </c>
      <c r="AX913">
        <f>'Revenue drivers'!AX666</f>
        <v>0</v>
      </c>
      <c r="AY913">
        <f>'Revenue drivers'!AY666</f>
        <v>0</v>
      </c>
      <c r="AZ913">
        <f>'Revenue drivers'!AZ666</f>
        <v>0</v>
      </c>
      <c r="BA913">
        <f>'Revenue drivers'!BA666</f>
        <v>0</v>
      </c>
      <c r="BB913">
        <f>'Revenue drivers'!BB666</f>
        <v>0</v>
      </c>
      <c r="BC913">
        <f>'Revenue drivers'!BC666</f>
        <v>0</v>
      </c>
      <c r="BD913">
        <f>'Revenue drivers'!BD666</f>
        <v>0</v>
      </c>
      <c r="BE913">
        <f>'Revenue drivers'!BE666</f>
        <v>0</v>
      </c>
      <c r="BF913">
        <f>'Revenue drivers'!BF666</f>
        <v>0</v>
      </c>
      <c r="BG913">
        <f>'Revenue drivers'!BG666</f>
        <v>0</v>
      </c>
      <c r="BH913">
        <f>'Revenue drivers'!BH666</f>
        <v>0</v>
      </c>
      <c r="BI913">
        <f>'Revenue drivers'!BI666</f>
        <v>0</v>
      </c>
      <c r="BJ913">
        <f>'Revenue drivers'!BJ666</f>
        <v>0</v>
      </c>
      <c r="BK913">
        <f>'Revenue drivers'!BK666</f>
        <v>0</v>
      </c>
      <c r="BL913">
        <f>'Revenue drivers'!BL666</f>
        <v>0</v>
      </c>
      <c r="BM913">
        <f>'Revenue drivers'!BM666</f>
        <v>0</v>
      </c>
      <c r="BN913">
        <f>'Revenue drivers'!BN666</f>
        <v>0</v>
      </c>
      <c r="BO913">
        <f>'Revenue drivers'!BO666</f>
        <v>0</v>
      </c>
      <c r="BP913">
        <f>'Revenue drivers'!BP666</f>
        <v>0</v>
      </c>
      <c r="BQ913">
        <f>'Revenue drivers'!BQ666</f>
        <v>0</v>
      </c>
      <c r="BR913">
        <f>'Revenue drivers'!BR666</f>
        <v>0</v>
      </c>
      <c r="BS913">
        <f>'Revenue drivers'!BS666</f>
        <v>0</v>
      </c>
      <c r="BT913">
        <f>'Revenue drivers'!BT666</f>
        <v>0</v>
      </c>
      <c r="BU913">
        <f>'Revenue drivers'!BU666</f>
        <v>0</v>
      </c>
      <c r="BV913">
        <f>'Revenue drivers'!BV666</f>
        <v>0</v>
      </c>
      <c r="BW913">
        <f>'Revenue drivers'!BW666</f>
        <v>0</v>
      </c>
      <c r="BX913">
        <f>'Revenue drivers'!BX666</f>
        <v>0</v>
      </c>
      <c r="BY913">
        <f>'Revenue drivers'!BY666</f>
        <v>0</v>
      </c>
    </row>
    <row r="914" spans="9:77" ht="11.25" customHeight="1">
      <c r="I914">
        <f>'Revenue drivers'!I667</f>
        <v>0</v>
      </c>
      <c r="J914">
        <f>'Revenue drivers'!J667</f>
        <v>0</v>
      </c>
      <c r="K914">
        <f>'Revenue drivers'!K667</f>
        <v>0</v>
      </c>
      <c r="L914">
        <f>'Revenue drivers'!L667</f>
        <v>0</v>
      </c>
      <c r="M914">
        <f>'Revenue drivers'!M667</f>
        <v>0</v>
      </c>
      <c r="N914">
        <f>'Revenue drivers'!N667</f>
        <v>0</v>
      </c>
      <c r="O914">
        <f>'Revenue drivers'!O667</f>
        <v>0</v>
      </c>
      <c r="P914">
        <f>'Revenue drivers'!P667</f>
        <v>0</v>
      </c>
      <c r="Q914">
        <f>'Revenue drivers'!Q667</f>
        <v>0</v>
      </c>
      <c r="R914">
        <f>'Revenue drivers'!R667</f>
        <v>0</v>
      </c>
      <c r="S914">
        <f>'Revenue drivers'!S667</f>
        <v>0</v>
      </c>
      <c r="T914">
        <f>'Revenue drivers'!T667</f>
        <v>0</v>
      </c>
      <c r="U914">
        <f>'Revenue drivers'!U667</f>
        <v>0</v>
      </c>
      <c r="V914">
        <f>'Revenue drivers'!V667</f>
        <v>0</v>
      </c>
      <c r="W914">
        <f>'Revenue drivers'!W667</f>
        <v>0</v>
      </c>
      <c r="X914">
        <f>'Revenue drivers'!X667</f>
        <v>0</v>
      </c>
      <c r="Y914">
        <f>'Revenue drivers'!Y667</f>
        <v>0</v>
      </c>
      <c r="Z914">
        <f>'Revenue drivers'!Z667</f>
        <v>0</v>
      </c>
      <c r="AA914">
        <f>'Revenue drivers'!AA667</f>
        <v>0</v>
      </c>
      <c r="AB914">
        <f>'Revenue drivers'!AB667</f>
        <v>0</v>
      </c>
      <c r="AC914">
        <f>'Revenue drivers'!AC667</f>
        <v>0</v>
      </c>
      <c r="AD914">
        <f>'Revenue drivers'!AD667</f>
        <v>0</v>
      </c>
      <c r="AE914">
        <f>'Revenue drivers'!AE667</f>
        <v>0</v>
      </c>
      <c r="AF914">
        <f>'Revenue drivers'!AF667</f>
        <v>0</v>
      </c>
      <c r="AG914">
        <f>'Revenue drivers'!AG667</f>
        <v>0</v>
      </c>
      <c r="AH914">
        <f>'Revenue drivers'!AH667</f>
        <v>0</v>
      </c>
      <c r="AI914">
        <f>'Revenue drivers'!AI667</f>
        <v>0</v>
      </c>
      <c r="AJ914">
        <f>'Revenue drivers'!AJ667</f>
        <v>0</v>
      </c>
      <c r="AK914">
        <f>'Revenue drivers'!AK667</f>
        <v>0</v>
      </c>
      <c r="AL914">
        <f>'Revenue drivers'!AL667</f>
        <v>0</v>
      </c>
      <c r="AM914">
        <f>'Revenue drivers'!AM667</f>
        <v>0</v>
      </c>
      <c r="AN914">
        <f>'Revenue drivers'!AN667</f>
        <v>0</v>
      </c>
      <c r="AO914">
        <f>'Revenue drivers'!AO667</f>
        <v>0</v>
      </c>
      <c r="AP914">
        <f>'Revenue drivers'!AP667</f>
        <v>0</v>
      </c>
      <c r="AQ914">
        <f>'Revenue drivers'!AQ667</f>
        <v>0</v>
      </c>
      <c r="AR914">
        <f>'Revenue drivers'!AR667</f>
        <v>0</v>
      </c>
      <c r="AS914">
        <f>'Revenue drivers'!AS667</f>
        <v>0</v>
      </c>
      <c r="AT914">
        <f>'Revenue drivers'!AT667</f>
        <v>0</v>
      </c>
      <c r="AU914">
        <f>'Revenue drivers'!AU667</f>
        <v>0</v>
      </c>
      <c r="AV914">
        <f>'Revenue drivers'!AV667</f>
        <v>0</v>
      </c>
      <c r="AW914">
        <f>'Revenue drivers'!AW667</f>
        <v>0</v>
      </c>
      <c r="AX914">
        <f>'Revenue drivers'!AX667</f>
        <v>0</v>
      </c>
      <c r="AY914">
        <f>'Revenue drivers'!AY667</f>
        <v>0</v>
      </c>
      <c r="AZ914">
        <f>'Revenue drivers'!AZ667</f>
        <v>0</v>
      </c>
      <c r="BA914">
        <f>'Revenue drivers'!BA667</f>
        <v>0</v>
      </c>
      <c r="BB914">
        <f>'Revenue drivers'!BB667</f>
        <v>0</v>
      </c>
      <c r="BC914">
        <f>'Revenue drivers'!BC667</f>
        <v>0</v>
      </c>
      <c r="BD914">
        <f>'Revenue drivers'!BD667</f>
        <v>0</v>
      </c>
      <c r="BE914">
        <f>'Revenue drivers'!BE667</f>
        <v>0</v>
      </c>
      <c r="BF914">
        <f>'Revenue drivers'!BF667</f>
        <v>0</v>
      </c>
      <c r="BG914">
        <f>'Revenue drivers'!BG667</f>
        <v>0</v>
      </c>
      <c r="BH914">
        <f>'Revenue drivers'!BH667</f>
        <v>0</v>
      </c>
      <c r="BI914">
        <f>'Revenue drivers'!BI667</f>
        <v>0</v>
      </c>
      <c r="BJ914">
        <f>'Revenue drivers'!BJ667</f>
        <v>0</v>
      </c>
      <c r="BK914">
        <f>'Revenue drivers'!BK667</f>
        <v>0</v>
      </c>
      <c r="BL914">
        <f>'Revenue drivers'!BL667</f>
        <v>0</v>
      </c>
      <c r="BM914">
        <f>'Revenue drivers'!BM667</f>
        <v>0</v>
      </c>
      <c r="BN914">
        <f>'Revenue drivers'!BN667</f>
        <v>0</v>
      </c>
      <c r="BO914">
        <f>'Revenue drivers'!BO667</f>
        <v>0</v>
      </c>
      <c r="BP914">
        <f>'Revenue drivers'!BP667</f>
        <v>0</v>
      </c>
      <c r="BQ914">
        <f>'Revenue drivers'!BQ667</f>
        <v>0</v>
      </c>
      <c r="BR914">
        <f>'Revenue drivers'!BR667</f>
        <v>0</v>
      </c>
      <c r="BS914">
        <f>'Revenue drivers'!BS667</f>
        <v>0</v>
      </c>
      <c r="BT914">
        <f>'Revenue drivers'!BT667</f>
        <v>0</v>
      </c>
      <c r="BU914">
        <f>'Revenue drivers'!BU667</f>
        <v>0</v>
      </c>
      <c r="BV914">
        <f>'Revenue drivers'!BV667</f>
        <v>0</v>
      </c>
      <c r="BW914">
        <f>'Revenue drivers'!BW667</f>
        <v>0</v>
      </c>
      <c r="BX914">
        <f>'Revenue drivers'!BX667</f>
        <v>0</v>
      </c>
      <c r="BY914">
        <f>'Revenue drivers'!BY667</f>
        <v>0</v>
      </c>
    </row>
    <row r="915" spans="9:77" ht="11.25" customHeight="1">
      <c r="I915">
        <f>'Revenue drivers'!I302</f>
        <v>0</v>
      </c>
      <c r="J915">
        <f>'Revenue drivers'!J302</f>
        <v>0</v>
      </c>
      <c r="K915">
        <f>'Revenue drivers'!K302</f>
        <v>0</v>
      </c>
      <c r="L915">
        <f>'Revenue drivers'!L302</f>
        <v>0</v>
      </c>
      <c r="M915">
        <f>'Revenue drivers'!M302</f>
        <v>0</v>
      </c>
      <c r="N915">
        <f>'Revenue drivers'!N302</f>
        <v>0</v>
      </c>
      <c r="O915">
        <f>'Revenue drivers'!O302</f>
        <v>0</v>
      </c>
      <c r="P915">
        <f>'Revenue drivers'!P302</f>
        <v>0</v>
      </c>
      <c r="Q915">
        <f>'Revenue drivers'!Q302</f>
        <v>0</v>
      </c>
      <c r="R915">
        <f>'Revenue drivers'!R302</f>
        <v>0</v>
      </c>
      <c r="S915">
        <f>'Revenue drivers'!S302</f>
        <v>0</v>
      </c>
      <c r="T915">
        <f>'Revenue drivers'!T302</f>
        <v>0</v>
      </c>
      <c r="U915">
        <f>'Revenue drivers'!U302</f>
        <v>0</v>
      </c>
      <c r="V915">
        <f>'Revenue drivers'!V302</f>
        <v>0</v>
      </c>
      <c r="W915">
        <f>'Revenue drivers'!W302</f>
        <v>0</v>
      </c>
      <c r="X915">
        <f>'Revenue drivers'!X302</f>
        <v>0</v>
      </c>
      <c r="Y915">
        <f>'Revenue drivers'!Y302</f>
        <v>0</v>
      </c>
      <c r="Z915">
        <f>'Revenue drivers'!Z302</f>
        <v>0</v>
      </c>
      <c r="AA915">
        <f>'Revenue drivers'!AA302</f>
        <v>0</v>
      </c>
      <c r="AB915">
        <f>'Revenue drivers'!AB302</f>
        <v>0</v>
      </c>
      <c r="AC915">
        <f>'Revenue drivers'!AC302</f>
        <v>0</v>
      </c>
      <c r="AD915">
        <f>'Revenue drivers'!AD302</f>
        <v>0</v>
      </c>
      <c r="AE915">
        <f>'Revenue drivers'!AE302</f>
        <v>0</v>
      </c>
      <c r="AF915">
        <f>'Revenue drivers'!AF302</f>
        <v>0</v>
      </c>
      <c r="AG915">
        <f>'Revenue drivers'!AG302</f>
        <v>0</v>
      </c>
      <c r="AH915">
        <f>'Revenue drivers'!AH302</f>
        <v>0</v>
      </c>
      <c r="AI915">
        <f>'Revenue drivers'!AI302</f>
        <v>0</v>
      </c>
      <c r="AJ915">
        <f>'Revenue drivers'!AJ302</f>
        <v>0</v>
      </c>
      <c r="AK915">
        <f>'Revenue drivers'!AK302</f>
        <v>0</v>
      </c>
      <c r="AL915">
        <f>'Revenue drivers'!AL302</f>
        <v>0</v>
      </c>
      <c r="AM915">
        <f>'Revenue drivers'!AM302</f>
        <v>0</v>
      </c>
      <c r="AN915">
        <f>'Revenue drivers'!AN302</f>
        <v>0</v>
      </c>
      <c r="AO915">
        <f>'Revenue drivers'!AO302</f>
        <v>0</v>
      </c>
      <c r="AP915">
        <f>'Revenue drivers'!AP302</f>
        <v>0</v>
      </c>
      <c r="AQ915">
        <f>'Revenue drivers'!AQ302</f>
        <v>0</v>
      </c>
      <c r="AR915">
        <f>'Revenue drivers'!AR302</f>
        <v>0</v>
      </c>
      <c r="AS915">
        <f>'Revenue drivers'!AS302</f>
        <v>0</v>
      </c>
      <c r="AT915">
        <f>'Revenue drivers'!AT302</f>
        <v>0</v>
      </c>
      <c r="AU915">
        <f>'Revenue drivers'!AU302</f>
        <v>0</v>
      </c>
      <c r="AV915">
        <f>'Revenue drivers'!AV302</f>
        <v>0</v>
      </c>
      <c r="AW915">
        <f>'Revenue drivers'!AW302</f>
        <v>0</v>
      </c>
      <c r="AX915">
        <f>'Revenue drivers'!AX302</f>
        <v>0</v>
      </c>
      <c r="AY915">
        <f>'Revenue drivers'!AY302</f>
        <v>0</v>
      </c>
      <c r="AZ915">
        <f>'Revenue drivers'!AZ302</f>
        <v>0</v>
      </c>
      <c r="BA915">
        <f>'Revenue drivers'!BA302</f>
        <v>0</v>
      </c>
      <c r="BB915">
        <f>'Revenue drivers'!BB302</f>
        <v>0</v>
      </c>
      <c r="BC915">
        <f>'Revenue drivers'!BC302</f>
        <v>0</v>
      </c>
      <c r="BD915">
        <f>'Revenue drivers'!BD302</f>
        <v>0</v>
      </c>
      <c r="BE915">
        <f>'Revenue drivers'!BE302</f>
        <v>0</v>
      </c>
      <c r="BF915">
        <f>'Revenue drivers'!BF302</f>
        <v>0</v>
      </c>
      <c r="BG915">
        <f>'Revenue drivers'!BG302</f>
        <v>0</v>
      </c>
      <c r="BH915">
        <f>'Revenue drivers'!BH302</f>
        <v>0</v>
      </c>
      <c r="BI915">
        <f>'Revenue drivers'!BI302</f>
        <v>0</v>
      </c>
      <c r="BJ915">
        <f>'Revenue drivers'!BJ302</f>
        <v>0</v>
      </c>
      <c r="BK915">
        <f>'Revenue drivers'!BK302</f>
        <v>0</v>
      </c>
      <c r="BL915">
        <f>'Revenue drivers'!BL302</f>
        <v>0</v>
      </c>
      <c r="BM915">
        <f>'Revenue drivers'!BM302</f>
        <v>0</v>
      </c>
      <c r="BN915">
        <f>'Revenue drivers'!BN302</f>
        <v>0</v>
      </c>
      <c r="BO915">
        <f>'Revenue drivers'!BO302</f>
        <v>0</v>
      </c>
      <c r="BP915">
        <f>'Revenue drivers'!BP302</f>
        <v>0</v>
      </c>
      <c r="BQ915">
        <f>'Revenue drivers'!BQ302</f>
        <v>0</v>
      </c>
      <c r="BR915">
        <f>'Revenue drivers'!BR302</f>
        <v>0</v>
      </c>
      <c r="BS915">
        <f>'Revenue drivers'!BS302</f>
        <v>0</v>
      </c>
      <c r="BT915">
        <f>'Revenue drivers'!BT302</f>
        <v>0</v>
      </c>
      <c r="BU915">
        <f>'Revenue drivers'!BU302</f>
        <v>0</v>
      </c>
      <c r="BV915">
        <f>'Revenue drivers'!BV302</f>
        <v>0</v>
      </c>
      <c r="BW915">
        <f>'Revenue drivers'!BW302</f>
        <v>0</v>
      </c>
      <c r="BX915">
        <f>'Revenue drivers'!BX302</f>
        <v>0</v>
      </c>
      <c r="BY915">
        <f>'Revenue drivers'!BY302</f>
        <v>0</v>
      </c>
    </row>
    <row r="916" spans="9:77" ht="11.25" customHeight="1">
      <c r="I916" t="str">
        <f>'Revenue drivers'!I303</f>
        <v>US vs. International average monthly unique visitors</v>
      </c>
      <c r="J916">
        <f>'Revenue drivers'!J303</f>
        <v>0</v>
      </c>
      <c r="K916">
        <f>'Revenue drivers'!K303</f>
        <v>0</v>
      </c>
      <c r="L916">
        <f>'Revenue drivers'!L303</f>
        <v>0</v>
      </c>
      <c r="M916">
        <f>'Revenue drivers'!M303</f>
        <v>0</v>
      </c>
      <c r="N916">
        <f>'Revenue drivers'!N303</f>
        <v>0</v>
      </c>
      <c r="O916">
        <f>'Revenue drivers'!O303</f>
        <v>0</v>
      </c>
      <c r="P916">
        <f>'Revenue drivers'!P303</f>
        <v>0</v>
      </c>
      <c r="Q916">
        <f>'Revenue drivers'!Q303</f>
        <v>0</v>
      </c>
      <c r="R916">
        <f>'Revenue drivers'!R303</f>
        <v>0</v>
      </c>
      <c r="S916">
        <f>'Revenue drivers'!S303</f>
        <v>0</v>
      </c>
      <c r="T916">
        <f>'Revenue drivers'!T303</f>
        <v>0</v>
      </c>
      <c r="U916">
        <f>'Revenue drivers'!U303</f>
        <v>0</v>
      </c>
      <c r="V916">
        <f>'Revenue drivers'!V303</f>
        <v>0</v>
      </c>
      <c r="W916">
        <f>'Revenue drivers'!W303</f>
        <v>0</v>
      </c>
      <c r="X916">
        <f>'Revenue drivers'!X303</f>
        <v>0</v>
      </c>
      <c r="Y916">
        <f>'Revenue drivers'!Y303</f>
        <v>0</v>
      </c>
      <c r="Z916">
        <f>'Revenue drivers'!Z303</f>
        <v>0</v>
      </c>
      <c r="AA916">
        <f>'Revenue drivers'!AA303</f>
        <v>0</v>
      </c>
      <c r="AB916">
        <f>'Revenue drivers'!AB303</f>
        <v>0</v>
      </c>
      <c r="AC916">
        <f>'Revenue drivers'!AC303</f>
        <v>0</v>
      </c>
      <c r="AD916">
        <f>'Revenue drivers'!AD303</f>
        <v>0</v>
      </c>
      <c r="AE916">
        <f>'Revenue drivers'!AE303</f>
        <v>0</v>
      </c>
      <c r="AF916">
        <f>'Revenue drivers'!AF303</f>
        <v>0</v>
      </c>
      <c r="AG916">
        <f>'Revenue drivers'!AG303</f>
        <v>0</v>
      </c>
      <c r="AH916">
        <f>'Revenue drivers'!AH303</f>
        <v>0</v>
      </c>
      <c r="AI916">
        <f>'Revenue drivers'!AI303</f>
        <v>0</v>
      </c>
      <c r="AJ916">
        <f>'Revenue drivers'!AJ303</f>
        <v>0</v>
      </c>
      <c r="AK916">
        <f>'Revenue drivers'!AK303</f>
        <v>0</v>
      </c>
      <c r="AL916">
        <f>'Revenue drivers'!AL303</f>
        <v>0</v>
      </c>
      <c r="AM916">
        <f>'Revenue drivers'!AM303</f>
        <v>0</v>
      </c>
      <c r="AN916">
        <f>'Revenue drivers'!AN303</f>
        <v>0</v>
      </c>
      <c r="AO916">
        <f>'Revenue drivers'!AO303</f>
        <v>0</v>
      </c>
      <c r="AP916">
        <f>'Revenue drivers'!AP303</f>
        <v>0</v>
      </c>
      <c r="AQ916">
        <f>'Revenue drivers'!AQ303</f>
        <v>0</v>
      </c>
      <c r="AR916">
        <f>'Revenue drivers'!AR303</f>
        <v>0</v>
      </c>
      <c r="AS916">
        <f>'Revenue drivers'!AS303</f>
        <v>0</v>
      </c>
      <c r="AT916">
        <f>'Revenue drivers'!AT303</f>
        <v>0</v>
      </c>
      <c r="AU916">
        <f>'Revenue drivers'!AU303</f>
        <v>0</v>
      </c>
      <c r="AV916">
        <f>'Revenue drivers'!AV303</f>
        <v>0</v>
      </c>
      <c r="AW916">
        <f>'Revenue drivers'!AW303</f>
        <v>0</v>
      </c>
      <c r="AX916">
        <f>'Revenue drivers'!AX303</f>
        <v>0</v>
      </c>
      <c r="AY916">
        <f>'Revenue drivers'!AY303</f>
        <v>0</v>
      </c>
      <c r="AZ916">
        <f>'Revenue drivers'!AZ303</f>
        <v>0</v>
      </c>
      <c r="BA916">
        <f>'Revenue drivers'!BA303</f>
        <v>0</v>
      </c>
      <c r="BB916">
        <f>'Revenue drivers'!BB303</f>
        <v>0</v>
      </c>
      <c r="BC916">
        <f>'Revenue drivers'!BC303</f>
        <v>0</v>
      </c>
      <c r="BD916">
        <f>'Revenue drivers'!BD303</f>
        <v>0</v>
      </c>
      <c r="BE916">
        <f>'Revenue drivers'!BE303</f>
        <v>0</v>
      </c>
      <c r="BF916">
        <f>'Revenue drivers'!BF303</f>
        <v>0</v>
      </c>
      <c r="BG916">
        <f>'Revenue drivers'!BG303</f>
        <v>0</v>
      </c>
      <c r="BH916">
        <f>'Revenue drivers'!BH303</f>
        <v>0</v>
      </c>
      <c r="BI916">
        <f>'Revenue drivers'!BI303</f>
        <v>0</v>
      </c>
      <c r="BJ916">
        <f>'Revenue drivers'!BJ303</f>
        <v>0</v>
      </c>
      <c r="BK916">
        <f>'Revenue drivers'!BK303</f>
        <v>0</v>
      </c>
      <c r="BL916">
        <f>'Revenue drivers'!BL303</f>
        <v>0</v>
      </c>
      <c r="BM916">
        <f>'Revenue drivers'!BM303</f>
        <v>0</v>
      </c>
      <c r="BN916">
        <f>'Revenue drivers'!BN303</f>
        <v>0</v>
      </c>
      <c r="BO916">
        <f>'Revenue drivers'!BO303</f>
        <v>0</v>
      </c>
      <c r="BP916">
        <f>'Revenue drivers'!BP303</f>
        <v>0</v>
      </c>
      <c r="BQ916">
        <f>'Revenue drivers'!BQ303</f>
        <v>0</v>
      </c>
      <c r="BR916">
        <f>'Revenue drivers'!BR303</f>
        <v>0</v>
      </c>
      <c r="BS916">
        <f>'Revenue drivers'!BS303</f>
        <v>0</v>
      </c>
      <c r="BT916">
        <f>'Revenue drivers'!BT303</f>
        <v>0</v>
      </c>
      <c r="BU916">
        <f>'Revenue drivers'!BU303</f>
        <v>0</v>
      </c>
      <c r="BV916">
        <f>'Revenue drivers'!BV303</f>
        <v>0</v>
      </c>
      <c r="BW916">
        <f>'Revenue drivers'!BW303</f>
        <v>0</v>
      </c>
      <c r="BX916">
        <f>'Revenue drivers'!BX303</f>
        <v>0</v>
      </c>
      <c r="BY916">
        <f>'Revenue drivers'!BY303</f>
        <v>0</v>
      </c>
    </row>
    <row r="917" spans="9:77" ht="11.25" customHeight="1">
      <c r="I917">
        <f>'Revenue drivers'!I304</f>
        <v>0</v>
      </c>
      <c r="J917">
        <f>'Revenue drivers'!J304</f>
        <v>0</v>
      </c>
      <c r="K917">
        <f>'Revenue drivers'!K304</f>
        <v>0</v>
      </c>
      <c r="L917">
        <f>'Revenue drivers'!L304</f>
        <v>0</v>
      </c>
      <c r="M917">
        <f>'Revenue drivers'!M304</f>
        <v>0</v>
      </c>
      <c r="N917">
        <f>'Revenue drivers'!N304</f>
        <v>0</v>
      </c>
      <c r="O917">
        <f>'Revenue drivers'!O304</f>
        <v>0</v>
      </c>
      <c r="P917">
        <f>'Revenue drivers'!P304</f>
        <v>0</v>
      </c>
      <c r="Q917">
        <f>'Revenue drivers'!Q304</f>
        <v>0</v>
      </c>
      <c r="R917">
        <f>'Revenue drivers'!R304</f>
        <v>0</v>
      </c>
      <c r="S917">
        <f>'Revenue drivers'!S304</f>
        <v>0</v>
      </c>
      <c r="T917">
        <f>'Revenue drivers'!T304</f>
        <v>0</v>
      </c>
      <c r="U917">
        <f>'Revenue drivers'!U304</f>
        <v>0</v>
      </c>
      <c r="V917">
        <f>'Revenue drivers'!V304</f>
        <v>0</v>
      </c>
      <c r="W917">
        <f>'Revenue drivers'!W304</f>
        <v>0</v>
      </c>
      <c r="X917">
        <f>'Revenue drivers'!X304</f>
        <v>0</v>
      </c>
      <c r="Y917">
        <f>'Revenue drivers'!Y304</f>
        <v>0</v>
      </c>
      <c r="Z917">
        <f>'Revenue drivers'!Z304</f>
        <v>0</v>
      </c>
      <c r="AA917">
        <f>'Revenue drivers'!AA304</f>
        <v>0</v>
      </c>
      <c r="AB917">
        <f>'Revenue drivers'!AB304</f>
        <v>0</v>
      </c>
      <c r="AC917">
        <f>'Revenue drivers'!AC304</f>
        <v>0</v>
      </c>
      <c r="AD917">
        <f>'Revenue drivers'!AD304</f>
        <v>0</v>
      </c>
      <c r="AE917">
        <f>'Revenue drivers'!AE304</f>
        <v>0</v>
      </c>
      <c r="AF917">
        <f>'Revenue drivers'!AF304</f>
        <v>0</v>
      </c>
      <c r="AG917">
        <f>'Revenue drivers'!AG304</f>
        <v>0</v>
      </c>
      <c r="AH917">
        <f>'Revenue drivers'!AH304</f>
        <v>0</v>
      </c>
      <c r="AI917">
        <f>'Revenue drivers'!AI304</f>
        <v>0</v>
      </c>
      <c r="AJ917">
        <f>'Revenue drivers'!AJ304</f>
        <v>0</v>
      </c>
      <c r="AK917">
        <f>'Revenue drivers'!AK304</f>
        <v>0</v>
      </c>
      <c r="AL917">
        <f>'Revenue drivers'!AL304</f>
        <v>0</v>
      </c>
      <c r="AM917">
        <f>'Revenue drivers'!AM304</f>
        <v>0</v>
      </c>
      <c r="AN917">
        <f>'Revenue drivers'!AN304</f>
        <v>0</v>
      </c>
      <c r="AO917">
        <f>'Revenue drivers'!AO304</f>
        <v>0</v>
      </c>
      <c r="AP917">
        <f>'Revenue drivers'!AP304</f>
        <v>0</v>
      </c>
      <c r="AQ917">
        <f>'Revenue drivers'!AQ304</f>
        <v>0</v>
      </c>
      <c r="AR917">
        <f>'Revenue drivers'!AR304</f>
        <v>0</v>
      </c>
      <c r="AS917">
        <f>'Revenue drivers'!AS304</f>
        <v>0</v>
      </c>
      <c r="AT917">
        <f>'Revenue drivers'!AT304</f>
        <v>0</v>
      </c>
      <c r="AU917">
        <f>'Revenue drivers'!AU304</f>
        <v>0</v>
      </c>
      <c r="AV917">
        <f>'Revenue drivers'!AV304</f>
        <v>0</v>
      </c>
      <c r="AW917">
        <f>'Revenue drivers'!AW304</f>
        <v>0</v>
      </c>
      <c r="AX917">
        <f>'Revenue drivers'!AX304</f>
        <v>0</v>
      </c>
      <c r="AY917">
        <f>'Revenue drivers'!AY304</f>
        <v>0</v>
      </c>
      <c r="AZ917">
        <f>'Revenue drivers'!AZ304</f>
        <v>0</v>
      </c>
      <c r="BA917">
        <f>'Revenue drivers'!BA304</f>
        <v>0</v>
      </c>
      <c r="BB917">
        <f>'Revenue drivers'!BB304</f>
        <v>0</v>
      </c>
      <c r="BC917">
        <f>'Revenue drivers'!BC304</f>
        <v>0</v>
      </c>
      <c r="BD917">
        <f>'Revenue drivers'!BD304</f>
        <v>0</v>
      </c>
      <c r="BE917">
        <f>'Revenue drivers'!BE304</f>
        <v>0</v>
      </c>
      <c r="BF917">
        <f>'Revenue drivers'!BF304</f>
        <v>0</v>
      </c>
      <c r="BG917">
        <f>'Revenue drivers'!BG304</f>
        <v>0</v>
      </c>
      <c r="BH917">
        <f>'Revenue drivers'!BH304</f>
        <v>0</v>
      </c>
      <c r="BI917">
        <f>'Revenue drivers'!BI304</f>
        <v>0</v>
      </c>
      <c r="BJ917">
        <f>'Revenue drivers'!BJ304</f>
        <v>0</v>
      </c>
      <c r="BK917">
        <f>'Revenue drivers'!BK304</f>
        <v>0</v>
      </c>
      <c r="BL917">
        <f>'Revenue drivers'!BL304</f>
        <v>0</v>
      </c>
      <c r="BM917">
        <f>'Revenue drivers'!BM304</f>
        <v>0</v>
      </c>
      <c r="BN917">
        <f>'Revenue drivers'!BN304</f>
        <v>0</v>
      </c>
      <c r="BO917">
        <f>'Revenue drivers'!BO304</f>
        <v>0</v>
      </c>
      <c r="BP917">
        <f>'Revenue drivers'!BP304</f>
        <v>0</v>
      </c>
      <c r="BQ917">
        <f>'Revenue drivers'!BQ304</f>
        <v>0</v>
      </c>
      <c r="BR917">
        <f>'Revenue drivers'!BR304</f>
        <v>0</v>
      </c>
      <c r="BS917">
        <f>'Revenue drivers'!BS304</f>
        <v>0</v>
      </c>
      <c r="BT917">
        <f>'Revenue drivers'!BT304</f>
        <v>0</v>
      </c>
      <c r="BU917">
        <f>'Revenue drivers'!BU304</f>
        <v>0</v>
      </c>
      <c r="BV917">
        <f>'Revenue drivers'!BV304</f>
        <v>0</v>
      </c>
      <c r="BW917">
        <f>'Revenue drivers'!BW304</f>
        <v>0</v>
      </c>
      <c r="BX917">
        <f>'Revenue drivers'!BX304</f>
        <v>0</v>
      </c>
      <c r="BY917">
        <f>'Revenue drivers'!BY304</f>
        <v>0</v>
      </c>
    </row>
    <row r="918" spans="9:77" ht="11.25" customHeight="1">
      <c r="I918" t="str">
        <f>'Revenue drivers'!I305</f>
        <v>US average monthly unique visitors</v>
      </c>
      <c r="J918">
        <f>'Revenue drivers'!J305</f>
        <v>0</v>
      </c>
      <c r="K918">
        <f>'Revenue drivers'!K305</f>
        <v>0</v>
      </c>
      <c r="L918">
        <f>'Revenue drivers'!L305</f>
        <v>0</v>
      </c>
      <c r="M918">
        <f>'Revenue drivers'!M305</f>
        <v>0</v>
      </c>
      <c r="N918">
        <f>'Revenue drivers'!N305</f>
        <v>0</v>
      </c>
      <c r="O918">
        <f>'Revenue drivers'!O305</f>
        <v>0</v>
      </c>
      <c r="P918">
        <f>'Revenue drivers'!P305</f>
        <v>0</v>
      </c>
      <c r="Q918">
        <f>'Revenue drivers'!Q305</f>
        <v>0</v>
      </c>
      <c r="R918">
        <f>'Revenue drivers'!R305</f>
        <v>0</v>
      </c>
      <c r="S918">
        <f>'Revenue drivers'!S305</f>
        <v>0</v>
      </c>
      <c r="T918">
        <f>'Revenue drivers'!T305</f>
        <v>0</v>
      </c>
      <c r="U918">
        <f>'Revenue drivers'!U305</f>
        <v>0</v>
      </c>
      <c r="V918">
        <f>'Revenue drivers'!V305</f>
        <v>0</v>
      </c>
      <c r="W918">
        <f>'Revenue drivers'!W305</f>
        <v>72.86099999999999</v>
      </c>
      <c r="X918">
        <f>'Revenue drivers'!X305</f>
        <v>0</v>
      </c>
      <c r="Y918">
        <f>'Revenue drivers'!Y305</f>
        <v>0</v>
      </c>
      <c r="Z918">
        <f>'Revenue drivers'!Z305</f>
        <v>0</v>
      </c>
      <c r="AA918">
        <f>'Revenue drivers'!AA305</f>
        <v>96.306539999999998</v>
      </c>
      <c r="AB918">
        <f>'Revenue drivers'!AB305</f>
        <v>94.80395</v>
      </c>
      <c r="AC918">
        <f>'Revenue drivers'!AC305</f>
        <v>100.6696</v>
      </c>
      <c r="AD918">
        <f>'Revenue drivers'!AD305</f>
        <v>106.761</v>
      </c>
      <c r="AE918">
        <f>'Revenue drivers'!AE305</f>
        <v>109.41800000000001</v>
      </c>
      <c r="AF918">
        <f>'Revenue drivers'!AF305</f>
        <v>104.39400000000001</v>
      </c>
      <c r="AG918">
        <f>'Revenue drivers'!AG305</f>
        <v>111.32300000000001</v>
      </c>
      <c r="AH918">
        <f>'Revenue drivers'!AH305</f>
        <v>113.93699999999998</v>
      </c>
      <c r="AI918">
        <f>'Revenue drivers'!AI305</f>
        <v>117.45699999999999</v>
      </c>
      <c r="AJ918">
        <f>'Revenue drivers'!AJ305</f>
        <v>110.52999999999999</v>
      </c>
      <c r="AK918">
        <f>'Revenue drivers'!AK305</f>
        <v>116.102</v>
      </c>
      <c r="AL918">
        <f>'Revenue drivers'!AL305</f>
        <v>113.87700000000001</v>
      </c>
      <c r="AM918">
        <f>'Revenue drivers'!AM305</f>
        <v>112.78000000000002</v>
      </c>
      <c r="AN918">
        <f>'Revenue drivers'!AN305</f>
        <v>103.765</v>
      </c>
      <c r="AO918">
        <f>'Revenue drivers'!AO305</f>
        <v>151.35899999999998</v>
      </c>
      <c r="AP918">
        <f>'Revenue drivers'!AP305</f>
        <v>156.31350499999999</v>
      </c>
      <c r="AQ918">
        <f>'Revenue drivers'!AQ305</f>
        <v>155.529</v>
      </c>
      <c r="AR918">
        <f>'Revenue drivers'!AR305</f>
        <v>140.96899999999999</v>
      </c>
      <c r="AS918">
        <f>'Revenue drivers'!AS305</f>
        <v>145.14537625</v>
      </c>
      <c r="AT918">
        <f>'Revenue drivers'!AT305</f>
        <v>143.53356599999998</v>
      </c>
      <c r="AU918">
        <f>'Revenue drivers'!AU305</f>
        <v>140.68567849999997</v>
      </c>
      <c r="AV918">
        <f>'Revenue drivers'!AV305</f>
        <v>127.75662243899998</v>
      </c>
      <c r="AW918">
        <f>'Revenue drivers'!AW305</f>
        <v>131.67210923487497</v>
      </c>
      <c r="AX918">
        <f>'Revenue drivers'!AX305</f>
        <v>130.72285114279998</v>
      </c>
      <c r="AY918">
        <f>'Revenue drivers'!AY305</f>
        <v>128.73926702594997</v>
      </c>
      <c r="AZ918">
        <f>'Revenue drivers'!AZ305</f>
        <v>118.35936827329999</v>
      </c>
      <c r="BA918">
        <f>'Revenue drivers'!BA305</f>
        <v>121.2246990731625</v>
      </c>
      <c r="BB918">
        <f>'Revenue drivers'!BB305</f>
        <v>120.00556305975999</v>
      </c>
      <c r="BC918">
        <f>'Revenue drivers'!BC305</f>
        <v>117.92892611736498</v>
      </c>
      <c r="BD918">
        <f>'Revenue drivers'!BD305</f>
        <v>108.8701347389575</v>
      </c>
      <c r="BE918">
        <f>'Revenue drivers'!BE305</f>
        <v>0</v>
      </c>
      <c r="BF918">
        <f>'Revenue drivers'!BF305</f>
        <v>0</v>
      </c>
      <c r="BG918">
        <f>'Revenue drivers'!BG305</f>
        <v>0</v>
      </c>
      <c r="BH918">
        <f>'Revenue drivers'!BH305</f>
        <v>0</v>
      </c>
      <c r="BI918">
        <f>'Revenue drivers'!BI305</f>
        <v>0</v>
      </c>
      <c r="BJ918">
        <f>'Revenue drivers'!BJ305</f>
        <v>0</v>
      </c>
      <c r="BK918">
        <f>'Revenue drivers'!BK305</f>
        <v>0</v>
      </c>
      <c r="BL918">
        <f>'Revenue drivers'!BL305</f>
        <v>0</v>
      </c>
      <c r="BM918">
        <f>'Revenue drivers'!BM305</f>
        <v>95.555244999999999</v>
      </c>
      <c r="BN918">
        <f>'Revenue drivers'!BN305</f>
        <v>105.31065000000001</v>
      </c>
      <c r="BO918">
        <f>'Revenue drivers'!BO305</f>
        <v>113.31174999999999</v>
      </c>
      <c r="BP918">
        <f>'Revenue drivers'!BP305</f>
        <v>111.631</v>
      </c>
      <c r="BQ918">
        <f>'Revenue drivers'!BQ305</f>
        <v>151.04262625000001</v>
      </c>
      <c r="BR918">
        <f>'Revenue drivers'!BR305</f>
        <v>139.28031079725</v>
      </c>
      <c r="BS918">
        <f>'Revenue drivers'!BS305</f>
        <v>127.37339891923122</v>
      </c>
      <c r="BT918">
        <f>'Revenue drivers'!BT305</f>
        <v>117.00733074731124</v>
      </c>
      <c r="BU918">
        <f>'Revenue drivers'!BU305</f>
        <v>99.396543575454643</v>
      </c>
      <c r="BV918">
        <f>'Revenue drivers'!BV305</f>
        <v>88.252591218380189</v>
      </c>
      <c r="BW918">
        <f>'Revenue drivers'!BW305</f>
        <v>76.903278880748871</v>
      </c>
      <c r="BX918">
        <f>'Revenue drivers'!BX305</f>
        <v>65.405149258036687</v>
      </c>
      <c r="BY918">
        <f>'Revenue drivers'!BY305</f>
        <v>53.811764673586168</v>
      </c>
    </row>
    <row r="919" spans="9:77" ht="11.25" customHeight="1">
      <c r="I919" t="str">
        <f>'Revenue drivers'!I306</f>
        <v>Period-to-period addition Y/Y</v>
      </c>
      <c r="J919">
        <f>'Revenue drivers'!J306</f>
        <v>0</v>
      </c>
      <c r="K919">
        <f>'Revenue drivers'!K306</f>
        <v>0</v>
      </c>
      <c r="L919">
        <f>'Revenue drivers'!L306</f>
        <v>0</v>
      </c>
      <c r="M919">
        <f>'Revenue drivers'!M306</f>
        <v>0</v>
      </c>
      <c r="N919">
        <f>'Revenue drivers'!N306</f>
        <v>0</v>
      </c>
      <c r="O919">
        <f>'Revenue drivers'!O306</f>
        <v>0</v>
      </c>
      <c r="P919">
        <f>'Revenue drivers'!P306</f>
        <v>0</v>
      </c>
      <c r="Q919">
        <f>'Revenue drivers'!Q306</f>
        <v>0</v>
      </c>
      <c r="R919">
        <f>'Revenue drivers'!R306</f>
        <v>0</v>
      </c>
      <c r="S919">
        <f>'Revenue drivers'!S306</f>
        <v>0</v>
      </c>
      <c r="T919">
        <f>'Revenue drivers'!T306</f>
        <v>0</v>
      </c>
      <c r="U919">
        <f>'Revenue drivers'!U306</f>
        <v>0</v>
      </c>
      <c r="V919">
        <f>'Revenue drivers'!V306</f>
        <v>0</v>
      </c>
      <c r="W919">
        <f>'Revenue drivers'!W306</f>
        <v>72.86099999999999</v>
      </c>
      <c r="X919">
        <f>'Revenue drivers'!X306</f>
        <v>0</v>
      </c>
      <c r="Y919">
        <f>'Revenue drivers'!Y306</f>
        <v>0</v>
      </c>
      <c r="Z919">
        <f>'Revenue drivers'!Z306</f>
        <v>0</v>
      </c>
      <c r="AA919">
        <f>'Revenue drivers'!AA306</f>
        <v>96.306539999999998</v>
      </c>
      <c r="AB919">
        <f>'Revenue drivers'!AB306</f>
        <v>-1.5025899999999979</v>
      </c>
      <c r="AC919">
        <f>'Revenue drivers'!AC306</f>
        <v>5.8656500000000023</v>
      </c>
      <c r="AD919">
        <f>'Revenue drivers'!AD306</f>
        <v>6.091399999999993</v>
      </c>
      <c r="AE919">
        <f>'Revenue drivers'!AE306</f>
        <v>2.6570000000000107</v>
      </c>
      <c r="AF919">
        <f>'Revenue drivers'!AF306</f>
        <v>-5.0240000000000009</v>
      </c>
      <c r="AG919">
        <f>'Revenue drivers'!AG306</f>
        <v>6.929000000000002</v>
      </c>
      <c r="AH919">
        <f>'Revenue drivers'!AH306</f>
        <v>2.6139999999999759</v>
      </c>
      <c r="AI919">
        <f>'Revenue drivers'!AI306</f>
        <v>3.5200000000000102</v>
      </c>
      <c r="AJ919">
        <f>'Revenue drivers'!AJ306</f>
        <v>-6.9270000000000067</v>
      </c>
      <c r="AK919">
        <f>'Revenue drivers'!AK306</f>
        <v>5.5720000000000169</v>
      </c>
      <c r="AL919">
        <f>'Revenue drivers'!AL306</f>
        <v>-2.2249999999999943</v>
      </c>
      <c r="AM919">
        <f>'Revenue drivers'!AM306</f>
        <v>-1.0969999999999942</v>
      </c>
      <c r="AN919">
        <f>'Revenue drivers'!AN306</f>
        <v>-9.0150000000000148</v>
      </c>
      <c r="AO919">
        <f>'Revenue drivers'!AO306</f>
        <v>47.59399999999998</v>
      </c>
      <c r="AP919">
        <f>'Revenue drivers'!AP306</f>
        <v>4.9545050000000117</v>
      </c>
      <c r="AQ919">
        <f>'Revenue drivers'!AQ306</f>
        <v>-0.78450499999999579</v>
      </c>
      <c r="AR919">
        <f>'Revenue drivers'!AR306</f>
        <v>-14.560000000000002</v>
      </c>
      <c r="AS919">
        <f>'Revenue drivers'!AS306</f>
        <v>4.1763762500000041</v>
      </c>
      <c r="AT919">
        <f>'Revenue drivers'!AT306</f>
        <v>-1.6118102500000191</v>
      </c>
      <c r="AU919">
        <f>'Revenue drivers'!AU306</f>
        <v>-2.847887500000013</v>
      </c>
      <c r="AV919">
        <f>'Revenue drivers'!AV306</f>
        <v>-12.929056060999983</v>
      </c>
      <c r="AW919">
        <f>'Revenue drivers'!AW306</f>
        <v>3.9154867958749833</v>
      </c>
      <c r="AX919">
        <f>'Revenue drivers'!AX306</f>
        <v>-0.94925809207498446</v>
      </c>
      <c r="AY919">
        <f>'Revenue drivers'!AY306</f>
        <v>-1.983584116850011</v>
      </c>
      <c r="AZ919">
        <f>'Revenue drivers'!AZ306</f>
        <v>-10.379898752649979</v>
      </c>
      <c r="BA919">
        <f>'Revenue drivers'!BA306</f>
        <v>2.8653307998625053</v>
      </c>
      <c r="BB919">
        <f>'Revenue drivers'!BB306</f>
        <v>-1.2191360134025047</v>
      </c>
      <c r="BC919">
        <f>'Revenue drivers'!BC306</f>
        <v>-2.0766369423950124</v>
      </c>
      <c r="BD919">
        <f>'Revenue drivers'!BD306</f>
        <v>-9.0587913784074772</v>
      </c>
      <c r="BE919">
        <f>'Revenue drivers'!BE306</f>
        <v>0</v>
      </c>
      <c r="BF919">
        <f>'Revenue drivers'!BF306</f>
        <v>0</v>
      </c>
      <c r="BG919">
        <f>'Revenue drivers'!BG306</f>
        <v>0</v>
      </c>
      <c r="BH919">
        <f>'Revenue drivers'!BH306</f>
        <v>0</v>
      </c>
      <c r="BI919">
        <f>'Revenue drivers'!BI306</f>
        <v>0</v>
      </c>
      <c r="BJ919">
        <f>'Revenue drivers'!BJ306</f>
        <v>0</v>
      </c>
      <c r="BK919">
        <f>'Revenue drivers'!BK306</f>
        <v>0</v>
      </c>
      <c r="BL919">
        <f>'Revenue drivers'!BL306</f>
        <v>0</v>
      </c>
      <c r="BM919">
        <f>'Revenue drivers'!BM306</f>
        <v>0</v>
      </c>
      <c r="BN919">
        <f>'Revenue drivers'!BN306</f>
        <v>9.7554050000000103</v>
      </c>
      <c r="BO919">
        <f>'Revenue drivers'!BO306</f>
        <v>8.0010999999999797</v>
      </c>
      <c r="BP919">
        <f>'Revenue drivers'!BP306</f>
        <v>-1.6807499999999891</v>
      </c>
      <c r="BQ919">
        <f>'Revenue drivers'!BQ306</f>
        <v>39.411626250000012</v>
      </c>
      <c r="BR919">
        <f>'Revenue drivers'!BR306</f>
        <v>-11.762315452750016</v>
      </c>
      <c r="BS919">
        <f>'Revenue drivers'!BS306</f>
        <v>-11.906911878018775</v>
      </c>
      <c r="BT919">
        <f>'Revenue drivers'!BT306</f>
        <v>-10.366068171919977</v>
      </c>
      <c r="BU919">
        <f>'Revenue drivers'!BU306</f>
        <v>-17.6107871718566</v>
      </c>
      <c r="BV919">
        <f>'Revenue drivers'!BV306</f>
        <v>-11.143952357074454</v>
      </c>
      <c r="BW919">
        <f>'Revenue drivers'!BW306</f>
        <v>-11.349312337631318</v>
      </c>
      <c r="BX919">
        <f>'Revenue drivers'!BX306</f>
        <v>-11.498129622712185</v>
      </c>
      <c r="BY919">
        <f>'Revenue drivers'!BY306</f>
        <v>-11.593384584450519</v>
      </c>
    </row>
    <row r="920" spans="9:77" ht="11.25" customHeight="1">
      <c r="I920" t="str">
        <f>'Revenue drivers'!I307</f>
        <v>% change Y/Y</v>
      </c>
      <c r="J920">
        <f>'Revenue drivers'!J307</f>
        <v>0</v>
      </c>
      <c r="K920">
        <f>'Revenue drivers'!K307</f>
        <v>0</v>
      </c>
      <c r="L920">
        <f>'Revenue drivers'!L307</f>
        <v>0</v>
      </c>
      <c r="M920">
        <f>'Revenue drivers'!M307</f>
        <v>0</v>
      </c>
      <c r="N920">
        <f>'Revenue drivers'!N307</f>
        <v>0</v>
      </c>
      <c r="O920">
        <f>'Revenue drivers'!O307</f>
        <v>0</v>
      </c>
      <c r="P920">
        <f>'Revenue drivers'!P307</f>
        <v>0</v>
      </c>
      <c r="Q920">
        <f>'Revenue drivers'!Q307</f>
        <v>0</v>
      </c>
      <c r="R920">
        <f>'Revenue drivers'!R307</f>
        <v>0</v>
      </c>
      <c r="S920">
        <f>'Revenue drivers'!S307</f>
        <v>0</v>
      </c>
      <c r="T920">
        <f>'Revenue drivers'!T307</f>
        <v>0</v>
      </c>
      <c r="U920">
        <f>'Revenue drivers'!U307</f>
        <v>0</v>
      </c>
      <c r="V920">
        <f>'Revenue drivers'!V307</f>
        <v>0</v>
      </c>
      <c r="W920" t="str">
        <f>'Revenue drivers'!W307</f>
        <v>NA</v>
      </c>
      <c r="X920">
        <f>'Revenue drivers'!X307</f>
        <v>0</v>
      </c>
      <c r="Y920">
        <f>'Revenue drivers'!Y307</f>
        <v>0</v>
      </c>
      <c r="Z920">
        <f>'Revenue drivers'!Z307</f>
        <v>0</v>
      </c>
      <c r="AA920">
        <f>'Revenue drivers'!AA307</f>
        <v>0.32178449376209506</v>
      </c>
      <c r="AB920" t="str">
        <f>'Revenue drivers'!AB307</f>
        <v>NA</v>
      </c>
      <c r="AC920" t="str">
        <f>'Revenue drivers'!AC307</f>
        <v>NA</v>
      </c>
      <c r="AD920" t="str">
        <f>'Revenue drivers'!AD307</f>
        <v>NA</v>
      </c>
      <c r="AE920">
        <f>'Revenue drivers'!AE307</f>
        <v>0.13614298675873937</v>
      </c>
      <c r="AF920">
        <f>'Revenue drivers'!AF307</f>
        <v>0.10115665011848129</v>
      </c>
      <c r="AG920">
        <f>'Revenue drivers'!AG307</f>
        <v>0.1058253931673514</v>
      </c>
      <c r="AH920">
        <f>'Revenue drivers'!AH307</f>
        <v>6.7215556242447905E-2</v>
      </c>
      <c r="AI920">
        <f>'Revenue drivers'!AI307</f>
        <v>7.3470544151784667E-2</v>
      </c>
      <c r="AJ920">
        <f>'Revenue drivers'!AJ307</f>
        <v>5.8777324367300654E-2</v>
      </c>
      <c r="AK920">
        <f>'Revenue drivers'!AK307</f>
        <v>4.2929134141192815E-2</v>
      </c>
      <c r="AL920">
        <f>'Revenue drivers'!AL307</f>
        <v>-5.2660680902583135E-4</v>
      </c>
      <c r="AM920">
        <f>'Revenue drivers'!AM307</f>
        <v>-3.9818827315528105E-2</v>
      </c>
      <c r="AN920">
        <f>'Revenue drivers'!AN307</f>
        <v>-6.1205102687053148E-2</v>
      </c>
      <c r="AO920">
        <f>'Revenue drivers'!AO307</f>
        <v>0.30367263268505251</v>
      </c>
      <c r="AP920">
        <f>'Revenue drivers'!AP307</f>
        <v>0.3726521158794136</v>
      </c>
      <c r="AQ920">
        <f>'Revenue drivers'!AQ307</f>
        <v>0.3790477034935269</v>
      </c>
      <c r="AR920">
        <f>'Revenue drivers'!AR307</f>
        <v>0.35854093384089047</v>
      </c>
      <c r="AS920">
        <f>'Revenue drivers'!AS307</f>
        <v>-4.1052225173263457E-2</v>
      </c>
      <c r="AT920">
        <f>'Revenue drivers'!AT307</f>
        <v>-8.175838037794636E-2</v>
      </c>
      <c r="AU920">
        <f>'Revenue drivers'!AU307</f>
        <v>-9.5437645069408439E-2</v>
      </c>
      <c r="AV920">
        <f>'Revenue drivers'!AV307</f>
        <v>-9.3725411693351135E-2</v>
      </c>
      <c r="AW920">
        <f>'Revenue drivers'!AW307</f>
        <v>-9.2826015979444843E-2</v>
      </c>
      <c r="AX920">
        <f>'Revenue drivers'!AX307</f>
        <v>-8.9252397290819019E-2</v>
      </c>
      <c r="AY920">
        <f>'Revenue drivers'!AY307</f>
        <v>-8.4915618998489539E-2</v>
      </c>
      <c r="AZ920">
        <f>'Revenue drivers'!AZ307</f>
        <v>-7.3555906428153239E-2</v>
      </c>
      <c r="BA920">
        <f>'Revenue drivers'!BA307</f>
        <v>-7.9344139183466056E-2</v>
      </c>
      <c r="BB920">
        <f>'Revenue drivers'!BB307</f>
        <v>-8.1984809766217248E-2</v>
      </c>
      <c r="BC920">
        <f>'Revenue drivers'!BC307</f>
        <v>-8.3970812933135242E-2</v>
      </c>
      <c r="BD920">
        <f>'Revenue drivers'!BD307</f>
        <v>-8.0173066760809264E-2</v>
      </c>
      <c r="BE920">
        <f>'Revenue drivers'!BE307</f>
        <v>0</v>
      </c>
      <c r="BF920">
        <f>'Revenue drivers'!BF307</f>
        <v>0</v>
      </c>
      <c r="BG920">
        <f>'Revenue drivers'!BG307</f>
        <v>0</v>
      </c>
      <c r="BH920">
        <f>'Revenue drivers'!BH307</f>
        <v>0</v>
      </c>
      <c r="BI920">
        <f>'Revenue drivers'!BI307</f>
        <v>0</v>
      </c>
      <c r="BJ920">
        <f>'Revenue drivers'!BJ307</f>
        <v>0</v>
      </c>
      <c r="BK920">
        <f>'Revenue drivers'!BK307</f>
        <v>0</v>
      </c>
      <c r="BL920">
        <f>'Revenue drivers'!BL307</f>
        <v>0</v>
      </c>
      <c r="BM920">
        <f>'Revenue drivers'!BM307</f>
        <v>0</v>
      </c>
      <c r="BN920">
        <f>'Revenue drivers'!BN307</f>
        <v>0.10209177947270209</v>
      </c>
      <c r="BO920">
        <f>'Revenue drivers'!BO307</f>
        <v>7.5976171450845564E-2</v>
      </c>
      <c r="BP920">
        <f>'Revenue drivers'!BP307</f>
        <v>-1.4832971867436373E-2</v>
      </c>
      <c r="BQ920">
        <f>'Revenue drivers'!BQ307</f>
        <v>0.35305270265428068</v>
      </c>
      <c r="BR920">
        <f>'Revenue drivers'!BR307</f>
        <v>-7.7874145496394376E-2</v>
      </c>
      <c r="BS920">
        <f>'Revenue drivers'!BS307</f>
        <v>-8.5488837653095451E-2</v>
      </c>
      <c r="BT920">
        <f>'Revenue drivers'!BT307</f>
        <v>-8.1383304990496508E-2</v>
      </c>
      <c r="BU920">
        <f>'Revenue drivers'!BU307</f>
        <v>-0.15051011812147752</v>
      </c>
      <c r="BV920">
        <f>'Revenue drivers'!BV307</f>
        <v>-0.11211609535109013</v>
      </c>
      <c r="BW920">
        <f>'Revenue drivers'!BW307</f>
        <v>-0.12860032981408509</v>
      </c>
      <c r="BX920">
        <f>'Revenue drivers'!BX307</f>
        <v>-0.14951416623655178</v>
      </c>
      <c r="BY920">
        <f>'Revenue drivers'!BY307</f>
        <v>-0.17725492130156673</v>
      </c>
    </row>
    <row r="921" spans="9:77" ht="11.25" customHeight="1">
      <c r="I921" t="str">
        <f>'Revenue drivers'!I308</f>
        <v>% change Q/Q</v>
      </c>
      <c r="J921">
        <f>'Revenue drivers'!J308</f>
        <v>0</v>
      </c>
      <c r="K921">
        <f>'Revenue drivers'!K308</f>
        <v>0</v>
      </c>
      <c r="L921">
        <f>'Revenue drivers'!L308</f>
        <v>0</v>
      </c>
      <c r="M921">
        <f>'Revenue drivers'!M308</f>
        <v>0</v>
      </c>
      <c r="N921">
        <f>'Revenue drivers'!N308</f>
        <v>0</v>
      </c>
      <c r="O921">
        <f>'Revenue drivers'!O308</f>
        <v>0</v>
      </c>
      <c r="P921">
        <f>'Revenue drivers'!P308</f>
        <v>0</v>
      </c>
      <c r="Q921">
        <f>'Revenue drivers'!Q308</f>
        <v>0</v>
      </c>
      <c r="R921">
        <f>'Revenue drivers'!R308</f>
        <v>0</v>
      </c>
      <c r="S921">
        <f>'Revenue drivers'!S308</f>
        <v>0</v>
      </c>
      <c r="T921">
        <f>'Revenue drivers'!T308</f>
        <v>0</v>
      </c>
      <c r="U921">
        <f>'Revenue drivers'!U308</f>
        <v>0</v>
      </c>
      <c r="V921">
        <f>'Revenue drivers'!V308</f>
        <v>0</v>
      </c>
      <c r="W921" t="str">
        <f>'Revenue drivers'!W308</f>
        <v>NA</v>
      </c>
      <c r="X921">
        <f>'Revenue drivers'!X308</f>
        <v>0</v>
      </c>
      <c r="Y921">
        <f>'Revenue drivers'!Y308</f>
        <v>0</v>
      </c>
      <c r="Z921">
        <f>'Revenue drivers'!Z308</f>
        <v>0</v>
      </c>
      <c r="AA921" t="str">
        <f>'Revenue drivers'!AA308</f>
        <v>NA</v>
      </c>
      <c r="AB921">
        <f>'Revenue drivers'!AB308</f>
        <v>-1.5602159521046044E-2</v>
      </c>
      <c r="AC921">
        <f>'Revenue drivers'!AC308</f>
        <v>6.1871367174047176E-2</v>
      </c>
      <c r="AD921">
        <f>'Revenue drivers'!AD308</f>
        <v>6.0508832855201478E-2</v>
      </c>
      <c r="AE921">
        <f>'Revenue drivers'!AE308</f>
        <v>2.4887365236369252E-2</v>
      </c>
      <c r="AF921">
        <f>'Revenue drivers'!AF308</f>
        <v>-4.5915662870825602E-2</v>
      </c>
      <c r="AG921">
        <f>'Revenue drivers'!AG308</f>
        <v>6.6373546372396897E-2</v>
      </c>
      <c r="AH921">
        <f>'Revenue drivers'!AH308</f>
        <v>2.3481221310959866E-2</v>
      </c>
      <c r="AI921">
        <f>'Revenue drivers'!AI308</f>
        <v>3.0894266129527725E-2</v>
      </c>
      <c r="AJ921">
        <f>'Revenue drivers'!AJ308</f>
        <v>-5.897477374698834E-2</v>
      </c>
      <c r="AK921">
        <f>'Revenue drivers'!AK308</f>
        <v>5.0411652944901908E-2</v>
      </c>
      <c r="AL921">
        <f>'Revenue drivers'!AL308</f>
        <v>-1.9164183218204678E-2</v>
      </c>
      <c r="AM921">
        <f>'Revenue drivers'!AM308</f>
        <v>-9.6332007341253245E-3</v>
      </c>
      <c r="AN921">
        <f>'Revenue drivers'!AN308</f>
        <v>-7.9934385529349283E-2</v>
      </c>
      <c r="AO921">
        <f>'Revenue drivers'!AO308</f>
        <v>0.45867103551293775</v>
      </c>
      <c r="AP921">
        <f>'Revenue drivers'!AP308</f>
        <v>3.2733468112236652E-2</v>
      </c>
      <c r="AQ921">
        <f>'Revenue drivers'!AQ308</f>
        <v>-5.0187922022476572E-3</v>
      </c>
      <c r="AR921">
        <f>'Revenue drivers'!AR308</f>
        <v>-9.3615981585427832E-2</v>
      </c>
      <c r="AS921">
        <f>'Revenue drivers'!AS308</f>
        <v>2.9626203278735108E-2</v>
      </c>
      <c r="AT921">
        <f>'Revenue drivers'!AT308</f>
        <v>-1.1104799144437183E-2</v>
      </c>
      <c r="AU921">
        <f>'Revenue drivers'!AU308</f>
        <v>-1.9841264864833175E-2</v>
      </c>
      <c r="AV921">
        <f>'Revenue drivers'!AV308</f>
        <v>-9.1900300008148972E-2</v>
      </c>
      <c r="AW921">
        <f>'Revenue drivers'!AW308</f>
        <v>3.064801433479114E-2</v>
      </c>
      <c r="AX921">
        <f>'Revenue drivers'!AX308</f>
        <v>-7.2092571281113793E-3</v>
      </c>
      <c r="AY921">
        <f>'Revenue drivers'!AY308</f>
        <v>-1.5173966139119588E-2</v>
      </c>
      <c r="AZ921">
        <f>'Revenue drivers'!AZ308</f>
        <v>-8.0627294161599528E-2</v>
      </c>
      <c r="BA921">
        <f>'Revenue drivers'!BA308</f>
        <v>2.4208736846636825E-2</v>
      </c>
      <c r="BB921">
        <f>'Revenue drivers'!BB308</f>
        <v>-1.0056828540087492E-2</v>
      </c>
      <c r="BC921">
        <f>'Revenue drivers'!BC308</f>
        <v>-1.730450563663366E-2</v>
      </c>
      <c r="BD921">
        <f>'Revenue drivers'!BD308</f>
        <v>-7.6815686165004227E-2</v>
      </c>
      <c r="BE921">
        <f>'Revenue drivers'!BE308</f>
        <v>0</v>
      </c>
      <c r="BF921">
        <f>'Revenue drivers'!BF308</f>
        <v>0</v>
      </c>
      <c r="BG921">
        <f>'Revenue drivers'!BG308</f>
        <v>0</v>
      </c>
      <c r="BH921">
        <f>'Revenue drivers'!BH308</f>
        <v>0</v>
      </c>
      <c r="BI921">
        <f>'Revenue drivers'!BI308</f>
        <v>0</v>
      </c>
      <c r="BJ921">
        <f>'Revenue drivers'!BJ308</f>
        <v>0</v>
      </c>
      <c r="BK921">
        <f>'Revenue drivers'!BK308</f>
        <v>0</v>
      </c>
      <c r="BL921">
        <f>'Revenue drivers'!BL308</f>
        <v>0</v>
      </c>
      <c r="BM921">
        <f>'Revenue drivers'!BM308</f>
        <v>0</v>
      </c>
      <c r="BN921">
        <f>'Revenue drivers'!BN308</f>
        <v>0</v>
      </c>
      <c r="BO921">
        <f>'Revenue drivers'!BO308</f>
        <v>0</v>
      </c>
      <c r="BP921">
        <f>'Revenue drivers'!BP308</f>
        <v>0</v>
      </c>
      <c r="BQ921">
        <f>'Revenue drivers'!BQ308</f>
        <v>0</v>
      </c>
      <c r="BR921">
        <f>'Revenue drivers'!BR308</f>
        <v>0</v>
      </c>
      <c r="BS921">
        <f>'Revenue drivers'!BS308</f>
        <v>0</v>
      </c>
      <c r="BT921">
        <f>'Revenue drivers'!BT308</f>
        <v>0</v>
      </c>
      <c r="BU921">
        <f>'Revenue drivers'!BU308</f>
        <v>0</v>
      </c>
      <c r="BV921">
        <f>'Revenue drivers'!BV308</f>
        <v>0</v>
      </c>
      <c r="BW921">
        <f>'Revenue drivers'!BW308</f>
        <v>0</v>
      </c>
      <c r="BX921">
        <f>'Revenue drivers'!BX308</f>
        <v>0</v>
      </c>
      <c r="BY921">
        <f>'Revenue drivers'!BY308</f>
        <v>0</v>
      </c>
    </row>
    <row r="922" spans="9:77" ht="11.25" customHeight="1">
      <c r="I922" t="str">
        <f>'Revenue drivers'!I309</f>
        <v>% of total average monthly unique visitors</v>
      </c>
      <c r="J922">
        <f>'Revenue drivers'!J309</f>
        <v>0</v>
      </c>
      <c r="K922">
        <f>'Revenue drivers'!K309</f>
        <v>0</v>
      </c>
      <c r="L922">
        <f>'Revenue drivers'!L309</f>
        <v>0</v>
      </c>
      <c r="M922">
        <f>'Revenue drivers'!M309</f>
        <v>0</v>
      </c>
      <c r="N922">
        <f>'Revenue drivers'!N309</f>
        <v>0</v>
      </c>
      <c r="O922">
        <f>'Revenue drivers'!O309</f>
        <v>0</v>
      </c>
      <c r="P922">
        <f>'Revenue drivers'!P309</f>
        <v>0</v>
      </c>
      <c r="Q922">
        <f>'Revenue drivers'!Q309</f>
        <v>0</v>
      </c>
      <c r="R922">
        <f>'Revenue drivers'!R309</f>
        <v>0</v>
      </c>
      <c r="S922">
        <f>'Revenue drivers'!S309</f>
        <v>0</v>
      </c>
      <c r="T922">
        <f>'Revenue drivers'!T309</f>
        <v>0</v>
      </c>
      <c r="U922">
        <f>'Revenue drivers'!U309</f>
        <v>0</v>
      </c>
      <c r="V922">
        <f>'Revenue drivers'!V309</f>
        <v>0</v>
      </c>
      <c r="W922">
        <f>'Revenue drivers'!W309</f>
        <v>0.87218990160166621</v>
      </c>
      <c r="X922">
        <f>'Revenue drivers'!X309</f>
        <v>0</v>
      </c>
      <c r="Y922">
        <f>'Revenue drivers'!Y309</f>
        <v>0</v>
      </c>
      <c r="Z922">
        <f>'Revenue drivers'!Z309</f>
        <v>0</v>
      </c>
      <c r="AA922">
        <f>'Revenue drivers'!AA309</f>
        <v>0.82</v>
      </c>
      <c r="AB922">
        <f>'Revenue drivers'!AB309</f>
        <v>0.79</v>
      </c>
      <c r="AC922">
        <f>'Revenue drivers'!AC309</f>
        <v>0.76</v>
      </c>
      <c r="AD922">
        <f>'Revenue drivers'!AD309</f>
        <v>0.77497259746953051</v>
      </c>
      <c r="AE922">
        <f>'Revenue drivers'!AE309</f>
        <v>0.78481975067781784</v>
      </c>
      <c r="AF922">
        <f>'Revenue drivers'!AF309</f>
        <v>0.77103859846078848</v>
      </c>
      <c r="AG922">
        <f>'Revenue drivers'!AG309</f>
        <v>0.78140047449917871</v>
      </c>
      <c r="AH922">
        <f>'Revenue drivers'!AH309</f>
        <v>0.79183403989158385</v>
      </c>
      <c r="AI922">
        <f>'Revenue drivers'!AI309</f>
        <v>0.79353186774581463</v>
      </c>
      <c r="AJ922">
        <f>'Revenue drivers'!AJ309</f>
        <v>0.78687520912385112</v>
      </c>
      <c r="AK922">
        <f>'Revenue drivers'!AK309</f>
        <v>0.79530633494081537</v>
      </c>
      <c r="AL922">
        <f>'Revenue drivers'!AL309</f>
        <v>0.79783231628284978</v>
      </c>
      <c r="AM922">
        <f>'Revenue drivers'!AM309</f>
        <v>0.78620276195721128</v>
      </c>
      <c r="AN922">
        <f>'Revenue drivers'!AN309</f>
        <v>0.77878849285869756</v>
      </c>
      <c r="AO922">
        <f>'Revenue drivers'!AO309</f>
        <v>1</v>
      </c>
      <c r="AP922">
        <f>'Revenue drivers'!AP309</f>
        <v>0.995</v>
      </c>
      <c r="AQ922">
        <f>'Revenue drivers'!AQ309</f>
        <v>0.99</v>
      </c>
      <c r="AR922">
        <f>'Revenue drivers'!AR309</f>
        <v>1</v>
      </c>
      <c r="AS922">
        <f>'Revenue drivers'!AS309</f>
        <v>0.995</v>
      </c>
      <c r="AT922">
        <f>'Revenue drivers'!AT309</f>
        <v>0.98999999999999988</v>
      </c>
      <c r="AU922">
        <f>'Revenue drivers'!AU309</f>
        <v>0.98499999999999988</v>
      </c>
      <c r="AV922">
        <f>'Revenue drivers'!AV309</f>
        <v>0.98036999999999996</v>
      </c>
      <c r="AW922">
        <f>'Revenue drivers'!AW309</f>
        <v>0.97536999999999996</v>
      </c>
      <c r="AX922">
        <f>'Revenue drivers'!AX309</f>
        <v>0.97037000000000007</v>
      </c>
      <c r="AY922">
        <f>'Revenue drivers'!AY309</f>
        <v>0.96536999999999995</v>
      </c>
      <c r="AZ922">
        <f>'Revenue drivers'!AZ309</f>
        <v>0.96073999999999993</v>
      </c>
      <c r="BA922">
        <f>'Revenue drivers'!BA309</f>
        <v>0.95574000000000003</v>
      </c>
      <c r="BB922">
        <f>'Revenue drivers'!BB309</f>
        <v>0.95074000000000003</v>
      </c>
      <c r="BC922">
        <f>'Revenue drivers'!BC309</f>
        <v>0.94574000000000003</v>
      </c>
      <c r="BD922">
        <f>'Revenue drivers'!BD309</f>
        <v>0.94111</v>
      </c>
      <c r="BE922">
        <f>'Revenue drivers'!BE309</f>
        <v>0</v>
      </c>
      <c r="BF922">
        <f>'Revenue drivers'!BF309</f>
        <v>0</v>
      </c>
      <c r="BG922">
        <f>'Revenue drivers'!BG309</f>
        <v>0</v>
      </c>
      <c r="BH922">
        <f>'Revenue drivers'!BH309</f>
        <v>0</v>
      </c>
      <c r="BI922">
        <f>'Revenue drivers'!BI309</f>
        <v>0</v>
      </c>
      <c r="BJ922">
        <f>'Revenue drivers'!BJ309</f>
        <v>0</v>
      </c>
      <c r="BK922">
        <f>'Revenue drivers'!BK309</f>
        <v>0</v>
      </c>
      <c r="BL922">
        <f>'Revenue drivers'!BL309</f>
        <v>0</v>
      </c>
      <c r="BM922">
        <f>'Revenue drivers'!BM309</f>
        <v>0</v>
      </c>
      <c r="BN922">
        <f>'Revenue drivers'!BN309</f>
        <v>0.77780883938726975</v>
      </c>
      <c r="BO922">
        <f>'Revenue drivers'!BO309</f>
        <v>0.80667879288373778</v>
      </c>
      <c r="BP922">
        <f>'Revenue drivers'!BP309</f>
        <v>0.83782526137242097</v>
      </c>
      <c r="BQ922">
        <f>'Revenue drivers'!BQ309</f>
        <v>1.071459868836411</v>
      </c>
      <c r="BR922">
        <f>'Revenue drivers'!BR309</f>
        <v>1.0687996887323534</v>
      </c>
      <c r="BS922">
        <f>'Revenue drivers'!BS309</f>
        <v>1.0339081820299607</v>
      </c>
      <c r="BT922">
        <f>'Revenue drivers'!BT309</f>
        <v>1.011450654521864</v>
      </c>
      <c r="BU922">
        <f>'Revenue drivers'!BU309</f>
        <v>0.92508656876376871</v>
      </c>
      <c r="BV922">
        <f>'Revenue drivers'!BV309</f>
        <v>0.9050865687637687</v>
      </c>
      <c r="BW922">
        <f>'Revenue drivers'!BW309</f>
        <v>0.88508656876376868</v>
      </c>
      <c r="BX922">
        <f>'Revenue drivers'!BX309</f>
        <v>0.86508656876376888</v>
      </c>
      <c r="BY922">
        <f>'Revenue drivers'!BY309</f>
        <v>0.84508656876376875</v>
      </c>
    </row>
    <row r="923" spans="9:77" ht="11.25" customHeight="1">
      <c r="I923">
        <f>'Revenue drivers'!I310</f>
        <v>0</v>
      </c>
      <c r="J923">
        <f>'Revenue drivers'!J310</f>
        <v>0</v>
      </c>
      <c r="K923">
        <f>'Revenue drivers'!K310</f>
        <v>0</v>
      </c>
      <c r="L923">
        <f>'Revenue drivers'!L310</f>
        <v>0</v>
      </c>
      <c r="M923">
        <f>'Revenue drivers'!M310</f>
        <v>0</v>
      </c>
      <c r="N923">
        <f>'Revenue drivers'!N310</f>
        <v>0</v>
      </c>
      <c r="O923">
        <f>'Revenue drivers'!O310</f>
        <v>0</v>
      </c>
      <c r="P923">
        <f>'Revenue drivers'!P310</f>
        <v>0</v>
      </c>
      <c r="Q923">
        <f>'Revenue drivers'!Q310</f>
        <v>0</v>
      </c>
      <c r="R923">
        <f>'Revenue drivers'!R310</f>
        <v>0</v>
      </c>
      <c r="S923">
        <f>'Revenue drivers'!S310</f>
        <v>0</v>
      </c>
      <c r="T923">
        <f>'Revenue drivers'!T310</f>
        <v>0</v>
      </c>
      <c r="U923">
        <f>'Revenue drivers'!U310</f>
        <v>0</v>
      </c>
      <c r="V923">
        <f>'Revenue drivers'!V310</f>
        <v>0</v>
      </c>
      <c r="W923">
        <f>'Revenue drivers'!W310</f>
        <v>0</v>
      </c>
      <c r="X923">
        <f>'Revenue drivers'!X310</f>
        <v>0</v>
      </c>
      <c r="Y923">
        <f>'Revenue drivers'!Y310</f>
        <v>0</v>
      </c>
      <c r="Z923">
        <f>'Revenue drivers'!Z310</f>
        <v>0</v>
      </c>
      <c r="AA923">
        <f>'Revenue drivers'!AA310</f>
        <v>0</v>
      </c>
      <c r="AB923">
        <f>'Revenue drivers'!AB310</f>
        <v>0</v>
      </c>
      <c r="AC923">
        <f>'Revenue drivers'!AC310</f>
        <v>0</v>
      </c>
      <c r="AD923">
        <f>'Revenue drivers'!AD310</f>
        <v>0</v>
      </c>
      <c r="AE923">
        <f>'Revenue drivers'!AE310</f>
        <v>0</v>
      </c>
      <c r="AF923">
        <f>'Revenue drivers'!AF310</f>
        <v>0</v>
      </c>
      <c r="AG923">
        <f>'Revenue drivers'!AG310</f>
        <v>0</v>
      </c>
      <c r="AH923">
        <f>'Revenue drivers'!AH310</f>
        <v>0</v>
      </c>
      <c r="AI923">
        <f>'Revenue drivers'!AI310</f>
        <v>0</v>
      </c>
      <c r="AJ923">
        <f>'Revenue drivers'!AJ310</f>
        <v>0</v>
      </c>
      <c r="AK923">
        <f>'Revenue drivers'!AK310</f>
        <v>0</v>
      </c>
      <c r="AL923">
        <f>'Revenue drivers'!AL310</f>
        <v>0</v>
      </c>
      <c r="AM923">
        <f>'Revenue drivers'!AM310</f>
        <v>0</v>
      </c>
      <c r="AN923">
        <f>'Revenue drivers'!AN310</f>
        <v>0</v>
      </c>
      <c r="AO923">
        <f>'Revenue drivers'!AO310</f>
        <v>0</v>
      </c>
      <c r="AP923">
        <f>'Revenue drivers'!AP310</f>
        <v>0</v>
      </c>
      <c r="AQ923">
        <f>'Revenue drivers'!AQ310</f>
        <v>0</v>
      </c>
      <c r="AR923">
        <f>'Revenue drivers'!AR310</f>
        <v>0</v>
      </c>
      <c r="AS923">
        <f>'Revenue drivers'!AS310</f>
        <v>0</v>
      </c>
      <c r="AT923">
        <f>'Revenue drivers'!AT310</f>
        <v>0</v>
      </c>
      <c r="AU923">
        <f>'Revenue drivers'!AU310</f>
        <v>0</v>
      </c>
      <c r="AV923">
        <f>'Revenue drivers'!AV310</f>
        <v>0</v>
      </c>
      <c r="AW923">
        <f>'Revenue drivers'!AW310</f>
        <v>0</v>
      </c>
      <c r="AX923">
        <f>'Revenue drivers'!AX310</f>
        <v>0</v>
      </c>
      <c r="AY923">
        <f>'Revenue drivers'!AY310</f>
        <v>0</v>
      </c>
      <c r="AZ923">
        <f>'Revenue drivers'!AZ310</f>
        <v>0</v>
      </c>
      <c r="BA923">
        <f>'Revenue drivers'!BA310</f>
        <v>0</v>
      </c>
      <c r="BB923">
        <f>'Revenue drivers'!BB310</f>
        <v>0</v>
      </c>
      <c r="BC923">
        <f>'Revenue drivers'!BC310</f>
        <v>0</v>
      </c>
      <c r="BD923">
        <f>'Revenue drivers'!BD310</f>
        <v>0</v>
      </c>
      <c r="BE923">
        <f>'Revenue drivers'!BE310</f>
        <v>0</v>
      </c>
      <c r="BF923">
        <f>'Revenue drivers'!BF310</f>
        <v>0</v>
      </c>
      <c r="BG923">
        <f>'Revenue drivers'!BG310</f>
        <v>0</v>
      </c>
      <c r="BH923">
        <f>'Revenue drivers'!BH310</f>
        <v>0</v>
      </c>
      <c r="BI923">
        <f>'Revenue drivers'!BI310</f>
        <v>0</v>
      </c>
      <c r="BJ923">
        <f>'Revenue drivers'!BJ310</f>
        <v>0</v>
      </c>
      <c r="BK923">
        <f>'Revenue drivers'!BK310</f>
        <v>0</v>
      </c>
      <c r="BL923">
        <f>'Revenue drivers'!BL310</f>
        <v>0</v>
      </c>
      <c r="BM923">
        <f>'Revenue drivers'!BM310</f>
        <v>0</v>
      </c>
      <c r="BN923">
        <f>'Revenue drivers'!BN310</f>
        <v>0</v>
      </c>
      <c r="BO923">
        <f>'Revenue drivers'!BO310</f>
        <v>0</v>
      </c>
      <c r="BP923">
        <f>'Revenue drivers'!BP310</f>
        <v>0</v>
      </c>
      <c r="BQ923">
        <f>'Revenue drivers'!BQ310</f>
        <v>0</v>
      </c>
      <c r="BR923">
        <f>'Revenue drivers'!BR310</f>
        <v>0</v>
      </c>
      <c r="BS923">
        <f>'Revenue drivers'!BS310</f>
        <v>0</v>
      </c>
      <c r="BT923">
        <f>'Revenue drivers'!BT310</f>
        <v>0</v>
      </c>
      <c r="BU923">
        <f>'Revenue drivers'!BU310</f>
        <v>0</v>
      </c>
      <c r="BV923">
        <f>'Revenue drivers'!BV310</f>
        <v>0</v>
      </c>
      <c r="BW923">
        <f>'Revenue drivers'!BW310</f>
        <v>0</v>
      </c>
      <c r="BX923">
        <f>'Revenue drivers'!BX310</f>
        <v>0</v>
      </c>
      <c r="BY923">
        <f>'Revenue drivers'!BY310</f>
        <v>0</v>
      </c>
    </row>
    <row r="924" spans="9:77" ht="11.25" customHeight="1">
      <c r="I924">
        <f>'Revenue drivers'!I311</f>
        <v>0</v>
      </c>
      <c r="J924">
        <f>'Revenue drivers'!J311</f>
        <v>0</v>
      </c>
      <c r="K924">
        <f>'Revenue drivers'!K311</f>
        <v>0</v>
      </c>
      <c r="L924">
        <f>'Revenue drivers'!L311</f>
        <v>0</v>
      </c>
      <c r="M924">
        <f>'Revenue drivers'!M311</f>
        <v>0</v>
      </c>
      <c r="N924">
        <f>'Revenue drivers'!N311</f>
        <v>0</v>
      </c>
      <c r="O924">
        <f>'Revenue drivers'!O311</f>
        <v>0</v>
      </c>
      <c r="P924">
        <f>'Revenue drivers'!P311</f>
        <v>0</v>
      </c>
      <c r="Q924">
        <f>'Revenue drivers'!Q311</f>
        <v>0</v>
      </c>
      <c r="R924">
        <f>'Revenue drivers'!R311</f>
        <v>0</v>
      </c>
      <c r="S924">
        <f>'Revenue drivers'!S311</f>
        <v>0</v>
      </c>
      <c r="T924">
        <f>'Revenue drivers'!T311</f>
        <v>0</v>
      </c>
      <c r="U924">
        <f>'Revenue drivers'!U311</f>
        <v>0</v>
      </c>
      <c r="V924">
        <f>'Revenue drivers'!V311</f>
        <v>0</v>
      </c>
      <c r="W924">
        <f>'Revenue drivers'!W311</f>
        <v>0</v>
      </c>
      <c r="X924">
        <f>'Revenue drivers'!X311</f>
        <v>0</v>
      </c>
      <c r="Y924">
        <f>'Revenue drivers'!Y311</f>
        <v>0</v>
      </c>
      <c r="Z924">
        <f>'Revenue drivers'!Z311</f>
        <v>0</v>
      </c>
      <c r="AA924">
        <f>'Revenue drivers'!AA311</f>
        <v>0</v>
      </c>
      <c r="AB924">
        <f>'Revenue drivers'!AB311</f>
        <v>0</v>
      </c>
      <c r="AC924">
        <f>'Revenue drivers'!AC311</f>
        <v>0</v>
      </c>
      <c r="AD924">
        <f>'Revenue drivers'!AD311</f>
        <v>0</v>
      </c>
      <c r="AE924">
        <f>'Revenue drivers'!AE311</f>
        <v>0</v>
      </c>
      <c r="AF924">
        <f>'Revenue drivers'!AF311</f>
        <v>0</v>
      </c>
      <c r="AG924">
        <f>'Revenue drivers'!AG311</f>
        <v>0</v>
      </c>
      <c r="AH924">
        <f>'Revenue drivers'!AH311</f>
        <v>0</v>
      </c>
      <c r="AI924">
        <f>'Revenue drivers'!AI311</f>
        <v>0</v>
      </c>
      <c r="AJ924">
        <f>'Revenue drivers'!AJ311</f>
        <v>0</v>
      </c>
      <c r="AK924">
        <f>'Revenue drivers'!AK311</f>
        <v>0</v>
      </c>
      <c r="AL924">
        <f>'Revenue drivers'!AL311</f>
        <v>0</v>
      </c>
      <c r="AM924">
        <f>'Revenue drivers'!AM311</f>
        <v>0</v>
      </c>
      <c r="AN924">
        <f>'Revenue drivers'!AN311</f>
        <v>0</v>
      </c>
      <c r="AO924">
        <f>'Revenue drivers'!AO311</f>
        <v>0</v>
      </c>
      <c r="AP924">
        <f>'Revenue drivers'!AP311</f>
        <v>0</v>
      </c>
      <c r="AQ924">
        <f>'Revenue drivers'!AQ311</f>
        <v>0</v>
      </c>
      <c r="AR924">
        <f>'Revenue drivers'!AR311</f>
        <v>0</v>
      </c>
      <c r="AS924">
        <f>'Revenue drivers'!AS311</f>
        <v>0</v>
      </c>
      <c r="AT924">
        <f>'Revenue drivers'!AT311</f>
        <v>0</v>
      </c>
      <c r="AU924">
        <f>'Revenue drivers'!AU311</f>
        <v>0</v>
      </c>
      <c r="AV924">
        <f>'Revenue drivers'!AV311</f>
        <v>0</v>
      </c>
      <c r="AW924">
        <f>'Revenue drivers'!AW311</f>
        <v>0</v>
      </c>
      <c r="AX924">
        <f>'Revenue drivers'!AX311</f>
        <v>0</v>
      </c>
      <c r="AY924">
        <f>'Revenue drivers'!AY311</f>
        <v>0</v>
      </c>
      <c r="AZ924">
        <f>'Revenue drivers'!AZ311</f>
        <v>0</v>
      </c>
      <c r="BA924">
        <f>'Revenue drivers'!BA311</f>
        <v>0</v>
      </c>
      <c r="BB924">
        <f>'Revenue drivers'!BB311</f>
        <v>0</v>
      </c>
      <c r="BC924">
        <f>'Revenue drivers'!BC311</f>
        <v>0</v>
      </c>
      <c r="BD924">
        <f>'Revenue drivers'!BD311</f>
        <v>0</v>
      </c>
      <c r="BE924">
        <f>'Revenue drivers'!BE311</f>
        <v>0</v>
      </c>
      <c r="BF924">
        <f>'Revenue drivers'!BF311</f>
        <v>0</v>
      </c>
      <c r="BG924">
        <f>'Revenue drivers'!BG311</f>
        <v>0</v>
      </c>
      <c r="BH924">
        <f>'Revenue drivers'!BH311</f>
        <v>0</v>
      </c>
      <c r="BI924">
        <f>'Revenue drivers'!BI311</f>
        <v>0</v>
      </c>
      <c r="BJ924">
        <f>'Revenue drivers'!BJ311</f>
        <v>0</v>
      </c>
      <c r="BK924">
        <f>'Revenue drivers'!BK311</f>
        <v>0</v>
      </c>
      <c r="BL924">
        <f>'Revenue drivers'!BL311</f>
        <v>0</v>
      </c>
      <c r="BM924">
        <f>'Revenue drivers'!BM311</f>
        <v>0</v>
      </c>
      <c r="BN924">
        <f>'Revenue drivers'!BN311</f>
        <v>0</v>
      </c>
      <c r="BO924">
        <f>'Revenue drivers'!BO311</f>
        <v>0</v>
      </c>
      <c r="BP924">
        <f>'Revenue drivers'!BP311</f>
        <v>0</v>
      </c>
      <c r="BQ924">
        <f>'Revenue drivers'!BQ311</f>
        <v>0</v>
      </c>
      <c r="BR924">
        <f>'Revenue drivers'!BR311</f>
        <v>0</v>
      </c>
      <c r="BS924">
        <f>'Revenue drivers'!BS311</f>
        <v>0</v>
      </c>
      <c r="BT924">
        <f>'Revenue drivers'!BT311</f>
        <v>0</v>
      </c>
      <c r="BU924">
        <f>'Revenue drivers'!BU311</f>
        <v>0</v>
      </c>
      <c r="BV924">
        <f>'Revenue drivers'!BV311</f>
        <v>0</v>
      </c>
      <c r="BW924">
        <f>'Revenue drivers'!BW311</f>
        <v>0</v>
      </c>
      <c r="BX924">
        <f>'Revenue drivers'!BX311</f>
        <v>0</v>
      </c>
      <c r="BY924">
        <f>'Revenue drivers'!BY311</f>
        <v>0</v>
      </c>
    </row>
    <row r="925" spans="9:77" ht="11.25" customHeight="1">
      <c r="I925" t="str">
        <f>'Revenue drivers'!I312</f>
        <v>International average monthly unique visitors</v>
      </c>
      <c r="J925">
        <f>'Revenue drivers'!J312</f>
        <v>0</v>
      </c>
      <c r="K925">
        <f>'Revenue drivers'!K312</f>
        <v>0</v>
      </c>
      <c r="L925">
        <f>'Revenue drivers'!L312</f>
        <v>0</v>
      </c>
      <c r="M925">
        <f>'Revenue drivers'!M312</f>
        <v>0</v>
      </c>
      <c r="N925">
        <f>'Revenue drivers'!N312</f>
        <v>0</v>
      </c>
      <c r="O925">
        <f>'Revenue drivers'!O312</f>
        <v>0</v>
      </c>
      <c r="P925">
        <f>'Revenue drivers'!P312</f>
        <v>0</v>
      </c>
      <c r="Q925">
        <f>'Revenue drivers'!Q312</f>
        <v>0</v>
      </c>
      <c r="R925">
        <f>'Revenue drivers'!R312</f>
        <v>0</v>
      </c>
      <c r="S925">
        <f>'Revenue drivers'!S312</f>
        <v>0</v>
      </c>
      <c r="T925">
        <f>'Revenue drivers'!T312</f>
        <v>0</v>
      </c>
      <c r="U925">
        <f>'Revenue drivers'!U312</f>
        <v>0</v>
      </c>
      <c r="V925">
        <f>'Revenue drivers'!V312</f>
        <v>0</v>
      </c>
      <c r="W925">
        <f>'Revenue drivers'!W312</f>
        <v>10.677000000000001</v>
      </c>
      <c r="X925">
        <f>'Revenue drivers'!X312</f>
        <v>0</v>
      </c>
      <c r="Y925">
        <f>'Revenue drivers'!Y312</f>
        <v>0</v>
      </c>
      <c r="Z925">
        <f>'Revenue drivers'!Z312</f>
        <v>0</v>
      </c>
      <c r="AA925">
        <f>'Revenue drivers'!AA312</f>
        <v>21.140460000000001</v>
      </c>
      <c r="AB925">
        <f>'Revenue drivers'!AB312</f>
        <v>25.201049999999999</v>
      </c>
      <c r="AC925">
        <f>'Revenue drivers'!AC312</f>
        <v>31.790400000000002</v>
      </c>
      <c r="AD925">
        <f>'Revenue drivers'!AD312</f>
        <v>31</v>
      </c>
      <c r="AE925">
        <f>'Revenue drivers'!AE312</f>
        <v>30</v>
      </c>
      <c r="AF925">
        <f>'Revenue drivers'!AF312</f>
        <v>31</v>
      </c>
      <c r="AG925">
        <f>'Revenue drivers'!AG312</f>
        <v>31.143000000000001</v>
      </c>
      <c r="AH925">
        <f>'Revenue drivers'!AH312</f>
        <v>29.952999999999999</v>
      </c>
      <c r="AI925">
        <f>'Revenue drivers'!AI312</f>
        <v>30.561</v>
      </c>
      <c r="AJ925">
        <f>'Revenue drivers'!AJ312</f>
        <v>29.937000000000001</v>
      </c>
      <c r="AK925">
        <f>'Revenue drivers'!AK312</f>
        <v>29.882000000000001</v>
      </c>
      <c r="AL925">
        <f>'Revenue drivers'!AL312</f>
        <v>28.856000000000002</v>
      </c>
      <c r="AM925">
        <f>'Revenue drivers'!AM312</f>
        <v>30.669</v>
      </c>
      <c r="AN925">
        <f>'Revenue drivers'!AN312</f>
        <v>29.474</v>
      </c>
      <c r="AO925">
        <f>'Revenue drivers'!AO312</f>
        <v>0</v>
      </c>
      <c r="AP925">
        <f>'Revenue drivers'!AP312</f>
        <v>0.78549499999999994</v>
      </c>
      <c r="AQ925">
        <f>'Revenue drivers'!AQ312</f>
        <v>1.571</v>
      </c>
      <c r="AR925">
        <f>'Revenue drivers'!AR312</f>
        <v>0</v>
      </c>
      <c r="AS925">
        <f>'Revenue drivers'!AS312</f>
        <v>0.72937375000000004</v>
      </c>
      <c r="AT925">
        <f>'Revenue drivers'!AT312</f>
        <v>1.4498339999999998</v>
      </c>
      <c r="AU925">
        <f>'Revenue drivers'!AU312</f>
        <v>2.1424214999999998</v>
      </c>
      <c r="AV925">
        <f>'Revenue drivers'!AV312</f>
        <v>2.5580775610000002</v>
      </c>
      <c r="AW925">
        <f>'Revenue drivers'!AW312</f>
        <v>3.3249782651249995</v>
      </c>
      <c r="AX925">
        <f>'Revenue drivers'!AX312</f>
        <v>3.9915888571999996</v>
      </c>
      <c r="AY925">
        <f>'Revenue drivers'!AY312</f>
        <v>4.6181679740499995</v>
      </c>
      <c r="AZ925">
        <f>'Revenue drivers'!AZ312</f>
        <v>4.8366767267000004</v>
      </c>
      <c r="BA925">
        <f>'Revenue drivers'!BA312</f>
        <v>5.6138753018375001</v>
      </c>
      <c r="BB925">
        <f>'Revenue drivers'!BB312</f>
        <v>6.2177609402399989</v>
      </c>
      <c r="BC925">
        <f>'Revenue drivers'!BC312</f>
        <v>6.7659436326349987</v>
      </c>
      <c r="BD925">
        <f>'Revenue drivers'!BD312</f>
        <v>6.8125535110424993</v>
      </c>
      <c r="BE925">
        <f>'Revenue drivers'!BE312</f>
        <v>0</v>
      </c>
      <c r="BF925">
        <f>'Revenue drivers'!BF312</f>
        <v>0</v>
      </c>
      <c r="BG925">
        <f>'Revenue drivers'!BG312</f>
        <v>0</v>
      </c>
      <c r="BH925">
        <f>'Revenue drivers'!BH312</f>
        <v>0</v>
      </c>
      <c r="BI925">
        <f>'Revenue drivers'!BI312</f>
        <v>0</v>
      </c>
      <c r="BJ925">
        <f>'Revenue drivers'!BJ312</f>
        <v>0</v>
      </c>
      <c r="BK925">
        <f>'Revenue drivers'!BK312</f>
        <v>0</v>
      </c>
      <c r="BL925">
        <f>'Revenue drivers'!BL312</f>
        <v>0</v>
      </c>
      <c r="BM925">
        <f>'Revenue drivers'!BM312</f>
        <v>23.170755</v>
      </c>
      <c r="BN925">
        <f>'Revenue drivers'!BN312</f>
        <v>30.947600000000001</v>
      </c>
      <c r="BO925">
        <f>'Revenue drivers'!BO312</f>
        <v>30.398500000000002</v>
      </c>
      <c r="BP925">
        <f>'Revenue drivers'!BP312</f>
        <v>29.72025</v>
      </c>
      <c r="BQ925">
        <f>'Revenue drivers'!BQ312</f>
        <v>0.58912374999999995</v>
      </c>
      <c r="BR925">
        <f>'Revenue drivers'!BR312</f>
        <v>1.7199267027499998</v>
      </c>
      <c r="BS925">
        <f>'Revenue drivers'!BS312</f>
        <v>4.1928529557687497</v>
      </c>
      <c r="BT925">
        <f>'Revenue drivers'!BT312</f>
        <v>6.352533346438749</v>
      </c>
      <c r="BU925">
        <f>'Revenue drivers'!BU312</f>
        <v>8.0491235995453501</v>
      </c>
      <c r="BV925">
        <f>'Revenue drivers'!BV312</f>
        <v>9.2547569891198069</v>
      </c>
      <c r="BW925">
        <f>'Revenue drivers'!BW312</f>
        <v>9.984582256001131</v>
      </c>
      <c r="BX925">
        <f>'Revenue drivers'!BX312</f>
        <v>10.200173515038321</v>
      </c>
      <c r="BY925">
        <f>'Revenue drivers'!BY312</f>
        <v>9.8642735721813324</v>
      </c>
    </row>
    <row r="926" spans="9:77" ht="11.25" customHeight="1">
      <c r="I926" t="str">
        <f>'Revenue drivers'!I313</f>
        <v>Period-to-period change</v>
      </c>
      <c r="J926">
        <f>'Revenue drivers'!J313</f>
        <v>0</v>
      </c>
      <c r="K926">
        <f>'Revenue drivers'!K313</f>
        <v>0</v>
      </c>
      <c r="L926">
        <f>'Revenue drivers'!L313</f>
        <v>0</v>
      </c>
      <c r="M926">
        <f>'Revenue drivers'!M313</f>
        <v>0</v>
      </c>
      <c r="N926">
        <f>'Revenue drivers'!N313</f>
        <v>0</v>
      </c>
      <c r="O926">
        <f>'Revenue drivers'!O313</f>
        <v>0</v>
      </c>
      <c r="P926">
        <f>'Revenue drivers'!P313</f>
        <v>0</v>
      </c>
      <c r="Q926">
        <f>'Revenue drivers'!Q313</f>
        <v>0</v>
      </c>
      <c r="R926">
        <f>'Revenue drivers'!R313</f>
        <v>0</v>
      </c>
      <c r="S926">
        <f>'Revenue drivers'!S313</f>
        <v>0</v>
      </c>
      <c r="T926">
        <f>'Revenue drivers'!T313</f>
        <v>0</v>
      </c>
      <c r="U926">
        <f>'Revenue drivers'!U313</f>
        <v>0</v>
      </c>
      <c r="V926">
        <f>'Revenue drivers'!V313</f>
        <v>0</v>
      </c>
      <c r="W926">
        <f>'Revenue drivers'!W313</f>
        <v>10.677000000000001</v>
      </c>
      <c r="X926">
        <f>'Revenue drivers'!X313</f>
        <v>0</v>
      </c>
      <c r="Y926">
        <f>'Revenue drivers'!Y313</f>
        <v>0</v>
      </c>
      <c r="Z926">
        <f>'Revenue drivers'!Z313</f>
        <v>0</v>
      </c>
      <c r="AA926">
        <f>'Revenue drivers'!AA313</f>
        <v>21.140460000000001</v>
      </c>
      <c r="AB926">
        <f>'Revenue drivers'!AB313</f>
        <v>4.0605899999999977</v>
      </c>
      <c r="AC926">
        <f>'Revenue drivers'!AC313</f>
        <v>6.5893500000000031</v>
      </c>
      <c r="AD926">
        <f>'Revenue drivers'!AD313</f>
        <v>-0.79040000000000177</v>
      </c>
      <c r="AE926">
        <f>'Revenue drivers'!AE313</f>
        <v>-1</v>
      </c>
      <c r="AF926">
        <f>'Revenue drivers'!AF313</f>
        <v>1</v>
      </c>
      <c r="AG926">
        <f>'Revenue drivers'!AG313</f>
        <v>0.14300000000000068</v>
      </c>
      <c r="AH926">
        <f>'Revenue drivers'!AH313</f>
        <v>-1.1900000000000013</v>
      </c>
      <c r="AI926">
        <f>'Revenue drivers'!AI313</f>
        <v>0.60800000000000054</v>
      </c>
      <c r="AJ926">
        <f>'Revenue drivers'!AJ313</f>
        <v>-0.62399999999999878</v>
      </c>
      <c r="AK926">
        <f>'Revenue drivers'!AK313</f>
        <v>-5.4999999999999716E-2</v>
      </c>
      <c r="AL926">
        <f>'Revenue drivers'!AL313</f>
        <v>-1.0259999999999998</v>
      </c>
      <c r="AM926">
        <f>'Revenue drivers'!AM313</f>
        <v>1.8129999999999988</v>
      </c>
      <c r="AN926">
        <f>'Revenue drivers'!AN313</f>
        <v>-1.1950000000000003</v>
      </c>
      <c r="AO926">
        <f>'Revenue drivers'!AO313</f>
        <v>-29.474</v>
      </c>
      <c r="AP926">
        <f>'Revenue drivers'!AP313</f>
        <v>0.78549499999999994</v>
      </c>
      <c r="AQ926">
        <f>'Revenue drivers'!AQ313</f>
        <v>0.78550500000000001</v>
      </c>
      <c r="AR926">
        <f>'Revenue drivers'!AR313</f>
        <v>-1.571</v>
      </c>
      <c r="AS926">
        <f>'Revenue drivers'!AS313</f>
        <v>0.72937375000000004</v>
      </c>
      <c r="AT926">
        <f>'Revenue drivers'!AT313</f>
        <v>0.7204602499999998</v>
      </c>
      <c r="AU926">
        <f>'Revenue drivers'!AU313</f>
        <v>0.69258749999999991</v>
      </c>
      <c r="AV926">
        <f>'Revenue drivers'!AV313</f>
        <v>0.41565606100000041</v>
      </c>
      <c r="AW926">
        <f>'Revenue drivers'!AW313</f>
        <v>0.76690070412499933</v>
      </c>
      <c r="AX926">
        <f>'Revenue drivers'!AX313</f>
        <v>0.66661059207500006</v>
      </c>
      <c r="AY926">
        <f>'Revenue drivers'!AY313</f>
        <v>0.6265791168499999</v>
      </c>
      <c r="AZ926">
        <f>'Revenue drivers'!AZ313</f>
        <v>0.21850875265000091</v>
      </c>
      <c r="BA926">
        <f>'Revenue drivers'!BA313</f>
        <v>0.77719857513749968</v>
      </c>
      <c r="BB926">
        <f>'Revenue drivers'!BB313</f>
        <v>0.60388563840249887</v>
      </c>
      <c r="BC926">
        <f>'Revenue drivers'!BC313</f>
        <v>0.54818269239499973</v>
      </c>
      <c r="BD926">
        <f>'Revenue drivers'!BD313</f>
        <v>4.6609878407500638E-2</v>
      </c>
      <c r="BE926">
        <f>'Revenue drivers'!BE313</f>
        <v>0</v>
      </c>
      <c r="BF926">
        <f>'Revenue drivers'!BF313</f>
        <v>0</v>
      </c>
      <c r="BG926">
        <f>'Revenue drivers'!BG313</f>
        <v>0</v>
      </c>
      <c r="BH926">
        <f>'Revenue drivers'!BH313</f>
        <v>0</v>
      </c>
      <c r="BI926">
        <f>'Revenue drivers'!BI313</f>
        <v>0</v>
      </c>
      <c r="BJ926">
        <f>'Revenue drivers'!BJ313</f>
        <v>0</v>
      </c>
      <c r="BK926">
        <f>'Revenue drivers'!BK313</f>
        <v>0</v>
      </c>
      <c r="BL926">
        <f>'Revenue drivers'!BL313</f>
        <v>0</v>
      </c>
      <c r="BM926">
        <f>'Revenue drivers'!BM313</f>
        <v>0</v>
      </c>
      <c r="BN926">
        <f>'Revenue drivers'!BN313</f>
        <v>7.7768450000000016</v>
      </c>
      <c r="BO926">
        <f>'Revenue drivers'!BO313</f>
        <v>-0.54909999999999926</v>
      </c>
      <c r="BP926">
        <f>'Revenue drivers'!BP313</f>
        <v>-0.67825000000000202</v>
      </c>
      <c r="BQ926">
        <f>'Revenue drivers'!BQ313</f>
        <v>-29.131126250000001</v>
      </c>
      <c r="BR926">
        <f>'Revenue drivers'!BR313</f>
        <v>1.1308029527499999</v>
      </c>
      <c r="BS926">
        <f>'Revenue drivers'!BS313</f>
        <v>2.4729262530187501</v>
      </c>
      <c r="BT926">
        <f>'Revenue drivers'!BT313</f>
        <v>2.1596803906699993</v>
      </c>
      <c r="BU926">
        <f>'Revenue drivers'!BU313</f>
        <v>1.6965902531066011</v>
      </c>
      <c r="BV926">
        <f>'Revenue drivers'!BV313</f>
        <v>1.2056333895744569</v>
      </c>
      <c r="BW926">
        <f>'Revenue drivers'!BW313</f>
        <v>0.7298252668813241</v>
      </c>
      <c r="BX926">
        <f>'Revenue drivers'!BX313</f>
        <v>0.21559125903718979</v>
      </c>
      <c r="BY926">
        <f>'Revenue drivers'!BY313</f>
        <v>-0.33589994285698843</v>
      </c>
    </row>
    <row r="927" spans="9:77" ht="11.25" customHeight="1">
      <c r="I927" t="str">
        <f>'Revenue drivers'!I314</f>
        <v>% change Y/Y</v>
      </c>
      <c r="J927">
        <f>'Revenue drivers'!J314</f>
        <v>0</v>
      </c>
      <c r="K927">
        <f>'Revenue drivers'!K314</f>
        <v>0</v>
      </c>
      <c r="L927">
        <f>'Revenue drivers'!L314</f>
        <v>0</v>
      </c>
      <c r="M927">
        <f>'Revenue drivers'!M314</f>
        <v>0</v>
      </c>
      <c r="N927">
        <f>'Revenue drivers'!N314</f>
        <v>0</v>
      </c>
      <c r="O927">
        <f>'Revenue drivers'!O314</f>
        <v>0</v>
      </c>
      <c r="P927">
        <f>'Revenue drivers'!P314</f>
        <v>0</v>
      </c>
      <c r="Q927">
        <f>'Revenue drivers'!Q314</f>
        <v>0</v>
      </c>
      <c r="R927">
        <f>'Revenue drivers'!R314</f>
        <v>0</v>
      </c>
      <c r="S927">
        <f>'Revenue drivers'!S314</f>
        <v>0</v>
      </c>
      <c r="T927">
        <f>'Revenue drivers'!T314</f>
        <v>0</v>
      </c>
      <c r="U927">
        <f>'Revenue drivers'!U314</f>
        <v>0</v>
      </c>
      <c r="V927">
        <f>'Revenue drivers'!V314</f>
        <v>0</v>
      </c>
      <c r="W927" t="str">
        <f>'Revenue drivers'!W314</f>
        <v>NA</v>
      </c>
      <c r="X927">
        <f>'Revenue drivers'!X314</f>
        <v>0</v>
      </c>
      <c r="Y927">
        <f>'Revenue drivers'!Y314</f>
        <v>0</v>
      </c>
      <c r="Z927">
        <f>'Revenue drivers'!Z314</f>
        <v>0</v>
      </c>
      <c r="AA927">
        <f>'Revenue drivers'!AA314</f>
        <v>0.97999999999999976</v>
      </c>
      <c r="AB927" t="str">
        <f>'Revenue drivers'!AB314</f>
        <v>NA</v>
      </c>
      <c r="AC927" t="str">
        <f>'Revenue drivers'!AC314</f>
        <v>NA</v>
      </c>
      <c r="AD927" t="str">
        <f>'Revenue drivers'!AD314</f>
        <v>NA</v>
      </c>
      <c r="AE927">
        <f>'Revenue drivers'!AE314</f>
        <v>0.41907981188678001</v>
      </c>
      <c r="AF927">
        <f>'Revenue drivers'!AF314</f>
        <v>0.23010747568057677</v>
      </c>
      <c r="AG927">
        <f>'Revenue drivers'!AG314</f>
        <v>-2.0364638381398237E-2</v>
      </c>
      <c r="AH927">
        <f>'Revenue drivers'!AH314</f>
        <v>-3.3774193548387066E-2</v>
      </c>
      <c r="AI927">
        <f>'Revenue drivers'!AI314</f>
        <v>1.8699999999999939E-2</v>
      </c>
      <c r="AJ927">
        <f>'Revenue drivers'!AJ314</f>
        <v>-3.4290322580645127E-2</v>
      </c>
      <c r="AK927">
        <f>'Revenue drivers'!AK314</f>
        <v>-4.0490639951192842E-2</v>
      </c>
      <c r="AL927">
        <f>'Revenue drivers'!AL314</f>
        <v>-3.6624044336126538E-2</v>
      </c>
      <c r="AM927">
        <f>'Revenue drivers'!AM314</f>
        <v>3.5339157750073902E-3</v>
      </c>
      <c r="AN927">
        <f>'Revenue drivers'!AN314</f>
        <v>-1.5465811537562213E-2</v>
      </c>
      <c r="AO927" t="str">
        <f>'Revenue drivers'!AO314</f>
        <v>NM</v>
      </c>
      <c r="AP927">
        <f>'Revenue drivers'!AP314</f>
        <v>-0.97277879817022461</v>
      </c>
      <c r="AQ927">
        <f>'Revenue drivers'!AQ314</f>
        <v>-0.9487756366363429</v>
      </c>
      <c r="AR927" t="str">
        <f>'Revenue drivers'!AR314</f>
        <v>NM</v>
      </c>
      <c r="AS927" t="str">
        <f>'Revenue drivers'!AS314</f>
        <v>NA</v>
      </c>
      <c r="AT927">
        <f>'Revenue drivers'!AT314</f>
        <v>0.84575840711907779</v>
      </c>
      <c r="AU927">
        <f>'Revenue drivers'!AU314</f>
        <v>0.36373106301718638</v>
      </c>
      <c r="AV927" t="str">
        <f>'Revenue drivers'!AV314</f>
        <v>NA</v>
      </c>
      <c r="AW927">
        <f>'Revenue drivers'!AW314</f>
        <v>3.558675528321384</v>
      </c>
      <c r="AX927">
        <f>'Revenue drivers'!AX314</f>
        <v>1.7531350880169732</v>
      </c>
      <c r="AY927">
        <f>'Revenue drivers'!AY314</f>
        <v>1.1555832846384337</v>
      </c>
      <c r="AZ927">
        <f>'Revenue drivers'!AZ314</f>
        <v>0.89074670777740339</v>
      </c>
      <c r="BA927">
        <f>'Revenue drivers'!BA314</f>
        <v>0.68839458613015969</v>
      </c>
      <c r="BB927">
        <f>'Revenue drivers'!BB314</f>
        <v>0.55771577752163681</v>
      </c>
      <c r="BC927">
        <f>'Revenue drivers'!BC314</f>
        <v>0.46507092653484894</v>
      </c>
      <c r="BD927">
        <f>'Revenue drivers'!BD314</f>
        <v>0.40851950543542181</v>
      </c>
      <c r="BE927">
        <f>'Revenue drivers'!BE314</f>
        <v>0</v>
      </c>
      <c r="BF927">
        <f>'Revenue drivers'!BF314</f>
        <v>0</v>
      </c>
      <c r="BG927">
        <f>'Revenue drivers'!BG314</f>
        <v>0</v>
      </c>
      <c r="BH927">
        <f>'Revenue drivers'!BH314</f>
        <v>0</v>
      </c>
      <c r="BI927">
        <f>'Revenue drivers'!BI314</f>
        <v>0</v>
      </c>
      <c r="BJ927">
        <f>'Revenue drivers'!BJ314</f>
        <v>0</v>
      </c>
      <c r="BK927">
        <f>'Revenue drivers'!BK314</f>
        <v>0</v>
      </c>
      <c r="BL927">
        <f>'Revenue drivers'!BL314</f>
        <v>0</v>
      </c>
      <c r="BM927">
        <f>'Revenue drivers'!BM314</f>
        <v>0</v>
      </c>
      <c r="BN927">
        <f>'Revenue drivers'!BN314</f>
        <v>0.33563192049633273</v>
      </c>
      <c r="BO927">
        <f>'Revenue drivers'!BO314</f>
        <v>-1.7742894440925916E-2</v>
      </c>
      <c r="BP927">
        <f>'Revenue drivers'!BP314</f>
        <v>-2.2311956182048509E-2</v>
      </c>
      <c r="BQ927">
        <f>'Revenue drivers'!BQ314</f>
        <v>-0.98017769870711047</v>
      </c>
      <c r="BR927">
        <f>'Revenue drivers'!BR314</f>
        <v>1.9194659063566863</v>
      </c>
      <c r="BS927">
        <f>'Revenue drivers'!BS314</f>
        <v>1.4378090932972754</v>
      </c>
      <c r="BT927">
        <f>'Revenue drivers'!BT314</f>
        <v>0.51508612714371393</v>
      </c>
      <c r="BU927">
        <f>'Revenue drivers'!BU314</f>
        <v>0.26707301805156436</v>
      </c>
      <c r="BV927">
        <f>'Revenue drivers'!BV314</f>
        <v>0.14978442990272334</v>
      </c>
      <c r="BW927">
        <f>'Revenue drivers'!BW314</f>
        <v>7.8859473861856211E-2</v>
      </c>
      <c r="BX927">
        <f>'Revenue drivers'!BX314</f>
        <v>2.1592416538770198E-2</v>
      </c>
      <c r="BY927">
        <f>'Revenue drivers'!BY314</f>
        <v>-3.2930806751646391E-2</v>
      </c>
    </row>
    <row r="928" spans="9:77" ht="11.25" customHeight="1">
      <c r="I928" t="str">
        <f>'Revenue drivers'!I315</f>
        <v>% change Q/Q</v>
      </c>
      <c r="J928">
        <f>'Revenue drivers'!J315</f>
        <v>0</v>
      </c>
      <c r="K928">
        <f>'Revenue drivers'!K315</f>
        <v>0</v>
      </c>
      <c r="L928">
        <f>'Revenue drivers'!L315</f>
        <v>0</v>
      </c>
      <c r="M928">
        <f>'Revenue drivers'!M315</f>
        <v>0</v>
      </c>
      <c r="N928">
        <f>'Revenue drivers'!N315</f>
        <v>0</v>
      </c>
      <c r="O928">
        <f>'Revenue drivers'!O315</f>
        <v>0</v>
      </c>
      <c r="P928">
        <f>'Revenue drivers'!P315</f>
        <v>0</v>
      </c>
      <c r="Q928">
        <f>'Revenue drivers'!Q315</f>
        <v>0</v>
      </c>
      <c r="R928">
        <f>'Revenue drivers'!R315</f>
        <v>0</v>
      </c>
      <c r="S928">
        <f>'Revenue drivers'!S315</f>
        <v>0</v>
      </c>
      <c r="T928">
        <f>'Revenue drivers'!T315</f>
        <v>0</v>
      </c>
      <c r="U928">
        <f>'Revenue drivers'!U315</f>
        <v>0</v>
      </c>
      <c r="V928">
        <f>'Revenue drivers'!V315</f>
        <v>0</v>
      </c>
      <c r="W928" t="str">
        <f>'Revenue drivers'!W315</f>
        <v>NA</v>
      </c>
      <c r="X928">
        <f>'Revenue drivers'!X315</f>
        <v>0</v>
      </c>
      <c r="Y928">
        <f>'Revenue drivers'!Y315</f>
        <v>0</v>
      </c>
      <c r="Z928">
        <f>'Revenue drivers'!Z315</f>
        <v>0</v>
      </c>
      <c r="AA928" t="str">
        <f>'Revenue drivers'!AA315</f>
        <v>NA</v>
      </c>
      <c r="AB928">
        <f>'Revenue drivers'!AB315</f>
        <v>0.19207670977831115</v>
      </c>
      <c r="AC928">
        <f>'Revenue drivers'!AC315</f>
        <v>0.26147124822180046</v>
      </c>
      <c r="AD928">
        <f>'Revenue drivers'!AD315</f>
        <v>-2.4862851678494224E-2</v>
      </c>
      <c r="AE928">
        <f>'Revenue drivers'!AE315</f>
        <v>-3.2258064516129004E-2</v>
      </c>
      <c r="AF928">
        <f>'Revenue drivers'!AF315</f>
        <v>3.3333333333333437E-2</v>
      </c>
      <c r="AG928">
        <f>'Revenue drivers'!AG315</f>
        <v>4.6129032258064306E-3</v>
      </c>
      <c r="AH928">
        <f>'Revenue drivers'!AH315</f>
        <v>-3.8210833895257368E-2</v>
      </c>
      <c r="AI928">
        <f>'Revenue drivers'!AI315</f>
        <v>2.0298467599238812E-2</v>
      </c>
      <c r="AJ928">
        <f>'Revenue drivers'!AJ315</f>
        <v>-2.041818003337581E-2</v>
      </c>
      <c r="AK928">
        <f>'Revenue drivers'!AK315</f>
        <v>-1.8371914353475516E-3</v>
      </c>
      <c r="AL928">
        <f>'Revenue drivers'!AL315</f>
        <v>-3.4335051201392131E-2</v>
      </c>
      <c r="AM928">
        <f>'Revenue drivers'!AM315</f>
        <v>6.2829220959245813E-2</v>
      </c>
      <c r="AN928">
        <f>'Revenue drivers'!AN315</f>
        <v>-3.8964426619713777E-2</v>
      </c>
      <c r="AO928" t="str">
        <f>'Revenue drivers'!AO315</f>
        <v>NM</v>
      </c>
      <c r="AP928" t="str">
        <f>'Revenue drivers'!AP315</f>
        <v>NA</v>
      </c>
      <c r="AQ928">
        <f>'Revenue drivers'!AQ315</f>
        <v>1.0000127308257851</v>
      </c>
      <c r="AR928" t="str">
        <f>'Revenue drivers'!AR315</f>
        <v>NM</v>
      </c>
      <c r="AS928" t="str">
        <f>'Revenue drivers'!AS315</f>
        <v>NA</v>
      </c>
      <c r="AT928">
        <f>'Revenue drivers'!AT315</f>
        <v>0.98777924212380785</v>
      </c>
      <c r="AU928">
        <f>'Revenue drivers'!AU315</f>
        <v>0.47770124027992167</v>
      </c>
      <c r="AV928">
        <f>'Revenue drivers'!AV315</f>
        <v>0.19401227116139408</v>
      </c>
      <c r="AW928">
        <f>'Revenue drivers'!AW315</f>
        <v>0.29979571996448917</v>
      </c>
      <c r="AX928">
        <f>'Revenue drivers'!AX315</f>
        <v>0.20048569912980763</v>
      </c>
      <c r="AY928">
        <f>'Revenue drivers'!AY315</f>
        <v>0.1569748637111712</v>
      </c>
      <c r="AZ928">
        <f>'Revenue drivers'!AZ315</f>
        <v>4.7315029223238714E-2</v>
      </c>
      <c r="BA928">
        <f>'Revenue drivers'!BA315</f>
        <v>0.16068855105554514</v>
      </c>
      <c r="BB928">
        <f>'Revenue drivers'!BB315</f>
        <v>0.1075701909881821</v>
      </c>
      <c r="BC928">
        <f>'Revenue drivers'!BC315</f>
        <v>8.8164002711535572E-2</v>
      </c>
      <c r="BD928">
        <f>'Revenue drivers'!BD315</f>
        <v>6.8888954650290213E-3</v>
      </c>
      <c r="BE928">
        <f>'Revenue drivers'!BE315</f>
        <v>0</v>
      </c>
      <c r="BF928">
        <f>'Revenue drivers'!BF315</f>
        <v>0</v>
      </c>
      <c r="BG928">
        <f>'Revenue drivers'!BG315</f>
        <v>0</v>
      </c>
      <c r="BH928">
        <f>'Revenue drivers'!BH315</f>
        <v>0</v>
      </c>
      <c r="BI928">
        <f>'Revenue drivers'!BI315</f>
        <v>0</v>
      </c>
      <c r="BJ928">
        <f>'Revenue drivers'!BJ315</f>
        <v>0</v>
      </c>
      <c r="BK928">
        <f>'Revenue drivers'!BK315</f>
        <v>0</v>
      </c>
      <c r="BL928">
        <f>'Revenue drivers'!BL315</f>
        <v>0</v>
      </c>
      <c r="BM928">
        <f>'Revenue drivers'!BM315</f>
        <v>0</v>
      </c>
      <c r="BN928">
        <f>'Revenue drivers'!BN315</f>
        <v>0</v>
      </c>
      <c r="BO928">
        <f>'Revenue drivers'!BO315</f>
        <v>0</v>
      </c>
      <c r="BP928">
        <f>'Revenue drivers'!BP315</f>
        <v>0</v>
      </c>
      <c r="BQ928">
        <f>'Revenue drivers'!BQ315</f>
        <v>0</v>
      </c>
      <c r="BR928">
        <f>'Revenue drivers'!BR315</f>
        <v>0</v>
      </c>
      <c r="BS928">
        <f>'Revenue drivers'!BS315</f>
        <v>0</v>
      </c>
      <c r="BT928">
        <f>'Revenue drivers'!BT315</f>
        <v>0</v>
      </c>
      <c r="BU928">
        <f>'Revenue drivers'!BU315</f>
        <v>0</v>
      </c>
      <c r="BV928">
        <f>'Revenue drivers'!BV315</f>
        <v>0</v>
      </c>
      <c r="BW928">
        <f>'Revenue drivers'!BW315</f>
        <v>0</v>
      </c>
      <c r="BX928">
        <f>'Revenue drivers'!BX315</f>
        <v>0</v>
      </c>
      <c r="BY928">
        <f>'Revenue drivers'!BY315</f>
        <v>0</v>
      </c>
    </row>
    <row r="929" spans="9:77" ht="11.25" customHeight="1">
      <c r="I929" t="str">
        <f>'Revenue drivers'!I316</f>
        <v>% of total average monthly unique visitors</v>
      </c>
      <c r="J929">
        <f>'Revenue drivers'!J316</f>
        <v>0</v>
      </c>
      <c r="K929">
        <f>'Revenue drivers'!K316</f>
        <v>0</v>
      </c>
      <c r="L929">
        <f>'Revenue drivers'!L316</f>
        <v>0</v>
      </c>
      <c r="M929">
        <f>'Revenue drivers'!M316</f>
        <v>0</v>
      </c>
      <c r="N929">
        <f>'Revenue drivers'!N316</f>
        <v>0</v>
      </c>
      <c r="O929">
        <f>'Revenue drivers'!O316</f>
        <v>0</v>
      </c>
      <c r="P929">
        <f>'Revenue drivers'!P316</f>
        <v>0</v>
      </c>
      <c r="Q929">
        <f>'Revenue drivers'!Q316</f>
        <v>0</v>
      </c>
      <c r="R929">
        <f>'Revenue drivers'!R316</f>
        <v>0</v>
      </c>
      <c r="S929">
        <f>'Revenue drivers'!S316</f>
        <v>0</v>
      </c>
      <c r="T929">
        <f>'Revenue drivers'!T316</f>
        <v>0</v>
      </c>
      <c r="U929">
        <f>'Revenue drivers'!U316</f>
        <v>0</v>
      </c>
      <c r="V929">
        <f>'Revenue drivers'!V316</f>
        <v>0</v>
      </c>
      <c r="W929">
        <f>'Revenue drivers'!W316</f>
        <v>0.12781009839833371</v>
      </c>
      <c r="X929">
        <f>'Revenue drivers'!X316</f>
        <v>0</v>
      </c>
      <c r="Y929">
        <f>'Revenue drivers'!Y316</f>
        <v>0</v>
      </c>
      <c r="Z929">
        <f>'Revenue drivers'!Z316</f>
        <v>0</v>
      </c>
      <c r="AA929">
        <f>'Revenue drivers'!AA316</f>
        <v>0.18</v>
      </c>
      <c r="AB929">
        <f>'Revenue drivers'!AB316</f>
        <v>0.21</v>
      </c>
      <c r="AC929">
        <f>'Revenue drivers'!AC316</f>
        <v>0.24</v>
      </c>
      <c r="AD929">
        <f>'Revenue drivers'!AD316</f>
        <v>0.22502740253046943</v>
      </c>
      <c r="AE929">
        <f>'Revenue drivers'!AE316</f>
        <v>0.21518024932218222</v>
      </c>
      <c r="AF929">
        <f>'Revenue drivers'!AF316</f>
        <v>0.22896140153921149</v>
      </c>
      <c r="AG929">
        <f>'Revenue drivers'!AG316</f>
        <v>0.21859952550082123</v>
      </c>
      <c r="AH929">
        <f>'Revenue drivers'!AH316</f>
        <v>0.20816596010841618</v>
      </c>
      <c r="AI929">
        <f>'Revenue drivers'!AI316</f>
        <v>0.20646813225418531</v>
      </c>
      <c r="AJ929">
        <f>'Revenue drivers'!AJ316</f>
        <v>0.21312479087614888</v>
      </c>
      <c r="AK929">
        <f>'Revenue drivers'!AK316</f>
        <v>0.20469366505918457</v>
      </c>
      <c r="AL929">
        <f>'Revenue drivers'!AL316</f>
        <v>0.20216768371715022</v>
      </c>
      <c r="AM929">
        <f>'Revenue drivers'!AM316</f>
        <v>0.21379723804278872</v>
      </c>
      <c r="AN929">
        <f>'Revenue drivers'!AN316</f>
        <v>0.22121150714130247</v>
      </c>
      <c r="AO929">
        <f>'Revenue drivers'!AO316</f>
        <v>0</v>
      </c>
      <c r="AP929">
        <f>'Revenue drivers'!AP316</f>
        <v>5.0000000000000001E-3</v>
      </c>
      <c r="AQ929">
        <f>'Revenue drivers'!AQ316</f>
        <v>0.01</v>
      </c>
      <c r="AR929">
        <f>'Revenue drivers'!AR316</f>
        <v>0</v>
      </c>
      <c r="AS929">
        <f>'Revenue drivers'!AS316</f>
        <v>5.0000000000000001E-3</v>
      </c>
      <c r="AT929">
        <f>'Revenue drivers'!AT316</f>
        <v>0.01</v>
      </c>
      <c r="AU929">
        <f>'Revenue drivers'!AU316</f>
        <v>1.4999999999999999E-2</v>
      </c>
      <c r="AV929">
        <f>'Revenue drivers'!AV316</f>
        <v>1.9630000000000002E-2</v>
      </c>
      <c r="AW929">
        <f>'Revenue drivers'!AW316</f>
        <v>2.4630000000000003E-2</v>
      </c>
      <c r="AX929">
        <f>'Revenue drivers'!AX316</f>
        <v>2.9630000000000004E-2</v>
      </c>
      <c r="AY929">
        <f>'Revenue drivers'!AY316</f>
        <v>3.4630000000000001E-2</v>
      </c>
      <c r="AZ929">
        <f>'Revenue drivers'!AZ316</f>
        <v>3.9260000000000003E-2</v>
      </c>
      <c r="BA929">
        <f>'Revenue drivers'!BA316</f>
        <v>4.4260000000000001E-2</v>
      </c>
      <c r="BB929">
        <f>'Revenue drivers'!BB316</f>
        <v>4.9259999999999998E-2</v>
      </c>
      <c r="BC929">
        <f>'Revenue drivers'!BC316</f>
        <v>5.4259999999999996E-2</v>
      </c>
      <c r="BD929">
        <f>'Revenue drivers'!BD316</f>
        <v>5.8889999999999998E-2</v>
      </c>
      <c r="BE929">
        <f>'Revenue drivers'!BE316</f>
        <v>0</v>
      </c>
      <c r="BF929">
        <f>'Revenue drivers'!BF316</f>
        <v>0</v>
      </c>
      <c r="BG929">
        <f>'Revenue drivers'!BG316</f>
        <v>0</v>
      </c>
      <c r="BH929">
        <f>'Revenue drivers'!BH316</f>
        <v>0</v>
      </c>
      <c r="BI929">
        <f>'Revenue drivers'!BI316</f>
        <v>0</v>
      </c>
      <c r="BJ929">
        <f>'Revenue drivers'!BJ316</f>
        <v>0</v>
      </c>
      <c r="BK929">
        <f>'Revenue drivers'!BK316</f>
        <v>0</v>
      </c>
      <c r="BL929">
        <f>'Revenue drivers'!BL316</f>
        <v>0</v>
      </c>
      <c r="BM929">
        <f>'Revenue drivers'!BM316</f>
        <v>0</v>
      </c>
      <c r="BN929">
        <f>'Revenue drivers'!BN316</f>
        <v>0.22857438291209359</v>
      </c>
      <c r="BO929">
        <f>'Revenue drivers'!BO316</f>
        <v>0.21641026006108199</v>
      </c>
      <c r="BP929">
        <f>'Revenue drivers'!BP316</f>
        <v>0.22305968973048432</v>
      </c>
      <c r="BQ929">
        <f>'Revenue drivers'!BQ316</f>
        <v>4.1791014336485322E-3</v>
      </c>
      <c r="BR929">
        <f>'Revenue drivers'!BR316</f>
        <v>1.3198255475015481E-2</v>
      </c>
      <c r="BS929">
        <f>'Revenue drivers'!BS316</f>
        <v>3.4033989936679783E-2</v>
      </c>
      <c r="BT929">
        <f>'Revenue drivers'!BT316</f>
        <v>5.4913431236231228E-2</v>
      </c>
      <c r="BU929">
        <f>'Revenue drivers'!BU316</f>
        <v>7.4913431236231232E-2</v>
      </c>
      <c r="BV929">
        <f>'Revenue drivers'!BV316</f>
        <v>9.4913431236231235E-2</v>
      </c>
      <c r="BW929">
        <f>'Revenue drivers'!BW316</f>
        <v>0.11491343123623124</v>
      </c>
      <c r="BX929">
        <f>'Revenue drivers'!BX316</f>
        <v>0.13491343123623123</v>
      </c>
      <c r="BY929">
        <f>'Revenue drivers'!BY316</f>
        <v>0.15491343123623122</v>
      </c>
    </row>
    <row r="930" spans="9:77" ht="11.25" customHeight="1">
      <c r="I930">
        <f>'Revenue drivers'!I317</f>
        <v>0</v>
      </c>
      <c r="J930">
        <f>'Revenue drivers'!J317</f>
        <v>0</v>
      </c>
      <c r="K930">
        <f>'Revenue drivers'!K317</f>
        <v>0</v>
      </c>
      <c r="L930">
        <f>'Revenue drivers'!L317</f>
        <v>0</v>
      </c>
      <c r="M930">
        <f>'Revenue drivers'!M317</f>
        <v>0</v>
      </c>
      <c r="N930">
        <f>'Revenue drivers'!N317</f>
        <v>0</v>
      </c>
      <c r="O930">
        <f>'Revenue drivers'!O317</f>
        <v>0</v>
      </c>
      <c r="P930">
        <f>'Revenue drivers'!P317</f>
        <v>0</v>
      </c>
      <c r="Q930">
        <f>'Revenue drivers'!Q317</f>
        <v>0</v>
      </c>
      <c r="R930">
        <f>'Revenue drivers'!R317</f>
        <v>0</v>
      </c>
      <c r="S930">
        <f>'Revenue drivers'!S317</f>
        <v>0</v>
      </c>
      <c r="T930">
        <f>'Revenue drivers'!T317</f>
        <v>0</v>
      </c>
      <c r="U930">
        <f>'Revenue drivers'!U317</f>
        <v>0</v>
      </c>
      <c r="V930">
        <f>'Revenue drivers'!V317</f>
        <v>0</v>
      </c>
      <c r="W930">
        <f>'Revenue drivers'!W317</f>
        <v>0</v>
      </c>
      <c r="X930">
        <f>'Revenue drivers'!X317</f>
        <v>0</v>
      </c>
      <c r="Y930">
        <f>'Revenue drivers'!Y317</f>
        <v>0</v>
      </c>
      <c r="Z930">
        <f>'Revenue drivers'!Z317</f>
        <v>0</v>
      </c>
      <c r="AA930">
        <f>'Revenue drivers'!AA317</f>
        <v>0</v>
      </c>
      <c r="AB930">
        <f>'Revenue drivers'!AB317</f>
        <v>0</v>
      </c>
      <c r="AC930">
        <f>'Revenue drivers'!AC317</f>
        <v>0</v>
      </c>
      <c r="AD930">
        <f>'Revenue drivers'!AD317</f>
        <v>0</v>
      </c>
      <c r="AE930">
        <f>'Revenue drivers'!AE317</f>
        <v>0</v>
      </c>
      <c r="AF930">
        <f>'Revenue drivers'!AF317</f>
        <v>0</v>
      </c>
      <c r="AG930">
        <f>'Revenue drivers'!AG317</f>
        <v>0</v>
      </c>
      <c r="AH930">
        <f>'Revenue drivers'!AH317</f>
        <v>0</v>
      </c>
      <c r="AI930">
        <f>'Revenue drivers'!AI317</f>
        <v>0</v>
      </c>
      <c r="AJ930">
        <f>'Revenue drivers'!AJ317</f>
        <v>0</v>
      </c>
      <c r="AK930">
        <f>'Revenue drivers'!AK317</f>
        <v>0</v>
      </c>
      <c r="AL930">
        <f>'Revenue drivers'!AL317</f>
        <v>0</v>
      </c>
      <c r="AM930">
        <f>'Revenue drivers'!AM317</f>
        <v>0</v>
      </c>
      <c r="AN930">
        <f>'Revenue drivers'!AN317</f>
        <v>0</v>
      </c>
      <c r="AO930">
        <f>'Revenue drivers'!AO317</f>
        <v>0</v>
      </c>
      <c r="AP930">
        <f>'Revenue drivers'!AP317</f>
        <v>0</v>
      </c>
      <c r="AQ930">
        <f>'Revenue drivers'!AQ317</f>
        <v>0</v>
      </c>
      <c r="AR930">
        <f>'Revenue drivers'!AR317</f>
        <v>0</v>
      </c>
      <c r="AS930">
        <f>'Revenue drivers'!AS317</f>
        <v>0</v>
      </c>
      <c r="AT930">
        <f>'Revenue drivers'!AT317</f>
        <v>0</v>
      </c>
      <c r="AU930">
        <f>'Revenue drivers'!AU317</f>
        <v>0</v>
      </c>
      <c r="AV930">
        <f>'Revenue drivers'!AV317</f>
        <v>0</v>
      </c>
      <c r="AW930">
        <f>'Revenue drivers'!AW317</f>
        <v>0</v>
      </c>
      <c r="AX930">
        <f>'Revenue drivers'!AX317</f>
        <v>0</v>
      </c>
      <c r="AY930">
        <f>'Revenue drivers'!AY317</f>
        <v>0</v>
      </c>
      <c r="AZ930">
        <f>'Revenue drivers'!AZ317</f>
        <v>0</v>
      </c>
      <c r="BA930">
        <f>'Revenue drivers'!BA317</f>
        <v>0</v>
      </c>
      <c r="BB930">
        <f>'Revenue drivers'!BB317</f>
        <v>0</v>
      </c>
      <c r="BC930">
        <f>'Revenue drivers'!BC317</f>
        <v>0</v>
      </c>
      <c r="BD930">
        <f>'Revenue drivers'!BD317</f>
        <v>0</v>
      </c>
      <c r="BE930">
        <f>'Revenue drivers'!BE317</f>
        <v>0</v>
      </c>
      <c r="BF930">
        <f>'Revenue drivers'!BF317</f>
        <v>0</v>
      </c>
      <c r="BG930">
        <f>'Revenue drivers'!BG317</f>
        <v>0</v>
      </c>
      <c r="BH930">
        <f>'Revenue drivers'!BH317</f>
        <v>0</v>
      </c>
      <c r="BI930">
        <f>'Revenue drivers'!BI317</f>
        <v>0</v>
      </c>
      <c r="BJ930">
        <f>'Revenue drivers'!BJ317</f>
        <v>0</v>
      </c>
      <c r="BK930">
        <f>'Revenue drivers'!BK317</f>
        <v>0</v>
      </c>
      <c r="BL930">
        <f>'Revenue drivers'!BL317</f>
        <v>0</v>
      </c>
      <c r="BM930">
        <f>'Revenue drivers'!BM317</f>
        <v>0</v>
      </c>
      <c r="BN930">
        <f>'Revenue drivers'!BN317</f>
        <v>0</v>
      </c>
      <c r="BO930">
        <f>'Revenue drivers'!BO317</f>
        <v>0</v>
      </c>
      <c r="BP930">
        <f>'Revenue drivers'!BP317</f>
        <v>0</v>
      </c>
      <c r="BQ930">
        <f>'Revenue drivers'!BQ317</f>
        <v>0</v>
      </c>
      <c r="BR930">
        <f>'Revenue drivers'!BR317</f>
        <v>0</v>
      </c>
      <c r="BS930">
        <f>'Revenue drivers'!BS317</f>
        <v>0</v>
      </c>
      <c r="BT930">
        <f>'Revenue drivers'!BT317</f>
        <v>0</v>
      </c>
      <c r="BU930">
        <f>'Revenue drivers'!BU317</f>
        <v>0</v>
      </c>
      <c r="BV930">
        <f>'Revenue drivers'!BV317</f>
        <v>0</v>
      </c>
      <c r="BW930">
        <f>'Revenue drivers'!BW317</f>
        <v>0</v>
      </c>
      <c r="BX930">
        <f>'Revenue drivers'!BX317</f>
        <v>0</v>
      </c>
      <c r="BY930">
        <f>'Revenue drivers'!BY317</f>
        <v>0</v>
      </c>
    </row>
    <row r="931" spans="9:77" ht="11.25" customHeight="1">
      <c r="I931" t="str">
        <f>'Revenue drivers'!I318</f>
        <v>Average monthly unique visitor breakout by source</v>
      </c>
      <c r="J931">
        <f>'Revenue drivers'!J318</f>
        <v>0</v>
      </c>
      <c r="K931">
        <f>'Revenue drivers'!K318</f>
        <v>0</v>
      </c>
      <c r="L931">
        <f>'Revenue drivers'!L318</f>
        <v>0</v>
      </c>
      <c r="M931">
        <f>'Revenue drivers'!M318</f>
        <v>0</v>
      </c>
      <c r="N931">
        <f>'Revenue drivers'!N318</f>
        <v>0</v>
      </c>
      <c r="O931">
        <f>'Revenue drivers'!O318</f>
        <v>0</v>
      </c>
      <c r="P931">
        <f>'Revenue drivers'!P318</f>
        <v>0</v>
      </c>
      <c r="Q931">
        <f>'Revenue drivers'!Q318</f>
        <v>0</v>
      </c>
      <c r="R931">
        <f>'Revenue drivers'!R318</f>
        <v>0</v>
      </c>
      <c r="S931">
        <f>'Revenue drivers'!S318</f>
        <v>0</v>
      </c>
      <c r="T931">
        <f>'Revenue drivers'!T318</f>
        <v>0</v>
      </c>
      <c r="U931">
        <f>'Revenue drivers'!U318</f>
        <v>0</v>
      </c>
      <c r="V931">
        <f>'Revenue drivers'!V318</f>
        <v>0</v>
      </c>
      <c r="W931">
        <f>'Revenue drivers'!W318</f>
        <v>0</v>
      </c>
      <c r="X931">
        <f>'Revenue drivers'!X318</f>
        <v>0</v>
      </c>
      <c r="Y931">
        <f>'Revenue drivers'!Y318</f>
        <v>0</v>
      </c>
      <c r="Z931">
        <f>'Revenue drivers'!Z318</f>
        <v>0</v>
      </c>
      <c r="AA931">
        <f>'Revenue drivers'!AA318</f>
        <v>0</v>
      </c>
      <c r="AB931">
        <f>'Revenue drivers'!AB318</f>
        <v>0</v>
      </c>
      <c r="AC931">
        <f>'Revenue drivers'!AC318</f>
        <v>0</v>
      </c>
      <c r="AD931">
        <f>'Revenue drivers'!AD318</f>
        <v>0</v>
      </c>
      <c r="AE931">
        <f>'Revenue drivers'!AE318</f>
        <v>0</v>
      </c>
      <c r="AF931">
        <f>'Revenue drivers'!AF318</f>
        <v>0</v>
      </c>
      <c r="AG931">
        <f>'Revenue drivers'!AG318</f>
        <v>0</v>
      </c>
      <c r="AH931">
        <f>'Revenue drivers'!AH318</f>
        <v>0</v>
      </c>
      <c r="AI931">
        <f>'Revenue drivers'!AI318</f>
        <v>0</v>
      </c>
      <c r="AJ931">
        <f>'Revenue drivers'!AJ318</f>
        <v>0</v>
      </c>
      <c r="AK931">
        <f>'Revenue drivers'!AK318</f>
        <v>0</v>
      </c>
      <c r="AL931">
        <f>'Revenue drivers'!AL318</f>
        <v>0</v>
      </c>
      <c r="AM931">
        <f>'Revenue drivers'!AM318</f>
        <v>0</v>
      </c>
      <c r="AN931">
        <f>'Revenue drivers'!AN318</f>
        <v>0</v>
      </c>
      <c r="AO931">
        <f>'Revenue drivers'!AO318</f>
        <v>0</v>
      </c>
      <c r="AP931">
        <f>'Revenue drivers'!AP318</f>
        <v>0</v>
      </c>
      <c r="AQ931">
        <f>'Revenue drivers'!AQ318</f>
        <v>0</v>
      </c>
      <c r="AR931">
        <f>'Revenue drivers'!AR318</f>
        <v>0</v>
      </c>
      <c r="AS931">
        <f>'Revenue drivers'!AS318</f>
        <v>0</v>
      </c>
      <c r="AT931">
        <f>'Revenue drivers'!AT318</f>
        <v>0</v>
      </c>
      <c r="AU931">
        <f>'Revenue drivers'!AU318</f>
        <v>0</v>
      </c>
      <c r="AV931">
        <f>'Revenue drivers'!AV318</f>
        <v>0</v>
      </c>
      <c r="AW931">
        <f>'Revenue drivers'!AW318</f>
        <v>0</v>
      </c>
      <c r="AX931">
        <f>'Revenue drivers'!AX318</f>
        <v>0</v>
      </c>
      <c r="AY931">
        <f>'Revenue drivers'!AY318</f>
        <v>0</v>
      </c>
      <c r="AZ931">
        <f>'Revenue drivers'!AZ318</f>
        <v>0</v>
      </c>
      <c r="BA931">
        <f>'Revenue drivers'!BA318</f>
        <v>0</v>
      </c>
      <c r="BB931">
        <f>'Revenue drivers'!BB318</f>
        <v>0</v>
      </c>
      <c r="BC931">
        <f>'Revenue drivers'!BC318</f>
        <v>0</v>
      </c>
      <c r="BD931">
        <f>'Revenue drivers'!BD318</f>
        <v>0</v>
      </c>
      <c r="BE931">
        <f>'Revenue drivers'!BE318</f>
        <v>0</v>
      </c>
      <c r="BF931">
        <f>'Revenue drivers'!BF318</f>
        <v>0</v>
      </c>
      <c r="BG931">
        <f>'Revenue drivers'!BG318</f>
        <v>0</v>
      </c>
      <c r="BH931">
        <f>'Revenue drivers'!BH318</f>
        <v>0</v>
      </c>
      <c r="BI931">
        <f>'Revenue drivers'!BI318</f>
        <v>0</v>
      </c>
      <c r="BJ931">
        <f>'Revenue drivers'!BJ318</f>
        <v>0</v>
      </c>
      <c r="BK931">
        <f>'Revenue drivers'!BK318</f>
        <v>0</v>
      </c>
      <c r="BL931">
        <f>'Revenue drivers'!BL318</f>
        <v>0</v>
      </c>
      <c r="BM931">
        <f>'Revenue drivers'!BM318</f>
        <v>0</v>
      </c>
      <c r="BN931">
        <f>'Revenue drivers'!BN318</f>
        <v>0</v>
      </c>
      <c r="BO931">
        <f>'Revenue drivers'!BO318</f>
        <v>0</v>
      </c>
      <c r="BP931">
        <f>'Revenue drivers'!BP318</f>
        <v>0</v>
      </c>
      <c r="BQ931">
        <f>'Revenue drivers'!BQ318</f>
        <v>0</v>
      </c>
      <c r="BR931">
        <f>'Revenue drivers'!BR318</f>
        <v>0</v>
      </c>
      <c r="BS931">
        <f>'Revenue drivers'!BS318</f>
        <v>0</v>
      </c>
      <c r="BT931">
        <f>'Revenue drivers'!BT318</f>
        <v>0</v>
      </c>
      <c r="BU931">
        <f>'Revenue drivers'!BU318</f>
        <v>0</v>
      </c>
      <c r="BV931">
        <f>'Revenue drivers'!BV318</f>
        <v>0</v>
      </c>
      <c r="BW931">
        <f>'Revenue drivers'!BW318</f>
        <v>0</v>
      </c>
      <c r="BX931">
        <f>'Revenue drivers'!BX318</f>
        <v>0</v>
      </c>
      <c r="BY931">
        <f>'Revenue drivers'!BY318</f>
        <v>0</v>
      </c>
    </row>
    <row r="933" spans="9:77" ht="11.25" customHeight="1">
      <c r="I933" t="str">
        <f>'Revenue drivers'!I320</f>
        <v>Average monthly unique visitors</v>
      </c>
      <c r="J933">
        <f>'Revenue drivers'!J320</f>
        <v>0</v>
      </c>
      <c r="K933">
        <f>'Revenue drivers'!K320</f>
        <v>0</v>
      </c>
      <c r="L933">
        <f>'Revenue drivers'!L320</f>
        <v>0</v>
      </c>
      <c r="M933">
        <f>'Revenue drivers'!M320</f>
        <v>29.815000000000001</v>
      </c>
      <c r="N933">
        <f>'Revenue drivers'!N320</f>
        <v>32.537999999999997</v>
      </c>
      <c r="O933">
        <f>'Revenue drivers'!O320</f>
        <v>37.496000000000002</v>
      </c>
      <c r="P933">
        <f>'Revenue drivers'!P320</f>
        <v>39.356000000000002</v>
      </c>
      <c r="Q933">
        <f>'Revenue drivers'!Q320</f>
        <v>46.817</v>
      </c>
      <c r="R933">
        <f>'Revenue drivers'!R320</f>
        <v>51.56</v>
      </c>
      <c r="S933">
        <f>'Revenue drivers'!S320</f>
        <v>61.012</v>
      </c>
      <c r="T933">
        <f>'Revenue drivers'!T320</f>
        <v>65.796000000000006</v>
      </c>
      <c r="U933">
        <f>'Revenue drivers'!U320</f>
        <v>71.447999999999993</v>
      </c>
      <c r="V933">
        <f>'Revenue drivers'!V320</f>
        <v>78.328999999999994</v>
      </c>
      <c r="W933">
        <f>'Revenue drivers'!W320</f>
        <v>83.537999999999997</v>
      </c>
      <c r="X933">
        <f>'Revenue drivers'!X320</f>
        <v>86.3</v>
      </c>
      <c r="Y933">
        <f>'Revenue drivers'!Y320</f>
        <v>102.065</v>
      </c>
      <c r="Z933">
        <f>'Revenue drivers'!Z320</f>
        <v>108.05800000000001</v>
      </c>
      <c r="AA933">
        <f>'Revenue drivers'!AA320</f>
        <v>117.447</v>
      </c>
      <c r="AB933">
        <f>'Revenue drivers'!AB320</f>
        <v>120.005</v>
      </c>
      <c r="AC933">
        <f>'Revenue drivers'!AC320</f>
        <v>132.46</v>
      </c>
      <c r="AD933">
        <f>'Revenue drivers'!AD320</f>
        <v>137.761</v>
      </c>
      <c r="AE933">
        <f>'Revenue drivers'!AE320</f>
        <v>139.41800000000001</v>
      </c>
      <c r="AF933">
        <f>'Revenue drivers'!AF320</f>
        <v>135.39400000000001</v>
      </c>
      <c r="AG933">
        <f>'Revenue drivers'!AG320</f>
        <v>142.46600000000001</v>
      </c>
      <c r="AH933">
        <f>'Revenue drivers'!AH320</f>
        <v>143.88999999999999</v>
      </c>
      <c r="AI933">
        <f>'Revenue drivers'!AI320</f>
        <v>148.018</v>
      </c>
      <c r="AJ933">
        <f>'Revenue drivers'!AJ320</f>
        <v>140.46699999999998</v>
      </c>
      <c r="AK933">
        <f>'Revenue drivers'!AK320</f>
        <v>145.98400000000001</v>
      </c>
      <c r="AL933">
        <f>'Revenue drivers'!AL320</f>
        <v>142.733</v>
      </c>
      <c r="AM933">
        <f>'Revenue drivers'!AM320</f>
        <v>143.44900000000001</v>
      </c>
      <c r="AN933">
        <f>'Revenue drivers'!AN320</f>
        <v>133.239</v>
      </c>
      <c r="AO933">
        <f>'Revenue drivers'!AO320</f>
        <v>151.35899999999998</v>
      </c>
      <c r="AP933">
        <f>'Revenue drivers'!AP320</f>
        <v>157.09899999999999</v>
      </c>
      <c r="AQ933">
        <f>'Revenue drivers'!AQ320</f>
        <v>157.1</v>
      </c>
      <c r="AR933">
        <f>'Revenue drivers'!AR320</f>
        <v>140.96899999999999</v>
      </c>
      <c r="AS933">
        <f>'Revenue drivers'!AS320</f>
        <v>145.87475000000001</v>
      </c>
      <c r="AT933">
        <f>'Revenue drivers'!AT320</f>
        <v>144.98339999999999</v>
      </c>
      <c r="AU933">
        <f>'Revenue drivers'!AU320</f>
        <v>142.82809999999998</v>
      </c>
      <c r="AV933">
        <f>'Revenue drivers'!AV320</f>
        <v>130.31469999999999</v>
      </c>
      <c r="AW933">
        <f>'Revenue drivers'!AW320</f>
        <v>134.99708749999996</v>
      </c>
      <c r="AX933">
        <f>'Revenue drivers'!AX320</f>
        <v>134.71443999999997</v>
      </c>
      <c r="AY933">
        <f>'Revenue drivers'!AY320</f>
        <v>133.35743499999998</v>
      </c>
      <c r="AZ933">
        <f>'Revenue drivers'!AZ320</f>
        <v>123.196045</v>
      </c>
      <c r="BA933">
        <f>'Revenue drivers'!BA320</f>
        <v>126.83857437499999</v>
      </c>
      <c r="BB933">
        <f>'Revenue drivers'!BB320</f>
        <v>126.22332399999999</v>
      </c>
      <c r="BC933">
        <f>'Revenue drivers'!BC320</f>
        <v>124.69486974999998</v>
      </c>
      <c r="BD933">
        <f>'Revenue drivers'!BD320</f>
        <v>115.68268825</v>
      </c>
      <c r="BE933">
        <f>'Revenue drivers'!BE320</f>
        <v>0</v>
      </c>
      <c r="BF933">
        <f>'Revenue drivers'!BF320</f>
        <v>1.8080000000000001</v>
      </c>
      <c r="BG933">
        <f>'Revenue drivers'!BG320</f>
        <v>5.7169999999999996</v>
      </c>
      <c r="BH933">
        <f>'Revenue drivers'!BH320</f>
        <v>15.736000000000001</v>
      </c>
      <c r="BI933">
        <f>'Revenue drivers'!BI320</f>
        <v>26.077000000000002</v>
      </c>
      <c r="BJ933">
        <f>'Revenue drivers'!BJ320</f>
        <v>39.356000000000002</v>
      </c>
      <c r="BK933">
        <f>'Revenue drivers'!BK320</f>
        <v>65.796000000000006</v>
      </c>
      <c r="BL933">
        <f>'Revenue drivers'!BL320</f>
        <v>86.3</v>
      </c>
      <c r="BM933">
        <f>'Revenue drivers'!BM320</f>
        <v>120.005</v>
      </c>
      <c r="BN933">
        <f>'Revenue drivers'!BN320</f>
        <v>135.39400000000001</v>
      </c>
      <c r="BO933">
        <f>'Revenue drivers'!BO320</f>
        <v>140.46699999999998</v>
      </c>
      <c r="BP933">
        <f>'Revenue drivers'!BP320</f>
        <v>133.239</v>
      </c>
      <c r="BQ933">
        <f>'Revenue drivers'!BQ320</f>
        <v>140.96899999999999</v>
      </c>
      <c r="BR933">
        <f>'Revenue drivers'!BR320</f>
        <v>130.31469999999999</v>
      </c>
      <c r="BS933">
        <f>'Revenue drivers'!BS320</f>
        <v>123.196045</v>
      </c>
      <c r="BT933">
        <f>'Revenue drivers'!BT320</f>
        <v>115.68268825</v>
      </c>
      <c r="BU933">
        <f>'Revenue drivers'!BU320</f>
        <v>107.445667175</v>
      </c>
      <c r="BV933">
        <f>'Revenue drivers'!BV320</f>
        <v>97.507348207500002</v>
      </c>
      <c r="BW933">
        <f>'Revenue drivers'!BW320</f>
        <v>86.887861136750004</v>
      </c>
      <c r="BX933">
        <f>'Revenue drivers'!BX320</f>
        <v>75.605322773075002</v>
      </c>
      <c r="BY933">
        <f>'Revenue drivers'!BY320</f>
        <v>63.676038245767501</v>
      </c>
    </row>
    <row r="934" spans="9:77" ht="11.25" customHeight="1">
      <c r="I934" t="str">
        <f>'Revenue drivers'!I321</f>
        <v>% change Y/Y</v>
      </c>
      <c r="J934">
        <f>'Revenue drivers'!J321</f>
        <v>0</v>
      </c>
      <c r="K934">
        <f>'Revenue drivers'!K321</f>
        <v>0</v>
      </c>
      <c r="L934">
        <f>'Revenue drivers'!L321</f>
        <v>0</v>
      </c>
      <c r="M934">
        <f>'Revenue drivers'!M321</f>
        <v>0</v>
      </c>
      <c r="N934">
        <f>'Revenue drivers'!N321</f>
        <v>0</v>
      </c>
      <c r="O934">
        <f>'Revenue drivers'!O321</f>
        <v>0</v>
      </c>
      <c r="P934">
        <f>'Revenue drivers'!P321</f>
        <v>0</v>
      </c>
      <c r="Q934">
        <f>'Revenue drivers'!Q321</f>
        <v>0.57024987422438356</v>
      </c>
      <c r="R934">
        <f>'Revenue drivers'!R321</f>
        <v>0.58460876513614868</v>
      </c>
      <c r="S934">
        <f>'Revenue drivers'!S321</f>
        <v>0.62716023042457847</v>
      </c>
      <c r="T934">
        <f>'Revenue drivers'!T321</f>
        <v>0.67181624148795627</v>
      </c>
      <c r="U934">
        <f>'Revenue drivers'!U321</f>
        <v>0.52611230963111666</v>
      </c>
      <c r="V934">
        <f>'Revenue drivers'!V321</f>
        <v>0.51918153607447604</v>
      </c>
      <c r="W934">
        <f>'Revenue drivers'!W321</f>
        <v>0.36920605782469007</v>
      </c>
      <c r="X934">
        <f>'Revenue drivers'!X321</f>
        <v>0.31162988631527733</v>
      </c>
      <c r="Y934">
        <f>'Revenue drivers'!Y321</f>
        <v>0.42852144216773058</v>
      </c>
      <c r="Z934">
        <f>'Revenue drivers'!Z321</f>
        <v>0.37954014477396636</v>
      </c>
      <c r="AA934">
        <f>'Revenue drivers'!AA321</f>
        <v>0.40591108238167073</v>
      </c>
      <c r="AB934">
        <f>'Revenue drivers'!AB321</f>
        <v>0.39055619930475083</v>
      </c>
      <c r="AC934">
        <f>'Revenue drivers'!AC321</f>
        <v>0.29780042130015194</v>
      </c>
      <c r="AD934">
        <f>'Revenue drivers'!AD321</f>
        <v>0.27488015695274748</v>
      </c>
      <c r="AE934">
        <f>'Revenue drivers'!AE321</f>
        <v>0.18707161528178662</v>
      </c>
      <c r="AF934">
        <f>'Revenue drivers'!AF321</f>
        <v>0.12823632348652159</v>
      </c>
      <c r="AG934">
        <f>'Revenue drivers'!AG321</f>
        <v>7.5539785595651443E-2</v>
      </c>
      <c r="AH934">
        <f>'Revenue drivers'!AH321</f>
        <v>4.4490095164814392E-2</v>
      </c>
      <c r="AI934">
        <f>'Revenue drivers'!AI321</f>
        <v>6.1685004805692278E-2</v>
      </c>
      <c r="AJ934">
        <f>'Revenue drivers'!AJ321</f>
        <v>3.746842548414242E-2</v>
      </c>
      <c r="AK934">
        <f>'Revenue drivers'!AK321</f>
        <v>2.4693611107211577E-2</v>
      </c>
      <c r="AL934">
        <f>'Revenue drivers'!AL321</f>
        <v>-8.040864549308413E-3</v>
      </c>
      <c r="AM934">
        <f>'Revenue drivers'!AM321</f>
        <v>-3.0867867421529693E-2</v>
      </c>
      <c r="AN934">
        <f>'Revenue drivers'!AN321</f>
        <v>-5.1456925825994593E-2</v>
      </c>
      <c r="AO934">
        <f>'Revenue drivers'!AO321</f>
        <v>3.6819103463393121E-2</v>
      </c>
      <c r="AP934">
        <f>'Revenue drivers'!AP321</f>
        <v>0.10064946438455014</v>
      </c>
      <c r="AQ934">
        <f>'Revenue drivers'!AQ321</f>
        <v>9.5162740765010412E-2</v>
      </c>
      <c r="AR934">
        <f>'Revenue drivers'!AR321</f>
        <v>5.8016046352794559E-2</v>
      </c>
      <c r="AS934">
        <f>'Revenue drivers'!AS321</f>
        <v>-3.6233392133933062E-2</v>
      </c>
      <c r="AT934">
        <f>'Revenue drivers'!AT321</f>
        <v>-7.7120796440461103E-2</v>
      </c>
      <c r="AU934">
        <f>'Revenue drivers'!AU321</f>
        <v>-9.0845957988542447E-2</v>
      </c>
      <c r="AV934">
        <f>'Revenue drivers'!AV321</f>
        <v>-7.5579028013251226E-2</v>
      </c>
      <c r="AW934">
        <f>'Revenue drivers'!AW321</f>
        <v>-7.4568508257940702E-2</v>
      </c>
      <c r="AX934">
        <f>'Revenue drivers'!AX321</f>
        <v>-7.0828522437741293E-2</v>
      </c>
      <c r="AY934">
        <f>'Revenue drivers'!AY321</f>
        <v>-6.6308135443935767E-2</v>
      </c>
      <c r="AZ934">
        <f>'Revenue drivers'!AZ321</f>
        <v>-5.4626646111298194E-2</v>
      </c>
      <c r="BA934">
        <f>'Revenue drivers'!BA321</f>
        <v>-6.0434734378991495E-2</v>
      </c>
      <c r="BB934">
        <f>'Revenue drivers'!BB321</f>
        <v>-6.3030481364877988E-2</v>
      </c>
      <c r="BC934">
        <f>'Revenue drivers'!BC321</f>
        <v>-6.4957497495358951E-2</v>
      </c>
      <c r="BD934">
        <f>'Revenue drivers'!BD321</f>
        <v>-6.0986996376385272E-2</v>
      </c>
      <c r="BE934">
        <f>'Revenue drivers'!BE321</f>
        <v>0</v>
      </c>
      <c r="BF934">
        <f>'Revenue drivers'!BF321</f>
        <v>0</v>
      </c>
      <c r="BG934">
        <f>'Revenue drivers'!BG321</f>
        <v>2.1620575221238933</v>
      </c>
      <c r="BH934">
        <f>'Revenue drivers'!BH321</f>
        <v>1.7524925660311355</v>
      </c>
      <c r="BI934">
        <f>'Revenue drivers'!BI321</f>
        <v>0.65715556685307575</v>
      </c>
      <c r="BJ934">
        <f>'Revenue drivers'!BJ321</f>
        <v>0.50922268665874149</v>
      </c>
      <c r="BK934">
        <f>'Revenue drivers'!BK321</f>
        <v>0.67181624148795627</v>
      </c>
      <c r="BL934">
        <f>'Revenue drivers'!BL321</f>
        <v>0.31162988631527733</v>
      </c>
      <c r="BM934">
        <f>'Revenue drivers'!BM321</f>
        <v>0.39055619930475083</v>
      </c>
      <c r="BN934">
        <f>'Revenue drivers'!BN321</f>
        <v>0.12823632348652159</v>
      </c>
      <c r="BO934">
        <f>'Revenue drivers'!BO321</f>
        <v>3.746842548414242E-2</v>
      </c>
      <c r="BP934">
        <f>'Revenue drivers'!BP321</f>
        <v>-5.1456925825994593E-2</v>
      </c>
      <c r="BQ934">
        <f>'Revenue drivers'!BQ321</f>
        <v>5.8016046352794559E-2</v>
      </c>
      <c r="BR934">
        <f>'Revenue drivers'!BR321</f>
        <v>-7.5579028013251226E-2</v>
      </c>
      <c r="BS934">
        <f>'Revenue drivers'!BS321</f>
        <v>-5.4626646111298194E-2</v>
      </c>
      <c r="BT934">
        <f>'Revenue drivers'!BT321</f>
        <v>-6.0986996376385272E-2</v>
      </c>
      <c r="BU934">
        <f>'Revenue drivers'!BU321</f>
        <v>-7.120357591620885E-2</v>
      </c>
      <c r="BV934">
        <f>'Revenue drivers'!BV321</f>
        <v>-9.2496228361755639E-2</v>
      </c>
      <c r="BW934">
        <f>'Revenue drivers'!BW321</f>
        <v>-0.10890960800360661</v>
      </c>
      <c r="BX934">
        <f>'Revenue drivers'!BX321</f>
        <v>-0.12985172170273329</v>
      </c>
      <c r="BY934">
        <f>'Revenue drivers'!BY321</f>
        <v>-0.15778365979750608</v>
      </c>
    </row>
    <row r="935" spans="9:77" ht="11.25" customHeight="1">
      <c r="I935" t="str">
        <f>'Revenue drivers'!I322</f>
        <v>% change Q/Q</v>
      </c>
      <c r="J935">
        <f>'Revenue drivers'!J322</f>
        <v>0</v>
      </c>
      <c r="K935">
        <f>'Revenue drivers'!K322</f>
        <v>0</v>
      </c>
      <c r="L935">
        <f>'Revenue drivers'!L322</f>
        <v>0</v>
      </c>
      <c r="M935" t="str">
        <f>'Revenue drivers'!M322</f>
        <v>NA</v>
      </c>
      <c r="N935">
        <f>'Revenue drivers'!N322</f>
        <v>9.1329867516350749E-2</v>
      </c>
      <c r="O935">
        <f>'Revenue drivers'!O322</f>
        <v>0.15237568381584632</v>
      </c>
      <c r="P935">
        <f>'Revenue drivers'!P322</f>
        <v>4.9605291231064719E-2</v>
      </c>
      <c r="Q935">
        <f>'Revenue drivers'!Q322</f>
        <v>0.18957719280414675</v>
      </c>
      <c r="R935">
        <f>'Revenue drivers'!R322</f>
        <v>0.10130935343998981</v>
      </c>
      <c r="S935">
        <f>'Revenue drivers'!S322</f>
        <v>0.18332040341349876</v>
      </c>
      <c r="T935">
        <f>'Revenue drivers'!T322</f>
        <v>7.8410804431915171E-2</v>
      </c>
      <c r="U935">
        <f>'Revenue drivers'!U322</f>
        <v>8.5901878533649167E-2</v>
      </c>
      <c r="V935">
        <f>'Revenue drivers'!V322</f>
        <v>9.6307804277236508E-2</v>
      </c>
      <c r="W935">
        <f>'Revenue drivers'!W322</f>
        <v>6.6501551149638072E-2</v>
      </c>
      <c r="X935">
        <f>'Revenue drivers'!X322</f>
        <v>3.3062797768680152E-2</v>
      </c>
      <c r="Y935">
        <f>'Revenue drivers'!Y322</f>
        <v>0.18267670915411349</v>
      </c>
      <c r="Z935">
        <f>'Revenue drivers'!Z322</f>
        <v>5.8717483956302496E-2</v>
      </c>
      <c r="AA935">
        <f>'Revenue drivers'!AA322</f>
        <v>8.6888522830331771E-2</v>
      </c>
      <c r="AB935">
        <f>'Revenue drivers'!AB322</f>
        <v>2.1780036952838255E-2</v>
      </c>
      <c r="AC935">
        <f>'Revenue drivers'!AC322</f>
        <v>0.10378734219407537</v>
      </c>
      <c r="AD935">
        <f>'Revenue drivers'!AD322</f>
        <v>4.0019628567114607E-2</v>
      </c>
      <c r="AE935">
        <f>'Revenue drivers'!AE322</f>
        <v>1.2028077612677102E-2</v>
      </c>
      <c r="AF935">
        <f>'Revenue drivers'!AF322</f>
        <v>-2.886284410908202E-2</v>
      </c>
      <c r="AG935">
        <f>'Revenue drivers'!AG322</f>
        <v>5.2232742957590395E-2</v>
      </c>
      <c r="AH935">
        <f>'Revenue drivers'!AH322</f>
        <v>9.9953673157102685E-3</v>
      </c>
      <c r="AI935">
        <f>'Revenue drivers'!AI322</f>
        <v>2.8688581555354808E-2</v>
      </c>
      <c r="AJ935">
        <f>'Revenue drivers'!AJ322</f>
        <v>-5.1014065856855306E-2</v>
      </c>
      <c r="AK935">
        <f>'Revenue drivers'!AK322</f>
        <v>3.9276128912840935E-2</v>
      </c>
      <c r="AL935">
        <f>'Revenue drivers'!AL322</f>
        <v>-2.2269563787812419E-2</v>
      </c>
      <c r="AM935">
        <f>'Revenue drivers'!AM322</f>
        <v>5.0163592161589499E-3</v>
      </c>
      <c r="AN935">
        <f>'Revenue drivers'!AN322</f>
        <v>-7.1175121471742653E-2</v>
      </c>
      <c r="AO935">
        <f>'Revenue drivers'!AO322</f>
        <v>0.13599621732375633</v>
      </c>
      <c r="AP935">
        <f>'Revenue drivers'!AP322</f>
        <v>3.7923083529886048E-2</v>
      </c>
      <c r="AQ935">
        <f>'Revenue drivers'!AQ322</f>
        <v>6.3654128925616504E-6</v>
      </c>
      <c r="AR935">
        <f>'Revenue drivers'!AR322</f>
        <v>-0.10267982176957358</v>
      </c>
      <c r="AS935">
        <f>'Revenue drivers'!AS322</f>
        <v>3.4800204300236226E-2</v>
      </c>
      <c r="AT935">
        <f>'Revenue drivers'!AT322</f>
        <v>-6.1103789380959617E-3</v>
      </c>
      <c r="AU935">
        <f>'Revenue drivers'!AU322</f>
        <v>-1.4865839813385628E-2</v>
      </c>
      <c r="AV935">
        <f>'Revenue drivers'!AV322</f>
        <v>-8.7611611440605808E-2</v>
      </c>
      <c r="AW935">
        <f>'Revenue drivers'!AW322</f>
        <v>3.593138379630223E-2</v>
      </c>
      <c r="AX935">
        <f>'Revenue drivers'!AX322</f>
        <v>-2.0937303554788844E-3</v>
      </c>
      <c r="AY935">
        <f>'Revenue drivers'!AY322</f>
        <v>-1.0073196310655286E-2</v>
      </c>
      <c r="AZ935">
        <f>'Revenue drivers'!AZ322</f>
        <v>-7.6196651502782653E-2</v>
      </c>
      <c r="BA935">
        <f>'Revenue drivers'!BA322</f>
        <v>2.956693435247848E-2</v>
      </c>
      <c r="BB935">
        <f>'Revenue drivers'!BB322</f>
        <v>-4.8506566557663389E-3</v>
      </c>
      <c r="BC935">
        <f>'Revenue drivers'!BC322</f>
        <v>-1.2109126915402779E-2</v>
      </c>
      <c r="BD935">
        <f>'Revenue drivers'!BD322</f>
        <v>-7.2273875565758705E-2</v>
      </c>
      <c r="BE935">
        <f>'Revenue drivers'!BE322</f>
        <v>0</v>
      </c>
      <c r="BF935">
        <f>'Revenue drivers'!BF322</f>
        <v>0</v>
      </c>
      <c r="BG935">
        <f>'Revenue drivers'!BG322</f>
        <v>0</v>
      </c>
      <c r="BH935">
        <f>'Revenue drivers'!BH322</f>
        <v>0</v>
      </c>
      <c r="BI935">
        <f>'Revenue drivers'!BI322</f>
        <v>0</v>
      </c>
      <c r="BJ935">
        <f>'Revenue drivers'!BJ322</f>
        <v>0</v>
      </c>
      <c r="BK935">
        <f>'Revenue drivers'!BK322</f>
        <v>0</v>
      </c>
      <c r="BL935">
        <f>'Revenue drivers'!BL322</f>
        <v>0</v>
      </c>
      <c r="BM935">
        <f>'Revenue drivers'!BM322</f>
        <v>0</v>
      </c>
      <c r="BN935">
        <f>'Revenue drivers'!BN322</f>
        <v>0</v>
      </c>
      <c r="BO935">
        <f>'Revenue drivers'!BO322</f>
        <v>0</v>
      </c>
      <c r="BP935">
        <f>'Revenue drivers'!BP322</f>
        <v>0</v>
      </c>
      <c r="BQ935">
        <f>'Revenue drivers'!BQ322</f>
        <v>0</v>
      </c>
      <c r="BR935">
        <f>'Revenue drivers'!BR322</f>
        <v>0</v>
      </c>
      <c r="BS935">
        <f>'Revenue drivers'!BS322</f>
        <v>0</v>
      </c>
      <c r="BT935">
        <f>'Revenue drivers'!BT322</f>
        <v>0</v>
      </c>
      <c r="BU935">
        <f>'Revenue drivers'!BU322</f>
        <v>0</v>
      </c>
      <c r="BV935">
        <f>'Revenue drivers'!BV322</f>
        <v>0</v>
      </c>
      <c r="BW935">
        <f>'Revenue drivers'!BW322</f>
        <v>0</v>
      </c>
      <c r="BX935">
        <f>'Revenue drivers'!BX322</f>
        <v>0</v>
      </c>
      <c r="BY935">
        <f>'Revenue drivers'!BY322</f>
        <v>0</v>
      </c>
    </row>
    <row r="936" spans="9:77" ht="11.25" customHeight="1">
      <c r="I936" t="str">
        <f>'Revenue drivers'!I323</f>
        <v>Y/Y Abs Growth</v>
      </c>
      <c r="J936">
        <f>'Revenue drivers'!J323</f>
        <v>0</v>
      </c>
      <c r="K936">
        <f>'Revenue drivers'!K323</f>
        <v>0</v>
      </c>
      <c r="L936">
        <f>'Revenue drivers'!L323</f>
        <v>0</v>
      </c>
      <c r="M936">
        <f>'Revenue drivers'!M323</f>
        <v>0</v>
      </c>
      <c r="N936">
        <f>'Revenue drivers'!N323</f>
        <v>0</v>
      </c>
      <c r="O936">
        <f>'Revenue drivers'!O323</f>
        <v>0</v>
      </c>
      <c r="P936">
        <f>'Revenue drivers'!P323</f>
        <v>0</v>
      </c>
      <c r="Q936">
        <f>'Revenue drivers'!Q323</f>
        <v>17.001999999999999</v>
      </c>
      <c r="R936">
        <f>'Revenue drivers'!R323</f>
        <v>19.022000000000006</v>
      </c>
      <c r="S936">
        <f>'Revenue drivers'!S323</f>
        <v>23.515999999999998</v>
      </c>
      <c r="T936">
        <f>'Revenue drivers'!T323</f>
        <v>26.440000000000005</v>
      </c>
      <c r="U936">
        <f>'Revenue drivers'!U323</f>
        <v>24.630999999999993</v>
      </c>
      <c r="V936">
        <f>'Revenue drivers'!V323</f>
        <v>26.768999999999991</v>
      </c>
      <c r="W936">
        <f>'Revenue drivers'!W323</f>
        <v>22.525999999999996</v>
      </c>
      <c r="X936">
        <f>'Revenue drivers'!X323</f>
        <v>20.503999999999991</v>
      </c>
      <c r="Y936">
        <f>'Revenue drivers'!Y323</f>
        <v>30.617000000000004</v>
      </c>
      <c r="Z936">
        <f>'Revenue drivers'!Z323</f>
        <v>29.729000000000013</v>
      </c>
      <c r="AA936">
        <f>'Revenue drivers'!AA323</f>
        <v>33.909000000000006</v>
      </c>
      <c r="AB936">
        <f>'Revenue drivers'!AB323</f>
        <v>33.704999999999998</v>
      </c>
      <c r="AC936">
        <f>'Revenue drivers'!AC323</f>
        <v>30.39500000000001</v>
      </c>
      <c r="AD936">
        <f>'Revenue drivers'!AD323</f>
        <v>29.702999999999989</v>
      </c>
      <c r="AE936">
        <f>'Revenue drivers'!AE323</f>
        <v>21.971000000000004</v>
      </c>
      <c r="AF936">
        <f>'Revenue drivers'!AF323</f>
        <v>15.38900000000001</v>
      </c>
      <c r="AG936">
        <f>'Revenue drivers'!AG323</f>
        <v>10.006</v>
      </c>
      <c r="AH936">
        <f>'Revenue drivers'!AH323</f>
        <v>6.1289999999999907</v>
      </c>
      <c r="AI936">
        <f>'Revenue drivers'!AI323</f>
        <v>8.5999999999999943</v>
      </c>
      <c r="AJ936">
        <f>'Revenue drivers'!AJ323</f>
        <v>5.0729999999999791</v>
      </c>
      <c r="AK936">
        <f>'Revenue drivers'!AK323</f>
        <v>3.5180000000000007</v>
      </c>
      <c r="AL936">
        <f>'Revenue drivers'!AL323</f>
        <v>-1.1569999999999823</v>
      </c>
      <c r="AM936">
        <f>'Revenue drivers'!AM323</f>
        <v>-4.5689999999999884</v>
      </c>
      <c r="AN936">
        <f>'Revenue drivers'!AN323</f>
        <v>-7.2279999999999802</v>
      </c>
      <c r="AO936">
        <f>'Revenue drivers'!AO323</f>
        <v>5.3749999999999716</v>
      </c>
      <c r="AP936">
        <f>'Revenue drivers'!AP323</f>
        <v>14.365999999999985</v>
      </c>
      <c r="AQ936">
        <f>'Revenue drivers'!AQ323</f>
        <v>13.650999999999982</v>
      </c>
      <c r="AR936">
        <f>'Revenue drivers'!AR323</f>
        <v>7.7299999999999898</v>
      </c>
      <c r="AS936">
        <f>'Revenue drivers'!AS323</f>
        <v>-5.4842499999999745</v>
      </c>
      <c r="AT936">
        <f>'Revenue drivers'!AT323</f>
        <v>-12.115600000000001</v>
      </c>
      <c r="AU936">
        <f>'Revenue drivers'!AU323</f>
        <v>-14.271900000000016</v>
      </c>
      <c r="AV936">
        <f>'Revenue drivers'!AV323</f>
        <v>-10.654300000000006</v>
      </c>
      <c r="AW936">
        <f>'Revenue drivers'!AW323</f>
        <v>-10.877662500000042</v>
      </c>
      <c r="AX936">
        <f>'Revenue drivers'!AX323</f>
        <v>-10.268960000000021</v>
      </c>
      <c r="AY936">
        <f>'Revenue drivers'!AY323</f>
        <v>-9.4706649999999968</v>
      </c>
      <c r="AZ936">
        <f>'Revenue drivers'!AZ323</f>
        <v>-7.1186549999999897</v>
      </c>
      <c r="BA936">
        <f>'Revenue drivers'!BA323</f>
        <v>-8.1585131249999705</v>
      </c>
      <c r="BB936">
        <f>'Revenue drivers'!BB323</f>
        <v>-8.4911159999999768</v>
      </c>
      <c r="BC936">
        <f>'Revenue drivers'!BC323</f>
        <v>-8.6625652500000001</v>
      </c>
      <c r="BD936">
        <f>'Revenue drivers'!BD323</f>
        <v>-7.5133567499999998</v>
      </c>
      <c r="BE936">
        <f>'Revenue drivers'!BE323</f>
        <v>0</v>
      </c>
      <c r="BF936">
        <f>'Revenue drivers'!BF323</f>
        <v>0</v>
      </c>
      <c r="BG936">
        <f>'Revenue drivers'!BG323</f>
        <v>3.9089999999999998</v>
      </c>
      <c r="BH936">
        <f>'Revenue drivers'!BH323</f>
        <v>10.019000000000002</v>
      </c>
      <c r="BI936">
        <f>'Revenue drivers'!BI323</f>
        <v>10.341000000000001</v>
      </c>
      <c r="BJ936">
        <f>'Revenue drivers'!BJ323</f>
        <v>13.279</v>
      </c>
      <c r="BK936">
        <f>'Revenue drivers'!BK323</f>
        <v>26.440000000000005</v>
      </c>
      <c r="BL936">
        <f>'Revenue drivers'!BL323</f>
        <v>20.503999999999991</v>
      </c>
      <c r="BM936">
        <f>'Revenue drivers'!BM323</f>
        <v>33.704999999999998</v>
      </c>
      <c r="BN936">
        <f>'Revenue drivers'!BN323</f>
        <v>15.38900000000001</v>
      </c>
      <c r="BO936">
        <f>'Revenue drivers'!BO323</f>
        <v>5.0729999999999791</v>
      </c>
      <c r="BP936">
        <f>'Revenue drivers'!BP323</f>
        <v>-7.2279999999999802</v>
      </c>
      <c r="BQ936">
        <f>'Revenue drivers'!BQ323</f>
        <v>7.7299999999999898</v>
      </c>
      <c r="BR936">
        <f>'Revenue drivers'!BR323</f>
        <v>-10.654300000000006</v>
      </c>
      <c r="BS936">
        <f>'Revenue drivers'!BS323</f>
        <v>-7.1186549999999897</v>
      </c>
      <c r="BT936">
        <f>'Revenue drivers'!BT323</f>
        <v>-7.5133567499999998</v>
      </c>
      <c r="BU936">
        <f>'Revenue drivers'!BU323</f>
        <v>-8.2370210750000012</v>
      </c>
      <c r="BV936">
        <f>'Revenue drivers'!BV323</f>
        <v>-9.9383189674999954</v>
      </c>
      <c r="BW936">
        <f>'Revenue drivers'!BW323</f>
        <v>-10.619487070749997</v>
      </c>
      <c r="BX936">
        <f>'Revenue drivers'!BX323</f>
        <v>-11.282538363675002</v>
      </c>
      <c r="BY936">
        <f>'Revenue drivers'!BY323</f>
        <v>-11.929284527307502</v>
      </c>
    </row>
    <row r="937" spans="9:77" ht="11.25" customHeight="1">
      <c r="I937" t="str">
        <f>'Revenue drivers'!I324</f>
        <v>Q/Q Abs Growth</v>
      </c>
      <c r="J937">
        <f>'Revenue drivers'!J324</f>
        <v>0</v>
      </c>
      <c r="K937">
        <f>'Revenue drivers'!K324</f>
        <v>0</v>
      </c>
      <c r="L937">
        <f>'Revenue drivers'!L324</f>
        <v>0</v>
      </c>
      <c r="M937">
        <f>'Revenue drivers'!M324</f>
        <v>0</v>
      </c>
      <c r="N937">
        <f>'Revenue drivers'!N324</f>
        <v>2.7229999999999954</v>
      </c>
      <c r="O937">
        <f>'Revenue drivers'!O324</f>
        <v>4.9580000000000055</v>
      </c>
      <c r="P937">
        <f>'Revenue drivers'!P324</f>
        <v>1.8599999999999994</v>
      </c>
      <c r="Q937">
        <f>'Revenue drivers'!Q324</f>
        <v>7.4609999999999985</v>
      </c>
      <c r="R937">
        <f>'Revenue drivers'!R324</f>
        <v>4.7430000000000021</v>
      </c>
      <c r="S937">
        <f>'Revenue drivers'!S324</f>
        <v>9.4519999999999982</v>
      </c>
      <c r="T937">
        <f>'Revenue drivers'!T324</f>
        <v>4.784000000000006</v>
      </c>
      <c r="U937">
        <f>'Revenue drivers'!U324</f>
        <v>5.6519999999999868</v>
      </c>
      <c r="V937">
        <f>'Revenue drivers'!V324</f>
        <v>6.8810000000000002</v>
      </c>
      <c r="W937">
        <f>'Revenue drivers'!W324</f>
        <v>5.2090000000000032</v>
      </c>
      <c r="X937">
        <f>'Revenue drivers'!X324</f>
        <v>2.7620000000000005</v>
      </c>
      <c r="Y937">
        <f>'Revenue drivers'!Y324</f>
        <v>15.765000000000001</v>
      </c>
      <c r="Z937">
        <f>'Revenue drivers'!Z324</f>
        <v>5.9930000000000092</v>
      </c>
      <c r="AA937">
        <f>'Revenue drivers'!AA324</f>
        <v>9.3889999999999958</v>
      </c>
      <c r="AB937">
        <f>'Revenue drivers'!AB324</f>
        <v>2.5579999999999927</v>
      </c>
      <c r="AC937">
        <f>'Revenue drivers'!AC324</f>
        <v>12.455000000000013</v>
      </c>
      <c r="AD937">
        <f>'Revenue drivers'!AD324</f>
        <v>5.3009999999999877</v>
      </c>
      <c r="AE937">
        <f>'Revenue drivers'!AE324</f>
        <v>1.6570000000000107</v>
      </c>
      <c r="AF937">
        <f>'Revenue drivers'!AF324</f>
        <v>-4.0240000000000009</v>
      </c>
      <c r="AG937">
        <f>'Revenue drivers'!AG324</f>
        <v>7.0720000000000027</v>
      </c>
      <c r="AH937">
        <f>'Revenue drivers'!AH324</f>
        <v>1.4239999999999782</v>
      </c>
      <c r="AI937">
        <f>'Revenue drivers'!AI324</f>
        <v>4.1280000000000143</v>
      </c>
      <c r="AJ937">
        <f>'Revenue drivers'!AJ324</f>
        <v>-7.5510000000000161</v>
      </c>
      <c r="AK937">
        <f>'Revenue drivers'!AK324</f>
        <v>5.5170000000000243</v>
      </c>
      <c r="AL937">
        <f>'Revenue drivers'!AL324</f>
        <v>-3.2510000000000048</v>
      </c>
      <c r="AM937">
        <f>'Revenue drivers'!AM324</f>
        <v>0.71600000000000819</v>
      </c>
      <c r="AN937">
        <f>'Revenue drivers'!AN324</f>
        <v>-10.210000000000008</v>
      </c>
      <c r="AO937">
        <f>'Revenue drivers'!AO324</f>
        <v>18.119999999999976</v>
      </c>
      <c r="AP937">
        <f>'Revenue drivers'!AP324</f>
        <v>5.7400000000000091</v>
      </c>
      <c r="AQ937">
        <f>'Revenue drivers'!AQ324</f>
        <v>1.0000000000047748E-3</v>
      </c>
      <c r="AR937">
        <f>'Revenue drivers'!AR324</f>
        <v>-16.131</v>
      </c>
      <c r="AS937">
        <f>'Revenue drivers'!AS324</f>
        <v>4.9057500000000118</v>
      </c>
      <c r="AT937">
        <f>'Revenue drivers'!AT324</f>
        <v>-0.89135000000001696</v>
      </c>
      <c r="AU937">
        <f>'Revenue drivers'!AU324</f>
        <v>-2.1553000000000111</v>
      </c>
      <c r="AV937">
        <f>'Revenue drivers'!AV324</f>
        <v>-12.51339999999999</v>
      </c>
      <c r="AW937">
        <f>'Revenue drivers'!AW324</f>
        <v>4.6823874999999759</v>
      </c>
      <c r="AX937">
        <f>'Revenue drivers'!AX324</f>
        <v>-0.28264749999999594</v>
      </c>
      <c r="AY937">
        <f>'Revenue drivers'!AY324</f>
        <v>-1.3570049999999867</v>
      </c>
      <c r="AZ937">
        <f>'Revenue drivers'!AZ324</f>
        <v>-10.161389999999983</v>
      </c>
      <c r="BA937">
        <f>'Revenue drivers'!BA324</f>
        <v>3.6425293749999952</v>
      </c>
      <c r="BB937">
        <f>'Revenue drivers'!BB324</f>
        <v>-0.61525037500000224</v>
      </c>
      <c r="BC937">
        <f>'Revenue drivers'!BC324</f>
        <v>-1.52845425000001</v>
      </c>
      <c r="BD937">
        <f>'Revenue drivers'!BD324</f>
        <v>-9.0121814999999827</v>
      </c>
      <c r="BE937">
        <f>'Revenue drivers'!BE324</f>
        <v>0</v>
      </c>
      <c r="BF937">
        <f>'Revenue drivers'!BF324</f>
        <v>0</v>
      </c>
      <c r="BG937">
        <f>'Revenue drivers'!BG324</f>
        <v>0</v>
      </c>
      <c r="BH937">
        <f>'Revenue drivers'!BH324</f>
        <v>0</v>
      </c>
      <c r="BI937">
        <f>'Revenue drivers'!BI324</f>
        <v>0</v>
      </c>
      <c r="BJ937">
        <f>'Revenue drivers'!BJ324</f>
        <v>0</v>
      </c>
      <c r="BK937">
        <f>'Revenue drivers'!BK324</f>
        <v>0</v>
      </c>
      <c r="BL937">
        <f>'Revenue drivers'!BL324</f>
        <v>0</v>
      </c>
      <c r="BM937">
        <f>'Revenue drivers'!BM324</f>
        <v>0</v>
      </c>
      <c r="BN937">
        <f>'Revenue drivers'!BN324</f>
        <v>0</v>
      </c>
      <c r="BO937">
        <f>'Revenue drivers'!BO324</f>
        <v>0</v>
      </c>
      <c r="BP937">
        <f>'Revenue drivers'!BP324</f>
        <v>0</v>
      </c>
      <c r="BQ937">
        <f>'Revenue drivers'!BQ324</f>
        <v>0</v>
      </c>
      <c r="BR937">
        <f>'Revenue drivers'!BR324</f>
        <v>0</v>
      </c>
      <c r="BS937">
        <f>'Revenue drivers'!BS324</f>
        <v>0</v>
      </c>
      <c r="BT937">
        <f>'Revenue drivers'!BT324</f>
        <v>0</v>
      </c>
      <c r="BU937">
        <f>'Revenue drivers'!BU324</f>
        <v>0</v>
      </c>
      <c r="BV937">
        <f>'Revenue drivers'!BV324</f>
        <v>0</v>
      </c>
      <c r="BW937">
        <f>'Revenue drivers'!BW324</f>
        <v>0</v>
      </c>
      <c r="BX937">
        <f>'Revenue drivers'!BX324</f>
        <v>0</v>
      </c>
      <c r="BY937">
        <f>'Revenue drivers'!BY324</f>
        <v>0</v>
      </c>
    </row>
    <row r="938" spans="9:77" ht="11.25" customHeight="1">
      <c r="I938">
        <f>'Revenue drivers'!I325</f>
        <v>0</v>
      </c>
      <c r="J938">
        <f>'Revenue drivers'!J325</f>
        <v>0</v>
      </c>
      <c r="K938">
        <f>'Revenue drivers'!K325</f>
        <v>0</v>
      </c>
      <c r="L938">
        <f>'Revenue drivers'!L325</f>
        <v>0</v>
      </c>
      <c r="M938">
        <f>'Revenue drivers'!M325</f>
        <v>0</v>
      </c>
      <c r="N938">
        <f>'Revenue drivers'!N325</f>
        <v>0</v>
      </c>
      <c r="O938">
        <f>'Revenue drivers'!O325</f>
        <v>0</v>
      </c>
      <c r="P938">
        <f>'Revenue drivers'!P325</f>
        <v>0</v>
      </c>
      <c r="Q938">
        <f>'Revenue drivers'!Q325</f>
        <v>0</v>
      </c>
      <c r="R938">
        <f>'Revenue drivers'!R325</f>
        <v>0</v>
      </c>
      <c r="S938">
        <f>'Revenue drivers'!S325</f>
        <v>0</v>
      </c>
      <c r="T938">
        <f>'Revenue drivers'!T325</f>
        <v>0</v>
      </c>
      <c r="U938">
        <f>'Revenue drivers'!U325</f>
        <v>0</v>
      </c>
      <c r="V938">
        <f>'Revenue drivers'!V325</f>
        <v>0</v>
      </c>
      <c r="W938">
        <f>'Revenue drivers'!W325</f>
        <v>0</v>
      </c>
      <c r="X938">
        <f>'Revenue drivers'!X325</f>
        <v>0</v>
      </c>
      <c r="Y938">
        <f>'Revenue drivers'!Y325</f>
        <v>0</v>
      </c>
      <c r="Z938">
        <f>'Revenue drivers'!Z325</f>
        <v>0</v>
      </c>
      <c r="AA938">
        <f>'Revenue drivers'!AA325</f>
        <v>0</v>
      </c>
      <c r="AB938">
        <f>'Revenue drivers'!AB325</f>
        <v>0</v>
      </c>
      <c r="AC938">
        <f>'Revenue drivers'!AC325</f>
        <v>0</v>
      </c>
      <c r="AD938">
        <f>'Revenue drivers'!AD325</f>
        <v>0</v>
      </c>
      <c r="AE938">
        <f>'Revenue drivers'!AE325</f>
        <v>0</v>
      </c>
      <c r="AF938">
        <f>'Revenue drivers'!AF325</f>
        <v>0</v>
      </c>
      <c r="AG938">
        <f>'Revenue drivers'!AG325</f>
        <v>0</v>
      </c>
      <c r="AH938">
        <f>'Revenue drivers'!AH325</f>
        <v>0</v>
      </c>
      <c r="AI938">
        <f>'Revenue drivers'!AI325</f>
        <v>0</v>
      </c>
      <c r="AJ938">
        <f>'Revenue drivers'!AJ325</f>
        <v>0</v>
      </c>
      <c r="AK938">
        <f>'Revenue drivers'!AK325</f>
        <v>0</v>
      </c>
      <c r="AL938">
        <f>'Revenue drivers'!AL325</f>
        <v>0</v>
      </c>
      <c r="AM938">
        <f>'Revenue drivers'!AM325</f>
        <v>0</v>
      </c>
      <c r="AN938">
        <f>'Revenue drivers'!AN325</f>
        <v>0</v>
      </c>
      <c r="AO938">
        <f>'Revenue drivers'!AO325</f>
        <v>0</v>
      </c>
      <c r="AP938">
        <f>'Revenue drivers'!AP325</f>
        <v>0</v>
      </c>
      <c r="AQ938">
        <f>'Revenue drivers'!AQ325</f>
        <v>0</v>
      </c>
      <c r="AR938">
        <f>'Revenue drivers'!AR325</f>
        <v>0</v>
      </c>
      <c r="AS938">
        <f>'Revenue drivers'!AS325</f>
        <v>0</v>
      </c>
      <c r="AT938">
        <f>'Revenue drivers'!AT325</f>
        <v>0</v>
      </c>
      <c r="AU938">
        <f>'Revenue drivers'!AU325</f>
        <v>0</v>
      </c>
      <c r="AV938">
        <f>'Revenue drivers'!AV325</f>
        <v>0</v>
      </c>
      <c r="AW938">
        <f>'Revenue drivers'!AW325</f>
        <v>0</v>
      </c>
      <c r="AX938">
        <f>'Revenue drivers'!AX325</f>
        <v>0</v>
      </c>
      <c r="AY938">
        <f>'Revenue drivers'!AY325</f>
        <v>0</v>
      </c>
      <c r="AZ938">
        <f>'Revenue drivers'!AZ325</f>
        <v>0</v>
      </c>
      <c r="BA938">
        <f>'Revenue drivers'!BA325</f>
        <v>0</v>
      </c>
      <c r="BB938">
        <f>'Revenue drivers'!BB325</f>
        <v>0</v>
      </c>
      <c r="BC938">
        <f>'Revenue drivers'!BC325</f>
        <v>0</v>
      </c>
      <c r="BD938">
        <f>'Revenue drivers'!BD325</f>
        <v>0</v>
      </c>
      <c r="BE938">
        <f>'Revenue drivers'!BE325</f>
        <v>0</v>
      </c>
      <c r="BF938">
        <f>'Revenue drivers'!BF325</f>
        <v>0</v>
      </c>
      <c r="BG938">
        <f>'Revenue drivers'!BG325</f>
        <v>0</v>
      </c>
      <c r="BH938">
        <f>'Revenue drivers'!BH325</f>
        <v>0</v>
      </c>
      <c r="BI938">
        <f>'Revenue drivers'!BI325</f>
        <v>0</v>
      </c>
      <c r="BJ938">
        <f>'Revenue drivers'!BJ325</f>
        <v>0</v>
      </c>
      <c r="BK938">
        <f>'Revenue drivers'!BK325</f>
        <v>0</v>
      </c>
      <c r="BL938">
        <f>'Revenue drivers'!BL325</f>
        <v>0</v>
      </c>
      <c r="BM938">
        <f>'Revenue drivers'!BM325</f>
        <v>0</v>
      </c>
      <c r="BN938">
        <f>'Revenue drivers'!BN325</f>
        <v>0</v>
      </c>
      <c r="BO938">
        <f>'Revenue drivers'!BO325</f>
        <v>0</v>
      </c>
      <c r="BP938">
        <f>'Revenue drivers'!BP325</f>
        <v>0</v>
      </c>
      <c r="BQ938">
        <f>'Revenue drivers'!BQ325</f>
        <v>0</v>
      </c>
      <c r="BR938">
        <f>'Revenue drivers'!BR325</f>
        <v>0</v>
      </c>
      <c r="BS938">
        <f>'Revenue drivers'!BS325</f>
        <v>0</v>
      </c>
      <c r="BT938">
        <f>'Revenue drivers'!BT325</f>
        <v>0</v>
      </c>
      <c r="BU938">
        <f>'Revenue drivers'!BU325</f>
        <v>0</v>
      </c>
      <c r="BV938">
        <f>'Revenue drivers'!BV325</f>
        <v>0</v>
      </c>
      <c r="BW938">
        <f>'Revenue drivers'!BW325</f>
        <v>0</v>
      </c>
      <c r="BX938">
        <f>'Revenue drivers'!BX325</f>
        <v>0</v>
      </c>
      <c r="BY938">
        <f>'Revenue drivers'!BY325</f>
        <v>0</v>
      </c>
    </row>
    <row r="939" spans="9:77" ht="11.25" customHeight="1">
      <c r="I939">
        <f>'Revenue drivers'!I332</f>
        <v>0</v>
      </c>
      <c r="J939">
        <f>'Revenue drivers'!J332</f>
        <v>0</v>
      </c>
      <c r="K939">
        <f>'Revenue drivers'!K332</f>
        <v>0</v>
      </c>
      <c r="L939">
        <f>'Revenue drivers'!L332</f>
        <v>0</v>
      </c>
      <c r="M939">
        <f>'Revenue drivers'!M332</f>
        <v>0</v>
      </c>
      <c r="N939">
        <f>'Revenue drivers'!N332</f>
        <v>0</v>
      </c>
      <c r="O939">
        <f>'Revenue drivers'!O332</f>
        <v>0</v>
      </c>
      <c r="P939">
        <f>'Revenue drivers'!P332</f>
        <v>0</v>
      </c>
      <c r="Q939">
        <f>'Revenue drivers'!Q332</f>
        <v>0</v>
      </c>
      <c r="R939">
        <f>'Revenue drivers'!R332</f>
        <v>0</v>
      </c>
      <c r="S939">
        <f>'Revenue drivers'!S332</f>
        <v>0</v>
      </c>
      <c r="T939">
        <f>'Revenue drivers'!T332</f>
        <v>0</v>
      </c>
      <c r="U939">
        <f>'Revenue drivers'!U332</f>
        <v>0</v>
      </c>
      <c r="V939">
        <f>'Revenue drivers'!V332</f>
        <v>0</v>
      </c>
      <c r="W939">
        <f>'Revenue drivers'!W332</f>
        <v>0</v>
      </c>
      <c r="X939">
        <f>'Revenue drivers'!X332</f>
        <v>0</v>
      </c>
      <c r="Y939">
        <f>'Revenue drivers'!Y332</f>
        <v>0</v>
      </c>
      <c r="Z939">
        <f>'Revenue drivers'!Z332</f>
        <v>0</v>
      </c>
      <c r="AA939">
        <f>'Revenue drivers'!AA332</f>
        <v>0</v>
      </c>
      <c r="AB939">
        <f>'Revenue drivers'!AB332</f>
        <v>0</v>
      </c>
      <c r="AC939">
        <f>'Revenue drivers'!AC332</f>
        <v>0</v>
      </c>
      <c r="AD939">
        <f>'Revenue drivers'!AD332</f>
        <v>0</v>
      </c>
      <c r="AE939">
        <f>'Revenue drivers'!AE332</f>
        <v>0</v>
      </c>
      <c r="AF939">
        <f>'Revenue drivers'!AF332</f>
        <v>0</v>
      </c>
      <c r="AG939">
        <f>'Revenue drivers'!AG332</f>
        <v>0</v>
      </c>
      <c r="AH939">
        <f>'Revenue drivers'!AH332</f>
        <v>0</v>
      </c>
      <c r="AI939">
        <f>'Revenue drivers'!AI332</f>
        <v>0</v>
      </c>
      <c r="AJ939">
        <f>'Revenue drivers'!AJ332</f>
        <v>0</v>
      </c>
      <c r="AK939">
        <f>'Revenue drivers'!AK332</f>
        <v>0</v>
      </c>
      <c r="AL939">
        <f>'Revenue drivers'!AL332</f>
        <v>0</v>
      </c>
      <c r="AM939">
        <f>'Revenue drivers'!AM332</f>
        <v>0</v>
      </c>
      <c r="AN939">
        <f>'Revenue drivers'!AN332</f>
        <v>0</v>
      </c>
      <c r="AO939">
        <f>'Revenue drivers'!AO332</f>
        <v>0</v>
      </c>
      <c r="AP939">
        <f>'Revenue drivers'!AP332</f>
        <v>0</v>
      </c>
      <c r="AQ939">
        <f>'Revenue drivers'!AQ332</f>
        <v>0</v>
      </c>
      <c r="AR939">
        <f>'Revenue drivers'!AR332</f>
        <v>0</v>
      </c>
      <c r="AS939">
        <f>'Revenue drivers'!AS332</f>
        <v>0</v>
      </c>
      <c r="AT939">
        <f>'Revenue drivers'!AT332</f>
        <v>0</v>
      </c>
      <c r="AU939">
        <f>'Revenue drivers'!AU332</f>
        <v>0</v>
      </c>
      <c r="AV939">
        <f>'Revenue drivers'!AV332</f>
        <v>0</v>
      </c>
      <c r="AW939">
        <f>'Revenue drivers'!AW332</f>
        <v>0</v>
      </c>
      <c r="AX939">
        <f>'Revenue drivers'!AX332</f>
        <v>0</v>
      </c>
      <c r="AY939">
        <f>'Revenue drivers'!AY332</f>
        <v>0</v>
      </c>
      <c r="AZ939">
        <f>'Revenue drivers'!AZ332</f>
        <v>0</v>
      </c>
      <c r="BA939">
        <f>'Revenue drivers'!BA332</f>
        <v>0</v>
      </c>
      <c r="BB939">
        <f>'Revenue drivers'!BB332</f>
        <v>0</v>
      </c>
      <c r="BC939">
        <f>'Revenue drivers'!BC332</f>
        <v>0</v>
      </c>
      <c r="BD939">
        <f>'Revenue drivers'!BD332</f>
        <v>0</v>
      </c>
      <c r="BE939">
        <f>'Revenue drivers'!BE332</f>
        <v>0</v>
      </c>
      <c r="BF939">
        <f>'Revenue drivers'!BF332</f>
        <v>0</v>
      </c>
      <c r="BG939">
        <f>'Revenue drivers'!BG332</f>
        <v>0</v>
      </c>
      <c r="BH939">
        <f>'Revenue drivers'!BH332</f>
        <v>0</v>
      </c>
      <c r="BI939">
        <f>'Revenue drivers'!BI332</f>
        <v>0</v>
      </c>
      <c r="BJ939">
        <f>'Revenue drivers'!BJ332</f>
        <v>0</v>
      </c>
      <c r="BK939">
        <f>'Revenue drivers'!BK332</f>
        <v>0</v>
      </c>
      <c r="BL939">
        <f>'Revenue drivers'!BL332</f>
        <v>0</v>
      </c>
      <c r="BM939">
        <f>'Revenue drivers'!BM332</f>
        <v>0</v>
      </c>
      <c r="BN939">
        <f>'Revenue drivers'!BN332</f>
        <v>0</v>
      </c>
      <c r="BO939">
        <f>'Revenue drivers'!BO332</f>
        <v>0</v>
      </c>
      <c r="BP939">
        <f>'Revenue drivers'!BP332</f>
        <v>0</v>
      </c>
      <c r="BQ939">
        <f>'Revenue drivers'!BQ332</f>
        <v>0</v>
      </c>
      <c r="BR939">
        <f>'Revenue drivers'!BR332</f>
        <v>0</v>
      </c>
      <c r="BS939">
        <f>'Revenue drivers'!BS332</f>
        <v>0</v>
      </c>
      <c r="BT939">
        <f>'Revenue drivers'!BT332</f>
        <v>0</v>
      </c>
      <c r="BU939">
        <f>'Revenue drivers'!BU332</f>
        <v>0</v>
      </c>
      <c r="BV939">
        <f>'Revenue drivers'!BV332</f>
        <v>0</v>
      </c>
      <c r="BW939">
        <f>'Revenue drivers'!BW332</f>
        <v>0</v>
      </c>
      <c r="BX939">
        <f>'Revenue drivers'!BX332</f>
        <v>0</v>
      </c>
      <c r="BY939">
        <f>'Revenue drivers'!BY332</f>
        <v>0</v>
      </c>
    </row>
    <row r="940" spans="9:77" ht="11.25" customHeight="1">
      <c r="I940" t="str">
        <f>'Revenue drivers'!I333</f>
        <v>Desktop unique visitors</v>
      </c>
      <c r="J940">
        <f>'Revenue drivers'!J333</f>
        <v>0</v>
      </c>
      <c r="K940">
        <f>'Revenue drivers'!K333</f>
        <v>0</v>
      </c>
      <c r="L940">
        <f>'Revenue drivers'!L333</f>
        <v>0</v>
      </c>
      <c r="M940">
        <f>'Revenue drivers'!M333</f>
        <v>0</v>
      </c>
      <c r="N940">
        <f>'Revenue drivers'!N333</f>
        <v>0</v>
      </c>
      <c r="O940">
        <f>'Revenue drivers'!O333</f>
        <v>0</v>
      </c>
      <c r="P940">
        <f>'Revenue drivers'!P333</f>
        <v>0</v>
      </c>
      <c r="Q940">
        <f>'Revenue drivers'!Q333</f>
        <v>40.262619999999998</v>
      </c>
      <c r="R940">
        <f>'Revenue drivers'!R333</f>
        <v>43.310400000000001</v>
      </c>
      <c r="S940">
        <f>'Revenue drivers'!S333</f>
        <v>50.02984</v>
      </c>
      <c r="T940">
        <f>'Revenue drivers'!T333</f>
        <v>52.636800000000008</v>
      </c>
      <c r="U940">
        <f>'Revenue drivers'!U333</f>
        <v>55.729439999999997</v>
      </c>
      <c r="V940">
        <f>'Revenue drivers'!V333</f>
        <v>59.53004</v>
      </c>
      <c r="W940">
        <f>'Revenue drivers'!W333</f>
        <v>62.653499999999994</v>
      </c>
      <c r="X940">
        <f>'Revenue drivers'!X333</f>
        <v>53.333399999999997</v>
      </c>
      <c r="Y940">
        <f>'Revenue drivers'!Y333</f>
        <v>71.808999999999997</v>
      </c>
      <c r="Z940">
        <f>'Revenue drivers'!Z333</f>
        <v>73.366</v>
      </c>
      <c r="AA940">
        <f>'Revenue drivers'!AA333</f>
        <v>78.718999999999994</v>
      </c>
      <c r="AB940">
        <f>'Revenue drivers'!AB333</f>
        <v>77.712999999999994</v>
      </c>
      <c r="AC940">
        <f>'Revenue drivers'!AC333</f>
        <v>82.210999999999999</v>
      </c>
      <c r="AD940">
        <f>'Revenue drivers'!AD333</f>
        <v>81.884</v>
      </c>
      <c r="AE940">
        <f>'Revenue drivers'!AE333</f>
        <v>80.468000000000004</v>
      </c>
      <c r="AF940">
        <f>'Revenue drivers'!AF333</f>
        <v>77.628</v>
      </c>
      <c r="AG940">
        <f>'Revenue drivers'!AG333</f>
        <v>79.543000000000006</v>
      </c>
      <c r="AH940">
        <f>'Revenue drivers'!AH333</f>
        <v>79.174999999999997</v>
      </c>
      <c r="AI940">
        <f>'Revenue drivers'!AI333</f>
        <v>78.900999999999996</v>
      </c>
      <c r="AJ940">
        <f>'Revenue drivers'!AJ333</f>
        <v>74.606999999999999</v>
      </c>
      <c r="AK940">
        <f>'Revenue drivers'!AK333</f>
        <v>77.433000000000007</v>
      </c>
      <c r="AL940">
        <f>'Revenue drivers'!AL333</f>
        <v>73.406000000000006</v>
      </c>
      <c r="AM940">
        <f>'Revenue drivers'!AM333</f>
        <v>71.409000000000006</v>
      </c>
      <c r="AN940">
        <f>'Revenue drivers'!AN333</f>
        <v>67.888000000000005</v>
      </c>
      <c r="AO940">
        <f>'Revenue drivers'!AO333</f>
        <v>78.167000000000002</v>
      </c>
      <c r="AP940">
        <f>'Revenue drivers'!AP333</f>
        <v>82.998000000000005</v>
      </c>
      <c r="AQ940">
        <f>'Revenue drivers'!AQ333</f>
        <v>83.591999999999999</v>
      </c>
      <c r="AR940">
        <f>'Revenue drivers'!AR333</f>
        <v>76.748000000000005</v>
      </c>
      <c r="AS940">
        <f>'Revenue drivers'!AS333</f>
        <v>75.498000000000005</v>
      </c>
      <c r="AT940">
        <f>'Revenue drivers'!AT333</f>
        <v>73.998000000000005</v>
      </c>
      <c r="AU940">
        <f>'Revenue drivers'!AU333</f>
        <v>72.498000000000005</v>
      </c>
      <c r="AV940">
        <f>'Revenue drivers'!AV333</f>
        <v>70.998000000000005</v>
      </c>
      <c r="AW940">
        <f>'Revenue drivers'!AW333</f>
        <v>69.748000000000005</v>
      </c>
      <c r="AX940">
        <f>'Revenue drivers'!AX333</f>
        <v>68.248000000000005</v>
      </c>
      <c r="AY940">
        <f>'Revenue drivers'!AY333</f>
        <v>66.748000000000005</v>
      </c>
      <c r="AZ940">
        <f>'Revenue drivers'!AZ333</f>
        <v>65.248000000000005</v>
      </c>
      <c r="BA940">
        <f>'Revenue drivers'!BA333</f>
        <v>63.998000000000005</v>
      </c>
      <c r="BB940">
        <f>'Revenue drivers'!BB333</f>
        <v>62.498000000000005</v>
      </c>
      <c r="BC940">
        <f>'Revenue drivers'!BC333</f>
        <v>60.998000000000005</v>
      </c>
      <c r="BD940">
        <f>'Revenue drivers'!BD333</f>
        <v>59.498000000000005</v>
      </c>
      <c r="BE940">
        <f>'Revenue drivers'!BE333</f>
        <v>0</v>
      </c>
      <c r="BF940">
        <f>'Revenue drivers'!BF333</f>
        <v>0</v>
      </c>
      <c r="BG940">
        <f>'Revenue drivers'!BG333</f>
        <v>0</v>
      </c>
      <c r="BH940">
        <f>'Revenue drivers'!BH333</f>
        <v>0</v>
      </c>
      <c r="BI940">
        <f>'Revenue drivers'!BI333</f>
        <v>0</v>
      </c>
      <c r="BJ940">
        <f>'Revenue drivers'!BJ333</f>
        <v>0</v>
      </c>
      <c r="BK940">
        <f>'Revenue drivers'!BK333</f>
        <v>0</v>
      </c>
      <c r="BL940">
        <f>'Revenue drivers'!BL333</f>
        <v>53.333399999999997</v>
      </c>
      <c r="BM940">
        <f>'Revenue drivers'!BM333</f>
        <v>77.712999999999994</v>
      </c>
      <c r="BN940">
        <f>'Revenue drivers'!BN333</f>
        <v>77.628</v>
      </c>
      <c r="BO940">
        <f>'Revenue drivers'!BO333</f>
        <v>74.606999999999999</v>
      </c>
      <c r="BP940">
        <f>'Revenue drivers'!BP333</f>
        <v>67.888000000000005</v>
      </c>
      <c r="BQ940">
        <f>'Revenue drivers'!BQ333</f>
        <v>76.748000000000005</v>
      </c>
      <c r="BR940">
        <f>'Revenue drivers'!BR333</f>
        <v>70.998000000000005</v>
      </c>
      <c r="BS940">
        <f>'Revenue drivers'!BS333</f>
        <v>65.248000000000005</v>
      </c>
      <c r="BT940">
        <f>'Revenue drivers'!BT333</f>
        <v>59.498000000000005</v>
      </c>
      <c r="BU940">
        <f>'Revenue drivers'!BU333</f>
        <v>53.748000000000005</v>
      </c>
      <c r="BV940">
        <f>'Revenue drivers'!BV333</f>
        <v>47.998000000000005</v>
      </c>
      <c r="BW940">
        <f>'Revenue drivers'!BW333</f>
        <v>42.248000000000005</v>
      </c>
      <c r="BX940">
        <f>'Revenue drivers'!BX333</f>
        <v>36.498000000000005</v>
      </c>
      <c r="BY940">
        <f>'Revenue drivers'!BY333</f>
        <v>30.748000000000005</v>
      </c>
    </row>
    <row r="941" spans="9:77" ht="11.25" customHeight="1">
      <c r="I941" t="str">
        <f>'Revenue drivers'!I334</f>
        <v>% change Y/Y</v>
      </c>
      <c r="J941">
        <f>'Revenue drivers'!J334</f>
        <v>0</v>
      </c>
      <c r="K941">
        <f>'Revenue drivers'!K334</f>
        <v>0</v>
      </c>
      <c r="L941">
        <f>'Revenue drivers'!L334</f>
        <v>0</v>
      </c>
      <c r="M941">
        <f>'Revenue drivers'!M334</f>
        <v>0</v>
      </c>
      <c r="N941">
        <f>'Revenue drivers'!N334</f>
        <v>0</v>
      </c>
      <c r="O941">
        <f>'Revenue drivers'!O334</f>
        <v>0</v>
      </c>
      <c r="P941">
        <f>'Revenue drivers'!P334</f>
        <v>0</v>
      </c>
      <c r="Q941" t="str">
        <f>'Revenue drivers'!Q334</f>
        <v>NA</v>
      </c>
      <c r="R941" t="str">
        <f>'Revenue drivers'!R334</f>
        <v>NA</v>
      </c>
      <c r="S941" t="str">
        <f>'Revenue drivers'!S334</f>
        <v>NA</v>
      </c>
      <c r="T941" t="str">
        <f>'Revenue drivers'!T334</f>
        <v>NA</v>
      </c>
      <c r="U941">
        <f>'Revenue drivers'!U334</f>
        <v>0.38414837385147815</v>
      </c>
      <c r="V941">
        <f>'Revenue drivers'!V334</f>
        <v>0.3744975802578594</v>
      </c>
      <c r="W941">
        <f>'Revenue drivers'!W334</f>
        <v>0.25232261386404575</v>
      </c>
      <c r="X941">
        <f>'Revenue drivers'!X334</f>
        <v>1.3234087178551679E-2</v>
      </c>
      <c r="Y941">
        <f>'Revenue drivers'!Y334</f>
        <v>0.28852900728950437</v>
      </c>
      <c r="Z941">
        <f>'Revenue drivers'!Z334</f>
        <v>0.23241980015467822</v>
      </c>
      <c r="AA941">
        <f>'Revenue drivers'!AA334</f>
        <v>0.25641823681039377</v>
      </c>
      <c r="AB941">
        <f>'Revenue drivers'!AB334</f>
        <v>0.45711692860383923</v>
      </c>
      <c r="AC941">
        <f>'Revenue drivers'!AC334</f>
        <v>0.14485649431129799</v>
      </c>
      <c r="AD941">
        <f>'Revenue drivers'!AD334</f>
        <v>0.11610282692255258</v>
      </c>
      <c r="AE941">
        <f>'Revenue drivers'!AE334</f>
        <v>2.2218270049162436E-2</v>
      </c>
      <c r="AF941">
        <f>'Revenue drivers'!AF334</f>
        <v>-1.0937680954279383E-3</v>
      </c>
      <c r="AG941">
        <f>'Revenue drivers'!AG334</f>
        <v>-3.2453078055247997E-2</v>
      </c>
      <c r="AH941">
        <f>'Revenue drivers'!AH334</f>
        <v>-3.3083386253724867E-2</v>
      </c>
      <c r="AI941">
        <f>'Revenue drivers'!AI334</f>
        <v>-1.9473579559576515E-2</v>
      </c>
      <c r="AJ941">
        <f>'Revenue drivers'!AJ334</f>
        <v>-3.8916370381821053E-2</v>
      </c>
      <c r="AK941">
        <f>'Revenue drivers'!AK334</f>
        <v>-2.6526532818726967E-2</v>
      </c>
      <c r="AL941">
        <f>'Revenue drivers'!AL334</f>
        <v>-7.2863909062203858E-2</v>
      </c>
      <c r="AM941">
        <f>'Revenue drivers'!AM334</f>
        <v>-9.4954436572413425E-2</v>
      </c>
      <c r="AN941">
        <f>'Revenue drivers'!AN334</f>
        <v>-9.0058573592290192E-2</v>
      </c>
      <c r="AO941">
        <f>'Revenue drivers'!AO334</f>
        <v>9.4791626309196353E-3</v>
      </c>
      <c r="AP941">
        <f>'Revenue drivers'!AP334</f>
        <v>0.13067051739639801</v>
      </c>
      <c r="AQ941">
        <f>'Revenue drivers'!AQ334</f>
        <v>0.17060874679662219</v>
      </c>
      <c r="AR941">
        <f>'Revenue drivers'!AR334</f>
        <v>0.13050907376855991</v>
      </c>
      <c r="AS941">
        <f>'Revenue drivers'!AS334</f>
        <v>-3.4144843732009655E-2</v>
      </c>
      <c r="AT941">
        <f>'Revenue drivers'!AT334</f>
        <v>-0.10843634786380396</v>
      </c>
      <c r="AU941">
        <f>'Revenue drivers'!AU334</f>
        <v>-0.13271604938271597</v>
      </c>
      <c r="AV941">
        <f>'Revenue drivers'!AV334</f>
        <v>-7.4920519101474903E-2</v>
      </c>
      <c r="AW941">
        <f>'Revenue drivers'!AW334</f>
        <v>-7.6160957906169724E-2</v>
      </c>
      <c r="AX941">
        <f>'Revenue drivers'!AX334</f>
        <v>-7.7704802832509023E-2</v>
      </c>
      <c r="AY941">
        <f>'Revenue drivers'!AY334</f>
        <v>-7.9312532759524434E-2</v>
      </c>
      <c r="AZ941">
        <f>'Revenue drivers'!AZ334</f>
        <v>-8.0988196850615535E-2</v>
      </c>
      <c r="BA941">
        <f>'Revenue drivers'!BA334</f>
        <v>-8.2439639846303869E-2</v>
      </c>
      <c r="BB941">
        <f>'Revenue drivers'!BB334</f>
        <v>-8.4251553159066961E-2</v>
      </c>
      <c r="BC941">
        <f>'Revenue drivers'!BC334</f>
        <v>-8.6144903218073998E-2</v>
      </c>
      <c r="BD941">
        <f>'Revenue drivers'!BD334</f>
        <v>-8.8125306522805258E-2</v>
      </c>
      <c r="BE941">
        <f>'Revenue drivers'!BE334</f>
        <v>0</v>
      </c>
      <c r="BF941">
        <f>'Revenue drivers'!BF334</f>
        <v>0</v>
      </c>
      <c r="BG941">
        <f>'Revenue drivers'!BG334</f>
        <v>0</v>
      </c>
      <c r="BH941">
        <f>'Revenue drivers'!BH334</f>
        <v>0</v>
      </c>
      <c r="BI941">
        <f>'Revenue drivers'!BI334</f>
        <v>0</v>
      </c>
      <c r="BJ941">
        <f>'Revenue drivers'!BJ334</f>
        <v>0</v>
      </c>
      <c r="BK941">
        <f>'Revenue drivers'!BK334</f>
        <v>0</v>
      </c>
      <c r="BL941">
        <f>'Revenue drivers'!BL334</f>
        <v>0</v>
      </c>
      <c r="BM941">
        <f>'Revenue drivers'!BM334</f>
        <v>0.45711692860383923</v>
      </c>
      <c r="BN941">
        <f>'Revenue drivers'!BN334</f>
        <v>-1.0937680954279383E-3</v>
      </c>
      <c r="BO941">
        <f>'Revenue drivers'!BO334</f>
        <v>-3.8916370381821053E-2</v>
      </c>
      <c r="BP941">
        <f>'Revenue drivers'!BP334</f>
        <v>-9.0058573592290192E-2</v>
      </c>
      <c r="BQ941">
        <f>'Revenue drivers'!BQ334</f>
        <v>0.13050907376855991</v>
      </c>
      <c r="BR941">
        <f>'Revenue drivers'!BR334</f>
        <v>-7.4920519101474903E-2</v>
      </c>
      <c r="BS941">
        <f>'Revenue drivers'!BS334</f>
        <v>-8.0988196850615535E-2</v>
      </c>
      <c r="BT941">
        <f>'Revenue drivers'!BT334</f>
        <v>-8.8125306522805258E-2</v>
      </c>
      <c r="BU941">
        <f>'Revenue drivers'!BU334</f>
        <v>-9.664190392954386E-2</v>
      </c>
      <c r="BV941">
        <f>'Revenue drivers'!BV334</f>
        <v>-0.10698072486418098</v>
      </c>
      <c r="BW941">
        <f>'Revenue drivers'!BW334</f>
        <v>-0.11979665819409135</v>
      </c>
      <c r="BX941">
        <f>'Revenue drivers'!BX334</f>
        <v>-0.13610111721264906</v>
      </c>
      <c r="BY941">
        <f>'Revenue drivers'!BY334</f>
        <v>-0.15754287906186637</v>
      </c>
    </row>
    <row r="942" spans="9:77" ht="11.25" customHeight="1">
      <c r="I942" t="str">
        <f>'Revenue drivers'!I335</f>
        <v>Q/Q Abs Growth (DRIVER)</v>
      </c>
      <c r="J942">
        <f>'Revenue drivers'!J335</f>
        <v>0</v>
      </c>
      <c r="K942">
        <f>'Revenue drivers'!K335</f>
        <v>0</v>
      </c>
      <c r="L942">
        <f>'Revenue drivers'!L335</f>
        <v>0</v>
      </c>
      <c r="M942">
        <f>'Revenue drivers'!M335</f>
        <v>0</v>
      </c>
      <c r="N942">
        <f>'Revenue drivers'!N335</f>
        <v>0</v>
      </c>
      <c r="O942">
        <f>'Revenue drivers'!O335</f>
        <v>0</v>
      </c>
      <c r="P942">
        <f>'Revenue drivers'!P335</f>
        <v>0</v>
      </c>
      <c r="Q942">
        <f>'Revenue drivers'!Q335</f>
        <v>0</v>
      </c>
      <c r="R942">
        <f>'Revenue drivers'!R335</f>
        <v>3.047780000000003</v>
      </c>
      <c r="S942">
        <f>'Revenue drivers'!S335</f>
        <v>6.7194399999999987</v>
      </c>
      <c r="T942">
        <f>'Revenue drivers'!T335</f>
        <v>2.6069600000000079</v>
      </c>
      <c r="U942">
        <f>'Revenue drivers'!U335</f>
        <v>3.0926399999999887</v>
      </c>
      <c r="V942">
        <f>'Revenue drivers'!V335</f>
        <v>3.8006000000000029</v>
      </c>
      <c r="W942">
        <f>'Revenue drivers'!W335</f>
        <v>3.1234599999999944</v>
      </c>
      <c r="X942">
        <f>'Revenue drivers'!X335</f>
        <v>-9.3200999999999965</v>
      </c>
      <c r="Y942">
        <f>'Revenue drivers'!Y335</f>
        <v>18.4756</v>
      </c>
      <c r="Z942">
        <f>'Revenue drivers'!Z335</f>
        <v>1.5570000000000022</v>
      </c>
      <c r="AA942">
        <f>'Revenue drivers'!AA335</f>
        <v>5.3529999999999944</v>
      </c>
      <c r="AB942">
        <f>'Revenue drivers'!AB335</f>
        <v>-1.0060000000000002</v>
      </c>
      <c r="AC942">
        <f>'Revenue drivers'!AC335</f>
        <v>4.4980000000000047</v>
      </c>
      <c r="AD942">
        <f>'Revenue drivers'!AD335</f>
        <v>-0.32699999999999818</v>
      </c>
      <c r="AE942">
        <f>'Revenue drivers'!AE335</f>
        <v>-1.4159999999999968</v>
      </c>
      <c r="AF942">
        <f>'Revenue drivers'!AF335</f>
        <v>-2.8400000000000034</v>
      </c>
      <c r="AG942">
        <f>'Revenue drivers'!AG335</f>
        <v>1.9150000000000063</v>
      </c>
      <c r="AH942">
        <f>'Revenue drivers'!AH335</f>
        <v>-0.36800000000000921</v>
      </c>
      <c r="AI942">
        <f>'Revenue drivers'!AI335</f>
        <v>-0.27400000000000091</v>
      </c>
      <c r="AJ942">
        <f>'Revenue drivers'!AJ335</f>
        <v>-4.2939999999999969</v>
      </c>
      <c r="AK942">
        <f>'Revenue drivers'!AK335</f>
        <v>2.8260000000000076</v>
      </c>
      <c r="AL942">
        <f>'Revenue drivers'!AL335</f>
        <v>-4.027000000000001</v>
      </c>
      <c r="AM942">
        <f>'Revenue drivers'!AM335</f>
        <v>-1.9969999999999999</v>
      </c>
      <c r="AN942">
        <f>'Revenue drivers'!AN335</f>
        <v>-3.5210000000000008</v>
      </c>
      <c r="AO942">
        <f>'Revenue drivers'!AO335</f>
        <v>10.278999999999996</v>
      </c>
      <c r="AP942">
        <f>'Revenue drivers'!AP335</f>
        <v>4.8310000000000031</v>
      </c>
      <c r="AQ942">
        <f>'Revenue drivers'!AQ335</f>
        <v>0.59399999999999409</v>
      </c>
      <c r="AR942">
        <f>'Revenue drivers'!AR335</f>
        <v>-6.8439999999999941</v>
      </c>
      <c r="AS942">
        <f>'Revenue drivers'!AS335</f>
        <v>-1.25</v>
      </c>
      <c r="AT942">
        <f>'Revenue drivers'!AT335</f>
        <v>-1.5</v>
      </c>
      <c r="AU942">
        <f>'Revenue drivers'!AU335</f>
        <v>-1.5</v>
      </c>
      <c r="AV942">
        <f>'Revenue drivers'!AV335</f>
        <v>-1.5</v>
      </c>
      <c r="AW942">
        <f>'Revenue drivers'!AW335</f>
        <v>-1.25</v>
      </c>
      <c r="AX942">
        <f>'Revenue drivers'!AX335</f>
        <v>-1.5</v>
      </c>
      <c r="AY942">
        <f>'Revenue drivers'!AY335</f>
        <v>-1.5</v>
      </c>
      <c r="AZ942">
        <f>'Revenue drivers'!AZ335</f>
        <v>-1.5</v>
      </c>
      <c r="BA942">
        <f>'Revenue drivers'!BA335</f>
        <v>-1.25</v>
      </c>
      <c r="BB942">
        <f>'Revenue drivers'!BB335</f>
        <v>-1.5</v>
      </c>
      <c r="BC942">
        <f>'Revenue drivers'!BC335</f>
        <v>-1.5</v>
      </c>
      <c r="BD942">
        <f>'Revenue drivers'!BD335</f>
        <v>-1.5</v>
      </c>
      <c r="BE942">
        <f>'Revenue drivers'!BE335</f>
        <v>0</v>
      </c>
      <c r="BF942">
        <f>'Revenue drivers'!BF335</f>
        <v>0</v>
      </c>
      <c r="BG942">
        <f>'Revenue drivers'!BG335</f>
        <v>0</v>
      </c>
      <c r="BH942">
        <f>'Revenue drivers'!BH335</f>
        <v>0</v>
      </c>
      <c r="BI942">
        <f>'Revenue drivers'!BI335</f>
        <v>0</v>
      </c>
      <c r="BJ942">
        <f>'Revenue drivers'!BJ335</f>
        <v>0</v>
      </c>
      <c r="BK942">
        <f>'Revenue drivers'!BK335</f>
        <v>0</v>
      </c>
      <c r="BL942">
        <f>'Revenue drivers'!BL335</f>
        <v>0</v>
      </c>
      <c r="BM942">
        <f>'Revenue drivers'!BM335</f>
        <v>0</v>
      </c>
      <c r="BN942">
        <f>'Revenue drivers'!BN335</f>
        <v>0</v>
      </c>
      <c r="BO942">
        <f>'Revenue drivers'!BO335</f>
        <v>0</v>
      </c>
      <c r="BP942">
        <f>'Revenue drivers'!BP335</f>
        <v>0</v>
      </c>
      <c r="BQ942">
        <f>'Revenue drivers'!BQ335</f>
        <v>0</v>
      </c>
      <c r="BR942">
        <f>'Revenue drivers'!BR335</f>
        <v>0</v>
      </c>
      <c r="BS942">
        <f>'Revenue drivers'!BS335</f>
        <v>0</v>
      </c>
      <c r="BT942">
        <f>'Revenue drivers'!BT335</f>
        <v>0</v>
      </c>
      <c r="BU942">
        <f>'Revenue drivers'!BU335</f>
        <v>0</v>
      </c>
      <c r="BV942">
        <f>'Revenue drivers'!BV335</f>
        <v>0</v>
      </c>
      <c r="BW942">
        <f>'Revenue drivers'!BW335</f>
        <v>0</v>
      </c>
      <c r="BX942">
        <f>'Revenue drivers'!BX335</f>
        <v>0</v>
      </c>
      <c r="BY942">
        <f>'Revenue drivers'!BY335</f>
        <v>0</v>
      </c>
    </row>
    <row r="943" spans="9:77" ht="11.25" customHeight="1">
      <c r="I943" t="str">
        <f>'Revenue drivers'!I336</f>
        <v>Y/Y Abs Growth</v>
      </c>
      <c r="J943">
        <f>'Revenue drivers'!J336</f>
        <v>0</v>
      </c>
      <c r="K943">
        <f>'Revenue drivers'!K336</f>
        <v>0</v>
      </c>
      <c r="L943">
        <f>'Revenue drivers'!L336</f>
        <v>0</v>
      </c>
      <c r="M943">
        <f>'Revenue drivers'!M336</f>
        <v>0</v>
      </c>
      <c r="N943">
        <f>'Revenue drivers'!N336</f>
        <v>0</v>
      </c>
      <c r="O943">
        <f>'Revenue drivers'!O336</f>
        <v>0</v>
      </c>
      <c r="P943">
        <f>'Revenue drivers'!P336</f>
        <v>0</v>
      </c>
      <c r="Q943">
        <f>'Revenue drivers'!Q336</f>
        <v>0</v>
      </c>
      <c r="R943">
        <f>'Revenue drivers'!R336</f>
        <v>0</v>
      </c>
      <c r="S943">
        <f>'Revenue drivers'!S336</f>
        <v>0</v>
      </c>
      <c r="T943">
        <f>'Revenue drivers'!T336</f>
        <v>0</v>
      </c>
      <c r="U943">
        <f>'Revenue drivers'!U336</f>
        <v>15.466819999999998</v>
      </c>
      <c r="V943">
        <f>'Revenue drivers'!V336</f>
        <v>16.219639999999998</v>
      </c>
      <c r="W943">
        <f>'Revenue drivers'!W336</f>
        <v>12.623659999999994</v>
      </c>
      <c r="X943">
        <f>'Revenue drivers'!X336</f>
        <v>0.69659999999998945</v>
      </c>
      <c r="Y943">
        <f>'Revenue drivers'!Y336</f>
        <v>16.079560000000001</v>
      </c>
      <c r="Z943">
        <f>'Revenue drivers'!Z336</f>
        <v>13.83596</v>
      </c>
      <c r="AA943">
        <f>'Revenue drivers'!AA336</f>
        <v>16.0655</v>
      </c>
      <c r="AB943">
        <f>'Revenue drivers'!AB336</f>
        <v>24.379599999999996</v>
      </c>
      <c r="AC943">
        <f>'Revenue drivers'!AC336</f>
        <v>10.402000000000001</v>
      </c>
      <c r="AD943">
        <f>'Revenue drivers'!AD336</f>
        <v>8.5180000000000007</v>
      </c>
      <c r="AE943">
        <f>'Revenue drivers'!AE336</f>
        <v>1.7490000000000094</v>
      </c>
      <c r="AF943">
        <f>'Revenue drivers'!AF336</f>
        <v>-8.4999999999993747E-2</v>
      </c>
      <c r="AG943">
        <f>'Revenue drivers'!AG336</f>
        <v>-2.6679999999999922</v>
      </c>
      <c r="AH943">
        <f>'Revenue drivers'!AH336</f>
        <v>-2.7090000000000032</v>
      </c>
      <c r="AI943">
        <f>'Revenue drivers'!AI336</f>
        <v>-1.5670000000000073</v>
      </c>
      <c r="AJ943">
        <f>'Revenue drivers'!AJ336</f>
        <v>-3.0210000000000008</v>
      </c>
      <c r="AK943">
        <f>'Revenue drivers'!AK336</f>
        <v>-2.1099999999999994</v>
      </c>
      <c r="AL943">
        <f>'Revenue drivers'!AL336</f>
        <v>-5.7689999999999912</v>
      </c>
      <c r="AM943">
        <f>'Revenue drivers'!AM336</f>
        <v>-7.4919999999999902</v>
      </c>
      <c r="AN943">
        <f>'Revenue drivers'!AN336</f>
        <v>-6.7189999999999941</v>
      </c>
      <c r="AO943">
        <f>'Revenue drivers'!AO336</f>
        <v>0.73399999999999466</v>
      </c>
      <c r="AP943">
        <f>'Revenue drivers'!AP336</f>
        <v>9.5919999999999987</v>
      </c>
      <c r="AQ943">
        <f>'Revenue drivers'!AQ336</f>
        <v>12.182999999999993</v>
      </c>
      <c r="AR943">
        <f>'Revenue drivers'!AR336</f>
        <v>8.86</v>
      </c>
      <c r="AS943">
        <f>'Revenue drivers'!AS336</f>
        <v>-2.6689999999999969</v>
      </c>
      <c r="AT943">
        <f>'Revenue drivers'!AT336</f>
        <v>-9</v>
      </c>
      <c r="AU943">
        <f>'Revenue drivers'!AU336</f>
        <v>-11.093999999999994</v>
      </c>
      <c r="AV943">
        <f>'Revenue drivers'!AV336</f>
        <v>-5.75</v>
      </c>
      <c r="AW943">
        <f>'Revenue drivers'!AW336</f>
        <v>-5.75</v>
      </c>
      <c r="AX943">
        <f>'Revenue drivers'!AX336</f>
        <v>-5.75</v>
      </c>
      <c r="AY943">
        <f>'Revenue drivers'!AY336</f>
        <v>-5.75</v>
      </c>
      <c r="AZ943">
        <f>'Revenue drivers'!AZ336</f>
        <v>-5.75</v>
      </c>
      <c r="BA943">
        <f>'Revenue drivers'!BA336</f>
        <v>-5.75</v>
      </c>
      <c r="BB943">
        <f>'Revenue drivers'!BB336</f>
        <v>-5.75</v>
      </c>
      <c r="BC943">
        <f>'Revenue drivers'!BC336</f>
        <v>-5.75</v>
      </c>
      <c r="BD943">
        <f>'Revenue drivers'!BD336</f>
        <v>-5.75</v>
      </c>
      <c r="BE943">
        <f>'Revenue drivers'!BE336</f>
        <v>0</v>
      </c>
      <c r="BF943">
        <f>'Revenue drivers'!BF336</f>
        <v>0</v>
      </c>
      <c r="BG943">
        <f>'Revenue drivers'!BG336</f>
        <v>0</v>
      </c>
      <c r="BH943">
        <f>'Revenue drivers'!BH336</f>
        <v>0</v>
      </c>
      <c r="BI943">
        <f>'Revenue drivers'!BI336</f>
        <v>0</v>
      </c>
      <c r="BJ943">
        <f>'Revenue drivers'!BJ336</f>
        <v>0</v>
      </c>
      <c r="BK943">
        <f>'Revenue drivers'!BK336</f>
        <v>0</v>
      </c>
      <c r="BL943">
        <f>'Revenue drivers'!BL336</f>
        <v>0</v>
      </c>
      <c r="BM943">
        <f>'Revenue drivers'!BM336</f>
        <v>24.379599999999996</v>
      </c>
      <c r="BN943">
        <f>'Revenue drivers'!BN336</f>
        <v>-8.4999999999993747E-2</v>
      </c>
      <c r="BO943">
        <f>'Revenue drivers'!BO336</f>
        <v>-3.0210000000000008</v>
      </c>
      <c r="BP943">
        <f>'Revenue drivers'!BP336</f>
        <v>-6.7189999999999941</v>
      </c>
      <c r="BQ943">
        <f>'Revenue drivers'!BQ336</f>
        <v>8.86</v>
      </c>
      <c r="BR943">
        <f>'Revenue drivers'!BR336</f>
        <v>-5.75</v>
      </c>
      <c r="BS943">
        <f>'Revenue drivers'!BS336</f>
        <v>-5.75</v>
      </c>
      <c r="BT943">
        <f>'Revenue drivers'!BT336</f>
        <v>-5.75</v>
      </c>
      <c r="BU943">
        <f>'Revenue drivers'!BU336</f>
        <v>-5.75</v>
      </c>
      <c r="BV943">
        <f>'Revenue drivers'!BV336</f>
        <v>-5.75</v>
      </c>
      <c r="BW943">
        <f>'Revenue drivers'!BW336</f>
        <v>-5.75</v>
      </c>
      <c r="BX943">
        <f>'Revenue drivers'!BX336</f>
        <v>-5.75</v>
      </c>
      <c r="BY943">
        <f>'Revenue drivers'!BY336</f>
        <v>-5.75</v>
      </c>
    </row>
    <row r="944" spans="9:77" ht="11.25" customHeight="1">
      <c r="I944" t="str">
        <f>'Revenue drivers'!I337</f>
        <v>% change Q/Q</v>
      </c>
      <c r="J944">
        <f>'Revenue drivers'!J337</f>
        <v>0</v>
      </c>
      <c r="K944">
        <f>'Revenue drivers'!K337</f>
        <v>0</v>
      </c>
      <c r="L944">
        <f>'Revenue drivers'!L337</f>
        <v>0</v>
      </c>
      <c r="M944">
        <f>'Revenue drivers'!M337</f>
        <v>0</v>
      </c>
      <c r="N944">
        <f>'Revenue drivers'!N337</f>
        <v>0</v>
      </c>
      <c r="O944">
        <f>'Revenue drivers'!O337</f>
        <v>0</v>
      </c>
      <c r="P944">
        <f>'Revenue drivers'!P337</f>
        <v>0</v>
      </c>
      <c r="Q944" t="str">
        <f>'Revenue drivers'!Q337</f>
        <v>NA</v>
      </c>
      <c r="R944">
        <f>'Revenue drivers'!R337</f>
        <v>7.5697508011152825E-2</v>
      </c>
      <c r="S944">
        <f>'Revenue drivers'!S337</f>
        <v>0.15514610809412988</v>
      </c>
      <c r="T944">
        <f>'Revenue drivers'!T337</f>
        <v>5.210810188479531E-2</v>
      </c>
      <c r="U944">
        <f>'Revenue drivers'!U337</f>
        <v>5.8754331570308072E-2</v>
      </c>
      <c r="V944">
        <f>'Revenue drivers'!V337</f>
        <v>6.8197347757307458E-2</v>
      </c>
      <c r="W944">
        <f>'Revenue drivers'!W337</f>
        <v>5.2468636002932278E-2</v>
      </c>
      <c r="X944">
        <f>'Revenue drivers'!X337</f>
        <v>-0.14875625463860753</v>
      </c>
      <c r="Y944">
        <f>'Revenue drivers'!Y337</f>
        <v>0.34641706697866637</v>
      </c>
      <c r="Z944">
        <f>'Revenue drivers'!Z337</f>
        <v>2.1682518904315717E-2</v>
      </c>
      <c r="AA944">
        <f>'Revenue drivers'!AA337</f>
        <v>7.2962952866450381E-2</v>
      </c>
      <c r="AB944">
        <f>'Revenue drivers'!AB337</f>
        <v>-1.2779633887625597E-2</v>
      </c>
      <c r="AC944">
        <f>'Revenue drivers'!AC337</f>
        <v>5.7879634038063177E-2</v>
      </c>
      <c r="AD944">
        <f>'Revenue drivers'!AD337</f>
        <v>-3.9775699115689456E-3</v>
      </c>
      <c r="AE944">
        <f>'Revenue drivers'!AE337</f>
        <v>-1.7292755605490706E-2</v>
      </c>
      <c r="AF944">
        <f>'Revenue drivers'!AF337</f>
        <v>-3.5293532832927466E-2</v>
      </c>
      <c r="AG944">
        <f>'Revenue drivers'!AG337</f>
        <v>2.46689338898336E-2</v>
      </c>
      <c r="AH944">
        <f>'Revenue drivers'!AH337</f>
        <v>-4.626428472650157E-3</v>
      </c>
      <c r="AI944">
        <f>'Revenue drivers'!AI337</f>
        <v>-3.4606883485949202E-3</v>
      </c>
      <c r="AJ944">
        <f>'Revenue drivers'!AJ337</f>
        <v>-5.4422630891877155E-2</v>
      </c>
      <c r="AK944">
        <f>'Revenue drivers'!AK337</f>
        <v>3.7878483252241857E-2</v>
      </c>
      <c r="AL944">
        <f>'Revenue drivers'!AL337</f>
        <v>-5.200625056500463E-2</v>
      </c>
      <c r="AM944">
        <f>'Revenue drivers'!AM337</f>
        <v>-2.7204860638095019E-2</v>
      </c>
      <c r="AN944">
        <f>'Revenue drivers'!AN337</f>
        <v>-4.9307510257810661E-2</v>
      </c>
      <c r="AO944">
        <f>'Revenue drivers'!AO337</f>
        <v>0.15141114777280218</v>
      </c>
      <c r="AP944">
        <f>'Revenue drivers'!AP337</f>
        <v>6.180357439840356E-2</v>
      </c>
      <c r="AQ944">
        <f>'Revenue drivers'!AQ337</f>
        <v>7.1567989590108905E-3</v>
      </c>
      <c r="AR944">
        <f>'Revenue drivers'!AR337</f>
        <v>-8.187386352761028E-2</v>
      </c>
      <c r="AS944">
        <f>'Revenue drivers'!AS337</f>
        <v>-1.6287069369885887E-2</v>
      </c>
      <c r="AT944">
        <f>'Revenue drivers'!AT337</f>
        <v>-1.9868075975522537E-2</v>
      </c>
      <c r="AU944">
        <f>'Revenue drivers'!AU337</f>
        <v>-2.0270818130219692E-2</v>
      </c>
      <c r="AV944">
        <f>'Revenue drivers'!AV337</f>
        <v>-2.0690225937267215E-2</v>
      </c>
      <c r="AW944">
        <f>'Revenue drivers'!AW337</f>
        <v>-1.7606129750133759E-2</v>
      </c>
      <c r="AX944">
        <f>'Revenue drivers'!AX337</f>
        <v>-2.1505993003383628E-2</v>
      </c>
      <c r="AY944">
        <f>'Revenue drivers'!AY337</f>
        <v>-2.1978666041495676E-2</v>
      </c>
      <c r="AZ944">
        <f>'Revenue drivers'!AZ337</f>
        <v>-2.2472583448193251E-2</v>
      </c>
      <c r="BA944">
        <f>'Revenue drivers'!BA337</f>
        <v>-1.9157675331044621E-2</v>
      </c>
      <c r="BB944">
        <f>'Revenue drivers'!BB337</f>
        <v>-2.3438232444763951E-2</v>
      </c>
      <c r="BC944">
        <f>'Revenue drivers'!BC337</f>
        <v>-2.4000768024576735E-2</v>
      </c>
      <c r="BD944">
        <f>'Revenue drivers'!BD337</f>
        <v>-2.4590970195744077E-2</v>
      </c>
      <c r="BE944">
        <f>'Revenue drivers'!BE337</f>
        <v>0</v>
      </c>
      <c r="BF944">
        <f>'Revenue drivers'!BF337</f>
        <v>0</v>
      </c>
      <c r="BG944">
        <f>'Revenue drivers'!BG337</f>
        <v>0</v>
      </c>
      <c r="BH944">
        <f>'Revenue drivers'!BH337</f>
        <v>0</v>
      </c>
      <c r="BI944">
        <f>'Revenue drivers'!BI337</f>
        <v>0</v>
      </c>
      <c r="BJ944">
        <f>'Revenue drivers'!BJ337</f>
        <v>0</v>
      </c>
      <c r="BK944">
        <f>'Revenue drivers'!BK337</f>
        <v>0</v>
      </c>
      <c r="BL944">
        <f>'Revenue drivers'!BL337</f>
        <v>0</v>
      </c>
      <c r="BM944">
        <f>'Revenue drivers'!BM337</f>
        <v>0</v>
      </c>
      <c r="BN944">
        <f>'Revenue drivers'!BN337</f>
        <v>0</v>
      </c>
      <c r="BO944">
        <f>'Revenue drivers'!BO337</f>
        <v>0</v>
      </c>
      <c r="BP944">
        <f>'Revenue drivers'!BP337</f>
        <v>0</v>
      </c>
      <c r="BQ944">
        <f>'Revenue drivers'!BQ337</f>
        <v>0</v>
      </c>
      <c r="BR944">
        <f>'Revenue drivers'!BR337</f>
        <v>0</v>
      </c>
      <c r="BS944">
        <f>'Revenue drivers'!BS337</f>
        <v>0</v>
      </c>
      <c r="BT944">
        <f>'Revenue drivers'!BT337</f>
        <v>0</v>
      </c>
      <c r="BU944">
        <f>'Revenue drivers'!BU337</f>
        <v>0</v>
      </c>
      <c r="BV944">
        <f>'Revenue drivers'!BV337</f>
        <v>0</v>
      </c>
      <c r="BW944">
        <f>'Revenue drivers'!BW337</f>
        <v>0</v>
      </c>
      <c r="BX944">
        <f>'Revenue drivers'!BX337</f>
        <v>0</v>
      </c>
      <c r="BY944">
        <f>'Revenue drivers'!BY337</f>
        <v>0</v>
      </c>
    </row>
    <row r="945" spans="9:77" ht="11.25" customHeight="1">
      <c r="I945" t="str">
        <f>'Revenue drivers'!I338</f>
        <v>% of total unique visitors</v>
      </c>
      <c r="J945">
        <f>'Revenue drivers'!J338</f>
        <v>0</v>
      </c>
      <c r="K945">
        <f>'Revenue drivers'!K338</f>
        <v>0</v>
      </c>
      <c r="L945">
        <f>'Revenue drivers'!L338</f>
        <v>0</v>
      </c>
      <c r="M945">
        <f>'Revenue drivers'!M338</f>
        <v>0</v>
      </c>
      <c r="N945">
        <f>'Revenue drivers'!N338</f>
        <v>0</v>
      </c>
      <c r="O945">
        <f>'Revenue drivers'!O338</f>
        <v>0</v>
      </c>
      <c r="P945">
        <f>'Revenue drivers'!P338</f>
        <v>0</v>
      </c>
      <c r="Q945">
        <f>'Revenue drivers'!Q338</f>
        <v>0.86</v>
      </c>
      <c r="R945">
        <f>'Revenue drivers'!R338</f>
        <v>0.84</v>
      </c>
      <c r="S945">
        <f>'Revenue drivers'!S338</f>
        <v>0.82</v>
      </c>
      <c r="T945">
        <f>'Revenue drivers'!T338</f>
        <v>0.8</v>
      </c>
      <c r="U945">
        <f>'Revenue drivers'!U338</f>
        <v>0.78</v>
      </c>
      <c r="V945">
        <f>'Revenue drivers'!V338</f>
        <v>0.76</v>
      </c>
      <c r="W945">
        <f>'Revenue drivers'!W338</f>
        <v>0.75</v>
      </c>
      <c r="X945">
        <f>'Revenue drivers'!X338</f>
        <v>0.61799999999999999</v>
      </c>
      <c r="Y945">
        <f>'Revenue drivers'!Y338</f>
        <v>0.70356145593494346</v>
      </c>
      <c r="Z945">
        <f>'Revenue drivers'!Z338</f>
        <v>0.67895019341464768</v>
      </c>
      <c r="AA945">
        <f>'Revenue drivers'!AA338</f>
        <v>0.67025126227149256</v>
      </c>
      <c r="AB945">
        <f>'Revenue drivers'!AB338</f>
        <v>0.64758135077705092</v>
      </c>
      <c r="AC945">
        <f>'Revenue drivers'!AC338</f>
        <v>0.62064774271478174</v>
      </c>
      <c r="AD945">
        <f>'Revenue drivers'!AD338</f>
        <v>0.5943917364130632</v>
      </c>
      <c r="AE945">
        <f>'Revenue drivers'!AE338</f>
        <v>0.57717081008191196</v>
      </c>
      <c r="AF945">
        <f>'Revenue drivers'!AF338</f>
        <v>0.57334889286083579</v>
      </c>
      <c r="AG945">
        <f>'Revenue drivers'!AG338</f>
        <v>0.55832970673704607</v>
      </c>
      <c r="AH945">
        <f>'Revenue drivers'!AH338</f>
        <v>0.55024671624157351</v>
      </c>
      <c r="AI945">
        <f>'Revenue drivers'!AI338</f>
        <v>0.53305003445526888</v>
      </c>
      <c r="AJ945">
        <f>'Revenue drivers'!AJ338</f>
        <v>0.53113542682622972</v>
      </c>
      <c r="AK945">
        <f>'Revenue drivers'!AK338</f>
        <v>0.53042114204296364</v>
      </c>
      <c r="AL945">
        <f>'Revenue drivers'!AL338</f>
        <v>0.51428891706893298</v>
      </c>
      <c r="AM945">
        <f>'Revenue drivers'!AM338</f>
        <v>0.49780061206421794</v>
      </c>
      <c r="AN945">
        <f>'Revenue drivers'!AN338</f>
        <v>0.50952048574366371</v>
      </c>
      <c r="AO945">
        <f>'Revenue drivers'!AO338</f>
        <v>0.51643443733111349</v>
      </c>
      <c r="AP945">
        <f>'Revenue drivers'!AP338</f>
        <v>0.5283165392523187</v>
      </c>
      <c r="AQ945">
        <f>'Revenue drivers'!AQ338</f>
        <v>0.53209420751113945</v>
      </c>
      <c r="AR945">
        <f>'Revenue drivers'!AR338</f>
        <v>0.54443175449921621</v>
      </c>
      <c r="AS945">
        <f>'Revenue drivers'!AS338</f>
        <v>0.51755358621008773</v>
      </c>
      <c r="AT945">
        <f>'Revenue drivers'!AT338</f>
        <v>0.51038946527671447</v>
      </c>
      <c r="AU945">
        <f>'Revenue drivers'!AU338</f>
        <v>0.50758919288291315</v>
      </c>
      <c r="AV945">
        <f>'Revenue drivers'!AV338</f>
        <v>0.54481957906514011</v>
      </c>
      <c r="AW945">
        <f>'Revenue drivers'!AW338</f>
        <v>0.5166629983776504</v>
      </c>
      <c r="AX945">
        <f>'Revenue drivers'!AX338</f>
        <v>0.50661235722020614</v>
      </c>
      <c r="AY945">
        <f>'Revenue drivers'!AY338</f>
        <v>0.50051952483939133</v>
      </c>
      <c r="AZ945">
        <f>'Revenue drivers'!AZ338</f>
        <v>0.52962739185336671</v>
      </c>
      <c r="BA945">
        <f>'Revenue drivers'!BA338</f>
        <v>0.50456259316498653</v>
      </c>
      <c r="BB945">
        <f>'Revenue drivers'!BB338</f>
        <v>0.49513828363448903</v>
      </c>
      <c r="BC945">
        <f>'Revenue drivers'!BC338</f>
        <v>0.48917810429807207</v>
      </c>
      <c r="BD945">
        <f>'Revenue drivers'!BD338</f>
        <v>0.51432068963871092</v>
      </c>
      <c r="BE945">
        <f>'Revenue drivers'!BE338</f>
        <v>0</v>
      </c>
      <c r="BF945">
        <f>'Revenue drivers'!BF338</f>
        <v>0</v>
      </c>
      <c r="BG945">
        <f>'Revenue drivers'!BG338</f>
        <v>0</v>
      </c>
      <c r="BH945">
        <f>'Revenue drivers'!BH338</f>
        <v>0</v>
      </c>
      <c r="BI945">
        <f>'Revenue drivers'!BI338</f>
        <v>0</v>
      </c>
      <c r="BJ945">
        <f>'Revenue drivers'!BJ338</f>
        <v>0</v>
      </c>
      <c r="BK945">
        <f>'Revenue drivers'!BK338</f>
        <v>0</v>
      </c>
      <c r="BL945">
        <f>'Revenue drivers'!BL338</f>
        <v>0.61799999999999999</v>
      </c>
      <c r="BM945">
        <f>'Revenue drivers'!BM338</f>
        <v>0.64758135077705092</v>
      </c>
      <c r="BN945">
        <f>'Revenue drivers'!BN338</f>
        <v>0.57334889286083579</v>
      </c>
      <c r="BO945">
        <f>'Revenue drivers'!BO338</f>
        <v>0.53113542682622972</v>
      </c>
      <c r="BP945">
        <f>'Revenue drivers'!BP338</f>
        <v>0.50952048574366371</v>
      </c>
      <c r="BQ945">
        <f>'Revenue drivers'!BQ338</f>
        <v>0.54443175449921621</v>
      </c>
      <c r="BR945">
        <f>'Revenue drivers'!BR338</f>
        <v>0.54481957906514011</v>
      </c>
      <c r="BS945">
        <f>'Revenue drivers'!BS338</f>
        <v>0.52962739185336671</v>
      </c>
      <c r="BT945">
        <f>'Revenue drivers'!BT338</f>
        <v>0.51432068963871092</v>
      </c>
      <c r="BU945">
        <f>'Revenue drivers'!BU338</f>
        <v>0.5002342245449416</v>
      </c>
      <c r="BV945">
        <f>'Revenue drivers'!BV338</f>
        <v>0.49225008045401986</v>
      </c>
      <c r="BW945">
        <f>'Revenue drivers'!BW338</f>
        <v>0.48623593039662055</v>
      </c>
      <c r="BX945">
        <f>'Revenue drivers'!BX338</f>
        <v>0.48274378921106703</v>
      </c>
      <c r="BY945">
        <f>'Revenue drivers'!BY338</f>
        <v>0.4828818005498921</v>
      </c>
    </row>
    <row r="946" spans="9:77" ht="11.25" customHeight="1">
      <c r="I946">
        <f>'Revenue drivers'!I339</f>
        <v>0</v>
      </c>
      <c r="J946">
        <f>'Revenue drivers'!J339</f>
        <v>0</v>
      </c>
      <c r="K946">
        <f>'Revenue drivers'!K339</f>
        <v>0</v>
      </c>
      <c r="L946">
        <f>'Revenue drivers'!L339</f>
        <v>0</v>
      </c>
      <c r="M946">
        <f>'Revenue drivers'!M339</f>
        <v>0</v>
      </c>
      <c r="N946">
        <f>'Revenue drivers'!N339</f>
        <v>0</v>
      </c>
      <c r="O946">
        <f>'Revenue drivers'!O339</f>
        <v>0</v>
      </c>
      <c r="P946">
        <f>'Revenue drivers'!P339</f>
        <v>0</v>
      </c>
      <c r="Q946">
        <f>'Revenue drivers'!Q339</f>
        <v>0</v>
      </c>
      <c r="R946">
        <f>'Revenue drivers'!R339</f>
        <v>0</v>
      </c>
      <c r="S946">
        <f>'Revenue drivers'!S339</f>
        <v>0</v>
      </c>
      <c r="T946">
        <f>'Revenue drivers'!T339</f>
        <v>0</v>
      </c>
      <c r="U946">
        <f>'Revenue drivers'!U339</f>
        <v>0</v>
      </c>
      <c r="V946">
        <f>'Revenue drivers'!V339</f>
        <v>0</v>
      </c>
      <c r="W946">
        <f>'Revenue drivers'!W339</f>
        <v>0</v>
      </c>
      <c r="X946">
        <f>'Revenue drivers'!X339</f>
        <v>0</v>
      </c>
      <c r="Y946">
        <f>'Revenue drivers'!Y339</f>
        <v>0</v>
      </c>
      <c r="Z946">
        <f>'Revenue drivers'!Z339</f>
        <v>0</v>
      </c>
      <c r="AA946">
        <f>'Revenue drivers'!AA339</f>
        <v>0</v>
      </c>
      <c r="AB946">
        <f>'Revenue drivers'!AB339</f>
        <v>0</v>
      </c>
      <c r="AC946">
        <f>'Revenue drivers'!AC339</f>
        <v>0</v>
      </c>
      <c r="AD946">
        <f>'Revenue drivers'!AD339</f>
        <v>0</v>
      </c>
      <c r="AE946">
        <f>'Revenue drivers'!AE339</f>
        <v>0</v>
      </c>
      <c r="AF946">
        <f>'Revenue drivers'!AF339</f>
        <v>0</v>
      </c>
      <c r="AG946">
        <f>'Revenue drivers'!AG339</f>
        <v>0</v>
      </c>
      <c r="AH946">
        <f>'Revenue drivers'!AH339</f>
        <v>0</v>
      </c>
      <c r="AI946">
        <f>'Revenue drivers'!AI339</f>
        <v>0</v>
      </c>
      <c r="AJ946">
        <f>'Revenue drivers'!AJ339</f>
        <v>0</v>
      </c>
      <c r="AK946">
        <f>'Revenue drivers'!AK339</f>
        <v>0</v>
      </c>
      <c r="AL946">
        <f>'Revenue drivers'!AL339</f>
        <v>0</v>
      </c>
      <c r="AM946">
        <f>'Revenue drivers'!AM339</f>
        <v>0</v>
      </c>
      <c r="AN946">
        <f>'Revenue drivers'!AN339</f>
        <v>0</v>
      </c>
      <c r="AO946">
        <f>'Revenue drivers'!AO339</f>
        <v>0</v>
      </c>
      <c r="AP946">
        <f>'Revenue drivers'!AP339</f>
        <v>0</v>
      </c>
      <c r="AQ946">
        <f>'Revenue drivers'!AQ339</f>
        <v>0</v>
      </c>
      <c r="AR946">
        <f>'Revenue drivers'!AR339</f>
        <v>0</v>
      </c>
      <c r="AS946">
        <f>'Revenue drivers'!AS339</f>
        <v>0</v>
      </c>
      <c r="AT946">
        <f>'Revenue drivers'!AT339</f>
        <v>0</v>
      </c>
      <c r="AU946">
        <f>'Revenue drivers'!AU339</f>
        <v>0</v>
      </c>
      <c r="AV946">
        <f>'Revenue drivers'!AV339</f>
        <v>0</v>
      </c>
      <c r="AW946">
        <f>'Revenue drivers'!AW339</f>
        <v>0</v>
      </c>
      <c r="AX946">
        <f>'Revenue drivers'!AX339</f>
        <v>0</v>
      </c>
      <c r="AY946">
        <f>'Revenue drivers'!AY339</f>
        <v>0</v>
      </c>
      <c r="AZ946">
        <f>'Revenue drivers'!AZ339</f>
        <v>0</v>
      </c>
      <c r="BA946">
        <f>'Revenue drivers'!BA339</f>
        <v>0</v>
      </c>
      <c r="BB946">
        <f>'Revenue drivers'!BB339</f>
        <v>0</v>
      </c>
      <c r="BC946">
        <f>'Revenue drivers'!BC339</f>
        <v>0</v>
      </c>
      <c r="BD946">
        <f>'Revenue drivers'!BD339</f>
        <v>0</v>
      </c>
      <c r="BE946">
        <f>'Revenue drivers'!BE339</f>
        <v>0</v>
      </c>
      <c r="BF946">
        <f>'Revenue drivers'!BF339</f>
        <v>0</v>
      </c>
      <c r="BG946">
        <f>'Revenue drivers'!BG339</f>
        <v>0</v>
      </c>
      <c r="BH946">
        <f>'Revenue drivers'!BH339</f>
        <v>0</v>
      </c>
      <c r="BI946">
        <f>'Revenue drivers'!BI339</f>
        <v>0</v>
      </c>
      <c r="BJ946">
        <f>'Revenue drivers'!BJ339</f>
        <v>0</v>
      </c>
      <c r="BK946">
        <f>'Revenue drivers'!BK339</f>
        <v>0</v>
      </c>
      <c r="BL946">
        <f>'Revenue drivers'!BL339</f>
        <v>0</v>
      </c>
      <c r="BM946">
        <f>'Revenue drivers'!BM339</f>
        <v>0</v>
      </c>
      <c r="BN946">
        <f>'Revenue drivers'!BN339</f>
        <v>0</v>
      </c>
      <c r="BO946">
        <f>'Revenue drivers'!BO339</f>
        <v>0</v>
      </c>
      <c r="BP946">
        <f>'Revenue drivers'!BP339</f>
        <v>0</v>
      </c>
      <c r="BQ946">
        <f>'Revenue drivers'!BQ339</f>
        <v>0</v>
      </c>
      <c r="BR946">
        <f>'Revenue drivers'!BR339</f>
        <v>0</v>
      </c>
      <c r="BS946">
        <f>'Revenue drivers'!BS339</f>
        <v>0</v>
      </c>
      <c r="BT946">
        <f>'Revenue drivers'!BT339</f>
        <v>0</v>
      </c>
      <c r="BU946">
        <f>'Revenue drivers'!BU339</f>
        <v>0</v>
      </c>
      <c r="BV946">
        <f>'Revenue drivers'!BV339</f>
        <v>0</v>
      </c>
      <c r="BW946">
        <f>'Revenue drivers'!BW339</f>
        <v>0</v>
      </c>
      <c r="BX946">
        <f>'Revenue drivers'!BX339</f>
        <v>0</v>
      </c>
      <c r="BY946">
        <f>'Revenue drivers'!BY339</f>
        <v>0</v>
      </c>
    </row>
    <row r="947" spans="9:77" ht="11.25" customHeight="1">
      <c r="I947">
        <f>'Revenue drivers'!I340</f>
        <v>0</v>
      </c>
      <c r="J947">
        <f>'Revenue drivers'!J340</f>
        <v>0</v>
      </c>
      <c r="K947">
        <f>'Revenue drivers'!K340</f>
        <v>0</v>
      </c>
      <c r="L947">
        <f>'Revenue drivers'!L340</f>
        <v>0</v>
      </c>
      <c r="M947">
        <f>'Revenue drivers'!M340</f>
        <v>0</v>
      </c>
      <c r="N947">
        <f>'Revenue drivers'!N340</f>
        <v>0</v>
      </c>
      <c r="O947">
        <f>'Revenue drivers'!O340</f>
        <v>0</v>
      </c>
      <c r="P947">
        <f>'Revenue drivers'!P340</f>
        <v>0</v>
      </c>
      <c r="Q947">
        <f>'Revenue drivers'!Q340</f>
        <v>0</v>
      </c>
      <c r="R947">
        <f>'Revenue drivers'!R340</f>
        <v>0</v>
      </c>
      <c r="S947">
        <f>'Revenue drivers'!S340</f>
        <v>0</v>
      </c>
      <c r="T947">
        <f>'Revenue drivers'!T340</f>
        <v>0</v>
      </c>
      <c r="U947">
        <f>'Revenue drivers'!U340</f>
        <v>0</v>
      </c>
      <c r="V947">
        <f>'Revenue drivers'!V340</f>
        <v>0</v>
      </c>
      <c r="W947">
        <f>'Revenue drivers'!W340</f>
        <v>0</v>
      </c>
      <c r="X947">
        <f>'Revenue drivers'!X340</f>
        <v>0</v>
      </c>
      <c r="Y947">
        <f>'Revenue drivers'!Y340</f>
        <v>0</v>
      </c>
      <c r="Z947">
        <f>'Revenue drivers'!Z340</f>
        <v>0</v>
      </c>
      <c r="AA947">
        <f>'Revenue drivers'!AA340</f>
        <v>0</v>
      </c>
      <c r="AB947">
        <f>'Revenue drivers'!AB340</f>
        <v>0</v>
      </c>
      <c r="AC947">
        <f>'Revenue drivers'!AC340</f>
        <v>0</v>
      </c>
      <c r="AD947">
        <f>'Revenue drivers'!AD340</f>
        <v>0</v>
      </c>
      <c r="AE947">
        <f>'Revenue drivers'!AE340</f>
        <v>0</v>
      </c>
      <c r="AF947">
        <f>'Revenue drivers'!AF340</f>
        <v>0</v>
      </c>
      <c r="AG947">
        <f>'Revenue drivers'!AG340</f>
        <v>0</v>
      </c>
      <c r="AH947">
        <f>'Revenue drivers'!AH340</f>
        <v>0</v>
      </c>
      <c r="AI947">
        <f>'Revenue drivers'!AI340</f>
        <v>0</v>
      </c>
      <c r="AJ947">
        <f>'Revenue drivers'!AJ340</f>
        <v>0</v>
      </c>
      <c r="AK947">
        <f>'Revenue drivers'!AK340</f>
        <v>0</v>
      </c>
      <c r="AL947">
        <f>'Revenue drivers'!AL340</f>
        <v>0</v>
      </c>
      <c r="AM947">
        <f>'Revenue drivers'!AM340</f>
        <v>0</v>
      </c>
      <c r="AN947">
        <f>'Revenue drivers'!AN340</f>
        <v>0</v>
      </c>
      <c r="AO947">
        <f>'Revenue drivers'!AO340</f>
        <v>0</v>
      </c>
      <c r="AP947">
        <f>'Revenue drivers'!AP340</f>
        <v>0</v>
      </c>
      <c r="AQ947">
        <f>'Revenue drivers'!AQ340</f>
        <v>0</v>
      </c>
      <c r="AR947">
        <f>'Revenue drivers'!AR340</f>
        <v>0</v>
      </c>
      <c r="AS947">
        <f>'Revenue drivers'!AS340</f>
        <v>0</v>
      </c>
      <c r="AT947">
        <f>'Revenue drivers'!AT340</f>
        <v>0</v>
      </c>
      <c r="AU947">
        <f>'Revenue drivers'!AU340</f>
        <v>0</v>
      </c>
      <c r="AV947">
        <f>'Revenue drivers'!AV340</f>
        <v>0</v>
      </c>
      <c r="AW947">
        <f>'Revenue drivers'!AW340</f>
        <v>0</v>
      </c>
      <c r="AX947">
        <f>'Revenue drivers'!AX340</f>
        <v>0</v>
      </c>
      <c r="AY947">
        <f>'Revenue drivers'!AY340</f>
        <v>0</v>
      </c>
      <c r="AZ947">
        <f>'Revenue drivers'!AZ340</f>
        <v>0</v>
      </c>
      <c r="BA947">
        <f>'Revenue drivers'!BA340</f>
        <v>0</v>
      </c>
      <c r="BB947">
        <f>'Revenue drivers'!BB340</f>
        <v>0</v>
      </c>
      <c r="BC947">
        <f>'Revenue drivers'!BC340</f>
        <v>0</v>
      </c>
      <c r="BD947">
        <f>'Revenue drivers'!BD340</f>
        <v>0</v>
      </c>
      <c r="BE947">
        <f>'Revenue drivers'!BE340</f>
        <v>0</v>
      </c>
      <c r="BF947">
        <f>'Revenue drivers'!BF340</f>
        <v>0</v>
      </c>
      <c r="BG947">
        <f>'Revenue drivers'!BG340</f>
        <v>0</v>
      </c>
      <c r="BH947">
        <f>'Revenue drivers'!BH340</f>
        <v>0</v>
      </c>
      <c r="BI947">
        <f>'Revenue drivers'!BI340</f>
        <v>0</v>
      </c>
      <c r="BJ947">
        <f>'Revenue drivers'!BJ340</f>
        <v>0</v>
      </c>
      <c r="BK947">
        <f>'Revenue drivers'!BK340</f>
        <v>0</v>
      </c>
      <c r="BL947">
        <f>'Revenue drivers'!BL340</f>
        <v>0</v>
      </c>
      <c r="BM947">
        <f>'Revenue drivers'!BM340</f>
        <v>0</v>
      </c>
      <c r="BN947">
        <f>'Revenue drivers'!BN340</f>
        <v>0</v>
      </c>
      <c r="BO947">
        <f>'Revenue drivers'!BO340</f>
        <v>0</v>
      </c>
      <c r="BP947">
        <f>'Revenue drivers'!BP340</f>
        <v>0</v>
      </c>
      <c r="BQ947">
        <f>'Revenue drivers'!BQ340</f>
        <v>0</v>
      </c>
      <c r="BR947">
        <f>'Revenue drivers'!BR340</f>
        <v>0</v>
      </c>
      <c r="BS947">
        <f>'Revenue drivers'!BS340</f>
        <v>0</v>
      </c>
      <c r="BT947">
        <f>'Revenue drivers'!BT340</f>
        <v>0</v>
      </c>
      <c r="BU947">
        <f>'Revenue drivers'!BU340</f>
        <v>0</v>
      </c>
      <c r="BV947">
        <f>'Revenue drivers'!BV340</f>
        <v>0</v>
      </c>
      <c r="BW947">
        <f>'Revenue drivers'!BW340</f>
        <v>0</v>
      </c>
      <c r="BX947">
        <f>'Revenue drivers'!BX340</f>
        <v>0</v>
      </c>
      <c r="BY947">
        <f>'Revenue drivers'!BY340</f>
        <v>0</v>
      </c>
    </row>
    <row r="948" spans="9:77" ht="11.25" customHeight="1">
      <c r="I948" t="str">
        <f>'Revenue drivers'!I341</f>
        <v>Mobile unique visitors</v>
      </c>
      <c r="J948">
        <f>'Revenue drivers'!J341</f>
        <v>0</v>
      </c>
      <c r="K948">
        <f>'Revenue drivers'!K341</f>
        <v>0</v>
      </c>
      <c r="L948">
        <f>'Revenue drivers'!L341</f>
        <v>0</v>
      </c>
      <c r="M948">
        <f>'Revenue drivers'!M341</f>
        <v>0</v>
      </c>
      <c r="N948">
        <f>'Revenue drivers'!N341</f>
        <v>0</v>
      </c>
      <c r="O948">
        <f>'Revenue drivers'!O341</f>
        <v>0</v>
      </c>
      <c r="P948">
        <f>'Revenue drivers'!P341</f>
        <v>0</v>
      </c>
      <c r="Q948">
        <f>'Revenue drivers'!Q341</f>
        <v>6.5543800000000019</v>
      </c>
      <c r="R948">
        <f>'Revenue drivers'!R341</f>
        <v>8.2496000000000027</v>
      </c>
      <c r="S948">
        <f>'Revenue drivers'!S341</f>
        <v>10.982160000000002</v>
      </c>
      <c r="T948">
        <f>'Revenue drivers'!T341</f>
        <v>13.159200000000002</v>
      </c>
      <c r="U948">
        <f>'Revenue drivers'!U341</f>
        <v>15.718559999999998</v>
      </c>
      <c r="V948">
        <f>'Revenue drivers'!V341</f>
        <v>18.798959999999997</v>
      </c>
      <c r="W948">
        <f>'Revenue drivers'!W341</f>
        <v>20.884499999999999</v>
      </c>
      <c r="X948">
        <f>'Revenue drivers'!X341</f>
        <v>32.9666</v>
      </c>
      <c r="Y948">
        <f>'Revenue drivers'!Y341</f>
        <v>40.167999999999999</v>
      </c>
      <c r="Z948">
        <f>'Revenue drivers'!Z341</f>
        <v>45.064</v>
      </c>
      <c r="AA948">
        <f>'Revenue drivers'!AA341</f>
        <v>50.454999999999998</v>
      </c>
      <c r="AB948">
        <f>'Revenue drivers'!AB341</f>
        <v>52.905000000000001</v>
      </c>
      <c r="AC948">
        <f>'Revenue drivers'!AC341</f>
        <v>61.19</v>
      </c>
      <c r="AD948">
        <f>'Revenue drivers'!AD341</f>
        <v>67.885999999999996</v>
      </c>
      <c r="AE948">
        <f>'Revenue drivers'!AE341</f>
        <v>73.44</v>
      </c>
      <c r="AF948">
        <f>'Revenue drivers'!AF341</f>
        <v>72.307000000000002</v>
      </c>
      <c r="AG948">
        <f>'Revenue drivers'!AG341</f>
        <v>78.962000000000003</v>
      </c>
      <c r="AH948">
        <f>'Revenue drivers'!AH341</f>
        <v>82.811999999999998</v>
      </c>
      <c r="AI948">
        <f>'Revenue drivers'!AI341</f>
        <v>89.238</v>
      </c>
      <c r="AJ948">
        <f>'Revenue drivers'!AJ341</f>
        <v>85.866</v>
      </c>
      <c r="AK948">
        <f>'Revenue drivers'!AK341</f>
        <v>89.736999999999995</v>
      </c>
      <c r="AL948">
        <f>'Revenue drivers'!AL341</f>
        <v>92.337000000000003</v>
      </c>
      <c r="AM948">
        <f>'Revenue drivers'!AM341</f>
        <v>96.94</v>
      </c>
      <c r="AN948">
        <f>'Revenue drivers'!AN341</f>
        <v>89.424000000000007</v>
      </c>
      <c r="AO948">
        <f>'Revenue drivers'!AO341</f>
        <v>99.018999999999991</v>
      </c>
      <c r="AP948">
        <f>'Revenue drivers'!AP341</f>
        <v>102.08799999999999</v>
      </c>
      <c r="AQ948">
        <f>'Revenue drivers'!AQ341</f>
        <v>103.66999999999999</v>
      </c>
      <c r="AR948">
        <f>'Revenue drivers'!AR341</f>
        <v>93.066000000000003</v>
      </c>
      <c r="AS948">
        <f>'Revenue drivers'!AS341</f>
        <v>101.22174999999999</v>
      </c>
      <c r="AT948">
        <f>'Revenue drivers'!AT341</f>
        <v>103.83039999999998</v>
      </c>
      <c r="AU948">
        <f>'Revenue drivers'!AU341</f>
        <v>105.17509999999997</v>
      </c>
      <c r="AV948">
        <f>'Revenue drivers'!AV341</f>
        <v>96.161699999999982</v>
      </c>
      <c r="AW948">
        <f>'Revenue drivers'!AW341</f>
        <v>103.09408749999997</v>
      </c>
      <c r="AX948">
        <f>'Revenue drivers'!AX341</f>
        <v>105.31143999999998</v>
      </c>
      <c r="AY948">
        <f>'Revenue drivers'!AY341</f>
        <v>106.45443499999998</v>
      </c>
      <c r="AZ948">
        <f>'Revenue drivers'!AZ341</f>
        <v>98.793044999999992</v>
      </c>
      <c r="BA948">
        <f>'Revenue drivers'!BA341</f>
        <v>104.68557437499999</v>
      </c>
      <c r="BB948">
        <f>'Revenue drivers'!BB341</f>
        <v>106.57032399999999</v>
      </c>
      <c r="BC948">
        <f>'Revenue drivers'!BC341</f>
        <v>107.54186974999998</v>
      </c>
      <c r="BD948">
        <f>'Revenue drivers'!BD341</f>
        <v>101.02968824999999</v>
      </c>
      <c r="BE948">
        <f>'Revenue drivers'!BE341</f>
        <v>0</v>
      </c>
      <c r="BF948">
        <f>'Revenue drivers'!BF341</f>
        <v>0</v>
      </c>
      <c r="BG948">
        <f>'Revenue drivers'!BG341</f>
        <v>0</v>
      </c>
      <c r="BH948">
        <f>'Revenue drivers'!BH341</f>
        <v>0</v>
      </c>
      <c r="BI948">
        <f>'Revenue drivers'!BI341</f>
        <v>0</v>
      </c>
      <c r="BJ948">
        <f>'Revenue drivers'!BJ341</f>
        <v>0</v>
      </c>
      <c r="BK948">
        <f>'Revenue drivers'!BK341</f>
        <v>0</v>
      </c>
      <c r="BL948">
        <f>'Revenue drivers'!BL341</f>
        <v>32.9666</v>
      </c>
      <c r="BM948">
        <f>'Revenue drivers'!BM341</f>
        <v>52.905000000000001</v>
      </c>
      <c r="BN948">
        <f>'Revenue drivers'!BN341</f>
        <v>72.307000000000002</v>
      </c>
      <c r="BO948">
        <f>'Revenue drivers'!BO341</f>
        <v>85.866</v>
      </c>
      <c r="BP948">
        <f>'Revenue drivers'!BP341</f>
        <v>89.424000000000007</v>
      </c>
      <c r="BQ948">
        <f>'Revenue drivers'!BQ341</f>
        <v>93.066000000000003</v>
      </c>
      <c r="BR948">
        <f>'Revenue drivers'!BR341</f>
        <v>96.161699999999982</v>
      </c>
      <c r="BS948">
        <f>'Revenue drivers'!BS341</f>
        <v>98.793044999999992</v>
      </c>
      <c r="BT948">
        <f>'Revenue drivers'!BT341</f>
        <v>101.02968824999999</v>
      </c>
      <c r="BU948">
        <f>'Revenue drivers'!BU341</f>
        <v>103.04266717499999</v>
      </c>
      <c r="BV948">
        <f>'Revenue drivers'!BV341</f>
        <v>104.8543482075</v>
      </c>
      <c r="BW948">
        <f>'Revenue drivers'!BW341</f>
        <v>106.48486113675</v>
      </c>
      <c r="BX948">
        <f>'Revenue drivers'!BX341</f>
        <v>107.952322773075</v>
      </c>
      <c r="BY948">
        <f>'Revenue drivers'!BY341</f>
        <v>109.27303824576749</v>
      </c>
    </row>
    <row r="949" spans="9:77" ht="11.25" customHeight="1">
      <c r="I949" t="str">
        <f>'Revenue drivers'!I342</f>
        <v>% change Y/Y</v>
      </c>
      <c r="J949">
        <f>'Revenue drivers'!J342</f>
        <v>0</v>
      </c>
      <c r="K949">
        <f>'Revenue drivers'!K342</f>
        <v>0</v>
      </c>
      <c r="L949">
        <f>'Revenue drivers'!L342</f>
        <v>0</v>
      </c>
      <c r="M949">
        <f>'Revenue drivers'!M342</f>
        <v>0</v>
      </c>
      <c r="N949">
        <f>'Revenue drivers'!N342</f>
        <v>0</v>
      </c>
      <c r="O949">
        <f>'Revenue drivers'!O342</f>
        <v>0</v>
      </c>
      <c r="P949">
        <f>'Revenue drivers'!P342</f>
        <v>0</v>
      </c>
      <c r="Q949" t="str">
        <f>'Revenue drivers'!Q342</f>
        <v>NA</v>
      </c>
      <c r="R949" t="str">
        <f>'Revenue drivers'!R342</f>
        <v>NA</v>
      </c>
      <c r="S949" t="str">
        <f>'Revenue drivers'!S342</f>
        <v>NA</v>
      </c>
      <c r="T949" t="str">
        <f>'Revenue drivers'!T342</f>
        <v>NA</v>
      </c>
      <c r="U949">
        <f>'Revenue drivers'!U342</f>
        <v>1.3981764865631829</v>
      </c>
      <c r="V949">
        <f>'Revenue drivers'!V342</f>
        <v>1.2787723041117136</v>
      </c>
      <c r="W949">
        <f>'Revenue drivers'!W342</f>
        <v>0.90167508031206922</v>
      </c>
      <c r="X949">
        <f>'Revenue drivers'!X342</f>
        <v>1.5052130828621797</v>
      </c>
      <c r="Y949">
        <f>'Revenue drivers'!Y342</f>
        <v>1.555450372044259</v>
      </c>
      <c r="Z949">
        <f>'Revenue drivers'!Z342</f>
        <v>1.3971538851085383</v>
      </c>
      <c r="AA949">
        <f>'Revenue drivers'!AA342</f>
        <v>1.4159065335535925</v>
      </c>
      <c r="AB949">
        <f>'Revenue drivers'!AB342</f>
        <v>0.60480607645313755</v>
      </c>
      <c r="AC949">
        <f>'Revenue drivers'!AC342</f>
        <v>0.52335192192790281</v>
      </c>
      <c r="AD949">
        <f>'Revenue drivers'!AD342</f>
        <v>0.50643529202911397</v>
      </c>
      <c r="AE949">
        <f>'Revenue drivers'!AE342</f>
        <v>0.45555445446437415</v>
      </c>
      <c r="AF949">
        <f>'Revenue drivers'!AF342</f>
        <v>0.36673282298459497</v>
      </c>
      <c r="AG949">
        <f>'Revenue drivers'!AG342</f>
        <v>0.2904396143160648</v>
      </c>
      <c r="AH949">
        <f>'Revenue drivers'!AH342</f>
        <v>0.21986860324661928</v>
      </c>
      <c r="AI949">
        <f>'Revenue drivers'!AI342</f>
        <v>0.21511437908496744</v>
      </c>
      <c r="AJ949">
        <f>'Revenue drivers'!AJ342</f>
        <v>0.1875198805094942</v>
      </c>
      <c r="AK949">
        <f>'Revenue drivers'!AK342</f>
        <v>0.13645804310934362</v>
      </c>
      <c r="AL949">
        <f>'Revenue drivers'!AL342</f>
        <v>0.11501956238226341</v>
      </c>
      <c r="AM949">
        <f>'Revenue drivers'!AM342</f>
        <v>8.6308523274837956E-2</v>
      </c>
      <c r="AN949">
        <f>'Revenue drivers'!AN342</f>
        <v>4.1436657116903142E-2</v>
      </c>
      <c r="AO949">
        <f>'Revenue drivers'!AO342</f>
        <v>0.10343559512798506</v>
      </c>
      <c r="AP949">
        <f>'Revenue drivers'!AP342</f>
        <v>0.10560230460162212</v>
      </c>
      <c r="AQ949">
        <f>'Revenue drivers'!AQ342</f>
        <v>6.9424386218279288E-2</v>
      </c>
      <c r="AR949">
        <f>'Revenue drivers'!AR342</f>
        <v>4.0727321524422821E-2</v>
      </c>
      <c r="AS949">
        <f>'Revenue drivers'!AS342</f>
        <v>2.2245730617356241E-2</v>
      </c>
      <c r="AT949">
        <f>'Revenue drivers'!AT342</f>
        <v>1.706762792884553E-2</v>
      </c>
      <c r="AU949">
        <f>'Revenue drivers'!AU342</f>
        <v>1.4518182695089976E-2</v>
      </c>
      <c r="AV949">
        <f>'Revenue drivers'!AV342</f>
        <v>3.3263490426149067E-2</v>
      </c>
      <c r="AW949">
        <f>'Revenue drivers'!AW342</f>
        <v>1.8497383220503316E-2</v>
      </c>
      <c r="AX949">
        <f>'Revenue drivers'!AX342</f>
        <v>1.4264030572934239E-2</v>
      </c>
      <c r="AY949">
        <f>'Revenue drivers'!AY342</f>
        <v>1.2163858175556763E-2</v>
      </c>
      <c r="AZ949">
        <f>'Revenue drivers'!AZ342</f>
        <v>2.7363752928661E-2</v>
      </c>
      <c r="BA949">
        <f>'Revenue drivers'!BA342</f>
        <v>1.5437227425869837E-2</v>
      </c>
      <c r="BB949">
        <f>'Revenue drivers'!BB342</f>
        <v>1.1953914978277913E-2</v>
      </c>
      <c r="BC949">
        <f>'Revenue drivers'!BC342</f>
        <v>1.0215025329851191E-2</v>
      </c>
      <c r="BD949">
        <f>'Revenue drivers'!BD342</f>
        <v>2.2639683289446211E-2</v>
      </c>
      <c r="BE949">
        <f>'Revenue drivers'!BE342</f>
        <v>0</v>
      </c>
      <c r="BF949">
        <f>'Revenue drivers'!BF342</f>
        <v>0</v>
      </c>
      <c r="BG949">
        <f>'Revenue drivers'!BG342</f>
        <v>0</v>
      </c>
      <c r="BH949">
        <f>'Revenue drivers'!BH342</f>
        <v>0</v>
      </c>
      <c r="BI949">
        <f>'Revenue drivers'!BI342</f>
        <v>0</v>
      </c>
      <c r="BJ949">
        <f>'Revenue drivers'!BJ342</f>
        <v>0</v>
      </c>
      <c r="BK949">
        <f>'Revenue drivers'!BK342</f>
        <v>0</v>
      </c>
      <c r="BL949">
        <f>'Revenue drivers'!BL342</f>
        <v>0</v>
      </c>
      <c r="BM949">
        <f>'Revenue drivers'!BM342</f>
        <v>0.60480607645313755</v>
      </c>
      <c r="BN949">
        <f>'Revenue drivers'!BN342</f>
        <v>0.36673282298459497</v>
      </c>
      <c r="BO949">
        <f>'Revenue drivers'!BO342</f>
        <v>0.1875198805094942</v>
      </c>
      <c r="BP949">
        <f>'Revenue drivers'!BP342</f>
        <v>4.1436657116903142E-2</v>
      </c>
      <c r="BQ949">
        <f>'Revenue drivers'!BQ342</f>
        <v>4.0727321524422821E-2</v>
      </c>
      <c r="BR949">
        <f>'Revenue drivers'!BR342</f>
        <v>3.3263490426149067E-2</v>
      </c>
      <c r="BS949">
        <f>'Revenue drivers'!BS342</f>
        <v>2.7363752928661E-2</v>
      </c>
      <c r="BT949">
        <f>'Revenue drivers'!BT342</f>
        <v>2.2639683289446211E-2</v>
      </c>
      <c r="BU949">
        <f>'Revenue drivers'!BU342</f>
        <v>1.992462769971981E-2</v>
      </c>
      <c r="BV949">
        <f>'Revenue drivers'!BV342</f>
        <v>1.7581853053387775E-2</v>
      </c>
      <c r="BW949">
        <f>'Revenue drivers'!BW342</f>
        <v>1.5550265269145713E-2</v>
      </c>
      <c r="BX949">
        <f>'Revenue drivers'!BX342</f>
        <v>1.3780941447070649E-2</v>
      </c>
      <c r="BY949">
        <f>'Revenue drivers'!BY342</f>
        <v>1.2234247849105984E-2</v>
      </c>
    </row>
    <row r="950" spans="9:77" ht="11.25" customHeight="1">
      <c r="I950" t="str">
        <f>'Revenue drivers'!I343</f>
        <v>Q/Q Abs Growth (DRIVER)</v>
      </c>
      <c r="J950">
        <f>'Revenue drivers'!J343</f>
        <v>0</v>
      </c>
      <c r="K950">
        <f>'Revenue drivers'!K343</f>
        <v>0</v>
      </c>
      <c r="L950">
        <f>'Revenue drivers'!L343</f>
        <v>0</v>
      </c>
      <c r="M950">
        <f>'Revenue drivers'!M343</f>
        <v>0</v>
      </c>
      <c r="N950">
        <f>'Revenue drivers'!N343</f>
        <v>0</v>
      </c>
      <c r="O950">
        <f>'Revenue drivers'!O343</f>
        <v>0</v>
      </c>
      <c r="P950">
        <f>'Revenue drivers'!P343</f>
        <v>0</v>
      </c>
      <c r="Q950">
        <f>'Revenue drivers'!Q343</f>
        <v>0</v>
      </c>
      <c r="R950">
        <f>'Revenue drivers'!R343</f>
        <v>1.6952200000000008</v>
      </c>
      <c r="S950">
        <f>'Revenue drivers'!S343</f>
        <v>2.7325599999999994</v>
      </c>
      <c r="T950">
        <f>'Revenue drivers'!T343</f>
        <v>2.1770399999999999</v>
      </c>
      <c r="U950">
        <f>'Revenue drivers'!U343</f>
        <v>2.5593599999999963</v>
      </c>
      <c r="V950">
        <f>'Revenue drivers'!V343</f>
        <v>3.0803999999999991</v>
      </c>
      <c r="W950">
        <f>'Revenue drivers'!W343</f>
        <v>2.0855400000000017</v>
      </c>
      <c r="X950">
        <f>'Revenue drivers'!X343</f>
        <v>12.082100000000001</v>
      </c>
      <c r="Y950">
        <f>'Revenue drivers'!Y343</f>
        <v>7.2013999999999996</v>
      </c>
      <c r="Z950">
        <f>'Revenue drivers'!Z343</f>
        <v>4.8960000000000008</v>
      </c>
      <c r="AA950">
        <f>'Revenue drivers'!AA343</f>
        <v>5.3909999999999982</v>
      </c>
      <c r="AB950">
        <f>'Revenue drivers'!AB343</f>
        <v>2.4500000000000028</v>
      </c>
      <c r="AC950">
        <f>'Revenue drivers'!AC343</f>
        <v>8.2849999999999966</v>
      </c>
      <c r="AD950">
        <f>'Revenue drivers'!AD343</f>
        <v>6.695999999999998</v>
      </c>
      <c r="AE950">
        <f>'Revenue drivers'!AE343</f>
        <v>5.554000000000002</v>
      </c>
      <c r="AF950">
        <f>'Revenue drivers'!AF343</f>
        <v>-1.1329999999999956</v>
      </c>
      <c r="AG950">
        <f>'Revenue drivers'!AG343</f>
        <v>6.6550000000000011</v>
      </c>
      <c r="AH950">
        <f>'Revenue drivers'!AH343</f>
        <v>3.8499999999999943</v>
      </c>
      <c r="AI950">
        <f>'Revenue drivers'!AI343</f>
        <v>6.4260000000000019</v>
      </c>
      <c r="AJ950">
        <f>'Revenue drivers'!AJ343</f>
        <v>-3.3719999999999999</v>
      </c>
      <c r="AK950">
        <f>'Revenue drivers'!AK343</f>
        <v>3.8709999999999951</v>
      </c>
      <c r="AL950">
        <f>'Revenue drivers'!AL343</f>
        <v>2.6000000000000085</v>
      </c>
      <c r="AM950">
        <f>'Revenue drivers'!AM343</f>
        <v>4.6029999999999944</v>
      </c>
      <c r="AN950">
        <f>'Revenue drivers'!AN343</f>
        <v>-7.5159999999999911</v>
      </c>
      <c r="AO950">
        <f>'Revenue drivers'!AO343</f>
        <v>9.5949999999999847</v>
      </c>
      <c r="AP950">
        <f>'Revenue drivers'!AP343</f>
        <v>3.0690000000000026</v>
      </c>
      <c r="AQ950">
        <f>'Revenue drivers'!AQ343</f>
        <v>1.5819999999999936</v>
      </c>
      <c r="AR950">
        <f>'Revenue drivers'!AR343</f>
        <v>-10.603999999999985</v>
      </c>
      <c r="AS950">
        <f>'Revenue drivers'!AS343</f>
        <v>8.155749999999987</v>
      </c>
      <c r="AT950">
        <f>'Revenue drivers'!AT343</f>
        <v>2.6086500000000021</v>
      </c>
      <c r="AU950">
        <f>'Revenue drivers'!AU343</f>
        <v>1.3446999999999945</v>
      </c>
      <c r="AV950">
        <f>'Revenue drivers'!AV343</f>
        <v>-9.0133999999999865</v>
      </c>
      <c r="AW950">
        <f>'Revenue drivers'!AW343</f>
        <v>6.9323874999999884</v>
      </c>
      <c r="AX950">
        <f>'Revenue drivers'!AX343</f>
        <v>2.2173525000000018</v>
      </c>
      <c r="AY950">
        <f>'Revenue drivers'!AY343</f>
        <v>1.1429949999999953</v>
      </c>
      <c r="AZ950">
        <f>'Revenue drivers'!AZ343</f>
        <v>-7.6613899999999884</v>
      </c>
      <c r="BA950">
        <f>'Revenue drivers'!BA343</f>
        <v>5.8925293749999899</v>
      </c>
      <c r="BB950">
        <f>'Revenue drivers'!BB343</f>
        <v>1.8847496250000015</v>
      </c>
      <c r="BC950">
        <f>'Revenue drivers'!BC343</f>
        <v>0.97154574999999599</v>
      </c>
      <c r="BD950">
        <f>'Revenue drivers'!BD343</f>
        <v>-6.5121814999999899</v>
      </c>
      <c r="BE950">
        <f>'Revenue drivers'!BE343</f>
        <v>0</v>
      </c>
      <c r="BF950">
        <f>'Revenue drivers'!BF343</f>
        <v>0</v>
      </c>
      <c r="BG950">
        <f>'Revenue drivers'!BG343</f>
        <v>0</v>
      </c>
      <c r="BH950">
        <f>'Revenue drivers'!BH343</f>
        <v>0</v>
      </c>
      <c r="BI950">
        <f>'Revenue drivers'!BI343</f>
        <v>0</v>
      </c>
      <c r="BJ950">
        <f>'Revenue drivers'!BJ343</f>
        <v>0</v>
      </c>
      <c r="BK950">
        <f>'Revenue drivers'!BK343</f>
        <v>0</v>
      </c>
      <c r="BL950">
        <f>'Revenue drivers'!BL343</f>
        <v>0</v>
      </c>
      <c r="BM950">
        <f>'Revenue drivers'!BM343</f>
        <v>0</v>
      </c>
      <c r="BN950">
        <f>'Revenue drivers'!BN343</f>
        <v>0</v>
      </c>
      <c r="BO950">
        <f>'Revenue drivers'!BO343</f>
        <v>0</v>
      </c>
      <c r="BP950">
        <f>'Revenue drivers'!BP343</f>
        <v>0</v>
      </c>
      <c r="BQ950">
        <f>'Revenue drivers'!BQ343</f>
        <v>0</v>
      </c>
      <c r="BR950">
        <f>'Revenue drivers'!BR343</f>
        <v>0</v>
      </c>
      <c r="BS950">
        <f>'Revenue drivers'!BS343</f>
        <v>0</v>
      </c>
      <c r="BT950">
        <f>'Revenue drivers'!BT343</f>
        <v>0</v>
      </c>
      <c r="BU950">
        <f>'Revenue drivers'!BU343</f>
        <v>0</v>
      </c>
      <c r="BV950">
        <f>'Revenue drivers'!BV343</f>
        <v>0</v>
      </c>
      <c r="BW950">
        <f>'Revenue drivers'!BW343</f>
        <v>0</v>
      </c>
      <c r="BX950">
        <f>'Revenue drivers'!BX343</f>
        <v>0</v>
      </c>
      <c r="BY950">
        <f>'Revenue drivers'!BY343</f>
        <v>0</v>
      </c>
    </row>
    <row r="951" spans="9:77" ht="11.25" customHeight="1">
      <c r="I951" t="str">
        <f>'Revenue drivers'!I344</f>
        <v>Y/Y Abs Growth</v>
      </c>
      <c r="J951">
        <f>'Revenue drivers'!J344</f>
        <v>0</v>
      </c>
      <c r="K951">
        <f>'Revenue drivers'!K344</f>
        <v>0</v>
      </c>
      <c r="L951">
        <f>'Revenue drivers'!L344</f>
        <v>0</v>
      </c>
      <c r="M951">
        <f>'Revenue drivers'!M344</f>
        <v>0</v>
      </c>
      <c r="N951">
        <f>'Revenue drivers'!N344</f>
        <v>0</v>
      </c>
      <c r="O951">
        <f>'Revenue drivers'!O344</f>
        <v>0</v>
      </c>
      <c r="P951">
        <f>'Revenue drivers'!P344</f>
        <v>0</v>
      </c>
      <c r="Q951">
        <f>'Revenue drivers'!Q344</f>
        <v>0</v>
      </c>
      <c r="R951">
        <f>'Revenue drivers'!R344</f>
        <v>0</v>
      </c>
      <c r="S951">
        <f>'Revenue drivers'!S344</f>
        <v>0</v>
      </c>
      <c r="T951">
        <f>'Revenue drivers'!T344</f>
        <v>0</v>
      </c>
      <c r="U951">
        <f>'Revenue drivers'!U344</f>
        <v>9.1641799999999964</v>
      </c>
      <c r="V951">
        <f>'Revenue drivers'!V344</f>
        <v>10.549359999999995</v>
      </c>
      <c r="W951">
        <f>'Revenue drivers'!W344</f>
        <v>9.902339999999997</v>
      </c>
      <c r="X951">
        <f>'Revenue drivers'!X344</f>
        <v>19.807399999999998</v>
      </c>
      <c r="Y951">
        <f>'Revenue drivers'!Y344</f>
        <v>24.449440000000003</v>
      </c>
      <c r="Z951">
        <f>'Revenue drivers'!Z344</f>
        <v>26.265040000000003</v>
      </c>
      <c r="AA951">
        <f>'Revenue drivers'!AA344</f>
        <v>29.570499999999999</v>
      </c>
      <c r="AB951">
        <f>'Revenue drivers'!AB344</f>
        <v>19.938400000000001</v>
      </c>
      <c r="AC951">
        <f>'Revenue drivers'!AC344</f>
        <v>21.021999999999998</v>
      </c>
      <c r="AD951">
        <f>'Revenue drivers'!AD344</f>
        <v>22.821999999999996</v>
      </c>
      <c r="AE951">
        <f>'Revenue drivers'!AE344</f>
        <v>22.984999999999999</v>
      </c>
      <c r="AF951">
        <f>'Revenue drivers'!AF344</f>
        <v>19.402000000000001</v>
      </c>
      <c r="AG951">
        <f>'Revenue drivers'!AG344</f>
        <v>17.772000000000006</v>
      </c>
      <c r="AH951">
        <f>'Revenue drivers'!AH344</f>
        <v>14.926000000000002</v>
      </c>
      <c r="AI951">
        <f>'Revenue drivers'!AI344</f>
        <v>15.798000000000002</v>
      </c>
      <c r="AJ951">
        <f>'Revenue drivers'!AJ344</f>
        <v>13.558999999999997</v>
      </c>
      <c r="AK951">
        <f>'Revenue drivers'!AK344</f>
        <v>10.774999999999991</v>
      </c>
      <c r="AL951">
        <f>'Revenue drivers'!AL344</f>
        <v>9.5250000000000057</v>
      </c>
      <c r="AM951">
        <f>'Revenue drivers'!AM344</f>
        <v>7.7019999999999982</v>
      </c>
      <c r="AN951">
        <f>'Revenue drivers'!AN344</f>
        <v>3.5580000000000069</v>
      </c>
      <c r="AO951">
        <f>'Revenue drivers'!AO344</f>
        <v>9.2819999999999965</v>
      </c>
      <c r="AP951">
        <f>'Revenue drivers'!AP344</f>
        <v>9.7509999999999906</v>
      </c>
      <c r="AQ951">
        <f>'Revenue drivers'!AQ344</f>
        <v>6.7299999999999898</v>
      </c>
      <c r="AR951">
        <f>'Revenue drivers'!AR344</f>
        <v>3.6419999999999959</v>
      </c>
      <c r="AS951">
        <f>'Revenue drivers'!AS344</f>
        <v>2.2027499999999947</v>
      </c>
      <c r="AT951">
        <f>'Revenue drivers'!AT344</f>
        <v>1.7423999999999893</v>
      </c>
      <c r="AU951">
        <f>'Revenue drivers'!AU344</f>
        <v>1.5050999999999846</v>
      </c>
      <c r="AV951">
        <f>'Revenue drivers'!AV344</f>
        <v>3.0956999999999795</v>
      </c>
      <c r="AW951">
        <f>'Revenue drivers'!AW344</f>
        <v>1.8723374999999862</v>
      </c>
      <c r="AX951">
        <f>'Revenue drivers'!AX344</f>
        <v>1.481039999999993</v>
      </c>
      <c r="AY951">
        <f>'Revenue drivers'!AY344</f>
        <v>1.2793350000000032</v>
      </c>
      <c r="AZ951">
        <f>'Revenue drivers'!AZ344</f>
        <v>2.6313450000000103</v>
      </c>
      <c r="BA951">
        <f>'Revenue drivers'!BA344</f>
        <v>1.5914868750000153</v>
      </c>
      <c r="BB951">
        <f>'Revenue drivers'!BB344</f>
        <v>1.258884000000009</v>
      </c>
      <c r="BC951">
        <f>'Revenue drivers'!BC344</f>
        <v>1.0874347499999999</v>
      </c>
      <c r="BD951">
        <f>'Revenue drivers'!BD344</f>
        <v>2.2366432500000002</v>
      </c>
      <c r="BE951">
        <f>'Revenue drivers'!BE344</f>
        <v>0</v>
      </c>
      <c r="BF951">
        <f>'Revenue drivers'!BF344</f>
        <v>0</v>
      </c>
      <c r="BG951">
        <f>'Revenue drivers'!BG344</f>
        <v>0</v>
      </c>
      <c r="BH951">
        <f>'Revenue drivers'!BH344</f>
        <v>0</v>
      </c>
      <c r="BI951">
        <f>'Revenue drivers'!BI344</f>
        <v>0</v>
      </c>
      <c r="BJ951">
        <f>'Revenue drivers'!BJ344</f>
        <v>0</v>
      </c>
      <c r="BK951">
        <f>'Revenue drivers'!BK344</f>
        <v>0</v>
      </c>
      <c r="BL951">
        <f>'Revenue drivers'!BL344</f>
        <v>0</v>
      </c>
      <c r="BM951">
        <f>'Revenue drivers'!BM344</f>
        <v>19.938400000000001</v>
      </c>
      <c r="BN951">
        <f>'Revenue drivers'!BN344</f>
        <v>19.402000000000001</v>
      </c>
      <c r="BO951">
        <f>'Revenue drivers'!BO344</f>
        <v>13.558999999999997</v>
      </c>
      <c r="BP951">
        <f>'Revenue drivers'!BP344</f>
        <v>3.5580000000000069</v>
      </c>
      <c r="BQ951">
        <f>'Revenue drivers'!BQ344</f>
        <v>3.6419999999999959</v>
      </c>
      <c r="BR951">
        <f>'Revenue drivers'!BR344</f>
        <v>3.0956999999999795</v>
      </c>
      <c r="BS951">
        <f>'Revenue drivers'!BS344</f>
        <v>2.6313450000000103</v>
      </c>
      <c r="BT951">
        <f>'Revenue drivers'!BT344</f>
        <v>2.2366432500000002</v>
      </c>
      <c r="BU951">
        <f>'Revenue drivers'!BU344</f>
        <v>2.0129789250000001</v>
      </c>
      <c r="BV951">
        <f>'Revenue drivers'!BV344</f>
        <v>1.8116810325000001</v>
      </c>
      <c r="BW951">
        <f>'Revenue drivers'!BW344</f>
        <v>1.6305129292500002</v>
      </c>
      <c r="BX951">
        <f>'Revenue drivers'!BX344</f>
        <v>1.4674616363250002</v>
      </c>
      <c r="BY951">
        <f>'Revenue drivers'!BY344</f>
        <v>1.3207154726925001</v>
      </c>
    </row>
    <row r="952" spans="9:77" ht="11.25" customHeight="1">
      <c r="I952" t="str">
        <f>'Revenue drivers'!I345</f>
        <v>% change Q/Q</v>
      </c>
      <c r="J952">
        <f>'Revenue drivers'!J345</f>
        <v>0</v>
      </c>
      <c r="K952">
        <f>'Revenue drivers'!K345</f>
        <v>0</v>
      </c>
      <c r="L952">
        <f>'Revenue drivers'!L345</f>
        <v>0</v>
      </c>
      <c r="M952">
        <f>'Revenue drivers'!M345</f>
        <v>0</v>
      </c>
      <c r="N952">
        <f>'Revenue drivers'!N345</f>
        <v>0</v>
      </c>
      <c r="O952">
        <f>'Revenue drivers'!O345</f>
        <v>0</v>
      </c>
      <c r="P952">
        <f>'Revenue drivers'!P345</f>
        <v>0</v>
      </c>
      <c r="Q952" t="str">
        <f>'Revenue drivers'!Q345</f>
        <v>NA</v>
      </c>
      <c r="R952">
        <f>'Revenue drivers'!R345</f>
        <v>0.25863926107427404</v>
      </c>
      <c r="S952">
        <f>'Revenue drivers'!S345</f>
        <v>0.33123545384018604</v>
      </c>
      <c r="T952">
        <f>'Revenue drivers'!T345</f>
        <v>0.19823422714657224</v>
      </c>
      <c r="U952">
        <f>'Revenue drivers'!U345</f>
        <v>0.194492066387014</v>
      </c>
      <c r="V952">
        <f>'Revenue drivers'!V345</f>
        <v>0.19597215012062175</v>
      </c>
      <c r="W952">
        <f>'Revenue drivers'!W345</f>
        <v>0.11093911578087301</v>
      </c>
      <c r="X952">
        <f>'Revenue drivers'!X345</f>
        <v>0.57851995499054332</v>
      </c>
      <c r="Y952">
        <f>'Revenue drivers'!Y345</f>
        <v>0.21844533558207391</v>
      </c>
      <c r="Z952">
        <f>'Revenue drivers'!Z345</f>
        <v>0.12188807010555669</v>
      </c>
      <c r="AA952">
        <f>'Revenue drivers'!AA345</f>
        <v>0.11962985975501494</v>
      </c>
      <c r="AB952">
        <f>'Revenue drivers'!AB345</f>
        <v>4.8558121098008167E-2</v>
      </c>
      <c r="AC952">
        <f>'Revenue drivers'!AC345</f>
        <v>0.15660145543899429</v>
      </c>
      <c r="AD952">
        <f>'Revenue drivers'!AD345</f>
        <v>0.10942964536688993</v>
      </c>
      <c r="AE952">
        <f>'Revenue drivers'!AE345</f>
        <v>8.1813628730518895E-2</v>
      </c>
      <c r="AF952">
        <f>'Revenue drivers'!AF345</f>
        <v>-1.5427559912853939E-2</v>
      </c>
      <c r="AG952">
        <f>'Revenue drivers'!AG345</f>
        <v>9.2038115258550324E-2</v>
      </c>
      <c r="AH952">
        <f>'Revenue drivers'!AH345</f>
        <v>4.8757630252526551E-2</v>
      </c>
      <c r="AI952">
        <f>'Revenue drivers'!AI345</f>
        <v>7.7597449644978944E-2</v>
      </c>
      <c r="AJ952">
        <f>'Revenue drivers'!AJ345</f>
        <v>-3.7786593155382242E-2</v>
      </c>
      <c r="AK952">
        <f>'Revenue drivers'!AK345</f>
        <v>4.5081871753662517E-2</v>
      </c>
      <c r="AL952">
        <f>'Revenue drivers'!AL345</f>
        <v>2.8973556058259131E-2</v>
      </c>
      <c r="AM952">
        <f>'Revenue drivers'!AM345</f>
        <v>4.9850005956442178E-2</v>
      </c>
      <c r="AN952">
        <f>'Revenue drivers'!AN345</f>
        <v>-7.7532494326387313E-2</v>
      </c>
      <c r="AO952">
        <f>'Revenue drivers'!AO345</f>
        <v>0.1072978171408121</v>
      </c>
      <c r="AP952">
        <f>'Revenue drivers'!AP345</f>
        <v>3.0994051646653809E-2</v>
      </c>
      <c r="AQ952">
        <f>'Revenue drivers'!AQ345</f>
        <v>1.5496434448710961E-2</v>
      </c>
      <c r="AR952">
        <f>'Revenue drivers'!AR345</f>
        <v>-0.10228610012539774</v>
      </c>
      <c r="AS952">
        <f>'Revenue drivers'!AS345</f>
        <v>8.7634044656480059E-2</v>
      </c>
      <c r="AT952">
        <f>'Revenue drivers'!AT345</f>
        <v>2.5771635048791319E-2</v>
      </c>
      <c r="AU952">
        <f>'Revenue drivers'!AU345</f>
        <v>1.2950927666656398E-2</v>
      </c>
      <c r="AV952">
        <f>'Revenue drivers'!AV345</f>
        <v>-8.5698991491331977E-2</v>
      </c>
      <c r="AW952">
        <f>'Revenue drivers'!AW345</f>
        <v>7.2090941611889114E-2</v>
      </c>
      <c r="AX952">
        <f>'Revenue drivers'!AX345</f>
        <v>2.1508047200087921E-2</v>
      </c>
      <c r="AY952">
        <f>'Revenue drivers'!AY345</f>
        <v>1.0853474228440962E-2</v>
      </c>
      <c r="AZ952">
        <f>'Revenue drivers'!AZ345</f>
        <v>-7.19687253988055E-2</v>
      </c>
      <c r="BA952">
        <f>'Revenue drivers'!BA345</f>
        <v>5.9645184283974695E-2</v>
      </c>
      <c r="BB952">
        <f>'Revenue drivers'!BB345</f>
        <v>1.8003909671914675E-2</v>
      </c>
      <c r="BC952">
        <f>'Revenue drivers'!BC345</f>
        <v>9.1164755208963388E-3</v>
      </c>
      <c r="BD952">
        <f>'Revenue drivers'!BD345</f>
        <v>-6.0554847290071212E-2</v>
      </c>
      <c r="BE952">
        <f>'Revenue drivers'!BE345</f>
        <v>0</v>
      </c>
      <c r="BF952">
        <f>'Revenue drivers'!BF345</f>
        <v>0</v>
      </c>
      <c r="BG952">
        <f>'Revenue drivers'!BG345</f>
        <v>0</v>
      </c>
      <c r="BH952">
        <f>'Revenue drivers'!BH345</f>
        <v>0</v>
      </c>
      <c r="BI952">
        <f>'Revenue drivers'!BI345</f>
        <v>0</v>
      </c>
      <c r="BJ952">
        <f>'Revenue drivers'!BJ345</f>
        <v>0</v>
      </c>
      <c r="BK952">
        <f>'Revenue drivers'!BK345</f>
        <v>0</v>
      </c>
      <c r="BL952">
        <f>'Revenue drivers'!BL345</f>
        <v>0</v>
      </c>
      <c r="BM952">
        <f>'Revenue drivers'!BM345</f>
        <v>0</v>
      </c>
      <c r="BN952">
        <f>'Revenue drivers'!BN345</f>
        <v>0</v>
      </c>
      <c r="BO952">
        <f>'Revenue drivers'!BO345</f>
        <v>0</v>
      </c>
      <c r="BP952">
        <f>'Revenue drivers'!BP345</f>
        <v>0</v>
      </c>
      <c r="BQ952">
        <f>'Revenue drivers'!BQ345</f>
        <v>0</v>
      </c>
      <c r="BR952">
        <f>'Revenue drivers'!BR345</f>
        <v>0</v>
      </c>
      <c r="BS952">
        <f>'Revenue drivers'!BS345</f>
        <v>0</v>
      </c>
      <c r="BT952">
        <f>'Revenue drivers'!BT345</f>
        <v>0</v>
      </c>
      <c r="BU952">
        <f>'Revenue drivers'!BU345</f>
        <v>0</v>
      </c>
      <c r="BV952">
        <f>'Revenue drivers'!BV345</f>
        <v>0</v>
      </c>
      <c r="BW952">
        <f>'Revenue drivers'!BW345</f>
        <v>0</v>
      </c>
      <c r="BX952">
        <f>'Revenue drivers'!BX345</f>
        <v>0</v>
      </c>
      <c r="BY952">
        <f>'Revenue drivers'!BY345</f>
        <v>0</v>
      </c>
    </row>
    <row r="953" spans="9:77" ht="11.25" customHeight="1">
      <c r="I953" t="str">
        <f>'Revenue drivers'!I346</f>
        <v>% of total unique visitors</v>
      </c>
      <c r="J953">
        <f>'Revenue drivers'!J346</f>
        <v>0</v>
      </c>
      <c r="K953">
        <f>'Revenue drivers'!K346</f>
        <v>0</v>
      </c>
      <c r="L953">
        <f>'Revenue drivers'!L346</f>
        <v>0</v>
      </c>
      <c r="M953">
        <f>'Revenue drivers'!M346</f>
        <v>0</v>
      </c>
      <c r="N953">
        <f>'Revenue drivers'!N346</f>
        <v>0</v>
      </c>
      <c r="O953">
        <f>'Revenue drivers'!O346</f>
        <v>0</v>
      </c>
      <c r="P953">
        <f>'Revenue drivers'!P346</f>
        <v>0</v>
      </c>
      <c r="Q953">
        <f>'Revenue drivers'!Q346</f>
        <v>0.14000000000000004</v>
      </c>
      <c r="R953">
        <f>'Revenue drivers'!R346</f>
        <v>0.16000000000000003</v>
      </c>
      <c r="S953">
        <f>'Revenue drivers'!S346</f>
        <v>0.18000000000000002</v>
      </c>
      <c r="T953">
        <f>'Revenue drivers'!T346</f>
        <v>0.2</v>
      </c>
      <c r="U953">
        <f>'Revenue drivers'!U346</f>
        <v>0.22</v>
      </c>
      <c r="V953">
        <f>'Revenue drivers'!V346</f>
        <v>0.24</v>
      </c>
      <c r="W953">
        <f>'Revenue drivers'!W346</f>
        <v>0.25</v>
      </c>
      <c r="X953">
        <f>'Revenue drivers'!X346</f>
        <v>0.38200000000000001</v>
      </c>
      <c r="Y953">
        <f>'Revenue drivers'!Y346</f>
        <v>0.39355312790868563</v>
      </c>
      <c r="Z953">
        <f>'Revenue drivers'!Z346</f>
        <v>0.3</v>
      </c>
      <c r="AA953">
        <f>'Revenue drivers'!AA346</f>
        <v>0.33</v>
      </c>
      <c r="AB953">
        <f>'Revenue drivers'!AB346</f>
        <v>0.44085663097370947</v>
      </c>
      <c r="AC953">
        <f>'Revenue drivers'!AC346</f>
        <v>0.46195077759323566</v>
      </c>
      <c r="AD953">
        <f>'Revenue drivers'!AD346</f>
        <v>0.49278097574785312</v>
      </c>
      <c r="AE953">
        <f>'Revenue drivers'!AE346</f>
        <v>0.52676125034070198</v>
      </c>
      <c r="AF953">
        <f>'Revenue drivers'!AF346</f>
        <v>0.53404877616437951</v>
      </c>
      <c r="AG953">
        <f>'Revenue drivers'!AG346</f>
        <v>0.55425154071848726</v>
      </c>
      <c r="AH953">
        <f>'Revenue drivers'!AH346</f>
        <v>0.57552296893460286</v>
      </c>
      <c r="AI953">
        <f>'Revenue drivers'!AI346</f>
        <v>0.60288613547001035</v>
      </c>
      <c r="AJ953">
        <f>'Revenue drivers'!AJ346</f>
        <v>0.61128948436287533</v>
      </c>
      <c r="AK953">
        <f>'Revenue drivers'!AK346</f>
        <v>0.61470435116177113</v>
      </c>
      <c r="AL953">
        <f>'Revenue drivers'!AL346</f>
        <v>0.64692117450064102</v>
      </c>
      <c r="AM953">
        <f>'Revenue drivers'!AM346</f>
        <v>0.67578024245550672</v>
      </c>
      <c r="AN953">
        <f>'Revenue drivers'!AN346</f>
        <v>0.67115484205075093</v>
      </c>
      <c r="AO953">
        <f>'Revenue drivers'!AO346</f>
        <v>0.65419961812644112</v>
      </c>
      <c r="AP953">
        <f>'Revenue drivers'!AP346</f>
        <v>0.64983227137028243</v>
      </c>
      <c r="AQ953">
        <f>'Revenue drivers'!AQ346</f>
        <v>0.65989815404201135</v>
      </c>
      <c r="AR953">
        <f>'Revenue drivers'!AR346</f>
        <v>0.66018770084202916</v>
      </c>
      <c r="AS953">
        <f>'Revenue drivers'!AS346</f>
        <v>0.69389493383878964</v>
      </c>
      <c r="AT953">
        <f>'Revenue drivers'!AT346</f>
        <v>0.7161537113904074</v>
      </c>
      <c r="AU953">
        <f>'Revenue drivers'!AU346</f>
        <v>0.73637540511986077</v>
      </c>
      <c r="AV953">
        <f>'Revenue drivers'!AV346</f>
        <v>0.73791905287738058</v>
      </c>
      <c r="AW953">
        <f>'Revenue drivers'!AW346</f>
        <v>0.76367638301826324</v>
      </c>
      <c r="AX953">
        <f>'Revenue drivers'!AX346</f>
        <v>0.7817383199603547</v>
      </c>
      <c r="AY953">
        <f>'Revenue drivers'!AY346</f>
        <v>0.79826396630978991</v>
      </c>
      <c r="AZ953">
        <f>'Revenue drivers'!AZ346</f>
        <v>0.80191734239520429</v>
      </c>
      <c r="BA953">
        <f>'Revenue drivers'!BA346</f>
        <v>0.82534493067933457</v>
      </c>
      <c r="BB953">
        <f>'Revenue drivers'!BB346</f>
        <v>0.84429977458048877</v>
      </c>
      <c r="BC953">
        <f>'Revenue drivers'!BC346</f>
        <v>0.8624402107769954</v>
      </c>
      <c r="BD953">
        <f>'Revenue drivers'!BD346</f>
        <v>0.87333454796335952</v>
      </c>
      <c r="BE953">
        <f>'Revenue drivers'!BE346</f>
        <v>0</v>
      </c>
      <c r="BF953">
        <f>'Revenue drivers'!BF346</f>
        <v>0</v>
      </c>
      <c r="BG953">
        <f>'Revenue drivers'!BG346</f>
        <v>0</v>
      </c>
      <c r="BH953">
        <f>'Revenue drivers'!BH346</f>
        <v>0</v>
      </c>
      <c r="BI953">
        <f>'Revenue drivers'!BI346</f>
        <v>0</v>
      </c>
      <c r="BJ953">
        <f>'Revenue drivers'!BJ346</f>
        <v>0</v>
      </c>
      <c r="BK953">
        <f>'Revenue drivers'!BK346</f>
        <v>0</v>
      </c>
      <c r="BL953">
        <f>'Revenue drivers'!BL346</f>
        <v>0.38200000000000001</v>
      </c>
      <c r="BM953">
        <f>'Revenue drivers'!BM346</f>
        <v>0.44085663097370947</v>
      </c>
      <c r="BN953">
        <f>'Revenue drivers'!BN346</f>
        <v>0.53404877616437951</v>
      </c>
      <c r="BO953">
        <f>'Revenue drivers'!BO346</f>
        <v>0.61128948436287533</v>
      </c>
      <c r="BP953">
        <f>'Revenue drivers'!BP346</f>
        <v>0.67115484205075093</v>
      </c>
      <c r="BQ953">
        <f>'Revenue drivers'!BQ346</f>
        <v>0.66018770084202916</v>
      </c>
      <c r="BR953">
        <f>'Revenue drivers'!BR346</f>
        <v>0.73791905287738058</v>
      </c>
      <c r="BS953">
        <f>'Revenue drivers'!BS346</f>
        <v>0.80191734239520429</v>
      </c>
      <c r="BT953">
        <f>'Revenue drivers'!BT346</f>
        <v>0.87333454796335952</v>
      </c>
      <c r="BU953">
        <f>'Revenue drivers'!BU346</f>
        <v>0.95902114886746703</v>
      </c>
      <c r="BV953">
        <f>'Revenue drivers'!BV346</f>
        <v>1.0753481674464702</v>
      </c>
      <c r="BW953">
        <f>'Revenue drivers'!BW346</f>
        <v>1.2255435885244881</v>
      </c>
      <c r="BX953">
        <f>'Revenue drivers'!BX346</f>
        <v>1.4278402474001419</v>
      </c>
      <c r="BY953">
        <f>'Revenue drivers'!BY346</f>
        <v>1.7160778411497797</v>
      </c>
    </row>
    <row r="954" spans="9:77" ht="11.25" customHeight="1">
      <c r="I954">
        <f>'Revenue drivers'!I347</f>
        <v>0</v>
      </c>
      <c r="J954">
        <f>'Revenue drivers'!J347</f>
        <v>0</v>
      </c>
      <c r="K954">
        <f>'Revenue drivers'!K347</f>
        <v>0</v>
      </c>
      <c r="L954">
        <f>'Revenue drivers'!L347</f>
        <v>0</v>
      </c>
      <c r="M954">
        <f>'Revenue drivers'!M347</f>
        <v>0</v>
      </c>
      <c r="N954">
        <f>'Revenue drivers'!N347</f>
        <v>0</v>
      </c>
      <c r="O954">
        <f>'Revenue drivers'!O347</f>
        <v>0</v>
      </c>
      <c r="P954">
        <f>'Revenue drivers'!P347</f>
        <v>0</v>
      </c>
      <c r="Q954">
        <f>'Revenue drivers'!Q347</f>
        <v>0</v>
      </c>
      <c r="R954">
        <f>'Revenue drivers'!R347</f>
        <v>0</v>
      </c>
      <c r="S954">
        <f>'Revenue drivers'!S347</f>
        <v>0</v>
      </c>
      <c r="T954">
        <f>'Revenue drivers'!T347</f>
        <v>0</v>
      </c>
      <c r="U954">
        <f>'Revenue drivers'!U347</f>
        <v>0</v>
      </c>
      <c r="V954">
        <f>'Revenue drivers'!V347</f>
        <v>0</v>
      </c>
      <c r="W954">
        <f>'Revenue drivers'!W347</f>
        <v>0</v>
      </c>
      <c r="X954">
        <f>'Revenue drivers'!X347</f>
        <v>0</v>
      </c>
      <c r="Y954">
        <f>'Revenue drivers'!Y347</f>
        <v>0</v>
      </c>
      <c r="Z954">
        <f>'Revenue drivers'!Z347</f>
        <v>0</v>
      </c>
      <c r="AA954">
        <f>'Revenue drivers'!AA347</f>
        <v>0</v>
      </c>
      <c r="AB954">
        <f>'Revenue drivers'!AB347</f>
        <v>0</v>
      </c>
      <c r="AC954">
        <f>'Revenue drivers'!AC347</f>
        <v>0</v>
      </c>
      <c r="AD954">
        <f>'Revenue drivers'!AD347</f>
        <v>0</v>
      </c>
      <c r="AE954">
        <f>'Revenue drivers'!AE347</f>
        <v>0</v>
      </c>
      <c r="AF954">
        <f>'Revenue drivers'!AF347</f>
        <v>0</v>
      </c>
      <c r="AG954">
        <f>'Revenue drivers'!AG347</f>
        <v>0</v>
      </c>
      <c r="AH954">
        <f>'Revenue drivers'!AH347</f>
        <v>0</v>
      </c>
      <c r="AI954">
        <f>'Revenue drivers'!AI347</f>
        <v>0</v>
      </c>
      <c r="AJ954">
        <f>'Revenue drivers'!AJ347</f>
        <v>0</v>
      </c>
      <c r="AK954">
        <f>'Revenue drivers'!AK347</f>
        <v>0</v>
      </c>
      <c r="AL954">
        <f>'Revenue drivers'!AL347</f>
        <v>0</v>
      </c>
      <c r="AM954">
        <f>'Revenue drivers'!AM347</f>
        <v>0</v>
      </c>
      <c r="AN954">
        <f>'Revenue drivers'!AN347</f>
        <v>0</v>
      </c>
      <c r="AO954">
        <f>'Revenue drivers'!AO347</f>
        <v>0</v>
      </c>
      <c r="AP954">
        <f>'Revenue drivers'!AP347</f>
        <v>0</v>
      </c>
      <c r="AQ954">
        <f>'Revenue drivers'!AQ347</f>
        <v>0</v>
      </c>
      <c r="AR954">
        <f>'Revenue drivers'!AR347</f>
        <v>0</v>
      </c>
      <c r="AS954">
        <f>'Revenue drivers'!AS347</f>
        <v>0</v>
      </c>
      <c r="AT954">
        <f>'Revenue drivers'!AT347</f>
        <v>0</v>
      </c>
      <c r="AU954">
        <f>'Revenue drivers'!AU347</f>
        <v>0</v>
      </c>
      <c r="AV954">
        <f>'Revenue drivers'!AV347</f>
        <v>0</v>
      </c>
      <c r="AW954">
        <f>'Revenue drivers'!AW347</f>
        <v>0</v>
      </c>
      <c r="AX954">
        <f>'Revenue drivers'!AX347</f>
        <v>0</v>
      </c>
      <c r="AY954">
        <f>'Revenue drivers'!AY347</f>
        <v>0</v>
      </c>
      <c r="AZ954">
        <f>'Revenue drivers'!AZ347</f>
        <v>0</v>
      </c>
      <c r="BA954">
        <f>'Revenue drivers'!BA347</f>
        <v>0</v>
      </c>
      <c r="BB954">
        <f>'Revenue drivers'!BB347</f>
        <v>0</v>
      </c>
      <c r="BC954">
        <f>'Revenue drivers'!BC347</f>
        <v>0</v>
      </c>
      <c r="BD954">
        <f>'Revenue drivers'!BD347</f>
        <v>0</v>
      </c>
      <c r="BE954">
        <f>'Revenue drivers'!BE347</f>
        <v>0</v>
      </c>
      <c r="BF954">
        <f>'Revenue drivers'!BF347</f>
        <v>0</v>
      </c>
      <c r="BG954">
        <f>'Revenue drivers'!BG347</f>
        <v>0</v>
      </c>
      <c r="BH954">
        <f>'Revenue drivers'!BH347</f>
        <v>0</v>
      </c>
      <c r="BI954">
        <f>'Revenue drivers'!BI347</f>
        <v>0</v>
      </c>
      <c r="BJ954">
        <f>'Revenue drivers'!BJ347</f>
        <v>0</v>
      </c>
      <c r="BK954">
        <f>'Revenue drivers'!BK347</f>
        <v>0</v>
      </c>
      <c r="BL954">
        <f>'Revenue drivers'!BL347</f>
        <v>0</v>
      </c>
      <c r="BM954">
        <f>'Revenue drivers'!BM347</f>
        <v>0</v>
      </c>
      <c r="BN954">
        <f>'Revenue drivers'!BN347</f>
        <v>0</v>
      </c>
      <c r="BO954">
        <f>'Revenue drivers'!BO347</f>
        <v>0</v>
      </c>
      <c r="BP954">
        <f>'Revenue drivers'!BP347</f>
        <v>0</v>
      </c>
      <c r="BQ954">
        <f>'Revenue drivers'!BQ347</f>
        <v>0</v>
      </c>
      <c r="BR954">
        <f>'Revenue drivers'!BR347</f>
        <v>0</v>
      </c>
      <c r="BS954">
        <f>'Revenue drivers'!BS347</f>
        <v>0</v>
      </c>
      <c r="BT954">
        <f>'Revenue drivers'!BT347</f>
        <v>0</v>
      </c>
      <c r="BU954">
        <f>'Revenue drivers'!BU347</f>
        <v>0</v>
      </c>
      <c r="BV954">
        <f>'Revenue drivers'!BV347</f>
        <v>0</v>
      </c>
      <c r="BW954">
        <f>'Revenue drivers'!BW347</f>
        <v>0</v>
      </c>
      <c r="BX954">
        <f>'Revenue drivers'!BX347</f>
        <v>0</v>
      </c>
      <c r="BY954">
        <f>'Revenue drivers'!BY347</f>
        <v>0</v>
      </c>
    </row>
    <row r="955" spans="9:77" ht="11.25" customHeight="1">
      <c r="I955">
        <f>'Revenue drivers'!I348</f>
        <v>0</v>
      </c>
      <c r="J955">
        <f>'Revenue drivers'!J348</f>
        <v>0</v>
      </c>
      <c r="K955">
        <f>'Revenue drivers'!K348</f>
        <v>0</v>
      </c>
      <c r="L955">
        <f>'Revenue drivers'!L348</f>
        <v>0</v>
      </c>
      <c r="M955">
        <f>'Revenue drivers'!M348</f>
        <v>0</v>
      </c>
      <c r="N955">
        <f>'Revenue drivers'!N348</f>
        <v>0</v>
      </c>
      <c r="O955">
        <f>'Revenue drivers'!O348</f>
        <v>0</v>
      </c>
      <c r="P955">
        <f>'Revenue drivers'!P348</f>
        <v>0</v>
      </c>
      <c r="Q955">
        <f>'Revenue drivers'!Q348</f>
        <v>0</v>
      </c>
      <c r="R955">
        <f>'Revenue drivers'!R348</f>
        <v>0</v>
      </c>
      <c r="S955">
        <f>'Revenue drivers'!S348</f>
        <v>0</v>
      </c>
      <c r="T955">
        <f>'Revenue drivers'!T348</f>
        <v>0</v>
      </c>
      <c r="U955">
        <f>'Revenue drivers'!U348</f>
        <v>0</v>
      </c>
      <c r="V955">
        <f>'Revenue drivers'!V348</f>
        <v>0</v>
      </c>
      <c r="W955">
        <f>'Revenue drivers'!W348</f>
        <v>0</v>
      </c>
      <c r="X955">
        <f>'Revenue drivers'!X348</f>
        <v>0</v>
      </c>
      <c r="Y955">
        <f>'Revenue drivers'!Y348</f>
        <v>0</v>
      </c>
      <c r="Z955">
        <f>'Revenue drivers'!Z348</f>
        <v>0</v>
      </c>
      <c r="AA955">
        <f>'Revenue drivers'!AA348</f>
        <v>0</v>
      </c>
      <c r="AB955">
        <f>'Revenue drivers'!AB348</f>
        <v>0</v>
      </c>
      <c r="AC955">
        <f>'Revenue drivers'!AC348</f>
        <v>0</v>
      </c>
      <c r="AD955">
        <f>'Revenue drivers'!AD348</f>
        <v>0</v>
      </c>
      <c r="AE955">
        <f>'Revenue drivers'!AE348</f>
        <v>0</v>
      </c>
      <c r="AF955">
        <f>'Revenue drivers'!AF348</f>
        <v>0</v>
      </c>
      <c r="AG955">
        <f>'Revenue drivers'!AG348</f>
        <v>0</v>
      </c>
      <c r="AH955">
        <f>'Revenue drivers'!AH348</f>
        <v>0</v>
      </c>
      <c r="AI955">
        <f>'Revenue drivers'!AI348</f>
        <v>0</v>
      </c>
      <c r="AJ955">
        <f>'Revenue drivers'!AJ348</f>
        <v>0</v>
      </c>
      <c r="AK955">
        <f>'Revenue drivers'!AK348</f>
        <v>0</v>
      </c>
      <c r="AL955">
        <f>'Revenue drivers'!AL348</f>
        <v>0</v>
      </c>
      <c r="AM955">
        <f>'Revenue drivers'!AM348</f>
        <v>0</v>
      </c>
      <c r="AN955">
        <f>'Revenue drivers'!AN348</f>
        <v>0</v>
      </c>
      <c r="AO955">
        <f>'Revenue drivers'!AO348</f>
        <v>0</v>
      </c>
      <c r="AP955">
        <f>'Revenue drivers'!AP348</f>
        <v>0</v>
      </c>
      <c r="AQ955">
        <f>'Revenue drivers'!AQ348</f>
        <v>0</v>
      </c>
      <c r="AR955">
        <f>'Revenue drivers'!AR348</f>
        <v>0</v>
      </c>
      <c r="AS955">
        <f>'Revenue drivers'!AS348</f>
        <v>0</v>
      </c>
      <c r="AT955">
        <f>'Revenue drivers'!AT348</f>
        <v>0</v>
      </c>
      <c r="AU955">
        <f>'Revenue drivers'!AU348</f>
        <v>0</v>
      </c>
      <c r="AV955">
        <f>'Revenue drivers'!AV348</f>
        <v>0</v>
      </c>
      <c r="AW955">
        <f>'Revenue drivers'!AW348</f>
        <v>0</v>
      </c>
      <c r="AX955">
        <f>'Revenue drivers'!AX348</f>
        <v>0</v>
      </c>
      <c r="AY955">
        <f>'Revenue drivers'!AY348</f>
        <v>0</v>
      </c>
      <c r="AZ955">
        <f>'Revenue drivers'!AZ348</f>
        <v>0</v>
      </c>
      <c r="BA955">
        <f>'Revenue drivers'!BA348</f>
        <v>0</v>
      </c>
      <c r="BB955">
        <f>'Revenue drivers'!BB348</f>
        <v>0</v>
      </c>
      <c r="BC955">
        <f>'Revenue drivers'!BC348</f>
        <v>0</v>
      </c>
      <c r="BD955">
        <f>'Revenue drivers'!BD348</f>
        <v>0</v>
      </c>
      <c r="BE955">
        <f>'Revenue drivers'!BE348</f>
        <v>0</v>
      </c>
      <c r="BF955">
        <f>'Revenue drivers'!BF348</f>
        <v>0</v>
      </c>
      <c r="BG955">
        <f>'Revenue drivers'!BG348</f>
        <v>0</v>
      </c>
      <c r="BH955">
        <f>'Revenue drivers'!BH348</f>
        <v>0</v>
      </c>
      <c r="BI955">
        <f>'Revenue drivers'!BI348</f>
        <v>0</v>
      </c>
      <c r="BJ955">
        <f>'Revenue drivers'!BJ348</f>
        <v>0</v>
      </c>
      <c r="BK955">
        <f>'Revenue drivers'!BK348</f>
        <v>0</v>
      </c>
      <c r="BL955">
        <f>'Revenue drivers'!BL348</f>
        <v>0</v>
      </c>
      <c r="BM955">
        <f>'Revenue drivers'!BM348</f>
        <v>0</v>
      </c>
      <c r="BN955">
        <f>'Revenue drivers'!BN348</f>
        <v>0</v>
      </c>
      <c r="BO955">
        <f>'Revenue drivers'!BO348</f>
        <v>0</v>
      </c>
      <c r="BP955">
        <f>'Revenue drivers'!BP348</f>
        <v>0</v>
      </c>
      <c r="BQ955">
        <f>'Revenue drivers'!BQ348</f>
        <v>0</v>
      </c>
      <c r="BR955">
        <f>'Revenue drivers'!BR348</f>
        <v>0</v>
      </c>
      <c r="BS955">
        <f>'Revenue drivers'!BS348</f>
        <v>0</v>
      </c>
      <c r="BT955">
        <f>'Revenue drivers'!BT348</f>
        <v>0</v>
      </c>
      <c r="BU955">
        <f>'Revenue drivers'!BU348</f>
        <v>0</v>
      </c>
      <c r="BV955">
        <f>'Revenue drivers'!BV348</f>
        <v>0</v>
      </c>
      <c r="BW955">
        <f>'Revenue drivers'!BW348</f>
        <v>0</v>
      </c>
      <c r="BX955">
        <f>'Revenue drivers'!BX348</f>
        <v>0</v>
      </c>
      <c r="BY955">
        <f>'Revenue drivers'!BY348</f>
        <v>0</v>
      </c>
    </row>
    <row r="956" spans="9:77" ht="11.25" customHeight="1">
      <c r="I956" t="str">
        <f>'Revenue drivers'!I349</f>
        <v>Mobile Web unique users</v>
      </c>
      <c r="J956">
        <f>'Revenue drivers'!J349</f>
        <v>0</v>
      </c>
      <c r="K956">
        <f>'Revenue drivers'!K349</f>
        <v>0</v>
      </c>
      <c r="L956">
        <f>'Revenue drivers'!L349</f>
        <v>0</v>
      </c>
      <c r="M956">
        <f>'Revenue drivers'!M349</f>
        <v>0</v>
      </c>
      <c r="N956">
        <f>'Revenue drivers'!N349</f>
        <v>0</v>
      </c>
      <c r="O956">
        <f>'Revenue drivers'!O349</f>
        <v>0</v>
      </c>
      <c r="P956">
        <f>'Revenue drivers'!P349</f>
        <v>0</v>
      </c>
      <c r="Q956">
        <f>'Revenue drivers'!Q349</f>
        <v>3.0543800000000019</v>
      </c>
      <c r="R956">
        <f>'Revenue drivers'!R349</f>
        <v>4.0143058823529438</v>
      </c>
      <c r="S956">
        <f>'Revenue drivers'!S349</f>
        <v>6.1041112195121974</v>
      </c>
      <c r="T956">
        <f>'Revenue drivers'!T349</f>
        <v>7.4592000000000018</v>
      </c>
      <c r="U956">
        <f>'Revenue drivers'!U349</f>
        <v>9.4185599999999994</v>
      </c>
      <c r="V956">
        <f>'Revenue drivers'!V349</f>
        <v>11.598959999999998</v>
      </c>
      <c r="W956">
        <f>'Revenue drivers'!W349</f>
        <v>12.884499999999999</v>
      </c>
      <c r="X956">
        <f>'Revenue drivers'!X349</f>
        <v>23.7666</v>
      </c>
      <c r="Y956">
        <f>'Revenue drivers'!Y349</f>
        <v>30.256</v>
      </c>
      <c r="Z956">
        <f>'Revenue drivers'!Z349</f>
        <v>34.692000000000007</v>
      </c>
      <c r="AA956">
        <f>'Revenue drivers'!AA349</f>
        <v>38.728000000000009</v>
      </c>
      <c r="AB956">
        <f>'Revenue drivers'!AB349</f>
        <v>42.292000000000002</v>
      </c>
      <c r="AC956">
        <f>'Revenue drivers'!AC349</f>
        <v>50.249000000000009</v>
      </c>
      <c r="AD956">
        <f>'Revenue drivers'!AD349</f>
        <v>55.876999999999995</v>
      </c>
      <c r="AE956">
        <f>'Revenue drivers'!AE349</f>
        <v>58.95</v>
      </c>
      <c r="AF956">
        <f>'Revenue drivers'!AF349</f>
        <v>57.766000000000005</v>
      </c>
      <c r="AG956">
        <f>'Revenue drivers'!AG349</f>
        <v>62.923000000000002</v>
      </c>
      <c r="AH956">
        <f>'Revenue drivers'!AH349</f>
        <v>64.715000000000003</v>
      </c>
      <c r="AI956">
        <f>'Revenue drivers'!AI349</f>
        <v>69.117000000000004</v>
      </c>
      <c r="AJ956">
        <f>'Revenue drivers'!AJ349</f>
        <v>65.86</v>
      </c>
      <c r="AK956">
        <f>'Revenue drivers'!AK349</f>
        <v>68.551000000000002</v>
      </c>
      <c r="AL956">
        <f>'Revenue drivers'!AL349</f>
        <v>69.326999999999998</v>
      </c>
      <c r="AM956">
        <f>'Revenue drivers'!AM349</f>
        <v>72.040000000000006</v>
      </c>
      <c r="AN956">
        <f>'Revenue drivers'!AN349</f>
        <v>65.350999999999999</v>
      </c>
      <c r="AO956">
        <f>'Revenue drivers'!AO349</f>
        <v>73.191999999999993</v>
      </c>
      <c r="AP956">
        <f>'Revenue drivers'!AP349</f>
        <v>74.100999999999999</v>
      </c>
      <c r="AQ956">
        <f>'Revenue drivers'!AQ349</f>
        <v>73.507999999999996</v>
      </c>
      <c r="AR956">
        <f>'Revenue drivers'!AR349</f>
        <v>64.221000000000004</v>
      </c>
      <c r="AS956">
        <f>'Revenue drivers'!AS349</f>
        <v>70.376749999999987</v>
      </c>
      <c r="AT956">
        <f>'Revenue drivers'!AT349</f>
        <v>70.985399999999984</v>
      </c>
      <c r="AU956">
        <f>'Revenue drivers'!AU349</f>
        <v>70.330099999999973</v>
      </c>
      <c r="AV956">
        <f>'Revenue drivers'!AV349</f>
        <v>59.316699999999983</v>
      </c>
      <c r="AW956">
        <f>'Revenue drivers'!AW349</f>
        <v>65.249087499999973</v>
      </c>
      <c r="AX956">
        <f>'Revenue drivers'!AX349</f>
        <v>66.466439999999977</v>
      </c>
      <c r="AY956">
        <f>'Revenue drivers'!AY349</f>
        <v>66.609434999999976</v>
      </c>
      <c r="AZ956">
        <f>'Revenue drivers'!AZ349</f>
        <v>57.948044999999993</v>
      </c>
      <c r="BA956">
        <f>'Revenue drivers'!BA349</f>
        <v>62.840574374999989</v>
      </c>
      <c r="BB956">
        <f>'Revenue drivers'!BB349</f>
        <v>63.725323999999986</v>
      </c>
      <c r="BC956">
        <f>'Revenue drivers'!BC349</f>
        <v>63.696869749999976</v>
      </c>
      <c r="BD956">
        <f>'Revenue drivers'!BD349</f>
        <v>56.184688249999994</v>
      </c>
      <c r="BE956">
        <f>'Revenue drivers'!BE349</f>
        <v>0</v>
      </c>
      <c r="BF956">
        <f>'Revenue drivers'!BF349</f>
        <v>0</v>
      </c>
      <c r="BG956">
        <f>'Revenue drivers'!BG349</f>
        <v>0</v>
      </c>
      <c r="BH956">
        <f>'Revenue drivers'!BH349</f>
        <v>0</v>
      </c>
      <c r="BI956">
        <f>'Revenue drivers'!BI349</f>
        <v>0</v>
      </c>
      <c r="BJ956">
        <f>'Revenue drivers'!BJ349</f>
        <v>0</v>
      </c>
      <c r="BK956">
        <f>'Revenue drivers'!BK349</f>
        <v>7.4592000000000018</v>
      </c>
      <c r="BL956">
        <f>'Revenue drivers'!BL349</f>
        <v>23.7666</v>
      </c>
      <c r="BM956">
        <f>'Revenue drivers'!BM349</f>
        <v>42.292000000000002</v>
      </c>
      <c r="BN956">
        <f>'Revenue drivers'!BN349</f>
        <v>57.766000000000005</v>
      </c>
      <c r="BO956">
        <f>'Revenue drivers'!BO349</f>
        <v>65.86</v>
      </c>
      <c r="BP956">
        <f>'Revenue drivers'!BP349</f>
        <v>65.350999999999999</v>
      </c>
      <c r="BQ956">
        <f>'Revenue drivers'!BQ349</f>
        <v>64.221000000000004</v>
      </c>
      <c r="BR956">
        <f>'Revenue drivers'!BR349</f>
        <v>59.316699999999983</v>
      </c>
      <c r="BS956">
        <f>'Revenue drivers'!BS349</f>
        <v>57.948044999999993</v>
      </c>
      <c r="BT956">
        <f>'Revenue drivers'!BT349</f>
        <v>56.184688249999994</v>
      </c>
      <c r="BU956">
        <f>'Revenue drivers'!BU349</f>
        <v>53.697667174999992</v>
      </c>
      <c r="BV956">
        <f>'Revenue drivers'!BV349</f>
        <v>49.509348207499997</v>
      </c>
      <c r="BW956">
        <f>'Revenue drivers'!BW349</f>
        <v>44.63986113675</v>
      </c>
      <c r="BX956">
        <f>'Revenue drivers'!BX349</f>
        <v>39.107322773074998</v>
      </c>
      <c r="BY956">
        <f>'Revenue drivers'!BY349</f>
        <v>32.928038245767496</v>
      </c>
    </row>
    <row r="957" spans="9:77" ht="11.25" customHeight="1">
      <c r="I957" t="str">
        <f>'Revenue drivers'!I350</f>
        <v>% change Y/Y</v>
      </c>
      <c r="J957">
        <f>'Revenue drivers'!J350</f>
        <v>0</v>
      </c>
      <c r="K957">
        <f>'Revenue drivers'!K350</f>
        <v>0</v>
      </c>
      <c r="L957">
        <f>'Revenue drivers'!L350</f>
        <v>0</v>
      </c>
      <c r="M957">
        <f>'Revenue drivers'!M350</f>
        <v>0</v>
      </c>
      <c r="N957">
        <f>'Revenue drivers'!N350</f>
        <v>0</v>
      </c>
      <c r="O957">
        <f>'Revenue drivers'!O350</f>
        <v>0</v>
      </c>
      <c r="P957">
        <f>'Revenue drivers'!P350</f>
        <v>0</v>
      </c>
      <c r="Q957" t="str">
        <f>'Revenue drivers'!Q350</f>
        <v>NA</v>
      </c>
      <c r="R957" t="str">
        <f>'Revenue drivers'!R350</f>
        <v>NA</v>
      </c>
      <c r="S957" t="str">
        <f>'Revenue drivers'!S350</f>
        <v>NA</v>
      </c>
      <c r="T957" t="str">
        <f>'Revenue drivers'!T350</f>
        <v>NA</v>
      </c>
      <c r="U957">
        <f>'Revenue drivers'!U350</f>
        <v>2.0836241724998179</v>
      </c>
      <c r="V957">
        <f>'Revenue drivers'!V350</f>
        <v>1.8894061239801156</v>
      </c>
      <c r="W957">
        <f>'Revenue drivers'!W350</f>
        <v>1.1107905044085431</v>
      </c>
      <c r="X957">
        <f>'Revenue drivers'!X350</f>
        <v>2.1862129987129979</v>
      </c>
      <c r="Y957">
        <f>'Revenue drivers'!Y350</f>
        <v>2.2123806611626406</v>
      </c>
      <c r="Z957">
        <f>'Revenue drivers'!Z350</f>
        <v>1.9909578100105536</v>
      </c>
      <c r="AA957">
        <f>'Revenue drivers'!AA350</f>
        <v>2.00578214133261</v>
      </c>
      <c r="AB957">
        <f>'Revenue drivers'!AB350</f>
        <v>0.77947203217961336</v>
      </c>
      <c r="AC957">
        <f>'Revenue drivers'!AC350</f>
        <v>0.66079455314648361</v>
      </c>
      <c r="AD957">
        <f>'Revenue drivers'!AD350</f>
        <v>0.61065951804450536</v>
      </c>
      <c r="AE957">
        <f>'Revenue drivers'!AE350</f>
        <v>0.5221545135302621</v>
      </c>
      <c r="AF957">
        <f>'Revenue drivers'!AF350</f>
        <v>0.36588480090797315</v>
      </c>
      <c r="AG957">
        <f>'Revenue drivers'!AG350</f>
        <v>0.25222392485422573</v>
      </c>
      <c r="AH957">
        <f>'Revenue drivers'!AH350</f>
        <v>0.15816883511999591</v>
      </c>
      <c r="AI957">
        <f>'Revenue drivers'!AI350</f>
        <v>0.17246819338422403</v>
      </c>
      <c r="AJ957">
        <f>'Revenue drivers'!AJ350</f>
        <v>0.14011702385486258</v>
      </c>
      <c r="AK957">
        <f>'Revenue drivers'!AK350</f>
        <v>8.9442652130381495E-2</v>
      </c>
      <c r="AL957">
        <f>'Revenue drivers'!AL350</f>
        <v>7.1266321563779655E-2</v>
      </c>
      <c r="AM957">
        <f>'Revenue drivers'!AM350</f>
        <v>4.2290608678038799E-2</v>
      </c>
      <c r="AN957">
        <f>'Revenue drivers'!AN350</f>
        <v>-7.7285150318858742E-3</v>
      </c>
      <c r="AO957">
        <f>'Revenue drivers'!AO350</f>
        <v>6.7701419381190453E-2</v>
      </c>
      <c r="AP957">
        <f>'Revenue drivers'!AP350</f>
        <v>6.8862059515051977E-2</v>
      </c>
      <c r="AQ957">
        <f>'Revenue drivers'!AQ350</f>
        <v>2.03775680177678E-2</v>
      </c>
      <c r="AR957">
        <f>'Revenue drivers'!AR350</f>
        <v>-1.7291242674174812E-2</v>
      </c>
      <c r="AS957">
        <f>'Revenue drivers'!AS350</f>
        <v>-3.8463903158815205E-2</v>
      </c>
      <c r="AT957">
        <f>'Revenue drivers'!AT350</f>
        <v>-4.2045316527442478E-2</v>
      </c>
      <c r="AU957">
        <f>'Revenue drivers'!AU350</f>
        <v>-4.3232029166893726E-2</v>
      </c>
      <c r="AV957">
        <f>'Revenue drivers'!AV350</f>
        <v>-7.6365986203890013E-2</v>
      </c>
      <c r="AW957">
        <f>'Revenue drivers'!AW350</f>
        <v>-7.2860177544430749E-2</v>
      </c>
      <c r="AX957">
        <f>'Revenue drivers'!AX350</f>
        <v>-6.3660414676820931E-2</v>
      </c>
      <c r="AY957">
        <f>'Revenue drivers'!AY350</f>
        <v>-5.2902882265203677E-2</v>
      </c>
      <c r="AZ957">
        <f>'Revenue drivers'!AZ350</f>
        <v>-2.3073687511274033E-2</v>
      </c>
      <c r="BA957">
        <f>'Revenue drivers'!BA350</f>
        <v>-3.6912594754677341E-2</v>
      </c>
      <c r="BB957">
        <f>'Revenue drivers'!BB350</f>
        <v>-4.1240602024119166E-2</v>
      </c>
      <c r="BC957">
        <f>'Revenue drivers'!BC350</f>
        <v>-4.3726016441965054E-2</v>
      </c>
      <c r="BD957">
        <f>'Revenue drivers'!BD350</f>
        <v>-3.0429961010764006E-2</v>
      </c>
      <c r="BE957">
        <f>'Revenue drivers'!BE350</f>
        <v>0</v>
      </c>
      <c r="BF957">
        <f>'Revenue drivers'!BF350</f>
        <v>0</v>
      </c>
      <c r="BG957">
        <f>'Revenue drivers'!BG350</f>
        <v>0</v>
      </c>
      <c r="BH957">
        <f>'Revenue drivers'!BH350</f>
        <v>0</v>
      </c>
      <c r="BI957">
        <f>'Revenue drivers'!BI350</f>
        <v>0</v>
      </c>
      <c r="BJ957">
        <f>'Revenue drivers'!BJ350</f>
        <v>0</v>
      </c>
      <c r="BK957">
        <f>'Revenue drivers'!BK350</f>
        <v>0</v>
      </c>
      <c r="BL957">
        <f>'Revenue drivers'!BL350</f>
        <v>2.1862129987129979</v>
      </c>
      <c r="BM957">
        <f>'Revenue drivers'!BM350</f>
        <v>0.77947203217961336</v>
      </c>
      <c r="BN957">
        <f>'Revenue drivers'!BN350</f>
        <v>0.36588480090797315</v>
      </c>
      <c r="BO957">
        <f>'Revenue drivers'!BO350</f>
        <v>0.14011702385486258</v>
      </c>
      <c r="BP957">
        <f>'Revenue drivers'!BP350</f>
        <v>-7.7285150318858742E-3</v>
      </c>
      <c r="BQ957">
        <f>'Revenue drivers'!BQ350</f>
        <v>-1.7291242674174812E-2</v>
      </c>
      <c r="BR957">
        <f>'Revenue drivers'!BR350</f>
        <v>-7.6365986203890013E-2</v>
      </c>
      <c r="BS957">
        <f>'Revenue drivers'!BS350</f>
        <v>-2.3073687511274033E-2</v>
      </c>
      <c r="BT957">
        <f>'Revenue drivers'!BT350</f>
        <v>-3.0429961010764006E-2</v>
      </c>
      <c r="BU957">
        <f>'Revenue drivers'!BU350</f>
        <v>-4.426510411401996E-2</v>
      </c>
      <c r="BV957">
        <f>'Revenue drivers'!BV350</f>
        <v>-7.7998155000855385E-2</v>
      </c>
      <c r="BW957">
        <f>'Revenue drivers'!BW350</f>
        <v>-9.8354901590329114E-2</v>
      </c>
      <c r="BX957">
        <f>'Revenue drivers'!BX350</f>
        <v>-0.12393717683678707</v>
      </c>
      <c r="BY957">
        <f>'Revenue drivers'!BY350</f>
        <v>-0.15800837513637922</v>
      </c>
    </row>
    <row r="958" spans="9:77" ht="11.25" customHeight="1">
      <c r="I958" t="str">
        <f>'Revenue drivers'!I351</f>
        <v>% change Q/Q</v>
      </c>
      <c r="J958">
        <f>'Revenue drivers'!J351</f>
        <v>0</v>
      </c>
      <c r="K958">
        <f>'Revenue drivers'!K351</f>
        <v>0</v>
      </c>
      <c r="L958">
        <f>'Revenue drivers'!L351</f>
        <v>0</v>
      </c>
      <c r="M958">
        <f>'Revenue drivers'!M351</f>
        <v>0</v>
      </c>
      <c r="N958">
        <f>'Revenue drivers'!N351</f>
        <v>0</v>
      </c>
      <c r="O958">
        <f>'Revenue drivers'!O351</f>
        <v>0</v>
      </c>
      <c r="P958">
        <f>'Revenue drivers'!P351</f>
        <v>0</v>
      </c>
      <c r="Q958" t="str">
        <f>'Revenue drivers'!Q351</f>
        <v>NA</v>
      </c>
      <c r="R958">
        <f>'Revenue drivers'!R351</f>
        <v>0.31427847299711931</v>
      </c>
      <c r="S958">
        <f>'Revenue drivers'!S351</f>
        <v>0.52058946139259721</v>
      </c>
      <c r="T958">
        <f>'Revenue drivers'!T351</f>
        <v>0.22199608292787532</v>
      </c>
      <c r="U958">
        <f>'Revenue drivers'!U351</f>
        <v>0.26267696267696228</v>
      </c>
      <c r="V958">
        <f>'Revenue drivers'!V351</f>
        <v>0.23150035674243186</v>
      </c>
      <c r="W958">
        <f>'Revenue drivers'!W351</f>
        <v>0.11083235048659557</v>
      </c>
      <c r="X958">
        <f>'Revenue drivers'!X351</f>
        <v>0.84458845900112545</v>
      </c>
      <c r="Y958">
        <f>'Revenue drivers'!Y351</f>
        <v>0.27304704922033451</v>
      </c>
      <c r="Z958">
        <f>'Revenue drivers'!Z351</f>
        <v>0.14661554732945548</v>
      </c>
      <c r="AA958">
        <f>'Revenue drivers'!AA351</f>
        <v>0.11633806064798802</v>
      </c>
      <c r="AB958">
        <f>'Revenue drivers'!AB351</f>
        <v>9.20264408180127E-2</v>
      </c>
      <c r="AC958">
        <f>'Revenue drivers'!AC351</f>
        <v>0.18814432989690744</v>
      </c>
      <c r="AD958">
        <f>'Revenue drivers'!AD351</f>
        <v>0.11200222890007727</v>
      </c>
      <c r="AE958">
        <f>'Revenue drivers'!AE351</f>
        <v>5.4995794333983605E-2</v>
      </c>
      <c r="AF958">
        <f>'Revenue drivers'!AF351</f>
        <v>-2.0084817642069486E-2</v>
      </c>
      <c r="AG958">
        <f>'Revenue drivers'!AG351</f>
        <v>8.9273967385659292E-2</v>
      </c>
      <c r="AH958">
        <f>'Revenue drivers'!AH351</f>
        <v>2.8479252419624013E-2</v>
      </c>
      <c r="AI958">
        <f>'Revenue drivers'!AI351</f>
        <v>6.8021324267944161E-2</v>
      </c>
      <c r="AJ958">
        <f>'Revenue drivers'!AJ351</f>
        <v>-4.7122994342925884E-2</v>
      </c>
      <c r="AK958">
        <f>'Revenue drivers'!AK351</f>
        <v>4.0859398724567342E-2</v>
      </c>
      <c r="AL958">
        <f>'Revenue drivers'!AL351</f>
        <v>1.1320039094980361E-2</v>
      </c>
      <c r="AM958">
        <f>'Revenue drivers'!AM351</f>
        <v>3.913338237627495E-2</v>
      </c>
      <c r="AN958">
        <f>'Revenue drivers'!AN351</f>
        <v>-9.2851193781232744E-2</v>
      </c>
      <c r="AO958">
        <f>'Revenue drivers'!AO351</f>
        <v>0.11998286177717232</v>
      </c>
      <c r="AP958">
        <f>'Revenue drivers'!AP351</f>
        <v>1.2419390097278438E-2</v>
      </c>
      <c r="AQ958">
        <f>'Revenue drivers'!AQ351</f>
        <v>-8.0025910581503767E-3</v>
      </c>
      <c r="AR958">
        <f>'Revenue drivers'!AR351</f>
        <v>-0.12633999020514763</v>
      </c>
      <c r="AS958">
        <f>'Revenue drivers'!AS351</f>
        <v>9.585260273119367E-2</v>
      </c>
      <c r="AT958">
        <f>'Revenue drivers'!AT351</f>
        <v>8.6484527915824394E-3</v>
      </c>
      <c r="AU958">
        <f>'Revenue drivers'!AU351</f>
        <v>-9.2314757682567805E-3</v>
      </c>
      <c r="AV958">
        <f>'Revenue drivers'!AV351</f>
        <v>-0.1565958245473843</v>
      </c>
      <c r="AW958">
        <f>'Revenue drivers'!AW351</f>
        <v>0.10001209608761097</v>
      </c>
      <c r="AX958">
        <f>'Revenue drivers'!AX351</f>
        <v>1.8657004207146999E-2</v>
      </c>
      <c r="AY958">
        <f>'Revenue drivers'!AY351</f>
        <v>2.1513864741364852E-3</v>
      </c>
      <c r="AZ958">
        <f>'Revenue drivers'!AZ351</f>
        <v>-0.13003247963295272</v>
      </c>
      <c r="BA958">
        <f>'Revenue drivers'!BA351</f>
        <v>8.4429584725420836E-2</v>
      </c>
      <c r="BB958">
        <f>'Revenue drivers'!BB351</f>
        <v>1.4079273364375533E-2</v>
      </c>
      <c r="BC958">
        <f>'Revenue drivers'!BC351</f>
        <v>-4.4651401066253538E-4</v>
      </c>
      <c r="BD958">
        <f>'Revenue drivers'!BD351</f>
        <v>-0.11793643124825592</v>
      </c>
      <c r="BE958">
        <f>'Revenue drivers'!BE351</f>
        <v>0</v>
      </c>
      <c r="BF958">
        <f>'Revenue drivers'!BF351</f>
        <v>0</v>
      </c>
      <c r="BG958">
        <f>'Revenue drivers'!BG351</f>
        <v>0</v>
      </c>
      <c r="BH958">
        <f>'Revenue drivers'!BH351</f>
        <v>0</v>
      </c>
      <c r="BI958">
        <f>'Revenue drivers'!BI351</f>
        <v>0</v>
      </c>
      <c r="BJ958">
        <f>'Revenue drivers'!BJ351</f>
        <v>0</v>
      </c>
      <c r="BK958">
        <f>'Revenue drivers'!BK351</f>
        <v>0</v>
      </c>
      <c r="BL958">
        <f>'Revenue drivers'!BL351</f>
        <v>0</v>
      </c>
      <c r="BM958">
        <f>'Revenue drivers'!BM351</f>
        <v>0</v>
      </c>
      <c r="BN958">
        <f>'Revenue drivers'!BN351</f>
        <v>0</v>
      </c>
      <c r="BO958">
        <f>'Revenue drivers'!BO351</f>
        <v>0</v>
      </c>
      <c r="BP958">
        <f>'Revenue drivers'!BP351</f>
        <v>0</v>
      </c>
      <c r="BQ958">
        <f>'Revenue drivers'!BQ351</f>
        <v>0</v>
      </c>
      <c r="BR958">
        <f>'Revenue drivers'!BR351</f>
        <v>0</v>
      </c>
      <c r="BS958">
        <f>'Revenue drivers'!BS351</f>
        <v>0</v>
      </c>
      <c r="BT958">
        <f>'Revenue drivers'!BT351</f>
        <v>0</v>
      </c>
      <c r="BU958">
        <f>'Revenue drivers'!BU351</f>
        <v>0</v>
      </c>
      <c r="BV958">
        <f>'Revenue drivers'!BV351</f>
        <v>0</v>
      </c>
      <c r="BW958">
        <f>'Revenue drivers'!BW351</f>
        <v>0</v>
      </c>
      <c r="BX958">
        <f>'Revenue drivers'!BX351</f>
        <v>0</v>
      </c>
      <c r="BY958">
        <f>'Revenue drivers'!BY351</f>
        <v>0</v>
      </c>
    </row>
    <row r="959" spans="9:77" ht="11.25" customHeight="1">
      <c r="I959" t="str">
        <f>'Revenue drivers'!I352</f>
        <v>% of total unique visitors</v>
      </c>
      <c r="J959">
        <f>'Revenue drivers'!J352</f>
        <v>0</v>
      </c>
      <c r="K959">
        <f>'Revenue drivers'!K352</f>
        <v>0</v>
      </c>
      <c r="L959">
        <f>'Revenue drivers'!L352</f>
        <v>0</v>
      </c>
      <c r="M959">
        <f>'Revenue drivers'!M352</f>
        <v>0</v>
      </c>
      <c r="N959">
        <f>'Revenue drivers'!N352</f>
        <v>0</v>
      </c>
      <c r="O959">
        <f>'Revenue drivers'!O352</f>
        <v>0</v>
      </c>
      <c r="P959">
        <f>'Revenue drivers'!P352</f>
        <v>0</v>
      </c>
      <c r="Q959">
        <f>'Revenue drivers'!Q352</f>
        <v>6.5240831321955739E-2</v>
      </c>
      <c r="R959">
        <f>'Revenue drivers'!R352</f>
        <v>7.7856979874960111E-2</v>
      </c>
      <c r="S959">
        <f>'Revenue drivers'!S352</f>
        <v>0.10004771552337569</v>
      </c>
      <c r="T959">
        <f>'Revenue drivers'!T352</f>
        <v>0.11336859383549154</v>
      </c>
      <c r="U959">
        <f>'Revenue drivers'!U352</f>
        <v>0.13182398387638564</v>
      </c>
      <c r="V959">
        <f>'Revenue drivers'!V352</f>
        <v>0.14808002144799498</v>
      </c>
      <c r="W959">
        <f>'Revenue drivers'!W352</f>
        <v>0.15423519835284541</v>
      </c>
      <c r="X959">
        <f>'Revenue drivers'!X352</f>
        <v>0.27539513325608345</v>
      </c>
      <c r="Y959">
        <f>'Revenue drivers'!Y352</f>
        <v>0.2964385440650566</v>
      </c>
      <c r="Z959">
        <f>'Revenue drivers'!Z352</f>
        <v>0.32104980658535237</v>
      </c>
      <c r="AA959">
        <f>'Revenue drivers'!AA352</f>
        <v>0.32974873772850738</v>
      </c>
      <c r="AB959">
        <f>'Revenue drivers'!AB352</f>
        <v>0.35241864922294908</v>
      </c>
      <c r="AC959">
        <f>'Revenue drivers'!AC352</f>
        <v>0.37935225728521821</v>
      </c>
      <c r="AD959">
        <f>'Revenue drivers'!AD352</f>
        <v>0.4056082635869368</v>
      </c>
      <c r="AE959">
        <f>'Revenue drivers'!AE352</f>
        <v>0.42282918991808804</v>
      </c>
      <c r="AF959">
        <f>'Revenue drivers'!AF352</f>
        <v>0.42665110713916427</v>
      </c>
      <c r="AG959">
        <f>'Revenue drivers'!AG352</f>
        <v>0.44167029326295393</v>
      </c>
      <c r="AH959">
        <f>'Revenue drivers'!AH352</f>
        <v>0.44975328375842666</v>
      </c>
      <c r="AI959">
        <f>'Revenue drivers'!AI352</f>
        <v>0.46694996554473106</v>
      </c>
      <c r="AJ959">
        <f>'Revenue drivers'!AJ352</f>
        <v>0.46886457317377039</v>
      </c>
      <c r="AK959">
        <f>'Revenue drivers'!AK352</f>
        <v>0.46957885795703636</v>
      </c>
      <c r="AL959">
        <f>'Revenue drivers'!AL352</f>
        <v>0.48571108293106707</v>
      </c>
      <c r="AM959">
        <f>'Revenue drivers'!AM352</f>
        <v>0.502199387935782</v>
      </c>
      <c r="AN959">
        <f>'Revenue drivers'!AN352</f>
        <v>0.49047951425633635</v>
      </c>
      <c r="AO959">
        <f>'Revenue drivers'!AO352</f>
        <v>0.48356556266888656</v>
      </c>
      <c r="AP959">
        <f>'Revenue drivers'!AP352</f>
        <v>0.47168346074768142</v>
      </c>
      <c r="AQ959">
        <f>'Revenue drivers'!AQ352</f>
        <v>0.46790579248886061</v>
      </c>
      <c r="AR959">
        <f>'Revenue drivers'!AR352</f>
        <v>0.4555682455007839</v>
      </c>
      <c r="AS959">
        <f>'Revenue drivers'!AS352</f>
        <v>0.48244641378991215</v>
      </c>
      <c r="AT959">
        <f>'Revenue drivers'!AT352</f>
        <v>0.48961053472328547</v>
      </c>
      <c r="AU959">
        <f>'Revenue drivers'!AU352</f>
        <v>0.49241080711708679</v>
      </c>
      <c r="AV959">
        <f>'Revenue drivers'!AV352</f>
        <v>0.45518042093485989</v>
      </c>
      <c r="AW959">
        <f>'Revenue drivers'!AW352</f>
        <v>0.48333700162234977</v>
      </c>
      <c r="AX959">
        <f>'Revenue drivers'!AX352</f>
        <v>0.49338764277979402</v>
      </c>
      <c r="AY959">
        <f>'Revenue drivers'!AY352</f>
        <v>0.49948047516060867</v>
      </c>
      <c r="AZ959">
        <f>'Revenue drivers'!AZ352</f>
        <v>0.47037260814663323</v>
      </c>
      <c r="BA959">
        <f>'Revenue drivers'!BA352</f>
        <v>0.49543740683501347</v>
      </c>
      <c r="BB959">
        <f>'Revenue drivers'!BB352</f>
        <v>0.50486171636551092</v>
      </c>
      <c r="BC959">
        <f>'Revenue drivers'!BC352</f>
        <v>0.51082189570192793</v>
      </c>
      <c r="BD959">
        <f>'Revenue drivers'!BD352</f>
        <v>0.48567931036128903</v>
      </c>
      <c r="BE959">
        <f>'Revenue drivers'!BE352</f>
        <v>0</v>
      </c>
      <c r="BF959">
        <f>'Revenue drivers'!BF352</f>
        <v>0</v>
      </c>
      <c r="BG959">
        <f>'Revenue drivers'!BG352</f>
        <v>0</v>
      </c>
      <c r="BH959">
        <f>'Revenue drivers'!BH352</f>
        <v>0</v>
      </c>
      <c r="BI959">
        <f>'Revenue drivers'!BI352</f>
        <v>0</v>
      </c>
      <c r="BJ959">
        <f>'Revenue drivers'!BJ352</f>
        <v>0</v>
      </c>
      <c r="BK959">
        <f>'Revenue drivers'!BK352</f>
        <v>0</v>
      </c>
      <c r="BL959">
        <f>'Revenue drivers'!BL352</f>
        <v>0.27539513325608345</v>
      </c>
      <c r="BM959">
        <f>'Revenue drivers'!BM352</f>
        <v>0.35241864922294908</v>
      </c>
      <c r="BN959">
        <f>'Revenue drivers'!BN352</f>
        <v>0.42665110713916427</v>
      </c>
      <c r="BO959">
        <f>'Revenue drivers'!BO352</f>
        <v>0.46886457317377039</v>
      </c>
      <c r="BP959">
        <f>'Revenue drivers'!BP352</f>
        <v>0.49047951425633635</v>
      </c>
      <c r="BQ959">
        <f>'Revenue drivers'!BQ352</f>
        <v>0.4555682455007839</v>
      </c>
      <c r="BR959">
        <f>'Revenue drivers'!BR352</f>
        <v>0.45518042093485989</v>
      </c>
      <c r="BS959">
        <f>'Revenue drivers'!BS352</f>
        <v>0.47037260814663323</v>
      </c>
      <c r="BT959">
        <f>'Revenue drivers'!BT352</f>
        <v>0.48567931036128903</v>
      </c>
      <c r="BU959">
        <f>'Revenue drivers'!BU352</f>
        <v>0.49976577545505846</v>
      </c>
      <c r="BV959">
        <f>'Revenue drivers'!BV352</f>
        <v>0.50774991954598014</v>
      </c>
      <c r="BW959">
        <f>'Revenue drivers'!BW352</f>
        <v>0.5137640696033795</v>
      </c>
      <c r="BX959">
        <f>'Revenue drivers'!BX352</f>
        <v>0.51725621078893302</v>
      </c>
      <c r="BY959">
        <f>'Revenue drivers'!BY352</f>
        <v>0.51711819945010784</v>
      </c>
    </row>
    <row r="960" spans="9:77" ht="11.25" customHeight="1">
      <c r="I960" t="str">
        <f>'Revenue drivers'!I353</f>
        <v>% of total MOBILE unique visitors</v>
      </c>
      <c r="J960">
        <f>'Revenue drivers'!J353</f>
        <v>0</v>
      </c>
      <c r="K960">
        <f>'Revenue drivers'!K353</f>
        <v>0</v>
      </c>
      <c r="L960">
        <f>'Revenue drivers'!L353</f>
        <v>0</v>
      </c>
      <c r="M960">
        <f>'Revenue drivers'!M353</f>
        <v>0</v>
      </c>
      <c r="N960">
        <f>'Revenue drivers'!N353</f>
        <v>0</v>
      </c>
      <c r="O960">
        <f>'Revenue drivers'!O353</f>
        <v>0</v>
      </c>
      <c r="P960">
        <f>'Revenue drivers'!P353</f>
        <v>0</v>
      </c>
      <c r="Q960">
        <f>'Revenue drivers'!Q353</f>
        <v>0.46600593801396945</v>
      </c>
      <c r="R960">
        <f>'Revenue drivers'!R353</f>
        <v>0.48660612421850058</v>
      </c>
      <c r="S960">
        <f>'Revenue drivers'!S353</f>
        <v>0.55582064179653146</v>
      </c>
      <c r="T960">
        <f>'Revenue drivers'!T353</f>
        <v>0.56684296917745769</v>
      </c>
      <c r="U960">
        <f>'Revenue drivers'!U353</f>
        <v>0.59919992671084377</v>
      </c>
      <c r="V960">
        <f>'Revenue drivers'!V353</f>
        <v>0.61700008936664585</v>
      </c>
      <c r="W960">
        <f>'Revenue drivers'!W353</f>
        <v>0.61694079341138164</v>
      </c>
      <c r="X960">
        <f>'Revenue drivers'!X353</f>
        <v>0.72092966820964255</v>
      </c>
      <c r="Y960">
        <f>'Revenue drivers'!Y353</f>
        <v>0.75323640709022111</v>
      </c>
      <c r="Z960">
        <f>'Revenue drivers'!Z353</f>
        <v>0.76983845197940726</v>
      </c>
      <c r="AA960">
        <f>'Revenue drivers'!AA353</f>
        <v>0.76757506689128951</v>
      </c>
      <c r="AB960">
        <f>'Revenue drivers'!AB353</f>
        <v>0.79939514223608354</v>
      </c>
      <c r="AC960">
        <f>'Revenue drivers'!AC353</f>
        <v>0.82119627390096439</v>
      </c>
      <c r="AD960">
        <f>'Revenue drivers'!AD353</f>
        <v>0.82310049200129631</v>
      </c>
      <c r="AE960">
        <f>'Revenue drivers'!AE353</f>
        <v>0.80269607843137258</v>
      </c>
      <c r="AF960">
        <f>'Revenue drivers'!AF353</f>
        <v>0.79889913839600601</v>
      </c>
      <c r="AG960">
        <f>'Revenue drivers'!AG353</f>
        <v>0.79687697879992903</v>
      </c>
      <c r="AH960">
        <f>'Revenue drivers'!AH353</f>
        <v>0.78146886924600301</v>
      </c>
      <c r="AI960">
        <f>'Revenue drivers'!AI353</f>
        <v>0.77452430578901366</v>
      </c>
      <c r="AJ960">
        <f>'Revenue drivers'!AJ353</f>
        <v>0.7670090606293527</v>
      </c>
      <c r="AK960">
        <f>'Revenue drivers'!AK353</f>
        <v>0.76391009282681621</v>
      </c>
      <c r="AL960">
        <f>'Revenue drivers'!AL353</f>
        <v>0.75080411969199778</v>
      </c>
      <c r="AM960">
        <f>'Revenue drivers'!AM353</f>
        <v>0.74314008665153708</v>
      </c>
      <c r="AN960">
        <f>'Revenue drivers'!AN353</f>
        <v>0.73079933798532826</v>
      </c>
      <c r="AO960">
        <f>'Revenue drivers'!AO353</f>
        <v>0.73917127016027229</v>
      </c>
      <c r="AP960">
        <f>'Revenue drivers'!AP353</f>
        <v>0.72585416503408828</v>
      </c>
      <c r="AQ960">
        <f>'Revenue drivers'!AQ353</f>
        <v>0.70905758657277906</v>
      </c>
      <c r="AR960">
        <f>'Revenue drivers'!AR353</f>
        <v>0.69005866804203475</v>
      </c>
      <c r="AS960">
        <f>'Revenue drivers'!AS353</f>
        <v>0.69527300209688137</v>
      </c>
      <c r="AT960">
        <f>'Revenue drivers'!AT353</f>
        <v>0.6836668259006996</v>
      </c>
      <c r="AU960">
        <f>'Revenue drivers'!AU353</f>
        <v>0.66869534709261025</v>
      </c>
      <c r="AV960">
        <f>'Revenue drivers'!AV353</f>
        <v>0.61684329623956313</v>
      </c>
      <c r="AW960">
        <f>'Revenue drivers'!AW353</f>
        <v>0.63290814325312295</v>
      </c>
      <c r="AX960">
        <f>'Revenue drivers'!AX353</f>
        <v>0.6311416879305799</v>
      </c>
      <c r="AY960">
        <f>'Revenue drivers'!AY353</f>
        <v>0.6257084075454441</v>
      </c>
      <c r="AZ960">
        <f>'Revenue drivers'!AZ353</f>
        <v>0.58655996482343464</v>
      </c>
      <c r="BA960">
        <f>'Revenue drivers'!BA353</f>
        <v>0.60027921468812206</v>
      </c>
      <c r="BB960">
        <f>'Revenue drivers'!BB353</f>
        <v>0.59796500196433666</v>
      </c>
      <c r="BC960">
        <f>'Revenue drivers'!BC353</f>
        <v>0.59229832899571644</v>
      </c>
      <c r="BD960">
        <f>'Revenue drivers'!BD353</f>
        <v>0.55612057429069617</v>
      </c>
      <c r="BE960">
        <f>'Revenue drivers'!BE353</f>
        <v>0</v>
      </c>
      <c r="BF960">
        <f>'Revenue drivers'!BF353</f>
        <v>0</v>
      </c>
      <c r="BG960">
        <f>'Revenue drivers'!BG353</f>
        <v>0</v>
      </c>
      <c r="BH960">
        <f>'Revenue drivers'!BH353</f>
        <v>0</v>
      </c>
      <c r="BI960">
        <f>'Revenue drivers'!BI353</f>
        <v>0</v>
      </c>
      <c r="BJ960">
        <f>'Revenue drivers'!BJ353</f>
        <v>0</v>
      </c>
      <c r="BK960">
        <f>'Revenue drivers'!BK353</f>
        <v>0</v>
      </c>
      <c r="BL960">
        <f>'Revenue drivers'!BL353</f>
        <v>0.72092966820964255</v>
      </c>
      <c r="BM960">
        <f>'Revenue drivers'!BM353</f>
        <v>0.79939514223608354</v>
      </c>
      <c r="BN960">
        <f>'Revenue drivers'!BN353</f>
        <v>0.79889913839600601</v>
      </c>
      <c r="BO960">
        <f>'Revenue drivers'!BO353</f>
        <v>0.7670090606293527</v>
      </c>
      <c r="BP960">
        <f>'Revenue drivers'!BP353</f>
        <v>0.73079933798532826</v>
      </c>
      <c r="BQ960">
        <f>'Revenue drivers'!BQ353</f>
        <v>0.69005866804203475</v>
      </c>
      <c r="BR960">
        <f>'Revenue drivers'!BR353</f>
        <v>0.61684329623956313</v>
      </c>
      <c r="BS960">
        <f>'Revenue drivers'!BS353</f>
        <v>0.58655996482343464</v>
      </c>
      <c r="BT960">
        <f>'Revenue drivers'!BT353</f>
        <v>0.55612057429069617</v>
      </c>
      <c r="BU960">
        <f>'Revenue drivers'!BU353</f>
        <v>0.52112070317244286</v>
      </c>
      <c r="BV960">
        <f>'Revenue drivers'!BV353</f>
        <v>0.47217258085972924</v>
      </c>
      <c r="BW960">
        <f>'Revenue drivers'!BW353</f>
        <v>0.419213216416018</v>
      </c>
      <c r="BX960">
        <f>'Revenue drivers'!BX353</f>
        <v>0.36226476437456495</v>
      </c>
      <c r="BY960">
        <f>'Revenue drivers'!BY353</f>
        <v>0.30133726282698015</v>
      </c>
    </row>
    <row r="961" spans="9:77" ht="11.25" customHeight="1">
      <c r="I961" t="str">
        <f>'Revenue drivers'!I354</f>
        <v>Y/Y Abs Growth</v>
      </c>
      <c r="J961">
        <f>'Revenue drivers'!J354</f>
        <v>0</v>
      </c>
      <c r="K961">
        <f>'Revenue drivers'!K354</f>
        <v>0</v>
      </c>
      <c r="L961">
        <f>'Revenue drivers'!L354</f>
        <v>0</v>
      </c>
      <c r="M961">
        <f>'Revenue drivers'!M354</f>
        <v>0</v>
      </c>
      <c r="N961">
        <f>'Revenue drivers'!N354</f>
        <v>0</v>
      </c>
      <c r="O961">
        <f>'Revenue drivers'!O354</f>
        <v>0</v>
      </c>
      <c r="P961">
        <f>'Revenue drivers'!P354</f>
        <v>0</v>
      </c>
      <c r="Q961">
        <f>'Revenue drivers'!Q354</f>
        <v>0</v>
      </c>
      <c r="R961">
        <f>'Revenue drivers'!R354</f>
        <v>0</v>
      </c>
      <c r="S961">
        <f>'Revenue drivers'!S354</f>
        <v>0</v>
      </c>
      <c r="T961">
        <f>'Revenue drivers'!T354</f>
        <v>0</v>
      </c>
      <c r="U961">
        <f>'Revenue drivers'!U354</f>
        <v>0</v>
      </c>
      <c r="V961">
        <f>'Revenue drivers'!V354</f>
        <v>0</v>
      </c>
      <c r="W961">
        <f>'Revenue drivers'!W354</f>
        <v>0</v>
      </c>
      <c r="X961">
        <f>'Revenue drivers'!X354</f>
        <v>0</v>
      </c>
      <c r="Y961">
        <f>'Revenue drivers'!Y354</f>
        <v>20.837440000000001</v>
      </c>
      <c r="Z961">
        <f>'Revenue drivers'!Z354</f>
        <v>23.093040000000009</v>
      </c>
      <c r="AA961">
        <f>'Revenue drivers'!AA354</f>
        <v>25.843500000000009</v>
      </c>
      <c r="AB961">
        <f>'Revenue drivers'!AB354</f>
        <v>18.525400000000001</v>
      </c>
      <c r="AC961">
        <f>'Revenue drivers'!AC354</f>
        <v>19.993000000000009</v>
      </c>
      <c r="AD961">
        <f>'Revenue drivers'!AD354</f>
        <v>21.184999999999988</v>
      </c>
      <c r="AE961">
        <f>'Revenue drivers'!AE354</f>
        <v>20.221999999999994</v>
      </c>
      <c r="AF961">
        <f>'Revenue drivers'!AF354</f>
        <v>15.474000000000004</v>
      </c>
      <c r="AG961">
        <f>'Revenue drivers'!AG354</f>
        <v>12.673999999999992</v>
      </c>
      <c r="AH961">
        <f>'Revenue drivers'!AH354</f>
        <v>8.8380000000000081</v>
      </c>
      <c r="AI961">
        <f>'Revenue drivers'!AI354</f>
        <v>10.167000000000002</v>
      </c>
      <c r="AJ961">
        <f>'Revenue drivers'!AJ354</f>
        <v>8.0939999999999941</v>
      </c>
      <c r="AK961">
        <f>'Revenue drivers'!AK354</f>
        <v>5.6280000000000001</v>
      </c>
      <c r="AL961">
        <f>'Revenue drivers'!AL354</f>
        <v>4.6119999999999948</v>
      </c>
      <c r="AM961">
        <f>'Revenue drivers'!AM354</f>
        <v>2.9230000000000018</v>
      </c>
      <c r="AN961">
        <f>'Revenue drivers'!AN354</f>
        <v>-0.50900000000000034</v>
      </c>
      <c r="AO961">
        <f>'Revenue drivers'!AO354</f>
        <v>4.6409999999999911</v>
      </c>
      <c r="AP961">
        <f>'Revenue drivers'!AP354</f>
        <v>4.7740000000000009</v>
      </c>
      <c r="AQ961">
        <f>'Revenue drivers'!AQ354</f>
        <v>1.4679999999999893</v>
      </c>
      <c r="AR961">
        <f>'Revenue drivers'!AR354</f>
        <v>-1.1299999999999955</v>
      </c>
      <c r="AS961">
        <f>'Revenue drivers'!AS354</f>
        <v>-2.815250000000006</v>
      </c>
      <c r="AT961">
        <f>'Revenue drivers'!AT354</f>
        <v>-3.1156000000000148</v>
      </c>
      <c r="AU961">
        <f>'Revenue drivers'!AU354</f>
        <v>-3.1779000000000224</v>
      </c>
      <c r="AV961">
        <f>'Revenue drivers'!AV354</f>
        <v>-4.9043000000000205</v>
      </c>
      <c r="AW961">
        <f>'Revenue drivers'!AW354</f>
        <v>-5.1276625000000138</v>
      </c>
      <c r="AX961">
        <f>'Revenue drivers'!AX354</f>
        <v>-4.518960000000007</v>
      </c>
      <c r="AY961">
        <f>'Revenue drivers'!AY354</f>
        <v>-3.7206649999999968</v>
      </c>
      <c r="AZ961">
        <f>'Revenue drivers'!AZ354</f>
        <v>-1.3686549999999897</v>
      </c>
      <c r="BA961">
        <f>'Revenue drivers'!BA354</f>
        <v>-2.4085131249999847</v>
      </c>
      <c r="BB961">
        <f>'Revenue drivers'!BB354</f>
        <v>-2.741115999999991</v>
      </c>
      <c r="BC961">
        <f>'Revenue drivers'!BC354</f>
        <v>-2.9125652500000001</v>
      </c>
      <c r="BD961">
        <f>'Revenue drivers'!BD354</f>
        <v>-1.7633567499999998</v>
      </c>
      <c r="BE961">
        <f>'Revenue drivers'!BE354</f>
        <v>0</v>
      </c>
      <c r="BF961">
        <f>'Revenue drivers'!BF354</f>
        <v>0</v>
      </c>
      <c r="BG961">
        <f>'Revenue drivers'!BG354</f>
        <v>0</v>
      </c>
      <c r="BH961">
        <f>'Revenue drivers'!BH354</f>
        <v>0</v>
      </c>
      <c r="BI961">
        <f>'Revenue drivers'!BI354</f>
        <v>0</v>
      </c>
      <c r="BJ961">
        <f>'Revenue drivers'!BJ354</f>
        <v>0</v>
      </c>
      <c r="BK961">
        <f>'Revenue drivers'!BK354</f>
        <v>0</v>
      </c>
      <c r="BL961">
        <f>'Revenue drivers'!BL354</f>
        <v>0</v>
      </c>
      <c r="BM961">
        <f>'Revenue drivers'!BM354</f>
        <v>18.525400000000001</v>
      </c>
      <c r="BN961">
        <f>'Revenue drivers'!BN354</f>
        <v>15.474000000000004</v>
      </c>
      <c r="BO961">
        <f>'Revenue drivers'!BO354</f>
        <v>8.0939999999999941</v>
      </c>
      <c r="BP961">
        <f>'Revenue drivers'!BP354</f>
        <v>-0.50900000000000034</v>
      </c>
      <c r="BQ961">
        <f>'Revenue drivers'!BQ354</f>
        <v>-1.1299999999999955</v>
      </c>
      <c r="BR961">
        <f>'Revenue drivers'!BR354</f>
        <v>-4.9043000000000205</v>
      </c>
      <c r="BS961">
        <f>'Revenue drivers'!BS354</f>
        <v>-1.3686549999999897</v>
      </c>
      <c r="BT961">
        <f>'Revenue drivers'!BT354</f>
        <v>-1.7633567499999998</v>
      </c>
      <c r="BU961">
        <f>'Revenue drivers'!BU354</f>
        <v>-2.4870210750000012</v>
      </c>
      <c r="BV961">
        <f>'Revenue drivers'!BV354</f>
        <v>-4.1883189674999954</v>
      </c>
      <c r="BW961">
        <f>'Revenue drivers'!BW354</f>
        <v>-4.8694870707499973</v>
      </c>
      <c r="BX961">
        <f>'Revenue drivers'!BX354</f>
        <v>-5.5325383636750018</v>
      </c>
      <c r="BY961">
        <f>'Revenue drivers'!BY354</f>
        <v>-6.1792845273075017</v>
      </c>
    </row>
    <row r="962" spans="9:77" ht="11.25" customHeight="1">
      <c r="I962" t="str">
        <f>'Revenue drivers'!I355</f>
        <v>Q/Q Abs Growth</v>
      </c>
      <c r="J962">
        <f>'Revenue drivers'!J355</f>
        <v>0</v>
      </c>
      <c r="K962">
        <f>'Revenue drivers'!K355</f>
        <v>0</v>
      </c>
      <c r="L962">
        <f>'Revenue drivers'!L355</f>
        <v>0</v>
      </c>
      <c r="M962">
        <f>'Revenue drivers'!M355</f>
        <v>0</v>
      </c>
      <c r="N962">
        <f>'Revenue drivers'!N355</f>
        <v>0</v>
      </c>
      <c r="O962">
        <f>'Revenue drivers'!O355</f>
        <v>0</v>
      </c>
      <c r="P962">
        <f>'Revenue drivers'!P355</f>
        <v>0</v>
      </c>
      <c r="Q962">
        <f>'Revenue drivers'!Q355</f>
        <v>0</v>
      </c>
      <c r="R962">
        <f>'Revenue drivers'!R355</f>
        <v>0</v>
      </c>
      <c r="S962">
        <f>'Revenue drivers'!S355</f>
        <v>0</v>
      </c>
      <c r="T962">
        <f>'Revenue drivers'!T355</f>
        <v>0</v>
      </c>
      <c r="U962">
        <f>'Revenue drivers'!U355</f>
        <v>0</v>
      </c>
      <c r="V962">
        <f>'Revenue drivers'!V355</f>
        <v>2.1803999999999988</v>
      </c>
      <c r="W962">
        <f>'Revenue drivers'!W355</f>
        <v>1.285540000000001</v>
      </c>
      <c r="X962">
        <f>'Revenue drivers'!X355</f>
        <v>10.882100000000001</v>
      </c>
      <c r="Y962">
        <f>'Revenue drivers'!Y355</f>
        <v>6.4893999999999998</v>
      </c>
      <c r="Z962">
        <f>'Revenue drivers'!Z355</f>
        <v>4.436000000000007</v>
      </c>
      <c r="AA962">
        <f>'Revenue drivers'!AA355</f>
        <v>4.0360000000000014</v>
      </c>
      <c r="AB962">
        <f>'Revenue drivers'!AB355</f>
        <v>3.563999999999993</v>
      </c>
      <c r="AC962">
        <f>'Revenue drivers'!AC355</f>
        <v>7.9570000000000078</v>
      </c>
      <c r="AD962">
        <f>'Revenue drivers'!AD355</f>
        <v>5.6279999999999859</v>
      </c>
      <c r="AE962">
        <f>'Revenue drivers'!AE355</f>
        <v>3.0730000000000075</v>
      </c>
      <c r="AF962">
        <f>'Revenue drivers'!AF355</f>
        <v>-1.1839999999999975</v>
      </c>
      <c r="AG962">
        <f>'Revenue drivers'!AG355</f>
        <v>5.1569999999999965</v>
      </c>
      <c r="AH962">
        <f>'Revenue drivers'!AH355</f>
        <v>1.7920000000000016</v>
      </c>
      <c r="AI962">
        <f>'Revenue drivers'!AI355</f>
        <v>4.402000000000001</v>
      </c>
      <c r="AJ962">
        <f>'Revenue drivers'!AJ355</f>
        <v>-3.257000000000005</v>
      </c>
      <c r="AK962">
        <f>'Revenue drivers'!AK355</f>
        <v>2.6910000000000025</v>
      </c>
      <c r="AL962">
        <f>'Revenue drivers'!AL355</f>
        <v>0.77599999999999625</v>
      </c>
      <c r="AM962">
        <f>'Revenue drivers'!AM355</f>
        <v>2.7130000000000081</v>
      </c>
      <c r="AN962">
        <f>'Revenue drivers'!AN355</f>
        <v>-6.6890000000000072</v>
      </c>
      <c r="AO962">
        <f>'Revenue drivers'!AO355</f>
        <v>7.840999999999994</v>
      </c>
      <c r="AP962">
        <f>'Revenue drivers'!AP355</f>
        <v>0.90900000000000603</v>
      </c>
      <c r="AQ962">
        <f>'Revenue drivers'!AQ355</f>
        <v>-0.59300000000000352</v>
      </c>
      <c r="AR962">
        <f>'Revenue drivers'!AR355</f>
        <v>-9.2869999999999919</v>
      </c>
      <c r="AS962">
        <f>'Revenue drivers'!AS355</f>
        <v>6.1557499999999834</v>
      </c>
      <c r="AT962">
        <f>'Revenue drivers'!AT355</f>
        <v>0.60864999999999725</v>
      </c>
      <c r="AU962">
        <f>'Revenue drivers'!AU355</f>
        <v>-0.6553000000000111</v>
      </c>
      <c r="AV962">
        <f>'Revenue drivers'!AV355</f>
        <v>-11.01339999999999</v>
      </c>
      <c r="AW962">
        <f>'Revenue drivers'!AW355</f>
        <v>5.9323874999999902</v>
      </c>
      <c r="AX962">
        <f>'Revenue drivers'!AX355</f>
        <v>1.2173525000000041</v>
      </c>
      <c r="AY962">
        <f>'Revenue drivers'!AY355</f>
        <v>0.1429949999999991</v>
      </c>
      <c r="AZ962">
        <f>'Revenue drivers'!AZ355</f>
        <v>-8.661389999999983</v>
      </c>
      <c r="BA962">
        <f>'Revenue drivers'!BA355</f>
        <v>4.8925293749999952</v>
      </c>
      <c r="BB962">
        <f>'Revenue drivers'!BB355</f>
        <v>0.88474962499999776</v>
      </c>
      <c r="BC962">
        <f>'Revenue drivers'!BC355</f>
        <v>-2.8454250000010006E-2</v>
      </c>
      <c r="BD962">
        <f>'Revenue drivers'!BD355</f>
        <v>-7.5121814999999827</v>
      </c>
      <c r="BE962">
        <f>'Revenue drivers'!BE355</f>
        <v>0</v>
      </c>
      <c r="BF962">
        <f>'Revenue drivers'!BF355</f>
        <v>0</v>
      </c>
      <c r="BG962">
        <f>'Revenue drivers'!BG355</f>
        <v>0</v>
      </c>
      <c r="BH962">
        <f>'Revenue drivers'!BH355</f>
        <v>0</v>
      </c>
      <c r="BI962">
        <f>'Revenue drivers'!BI355</f>
        <v>0</v>
      </c>
      <c r="BJ962">
        <f>'Revenue drivers'!BJ355</f>
        <v>0</v>
      </c>
      <c r="BK962">
        <f>'Revenue drivers'!BK355</f>
        <v>0</v>
      </c>
      <c r="BL962">
        <f>'Revenue drivers'!BL355</f>
        <v>0</v>
      </c>
      <c r="BM962">
        <f>'Revenue drivers'!BM355</f>
        <v>0</v>
      </c>
      <c r="BN962">
        <f>'Revenue drivers'!BN355</f>
        <v>0</v>
      </c>
      <c r="BO962">
        <f>'Revenue drivers'!BO355</f>
        <v>0</v>
      </c>
      <c r="BP962">
        <f>'Revenue drivers'!BP355</f>
        <v>0</v>
      </c>
      <c r="BQ962">
        <f>'Revenue drivers'!BQ355</f>
        <v>0</v>
      </c>
      <c r="BR962">
        <f>'Revenue drivers'!BR355</f>
        <v>0</v>
      </c>
      <c r="BS962">
        <f>'Revenue drivers'!BS355</f>
        <v>0</v>
      </c>
      <c r="BT962">
        <f>'Revenue drivers'!BT355</f>
        <v>0</v>
      </c>
      <c r="BU962">
        <f>'Revenue drivers'!BU355</f>
        <v>0</v>
      </c>
      <c r="BV962">
        <f>'Revenue drivers'!BV355</f>
        <v>0</v>
      </c>
      <c r="BW962">
        <f>'Revenue drivers'!BW355</f>
        <v>0</v>
      </c>
      <c r="BX962">
        <f>'Revenue drivers'!BX355</f>
        <v>0</v>
      </c>
      <c r="BY962">
        <f>'Revenue drivers'!BY355</f>
        <v>0</v>
      </c>
    </row>
    <row r="963" spans="9:77" ht="11.25" customHeight="1">
      <c r="I963">
        <f>'Revenue drivers'!I356</f>
        <v>0</v>
      </c>
      <c r="J963">
        <f>'Revenue drivers'!J356</f>
        <v>0</v>
      </c>
      <c r="K963">
        <f>'Revenue drivers'!K356</f>
        <v>0</v>
      </c>
      <c r="L963">
        <f>'Revenue drivers'!L356</f>
        <v>0</v>
      </c>
      <c r="M963">
        <f>'Revenue drivers'!M356</f>
        <v>0</v>
      </c>
      <c r="N963">
        <f>'Revenue drivers'!N356</f>
        <v>0</v>
      </c>
      <c r="O963">
        <f>'Revenue drivers'!O356</f>
        <v>0</v>
      </c>
      <c r="P963">
        <f>'Revenue drivers'!P356</f>
        <v>0</v>
      </c>
      <c r="Q963">
        <f>'Revenue drivers'!Q356</f>
        <v>0</v>
      </c>
      <c r="R963">
        <f>'Revenue drivers'!R356</f>
        <v>0</v>
      </c>
      <c r="S963">
        <f>'Revenue drivers'!S356</f>
        <v>0</v>
      </c>
      <c r="T963">
        <f>'Revenue drivers'!T356</f>
        <v>0</v>
      </c>
      <c r="U963">
        <f>'Revenue drivers'!U356</f>
        <v>0</v>
      </c>
      <c r="V963">
        <f>'Revenue drivers'!V356</f>
        <v>0</v>
      </c>
      <c r="W963">
        <f>'Revenue drivers'!W356</f>
        <v>0</v>
      </c>
      <c r="X963">
        <f>'Revenue drivers'!X356</f>
        <v>0</v>
      </c>
      <c r="Y963">
        <f>'Revenue drivers'!Y356</f>
        <v>0</v>
      </c>
      <c r="Z963">
        <f>'Revenue drivers'!Z356</f>
        <v>0</v>
      </c>
      <c r="AA963">
        <f>'Revenue drivers'!AA356</f>
        <v>0</v>
      </c>
      <c r="AB963">
        <f>'Revenue drivers'!AB356</f>
        <v>0</v>
      </c>
      <c r="AC963">
        <f>'Revenue drivers'!AC356</f>
        <v>0</v>
      </c>
      <c r="AD963">
        <f>'Revenue drivers'!AD356</f>
        <v>0</v>
      </c>
      <c r="AE963">
        <f>'Revenue drivers'!AE356</f>
        <v>0</v>
      </c>
      <c r="AF963">
        <f>'Revenue drivers'!AF356</f>
        <v>0</v>
      </c>
      <c r="AG963">
        <f>'Revenue drivers'!AG356</f>
        <v>0</v>
      </c>
      <c r="AH963">
        <f>'Revenue drivers'!AH356</f>
        <v>0</v>
      </c>
      <c r="AI963">
        <f>'Revenue drivers'!AI356</f>
        <v>0</v>
      </c>
      <c r="AJ963">
        <f>'Revenue drivers'!AJ356</f>
        <v>0</v>
      </c>
      <c r="AK963">
        <f>'Revenue drivers'!AK356</f>
        <v>0</v>
      </c>
      <c r="AL963">
        <f>'Revenue drivers'!AL356</f>
        <v>0</v>
      </c>
      <c r="AM963">
        <f>'Revenue drivers'!AM356</f>
        <v>0</v>
      </c>
      <c r="AN963">
        <f>'Revenue drivers'!AN356</f>
        <v>0</v>
      </c>
      <c r="AO963">
        <f>'Revenue drivers'!AO356</f>
        <v>0</v>
      </c>
      <c r="AP963">
        <f>'Revenue drivers'!AP356</f>
        <v>0</v>
      </c>
      <c r="AQ963">
        <f>'Revenue drivers'!AQ356</f>
        <v>0</v>
      </c>
      <c r="AR963">
        <f>'Revenue drivers'!AR356</f>
        <v>0</v>
      </c>
      <c r="AS963">
        <f>'Revenue drivers'!AS356</f>
        <v>0</v>
      </c>
      <c r="AT963">
        <f>'Revenue drivers'!AT356</f>
        <v>0</v>
      </c>
      <c r="AU963">
        <f>'Revenue drivers'!AU356</f>
        <v>0</v>
      </c>
      <c r="AV963">
        <f>'Revenue drivers'!AV356</f>
        <v>0</v>
      </c>
      <c r="AW963">
        <f>'Revenue drivers'!AW356</f>
        <v>0</v>
      </c>
      <c r="AX963">
        <f>'Revenue drivers'!AX356</f>
        <v>0</v>
      </c>
      <c r="AY963">
        <f>'Revenue drivers'!AY356</f>
        <v>0</v>
      </c>
      <c r="AZ963">
        <f>'Revenue drivers'!AZ356</f>
        <v>0</v>
      </c>
      <c r="BA963">
        <f>'Revenue drivers'!BA356</f>
        <v>0</v>
      </c>
      <c r="BB963">
        <f>'Revenue drivers'!BB356</f>
        <v>0</v>
      </c>
      <c r="BC963">
        <f>'Revenue drivers'!BC356</f>
        <v>0</v>
      </c>
      <c r="BD963">
        <f>'Revenue drivers'!BD356</f>
        <v>0</v>
      </c>
      <c r="BE963">
        <f>'Revenue drivers'!BE356</f>
        <v>0</v>
      </c>
      <c r="BF963">
        <f>'Revenue drivers'!BF356</f>
        <v>0</v>
      </c>
      <c r="BG963">
        <f>'Revenue drivers'!BG356</f>
        <v>0</v>
      </c>
      <c r="BH963">
        <f>'Revenue drivers'!BH356</f>
        <v>0</v>
      </c>
      <c r="BI963">
        <f>'Revenue drivers'!BI356</f>
        <v>0</v>
      </c>
      <c r="BJ963">
        <f>'Revenue drivers'!BJ356</f>
        <v>0</v>
      </c>
      <c r="BK963">
        <f>'Revenue drivers'!BK356</f>
        <v>0</v>
      </c>
      <c r="BL963">
        <f>'Revenue drivers'!BL356</f>
        <v>0</v>
      </c>
      <c r="BM963">
        <f>'Revenue drivers'!BM356</f>
        <v>0</v>
      </c>
      <c r="BN963">
        <f>'Revenue drivers'!BN356</f>
        <v>0</v>
      </c>
      <c r="BO963">
        <f>'Revenue drivers'!BO356</f>
        <v>0</v>
      </c>
      <c r="BP963">
        <f>'Revenue drivers'!BP356</f>
        <v>0</v>
      </c>
      <c r="BQ963">
        <f>'Revenue drivers'!BQ356</f>
        <v>0</v>
      </c>
      <c r="BR963">
        <f>'Revenue drivers'!BR356</f>
        <v>0</v>
      </c>
      <c r="BS963">
        <f>'Revenue drivers'!BS356</f>
        <v>0</v>
      </c>
      <c r="BT963">
        <f>'Revenue drivers'!BT356</f>
        <v>0</v>
      </c>
      <c r="BU963">
        <f>'Revenue drivers'!BU356</f>
        <v>0</v>
      </c>
      <c r="BV963">
        <f>'Revenue drivers'!BV356</f>
        <v>0</v>
      </c>
      <c r="BW963">
        <f>'Revenue drivers'!BW356</f>
        <v>0</v>
      </c>
      <c r="BX963">
        <f>'Revenue drivers'!BX356</f>
        <v>0</v>
      </c>
      <c r="BY963">
        <f>'Revenue drivers'!BY356</f>
        <v>0</v>
      </c>
    </row>
    <row r="964" spans="9:77" ht="11.25" customHeight="1">
      <c r="I964" t="str">
        <f>'Revenue drivers'!I357</f>
        <v>Mobile App unique devices</v>
      </c>
      <c r="J964">
        <f>'Revenue drivers'!J357</f>
        <v>0</v>
      </c>
      <c r="K964">
        <f>'Revenue drivers'!K357</f>
        <v>0</v>
      </c>
      <c r="L964">
        <f>'Revenue drivers'!L357</f>
        <v>0</v>
      </c>
      <c r="M964">
        <f>'Revenue drivers'!M357</f>
        <v>0</v>
      </c>
      <c r="N964">
        <f>'Revenue drivers'!N357</f>
        <v>0</v>
      </c>
      <c r="O964">
        <f>'Revenue drivers'!O357</f>
        <v>0</v>
      </c>
      <c r="P964">
        <f>'Revenue drivers'!P357</f>
        <v>0</v>
      </c>
      <c r="Q964">
        <f>'Revenue drivers'!Q357</f>
        <v>3.5</v>
      </c>
      <c r="R964">
        <f>'Revenue drivers'!R357</f>
        <v>4.2352941176470589</v>
      </c>
      <c r="S964">
        <f>'Revenue drivers'!S357</f>
        <v>4.8780487804878048</v>
      </c>
      <c r="T964">
        <f>'Revenue drivers'!T357</f>
        <v>5.7</v>
      </c>
      <c r="U964">
        <f>'Revenue drivers'!U357</f>
        <v>6.3</v>
      </c>
      <c r="V964">
        <f>'Revenue drivers'!V357</f>
        <v>7.2</v>
      </c>
      <c r="W964">
        <f>'Revenue drivers'!W357</f>
        <v>8</v>
      </c>
      <c r="X964">
        <f>'Revenue drivers'!X357</f>
        <v>9.1999999999999993</v>
      </c>
      <c r="Y964">
        <f>'Revenue drivers'!Y357</f>
        <v>9.9120000000000008</v>
      </c>
      <c r="Z964">
        <f>'Revenue drivers'!Z357</f>
        <v>10.372</v>
      </c>
      <c r="AA964">
        <f>'Revenue drivers'!AA357</f>
        <v>11.186999999999999</v>
      </c>
      <c r="AB964">
        <f>'Revenue drivers'!AB357</f>
        <v>10.614000000000001</v>
      </c>
      <c r="AC964">
        <f>'Revenue drivers'!AC357</f>
        <v>10.941000000000001</v>
      </c>
      <c r="AD964">
        <f>'Revenue drivers'!AD357</f>
        <v>12.009</v>
      </c>
      <c r="AE964">
        <f>'Revenue drivers'!AE357</f>
        <v>14.491</v>
      </c>
      <c r="AF964">
        <f>'Revenue drivers'!AF357</f>
        <v>14.541</v>
      </c>
      <c r="AG964">
        <f>'Revenue drivers'!AG357</f>
        <v>16.039000000000001</v>
      </c>
      <c r="AH964">
        <f>'Revenue drivers'!AH357</f>
        <v>18.097000000000001</v>
      </c>
      <c r="AI964">
        <f>'Revenue drivers'!AI357</f>
        <v>20.120999999999999</v>
      </c>
      <c r="AJ964">
        <f>'Revenue drivers'!AJ357</f>
        <v>20.006</v>
      </c>
      <c r="AK964">
        <f>'Revenue drivers'!AK357</f>
        <v>21.186</v>
      </c>
      <c r="AL964">
        <f>'Revenue drivers'!AL357</f>
        <v>23.01</v>
      </c>
      <c r="AM964">
        <f>'Revenue drivers'!AM357</f>
        <v>24.9</v>
      </c>
      <c r="AN964">
        <f>'Revenue drivers'!AN357</f>
        <v>24.073</v>
      </c>
      <c r="AO964">
        <f>'Revenue drivers'!AO357</f>
        <v>25.827000000000002</v>
      </c>
      <c r="AP964">
        <f>'Revenue drivers'!AP357</f>
        <v>27.986999999999998</v>
      </c>
      <c r="AQ964">
        <f>'Revenue drivers'!AQ357</f>
        <v>30.161999999999999</v>
      </c>
      <c r="AR964">
        <f>'Revenue drivers'!AR357</f>
        <v>28.844999999999999</v>
      </c>
      <c r="AS964">
        <f>'Revenue drivers'!AS357</f>
        <v>30.844999999999999</v>
      </c>
      <c r="AT964">
        <f>'Revenue drivers'!AT357</f>
        <v>32.844999999999999</v>
      </c>
      <c r="AU964">
        <f>'Revenue drivers'!AU357</f>
        <v>34.844999999999999</v>
      </c>
      <c r="AV964">
        <f>'Revenue drivers'!AV357</f>
        <v>36.844999999999999</v>
      </c>
      <c r="AW964">
        <f>'Revenue drivers'!AW357</f>
        <v>37.844999999999999</v>
      </c>
      <c r="AX964">
        <f>'Revenue drivers'!AX357</f>
        <v>38.844999999999999</v>
      </c>
      <c r="AY964">
        <f>'Revenue drivers'!AY357</f>
        <v>39.844999999999999</v>
      </c>
      <c r="AZ964">
        <f>'Revenue drivers'!AZ357</f>
        <v>40.844999999999999</v>
      </c>
      <c r="BA964">
        <f>'Revenue drivers'!BA357</f>
        <v>41.844999999999999</v>
      </c>
      <c r="BB964">
        <f>'Revenue drivers'!BB357</f>
        <v>42.844999999999999</v>
      </c>
      <c r="BC964">
        <f>'Revenue drivers'!BC357</f>
        <v>43.844999999999999</v>
      </c>
      <c r="BD964">
        <f>'Revenue drivers'!BD357</f>
        <v>44.844999999999999</v>
      </c>
      <c r="BE964">
        <f>'Revenue drivers'!BE357</f>
        <v>0</v>
      </c>
      <c r="BF964">
        <f>'Revenue drivers'!BF357</f>
        <v>0</v>
      </c>
      <c r="BG964">
        <f>'Revenue drivers'!BG357</f>
        <v>0</v>
      </c>
      <c r="BH964">
        <f>'Revenue drivers'!BH357</f>
        <v>0</v>
      </c>
      <c r="BI964">
        <f>'Revenue drivers'!BI357</f>
        <v>0</v>
      </c>
      <c r="BJ964">
        <f>'Revenue drivers'!BJ357</f>
        <v>0</v>
      </c>
      <c r="BK964">
        <f>'Revenue drivers'!BK357</f>
        <v>5.7</v>
      </c>
      <c r="BL964">
        <f>'Revenue drivers'!BL357</f>
        <v>9.1999999999999993</v>
      </c>
      <c r="BM964">
        <f>'Revenue drivers'!BM357</f>
        <v>10.614000000000001</v>
      </c>
      <c r="BN964">
        <f>'Revenue drivers'!BN357</f>
        <v>14.541</v>
      </c>
      <c r="BO964">
        <f>'Revenue drivers'!BO357</f>
        <v>20.006</v>
      </c>
      <c r="BP964">
        <f>'Revenue drivers'!BP357</f>
        <v>24.073</v>
      </c>
      <c r="BQ964">
        <f>'Revenue drivers'!BQ357</f>
        <v>28.844999999999999</v>
      </c>
      <c r="BR964">
        <f>'Revenue drivers'!BR357</f>
        <v>36.844999999999999</v>
      </c>
      <c r="BS964">
        <f>'Revenue drivers'!BS357</f>
        <v>40.844999999999999</v>
      </c>
      <c r="BT964">
        <f>'Revenue drivers'!BT357</f>
        <v>44.844999999999999</v>
      </c>
      <c r="BU964">
        <f>'Revenue drivers'!BU357</f>
        <v>49.344999999999999</v>
      </c>
      <c r="BV964">
        <f>'Revenue drivers'!BV357</f>
        <v>55.344999999999999</v>
      </c>
      <c r="BW964">
        <f>'Revenue drivers'!BW357</f>
        <v>61.844999999999999</v>
      </c>
      <c r="BX964">
        <f>'Revenue drivers'!BX357</f>
        <v>68.844999999999999</v>
      </c>
      <c r="BY964">
        <f>'Revenue drivers'!BY357</f>
        <v>76.344999999999999</v>
      </c>
    </row>
    <row r="965" spans="9:77" ht="11.25" customHeight="1">
      <c r="I965" t="str">
        <f>'Revenue drivers'!I358</f>
        <v>Q/Q Abs Growth (DRIVER)</v>
      </c>
      <c r="J965">
        <f>'Revenue drivers'!J358</f>
        <v>0</v>
      </c>
      <c r="K965">
        <f>'Revenue drivers'!K358</f>
        <v>0</v>
      </c>
      <c r="L965">
        <f>'Revenue drivers'!L358</f>
        <v>0</v>
      </c>
      <c r="M965">
        <f>'Revenue drivers'!M358</f>
        <v>0</v>
      </c>
      <c r="N965">
        <f>'Revenue drivers'!N358</f>
        <v>0</v>
      </c>
      <c r="O965">
        <f>'Revenue drivers'!O358</f>
        <v>0</v>
      </c>
      <c r="P965">
        <f>'Revenue drivers'!P358</f>
        <v>0</v>
      </c>
      <c r="Q965">
        <f>'Revenue drivers'!Q358</f>
        <v>0</v>
      </c>
      <c r="R965">
        <f>'Revenue drivers'!R358</f>
        <v>0.73529411764705888</v>
      </c>
      <c r="S965">
        <f>'Revenue drivers'!S358</f>
        <v>0.64275466284074589</v>
      </c>
      <c r="T965">
        <f>'Revenue drivers'!T358</f>
        <v>0.82195121951219541</v>
      </c>
      <c r="U965">
        <f>'Revenue drivers'!U358</f>
        <v>0.59999999999999964</v>
      </c>
      <c r="V965">
        <f>'Revenue drivers'!V358</f>
        <v>0.90000000000000036</v>
      </c>
      <c r="W965">
        <f>'Revenue drivers'!W358</f>
        <v>0.79999999999999982</v>
      </c>
      <c r="X965">
        <f>'Revenue drivers'!X358</f>
        <v>1.1999999999999993</v>
      </c>
      <c r="Y965">
        <f>'Revenue drivers'!Y358</f>
        <v>0.71200000000000152</v>
      </c>
      <c r="Z965">
        <f>'Revenue drivers'!Z358</f>
        <v>0.45999999999999908</v>
      </c>
      <c r="AA965">
        <f>'Revenue drivers'!AA358</f>
        <v>0.8149999999999995</v>
      </c>
      <c r="AB965">
        <f>'Revenue drivers'!AB358</f>
        <v>-0.57299999999999862</v>
      </c>
      <c r="AC965">
        <f>'Revenue drivers'!AC358</f>
        <v>0.32699999999999996</v>
      </c>
      <c r="AD965">
        <f>'Revenue drivers'!AD358</f>
        <v>1.0679999999999996</v>
      </c>
      <c r="AE965">
        <f>'Revenue drivers'!AE358</f>
        <v>2.4819999999999993</v>
      </c>
      <c r="AF965">
        <f>'Revenue drivers'!AF358</f>
        <v>5.0000000000000711E-2</v>
      </c>
      <c r="AG965">
        <f>'Revenue drivers'!AG358</f>
        <v>1.4980000000000011</v>
      </c>
      <c r="AH965">
        <f>'Revenue drivers'!AH358</f>
        <v>2.0579999999999998</v>
      </c>
      <c r="AI965">
        <f>'Revenue drivers'!AI358</f>
        <v>2.0239999999999974</v>
      </c>
      <c r="AJ965">
        <f>'Revenue drivers'!AJ358</f>
        <v>-0.11499999999999844</v>
      </c>
      <c r="AK965">
        <f>'Revenue drivers'!AK358</f>
        <v>1.1799999999999997</v>
      </c>
      <c r="AL965">
        <f>'Revenue drivers'!AL358</f>
        <v>1.8240000000000016</v>
      </c>
      <c r="AM965">
        <f>'Revenue drivers'!AM358</f>
        <v>1.889999999999997</v>
      </c>
      <c r="AN965">
        <f>'Revenue drivers'!AN358</f>
        <v>-0.82699999999999818</v>
      </c>
      <c r="AO965">
        <f>'Revenue drivers'!AO358</f>
        <v>1.7540000000000013</v>
      </c>
      <c r="AP965">
        <f>'Revenue drivers'!AP358</f>
        <v>2.1599999999999966</v>
      </c>
      <c r="AQ965">
        <f>'Revenue drivers'!AQ358</f>
        <v>2.1750000000000007</v>
      </c>
      <c r="AR965">
        <f>'Revenue drivers'!AR358</f>
        <v>-1.3170000000000002</v>
      </c>
      <c r="AS965">
        <f>'Revenue drivers'!AS358</f>
        <v>2</v>
      </c>
      <c r="AT965">
        <f>'Revenue drivers'!AT358</f>
        <v>2</v>
      </c>
      <c r="AU965">
        <f>'Revenue drivers'!AU358</f>
        <v>2</v>
      </c>
      <c r="AV965">
        <f>'Revenue drivers'!AV358</f>
        <v>2</v>
      </c>
      <c r="AW965">
        <f>'Revenue drivers'!AW358</f>
        <v>1</v>
      </c>
      <c r="AX965">
        <f>'Revenue drivers'!AX358</f>
        <v>1</v>
      </c>
      <c r="AY965">
        <f>'Revenue drivers'!AY358</f>
        <v>1</v>
      </c>
      <c r="AZ965">
        <f>'Revenue drivers'!AZ358</f>
        <v>1</v>
      </c>
      <c r="BA965">
        <f>'Revenue drivers'!BA358</f>
        <v>1</v>
      </c>
      <c r="BB965">
        <f>'Revenue drivers'!BB358</f>
        <v>1</v>
      </c>
      <c r="BC965">
        <f>'Revenue drivers'!BC358</f>
        <v>1</v>
      </c>
      <c r="BD965">
        <f>'Revenue drivers'!BD358</f>
        <v>1</v>
      </c>
      <c r="BE965">
        <f>'Revenue drivers'!BE358</f>
        <v>0</v>
      </c>
      <c r="BF965">
        <f>'Revenue drivers'!BF358</f>
        <v>0</v>
      </c>
      <c r="BG965">
        <f>'Revenue drivers'!BG358</f>
        <v>0</v>
      </c>
      <c r="BH965">
        <f>'Revenue drivers'!BH358</f>
        <v>0</v>
      </c>
      <c r="BI965">
        <f>'Revenue drivers'!BI358</f>
        <v>0</v>
      </c>
      <c r="BJ965">
        <f>'Revenue drivers'!BJ358</f>
        <v>0</v>
      </c>
      <c r="BK965">
        <f>'Revenue drivers'!BK358</f>
        <v>0</v>
      </c>
      <c r="BL965">
        <f>'Revenue drivers'!BL358</f>
        <v>0</v>
      </c>
      <c r="BM965">
        <f>'Revenue drivers'!BM358</f>
        <v>0.15369565217391323</v>
      </c>
      <c r="BN965">
        <f>'Revenue drivers'!BN358</f>
        <v>0.36998304126625214</v>
      </c>
      <c r="BO965">
        <f>'Revenue drivers'!BO358</f>
        <v>0</v>
      </c>
      <c r="BP965">
        <f>'Revenue drivers'!BP358</f>
        <v>0</v>
      </c>
      <c r="BQ965">
        <f>'Revenue drivers'!BQ358</f>
        <v>0</v>
      </c>
      <c r="BR965">
        <f>'Revenue drivers'!BR358</f>
        <v>0</v>
      </c>
      <c r="BS965">
        <f>'Revenue drivers'!BS358</f>
        <v>0</v>
      </c>
      <c r="BT965">
        <f>'Revenue drivers'!BT358</f>
        <v>0</v>
      </c>
      <c r="BU965">
        <f>'Revenue drivers'!BU358</f>
        <v>0</v>
      </c>
      <c r="BV965">
        <f>'Revenue drivers'!BV358</f>
        <v>0</v>
      </c>
      <c r="BW965">
        <f>'Revenue drivers'!BW358</f>
        <v>0</v>
      </c>
      <c r="BX965">
        <f>'Revenue drivers'!BX358</f>
        <v>0</v>
      </c>
      <c r="BY965">
        <f>'Revenue drivers'!BY358</f>
        <v>0</v>
      </c>
    </row>
    <row r="966" spans="9:77" ht="11.25" customHeight="1">
      <c r="I966" t="str">
        <f>'Revenue drivers'!I359</f>
        <v>Y/Y Abs Growth</v>
      </c>
      <c r="J966">
        <f>'Revenue drivers'!J359</f>
        <v>0</v>
      </c>
      <c r="K966">
        <f>'Revenue drivers'!K359</f>
        <v>0</v>
      </c>
      <c r="L966">
        <f>'Revenue drivers'!L359</f>
        <v>0</v>
      </c>
      <c r="M966">
        <f>'Revenue drivers'!M359</f>
        <v>0</v>
      </c>
      <c r="N966">
        <f>'Revenue drivers'!N359</f>
        <v>0</v>
      </c>
      <c r="O966">
        <f>'Revenue drivers'!O359</f>
        <v>0</v>
      </c>
      <c r="P966">
        <f>'Revenue drivers'!P359</f>
        <v>0</v>
      </c>
      <c r="Q966">
        <f>'Revenue drivers'!Q359</f>
        <v>0</v>
      </c>
      <c r="R966">
        <f>'Revenue drivers'!R359</f>
        <v>0</v>
      </c>
      <c r="S966">
        <f>'Revenue drivers'!S359</f>
        <v>0</v>
      </c>
      <c r="T966">
        <f>'Revenue drivers'!T359</f>
        <v>0</v>
      </c>
      <c r="U966">
        <f>'Revenue drivers'!U359</f>
        <v>0</v>
      </c>
      <c r="V966">
        <f>'Revenue drivers'!V359</f>
        <v>0</v>
      </c>
      <c r="W966">
        <f>'Revenue drivers'!W359</f>
        <v>-0.10000000000000053</v>
      </c>
      <c r="X966">
        <f>'Revenue drivers'!X359</f>
        <v>0</v>
      </c>
      <c r="Y966">
        <f>'Revenue drivers'!Y359</f>
        <v>0</v>
      </c>
      <c r="Z966">
        <f>'Revenue drivers'!Z359</f>
        <v>0</v>
      </c>
      <c r="AA966">
        <f>'Revenue drivers'!AA359</f>
        <v>0.35500000000000043</v>
      </c>
      <c r="AB966">
        <f>'Revenue drivers'!AB359</f>
        <v>-1.3879999999999981</v>
      </c>
      <c r="AC966">
        <f>'Revenue drivers'!AC359</f>
        <v>0.89999999999999858</v>
      </c>
      <c r="AD966">
        <f>'Revenue drivers'!AD359</f>
        <v>0.74099999999999966</v>
      </c>
      <c r="AE966">
        <f>'Revenue drivers'!AE359</f>
        <v>1.4139999999999997</v>
      </c>
      <c r="AF966">
        <f>'Revenue drivers'!AF359</f>
        <v>-2.4319999999999986</v>
      </c>
      <c r="AG966">
        <f>'Revenue drivers'!AG359</f>
        <v>1.4480000000000004</v>
      </c>
      <c r="AH966">
        <f>'Revenue drivers'!AH359</f>
        <v>0.55999999999999872</v>
      </c>
      <c r="AI966">
        <f>'Revenue drivers'!AI359</f>
        <v>-3.4000000000002473E-2</v>
      </c>
      <c r="AJ966">
        <f>'Revenue drivers'!AJ359</f>
        <v>-2.1389999999999958</v>
      </c>
      <c r="AK966">
        <f>'Revenue drivers'!AK359</f>
        <v>1.2949999999999982</v>
      </c>
      <c r="AL966">
        <f>'Revenue drivers'!AL359</f>
        <v>0.6440000000000019</v>
      </c>
      <c r="AM966">
        <f>'Revenue drivers'!AM359</f>
        <v>6.5999999999995396E-2</v>
      </c>
      <c r="AN966">
        <f>'Revenue drivers'!AN359</f>
        <v>-2.7169999999999952</v>
      </c>
      <c r="AO966">
        <f>'Revenue drivers'!AO359</f>
        <v>2.5809999999999995</v>
      </c>
      <c r="AP966">
        <f>'Revenue drivers'!AP359</f>
        <v>0.40599999999999525</v>
      </c>
      <c r="AQ966">
        <f>'Revenue drivers'!AQ359</f>
        <v>1.5000000000004121E-2</v>
      </c>
      <c r="AR966">
        <f>'Revenue drivers'!AR359</f>
        <v>-3.4920000000000009</v>
      </c>
      <c r="AS966">
        <f>'Revenue drivers'!AS359</f>
        <v>3.3170000000000002</v>
      </c>
      <c r="AT966">
        <f>'Revenue drivers'!AT359</f>
        <v>0</v>
      </c>
      <c r="AU966">
        <f>'Revenue drivers'!AU359</f>
        <v>0</v>
      </c>
      <c r="AV966">
        <f>'Revenue drivers'!AV359</f>
        <v>0</v>
      </c>
      <c r="AW966">
        <f>'Revenue drivers'!AW359</f>
        <v>-1</v>
      </c>
      <c r="AX966">
        <f>'Revenue drivers'!AX359</f>
        <v>0</v>
      </c>
      <c r="AY966">
        <f>'Revenue drivers'!AY359</f>
        <v>0</v>
      </c>
      <c r="AZ966">
        <f>'Revenue drivers'!AZ359</f>
        <v>0</v>
      </c>
      <c r="BA966">
        <f>'Revenue drivers'!BA359</f>
        <v>0</v>
      </c>
      <c r="BB966">
        <f>'Revenue drivers'!BB359</f>
        <v>0</v>
      </c>
      <c r="BC966">
        <f>'Revenue drivers'!BC359</f>
        <v>0</v>
      </c>
      <c r="BD966">
        <f>'Revenue drivers'!BD359</f>
        <v>0</v>
      </c>
      <c r="BE966">
        <f>'Revenue drivers'!BE359</f>
        <v>0</v>
      </c>
      <c r="BF966">
        <f>'Revenue drivers'!BF359</f>
        <v>0</v>
      </c>
      <c r="BG966">
        <f>'Revenue drivers'!BG359</f>
        <v>0</v>
      </c>
      <c r="BH966">
        <f>'Revenue drivers'!BH359</f>
        <v>0</v>
      </c>
      <c r="BI966">
        <f>'Revenue drivers'!BI359</f>
        <v>0</v>
      </c>
      <c r="BJ966">
        <f>'Revenue drivers'!BJ359</f>
        <v>0</v>
      </c>
      <c r="BK966">
        <f>'Revenue drivers'!BK359</f>
        <v>0</v>
      </c>
      <c r="BL966">
        <f>'Revenue drivers'!BL359</f>
        <v>3.4999999999999991</v>
      </c>
      <c r="BM966">
        <f>'Revenue drivers'!BM359</f>
        <v>1.4140000000000015</v>
      </c>
      <c r="BN966">
        <f>'Revenue drivers'!BN359</f>
        <v>3.9269999999999996</v>
      </c>
      <c r="BO966">
        <f>'Revenue drivers'!BO359</f>
        <v>5.4649999999999999</v>
      </c>
      <c r="BP966">
        <f>'Revenue drivers'!BP359</f>
        <v>4.0670000000000002</v>
      </c>
      <c r="BQ966">
        <f>'Revenue drivers'!BQ359</f>
        <v>4.7719999999999985</v>
      </c>
      <c r="BR966">
        <f>'Revenue drivers'!BR359</f>
        <v>8</v>
      </c>
      <c r="BS966">
        <f>'Revenue drivers'!BS359</f>
        <v>4</v>
      </c>
      <c r="BT966">
        <f>'Revenue drivers'!BT359</f>
        <v>4</v>
      </c>
      <c r="BU966">
        <f>'Revenue drivers'!BU359</f>
        <v>4.5</v>
      </c>
      <c r="BV966">
        <f>'Revenue drivers'!BV359</f>
        <v>6</v>
      </c>
      <c r="BW966">
        <f>'Revenue drivers'!BW359</f>
        <v>6.5</v>
      </c>
      <c r="BX966">
        <f>'Revenue drivers'!BX359</f>
        <v>7</v>
      </c>
      <c r="BY966">
        <f>'Revenue drivers'!BY359</f>
        <v>7.5</v>
      </c>
    </row>
    <row r="967" spans="9:77" ht="11.25" customHeight="1">
      <c r="I967" t="str">
        <f>'Revenue drivers'!I360</f>
        <v>% change Y/Y</v>
      </c>
      <c r="J967">
        <f>'Revenue drivers'!J360</f>
        <v>0</v>
      </c>
      <c r="K967">
        <f>'Revenue drivers'!K360</f>
        <v>0</v>
      </c>
      <c r="L967">
        <f>'Revenue drivers'!L360</f>
        <v>0</v>
      </c>
      <c r="M967">
        <f>'Revenue drivers'!M360</f>
        <v>0</v>
      </c>
      <c r="N967">
        <f>'Revenue drivers'!N360</f>
        <v>0</v>
      </c>
      <c r="O967">
        <f>'Revenue drivers'!O360</f>
        <v>0</v>
      </c>
      <c r="P967">
        <f>'Revenue drivers'!P360</f>
        <v>0</v>
      </c>
      <c r="Q967" t="str">
        <f>'Revenue drivers'!Q360</f>
        <v>NA</v>
      </c>
      <c r="R967" t="str">
        <f>'Revenue drivers'!R360</f>
        <v>NA</v>
      </c>
      <c r="S967" t="str">
        <f>'Revenue drivers'!S360</f>
        <v>NA</v>
      </c>
      <c r="T967" t="str">
        <f>'Revenue drivers'!T360</f>
        <v>NA</v>
      </c>
      <c r="U967">
        <f>'Revenue drivers'!U360</f>
        <v>0.8</v>
      </c>
      <c r="V967">
        <f>'Revenue drivers'!V360</f>
        <v>0.7</v>
      </c>
      <c r="W967">
        <f>'Revenue drivers'!W360</f>
        <v>0.64000000000000012</v>
      </c>
      <c r="X967">
        <f>'Revenue drivers'!X360</f>
        <v>0.61403508771929816</v>
      </c>
      <c r="Y967">
        <f>'Revenue drivers'!Y360</f>
        <v>0.57333333333333347</v>
      </c>
      <c r="Z967">
        <f>'Revenue drivers'!Z360</f>
        <v>0.44055555555555559</v>
      </c>
      <c r="AA967">
        <f>'Revenue drivers'!AA360</f>
        <v>0.39837499999999992</v>
      </c>
      <c r="AB967">
        <f>'Revenue drivers'!AB360</f>
        <v>0.15369565217391323</v>
      </c>
      <c r="AC967">
        <f>'Revenue drivers'!AC360</f>
        <v>0.10381355932203395</v>
      </c>
      <c r="AD967">
        <f>'Revenue drivers'!AD360</f>
        <v>0.15782876976475135</v>
      </c>
      <c r="AE967">
        <f>'Revenue drivers'!AE360</f>
        <v>0.29534280861714501</v>
      </c>
      <c r="AF967">
        <f>'Revenue drivers'!AF360</f>
        <v>0.36998304126625214</v>
      </c>
      <c r="AG967">
        <f>'Revenue drivers'!AG360</f>
        <v>0.46595375194223565</v>
      </c>
      <c r="AH967">
        <f>'Revenue drivers'!AH360</f>
        <v>0.50695311849446245</v>
      </c>
      <c r="AI967">
        <f>'Revenue drivers'!AI360</f>
        <v>0.38851701055827759</v>
      </c>
      <c r="AJ967">
        <f>'Revenue drivers'!AJ360</f>
        <v>0.37583384911629181</v>
      </c>
      <c r="AK967">
        <f>'Revenue drivers'!AK360</f>
        <v>0.32090529334746543</v>
      </c>
      <c r="AL967">
        <f>'Revenue drivers'!AL360</f>
        <v>0.27148146101563797</v>
      </c>
      <c r="AM967">
        <f>'Revenue drivers'!AM360</f>
        <v>0.23751304607126889</v>
      </c>
      <c r="AN967">
        <f>'Revenue drivers'!AN360</f>
        <v>0.20328901329601123</v>
      </c>
      <c r="AO967">
        <f>'Revenue drivers'!AO360</f>
        <v>0.21905975644293418</v>
      </c>
      <c r="AP967">
        <f>'Revenue drivers'!AP360</f>
        <v>0.21629726205997368</v>
      </c>
      <c r="AQ967">
        <f>'Revenue drivers'!AQ360</f>
        <v>0.21132530120481929</v>
      </c>
      <c r="AR967">
        <f>'Revenue drivers'!AR360</f>
        <v>0.19823038258629988</v>
      </c>
      <c r="AS967">
        <f>'Revenue drivers'!AS360</f>
        <v>0.19429279436248881</v>
      </c>
      <c r="AT967">
        <f>'Revenue drivers'!AT360</f>
        <v>0.1735805909886734</v>
      </c>
      <c r="AU967">
        <f>'Revenue drivers'!AU360</f>
        <v>0.15526158742788931</v>
      </c>
      <c r="AV967">
        <f>'Revenue drivers'!AV360</f>
        <v>0.27734442711041773</v>
      </c>
      <c r="AW967">
        <f>'Revenue drivers'!AW360</f>
        <v>0.22694115739990273</v>
      </c>
      <c r="AX967">
        <f>'Revenue drivers'!AX360</f>
        <v>0.1826762064241132</v>
      </c>
      <c r="AY967">
        <f>'Revenue drivers'!AY360</f>
        <v>0.14349261013057824</v>
      </c>
      <c r="AZ967">
        <f>'Revenue drivers'!AZ360</f>
        <v>0.10856289862939339</v>
      </c>
      <c r="BA967">
        <f>'Revenue drivers'!BA360</f>
        <v>0.10569427929713315</v>
      </c>
      <c r="BB967">
        <f>'Revenue drivers'!BB360</f>
        <v>0.10297335564422716</v>
      </c>
      <c r="BC967">
        <f>'Revenue drivers'!BC360</f>
        <v>0.10038900740368928</v>
      </c>
      <c r="BD967">
        <f>'Revenue drivers'!BD360</f>
        <v>9.7931203329660876E-2</v>
      </c>
      <c r="BE967">
        <f>'Revenue drivers'!BE360</f>
        <v>0</v>
      </c>
      <c r="BF967">
        <f>'Revenue drivers'!BF360</f>
        <v>0</v>
      </c>
      <c r="BG967">
        <f>'Revenue drivers'!BG360</f>
        <v>0</v>
      </c>
      <c r="BH967">
        <f>'Revenue drivers'!BH360</f>
        <v>0</v>
      </c>
      <c r="BI967">
        <f>'Revenue drivers'!BI360</f>
        <v>0</v>
      </c>
      <c r="BJ967">
        <f>'Revenue drivers'!BJ360</f>
        <v>0</v>
      </c>
      <c r="BK967" t="str">
        <f>'Revenue drivers'!BK360</f>
        <v>NA</v>
      </c>
      <c r="BL967">
        <f>'Revenue drivers'!BL360</f>
        <v>0.61403508771929816</v>
      </c>
      <c r="BM967">
        <f>'Revenue drivers'!BM360</f>
        <v>0.15369565217391323</v>
      </c>
      <c r="BN967">
        <f>'Revenue drivers'!BN360</f>
        <v>0.36998304126625214</v>
      </c>
      <c r="BO967">
        <f>'Revenue drivers'!BO360</f>
        <v>0.37583384911629181</v>
      </c>
      <c r="BP967">
        <f>'Revenue drivers'!BP360</f>
        <v>0.20328901329601123</v>
      </c>
      <c r="BQ967">
        <f>'Revenue drivers'!BQ360</f>
        <v>0.19823038258629988</v>
      </c>
      <c r="BR967">
        <f>'Revenue drivers'!BR360</f>
        <v>0.27734442711041773</v>
      </c>
      <c r="BS967">
        <f>'Revenue drivers'!BS360</f>
        <v>0.10856289862939339</v>
      </c>
      <c r="BT967">
        <f>'Revenue drivers'!BT360</f>
        <v>9.7931203329660876E-2</v>
      </c>
      <c r="BU967">
        <f>'Revenue drivers'!BU360</f>
        <v>0.10034563496487903</v>
      </c>
      <c r="BV967">
        <f>'Revenue drivers'!BV360</f>
        <v>0.12159286655182888</v>
      </c>
      <c r="BW967">
        <f>'Revenue drivers'!BW360</f>
        <v>0.11744511699340499</v>
      </c>
      <c r="BX967">
        <f>'Revenue drivers'!BX360</f>
        <v>0.11318619128466323</v>
      </c>
      <c r="BY967">
        <f>'Revenue drivers'!BY360</f>
        <v>0.10894037330234596</v>
      </c>
    </row>
    <row r="968" spans="9:77" ht="11.25" customHeight="1">
      <c r="I968" t="str">
        <f>'Revenue drivers'!I361</f>
        <v>% change Q/Q</v>
      </c>
      <c r="J968">
        <f>'Revenue drivers'!J361</f>
        <v>0</v>
      </c>
      <c r="K968">
        <f>'Revenue drivers'!K361</f>
        <v>0</v>
      </c>
      <c r="L968">
        <f>'Revenue drivers'!L361</f>
        <v>0</v>
      </c>
      <c r="M968">
        <f>'Revenue drivers'!M361</f>
        <v>0</v>
      </c>
      <c r="N968">
        <f>'Revenue drivers'!N361</f>
        <v>0</v>
      </c>
      <c r="O968">
        <f>'Revenue drivers'!O361</f>
        <v>0</v>
      </c>
      <c r="P968">
        <f>'Revenue drivers'!P361</f>
        <v>0</v>
      </c>
      <c r="Q968" t="str">
        <f>'Revenue drivers'!Q361</f>
        <v>NA</v>
      </c>
      <c r="R968">
        <f>'Revenue drivers'!R361</f>
        <v>0.2100840336134453</v>
      </c>
      <c r="S968">
        <f>'Revenue drivers'!S361</f>
        <v>0.15176151761517609</v>
      </c>
      <c r="T968">
        <f>'Revenue drivers'!T361</f>
        <v>0.16850000000000009</v>
      </c>
      <c r="U968">
        <f>'Revenue drivers'!U361</f>
        <v>0.10526315789473673</v>
      </c>
      <c r="V968">
        <f>'Revenue drivers'!V361</f>
        <v>0.14285714285714302</v>
      </c>
      <c r="W968">
        <f>'Revenue drivers'!W361</f>
        <v>0.11111111111111116</v>
      </c>
      <c r="X968">
        <f>'Revenue drivers'!X361</f>
        <v>0.14999999999999991</v>
      </c>
      <c r="Y968">
        <f>'Revenue drivers'!Y361</f>
        <v>7.7391304347826262E-2</v>
      </c>
      <c r="Z968">
        <f>'Revenue drivers'!Z361</f>
        <v>4.6408393866020914E-2</v>
      </c>
      <c r="AA968">
        <f>'Revenue drivers'!AA361</f>
        <v>7.857693790975695E-2</v>
      </c>
      <c r="AB968">
        <f>'Revenue drivers'!AB361</f>
        <v>-5.1220166264413947E-2</v>
      </c>
      <c r="AC968">
        <f>'Revenue drivers'!AC361</f>
        <v>3.0808366308648916E-2</v>
      </c>
      <c r="AD968">
        <f>'Revenue drivers'!AD361</f>
        <v>9.761447765286535E-2</v>
      </c>
      <c r="AE968">
        <f>'Revenue drivers'!AE361</f>
        <v>0.20667832458989088</v>
      </c>
      <c r="AF968">
        <f>'Revenue drivers'!AF361</f>
        <v>3.4504175005176663E-3</v>
      </c>
      <c r="AG968">
        <f>'Revenue drivers'!AG361</f>
        <v>0.10301904958393515</v>
      </c>
      <c r="AH968">
        <f>'Revenue drivers'!AH361</f>
        <v>0.12831223891763832</v>
      </c>
      <c r="AI968">
        <f>'Revenue drivers'!AI361</f>
        <v>0.1118417417251476</v>
      </c>
      <c r="AJ968">
        <f>'Revenue drivers'!AJ361</f>
        <v>-5.7154216987226336E-3</v>
      </c>
      <c r="AK968">
        <f>'Revenue drivers'!AK361</f>
        <v>5.8982305308407534E-2</v>
      </c>
      <c r="AL968">
        <f>'Revenue drivers'!AL361</f>
        <v>8.6094590767487933E-2</v>
      </c>
      <c r="AM968">
        <f>'Revenue drivers'!AM361</f>
        <v>8.2138200782268411E-2</v>
      </c>
      <c r="AN968">
        <f>'Revenue drivers'!AN361</f>
        <v>-3.3212851405622468E-2</v>
      </c>
      <c r="AO968">
        <f>'Revenue drivers'!AO361</f>
        <v>7.2861712291779179E-2</v>
      </c>
      <c r="AP968">
        <f>'Revenue drivers'!AP361</f>
        <v>8.3633406899755958E-2</v>
      </c>
      <c r="AQ968">
        <f>'Revenue drivers'!AQ361</f>
        <v>7.7714653231857778E-2</v>
      </c>
      <c r="AR968">
        <f>'Revenue drivers'!AR361</f>
        <v>-4.3664213248458372E-2</v>
      </c>
      <c r="AS968">
        <f>'Revenue drivers'!AS361</f>
        <v>6.9336106777604378E-2</v>
      </c>
      <c r="AT968">
        <f>'Revenue drivers'!AT361</f>
        <v>6.4840330685686398E-2</v>
      </c>
      <c r="AU968">
        <f>'Revenue drivers'!AU361</f>
        <v>6.0892068808037658E-2</v>
      </c>
      <c r="AV968">
        <f>'Revenue drivers'!AV361</f>
        <v>5.7397044052231339E-2</v>
      </c>
      <c r="AW968">
        <f>'Revenue drivers'!AW361</f>
        <v>2.7140724657348292E-2</v>
      </c>
      <c r="AX968">
        <f>'Revenue drivers'!AX361</f>
        <v>2.6423569824283177E-2</v>
      </c>
      <c r="AY968">
        <f>'Revenue drivers'!AY361</f>
        <v>2.5743338911056846E-2</v>
      </c>
      <c r="AZ968">
        <f>'Revenue drivers'!AZ361</f>
        <v>2.5097251850922264E-2</v>
      </c>
      <c r="BA968">
        <f>'Revenue drivers'!BA361</f>
        <v>2.4482800832415164E-2</v>
      </c>
      <c r="BB968">
        <f>'Revenue drivers'!BB361</f>
        <v>2.3897717767953131E-2</v>
      </c>
      <c r="BC968">
        <f>'Revenue drivers'!BC361</f>
        <v>2.3339946318123417E-2</v>
      </c>
      <c r="BD968">
        <f>'Revenue drivers'!BD361</f>
        <v>2.2807617744326603E-2</v>
      </c>
      <c r="BE968">
        <f>'Revenue drivers'!BE361</f>
        <v>0</v>
      </c>
      <c r="BF968">
        <f>'Revenue drivers'!BF361</f>
        <v>0</v>
      </c>
      <c r="BG968">
        <f>'Revenue drivers'!BG361</f>
        <v>0</v>
      </c>
      <c r="BH968">
        <f>'Revenue drivers'!BH361</f>
        <v>0</v>
      </c>
      <c r="BI968">
        <f>'Revenue drivers'!BI361</f>
        <v>0</v>
      </c>
      <c r="BJ968">
        <f>'Revenue drivers'!BJ361</f>
        <v>0</v>
      </c>
      <c r="BK968">
        <f>'Revenue drivers'!BK361</f>
        <v>0</v>
      </c>
      <c r="BL968">
        <f>'Revenue drivers'!BL361</f>
        <v>0</v>
      </c>
      <c r="BM968">
        <f>'Revenue drivers'!BM361</f>
        <v>0</v>
      </c>
      <c r="BN968">
        <f>'Revenue drivers'!BN361</f>
        <v>0</v>
      </c>
      <c r="BO968">
        <f>'Revenue drivers'!BO361</f>
        <v>0</v>
      </c>
      <c r="BP968">
        <f>'Revenue drivers'!BP361</f>
        <v>0</v>
      </c>
      <c r="BQ968">
        <f>'Revenue drivers'!BQ361</f>
        <v>0</v>
      </c>
      <c r="BR968">
        <f>'Revenue drivers'!BR361</f>
        <v>0</v>
      </c>
      <c r="BS968">
        <f>'Revenue drivers'!BS361</f>
        <v>0</v>
      </c>
      <c r="BT968">
        <f>'Revenue drivers'!BT361</f>
        <v>0</v>
      </c>
      <c r="BU968">
        <f>'Revenue drivers'!BU361</f>
        <v>0</v>
      </c>
      <c r="BV968">
        <f>'Revenue drivers'!BV361</f>
        <v>0</v>
      </c>
      <c r="BW968">
        <f>'Revenue drivers'!BW361</f>
        <v>0</v>
      </c>
      <c r="BX968">
        <f>'Revenue drivers'!BX361</f>
        <v>0</v>
      </c>
      <c r="BY968">
        <f>'Revenue drivers'!BY361</f>
        <v>0</v>
      </c>
    </row>
    <row r="969" spans="9:77" ht="11.25" customHeight="1">
      <c r="I969" t="str">
        <f>'Revenue drivers'!I362</f>
        <v>% of total unique visitors</v>
      </c>
      <c r="J969">
        <f>'Revenue drivers'!J362</f>
        <v>0</v>
      </c>
      <c r="K969">
        <f>'Revenue drivers'!K362</f>
        <v>0</v>
      </c>
      <c r="L969">
        <f>'Revenue drivers'!L362</f>
        <v>0</v>
      </c>
      <c r="M969">
        <f>'Revenue drivers'!M362</f>
        <v>0</v>
      </c>
      <c r="N969">
        <f>'Revenue drivers'!N362</f>
        <v>0</v>
      </c>
      <c r="O969">
        <f>'Revenue drivers'!O362</f>
        <v>0</v>
      </c>
      <c r="P969">
        <f>'Revenue drivers'!P362</f>
        <v>0</v>
      </c>
      <c r="Q969">
        <f>'Revenue drivers'!Q362</f>
        <v>7.4759168678044302E-2</v>
      </c>
      <c r="R969">
        <f>'Revenue drivers'!R362</f>
        <v>8.2143020125039934E-2</v>
      </c>
      <c r="S969">
        <f>'Revenue drivers'!S362</f>
        <v>7.995228447662435E-2</v>
      </c>
      <c r="T969">
        <f>'Revenue drivers'!T362</f>
        <v>8.663140616450847E-2</v>
      </c>
      <c r="U969">
        <f>'Revenue drivers'!U362</f>
        <v>8.8176016123614379E-2</v>
      </c>
      <c r="V969">
        <f>'Revenue drivers'!V362</f>
        <v>9.1919978552005011E-2</v>
      </c>
      <c r="W969">
        <f>'Revenue drivers'!W362</f>
        <v>9.576480164715459E-2</v>
      </c>
      <c r="X969">
        <f>'Revenue drivers'!X362</f>
        <v>0.10660486674391656</v>
      </c>
      <c r="Y969">
        <f>'Revenue drivers'!Y362</f>
        <v>9.7114583843629074E-2</v>
      </c>
      <c r="Z969">
        <f>'Revenue drivers'!Z362</f>
        <v>9.5985489274278621E-2</v>
      </c>
      <c r="AA969">
        <f>'Revenue drivers'!AA362</f>
        <v>9.525147513346445E-2</v>
      </c>
      <c r="AB969">
        <f>'Revenue drivers'!AB362</f>
        <v>8.8446314736885967E-2</v>
      </c>
      <c r="AC969">
        <f>'Revenue drivers'!AC362</f>
        <v>8.2598520308017509E-2</v>
      </c>
      <c r="AD969">
        <f>'Revenue drivers'!AD362</f>
        <v>8.7172712160916377E-2</v>
      </c>
      <c r="AE969">
        <f>'Revenue drivers'!AE362</f>
        <v>0.10393923309759141</v>
      </c>
      <c r="AF969">
        <f>'Revenue drivers'!AF362</f>
        <v>0.10739766902521529</v>
      </c>
      <c r="AG969">
        <f>'Revenue drivers'!AG362</f>
        <v>0.11258124745553326</v>
      </c>
      <c r="AH969">
        <f>'Revenue drivers'!AH362</f>
        <v>0.12576968517617626</v>
      </c>
      <c r="AI969">
        <f>'Revenue drivers'!AI362</f>
        <v>0.13593616992527935</v>
      </c>
      <c r="AJ969">
        <f>'Revenue drivers'!AJ362</f>
        <v>0.14242491118910494</v>
      </c>
      <c r="AK969">
        <f>'Revenue drivers'!AK362</f>
        <v>0.14512549320473475</v>
      </c>
      <c r="AL969">
        <f>'Revenue drivers'!AL362</f>
        <v>0.16121009156957397</v>
      </c>
      <c r="AM969">
        <f>'Revenue drivers'!AM362</f>
        <v>0.17358085451972474</v>
      </c>
      <c r="AN969">
        <f>'Revenue drivers'!AN362</f>
        <v>0.18067532779441456</v>
      </c>
      <c r="AO969">
        <f>'Revenue drivers'!AO362</f>
        <v>0.17063405545755458</v>
      </c>
      <c r="AP969">
        <f>'Revenue drivers'!AP362</f>
        <v>0.17814881062260104</v>
      </c>
      <c r="AQ969">
        <f>'Revenue drivers'!AQ362</f>
        <v>0.19199236155315086</v>
      </c>
      <c r="AR969">
        <f>'Revenue drivers'!AR362</f>
        <v>0.20461945534124523</v>
      </c>
      <c r="AS969">
        <f>'Revenue drivers'!AS362</f>
        <v>0.21144852004887754</v>
      </c>
      <c r="AT969">
        <f>'Revenue drivers'!AT362</f>
        <v>0.2265431766671219</v>
      </c>
      <c r="AU969">
        <f>'Revenue drivers'!AU362</f>
        <v>0.24396459800277398</v>
      </c>
      <c r="AV969">
        <f>'Revenue drivers'!AV362</f>
        <v>0.28273863194252069</v>
      </c>
      <c r="AW969">
        <f>'Revenue drivers'!AW362</f>
        <v>0.28033938139591352</v>
      </c>
      <c r="AX969">
        <f>'Revenue drivers'!AX362</f>
        <v>0.28835067718056068</v>
      </c>
      <c r="AY969">
        <f>'Revenue drivers'!AY362</f>
        <v>0.29878349114918118</v>
      </c>
      <c r="AZ969">
        <f>'Revenue drivers'!AZ362</f>
        <v>0.33154473424857106</v>
      </c>
      <c r="BA969">
        <f>'Revenue drivers'!BA362</f>
        <v>0.32990752384432104</v>
      </c>
      <c r="BB969">
        <f>'Revenue drivers'!BB362</f>
        <v>0.3394380582149778</v>
      </c>
      <c r="BC969">
        <f>'Revenue drivers'!BC362</f>
        <v>0.35161831507506752</v>
      </c>
      <c r="BD969">
        <f>'Revenue drivers'!BD362</f>
        <v>0.38765523760207049</v>
      </c>
      <c r="BE969">
        <f>'Revenue drivers'!BE362</f>
        <v>0</v>
      </c>
      <c r="BF969">
        <f>'Revenue drivers'!BF362</f>
        <v>0</v>
      </c>
      <c r="BG969">
        <f>'Revenue drivers'!BG362</f>
        <v>0</v>
      </c>
      <c r="BH969">
        <f>'Revenue drivers'!BH362</f>
        <v>0</v>
      </c>
      <c r="BI969">
        <f>'Revenue drivers'!BI362</f>
        <v>0</v>
      </c>
      <c r="BJ969">
        <f>'Revenue drivers'!BJ362</f>
        <v>0</v>
      </c>
      <c r="BK969">
        <f>'Revenue drivers'!BK362</f>
        <v>8.663140616450847E-2</v>
      </c>
      <c r="BL969">
        <f>'Revenue drivers'!BL362</f>
        <v>0.10660486674391656</v>
      </c>
      <c r="BM969">
        <f>'Revenue drivers'!BM362</f>
        <v>8.8446314736885967E-2</v>
      </c>
      <c r="BN969">
        <f>'Revenue drivers'!BN362</f>
        <v>0.10739766902521529</v>
      </c>
      <c r="BO969">
        <f>'Revenue drivers'!BO362</f>
        <v>0.14242491118910494</v>
      </c>
      <c r="BP969">
        <f>'Revenue drivers'!BP362</f>
        <v>0.18067532779441456</v>
      </c>
      <c r="BQ969">
        <f>'Revenue drivers'!BQ362</f>
        <v>0.20461945534124523</v>
      </c>
      <c r="BR969">
        <f>'Revenue drivers'!BR362</f>
        <v>0.28273863194252069</v>
      </c>
      <c r="BS969">
        <f>'Revenue drivers'!BS362</f>
        <v>0.33154473424857106</v>
      </c>
      <c r="BT969">
        <f>'Revenue drivers'!BT362</f>
        <v>0.38765523760207049</v>
      </c>
      <c r="BU969">
        <f>'Revenue drivers'!BU362</f>
        <v>0.45925537341240863</v>
      </c>
      <c r="BV969">
        <f>'Revenue drivers'!BV362</f>
        <v>0.56759824790049018</v>
      </c>
      <c r="BW969">
        <f>'Revenue drivers'!BW362</f>
        <v>0.71177951892110847</v>
      </c>
      <c r="BX969">
        <f>'Revenue drivers'!BX362</f>
        <v>0.91058403661120901</v>
      </c>
      <c r="BY969">
        <f>'Revenue drivers'!BY362</f>
        <v>1.1989596416996717</v>
      </c>
    </row>
    <row r="970" spans="9:77" ht="11.25" customHeight="1">
      <c r="I970" t="str">
        <f>'Revenue drivers'!I363</f>
        <v>% of total MOBILE unique visitors</v>
      </c>
      <c r="J970">
        <f>'Revenue drivers'!J363</f>
        <v>0</v>
      </c>
      <c r="K970">
        <f>'Revenue drivers'!K363</f>
        <v>0</v>
      </c>
      <c r="L970">
        <f>'Revenue drivers'!L363</f>
        <v>0</v>
      </c>
      <c r="M970">
        <f>'Revenue drivers'!M363</f>
        <v>0</v>
      </c>
      <c r="N970">
        <f>'Revenue drivers'!N363</f>
        <v>0</v>
      </c>
      <c r="O970">
        <f>'Revenue drivers'!O363</f>
        <v>0</v>
      </c>
      <c r="P970">
        <f>'Revenue drivers'!P363</f>
        <v>0</v>
      </c>
      <c r="Q970">
        <f>'Revenue drivers'!Q363</f>
        <v>0.53399406198603061</v>
      </c>
      <c r="R970">
        <f>'Revenue drivers'!R363</f>
        <v>0.51339387578149942</v>
      </c>
      <c r="S970">
        <f>'Revenue drivers'!S363</f>
        <v>0.44417935820346854</v>
      </c>
      <c r="T970">
        <f>'Revenue drivers'!T363</f>
        <v>0.43315703082254237</v>
      </c>
      <c r="U970">
        <f>'Revenue drivers'!U363</f>
        <v>0.40080007328915629</v>
      </c>
      <c r="V970">
        <f>'Revenue drivers'!V363</f>
        <v>0.38299991063335426</v>
      </c>
      <c r="W970">
        <f>'Revenue drivers'!W363</f>
        <v>0.38305920658861836</v>
      </c>
      <c r="X970">
        <f>'Revenue drivers'!X363</f>
        <v>0.27907033179035751</v>
      </c>
      <c r="Y970">
        <f>'Revenue drivers'!Y363</f>
        <v>0.24676359290977895</v>
      </c>
      <c r="Z970">
        <f>'Revenue drivers'!Z363</f>
        <v>0.23016154802059294</v>
      </c>
      <c r="AA970">
        <f>'Revenue drivers'!AA363</f>
        <v>0.22172232682588444</v>
      </c>
      <c r="AB970">
        <f>'Revenue drivers'!AB363</f>
        <v>0.20062375956903886</v>
      </c>
      <c r="AC970">
        <f>'Revenue drivers'!AC363</f>
        <v>0.1788037260990358</v>
      </c>
      <c r="AD970">
        <f>'Revenue drivers'!AD363</f>
        <v>0.17689950799870371</v>
      </c>
      <c r="AE970">
        <f>'Revenue drivers'!AE363</f>
        <v>0.19731753812636166</v>
      </c>
      <c r="AF970">
        <f>'Revenue drivers'!AF363</f>
        <v>0.20110086160399407</v>
      </c>
      <c r="AG970">
        <f>'Revenue drivers'!AG363</f>
        <v>0.20312302120007092</v>
      </c>
      <c r="AH970">
        <f>'Revenue drivers'!AH363</f>
        <v>0.21853113075399702</v>
      </c>
      <c r="AI970">
        <f>'Revenue drivers'!AI363</f>
        <v>0.22547569421098634</v>
      </c>
      <c r="AJ970">
        <f>'Revenue drivers'!AJ363</f>
        <v>0.2329909393706473</v>
      </c>
      <c r="AK970">
        <f>'Revenue drivers'!AK363</f>
        <v>0.23608990717318387</v>
      </c>
      <c r="AL970">
        <f>'Revenue drivers'!AL363</f>
        <v>0.24919588030800222</v>
      </c>
      <c r="AM970">
        <f>'Revenue drivers'!AM363</f>
        <v>0.25685991334846298</v>
      </c>
      <c r="AN970">
        <f>'Revenue drivers'!AN363</f>
        <v>0.26920066201467169</v>
      </c>
      <c r="AO970">
        <f>'Revenue drivers'!AO363</f>
        <v>0.26082872983972777</v>
      </c>
      <c r="AP970">
        <f>'Revenue drivers'!AP363</f>
        <v>0.27414583496591177</v>
      </c>
      <c r="AQ970">
        <f>'Revenue drivers'!AQ363</f>
        <v>0.29094241342722099</v>
      </c>
      <c r="AR970">
        <f>'Revenue drivers'!AR363</f>
        <v>0.3099413319579653</v>
      </c>
      <c r="AS970">
        <f>'Revenue drivers'!AS363</f>
        <v>0.30472699790311869</v>
      </c>
      <c r="AT970">
        <f>'Revenue drivers'!AT363</f>
        <v>0.31633317409930045</v>
      </c>
      <c r="AU970">
        <f>'Revenue drivers'!AU363</f>
        <v>0.33130465290738975</v>
      </c>
      <c r="AV970">
        <f>'Revenue drivers'!AV363</f>
        <v>0.38315670376043692</v>
      </c>
      <c r="AW970">
        <f>'Revenue drivers'!AW363</f>
        <v>0.36709185674687705</v>
      </c>
      <c r="AX970">
        <f>'Revenue drivers'!AX363</f>
        <v>0.36885831206942005</v>
      </c>
      <c r="AY970">
        <f>'Revenue drivers'!AY363</f>
        <v>0.37429159245455584</v>
      </c>
      <c r="AZ970">
        <f>'Revenue drivers'!AZ363</f>
        <v>0.41344003517656536</v>
      </c>
      <c r="BA970">
        <f>'Revenue drivers'!BA363</f>
        <v>0.39972078531187794</v>
      </c>
      <c r="BB970">
        <f>'Revenue drivers'!BB363</f>
        <v>0.40203499803566334</v>
      </c>
      <c r="BC970">
        <f>'Revenue drivers'!BC363</f>
        <v>0.40770167100428351</v>
      </c>
      <c r="BD970">
        <f>'Revenue drivers'!BD363</f>
        <v>0.44387942570930383</v>
      </c>
      <c r="BE970">
        <f>'Revenue drivers'!BE363</f>
        <v>0</v>
      </c>
      <c r="BF970">
        <f>'Revenue drivers'!BF363</f>
        <v>0</v>
      </c>
      <c r="BG970">
        <f>'Revenue drivers'!BG363</f>
        <v>0</v>
      </c>
      <c r="BH970">
        <f>'Revenue drivers'!BH363</f>
        <v>0</v>
      </c>
      <c r="BI970">
        <f>'Revenue drivers'!BI363</f>
        <v>0</v>
      </c>
      <c r="BJ970">
        <f>'Revenue drivers'!BJ363</f>
        <v>0</v>
      </c>
      <c r="BK970">
        <f>'Revenue drivers'!BK363</f>
        <v>0</v>
      </c>
      <c r="BL970">
        <f>'Revenue drivers'!BL363</f>
        <v>0.27907033179035751</v>
      </c>
      <c r="BM970">
        <f>'Revenue drivers'!BM363</f>
        <v>0.20062375956903886</v>
      </c>
      <c r="BN970">
        <f>'Revenue drivers'!BN363</f>
        <v>0.20110086160399407</v>
      </c>
      <c r="BO970">
        <f>'Revenue drivers'!BO363</f>
        <v>0.2329909393706473</v>
      </c>
      <c r="BP970">
        <f>'Revenue drivers'!BP363</f>
        <v>0.26920066201467169</v>
      </c>
      <c r="BQ970">
        <f>'Revenue drivers'!BQ363</f>
        <v>0.3099413319579653</v>
      </c>
      <c r="BR970">
        <f>'Revenue drivers'!BR363</f>
        <v>0.38315670376043692</v>
      </c>
      <c r="BS970">
        <f>'Revenue drivers'!BS363</f>
        <v>0.41344003517656536</v>
      </c>
      <c r="BT970">
        <f>'Revenue drivers'!BT363</f>
        <v>0.44387942570930383</v>
      </c>
      <c r="BU970">
        <f>'Revenue drivers'!BU363</f>
        <v>0.47887929682755714</v>
      </c>
      <c r="BV970">
        <f>'Revenue drivers'!BV363</f>
        <v>0.52782741914027076</v>
      </c>
      <c r="BW970">
        <f>'Revenue drivers'!BW363</f>
        <v>0.58078678358398206</v>
      </c>
      <c r="BX970">
        <f>'Revenue drivers'!BX363</f>
        <v>0.63773523562543499</v>
      </c>
      <c r="BY970">
        <f>'Revenue drivers'!BY363</f>
        <v>0.69866273717301985</v>
      </c>
    </row>
    <row r="971" spans="9:77" ht="11.25" customHeight="1">
      <c r="I971">
        <f>'Revenue drivers'!I364</f>
        <v>0</v>
      </c>
      <c r="J971">
        <f>'Revenue drivers'!J364</f>
        <v>0</v>
      </c>
      <c r="K971">
        <f>'Revenue drivers'!K364</f>
        <v>0</v>
      </c>
      <c r="L971">
        <f>'Revenue drivers'!L364</f>
        <v>0</v>
      </c>
      <c r="M971">
        <f>'Revenue drivers'!M364</f>
        <v>0</v>
      </c>
      <c r="N971">
        <f>'Revenue drivers'!N364</f>
        <v>0</v>
      </c>
      <c r="O971">
        <f>'Revenue drivers'!O364</f>
        <v>0</v>
      </c>
      <c r="P971">
        <f>'Revenue drivers'!P364</f>
        <v>0</v>
      </c>
      <c r="Q971">
        <f>'Revenue drivers'!Q364</f>
        <v>0</v>
      </c>
      <c r="R971">
        <f>'Revenue drivers'!R364</f>
        <v>0</v>
      </c>
      <c r="S971">
        <f>'Revenue drivers'!S364</f>
        <v>0</v>
      </c>
      <c r="T971">
        <f>'Revenue drivers'!T364</f>
        <v>0</v>
      </c>
      <c r="U971">
        <f>'Revenue drivers'!U364</f>
        <v>0</v>
      </c>
      <c r="V971">
        <f>'Revenue drivers'!V364</f>
        <v>0</v>
      </c>
      <c r="W971">
        <f>'Revenue drivers'!W364</f>
        <v>0</v>
      </c>
      <c r="X971">
        <f>'Revenue drivers'!X364</f>
        <v>0</v>
      </c>
      <c r="Y971">
        <f>'Revenue drivers'!Y364</f>
        <v>0</v>
      </c>
      <c r="Z971">
        <f>'Revenue drivers'!Z364</f>
        <v>0</v>
      </c>
      <c r="AA971">
        <f>'Revenue drivers'!AA364</f>
        <v>0</v>
      </c>
      <c r="AB971">
        <f>'Revenue drivers'!AB364</f>
        <v>0</v>
      </c>
      <c r="AC971">
        <f>'Revenue drivers'!AC364</f>
        <v>0</v>
      </c>
      <c r="AD971">
        <f>'Revenue drivers'!AD364</f>
        <v>0</v>
      </c>
      <c r="AE971">
        <f>'Revenue drivers'!AE364</f>
        <v>0</v>
      </c>
      <c r="AF971">
        <f>'Revenue drivers'!AF364</f>
        <v>0</v>
      </c>
      <c r="AG971">
        <f>'Revenue drivers'!AG364</f>
        <v>0</v>
      </c>
      <c r="AH971">
        <f>'Revenue drivers'!AH364</f>
        <v>0</v>
      </c>
      <c r="AI971">
        <f>'Revenue drivers'!AI364</f>
        <v>0</v>
      </c>
      <c r="AJ971">
        <f>'Revenue drivers'!AJ364</f>
        <v>0</v>
      </c>
      <c r="AK971">
        <f>'Revenue drivers'!AK364</f>
        <v>0</v>
      </c>
      <c r="AL971">
        <f>'Revenue drivers'!AL364</f>
        <v>0</v>
      </c>
      <c r="AM971">
        <f>'Revenue drivers'!AM364</f>
        <v>0</v>
      </c>
      <c r="AN971">
        <f>'Revenue drivers'!AN364</f>
        <v>0</v>
      </c>
      <c r="AO971">
        <f>'Revenue drivers'!AO364</f>
        <v>0</v>
      </c>
      <c r="AP971">
        <f>'Revenue drivers'!AP364</f>
        <v>0</v>
      </c>
      <c r="AQ971">
        <f>'Revenue drivers'!AQ364</f>
        <v>0</v>
      </c>
      <c r="AR971">
        <f>'Revenue drivers'!AR364</f>
        <v>0</v>
      </c>
      <c r="AS971">
        <f>'Revenue drivers'!AS364</f>
        <v>0</v>
      </c>
      <c r="AT971">
        <f>'Revenue drivers'!AT364</f>
        <v>0</v>
      </c>
      <c r="AU971">
        <f>'Revenue drivers'!AU364</f>
        <v>0</v>
      </c>
      <c r="AV971">
        <f>'Revenue drivers'!AV364</f>
        <v>0</v>
      </c>
      <c r="AW971">
        <f>'Revenue drivers'!AW364</f>
        <v>0</v>
      </c>
      <c r="AX971">
        <f>'Revenue drivers'!AX364</f>
        <v>0</v>
      </c>
      <c r="AY971">
        <f>'Revenue drivers'!AY364</f>
        <v>0</v>
      </c>
      <c r="AZ971">
        <f>'Revenue drivers'!AZ364</f>
        <v>0</v>
      </c>
      <c r="BA971">
        <f>'Revenue drivers'!BA364</f>
        <v>0</v>
      </c>
      <c r="BB971">
        <f>'Revenue drivers'!BB364</f>
        <v>0</v>
      </c>
      <c r="BC971">
        <f>'Revenue drivers'!BC364</f>
        <v>0</v>
      </c>
      <c r="BD971">
        <f>'Revenue drivers'!BD364</f>
        <v>0</v>
      </c>
      <c r="BE971">
        <f>'Revenue drivers'!BE364</f>
        <v>0</v>
      </c>
      <c r="BF971">
        <f>'Revenue drivers'!BF364</f>
        <v>0</v>
      </c>
      <c r="BG971">
        <f>'Revenue drivers'!BG364</f>
        <v>0</v>
      </c>
      <c r="BH971">
        <f>'Revenue drivers'!BH364</f>
        <v>0</v>
      </c>
      <c r="BI971">
        <f>'Revenue drivers'!BI364</f>
        <v>0</v>
      </c>
      <c r="BJ971">
        <f>'Revenue drivers'!BJ364</f>
        <v>0</v>
      </c>
      <c r="BK971">
        <f>'Revenue drivers'!BK364</f>
        <v>0</v>
      </c>
      <c r="BL971">
        <f>'Revenue drivers'!BL364</f>
        <v>0</v>
      </c>
      <c r="BM971">
        <f>'Revenue drivers'!BM364</f>
        <v>0</v>
      </c>
      <c r="BN971">
        <f>'Revenue drivers'!BN364</f>
        <v>0</v>
      </c>
      <c r="BO971">
        <f>'Revenue drivers'!BO364</f>
        <v>0</v>
      </c>
      <c r="BP971">
        <f>'Revenue drivers'!BP364</f>
        <v>0</v>
      </c>
      <c r="BQ971">
        <f>'Revenue drivers'!BQ364</f>
        <v>0</v>
      </c>
      <c r="BR971">
        <f>'Revenue drivers'!BR364</f>
        <v>0</v>
      </c>
      <c r="BS971">
        <f>'Revenue drivers'!BS364</f>
        <v>0</v>
      </c>
      <c r="BT971">
        <f>'Revenue drivers'!BT364</f>
        <v>0</v>
      </c>
      <c r="BU971">
        <f>'Revenue drivers'!BU364</f>
        <v>0</v>
      </c>
      <c r="BV971">
        <f>'Revenue drivers'!BV364</f>
        <v>0</v>
      </c>
      <c r="BW971">
        <f>'Revenue drivers'!BW364</f>
        <v>0</v>
      </c>
      <c r="BX971">
        <f>'Revenue drivers'!BX364</f>
        <v>0</v>
      </c>
      <c r="BY971">
        <f>'Revenue drivers'!BY364</f>
        <v>0</v>
      </c>
    </row>
    <row r="972" spans="9:77" ht="11.25" customHeight="1">
      <c r="I972">
        <f>'Revenue drivers'!I365</f>
        <v>0</v>
      </c>
      <c r="J972">
        <f>'Revenue drivers'!J365</f>
        <v>0</v>
      </c>
      <c r="K972">
        <f>'Revenue drivers'!K365</f>
        <v>0</v>
      </c>
      <c r="L972">
        <f>'Revenue drivers'!L365</f>
        <v>0</v>
      </c>
      <c r="M972">
        <f>'Revenue drivers'!M365</f>
        <v>0</v>
      </c>
      <c r="N972">
        <f>'Revenue drivers'!N365</f>
        <v>0</v>
      </c>
      <c r="O972">
        <f>'Revenue drivers'!O365</f>
        <v>0</v>
      </c>
      <c r="P972">
        <f>'Revenue drivers'!P365</f>
        <v>0</v>
      </c>
      <c r="Q972">
        <f>'Revenue drivers'!Q365</f>
        <v>0</v>
      </c>
      <c r="R972">
        <f>'Revenue drivers'!R365</f>
        <v>0</v>
      </c>
      <c r="S972">
        <f>'Revenue drivers'!S365</f>
        <v>0</v>
      </c>
      <c r="T972">
        <f>'Revenue drivers'!T365</f>
        <v>0</v>
      </c>
      <c r="U972">
        <f>'Revenue drivers'!U365</f>
        <v>0</v>
      </c>
      <c r="V972">
        <f>'Revenue drivers'!V365</f>
        <v>0</v>
      </c>
      <c r="W972">
        <f>'Revenue drivers'!W365</f>
        <v>0</v>
      </c>
      <c r="X972">
        <f>'Revenue drivers'!X365</f>
        <v>0</v>
      </c>
      <c r="Y972">
        <f>'Revenue drivers'!Y365</f>
        <v>0</v>
      </c>
      <c r="Z972">
        <f>'Revenue drivers'!Z365</f>
        <v>0</v>
      </c>
      <c r="AA972">
        <f>'Revenue drivers'!AA365</f>
        <v>0</v>
      </c>
      <c r="AB972">
        <f>'Revenue drivers'!AB365</f>
        <v>0</v>
      </c>
      <c r="AC972">
        <f>'Revenue drivers'!AC365</f>
        <v>0</v>
      </c>
      <c r="AD972">
        <f>'Revenue drivers'!AD365</f>
        <v>0</v>
      </c>
      <c r="AE972">
        <f>'Revenue drivers'!AE365</f>
        <v>0</v>
      </c>
      <c r="AF972">
        <f>'Revenue drivers'!AF365</f>
        <v>0</v>
      </c>
      <c r="AG972">
        <f>'Revenue drivers'!AG365</f>
        <v>0</v>
      </c>
      <c r="AH972">
        <f>'Revenue drivers'!AH365</f>
        <v>0</v>
      </c>
      <c r="AI972">
        <f>'Revenue drivers'!AI365</f>
        <v>0</v>
      </c>
      <c r="AJ972">
        <f>'Revenue drivers'!AJ365</f>
        <v>0</v>
      </c>
      <c r="AK972">
        <f>'Revenue drivers'!AK365</f>
        <v>0</v>
      </c>
      <c r="AL972">
        <f>'Revenue drivers'!AL365</f>
        <v>0</v>
      </c>
      <c r="AM972">
        <f>'Revenue drivers'!AM365</f>
        <v>0</v>
      </c>
      <c r="AN972">
        <f>'Revenue drivers'!AN365</f>
        <v>0</v>
      </c>
      <c r="AO972">
        <f>'Revenue drivers'!AO365</f>
        <v>0</v>
      </c>
      <c r="AP972">
        <f>'Revenue drivers'!AP365</f>
        <v>0</v>
      </c>
      <c r="AQ972">
        <f>'Revenue drivers'!AQ365</f>
        <v>0</v>
      </c>
      <c r="AR972">
        <f>'Revenue drivers'!AR365</f>
        <v>0</v>
      </c>
      <c r="AS972">
        <f>'Revenue drivers'!AS365</f>
        <v>0</v>
      </c>
      <c r="AT972">
        <f>'Revenue drivers'!AT365</f>
        <v>0</v>
      </c>
      <c r="AU972">
        <f>'Revenue drivers'!AU365</f>
        <v>0</v>
      </c>
      <c r="AV972">
        <f>'Revenue drivers'!AV365</f>
        <v>0</v>
      </c>
      <c r="AW972">
        <f>'Revenue drivers'!AW365</f>
        <v>0</v>
      </c>
      <c r="AX972">
        <f>'Revenue drivers'!AX365</f>
        <v>0</v>
      </c>
      <c r="AY972">
        <f>'Revenue drivers'!AY365</f>
        <v>0</v>
      </c>
      <c r="AZ972">
        <f>'Revenue drivers'!AZ365</f>
        <v>0</v>
      </c>
      <c r="BA972">
        <f>'Revenue drivers'!BA365</f>
        <v>0</v>
      </c>
      <c r="BB972">
        <f>'Revenue drivers'!BB365</f>
        <v>0</v>
      </c>
      <c r="BC972">
        <f>'Revenue drivers'!BC365</f>
        <v>0</v>
      </c>
      <c r="BD972">
        <f>'Revenue drivers'!BD365</f>
        <v>0</v>
      </c>
      <c r="BE972">
        <f>'Revenue drivers'!BE365</f>
        <v>0</v>
      </c>
      <c r="BF972">
        <f>'Revenue drivers'!BF365</f>
        <v>0</v>
      </c>
      <c r="BG972">
        <f>'Revenue drivers'!BG365</f>
        <v>0</v>
      </c>
      <c r="BH972">
        <f>'Revenue drivers'!BH365</f>
        <v>0</v>
      </c>
      <c r="BI972">
        <f>'Revenue drivers'!BI365</f>
        <v>0</v>
      </c>
      <c r="BJ972">
        <f>'Revenue drivers'!BJ365</f>
        <v>0</v>
      </c>
      <c r="BK972">
        <f>'Revenue drivers'!BK365</f>
        <v>0</v>
      </c>
      <c r="BL972">
        <f>'Revenue drivers'!BL365</f>
        <v>0</v>
      </c>
      <c r="BM972">
        <f>'Revenue drivers'!BM365</f>
        <v>0</v>
      </c>
      <c r="BN972">
        <f>'Revenue drivers'!BN365</f>
        <v>0</v>
      </c>
      <c r="BO972">
        <f>'Revenue drivers'!BO365</f>
        <v>0</v>
      </c>
      <c r="BP972">
        <f>'Revenue drivers'!BP365</f>
        <v>0</v>
      </c>
      <c r="BQ972">
        <f>'Revenue drivers'!BQ365</f>
        <v>0</v>
      </c>
      <c r="BR972">
        <f>'Revenue drivers'!BR365</f>
        <v>0</v>
      </c>
      <c r="BS972">
        <f>'Revenue drivers'!BS365</f>
        <v>0</v>
      </c>
      <c r="BT972">
        <f>'Revenue drivers'!BT365</f>
        <v>0</v>
      </c>
      <c r="BU972">
        <f>'Revenue drivers'!BU365</f>
        <v>0</v>
      </c>
      <c r="BV972">
        <f>'Revenue drivers'!BV365</f>
        <v>0</v>
      </c>
      <c r="BW972">
        <f>'Revenue drivers'!BW365</f>
        <v>0</v>
      </c>
      <c r="BX972">
        <f>'Revenue drivers'!BX365</f>
        <v>0</v>
      </c>
      <c r="BY972">
        <f>'Revenue drivers'!BY365</f>
        <v>0</v>
      </c>
    </row>
    <row r="973" spans="9:77" ht="11.25" customHeight="1">
      <c r="I973" t="str">
        <f>'Revenue drivers'!I106</f>
        <v>TRANSACTION &amp; OTHER SERVICES REVENUE</v>
      </c>
      <c r="J973">
        <f>'Revenue drivers'!J106</f>
        <v>0</v>
      </c>
      <c r="K973">
        <f>'Revenue drivers'!K106</f>
        <v>0</v>
      </c>
      <c r="L973">
        <f>'Revenue drivers'!L106</f>
        <v>0</v>
      </c>
      <c r="M973">
        <f>'Revenue drivers'!M106</f>
        <v>0</v>
      </c>
      <c r="N973">
        <f>'Revenue drivers'!N106</f>
        <v>0</v>
      </c>
      <c r="O973">
        <f>'Revenue drivers'!O106</f>
        <v>0</v>
      </c>
      <c r="P973">
        <f>'Revenue drivers'!P106</f>
        <v>0</v>
      </c>
      <c r="Q973">
        <f>'Revenue drivers'!Q106</f>
        <v>0</v>
      </c>
      <c r="R973">
        <f>'Revenue drivers'!R106</f>
        <v>0</v>
      </c>
      <c r="S973">
        <f>'Revenue drivers'!S106</f>
        <v>0</v>
      </c>
      <c r="T973">
        <f>'Revenue drivers'!T106</f>
        <v>0</v>
      </c>
      <c r="U973">
        <f>'Revenue drivers'!U106</f>
        <v>0</v>
      </c>
      <c r="V973">
        <f>'Revenue drivers'!V106</f>
        <v>0</v>
      </c>
      <c r="W973">
        <f>'Revenue drivers'!W106</f>
        <v>0</v>
      </c>
      <c r="X973">
        <f>'Revenue drivers'!X106</f>
        <v>0</v>
      </c>
      <c r="Y973">
        <f>'Revenue drivers'!Y106</f>
        <v>0</v>
      </c>
      <c r="Z973">
        <f>'Revenue drivers'!Z106</f>
        <v>0</v>
      </c>
      <c r="AA973">
        <f>'Revenue drivers'!AA106</f>
        <v>0</v>
      </c>
      <c r="AB973">
        <f>'Revenue drivers'!AB106</f>
        <v>0</v>
      </c>
      <c r="AC973">
        <f>'Revenue drivers'!AC106</f>
        <v>0</v>
      </c>
      <c r="AD973">
        <f>'Revenue drivers'!AD106</f>
        <v>0</v>
      </c>
      <c r="AE973">
        <f>'Revenue drivers'!AE106</f>
        <v>0</v>
      </c>
      <c r="AF973">
        <f>'Revenue drivers'!AF106</f>
        <v>0</v>
      </c>
      <c r="AG973">
        <f>'Revenue drivers'!AG106</f>
        <v>0</v>
      </c>
      <c r="AH973">
        <f>'Revenue drivers'!AH106</f>
        <v>0</v>
      </c>
      <c r="AI973">
        <f>'Revenue drivers'!AI106</f>
        <v>0</v>
      </c>
      <c r="AJ973">
        <f>'Revenue drivers'!AJ106</f>
        <v>0</v>
      </c>
      <c r="AK973">
        <f>'Revenue drivers'!AK106</f>
        <v>0</v>
      </c>
      <c r="AL973">
        <f>'Revenue drivers'!AL106</f>
        <v>0</v>
      </c>
      <c r="AM973">
        <f>'Revenue drivers'!AM106</f>
        <v>0</v>
      </c>
      <c r="AN973">
        <f>'Revenue drivers'!AN106</f>
        <v>0</v>
      </c>
      <c r="AO973">
        <f>'Revenue drivers'!AO106</f>
        <v>0</v>
      </c>
      <c r="AP973">
        <f>'Revenue drivers'!AP106</f>
        <v>0</v>
      </c>
      <c r="AQ973">
        <f>'Revenue drivers'!AQ106</f>
        <v>0</v>
      </c>
      <c r="AR973">
        <f>'Revenue drivers'!AR106</f>
        <v>0</v>
      </c>
      <c r="AS973">
        <f>'Revenue drivers'!AS106</f>
        <v>0</v>
      </c>
      <c r="AT973">
        <f>'Revenue drivers'!AT106</f>
        <v>0</v>
      </c>
      <c r="AU973">
        <f>'Revenue drivers'!AU106</f>
        <v>0</v>
      </c>
      <c r="AV973">
        <f>'Revenue drivers'!AV106</f>
        <v>0</v>
      </c>
      <c r="AW973">
        <f>'Revenue drivers'!AW106</f>
        <v>0</v>
      </c>
      <c r="AX973">
        <f>'Revenue drivers'!AX106</f>
        <v>0</v>
      </c>
      <c r="AY973">
        <f>'Revenue drivers'!AY106</f>
        <v>0</v>
      </c>
      <c r="AZ973">
        <f>'Revenue drivers'!AZ106</f>
        <v>0</v>
      </c>
      <c r="BA973">
        <f>'Revenue drivers'!BA106</f>
        <v>0</v>
      </c>
      <c r="BB973">
        <f>'Revenue drivers'!BB106</f>
        <v>0</v>
      </c>
      <c r="BC973">
        <f>'Revenue drivers'!BC106</f>
        <v>0</v>
      </c>
      <c r="BD973">
        <f>'Revenue drivers'!BD106</f>
        <v>0</v>
      </c>
      <c r="BE973">
        <f>'Revenue drivers'!BE106</f>
        <v>0</v>
      </c>
      <c r="BF973">
        <f>'Revenue drivers'!BF106</f>
        <v>0</v>
      </c>
      <c r="BG973">
        <f>'Revenue drivers'!BG106</f>
        <v>0</v>
      </c>
      <c r="BH973">
        <f>'Revenue drivers'!BH106</f>
        <v>0</v>
      </c>
      <c r="BI973">
        <f>'Revenue drivers'!BI106</f>
        <v>0</v>
      </c>
      <c r="BJ973">
        <f>'Revenue drivers'!BJ106</f>
        <v>0</v>
      </c>
      <c r="BK973">
        <f>'Revenue drivers'!BK106</f>
        <v>0</v>
      </c>
      <c r="BL973">
        <f>'Revenue drivers'!BL106</f>
        <v>0</v>
      </c>
      <c r="BM973">
        <f>'Revenue drivers'!BM106</f>
        <v>0</v>
      </c>
      <c r="BN973">
        <f>'Revenue drivers'!BN106</f>
        <v>0</v>
      </c>
      <c r="BO973">
        <f>'Revenue drivers'!BO106</f>
        <v>0</v>
      </c>
      <c r="BP973">
        <f>'Revenue drivers'!BP106</f>
        <v>0</v>
      </c>
      <c r="BQ973">
        <f>'Revenue drivers'!BQ106</f>
        <v>0</v>
      </c>
      <c r="BR973">
        <f>'Revenue drivers'!BR106</f>
        <v>0</v>
      </c>
      <c r="BS973">
        <f>'Revenue drivers'!BS106</f>
        <v>0</v>
      </c>
      <c r="BT973">
        <f>'Revenue drivers'!BT106</f>
        <v>0</v>
      </c>
      <c r="BU973">
        <f>'Revenue drivers'!BU106</f>
        <v>0</v>
      </c>
      <c r="BV973">
        <f>'Revenue drivers'!BV106</f>
        <v>0</v>
      </c>
      <c r="BW973">
        <f>'Revenue drivers'!BW106</f>
        <v>0</v>
      </c>
      <c r="BX973">
        <f>'Revenue drivers'!BX106</f>
        <v>0</v>
      </c>
      <c r="BY973">
        <f>'Revenue drivers'!BY106</f>
        <v>0</v>
      </c>
    </row>
    <row r="974" spans="9:77" ht="11.25" customHeight="1">
      <c r="I974" t="str">
        <f>'Revenue drivers'!I107</f>
        <v>Other Revenue &amp; Eat24</v>
      </c>
      <c r="J974">
        <f>'Revenue drivers'!J107</f>
        <v>0</v>
      </c>
      <c r="K974">
        <f>'Revenue drivers'!K107</f>
        <v>0</v>
      </c>
      <c r="L974">
        <f>'Revenue drivers'!L107</f>
        <v>0</v>
      </c>
      <c r="M974">
        <f>'Revenue drivers'!M107</f>
        <v>0</v>
      </c>
      <c r="N974">
        <f>'Revenue drivers'!N107</f>
        <v>0</v>
      </c>
      <c r="O974">
        <f>'Revenue drivers'!O107</f>
        <v>0</v>
      </c>
      <c r="P974">
        <f>'Revenue drivers'!P107</f>
        <v>0</v>
      </c>
      <c r="Q974">
        <f>'Revenue drivers'!Q107</f>
        <v>0</v>
      </c>
      <c r="R974">
        <f>'Revenue drivers'!R107</f>
        <v>0</v>
      </c>
      <c r="S974">
        <f>'Revenue drivers'!S107</f>
        <v>0</v>
      </c>
      <c r="T974">
        <f>'Revenue drivers'!T107</f>
        <v>0</v>
      </c>
      <c r="U974">
        <f>'Revenue drivers'!U107</f>
        <v>0</v>
      </c>
      <c r="V974">
        <f>'Revenue drivers'!V107</f>
        <v>0</v>
      </c>
      <c r="W974">
        <f>'Revenue drivers'!W107</f>
        <v>0</v>
      </c>
      <c r="X974">
        <f>'Revenue drivers'!X107</f>
        <v>0</v>
      </c>
      <c r="Y974">
        <f>'Revenue drivers'!Y107</f>
        <v>0</v>
      </c>
      <c r="Z974">
        <f>'Revenue drivers'!Z107</f>
        <v>0</v>
      </c>
      <c r="AA974">
        <f>'Revenue drivers'!AA107</f>
        <v>0</v>
      </c>
      <c r="AB974">
        <f>'Revenue drivers'!AB107</f>
        <v>0</v>
      </c>
      <c r="AC974">
        <f>'Revenue drivers'!AC107</f>
        <v>0</v>
      </c>
      <c r="AD974">
        <f>'Revenue drivers'!AD107</f>
        <v>0</v>
      </c>
      <c r="AE974">
        <f>'Revenue drivers'!AE107</f>
        <v>0</v>
      </c>
      <c r="AF974">
        <f>'Revenue drivers'!AF107</f>
        <v>0</v>
      </c>
      <c r="AG974">
        <f>'Revenue drivers'!AG107</f>
        <v>13.311</v>
      </c>
      <c r="AH974">
        <f>'Revenue drivers'!AH107</f>
        <v>17.728000000000002</v>
      </c>
      <c r="AI974">
        <f>'Revenue drivers'!AI107</f>
        <v>18.649000000000001</v>
      </c>
      <c r="AJ974">
        <f>'Revenue drivers'!AJ107</f>
        <v>20.775000000000002</v>
      </c>
      <c r="AK974">
        <f>'Revenue drivers'!AK107</f>
        <v>20.497</v>
      </c>
      <c r="AL974">
        <f>'Revenue drivers'!AL107</f>
        <v>21.548999999999999</v>
      </c>
      <c r="AM974">
        <f>'Revenue drivers'!AM107</f>
        <v>22.7</v>
      </c>
      <c r="AN974">
        <f>'Revenue drivers'!AN107</f>
        <v>23.700000000000003</v>
      </c>
      <c r="AO974">
        <f>'Revenue drivers'!AO107</f>
        <v>20.3</v>
      </c>
      <c r="AP974" t="e">
        <f>'Revenue drivers'!AP107</f>
        <v>#REF!</v>
      </c>
      <c r="AQ974" t="e">
        <f>'Revenue drivers'!AQ107</f>
        <v>#REF!</v>
      </c>
      <c r="AR974" t="e">
        <f>'Revenue drivers'!AR107</f>
        <v>#REF!</v>
      </c>
      <c r="AS974" t="e">
        <f>'Revenue drivers'!AS107</f>
        <v>#REF!</v>
      </c>
      <c r="AT974" t="e">
        <f>'Revenue drivers'!AT107</f>
        <v>#REF!</v>
      </c>
      <c r="AU974" t="e">
        <f>'Revenue drivers'!AU107</f>
        <v>#REF!</v>
      </c>
      <c r="AV974" t="e">
        <f>'Revenue drivers'!AV107</f>
        <v>#REF!</v>
      </c>
      <c r="AW974" t="e">
        <f>'Revenue drivers'!AW107</f>
        <v>#REF!</v>
      </c>
      <c r="AX974" t="e">
        <f>'Revenue drivers'!AX107</f>
        <v>#REF!</v>
      </c>
      <c r="AY974" t="e">
        <f>'Revenue drivers'!AY107</f>
        <v>#REF!</v>
      </c>
      <c r="AZ974" t="e">
        <f>'Revenue drivers'!AZ107</f>
        <v>#REF!</v>
      </c>
      <c r="BA974" t="e">
        <f>'Revenue drivers'!BA107</f>
        <v>#REF!</v>
      </c>
      <c r="BB974" t="e">
        <f>'Revenue drivers'!BB107</f>
        <v>#REF!</v>
      </c>
      <c r="BC974" t="e">
        <f>'Revenue drivers'!BC107</f>
        <v>#REF!</v>
      </c>
      <c r="BD974" t="e">
        <f>'Revenue drivers'!BD107</f>
        <v>#REF!</v>
      </c>
      <c r="BE974">
        <f>'Revenue drivers'!BE107</f>
        <v>0</v>
      </c>
      <c r="BF974">
        <f>'Revenue drivers'!BF107</f>
        <v>0</v>
      </c>
      <c r="BG974">
        <f>'Revenue drivers'!BG107</f>
        <v>0</v>
      </c>
      <c r="BH974">
        <f>'Revenue drivers'!BH107</f>
        <v>0</v>
      </c>
      <c r="BI974">
        <f>'Revenue drivers'!BI107</f>
        <v>0</v>
      </c>
      <c r="BJ974">
        <f>'Revenue drivers'!BJ107</f>
        <v>0</v>
      </c>
      <c r="BK974">
        <f>'Revenue drivers'!BK107</f>
        <v>0</v>
      </c>
      <c r="BL974">
        <f>'Revenue drivers'!BL107</f>
        <v>0</v>
      </c>
      <c r="BM974">
        <f>'Revenue drivers'!BM107</f>
        <v>0</v>
      </c>
      <c r="BN974">
        <f>'Revenue drivers'!BN107</f>
        <v>23.902000000000001</v>
      </c>
      <c r="BO974">
        <f>'Revenue drivers'!BO107</f>
        <v>70.463000000000008</v>
      </c>
      <c r="BP974">
        <f>'Revenue drivers'!BP107</f>
        <v>88.445999999999998</v>
      </c>
      <c r="BQ974" t="e">
        <f>'Revenue drivers'!BQ107</f>
        <v>#REF!</v>
      </c>
      <c r="BR974" t="e">
        <f>'Revenue drivers'!BR107</f>
        <v>#REF!</v>
      </c>
      <c r="BS974" t="e">
        <f>'Revenue drivers'!BS107</f>
        <v>#REF!</v>
      </c>
      <c r="BT974" t="e">
        <f>'Revenue drivers'!BT107</f>
        <v>#REF!</v>
      </c>
      <c r="BU974">
        <f>'Revenue drivers'!BU107</f>
        <v>0</v>
      </c>
      <c r="BV974">
        <f>'Revenue drivers'!BV107</f>
        <v>0</v>
      </c>
      <c r="BW974">
        <f>'Revenue drivers'!BW107</f>
        <v>0</v>
      </c>
      <c r="BX974">
        <f>'Revenue drivers'!BX107</f>
        <v>0</v>
      </c>
      <c r="BY974">
        <f>'Revenue drivers'!BY107</f>
        <v>0</v>
      </c>
    </row>
    <row r="975" spans="9:77" ht="11.25" customHeight="1">
      <c r="I975" t="str">
        <f>'Revenue drivers'!I109</f>
        <v>Other Services &amp; Other Transaction Revenue</v>
      </c>
      <c r="J975">
        <f>'Revenue drivers'!J109</f>
        <v>0</v>
      </c>
      <c r="K975">
        <f>'Revenue drivers'!K109</f>
        <v>0</v>
      </c>
      <c r="L975">
        <f>'Revenue drivers'!L109</f>
        <v>0</v>
      </c>
      <c r="M975">
        <f>'Revenue drivers'!M109</f>
        <v>0.113</v>
      </c>
      <c r="N975">
        <f>'Revenue drivers'!N109</f>
        <v>0.113</v>
      </c>
      <c r="O975">
        <f>'Revenue drivers'!O109</f>
        <v>0.51900000000000002</v>
      </c>
      <c r="P975">
        <f>'Revenue drivers'!P109</f>
        <v>1.181</v>
      </c>
      <c r="Q975">
        <f>'Revenue drivers'!Q109</f>
        <v>1.6950000000000001</v>
      </c>
      <c r="R975">
        <f>'Revenue drivers'!R109</f>
        <v>1.75</v>
      </c>
      <c r="S975">
        <f>'Revenue drivers'!S109</f>
        <v>1.9570000000000001</v>
      </c>
      <c r="T975">
        <f>'Revenue drivers'!T109</f>
        <v>1.724</v>
      </c>
      <c r="U975">
        <f>'Revenue drivers'!U109</f>
        <v>1.9179999999999999</v>
      </c>
      <c r="V975">
        <f>'Revenue drivers'!V109</f>
        <v>1.6950000000000001</v>
      </c>
      <c r="W975">
        <f>'Revenue drivers'!W109</f>
        <v>2</v>
      </c>
      <c r="X975">
        <f>'Revenue drivers'!X109</f>
        <v>2.2149999999999999</v>
      </c>
      <c r="Y975">
        <f>'Revenue drivers'!Y109</f>
        <v>2.5</v>
      </c>
      <c r="Z975">
        <f>'Revenue drivers'!Z109</f>
        <v>3.17</v>
      </c>
      <c r="AA975">
        <f>'Revenue drivers'!AA109</f>
        <v>3.1040000000000001</v>
      </c>
      <c r="AB975">
        <f>'Revenue drivers'!AB109</f>
        <v>3.355</v>
      </c>
      <c r="AC975">
        <f>'Revenue drivers'!AC109</f>
        <v>3.75</v>
      </c>
      <c r="AD975">
        <f>'Revenue drivers'!AD109</f>
        <v>4.0469999999999997</v>
      </c>
      <c r="AE975">
        <f>'Revenue drivers'!AE109</f>
        <v>8.0050000000000008</v>
      </c>
      <c r="AF975">
        <f>'Revenue drivers'!AF109</f>
        <v>8.1</v>
      </c>
      <c r="AG975" t="e">
        <f>'Revenue drivers'!AG109</f>
        <v>#REF!</v>
      </c>
      <c r="AH975" t="e">
        <f>'Revenue drivers'!AH109</f>
        <v>#REF!</v>
      </c>
      <c r="AI975" t="e">
        <f>'Revenue drivers'!AI109</f>
        <v>#REF!</v>
      </c>
      <c r="AJ975" t="e">
        <f>'Revenue drivers'!AJ109</f>
        <v>#REF!</v>
      </c>
      <c r="AK975" t="e">
        <f>'Revenue drivers'!AK109</f>
        <v>#REF!</v>
      </c>
      <c r="AL975" t="e">
        <f>'Revenue drivers'!AL109</f>
        <v>#REF!</v>
      </c>
      <c r="AM975" t="e">
        <f>'Revenue drivers'!AM109</f>
        <v>#REF!</v>
      </c>
      <c r="AN975" t="e">
        <f>'Revenue drivers'!AN109</f>
        <v>#REF!</v>
      </c>
      <c r="AO975" t="e">
        <f>'Revenue drivers'!AO109</f>
        <v>#REF!</v>
      </c>
      <c r="AP975" t="e">
        <f>'Revenue drivers'!AP109</f>
        <v>#REF!</v>
      </c>
      <c r="AQ975" t="e">
        <f>'Revenue drivers'!AQ109</f>
        <v>#REF!</v>
      </c>
      <c r="AR975" t="e">
        <f>'Revenue drivers'!AR109</f>
        <v>#REF!</v>
      </c>
      <c r="AS975" t="e">
        <f>'Revenue drivers'!AS109</f>
        <v>#REF!</v>
      </c>
      <c r="AT975" t="e">
        <f>'Revenue drivers'!AT109</f>
        <v>#REF!</v>
      </c>
      <c r="AU975" t="e">
        <f>'Revenue drivers'!AU109</f>
        <v>#REF!</v>
      </c>
      <c r="AV975" t="e">
        <f>'Revenue drivers'!AV109</f>
        <v>#REF!</v>
      </c>
      <c r="AW975" t="e">
        <f>'Revenue drivers'!AW109</f>
        <v>#REF!</v>
      </c>
      <c r="AX975" t="e">
        <f>'Revenue drivers'!AX109</f>
        <v>#REF!</v>
      </c>
      <c r="AY975" t="e">
        <f>'Revenue drivers'!AY109</f>
        <v>#REF!</v>
      </c>
      <c r="AZ975" t="e">
        <f>'Revenue drivers'!AZ109</f>
        <v>#REF!</v>
      </c>
      <c r="BA975" t="e">
        <f>'Revenue drivers'!BA109</f>
        <v>#REF!</v>
      </c>
      <c r="BB975" t="e">
        <f>'Revenue drivers'!BB109</f>
        <v>#REF!</v>
      </c>
      <c r="BC975" t="e">
        <f>'Revenue drivers'!BC109</f>
        <v>#REF!</v>
      </c>
      <c r="BD975" t="e">
        <f>'Revenue drivers'!BD109</f>
        <v>#REF!</v>
      </c>
      <c r="BE975">
        <f>'Revenue drivers'!BE109</f>
        <v>0</v>
      </c>
      <c r="BF975">
        <f>'Revenue drivers'!BF109</f>
        <v>0</v>
      </c>
      <c r="BG975">
        <f>'Revenue drivers'!BG109</f>
        <v>0</v>
      </c>
      <c r="BH975">
        <f>'Revenue drivers'!BH109</f>
        <v>0.127</v>
      </c>
      <c r="BI975">
        <f>'Revenue drivers'!BI109</f>
        <v>0.318</v>
      </c>
      <c r="BJ975">
        <f>'Revenue drivers'!BJ109</f>
        <v>1.9260000000000002</v>
      </c>
      <c r="BK975">
        <f>'Revenue drivers'!BK109</f>
        <v>7.1260000000000003</v>
      </c>
      <c r="BL975">
        <f>'Revenue drivers'!BL109</f>
        <v>7.8279999999999994</v>
      </c>
      <c r="BM975">
        <f>'Revenue drivers'!BM109</f>
        <v>12.129000000000001</v>
      </c>
      <c r="BN975">
        <f>'Revenue drivers'!BN109</f>
        <v>23.902000000000001</v>
      </c>
      <c r="BO975" t="e">
        <f>'Revenue drivers'!BO109</f>
        <v>#REF!</v>
      </c>
      <c r="BP975" t="e">
        <f>'Revenue drivers'!BP109</f>
        <v>#REF!</v>
      </c>
      <c r="BQ975" t="e">
        <f>'Revenue drivers'!BQ109</f>
        <v>#REF!</v>
      </c>
      <c r="BR975" t="e">
        <f>'Revenue drivers'!BR109</f>
        <v>#REF!</v>
      </c>
      <c r="BS975" t="e">
        <f>'Revenue drivers'!BS109</f>
        <v>#REF!</v>
      </c>
      <c r="BT975" t="e">
        <f>'Revenue drivers'!BT109</f>
        <v>#REF!</v>
      </c>
      <c r="BU975" t="e">
        <f>'Revenue drivers'!BU109</f>
        <v>#REF!</v>
      </c>
      <c r="BV975" t="e">
        <f>'Revenue drivers'!BV109</f>
        <v>#REF!</v>
      </c>
      <c r="BW975" t="e">
        <f>'Revenue drivers'!BW109</f>
        <v>#REF!</v>
      </c>
      <c r="BX975" t="e">
        <f>'Revenue drivers'!BX109</f>
        <v>#REF!</v>
      </c>
      <c r="BY975" t="e">
        <f>'Revenue drivers'!BY109</f>
        <v>#REF!</v>
      </c>
    </row>
    <row r="976" spans="9:77" ht="11.25" customHeight="1">
      <c r="I976" t="str">
        <f>'Revenue drivers'!I110</f>
        <v>DRIVER: Base case - period-to-period addition ($m) Q/Q</v>
      </c>
      <c r="J976">
        <f>'Revenue drivers'!J110</f>
        <v>0</v>
      </c>
      <c r="K976">
        <f>'Revenue drivers'!K110</f>
        <v>0</v>
      </c>
      <c r="L976">
        <f>'Revenue drivers'!L110</f>
        <v>0</v>
      </c>
      <c r="M976">
        <f>'Revenue drivers'!M110</f>
        <v>0</v>
      </c>
      <c r="N976">
        <f>'Revenue drivers'!N110</f>
        <v>0</v>
      </c>
      <c r="O976">
        <f>'Revenue drivers'!O110</f>
        <v>0.40600000000000003</v>
      </c>
      <c r="P976">
        <f>'Revenue drivers'!P110</f>
        <v>0.66200000000000003</v>
      </c>
      <c r="Q976">
        <f>'Revenue drivers'!Q110</f>
        <v>0.51400000000000001</v>
      </c>
      <c r="R976">
        <f>'Revenue drivers'!R110</f>
        <v>5.4999999999999938E-2</v>
      </c>
      <c r="S976">
        <f>'Revenue drivers'!S110</f>
        <v>0.20700000000000007</v>
      </c>
      <c r="T976">
        <f>'Revenue drivers'!T110</f>
        <v>-0.2330000000000001</v>
      </c>
      <c r="U976">
        <f>'Revenue drivers'!U110</f>
        <v>0.19399999999999995</v>
      </c>
      <c r="V976">
        <f>'Revenue drivers'!V110</f>
        <v>-0.22299999999999986</v>
      </c>
      <c r="W976">
        <f>'Revenue drivers'!W110</f>
        <v>0.30499999999999994</v>
      </c>
      <c r="X976">
        <f>'Revenue drivers'!X110</f>
        <v>0.21499999999999986</v>
      </c>
      <c r="Y976">
        <f>'Revenue drivers'!Y110</f>
        <v>0.28500000000000014</v>
      </c>
      <c r="Z976">
        <f>'Revenue drivers'!Z110</f>
        <v>0.66999999999999993</v>
      </c>
      <c r="AA976">
        <f>'Revenue drivers'!AA110</f>
        <v>-6.5999999999999837E-2</v>
      </c>
      <c r="AB976">
        <f>'Revenue drivers'!AB110</f>
        <v>0.25099999999999989</v>
      </c>
      <c r="AC976">
        <f>'Revenue drivers'!AC110</f>
        <v>0.39500000000000002</v>
      </c>
      <c r="AD976">
        <f>'Revenue drivers'!AD110</f>
        <v>0.29699999999999971</v>
      </c>
      <c r="AE976">
        <f>'Revenue drivers'!AE110</f>
        <v>3.9580000000000011</v>
      </c>
      <c r="AF976">
        <f>'Revenue drivers'!AF110</f>
        <v>9.4999999999998863E-2</v>
      </c>
      <c r="AG976" t="e">
        <f>'Revenue drivers'!AG110</f>
        <v>#REF!</v>
      </c>
      <c r="AH976" t="e">
        <f>'Revenue drivers'!AH110</f>
        <v>#REF!</v>
      </c>
      <c r="AI976" t="e">
        <f>'Revenue drivers'!AI110</f>
        <v>#REF!</v>
      </c>
      <c r="AJ976" t="e">
        <f>'Revenue drivers'!AJ110</f>
        <v>#REF!</v>
      </c>
      <c r="AK976" t="e">
        <f>'Revenue drivers'!AK110</f>
        <v>#REF!</v>
      </c>
      <c r="AL976" t="e">
        <f>'Revenue drivers'!AL110</f>
        <v>#REF!</v>
      </c>
      <c r="AM976" t="e">
        <f>'Revenue drivers'!AM110</f>
        <v>#REF!</v>
      </c>
      <c r="AN976" t="e">
        <f>'Revenue drivers'!AN110</f>
        <v>#REF!</v>
      </c>
      <c r="AO976" t="e">
        <f>'Revenue drivers'!AO110</f>
        <v>#REF!</v>
      </c>
      <c r="AP976">
        <f>'Revenue drivers'!AP110</f>
        <v>1</v>
      </c>
      <c r="AQ976">
        <f>'Revenue drivers'!AQ110</f>
        <v>1</v>
      </c>
      <c r="AR976">
        <f>'Revenue drivers'!AR110</f>
        <v>1</v>
      </c>
      <c r="AS976">
        <f>'Revenue drivers'!AS110</f>
        <v>0.1</v>
      </c>
      <c r="AT976">
        <f>'Revenue drivers'!AT110</f>
        <v>0.1</v>
      </c>
      <c r="AU976">
        <f>'Revenue drivers'!AU110</f>
        <v>0.1</v>
      </c>
      <c r="AV976">
        <f>'Revenue drivers'!AV110</f>
        <v>0.1</v>
      </c>
      <c r="AW976">
        <f>'Revenue drivers'!AW110</f>
        <v>0.1</v>
      </c>
      <c r="AX976">
        <f>'Revenue drivers'!AX110</f>
        <v>0.1</v>
      </c>
      <c r="AY976">
        <f>'Revenue drivers'!AY110</f>
        <v>0.1</v>
      </c>
      <c r="AZ976">
        <f>'Revenue drivers'!AZ110</f>
        <v>0.1</v>
      </c>
      <c r="BA976">
        <f>'Revenue drivers'!BA110</f>
        <v>0.1</v>
      </c>
      <c r="BB976">
        <f>'Revenue drivers'!BB110</f>
        <v>0.1</v>
      </c>
      <c r="BC976">
        <f>'Revenue drivers'!BC110</f>
        <v>0.1</v>
      </c>
      <c r="BD976">
        <f>'Revenue drivers'!BD110</f>
        <v>0.1</v>
      </c>
      <c r="BE976">
        <f>'Revenue drivers'!BE110</f>
        <v>0</v>
      </c>
      <c r="BF976">
        <f>'Revenue drivers'!BF110</f>
        <v>0</v>
      </c>
      <c r="BG976">
        <f>'Revenue drivers'!BG110</f>
        <v>0</v>
      </c>
      <c r="BH976">
        <f>'Revenue drivers'!BH110</f>
        <v>0</v>
      </c>
      <c r="BI976">
        <f>'Revenue drivers'!BI110</f>
        <v>0</v>
      </c>
      <c r="BJ976">
        <f>'Revenue drivers'!BJ110</f>
        <v>0</v>
      </c>
      <c r="BK976">
        <f>'Revenue drivers'!BK110</f>
        <v>0</v>
      </c>
      <c r="BL976">
        <f>'Revenue drivers'!BL110</f>
        <v>0</v>
      </c>
      <c r="BM976">
        <f>'Revenue drivers'!BM110</f>
        <v>0</v>
      </c>
      <c r="BN976">
        <f>'Revenue drivers'!BN110</f>
        <v>0</v>
      </c>
      <c r="BO976">
        <f>'Revenue drivers'!BO110</f>
        <v>0</v>
      </c>
      <c r="BP976">
        <f>'Revenue drivers'!BP110</f>
        <v>0</v>
      </c>
      <c r="BQ976">
        <f>'Revenue drivers'!BQ110</f>
        <v>0</v>
      </c>
      <c r="BR976">
        <f>'Revenue drivers'!BR110</f>
        <v>0</v>
      </c>
      <c r="BS976">
        <f>'Revenue drivers'!BS110</f>
        <v>0</v>
      </c>
      <c r="BT976">
        <f>'Revenue drivers'!BT110</f>
        <v>0</v>
      </c>
      <c r="BU976">
        <f>'Revenue drivers'!BU110</f>
        <v>0</v>
      </c>
      <c r="BV976">
        <f>'Revenue drivers'!BV110</f>
        <v>0</v>
      </c>
      <c r="BW976">
        <f>'Revenue drivers'!BW110</f>
        <v>0</v>
      </c>
      <c r="BX976">
        <f>'Revenue drivers'!BX110</f>
        <v>0</v>
      </c>
      <c r="BY976">
        <f>'Revenue drivers'!BY110</f>
        <v>0</v>
      </c>
    </row>
    <row r="977" spans="9:77" ht="11.25" customHeight="1">
      <c r="I977" t="str">
        <f>'Revenue drivers'!I111</f>
        <v>Y/Y Abs Growth</v>
      </c>
      <c r="J977">
        <f>'Revenue drivers'!J111</f>
        <v>0</v>
      </c>
      <c r="K977">
        <f>'Revenue drivers'!K111</f>
        <v>0</v>
      </c>
      <c r="L977">
        <f>'Revenue drivers'!L111</f>
        <v>0</v>
      </c>
      <c r="M977">
        <f>'Revenue drivers'!M111</f>
        <v>0</v>
      </c>
      <c r="N977">
        <f>'Revenue drivers'!N111</f>
        <v>0</v>
      </c>
      <c r="O977">
        <f>'Revenue drivers'!O111</f>
        <v>0</v>
      </c>
      <c r="P977">
        <f>'Revenue drivers'!P111</f>
        <v>0</v>
      </c>
      <c r="Q977">
        <f>'Revenue drivers'!Q111</f>
        <v>1.5820000000000001</v>
      </c>
      <c r="R977">
        <f>'Revenue drivers'!R111</f>
        <v>1.637</v>
      </c>
      <c r="S977">
        <f>'Revenue drivers'!S111</f>
        <v>1.4380000000000002</v>
      </c>
      <c r="T977">
        <f>'Revenue drivers'!T111</f>
        <v>0.54299999999999993</v>
      </c>
      <c r="U977">
        <f>'Revenue drivers'!U111</f>
        <v>0.22299999999999986</v>
      </c>
      <c r="V977">
        <f>'Revenue drivers'!V111</f>
        <v>-5.4999999999999938E-2</v>
      </c>
      <c r="W977">
        <f>'Revenue drivers'!W111</f>
        <v>4.2999999999999927E-2</v>
      </c>
      <c r="X977">
        <f>'Revenue drivers'!X111</f>
        <v>0.49099999999999988</v>
      </c>
      <c r="Y977">
        <f>'Revenue drivers'!Y111</f>
        <v>0.58200000000000007</v>
      </c>
      <c r="Z977">
        <f>'Revenue drivers'!Z111</f>
        <v>1.4749999999999999</v>
      </c>
      <c r="AA977">
        <f>'Revenue drivers'!AA111</f>
        <v>1.1040000000000001</v>
      </c>
      <c r="AB977">
        <f>'Revenue drivers'!AB111</f>
        <v>1.1400000000000001</v>
      </c>
      <c r="AC977">
        <f>'Revenue drivers'!AC111</f>
        <v>1.25</v>
      </c>
      <c r="AD977">
        <f>'Revenue drivers'!AD111</f>
        <v>0.87699999999999978</v>
      </c>
      <c r="AE977">
        <f>'Revenue drivers'!AE111</f>
        <v>4.9010000000000007</v>
      </c>
      <c r="AF977">
        <f>'Revenue drivers'!AF111</f>
        <v>4.7449999999999992</v>
      </c>
      <c r="AG977" t="e">
        <f>'Revenue drivers'!AG111</f>
        <v>#REF!</v>
      </c>
      <c r="AH977" t="e">
        <f>'Revenue drivers'!AH111</f>
        <v>#REF!</v>
      </c>
      <c r="AI977" t="e">
        <f>'Revenue drivers'!AI111</f>
        <v>#REF!</v>
      </c>
      <c r="AJ977" t="e">
        <f>'Revenue drivers'!AJ111</f>
        <v>#REF!</v>
      </c>
      <c r="AK977" t="e">
        <f>'Revenue drivers'!AK111</f>
        <v>#REF!</v>
      </c>
      <c r="AL977" t="e">
        <f>'Revenue drivers'!AL111</f>
        <v>#REF!</v>
      </c>
      <c r="AM977" t="e">
        <f>'Revenue drivers'!AM111</f>
        <v>#REF!</v>
      </c>
      <c r="AN977" t="e">
        <f>'Revenue drivers'!AN111</f>
        <v>#REF!</v>
      </c>
      <c r="AO977" t="e">
        <f>'Revenue drivers'!AO111</f>
        <v>#REF!</v>
      </c>
      <c r="AP977" t="e">
        <f>'Revenue drivers'!AP111</f>
        <v>#REF!</v>
      </c>
      <c r="AQ977" t="e">
        <f>'Revenue drivers'!AQ111</f>
        <v>#REF!</v>
      </c>
      <c r="AR977" t="e">
        <f>'Revenue drivers'!AR111</f>
        <v>#REF!</v>
      </c>
      <c r="AS977" t="e">
        <f>'Revenue drivers'!AS111</f>
        <v>#REF!</v>
      </c>
      <c r="AT977" t="e">
        <f>'Revenue drivers'!AT111</f>
        <v>#REF!</v>
      </c>
      <c r="AU977" t="e">
        <f>'Revenue drivers'!AU111</f>
        <v>#REF!</v>
      </c>
      <c r="AV977" t="e">
        <f>'Revenue drivers'!AV111</f>
        <v>#REF!</v>
      </c>
      <c r="AW977" t="e">
        <f>'Revenue drivers'!AW111</f>
        <v>#REF!</v>
      </c>
      <c r="AX977" t="e">
        <f>'Revenue drivers'!AX111</f>
        <v>#REF!</v>
      </c>
      <c r="AY977" t="e">
        <f>'Revenue drivers'!AY111</f>
        <v>#REF!</v>
      </c>
      <c r="AZ977" t="e">
        <f>'Revenue drivers'!AZ111</f>
        <v>#REF!</v>
      </c>
      <c r="BA977" t="e">
        <f>'Revenue drivers'!BA111</f>
        <v>#REF!</v>
      </c>
      <c r="BB977" t="e">
        <f>'Revenue drivers'!BB111</f>
        <v>#REF!</v>
      </c>
      <c r="BC977" t="e">
        <f>'Revenue drivers'!BC111</f>
        <v>#REF!</v>
      </c>
      <c r="BD977" t="e">
        <f>'Revenue drivers'!BD111</f>
        <v>#REF!</v>
      </c>
      <c r="BE977">
        <f>'Revenue drivers'!BE111</f>
        <v>0</v>
      </c>
      <c r="BF977">
        <f>'Revenue drivers'!BF111</f>
        <v>0</v>
      </c>
      <c r="BG977">
        <f>'Revenue drivers'!BG111</f>
        <v>0</v>
      </c>
      <c r="BH977">
        <f>'Revenue drivers'!BH111</f>
        <v>0.127</v>
      </c>
      <c r="BI977">
        <f>'Revenue drivers'!BI111</f>
        <v>0.191</v>
      </c>
      <c r="BJ977">
        <f>'Revenue drivers'!BJ111</f>
        <v>1.6080000000000001</v>
      </c>
      <c r="BK977">
        <f>'Revenue drivers'!BK111</f>
        <v>5.2</v>
      </c>
      <c r="BL977">
        <f>'Revenue drivers'!BL111</f>
        <v>0.70199999999999907</v>
      </c>
      <c r="BM977">
        <f>'Revenue drivers'!BM111</f>
        <v>4.3010000000000019</v>
      </c>
      <c r="BN977">
        <f>'Revenue drivers'!BN111</f>
        <v>11.773</v>
      </c>
      <c r="BO977" t="e">
        <f>'Revenue drivers'!BO111</f>
        <v>#REF!</v>
      </c>
      <c r="BP977" t="e">
        <f>'Revenue drivers'!BP111</f>
        <v>#REF!</v>
      </c>
      <c r="BQ977" t="e">
        <f>'Revenue drivers'!BQ111</f>
        <v>#REF!</v>
      </c>
      <c r="BR977" t="e">
        <f>'Revenue drivers'!BR111</f>
        <v>#REF!</v>
      </c>
      <c r="BS977" t="e">
        <f>'Revenue drivers'!BS111</f>
        <v>#REF!</v>
      </c>
      <c r="BT977" t="e">
        <f>'Revenue drivers'!BT111</f>
        <v>#REF!</v>
      </c>
      <c r="BU977">
        <f>'Revenue drivers'!BU111</f>
        <v>2</v>
      </c>
      <c r="BV977">
        <f>'Revenue drivers'!BV111</f>
        <v>2</v>
      </c>
      <c r="BW977">
        <f>'Revenue drivers'!BW111</f>
        <v>2</v>
      </c>
      <c r="BX977">
        <f>'Revenue drivers'!BX111</f>
        <v>2</v>
      </c>
      <c r="BY977">
        <f>'Revenue drivers'!BY111</f>
        <v>2</v>
      </c>
    </row>
    <row r="978" spans="9:77" ht="11.25" customHeight="1">
      <c r="I978" t="str">
        <f>'Revenue drivers'!I112</f>
        <v>% change Y/Y</v>
      </c>
      <c r="J978">
        <f>'Revenue drivers'!J112</f>
        <v>0</v>
      </c>
      <c r="K978">
        <f>'Revenue drivers'!K112</f>
        <v>0</v>
      </c>
      <c r="L978">
        <f>'Revenue drivers'!L112</f>
        <v>0</v>
      </c>
      <c r="M978" t="str">
        <f>'Revenue drivers'!M112</f>
        <v>NA</v>
      </c>
      <c r="N978" t="str">
        <f>'Revenue drivers'!N112</f>
        <v>NA</v>
      </c>
      <c r="O978" t="str">
        <f>'Revenue drivers'!O112</f>
        <v>NA</v>
      </c>
      <c r="P978" t="str">
        <f>'Revenue drivers'!P112</f>
        <v>NA</v>
      </c>
      <c r="Q978">
        <f>'Revenue drivers'!Q112</f>
        <v>14</v>
      </c>
      <c r="R978">
        <f>'Revenue drivers'!R112</f>
        <v>14.486725663716813</v>
      </c>
      <c r="S978">
        <f>'Revenue drivers'!S112</f>
        <v>2.7707129094412331</v>
      </c>
      <c r="T978">
        <f>'Revenue drivers'!T112</f>
        <v>0.45977984758679069</v>
      </c>
      <c r="U978">
        <f>'Revenue drivers'!U112</f>
        <v>0.13156342182890857</v>
      </c>
      <c r="V978">
        <f>'Revenue drivers'!V112</f>
        <v>-3.1428571428571361E-2</v>
      </c>
      <c r="W978">
        <f>'Revenue drivers'!W112</f>
        <v>2.197240674501777E-2</v>
      </c>
      <c r="X978">
        <f>'Revenue drivers'!X112</f>
        <v>0.28480278422273786</v>
      </c>
      <c r="Y978">
        <f>'Revenue drivers'!Y112</f>
        <v>0.30344108446298224</v>
      </c>
      <c r="Z978">
        <f>'Revenue drivers'!Z112</f>
        <v>0.87020648967551617</v>
      </c>
      <c r="AA978">
        <f>'Revenue drivers'!AA112</f>
        <v>0.55200000000000005</v>
      </c>
      <c r="AB978">
        <f>'Revenue drivers'!AB112</f>
        <v>0.51467268623024842</v>
      </c>
      <c r="AC978">
        <f>'Revenue drivers'!AC112</f>
        <v>0.5</v>
      </c>
      <c r="AD978">
        <f>'Revenue drivers'!AD112</f>
        <v>0.27665615141955824</v>
      </c>
      <c r="AE978">
        <f>'Revenue drivers'!AE112</f>
        <v>1.5789304123711343</v>
      </c>
      <c r="AF978">
        <f>'Revenue drivers'!AF112</f>
        <v>1.4143070044709387</v>
      </c>
      <c r="AG978" t="str">
        <f>'Revenue drivers'!AG112</f>
        <v>NA</v>
      </c>
      <c r="AH978" t="str">
        <f>'Revenue drivers'!AH112</f>
        <v>NA</v>
      </c>
      <c r="AI978" t="str">
        <f>'Revenue drivers'!AI112</f>
        <v>NA</v>
      </c>
      <c r="AJ978" t="str">
        <f>'Revenue drivers'!AJ112</f>
        <v>NA</v>
      </c>
      <c r="AK978" t="str">
        <f>'Revenue drivers'!AK112</f>
        <v>NA</v>
      </c>
      <c r="AL978" t="str">
        <f>'Revenue drivers'!AL112</f>
        <v>NA</v>
      </c>
      <c r="AM978" t="str">
        <f>'Revenue drivers'!AM112</f>
        <v>NA</v>
      </c>
      <c r="AN978" t="str">
        <f>'Revenue drivers'!AN112</f>
        <v>NA</v>
      </c>
      <c r="AO978" t="str">
        <f>'Revenue drivers'!AO112</f>
        <v>NA</v>
      </c>
      <c r="AP978" t="str">
        <f>'Revenue drivers'!AP112</f>
        <v>NA</v>
      </c>
      <c r="AQ978" t="str">
        <f>'Revenue drivers'!AQ112</f>
        <v>NA</v>
      </c>
      <c r="AR978" t="str">
        <f>'Revenue drivers'!AR112</f>
        <v>NA</v>
      </c>
      <c r="AS978" t="str">
        <f>'Revenue drivers'!AS112</f>
        <v>NA</v>
      </c>
      <c r="AT978" t="str">
        <f>'Revenue drivers'!AT112</f>
        <v>NA</v>
      </c>
      <c r="AU978" t="str">
        <f>'Revenue drivers'!AU112</f>
        <v>NA</v>
      </c>
      <c r="AV978" t="str">
        <f>'Revenue drivers'!AV112</f>
        <v>NA</v>
      </c>
      <c r="AW978" t="str">
        <f>'Revenue drivers'!AW112</f>
        <v>NA</v>
      </c>
      <c r="AX978" t="str">
        <f>'Revenue drivers'!AX112</f>
        <v>NA</v>
      </c>
      <c r="AY978" t="str">
        <f>'Revenue drivers'!AY112</f>
        <v>NA</v>
      </c>
      <c r="AZ978" t="str">
        <f>'Revenue drivers'!AZ112</f>
        <v>NA</v>
      </c>
      <c r="BA978" t="str">
        <f>'Revenue drivers'!BA112</f>
        <v>NA</v>
      </c>
      <c r="BB978" t="str">
        <f>'Revenue drivers'!BB112</f>
        <v>NA</v>
      </c>
      <c r="BC978" t="str">
        <f>'Revenue drivers'!BC112</f>
        <v>NA</v>
      </c>
      <c r="BD978" t="str">
        <f>'Revenue drivers'!BD112</f>
        <v>NA</v>
      </c>
      <c r="BE978">
        <f>'Revenue drivers'!BE112</f>
        <v>0</v>
      </c>
      <c r="BF978">
        <f>'Revenue drivers'!BF112</f>
        <v>0</v>
      </c>
      <c r="BG978">
        <f>'Revenue drivers'!BG112</f>
        <v>0</v>
      </c>
      <c r="BH978" t="str">
        <f>'Revenue drivers'!BH112</f>
        <v>NA</v>
      </c>
      <c r="BI978">
        <f>'Revenue drivers'!BI112</f>
        <v>1.5039370078740157</v>
      </c>
      <c r="BJ978">
        <f>'Revenue drivers'!BJ112</f>
        <v>5.0566037735849063</v>
      </c>
      <c r="BK978">
        <f>'Revenue drivers'!BK112</f>
        <v>2.6998961578400831</v>
      </c>
      <c r="BL978">
        <f>'Revenue drivers'!BL112</f>
        <v>9.8512489475161225E-2</v>
      </c>
      <c r="BM978">
        <f>'Revenue drivers'!BM112</f>
        <v>0.54943791517629048</v>
      </c>
      <c r="BN978">
        <f>'Revenue drivers'!BN112</f>
        <v>0.97064885810866497</v>
      </c>
      <c r="BO978" t="str">
        <f>'Revenue drivers'!BO112</f>
        <v>NA</v>
      </c>
      <c r="BP978" t="str">
        <f>'Revenue drivers'!BP112</f>
        <v>NA</v>
      </c>
      <c r="BQ978" t="str">
        <f>'Revenue drivers'!BQ112</f>
        <v>NA</v>
      </c>
      <c r="BR978" t="str">
        <f>'Revenue drivers'!BR112</f>
        <v>NA</v>
      </c>
      <c r="BS978" t="str">
        <f>'Revenue drivers'!BS112</f>
        <v>NA</v>
      </c>
      <c r="BT978" t="str">
        <f>'Revenue drivers'!BT112</f>
        <v>NA</v>
      </c>
      <c r="BU978" t="str">
        <f>'Revenue drivers'!BU112</f>
        <v>NA</v>
      </c>
      <c r="BV978" t="str">
        <f>'Revenue drivers'!BV112</f>
        <v>NA</v>
      </c>
      <c r="BW978" t="str">
        <f>'Revenue drivers'!BW112</f>
        <v>NA</v>
      </c>
      <c r="BX978" t="str">
        <f>'Revenue drivers'!BX112</f>
        <v>NA</v>
      </c>
      <c r="BY978" t="str">
        <f>'Revenue drivers'!BY112</f>
        <v>NA</v>
      </c>
    </row>
    <row r="980" spans="9:77" ht="11.25" customHeight="1">
      <c r="I980" t="str">
        <f>'Revenue drivers'!I113</f>
        <v>% change Q/Q</v>
      </c>
      <c r="J980">
        <f>'Revenue drivers'!J113</f>
        <v>0</v>
      </c>
      <c r="K980">
        <f>'Revenue drivers'!K113</f>
        <v>0</v>
      </c>
      <c r="L980">
        <f>'Revenue drivers'!L113</f>
        <v>0</v>
      </c>
      <c r="M980" t="str">
        <f>'Revenue drivers'!M113</f>
        <v>NA</v>
      </c>
      <c r="N980">
        <f>'Revenue drivers'!N113</f>
        <v>0</v>
      </c>
      <c r="O980">
        <f>'Revenue drivers'!O113</f>
        <v>3.5929203539823007</v>
      </c>
      <c r="P980">
        <f>'Revenue drivers'!P113</f>
        <v>1.2755298651252409</v>
      </c>
      <c r="Q980">
        <f>'Revenue drivers'!Q113</f>
        <v>0.43522438611346326</v>
      </c>
      <c r="R980">
        <f>'Revenue drivers'!R113</f>
        <v>3.2448377581120846E-2</v>
      </c>
      <c r="S980">
        <f>'Revenue drivers'!S113</f>
        <v>0.11828571428571433</v>
      </c>
      <c r="T980">
        <f>'Revenue drivers'!T113</f>
        <v>-0.11905978538579465</v>
      </c>
      <c r="U980">
        <f>'Revenue drivers'!U113</f>
        <v>0.11252900232018548</v>
      </c>
      <c r="V980">
        <f>'Revenue drivers'!V113</f>
        <v>-0.11626694473409793</v>
      </c>
      <c r="W980">
        <f>'Revenue drivers'!W113</f>
        <v>0.17994100294985249</v>
      </c>
      <c r="X980">
        <f>'Revenue drivers'!X113</f>
        <v>0.10749999999999993</v>
      </c>
      <c r="Y980">
        <f>'Revenue drivers'!Y113</f>
        <v>0.12866817155756216</v>
      </c>
      <c r="Z980">
        <f>'Revenue drivers'!Z113</f>
        <v>0.26800000000000002</v>
      </c>
      <c r="AA980">
        <f>'Revenue drivers'!AA113</f>
        <v>-2.0820189274447953E-2</v>
      </c>
      <c r="AB980">
        <f>'Revenue drivers'!AB113</f>
        <v>8.0863402061855716E-2</v>
      </c>
      <c r="AC980">
        <f>'Revenue drivers'!AC113</f>
        <v>0.11773472429210141</v>
      </c>
      <c r="AD980">
        <f>'Revenue drivers'!AD113</f>
        <v>7.9199999999999937E-2</v>
      </c>
      <c r="AE980">
        <f>'Revenue drivers'!AE113</f>
        <v>0.97800840128490263</v>
      </c>
      <c r="AF980">
        <f>'Revenue drivers'!AF113</f>
        <v>1.1867582760774376E-2</v>
      </c>
      <c r="AG980" t="str">
        <f>'Revenue drivers'!AG113</f>
        <v>NA</v>
      </c>
      <c r="AH980" t="str">
        <f>'Revenue drivers'!AH113</f>
        <v>NA</v>
      </c>
      <c r="AI980" t="str">
        <f>'Revenue drivers'!AI113</f>
        <v>NA</v>
      </c>
      <c r="AJ980" t="str">
        <f>'Revenue drivers'!AJ113</f>
        <v>NA</v>
      </c>
      <c r="AK980" t="str">
        <f>'Revenue drivers'!AK113</f>
        <v>NA</v>
      </c>
      <c r="AL980" t="str">
        <f>'Revenue drivers'!AL113</f>
        <v>NA</v>
      </c>
      <c r="AM980" t="str">
        <f>'Revenue drivers'!AM113</f>
        <v>NA</v>
      </c>
      <c r="AN980" t="str">
        <f>'Revenue drivers'!AN113</f>
        <v>NA</v>
      </c>
      <c r="AO980" t="str">
        <f>'Revenue drivers'!AO113</f>
        <v>NA</v>
      </c>
      <c r="AP980" t="str">
        <f>'Revenue drivers'!AP113</f>
        <v>NA</v>
      </c>
      <c r="AQ980" t="str">
        <f>'Revenue drivers'!AQ113</f>
        <v>NA</v>
      </c>
      <c r="AR980" t="str">
        <f>'Revenue drivers'!AR113</f>
        <v>NA</v>
      </c>
      <c r="AS980" t="str">
        <f>'Revenue drivers'!AS113</f>
        <v>NA</v>
      </c>
      <c r="AT980" t="str">
        <f>'Revenue drivers'!AT113</f>
        <v>NA</v>
      </c>
      <c r="AU980" t="str">
        <f>'Revenue drivers'!AU113</f>
        <v>NA</v>
      </c>
      <c r="AV980" t="str">
        <f>'Revenue drivers'!AV113</f>
        <v>NA</v>
      </c>
      <c r="AW980" t="str">
        <f>'Revenue drivers'!AW113</f>
        <v>NA</v>
      </c>
      <c r="AX980" t="str">
        <f>'Revenue drivers'!AX113</f>
        <v>NA</v>
      </c>
      <c r="AY980" t="str">
        <f>'Revenue drivers'!AY113</f>
        <v>NA</v>
      </c>
      <c r="AZ980" t="str">
        <f>'Revenue drivers'!AZ113</f>
        <v>NA</v>
      </c>
      <c r="BA980" t="str">
        <f>'Revenue drivers'!BA113</f>
        <v>NA</v>
      </c>
      <c r="BB980" t="str">
        <f>'Revenue drivers'!BB113</f>
        <v>NA</v>
      </c>
      <c r="BC980" t="str">
        <f>'Revenue drivers'!BC113</f>
        <v>NA</v>
      </c>
      <c r="BD980" t="str">
        <f>'Revenue drivers'!BD113</f>
        <v>NA</v>
      </c>
      <c r="BE980">
        <f>'Revenue drivers'!BE113</f>
        <v>0</v>
      </c>
      <c r="BF980">
        <f>'Revenue drivers'!BF113</f>
        <v>0</v>
      </c>
      <c r="BG980">
        <f>'Revenue drivers'!BG113</f>
        <v>0</v>
      </c>
      <c r="BH980">
        <f>'Revenue drivers'!BH113</f>
        <v>0</v>
      </c>
      <c r="BI980">
        <f>'Revenue drivers'!BI113</f>
        <v>0</v>
      </c>
      <c r="BJ980">
        <f>'Revenue drivers'!BJ113</f>
        <v>0</v>
      </c>
      <c r="BK980">
        <f>'Revenue drivers'!BK113</f>
        <v>0</v>
      </c>
      <c r="BL980">
        <f>'Revenue drivers'!BL113</f>
        <v>0</v>
      </c>
      <c r="BM980">
        <f>'Revenue drivers'!BM113</f>
        <v>0</v>
      </c>
      <c r="BN980">
        <f>'Revenue drivers'!BN113</f>
        <v>0</v>
      </c>
      <c r="BO980">
        <f>'Revenue drivers'!BO113</f>
        <v>0</v>
      </c>
      <c r="BP980">
        <f>'Revenue drivers'!BP113</f>
        <v>0</v>
      </c>
      <c r="BQ980">
        <f>'Revenue drivers'!BQ113</f>
        <v>0</v>
      </c>
      <c r="BR980">
        <f>'Revenue drivers'!BR113</f>
        <v>0</v>
      </c>
      <c r="BS980">
        <f>'Revenue drivers'!BS113</f>
        <v>0</v>
      </c>
      <c r="BT980">
        <f>'Revenue drivers'!BT113</f>
        <v>0</v>
      </c>
      <c r="BU980">
        <f>'Revenue drivers'!BU113</f>
        <v>0</v>
      </c>
      <c r="BV980">
        <f>'Revenue drivers'!BV113</f>
        <v>0</v>
      </c>
      <c r="BW980">
        <f>'Revenue drivers'!BW113</f>
        <v>0</v>
      </c>
      <c r="BX980">
        <f>'Revenue drivers'!BX113</f>
        <v>0</v>
      </c>
      <c r="BY980">
        <f>'Revenue drivers'!BY113</f>
        <v>0</v>
      </c>
    </row>
    <row r="981" spans="9:77" ht="11.25" customHeight="1">
      <c r="I981" t="str">
        <f>'Revenue drivers'!I114</f>
        <v>% of total revenue</v>
      </c>
      <c r="J981">
        <f>'Revenue drivers'!J114</f>
        <v>0</v>
      </c>
      <c r="K981">
        <f>'Revenue drivers'!K114</f>
        <v>0</v>
      </c>
      <c r="L981">
        <f>'Revenue drivers'!L114</f>
        <v>0</v>
      </c>
      <c r="M981">
        <f>'Revenue drivers'!M114</f>
        <v>1.2368651488616465E-2</v>
      </c>
      <c r="N981">
        <f>'Revenue drivers'!N114</f>
        <v>1.0534166122867531E-2</v>
      </c>
      <c r="O981">
        <f>'Revenue drivers'!O114</f>
        <v>4.121010004764173E-2</v>
      </c>
      <c r="P981">
        <f>'Revenue drivers'!P114</f>
        <v>7.7320937540919205E-2</v>
      </c>
      <c r="Q981">
        <f>'Revenue drivers'!Q114</f>
        <v>0.10272727272727274</v>
      </c>
      <c r="R981">
        <f>'Revenue drivers'!R114</f>
        <v>8.9386045561344371E-2</v>
      </c>
      <c r="S981">
        <f>'Revenue drivers'!S114</f>
        <v>8.7749977580486055E-2</v>
      </c>
      <c r="T981">
        <f>'Revenue drivers'!T114</f>
        <v>6.9223047580807065E-2</v>
      </c>
      <c r="U981">
        <f>'Revenue drivers'!U114</f>
        <v>7.003834215811576E-2</v>
      </c>
      <c r="V981">
        <f>'Revenue drivers'!V114</f>
        <v>5.1909472330260623E-2</v>
      </c>
      <c r="W981">
        <f>'Revenue drivers'!W114</f>
        <v>5.498886475488713E-2</v>
      </c>
      <c r="X981">
        <f>'Revenue drivers'!X114</f>
        <v>5.3818305513035451E-2</v>
      </c>
      <c r="Y981">
        <f>'Revenue drivers'!Y114</f>
        <v>5.4191142999588146E-2</v>
      </c>
      <c r="Z981">
        <f>'Revenue drivers'!Z114</f>
        <v>5.7612271232030235E-2</v>
      </c>
      <c r="AA981">
        <f>'Revenue drivers'!AA114</f>
        <v>5.0734705218940523E-2</v>
      </c>
      <c r="AB981">
        <f>'Revenue drivers'!AB114</f>
        <v>4.7486942859973673E-2</v>
      </c>
      <c r="AC981">
        <f>'Revenue drivers'!AC114</f>
        <v>4.9079272841493583E-2</v>
      </c>
      <c r="AD981">
        <f>'Revenue drivers'!AD114</f>
        <v>4.5580997218061199E-2</v>
      </c>
      <c r="AE981">
        <f>'Revenue drivers'!AE114</f>
        <v>7.8131862769020552E-2</v>
      </c>
      <c r="AF981">
        <f>'Revenue drivers'!AF114</f>
        <v>7.3712086052035275E-2</v>
      </c>
      <c r="AG981" t="e">
        <f>'Revenue drivers'!AG114</f>
        <v>#REF!</v>
      </c>
      <c r="AH981" t="e">
        <f>'Revenue drivers'!AH114</f>
        <v>#REF!</v>
      </c>
      <c r="AI981" t="e">
        <f>'Revenue drivers'!AI114</f>
        <v>#REF!</v>
      </c>
      <c r="AJ981" t="e">
        <f>'Revenue drivers'!AJ114</f>
        <v>#REF!</v>
      </c>
      <c r="AK981" t="e">
        <f>'Revenue drivers'!AK114</f>
        <v>#REF!</v>
      </c>
      <c r="AL981" t="e">
        <f>'Revenue drivers'!AL114</f>
        <v>#REF!</v>
      </c>
      <c r="AM981" t="e">
        <f>'Revenue drivers'!AM114</f>
        <v>#REF!</v>
      </c>
      <c r="AN981" t="e">
        <f>'Revenue drivers'!AN114</f>
        <v>#REF!</v>
      </c>
      <c r="AO981" t="e">
        <f>'Revenue drivers'!AO114</f>
        <v>#REF!</v>
      </c>
      <c r="AP981" t="e">
        <f>'Revenue drivers'!AP114</f>
        <v>#REF!</v>
      </c>
      <c r="AQ981" t="e">
        <f>'Revenue drivers'!AQ114</f>
        <v>#REF!</v>
      </c>
      <c r="AR981" t="e">
        <f>'Revenue drivers'!AR114</f>
        <v>#REF!</v>
      </c>
      <c r="AS981" t="e">
        <f>'Revenue drivers'!AS114</f>
        <v>#REF!</v>
      </c>
      <c r="AT981" t="e">
        <f>'Revenue drivers'!AT114</f>
        <v>#REF!</v>
      </c>
      <c r="AU981" t="e">
        <f>'Revenue drivers'!AU114</f>
        <v>#REF!</v>
      </c>
      <c r="AV981" t="e">
        <f>'Revenue drivers'!AV114</f>
        <v>#REF!</v>
      </c>
      <c r="AW981" t="e">
        <f>'Revenue drivers'!AW114</f>
        <v>#REF!</v>
      </c>
      <c r="AX981" t="e">
        <f>'Revenue drivers'!AX114</f>
        <v>#REF!</v>
      </c>
      <c r="AY981" t="e">
        <f>'Revenue drivers'!AY114</f>
        <v>#REF!</v>
      </c>
      <c r="AZ981" t="e">
        <f>'Revenue drivers'!AZ114</f>
        <v>#REF!</v>
      </c>
      <c r="BA981" t="e">
        <f>'Revenue drivers'!BA114</f>
        <v>#REF!</v>
      </c>
      <c r="BB981" t="e">
        <f>'Revenue drivers'!BB114</f>
        <v>#REF!</v>
      </c>
      <c r="BC981" t="e">
        <f>'Revenue drivers'!BC114</f>
        <v>#REF!</v>
      </c>
      <c r="BD981" t="e">
        <f>'Revenue drivers'!BD114</f>
        <v>#REF!</v>
      </c>
      <c r="BE981">
        <f>'Revenue drivers'!BE114</f>
        <v>0</v>
      </c>
      <c r="BF981">
        <f>'Revenue drivers'!BF114</f>
        <v>0</v>
      </c>
      <c r="BG981">
        <f>'Revenue drivers'!BG114</f>
        <v>0</v>
      </c>
      <c r="BH981">
        <f>'Revenue drivers'!BH114</f>
        <v>1.0462146799571628E-2</v>
      </c>
      <c r="BI981">
        <f>'Revenue drivers'!BI114</f>
        <v>1.2321760694358337E-2</v>
      </c>
      <c r="BJ981">
        <f>'Revenue drivers'!BJ114</f>
        <v>4.0351134482830869E-2</v>
      </c>
      <c r="BK981">
        <f>'Revenue drivers'!BK114</f>
        <v>8.5561625742930913E-2</v>
      </c>
      <c r="BL981">
        <f>'Revenue drivers'!BL114</f>
        <v>5.6903595365133834E-2</v>
      </c>
      <c r="BM981">
        <f>'Revenue drivers'!BM114</f>
        <v>5.2058475114598185E-2</v>
      </c>
      <c r="BN981">
        <f>'Revenue drivers'!BN114</f>
        <v>6.331051873198848E-2</v>
      </c>
      <c r="BO981" t="e">
        <f>'Revenue drivers'!BO114</f>
        <v>#REF!</v>
      </c>
      <c r="BP981" t="e">
        <f>'Revenue drivers'!BP114</f>
        <v>#REF!</v>
      </c>
      <c r="BQ981" t="e">
        <f>'Revenue drivers'!BQ114</f>
        <v>#REF!</v>
      </c>
      <c r="BR981" t="e">
        <f>'Revenue drivers'!BR114</f>
        <v>#REF!</v>
      </c>
      <c r="BS981" t="e">
        <f>'Revenue drivers'!BS114</f>
        <v>#REF!</v>
      </c>
      <c r="BT981" t="e">
        <f>'Revenue drivers'!BT114</f>
        <v>#REF!</v>
      </c>
      <c r="BU981" t="e">
        <f>'Revenue drivers'!BU114</f>
        <v>#REF!</v>
      </c>
      <c r="BV981" t="e">
        <f>'Revenue drivers'!BV114</f>
        <v>#REF!</v>
      </c>
      <c r="BW981" t="e">
        <f>'Revenue drivers'!BW114</f>
        <v>#REF!</v>
      </c>
      <c r="BX981" t="e">
        <f>'Revenue drivers'!BX114</f>
        <v>#REF!</v>
      </c>
      <c r="BY981" t="e">
        <f>'Revenue drivers'!BY114</f>
        <v>#REF!</v>
      </c>
    </row>
    <row r="983" spans="9:77" ht="11.25" customHeight="1">
      <c r="I983" t="str">
        <f>'Revenue drivers'!I144</f>
        <v>Eat 24 Revenue (MSe)</v>
      </c>
      <c r="J983">
        <f>'Revenue drivers'!J144</f>
        <v>0</v>
      </c>
      <c r="K983">
        <f>'Revenue drivers'!K144</f>
        <v>0</v>
      </c>
      <c r="L983">
        <f>'Revenue drivers'!L144</f>
        <v>0</v>
      </c>
      <c r="M983">
        <f>'Revenue drivers'!M144</f>
        <v>0</v>
      </c>
      <c r="N983">
        <f>'Revenue drivers'!N144</f>
        <v>0</v>
      </c>
      <c r="O983">
        <f>'Revenue drivers'!O144</f>
        <v>0</v>
      </c>
      <c r="P983">
        <f>'Revenue drivers'!P144</f>
        <v>0</v>
      </c>
      <c r="Q983">
        <f>'Revenue drivers'!Q144</f>
        <v>0</v>
      </c>
      <c r="R983">
        <f>'Revenue drivers'!R144</f>
        <v>0</v>
      </c>
      <c r="S983">
        <f>'Revenue drivers'!S144</f>
        <v>0</v>
      </c>
      <c r="T983">
        <f>'Revenue drivers'!T144</f>
        <v>0</v>
      </c>
      <c r="U983">
        <f>'Revenue drivers'!U144</f>
        <v>0</v>
      </c>
      <c r="V983">
        <f>'Revenue drivers'!V144</f>
        <v>0</v>
      </c>
      <c r="W983">
        <f>'Revenue drivers'!W144</f>
        <v>0</v>
      </c>
      <c r="X983">
        <f>'Revenue drivers'!X144</f>
        <v>0</v>
      </c>
      <c r="Y983">
        <f>'Revenue drivers'!Y144</f>
        <v>0</v>
      </c>
      <c r="Z983">
        <f>'Revenue drivers'!Z144</f>
        <v>0</v>
      </c>
      <c r="AA983">
        <f>'Revenue drivers'!AA144</f>
        <v>0</v>
      </c>
      <c r="AB983">
        <f>'Revenue drivers'!AB144</f>
        <v>0</v>
      </c>
      <c r="AC983">
        <f>'Revenue drivers'!AC144</f>
        <v>0</v>
      </c>
      <c r="AD983">
        <f>'Revenue drivers'!AD144</f>
        <v>0</v>
      </c>
      <c r="AE983">
        <f>'Revenue drivers'!AE144</f>
        <v>0</v>
      </c>
      <c r="AF983">
        <f>'Revenue drivers'!AF144</f>
        <v>0</v>
      </c>
      <c r="AG983" t="e">
        <f>'Revenue drivers'!AG144</f>
        <v>#REF!</v>
      </c>
      <c r="AH983" t="e">
        <f>'Revenue drivers'!AH144</f>
        <v>#REF!</v>
      </c>
      <c r="AI983" t="e">
        <f>'Revenue drivers'!AI144</f>
        <v>#REF!</v>
      </c>
      <c r="AJ983" t="e">
        <f>'Revenue drivers'!AJ144</f>
        <v>#REF!</v>
      </c>
      <c r="AK983" t="e">
        <f>'Revenue drivers'!AK144</f>
        <v>#REF!</v>
      </c>
      <c r="AL983" t="e">
        <f>'Revenue drivers'!AL144</f>
        <v>#REF!</v>
      </c>
      <c r="AM983" t="e">
        <f>'Revenue drivers'!AM144</f>
        <v>#REF!</v>
      </c>
      <c r="AN983" t="e">
        <f>'Revenue drivers'!AN144</f>
        <v>#REF!</v>
      </c>
      <c r="AO983" t="e">
        <f>'Revenue drivers'!AO144</f>
        <v>#REF!</v>
      </c>
      <c r="AP983" t="e">
        <f>'Revenue drivers'!AP144</f>
        <v>#REF!</v>
      </c>
      <c r="AQ983" t="e">
        <f>'Revenue drivers'!AQ144</f>
        <v>#REF!</v>
      </c>
      <c r="AR983" t="e">
        <f>'Revenue drivers'!AR144</f>
        <v>#REF!</v>
      </c>
      <c r="AS983" t="e">
        <f>'Revenue drivers'!AS144</f>
        <v>#REF!</v>
      </c>
      <c r="AT983" t="e">
        <f>'Revenue drivers'!AT144</f>
        <v>#REF!</v>
      </c>
      <c r="AU983" t="e">
        <f>'Revenue drivers'!AU144</f>
        <v>#REF!</v>
      </c>
      <c r="AV983" t="e">
        <f>'Revenue drivers'!AV144</f>
        <v>#REF!</v>
      </c>
      <c r="AW983" t="e">
        <f>'Revenue drivers'!AW144</f>
        <v>#REF!</v>
      </c>
      <c r="AX983" t="e">
        <f>'Revenue drivers'!AX144</f>
        <v>#REF!</v>
      </c>
      <c r="AY983" t="e">
        <f>'Revenue drivers'!AY144</f>
        <v>#REF!</v>
      </c>
      <c r="AZ983" t="e">
        <f>'Revenue drivers'!AZ144</f>
        <v>#REF!</v>
      </c>
      <c r="BA983" t="e">
        <f>'Revenue drivers'!BA144</f>
        <v>#REF!</v>
      </c>
      <c r="BB983" t="e">
        <f>'Revenue drivers'!BB144</f>
        <v>#REF!</v>
      </c>
      <c r="BC983" t="e">
        <f>'Revenue drivers'!BC144</f>
        <v>#REF!</v>
      </c>
      <c r="BD983" t="e">
        <f>'Revenue drivers'!BD144</f>
        <v>#REF!</v>
      </c>
      <c r="BE983">
        <f>'Revenue drivers'!BE144</f>
        <v>0</v>
      </c>
      <c r="BF983">
        <f>'Revenue drivers'!BF144</f>
        <v>0</v>
      </c>
      <c r="BG983">
        <f>'Revenue drivers'!BG144</f>
        <v>0</v>
      </c>
      <c r="BH983">
        <f>'Revenue drivers'!BH144</f>
        <v>0</v>
      </c>
      <c r="BI983">
        <f>'Revenue drivers'!BI144</f>
        <v>0</v>
      </c>
      <c r="BJ983">
        <f>'Revenue drivers'!BJ144</f>
        <v>0</v>
      </c>
      <c r="BK983">
        <f>'Revenue drivers'!BK144</f>
        <v>0</v>
      </c>
      <c r="BL983">
        <f>'Revenue drivers'!BL144</f>
        <v>0</v>
      </c>
      <c r="BM983">
        <f>'Revenue drivers'!BM144</f>
        <v>0</v>
      </c>
      <c r="BN983">
        <f>'Revenue drivers'!BN144</f>
        <v>0</v>
      </c>
      <c r="BO983" t="e">
        <f>'Revenue drivers'!BO144</f>
        <v>#REF!</v>
      </c>
      <c r="BP983" t="e">
        <f>'Revenue drivers'!BP144</f>
        <v>#REF!</v>
      </c>
      <c r="BQ983" t="e">
        <f>'Revenue drivers'!BQ144</f>
        <v>#REF!</v>
      </c>
      <c r="BR983" t="e">
        <f>'Revenue drivers'!BR144</f>
        <v>#REF!</v>
      </c>
      <c r="BS983" t="e">
        <f>'Revenue drivers'!BS144</f>
        <v>#REF!</v>
      </c>
      <c r="BT983" t="e">
        <f>'Revenue drivers'!BT144</f>
        <v>#REF!</v>
      </c>
      <c r="BU983" t="e">
        <f>'Revenue drivers'!BU144</f>
        <v>#REF!</v>
      </c>
      <c r="BV983" t="e">
        <f>'Revenue drivers'!BV144</f>
        <v>#REF!</v>
      </c>
      <c r="BW983" t="e">
        <f>'Revenue drivers'!BW144</f>
        <v>#REF!</v>
      </c>
      <c r="BX983" t="e">
        <f>'Revenue drivers'!BX144</f>
        <v>#REF!</v>
      </c>
      <c r="BY983" t="e">
        <f>'Revenue drivers'!BY144</f>
        <v>#REF!</v>
      </c>
    </row>
    <row r="984" spans="9:77" ht="11.25" customHeight="1">
      <c r="I984" t="str">
        <f>'Revenue drivers'!I147</f>
        <v>% change Y/Y</v>
      </c>
      <c r="J984">
        <f>'Revenue drivers'!J147</f>
        <v>0</v>
      </c>
      <c r="K984">
        <f>'Revenue drivers'!K147</f>
        <v>0</v>
      </c>
      <c r="L984">
        <f>'Revenue drivers'!L147</f>
        <v>0</v>
      </c>
      <c r="M984">
        <f>'Revenue drivers'!M147</f>
        <v>0</v>
      </c>
      <c r="N984">
        <f>'Revenue drivers'!N147</f>
        <v>0</v>
      </c>
      <c r="O984">
        <f>'Revenue drivers'!O147</f>
        <v>0</v>
      </c>
      <c r="P984">
        <f>'Revenue drivers'!P147</f>
        <v>0</v>
      </c>
      <c r="Q984">
        <f>'Revenue drivers'!Q147</f>
        <v>0</v>
      </c>
      <c r="R984">
        <f>'Revenue drivers'!R147</f>
        <v>0</v>
      </c>
      <c r="S984">
        <f>'Revenue drivers'!S147</f>
        <v>0</v>
      </c>
      <c r="T984">
        <f>'Revenue drivers'!T147</f>
        <v>0</v>
      </c>
      <c r="U984">
        <f>'Revenue drivers'!U147</f>
        <v>0</v>
      </c>
      <c r="V984">
        <f>'Revenue drivers'!V147</f>
        <v>0</v>
      </c>
      <c r="W984">
        <f>'Revenue drivers'!W147</f>
        <v>0</v>
      </c>
      <c r="X984">
        <f>'Revenue drivers'!X147</f>
        <v>0</v>
      </c>
      <c r="Y984">
        <f>'Revenue drivers'!Y147</f>
        <v>0</v>
      </c>
      <c r="Z984">
        <f>'Revenue drivers'!Z147</f>
        <v>0</v>
      </c>
      <c r="AA984">
        <f>'Revenue drivers'!AA147</f>
        <v>0</v>
      </c>
      <c r="AB984">
        <f>'Revenue drivers'!AB147</f>
        <v>0</v>
      </c>
      <c r="AC984">
        <f>'Revenue drivers'!AC147</f>
        <v>0</v>
      </c>
      <c r="AD984">
        <f>'Revenue drivers'!AD147</f>
        <v>0</v>
      </c>
      <c r="AE984">
        <f>'Revenue drivers'!AE147</f>
        <v>0</v>
      </c>
      <c r="AF984">
        <f>'Revenue drivers'!AF147</f>
        <v>0</v>
      </c>
      <c r="AG984">
        <f>'Revenue drivers'!AG147</f>
        <v>0</v>
      </c>
      <c r="AH984">
        <f>'Revenue drivers'!AH147</f>
        <v>0</v>
      </c>
      <c r="AI984">
        <f>'Revenue drivers'!AI147</f>
        <v>0</v>
      </c>
      <c r="AJ984">
        <f>'Revenue drivers'!AJ147</f>
        <v>0</v>
      </c>
      <c r="AK984" t="e">
        <f>'Revenue drivers'!AK147</f>
        <v>#REF!</v>
      </c>
      <c r="AL984">
        <f>'Revenue drivers'!AL147</f>
        <v>0.6</v>
      </c>
      <c r="AM984">
        <f>'Revenue drivers'!AM147</f>
        <v>0.5</v>
      </c>
      <c r="AN984">
        <f>'Revenue drivers'!AN147</f>
        <v>0.3</v>
      </c>
      <c r="AO984">
        <f>'Revenue drivers'!AO147</f>
        <v>0.23</v>
      </c>
      <c r="AP984">
        <f>'Revenue drivers'!AP147</f>
        <v>0.2</v>
      </c>
      <c r="AQ984">
        <f>'Revenue drivers'!AQ147</f>
        <v>0.2</v>
      </c>
      <c r="AR984">
        <f>'Revenue drivers'!AR147</f>
        <v>0.3</v>
      </c>
      <c r="AS984">
        <f>'Revenue drivers'!AS147</f>
        <v>0.16</v>
      </c>
      <c r="AT984">
        <f>'Revenue drivers'!AT147</f>
        <v>0.16</v>
      </c>
      <c r="AU984">
        <f>'Revenue drivers'!AU147</f>
        <v>0.15</v>
      </c>
      <c r="AV984">
        <f>'Revenue drivers'!AV147</f>
        <v>0.12</v>
      </c>
      <c r="AW984">
        <f>'Revenue drivers'!AW147</f>
        <v>0.13</v>
      </c>
      <c r="AX984">
        <f>'Revenue drivers'!AX147</f>
        <v>0.13</v>
      </c>
      <c r="AY984">
        <f>'Revenue drivers'!AY147</f>
        <v>0.12</v>
      </c>
      <c r="AZ984">
        <f>'Revenue drivers'!AZ147</f>
        <v>0.09</v>
      </c>
      <c r="BA984">
        <f>'Revenue drivers'!BA147</f>
        <v>0.12000000000000001</v>
      </c>
      <c r="BB984">
        <f>'Revenue drivers'!BB147</f>
        <v>0.12000000000000001</v>
      </c>
      <c r="BC984">
        <f>'Revenue drivers'!BC147</f>
        <v>0.11</v>
      </c>
      <c r="BD984">
        <f>'Revenue drivers'!BD147</f>
        <v>0.08</v>
      </c>
      <c r="BE984">
        <f>'Revenue drivers'!BE147</f>
        <v>0</v>
      </c>
      <c r="BF984">
        <f>'Revenue drivers'!BF147</f>
        <v>0</v>
      </c>
      <c r="BG984">
        <f>'Revenue drivers'!BG147</f>
        <v>0</v>
      </c>
      <c r="BH984">
        <f>'Revenue drivers'!BH147</f>
        <v>0</v>
      </c>
      <c r="BI984">
        <f>'Revenue drivers'!BI147</f>
        <v>0</v>
      </c>
      <c r="BJ984">
        <f>'Revenue drivers'!BJ147</f>
        <v>0</v>
      </c>
      <c r="BK984">
        <f>'Revenue drivers'!BK147</f>
        <v>0</v>
      </c>
      <c r="BL984">
        <f>'Revenue drivers'!BL147</f>
        <v>0</v>
      </c>
      <c r="BM984">
        <f>'Revenue drivers'!BM147</f>
        <v>0</v>
      </c>
      <c r="BN984">
        <f>'Revenue drivers'!BN147</f>
        <v>0</v>
      </c>
      <c r="BO984">
        <f>'Revenue drivers'!BO147</f>
        <v>0</v>
      </c>
      <c r="BP984" t="e">
        <f>'Revenue drivers'!BP147</f>
        <v>#REF!</v>
      </c>
      <c r="BQ984" t="e">
        <f>'Revenue drivers'!BQ147</f>
        <v>#REF!</v>
      </c>
      <c r="BR984" t="e">
        <f>'Revenue drivers'!BR147</f>
        <v>#REF!</v>
      </c>
      <c r="BS984" t="e">
        <f>'Revenue drivers'!BS147</f>
        <v>#REF!</v>
      </c>
      <c r="BT984" t="e">
        <f>'Revenue drivers'!BT147</f>
        <v>#REF!</v>
      </c>
      <c r="BU984">
        <f>'Revenue drivers'!BU147</f>
        <v>7.0000000000000007E-2</v>
      </c>
      <c r="BV984">
        <f>'Revenue drivers'!BV147</f>
        <v>6.5000000000000002E-2</v>
      </c>
      <c r="BW984">
        <f>'Revenue drivers'!BW147</f>
        <v>6.0000000000000005E-2</v>
      </c>
      <c r="BX984">
        <f>'Revenue drivers'!BX147</f>
        <v>5.5000000000000007E-2</v>
      </c>
      <c r="BY984">
        <f>'Revenue drivers'!BY147</f>
        <v>5.000000000000001E-2</v>
      </c>
    </row>
    <row r="985" spans="9:77" ht="11.25" customHeight="1">
      <c r="I985" t="str">
        <f>'Revenue drivers'!I148</f>
        <v>% change Q/Q</v>
      </c>
      <c r="J985">
        <f>'Revenue drivers'!J148</f>
        <v>0</v>
      </c>
      <c r="K985">
        <f>'Revenue drivers'!K148</f>
        <v>0</v>
      </c>
      <c r="L985">
        <f>'Revenue drivers'!L148</f>
        <v>0</v>
      </c>
      <c r="M985">
        <f>'Revenue drivers'!M148</f>
        <v>0</v>
      </c>
      <c r="N985">
        <f>'Revenue drivers'!N148</f>
        <v>0</v>
      </c>
      <c r="O985">
        <f>'Revenue drivers'!O148</f>
        <v>0</v>
      </c>
      <c r="P985">
        <f>'Revenue drivers'!P148</f>
        <v>0</v>
      </c>
      <c r="Q985">
        <f>'Revenue drivers'!Q148</f>
        <v>0</v>
      </c>
      <c r="R985">
        <f>'Revenue drivers'!R148</f>
        <v>0</v>
      </c>
      <c r="S985">
        <f>'Revenue drivers'!S148</f>
        <v>0</v>
      </c>
      <c r="T985">
        <f>'Revenue drivers'!T148</f>
        <v>0</v>
      </c>
      <c r="U985">
        <f>'Revenue drivers'!U148</f>
        <v>0</v>
      </c>
      <c r="V985">
        <f>'Revenue drivers'!V148</f>
        <v>0</v>
      </c>
      <c r="W985">
        <f>'Revenue drivers'!W148</f>
        <v>0</v>
      </c>
      <c r="X985">
        <f>'Revenue drivers'!X148</f>
        <v>0</v>
      </c>
      <c r="Y985">
        <f>'Revenue drivers'!Y148</f>
        <v>0</v>
      </c>
      <c r="Z985">
        <f>'Revenue drivers'!Z148</f>
        <v>0</v>
      </c>
      <c r="AA985">
        <f>'Revenue drivers'!AA148</f>
        <v>0</v>
      </c>
      <c r="AB985">
        <f>'Revenue drivers'!AB148</f>
        <v>0</v>
      </c>
      <c r="AC985">
        <f>'Revenue drivers'!AC148</f>
        <v>0</v>
      </c>
      <c r="AD985">
        <f>'Revenue drivers'!AD148</f>
        <v>0</v>
      </c>
      <c r="AE985">
        <f>'Revenue drivers'!AE148</f>
        <v>0</v>
      </c>
      <c r="AF985">
        <f>'Revenue drivers'!AF148</f>
        <v>0</v>
      </c>
      <c r="AG985">
        <f>'Revenue drivers'!AG148</f>
        <v>0</v>
      </c>
      <c r="AH985" t="e">
        <f>'Revenue drivers'!AH148</f>
        <v>#REF!</v>
      </c>
      <c r="AI985" t="e">
        <f>'Revenue drivers'!AI148</f>
        <v>#REF!</v>
      </c>
      <c r="AJ985" t="e">
        <f>'Revenue drivers'!AJ148</f>
        <v>#REF!</v>
      </c>
      <c r="AK985" t="e">
        <f>'Revenue drivers'!AK148</f>
        <v>#REF!</v>
      </c>
      <c r="AL985" t="e">
        <f>'Revenue drivers'!AL148</f>
        <v>#REF!</v>
      </c>
      <c r="AM985" t="e">
        <f>'Revenue drivers'!AM148</f>
        <v>#REF!</v>
      </c>
      <c r="AN985" t="e">
        <f>'Revenue drivers'!AN148</f>
        <v>#REF!</v>
      </c>
      <c r="AO985">
        <f>'Revenue drivers'!AO148</f>
        <v>5.532544378698212E-2</v>
      </c>
      <c r="AP985">
        <f>'Revenue drivers'!AP148</f>
        <v>7.653490328006729E-2</v>
      </c>
      <c r="AQ985">
        <f>'Revenue drivers'!AQ148</f>
        <v>7.653490328006729E-2</v>
      </c>
      <c r="AR985" t="e">
        <f>'Revenue drivers'!AR148</f>
        <v>#REF!</v>
      </c>
      <c r="AS985">
        <f>'Revenue drivers'!AS148</f>
        <v>2.0147928994082909E-2</v>
      </c>
      <c r="AT985">
        <f>'Revenue drivers'!AT148</f>
        <v>7.6534903280067068E-2</v>
      </c>
      <c r="AU985">
        <f>'Revenue drivers'!AU148</f>
        <v>4.5130657327586254E-2</v>
      </c>
      <c r="AV985">
        <f>'Revenue drivers'!AV148</f>
        <v>-2.4210438133534185E-2</v>
      </c>
      <c r="AW985">
        <f>'Revenue drivers'!AW148</f>
        <v>2.9256392645815588E-2</v>
      </c>
      <c r="AX985">
        <f>'Revenue drivers'!AX148</f>
        <v>7.6534903280067068E-2</v>
      </c>
      <c r="AY985">
        <f>'Revenue drivers'!AY148</f>
        <v>3.5881713457430742E-2</v>
      </c>
      <c r="AZ985">
        <f>'Revenue drivers'!AZ148</f>
        <v>-5.034765854067158E-2</v>
      </c>
      <c r="BA985">
        <f>'Revenue drivers'!BA148</f>
        <v>5.7584550241571941E-2</v>
      </c>
      <c r="BB985">
        <f>'Revenue drivers'!BB148</f>
        <v>7.6534903280067068E-2</v>
      </c>
      <c r="BC985">
        <f>'Revenue drivers'!BC148</f>
        <v>2.6632769587275229E-2</v>
      </c>
      <c r="BD985">
        <f>'Revenue drivers'!BD148</f>
        <v>-7.601393803957246E-2</v>
      </c>
      <c r="BE985">
        <f>'Revenue drivers'!BE148</f>
        <v>0</v>
      </c>
      <c r="BF985">
        <f>'Revenue drivers'!BF148</f>
        <v>0</v>
      </c>
      <c r="BG985">
        <f>'Revenue drivers'!BG148</f>
        <v>0</v>
      </c>
      <c r="BH985">
        <f>'Revenue drivers'!BH148</f>
        <v>0</v>
      </c>
      <c r="BI985">
        <f>'Revenue drivers'!BI148</f>
        <v>0</v>
      </c>
      <c r="BJ985">
        <f>'Revenue drivers'!BJ148</f>
        <v>0</v>
      </c>
      <c r="BK985">
        <f>'Revenue drivers'!BK148</f>
        <v>0</v>
      </c>
      <c r="BL985">
        <f>'Revenue drivers'!BL148</f>
        <v>0</v>
      </c>
      <c r="BM985">
        <f>'Revenue drivers'!BM148</f>
        <v>0</v>
      </c>
      <c r="BN985">
        <f>'Revenue drivers'!BN148</f>
        <v>0</v>
      </c>
      <c r="BO985">
        <f>'Revenue drivers'!BO148</f>
        <v>0</v>
      </c>
      <c r="BP985" t="e">
        <f>'Revenue drivers'!BP148</f>
        <v>#REF!</v>
      </c>
      <c r="BQ985" t="e">
        <f>'Revenue drivers'!BQ148</f>
        <v>#REF!</v>
      </c>
      <c r="BR985" t="e">
        <f>'Revenue drivers'!BR148</f>
        <v>#REF!</v>
      </c>
      <c r="BS985" t="e">
        <f>'Revenue drivers'!BS148</f>
        <v>#REF!</v>
      </c>
      <c r="BT985" t="e">
        <f>'Revenue drivers'!BT148</f>
        <v>#REF!</v>
      </c>
      <c r="BU985">
        <f>'Revenue drivers'!BU148</f>
        <v>0</v>
      </c>
      <c r="BV985">
        <f>'Revenue drivers'!BV148</f>
        <v>0</v>
      </c>
      <c r="BW985">
        <f>'Revenue drivers'!BW148</f>
        <v>0</v>
      </c>
      <c r="BX985">
        <f>'Revenue drivers'!BX148</f>
        <v>0</v>
      </c>
      <c r="BY985">
        <f>'Revenue drivers'!BY148</f>
        <v>0</v>
      </c>
    </row>
    <row r="987" spans="9:77" ht="11.25" customHeight="1">
      <c r="I987" t="str">
        <f>'Revenue drivers'!I164</f>
        <v>Deal Customers (000s)</v>
      </c>
      <c r="J987">
        <f>'Revenue drivers'!J164</f>
        <v>0</v>
      </c>
      <c r="K987">
        <f>'Revenue drivers'!K164</f>
        <v>0</v>
      </c>
      <c r="L987">
        <f>'Revenue drivers'!L164</f>
        <v>0</v>
      </c>
      <c r="M987">
        <f>'Revenue drivers'!M164</f>
        <v>0</v>
      </c>
      <c r="N987">
        <f>'Revenue drivers'!N164</f>
        <v>0</v>
      </c>
      <c r="O987">
        <f>'Revenue drivers'!O164</f>
        <v>0</v>
      </c>
      <c r="P987">
        <f>'Revenue drivers'!P164</f>
        <v>0</v>
      </c>
      <c r="Q987">
        <f>'Revenue drivers'!Q164</f>
        <v>0</v>
      </c>
      <c r="R987">
        <f>'Revenue drivers'!R164</f>
        <v>0</v>
      </c>
      <c r="S987">
        <f>'Revenue drivers'!S164</f>
        <v>0</v>
      </c>
      <c r="T987">
        <f>'Revenue drivers'!T164</f>
        <v>0</v>
      </c>
      <c r="U987">
        <f>'Revenue drivers'!U164</f>
        <v>0</v>
      </c>
      <c r="V987">
        <f>'Revenue drivers'!V164</f>
        <v>0</v>
      </c>
      <c r="W987">
        <f>'Revenue drivers'!W164</f>
        <v>0</v>
      </c>
      <c r="X987">
        <f>'Revenue drivers'!X164</f>
        <v>0</v>
      </c>
      <c r="Y987">
        <f>'Revenue drivers'!Y164</f>
        <v>10.100000000000001</v>
      </c>
      <c r="Z987">
        <f>'Revenue drivers'!Z164</f>
        <v>10.699999999999996</v>
      </c>
      <c r="AA987">
        <f>'Revenue drivers'!AA164</f>
        <v>10.800000000000004</v>
      </c>
      <c r="AB987">
        <f>'Revenue drivers'!AB164</f>
        <v>12.800000000000004</v>
      </c>
      <c r="AC987">
        <f>'Revenue drivers'!AC164</f>
        <v>10.5</v>
      </c>
      <c r="AD987">
        <f>'Revenue drivers'!AD164</f>
        <v>10.5</v>
      </c>
      <c r="AE987">
        <f>'Revenue drivers'!AE164</f>
        <v>9.3000000000000114</v>
      </c>
      <c r="AF987">
        <f>'Revenue drivers'!AF164</f>
        <v>9.7000000000000028</v>
      </c>
      <c r="AG987">
        <f>'Revenue drivers'!AG164</f>
        <v>9.5</v>
      </c>
      <c r="AH987">
        <f>'Revenue drivers'!AH164</f>
        <v>8.6000000000000085</v>
      </c>
      <c r="AI987">
        <f>'Revenue drivers'!AI164</f>
        <v>8.5</v>
      </c>
      <c r="AJ987">
        <f>'Revenue drivers'!AJ164</f>
        <v>10.700000000000003</v>
      </c>
      <c r="AK987">
        <f>'Revenue drivers'!AK164</f>
        <v>9.6999999999999886</v>
      </c>
      <c r="AL987">
        <f>'Revenue drivers'!AL164</f>
        <v>11.299999999999983</v>
      </c>
      <c r="AM987">
        <f>'Revenue drivers'!AM164</f>
        <v>13.699999999999989</v>
      </c>
      <c r="AN987">
        <f>'Revenue drivers'!AN164</f>
        <v>19.899999999999977</v>
      </c>
      <c r="AO987">
        <f>'Revenue drivers'!AO164</f>
        <v>23.699999999999989</v>
      </c>
      <c r="AP987">
        <f>'Revenue drivers'!AP164</f>
        <v>26.699999999999989</v>
      </c>
      <c r="AQ987">
        <f>'Revenue drivers'!AQ164</f>
        <v>29.699999999999989</v>
      </c>
      <c r="AR987">
        <f>'Revenue drivers'!AR164</f>
        <v>32.699999999999989</v>
      </c>
      <c r="AS987">
        <f>'Revenue drivers'!AS164</f>
        <v>36.699999999999989</v>
      </c>
      <c r="AT987">
        <f>'Revenue drivers'!AT164</f>
        <v>40.699999999999989</v>
      </c>
      <c r="AU987">
        <f>'Revenue drivers'!AU164</f>
        <v>44.699999999999989</v>
      </c>
      <c r="AV987">
        <f>'Revenue drivers'!AV164</f>
        <v>48.699999999999989</v>
      </c>
      <c r="AW987">
        <f>'Revenue drivers'!AW164</f>
        <v>53.199999999999989</v>
      </c>
      <c r="AX987">
        <f>'Revenue drivers'!AX164</f>
        <v>57.699999999999989</v>
      </c>
      <c r="AY987">
        <f>'Revenue drivers'!AY164</f>
        <v>62.199999999999989</v>
      </c>
      <c r="AZ987">
        <f>'Revenue drivers'!AZ164</f>
        <v>66.699999999999989</v>
      </c>
      <c r="BA987">
        <f>'Revenue drivers'!BA164</f>
        <v>71.649999999999977</v>
      </c>
      <c r="BB987">
        <f>'Revenue drivers'!BB164</f>
        <v>76.599999999999966</v>
      </c>
      <c r="BC987">
        <f>'Revenue drivers'!BC164</f>
        <v>81.549999999999955</v>
      </c>
      <c r="BD987">
        <f>'Revenue drivers'!BD164</f>
        <v>86.499999999999943</v>
      </c>
      <c r="BE987">
        <f>'Revenue drivers'!BE164</f>
        <v>0</v>
      </c>
      <c r="BF987">
        <f>'Revenue drivers'!BF164</f>
        <v>0</v>
      </c>
      <c r="BG987">
        <f>'Revenue drivers'!BG164</f>
        <v>0</v>
      </c>
      <c r="BH987">
        <f>'Revenue drivers'!BH164</f>
        <v>0</v>
      </c>
      <c r="BI987">
        <f>'Revenue drivers'!BI164</f>
        <v>0</v>
      </c>
      <c r="BJ987">
        <f>'Revenue drivers'!BJ164</f>
        <v>0</v>
      </c>
      <c r="BK987">
        <f>'Revenue drivers'!BK164</f>
        <v>0</v>
      </c>
      <c r="BL987">
        <f>'Revenue drivers'!BL164</f>
        <v>7.5809523809523824</v>
      </c>
      <c r="BM987">
        <f>'Revenue drivers'!BM164</f>
        <v>12.800000000000004</v>
      </c>
      <c r="BN987">
        <f>'Revenue drivers'!BN164</f>
        <v>9.7000000000000028</v>
      </c>
      <c r="BO987">
        <f>'Revenue drivers'!BO164</f>
        <v>10.700000000000003</v>
      </c>
      <c r="BP987">
        <f>'Revenue drivers'!BP164</f>
        <v>-137.80000000000001</v>
      </c>
      <c r="BQ987">
        <f>'Revenue drivers'!BQ164</f>
        <v>-161</v>
      </c>
      <c r="BR987">
        <f>'Revenue drivers'!BR164</f>
        <v>-181</v>
      </c>
      <c r="BS987">
        <f>'Revenue drivers'!BS164</f>
        <v>-199</v>
      </c>
      <c r="BT987">
        <f>'Revenue drivers'!BT164</f>
        <v>-215.20000000000005</v>
      </c>
      <c r="BU987">
        <f>'Revenue drivers'!BU164</f>
        <v>-229.78000000000009</v>
      </c>
      <c r="BV987">
        <f>'Revenue drivers'!BV164</f>
        <v>-242.90200000000013</v>
      </c>
      <c r="BW987">
        <f>'Revenue drivers'!BW164</f>
        <v>-254.71180000000015</v>
      </c>
      <c r="BX987">
        <f>'Revenue drivers'!BX164</f>
        <v>-265.34062000000017</v>
      </c>
      <c r="BY987">
        <f>'Revenue drivers'!BY164</f>
        <v>-274.90655800000019</v>
      </c>
    </row>
    <row r="988" spans="9:77" ht="11.25" customHeight="1">
      <c r="I988" t="str">
        <f>'Revenue drivers'!I165</f>
        <v>% change Y/Y</v>
      </c>
      <c r="J988">
        <f>'Revenue drivers'!J165</f>
        <v>0</v>
      </c>
      <c r="K988">
        <f>'Revenue drivers'!K165</f>
        <v>0</v>
      </c>
      <c r="L988">
        <f>'Revenue drivers'!L165</f>
        <v>0</v>
      </c>
      <c r="M988">
        <f>'Revenue drivers'!M165</f>
        <v>0</v>
      </c>
      <c r="N988">
        <f>'Revenue drivers'!N165</f>
        <v>0</v>
      </c>
      <c r="O988">
        <f>'Revenue drivers'!O165</f>
        <v>0</v>
      </c>
      <c r="P988">
        <f>'Revenue drivers'!P165</f>
        <v>0</v>
      </c>
      <c r="Q988">
        <f>'Revenue drivers'!Q165</f>
        <v>0</v>
      </c>
      <c r="R988">
        <f>'Revenue drivers'!R165</f>
        <v>0</v>
      </c>
      <c r="S988">
        <f>'Revenue drivers'!S165</f>
        <v>0</v>
      </c>
      <c r="T988">
        <f>'Revenue drivers'!T165</f>
        <v>0</v>
      </c>
      <c r="U988">
        <f>'Revenue drivers'!U165</f>
        <v>0</v>
      </c>
      <c r="V988">
        <f>'Revenue drivers'!V165</f>
        <v>0</v>
      </c>
      <c r="W988">
        <f>'Revenue drivers'!W165</f>
        <v>0</v>
      </c>
      <c r="X988">
        <f>'Revenue drivers'!X165</f>
        <v>0</v>
      </c>
      <c r="Y988">
        <f>'Revenue drivers'!Y165</f>
        <v>0</v>
      </c>
      <c r="Z988">
        <f>'Revenue drivers'!Z165</f>
        <v>0</v>
      </c>
      <c r="AA988">
        <f>'Revenue drivers'!AA165</f>
        <v>0</v>
      </c>
      <c r="AB988">
        <f>'Revenue drivers'!AB165</f>
        <v>0</v>
      </c>
      <c r="AC988">
        <f>'Revenue drivers'!AC165</f>
        <v>3.9603960396039417E-2</v>
      </c>
      <c r="AD988">
        <f>'Revenue drivers'!AD165</f>
        <v>-1.8691588785046287E-2</v>
      </c>
      <c r="AE988">
        <f>'Revenue drivers'!AE165</f>
        <v>-0.13888888888888817</v>
      </c>
      <c r="AF988">
        <f>'Revenue drivers'!AF165</f>
        <v>-0.2421875</v>
      </c>
      <c r="AG988">
        <f>'Revenue drivers'!AG165</f>
        <v>-9.5238095238095233E-2</v>
      </c>
      <c r="AH988">
        <f>'Revenue drivers'!AH165</f>
        <v>-0.18095238095238009</v>
      </c>
      <c r="AI988">
        <f>'Revenue drivers'!AI165</f>
        <v>-8.6021505376345231E-2</v>
      </c>
      <c r="AJ988">
        <f>'Revenue drivers'!AJ165</f>
        <v>0.10309278350515472</v>
      </c>
      <c r="AK988">
        <f>'Revenue drivers'!AK165</f>
        <v>2.1052631578946102E-2</v>
      </c>
      <c r="AL988">
        <f>'Revenue drivers'!AL165</f>
        <v>0.31395348837208981</v>
      </c>
      <c r="AM988">
        <f>'Revenue drivers'!AM165</f>
        <v>0.61176470588235166</v>
      </c>
      <c r="AN988">
        <f>'Revenue drivers'!AN165</f>
        <v>0.85981308411214696</v>
      </c>
      <c r="AO988">
        <f>'Revenue drivers'!AO165</f>
        <v>1.4432989690721665</v>
      </c>
      <c r="AP988">
        <f>'Revenue drivers'!AP165</f>
        <v>1.3628318584070822</v>
      </c>
      <c r="AQ988">
        <f>'Revenue drivers'!AQ165</f>
        <v>1.1678832116788329</v>
      </c>
      <c r="AR988">
        <f>'Revenue drivers'!AR165</f>
        <v>0.64321608040201128</v>
      </c>
      <c r="AS988">
        <f>'Revenue drivers'!AS165</f>
        <v>0.54852320675105504</v>
      </c>
      <c r="AT988">
        <f>'Revenue drivers'!AT165</f>
        <v>0.52434456928838968</v>
      </c>
      <c r="AU988">
        <f>'Revenue drivers'!AU165</f>
        <v>0.50505050505050519</v>
      </c>
      <c r="AV988">
        <f>'Revenue drivers'!AV165</f>
        <v>0.48929663608562701</v>
      </c>
      <c r="AW988">
        <f>'Revenue drivers'!AW165</f>
        <v>0.44959128065395104</v>
      </c>
      <c r="AX988">
        <f>'Revenue drivers'!AX165</f>
        <v>0.4176904176904177</v>
      </c>
      <c r="AY988">
        <f>'Revenue drivers'!AY165</f>
        <v>0.39149888143176748</v>
      </c>
      <c r="AZ988">
        <f>'Revenue drivers'!AZ165</f>
        <v>0.36960985626283382</v>
      </c>
      <c r="BA988">
        <f>'Revenue drivers'!BA165</f>
        <v>0.34680451127819545</v>
      </c>
      <c r="BB988">
        <f>'Revenue drivers'!BB165</f>
        <v>0.32755632582322325</v>
      </c>
      <c r="BC988">
        <f>'Revenue drivers'!BC165</f>
        <v>0.31109324758842405</v>
      </c>
      <c r="BD988">
        <f>'Revenue drivers'!BD165</f>
        <v>0.29685157421289299</v>
      </c>
      <c r="BE988">
        <f>'Revenue drivers'!BE165</f>
        <v>0</v>
      </c>
      <c r="BF988">
        <f>'Revenue drivers'!BF165</f>
        <v>0</v>
      </c>
      <c r="BG988">
        <f>'Revenue drivers'!BG165</f>
        <v>0</v>
      </c>
      <c r="BH988">
        <f>'Revenue drivers'!BH165</f>
        <v>0</v>
      </c>
      <c r="BI988">
        <f>'Revenue drivers'!BI165</f>
        <v>0</v>
      </c>
      <c r="BJ988">
        <f>'Revenue drivers'!BJ165</f>
        <v>0</v>
      </c>
      <c r="BK988">
        <f>'Revenue drivers'!BK165</f>
        <v>0</v>
      </c>
      <c r="BL988">
        <f>'Revenue drivers'!BL165</f>
        <v>0</v>
      </c>
      <c r="BM988">
        <f>'Revenue drivers'!BM165</f>
        <v>0.68844221105527659</v>
      </c>
      <c r="BN988">
        <f>'Revenue drivers'!BN165</f>
        <v>-0.2421875</v>
      </c>
      <c r="BO988">
        <f>'Revenue drivers'!BO165</f>
        <v>0.10309278350515472</v>
      </c>
      <c r="BP988">
        <f>'Revenue drivers'!BP165</f>
        <v>-13.878504672897193</v>
      </c>
      <c r="BQ988">
        <f>'Revenue drivers'!BQ165</f>
        <v>0.1683599419448476</v>
      </c>
      <c r="BR988">
        <f>'Revenue drivers'!BR165</f>
        <v>0.12422360248447206</v>
      </c>
      <c r="BS988">
        <f>'Revenue drivers'!BS165</f>
        <v>9.9447513812154664E-2</v>
      </c>
      <c r="BT988">
        <f>'Revenue drivers'!BT165</f>
        <v>8.140703517587955E-2</v>
      </c>
      <c r="BU988">
        <f>'Revenue drivers'!BU165</f>
        <v>6.7750929368029844E-2</v>
      </c>
      <c r="BV988">
        <f>'Revenue drivers'!BV165</f>
        <v>5.7106797806597775E-2</v>
      </c>
      <c r="BW988">
        <f>'Revenue drivers'!BW165</f>
        <v>4.8619607907715912E-2</v>
      </c>
      <c r="BX988">
        <f>'Revenue drivers'!BX165</f>
        <v>4.1728808794881056E-2</v>
      </c>
      <c r="BY988">
        <f>'Revenue drivers'!BY165</f>
        <v>3.6051540092127743E-2</v>
      </c>
    </row>
    <row r="989" spans="9:77" ht="11.25" customHeight="1">
      <c r="I989">
        <f>'Revenue drivers'!I166</f>
        <v>0</v>
      </c>
      <c r="J989">
        <f>'Revenue drivers'!J166</f>
        <v>0</v>
      </c>
      <c r="K989">
        <f>'Revenue drivers'!K166</f>
        <v>0</v>
      </c>
      <c r="L989">
        <f>'Revenue drivers'!L166</f>
        <v>0</v>
      </c>
      <c r="M989">
        <f>'Revenue drivers'!M166</f>
        <v>0</v>
      </c>
      <c r="N989">
        <f>'Revenue drivers'!N166</f>
        <v>0</v>
      </c>
      <c r="O989">
        <f>'Revenue drivers'!O166</f>
        <v>0</v>
      </c>
      <c r="P989">
        <f>'Revenue drivers'!P166</f>
        <v>0</v>
      </c>
      <c r="Q989">
        <f>'Revenue drivers'!Q166</f>
        <v>0</v>
      </c>
      <c r="R989">
        <f>'Revenue drivers'!R166</f>
        <v>0</v>
      </c>
      <c r="S989">
        <f>'Revenue drivers'!S166</f>
        <v>0</v>
      </c>
      <c r="T989">
        <f>'Revenue drivers'!T166</f>
        <v>0</v>
      </c>
      <c r="U989">
        <f>'Revenue drivers'!U166</f>
        <v>0</v>
      </c>
      <c r="V989">
        <f>'Revenue drivers'!V166</f>
        <v>0</v>
      </c>
      <c r="W989">
        <f>'Revenue drivers'!W166</f>
        <v>0</v>
      </c>
      <c r="X989">
        <f>'Revenue drivers'!X166</f>
        <v>0</v>
      </c>
      <c r="Y989">
        <f>'Revenue drivers'!Y166</f>
        <v>0</v>
      </c>
      <c r="Z989">
        <f>'Revenue drivers'!Z166</f>
        <v>0</v>
      </c>
      <c r="AA989">
        <f>'Revenue drivers'!AA166</f>
        <v>0</v>
      </c>
      <c r="AB989">
        <f>'Revenue drivers'!AB166</f>
        <v>0</v>
      </c>
      <c r="AC989">
        <f>'Revenue drivers'!AC166</f>
        <v>0</v>
      </c>
      <c r="AD989">
        <f>'Revenue drivers'!AD166</f>
        <v>0</v>
      </c>
      <c r="AE989">
        <f>'Revenue drivers'!AE166</f>
        <v>0</v>
      </c>
      <c r="AF989">
        <f>'Revenue drivers'!AF166</f>
        <v>0</v>
      </c>
      <c r="AG989">
        <f>'Revenue drivers'!AG166</f>
        <v>0</v>
      </c>
      <c r="AH989">
        <f>'Revenue drivers'!AH166</f>
        <v>0</v>
      </c>
      <c r="AI989">
        <f>'Revenue drivers'!AI166</f>
        <v>0</v>
      </c>
      <c r="AJ989">
        <f>'Revenue drivers'!AJ166</f>
        <v>0</v>
      </c>
      <c r="AK989">
        <f>'Revenue drivers'!AK166</f>
        <v>0</v>
      </c>
      <c r="AL989">
        <f>'Revenue drivers'!AL166</f>
        <v>0</v>
      </c>
      <c r="AM989">
        <f>'Revenue drivers'!AM166</f>
        <v>0</v>
      </c>
      <c r="AN989">
        <f>'Revenue drivers'!AN166</f>
        <v>0</v>
      </c>
      <c r="AO989">
        <f>'Revenue drivers'!AO166</f>
        <v>0</v>
      </c>
      <c r="AP989">
        <f>'Revenue drivers'!AP166</f>
        <v>0</v>
      </c>
      <c r="AQ989">
        <f>'Revenue drivers'!AQ166</f>
        <v>0</v>
      </c>
      <c r="AR989">
        <f>'Revenue drivers'!AR166</f>
        <v>0</v>
      </c>
      <c r="AS989">
        <f>'Revenue drivers'!AS166</f>
        <v>0</v>
      </c>
      <c r="AT989">
        <f>'Revenue drivers'!AT166</f>
        <v>0</v>
      </c>
      <c r="AU989">
        <f>'Revenue drivers'!AU166</f>
        <v>0</v>
      </c>
      <c r="AV989">
        <f>'Revenue drivers'!AV166</f>
        <v>0</v>
      </c>
      <c r="AW989">
        <f>'Revenue drivers'!AW166</f>
        <v>0</v>
      </c>
      <c r="AX989">
        <f>'Revenue drivers'!AX166</f>
        <v>0</v>
      </c>
      <c r="AY989">
        <f>'Revenue drivers'!AY166</f>
        <v>0</v>
      </c>
      <c r="AZ989">
        <f>'Revenue drivers'!AZ166</f>
        <v>0</v>
      </c>
      <c r="BA989">
        <f>'Revenue drivers'!BA166</f>
        <v>0</v>
      </c>
      <c r="BB989">
        <f>'Revenue drivers'!BB166</f>
        <v>0</v>
      </c>
      <c r="BC989">
        <f>'Revenue drivers'!BC166</f>
        <v>0</v>
      </c>
      <c r="BD989">
        <f>'Revenue drivers'!BD166</f>
        <v>0</v>
      </c>
      <c r="BE989">
        <f>'Revenue drivers'!BE166</f>
        <v>0</v>
      </c>
      <c r="BF989">
        <f>'Revenue drivers'!BF166</f>
        <v>0</v>
      </c>
      <c r="BG989">
        <f>'Revenue drivers'!BG166</f>
        <v>0</v>
      </c>
      <c r="BH989">
        <f>'Revenue drivers'!BH166</f>
        <v>0</v>
      </c>
      <c r="BI989">
        <f>'Revenue drivers'!BI166</f>
        <v>0</v>
      </c>
      <c r="BJ989">
        <f>'Revenue drivers'!BJ166</f>
        <v>0</v>
      </c>
      <c r="BK989">
        <f>'Revenue drivers'!BK166</f>
        <v>0</v>
      </c>
      <c r="BL989">
        <f>'Revenue drivers'!BL166</f>
        <v>0</v>
      </c>
      <c r="BM989">
        <f>'Revenue drivers'!BM166</f>
        <v>0</v>
      </c>
      <c r="BN989">
        <f>'Revenue drivers'!BN166</f>
        <v>0</v>
      </c>
      <c r="BO989">
        <f>'Revenue drivers'!BO166</f>
        <v>0</v>
      </c>
      <c r="BP989">
        <f>'Revenue drivers'!BP166</f>
        <v>0</v>
      </c>
      <c r="BQ989">
        <f>'Revenue drivers'!BQ166</f>
        <v>0</v>
      </c>
      <c r="BR989">
        <f>'Revenue drivers'!BR166</f>
        <v>0</v>
      </c>
      <c r="BS989">
        <f>'Revenue drivers'!BS166</f>
        <v>0</v>
      </c>
      <c r="BT989">
        <f>'Revenue drivers'!BT166</f>
        <v>0</v>
      </c>
      <c r="BU989">
        <f>'Revenue drivers'!BU166</f>
        <v>0</v>
      </c>
      <c r="BV989">
        <f>'Revenue drivers'!BV166</f>
        <v>0</v>
      </c>
      <c r="BW989">
        <f>'Revenue drivers'!BW166</f>
        <v>0</v>
      </c>
      <c r="BX989">
        <f>'Revenue drivers'!BX166</f>
        <v>0</v>
      </c>
      <c r="BY989">
        <f>'Revenue drivers'!BY166</f>
        <v>0</v>
      </c>
    </row>
    <row r="990" spans="9:77" ht="11.25" customHeight="1">
      <c r="I990">
        <f>'Revenue drivers'!I366</f>
        <v>0</v>
      </c>
      <c r="J990">
        <f>'Revenue drivers'!J366</f>
        <v>0</v>
      </c>
      <c r="K990">
        <f>'Revenue drivers'!K366</f>
        <v>0</v>
      </c>
      <c r="L990">
        <f>'Revenue drivers'!L366</f>
        <v>0</v>
      </c>
      <c r="M990">
        <f>'Revenue drivers'!M366</f>
        <v>0</v>
      </c>
      <c r="N990">
        <f>'Revenue drivers'!N366</f>
        <v>0</v>
      </c>
      <c r="O990">
        <f>'Revenue drivers'!O366</f>
        <v>0</v>
      </c>
      <c r="P990">
        <f>'Revenue drivers'!P366</f>
        <v>0</v>
      </c>
      <c r="Q990">
        <f>'Revenue drivers'!Q366</f>
        <v>0</v>
      </c>
      <c r="R990">
        <f>'Revenue drivers'!R366</f>
        <v>0</v>
      </c>
      <c r="S990">
        <f>'Revenue drivers'!S366</f>
        <v>0</v>
      </c>
      <c r="T990">
        <f>'Revenue drivers'!T366</f>
        <v>0</v>
      </c>
      <c r="U990">
        <f>'Revenue drivers'!U366</f>
        <v>0</v>
      </c>
      <c r="V990">
        <f>'Revenue drivers'!V366</f>
        <v>0</v>
      </c>
      <c r="W990">
        <f>'Revenue drivers'!W366</f>
        <v>0</v>
      </c>
      <c r="X990">
        <f>'Revenue drivers'!X366</f>
        <v>0</v>
      </c>
      <c r="Y990">
        <f>'Revenue drivers'!Y366</f>
        <v>0</v>
      </c>
      <c r="Z990">
        <f>'Revenue drivers'!Z366</f>
        <v>0</v>
      </c>
      <c r="AA990">
        <f>'Revenue drivers'!AA366</f>
        <v>0</v>
      </c>
      <c r="AB990">
        <f>'Revenue drivers'!AB366</f>
        <v>0</v>
      </c>
      <c r="AC990">
        <f>'Revenue drivers'!AC366</f>
        <v>0</v>
      </c>
      <c r="AD990">
        <f>'Revenue drivers'!AD366</f>
        <v>0</v>
      </c>
      <c r="AE990">
        <f>'Revenue drivers'!AE366</f>
        <v>0</v>
      </c>
      <c r="AF990">
        <f>'Revenue drivers'!AF366</f>
        <v>0</v>
      </c>
      <c r="AG990">
        <f>'Revenue drivers'!AG366</f>
        <v>0</v>
      </c>
      <c r="AH990">
        <f>'Revenue drivers'!AH366</f>
        <v>0</v>
      </c>
      <c r="AI990">
        <f>'Revenue drivers'!AI366</f>
        <v>0</v>
      </c>
      <c r="AJ990">
        <f>'Revenue drivers'!AJ366</f>
        <v>0</v>
      </c>
      <c r="AK990">
        <f>'Revenue drivers'!AK366</f>
        <v>0</v>
      </c>
      <c r="AL990">
        <f>'Revenue drivers'!AL366</f>
        <v>0</v>
      </c>
      <c r="AM990">
        <f>'Revenue drivers'!AM366</f>
        <v>0</v>
      </c>
      <c r="AN990">
        <f>'Revenue drivers'!AN366</f>
        <v>0</v>
      </c>
      <c r="AO990">
        <f>'Revenue drivers'!AO366</f>
        <v>0</v>
      </c>
      <c r="AP990">
        <f>'Revenue drivers'!AP366</f>
        <v>0</v>
      </c>
      <c r="AQ990">
        <f>'Revenue drivers'!AQ366</f>
        <v>0</v>
      </c>
      <c r="AR990">
        <f>'Revenue drivers'!AR366</f>
        <v>0</v>
      </c>
      <c r="AS990">
        <f>'Revenue drivers'!AS366</f>
        <v>0</v>
      </c>
      <c r="AT990">
        <f>'Revenue drivers'!AT366</f>
        <v>0</v>
      </c>
      <c r="AU990">
        <f>'Revenue drivers'!AU366</f>
        <v>0</v>
      </c>
      <c r="AV990">
        <f>'Revenue drivers'!AV366</f>
        <v>0</v>
      </c>
      <c r="AW990">
        <f>'Revenue drivers'!AW366</f>
        <v>0</v>
      </c>
      <c r="AX990">
        <f>'Revenue drivers'!AX366</f>
        <v>0</v>
      </c>
      <c r="AY990">
        <f>'Revenue drivers'!AY366</f>
        <v>0</v>
      </c>
      <c r="AZ990">
        <f>'Revenue drivers'!AZ366</f>
        <v>0</v>
      </c>
      <c r="BA990">
        <f>'Revenue drivers'!BA366</f>
        <v>0</v>
      </c>
      <c r="BB990">
        <f>'Revenue drivers'!BB366</f>
        <v>0</v>
      </c>
      <c r="BC990">
        <f>'Revenue drivers'!BC366</f>
        <v>0</v>
      </c>
      <c r="BD990">
        <f>'Revenue drivers'!BD366</f>
        <v>0</v>
      </c>
      <c r="BE990">
        <f>'Revenue drivers'!BE366</f>
        <v>0</v>
      </c>
      <c r="BF990">
        <f>'Revenue drivers'!BF366</f>
        <v>0</v>
      </c>
      <c r="BG990">
        <f>'Revenue drivers'!BG366</f>
        <v>0</v>
      </c>
      <c r="BH990">
        <f>'Revenue drivers'!BH366</f>
        <v>0</v>
      </c>
      <c r="BI990">
        <f>'Revenue drivers'!BI366</f>
        <v>0</v>
      </c>
      <c r="BJ990">
        <f>'Revenue drivers'!BJ366</f>
        <v>0</v>
      </c>
      <c r="BK990">
        <f>'Revenue drivers'!BK366</f>
        <v>0</v>
      </c>
      <c r="BL990">
        <f>'Revenue drivers'!BL366</f>
        <v>0</v>
      </c>
      <c r="BM990">
        <f>'Revenue drivers'!BM366</f>
        <v>0</v>
      </c>
      <c r="BN990">
        <f>'Revenue drivers'!BN366</f>
        <v>0</v>
      </c>
      <c r="BO990">
        <f>'Revenue drivers'!BO366</f>
        <v>0</v>
      </c>
      <c r="BP990">
        <f>'Revenue drivers'!BP366</f>
        <v>0</v>
      </c>
      <c r="BQ990">
        <f>'Revenue drivers'!BQ366</f>
        <v>0</v>
      </c>
      <c r="BR990">
        <f>'Revenue drivers'!BR366</f>
        <v>0</v>
      </c>
      <c r="BS990">
        <f>'Revenue drivers'!BS366</f>
        <v>0</v>
      </c>
      <c r="BT990">
        <f>'Revenue drivers'!BT366</f>
        <v>0</v>
      </c>
      <c r="BU990">
        <f>'Revenue drivers'!BU366</f>
        <v>0</v>
      </c>
      <c r="BV990">
        <f>'Revenue drivers'!BV366</f>
        <v>0</v>
      </c>
      <c r="BW990">
        <f>'Revenue drivers'!BW366</f>
        <v>0</v>
      </c>
      <c r="BX990">
        <f>'Revenue drivers'!BX366</f>
        <v>0</v>
      </c>
      <c r="BY990">
        <f>'Revenue drivers'!BY366</f>
        <v>0</v>
      </c>
    </row>
    <row r="991" spans="9:77" ht="11.25" customHeight="1">
      <c r="I991" t="str">
        <f>'Revenue drivers'!I367</f>
        <v>OPERATIONAL METRICS</v>
      </c>
      <c r="J991">
        <f>'Revenue drivers'!J367</f>
        <v>0</v>
      </c>
      <c r="K991">
        <f>'Revenue drivers'!K367</f>
        <v>0</v>
      </c>
      <c r="L991">
        <f>'Revenue drivers'!L367</f>
        <v>0</v>
      </c>
      <c r="M991">
        <f>'Revenue drivers'!M367</f>
        <v>0</v>
      </c>
      <c r="N991">
        <f>'Revenue drivers'!N367</f>
        <v>0</v>
      </c>
      <c r="O991">
        <f>'Revenue drivers'!O367</f>
        <v>0</v>
      </c>
      <c r="P991">
        <f>'Revenue drivers'!P367</f>
        <v>0</v>
      </c>
      <c r="Q991">
        <f>'Revenue drivers'!Q367</f>
        <v>0</v>
      </c>
      <c r="R991">
        <f>'Revenue drivers'!R367</f>
        <v>0</v>
      </c>
      <c r="S991">
        <f>'Revenue drivers'!S367</f>
        <v>0</v>
      </c>
      <c r="T991">
        <f>'Revenue drivers'!T367</f>
        <v>0</v>
      </c>
      <c r="U991">
        <f>'Revenue drivers'!U367</f>
        <v>0</v>
      </c>
      <c r="V991">
        <f>'Revenue drivers'!V367</f>
        <v>0</v>
      </c>
      <c r="W991">
        <f>'Revenue drivers'!W367</f>
        <v>0</v>
      </c>
      <c r="X991">
        <f>'Revenue drivers'!X367</f>
        <v>0</v>
      </c>
      <c r="Y991">
        <f>'Revenue drivers'!Y367</f>
        <v>0</v>
      </c>
      <c r="Z991">
        <f>'Revenue drivers'!Z367</f>
        <v>0</v>
      </c>
      <c r="AA991">
        <f>'Revenue drivers'!AA367</f>
        <v>0</v>
      </c>
      <c r="AB991">
        <f>'Revenue drivers'!AB367</f>
        <v>0</v>
      </c>
      <c r="AC991">
        <f>'Revenue drivers'!AC367</f>
        <v>0</v>
      </c>
      <c r="AD991">
        <f>'Revenue drivers'!AD367</f>
        <v>0</v>
      </c>
      <c r="AE991">
        <f>'Revenue drivers'!AE367</f>
        <v>0</v>
      </c>
      <c r="AF991">
        <f>'Revenue drivers'!AF367</f>
        <v>0</v>
      </c>
      <c r="AG991">
        <f>'Revenue drivers'!AG367</f>
        <v>0</v>
      </c>
      <c r="AH991">
        <f>'Revenue drivers'!AH367</f>
        <v>0</v>
      </c>
      <c r="AI991">
        <f>'Revenue drivers'!AI367</f>
        <v>0</v>
      </c>
      <c r="AJ991">
        <f>'Revenue drivers'!AJ367</f>
        <v>0</v>
      </c>
      <c r="AK991">
        <f>'Revenue drivers'!AK367</f>
        <v>0</v>
      </c>
      <c r="AL991">
        <f>'Revenue drivers'!AL367</f>
        <v>0</v>
      </c>
      <c r="AM991">
        <f>'Revenue drivers'!AM367</f>
        <v>0</v>
      </c>
      <c r="AN991">
        <f>'Revenue drivers'!AN367</f>
        <v>0</v>
      </c>
      <c r="AO991">
        <f>'Revenue drivers'!AO367</f>
        <v>0</v>
      </c>
      <c r="AP991">
        <f>'Revenue drivers'!AP367</f>
        <v>0</v>
      </c>
      <c r="AQ991">
        <f>'Revenue drivers'!AQ367</f>
        <v>0</v>
      </c>
      <c r="AR991">
        <f>'Revenue drivers'!AR367</f>
        <v>0</v>
      </c>
      <c r="AS991">
        <f>'Revenue drivers'!AS367</f>
        <v>0</v>
      </c>
      <c r="AT991">
        <f>'Revenue drivers'!AT367</f>
        <v>0</v>
      </c>
      <c r="AU991">
        <f>'Revenue drivers'!AU367</f>
        <v>0</v>
      </c>
      <c r="AV991">
        <f>'Revenue drivers'!AV367</f>
        <v>0</v>
      </c>
      <c r="AW991">
        <f>'Revenue drivers'!AW367</f>
        <v>0</v>
      </c>
      <c r="AX991">
        <f>'Revenue drivers'!AX367</f>
        <v>0</v>
      </c>
      <c r="AY991">
        <f>'Revenue drivers'!AY367</f>
        <v>0</v>
      </c>
      <c r="AZ991">
        <f>'Revenue drivers'!AZ367</f>
        <v>0</v>
      </c>
      <c r="BA991">
        <f>'Revenue drivers'!BA367</f>
        <v>0</v>
      </c>
      <c r="BB991">
        <f>'Revenue drivers'!BB367</f>
        <v>0</v>
      </c>
      <c r="BC991">
        <f>'Revenue drivers'!BC367</f>
        <v>0</v>
      </c>
      <c r="BD991">
        <f>'Revenue drivers'!BD367</f>
        <v>0</v>
      </c>
      <c r="BE991">
        <f>'Revenue drivers'!BE367</f>
        <v>0</v>
      </c>
      <c r="BF991">
        <f>'Revenue drivers'!BF367</f>
        <v>0</v>
      </c>
      <c r="BG991">
        <f>'Revenue drivers'!BG367</f>
        <v>0</v>
      </c>
      <c r="BH991">
        <f>'Revenue drivers'!BH367</f>
        <v>0</v>
      </c>
      <c r="BI991">
        <f>'Revenue drivers'!BI367</f>
        <v>0</v>
      </c>
      <c r="BJ991">
        <f>'Revenue drivers'!BJ367</f>
        <v>0</v>
      </c>
      <c r="BK991">
        <f>'Revenue drivers'!BK367</f>
        <v>0</v>
      </c>
      <c r="BL991">
        <f>'Revenue drivers'!BL367</f>
        <v>0</v>
      </c>
      <c r="BM991">
        <f>'Revenue drivers'!BM367</f>
        <v>0</v>
      </c>
      <c r="BN991">
        <f>'Revenue drivers'!BN367</f>
        <v>0</v>
      </c>
      <c r="BO991">
        <f>'Revenue drivers'!BO367</f>
        <v>0</v>
      </c>
      <c r="BP991">
        <f>'Revenue drivers'!BP367</f>
        <v>0</v>
      </c>
      <c r="BQ991">
        <f>'Revenue drivers'!BQ367</f>
        <v>0</v>
      </c>
      <c r="BR991">
        <f>'Revenue drivers'!BR367</f>
        <v>0</v>
      </c>
      <c r="BS991">
        <f>'Revenue drivers'!BS367</f>
        <v>0</v>
      </c>
      <c r="BT991">
        <f>'Revenue drivers'!BT367</f>
        <v>0</v>
      </c>
      <c r="BU991">
        <f>'Revenue drivers'!BU367</f>
        <v>0</v>
      </c>
      <c r="BV991">
        <f>'Revenue drivers'!BV367</f>
        <v>0</v>
      </c>
      <c r="BW991">
        <f>'Revenue drivers'!BW367</f>
        <v>0</v>
      </c>
      <c r="BX991">
        <f>'Revenue drivers'!BX367</f>
        <v>0</v>
      </c>
      <c r="BY991">
        <f>'Revenue drivers'!BY367</f>
        <v>0</v>
      </c>
    </row>
    <row r="992" spans="9:77" ht="11.25" customHeight="1">
      <c r="I992">
        <f>'Revenue drivers'!I368</f>
        <v>0</v>
      </c>
      <c r="J992">
        <f>'Revenue drivers'!J368</f>
        <v>0</v>
      </c>
      <c r="K992">
        <f>'Revenue drivers'!K368</f>
        <v>0</v>
      </c>
      <c r="L992">
        <f>'Revenue drivers'!L368</f>
        <v>0</v>
      </c>
      <c r="M992">
        <f>'Revenue drivers'!M368</f>
        <v>0</v>
      </c>
      <c r="N992">
        <f>'Revenue drivers'!N368</f>
        <v>0</v>
      </c>
      <c r="O992">
        <f>'Revenue drivers'!O368</f>
        <v>0</v>
      </c>
      <c r="P992">
        <f>'Revenue drivers'!P368</f>
        <v>0</v>
      </c>
      <c r="Q992">
        <f>'Revenue drivers'!Q368</f>
        <v>0</v>
      </c>
      <c r="R992">
        <f>'Revenue drivers'!R368</f>
        <v>0</v>
      </c>
      <c r="S992">
        <f>'Revenue drivers'!S368</f>
        <v>0</v>
      </c>
      <c r="T992">
        <f>'Revenue drivers'!T368</f>
        <v>0</v>
      </c>
      <c r="U992">
        <f>'Revenue drivers'!U368</f>
        <v>0</v>
      </c>
      <c r="V992">
        <f>'Revenue drivers'!V368</f>
        <v>0</v>
      </c>
      <c r="W992">
        <f>'Revenue drivers'!W368</f>
        <v>0</v>
      </c>
      <c r="X992">
        <f>'Revenue drivers'!X368</f>
        <v>0</v>
      </c>
      <c r="Y992">
        <f>'Revenue drivers'!Y368</f>
        <v>0</v>
      </c>
      <c r="Z992">
        <f>'Revenue drivers'!Z368</f>
        <v>0</v>
      </c>
      <c r="AA992">
        <f>'Revenue drivers'!AA368</f>
        <v>0</v>
      </c>
      <c r="AB992">
        <f>'Revenue drivers'!AB368</f>
        <v>0</v>
      </c>
      <c r="AC992">
        <f>'Revenue drivers'!AC368</f>
        <v>0</v>
      </c>
      <c r="AD992">
        <f>'Revenue drivers'!AD368</f>
        <v>0</v>
      </c>
      <c r="AE992">
        <f>'Revenue drivers'!AE368</f>
        <v>0</v>
      </c>
      <c r="AF992">
        <f>'Revenue drivers'!AF368</f>
        <v>0</v>
      </c>
      <c r="AG992">
        <f>'Revenue drivers'!AG368</f>
        <v>0</v>
      </c>
      <c r="AH992">
        <f>'Revenue drivers'!AH368</f>
        <v>0</v>
      </c>
      <c r="AI992">
        <f>'Revenue drivers'!AI368</f>
        <v>0</v>
      </c>
      <c r="AJ992">
        <f>'Revenue drivers'!AJ368</f>
        <v>0</v>
      </c>
      <c r="AK992">
        <f>'Revenue drivers'!AK368</f>
        <v>0</v>
      </c>
      <c r="AL992">
        <f>'Revenue drivers'!AL368</f>
        <v>0</v>
      </c>
      <c r="AM992">
        <f>'Revenue drivers'!AM368</f>
        <v>0</v>
      </c>
      <c r="AN992">
        <f>'Revenue drivers'!AN368</f>
        <v>0</v>
      </c>
      <c r="AO992">
        <f>'Revenue drivers'!AO368</f>
        <v>0</v>
      </c>
      <c r="AP992">
        <f>'Revenue drivers'!AP368</f>
        <v>0</v>
      </c>
      <c r="AQ992">
        <f>'Revenue drivers'!AQ368</f>
        <v>0</v>
      </c>
      <c r="AR992">
        <f>'Revenue drivers'!AR368</f>
        <v>0</v>
      </c>
      <c r="AS992">
        <f>'Revenue drivers'!AS368</f>
        <v>0</v>
      </c>
      <c r="AT992">
        <f>'Revenue drivers'!AT368</f>
        <v>0</v>
      </c>
      <c r="AU992">
        <f>'Revenue drivers'!AU368</f>
        <v>0</v>
      </c>
      <c r="AV992">
        <f>'Revenue drivers'!AV368</f>
        <v>0</v>
      </c>
      <c r="AW992">
        <f>'Revenue drivers'!AW368</f>
        <v>0</v>
      </c>
      <c r="AX992">
        <f>'Revenue drivers'!AX368</f>
        <v>0</v>
      </c>
      <c r="AY992">
        <f>'Revenue drivers'!AY368</f>
        <v>0</v>
      </c>
      <c r="AZ992">
        <f>'Revenue drivers'!AZ368</f>
        <v>0</v>
      </c>
      <c r="BA992">
        <f>'Revenue drivers'!BA368</f>
        <v>0</v>
      </c>
      <c r="BB992">
        <f>'Revenue drivers'!BB368</f>
        <v>0</v>
      </c>
      <c r="BC992">
        <f>'Revenue drivers'!BC368</f>
        <v>0</v>
      </c>
      <c r="BD992">
        <f>'Revenue drivers'!BD368</f>
        <v>0</v>
      </c>
      <c r="BE992">
        <f>'Revenue drivers'!BE368</f>
        <v>0</v>
      </c>
      <c r="BF992">
        <f>'Revenue drivers'!BF368</f>
        <v>0</v>
      </c>
      <c r="BG992">
        <f>'Revenue drivers'!BG368</f>
        <v>0</v>
      </c>
      <c r="BH992">
        <f>'Revenue drivers'!BH368</f>
        <v>0</v>
      </c>
      <c r="BI992">
        <f>'Revenue drivers'!BI368</f>
        <v>0</v>
      </c>
      <c r="BJ992">
        <f>'Revenue drivers'!BJ368</f>
        <v>0</v>
      </c>
      <c r="BK992">
        <f>'Revenue drivers'!BK368</f>
        <v>0</v>
      </c>
      <c r="BL992">
        <f>'Revenue drivers'!BL368</f>
        <v>0</v>
      </c>
      <c r="BM992">
        <f>'Revenue drivers'!BM368</f>
        <v>0</v>
      </c>
      <c r="BN992">
        <f>'Revenue drivers'!BN368</f>
        <v>0</v>
      </c>
      <c r="BO992">
        <f>'Revenue drivers'!BO368</f>
        <v>0</v>
      </c>
      <c r="BP992">
        <f>'Revenue drivers'!BP368</f>
        <v>0</v>
      </c>
      <c r="BQ992">
        <f>'Revenue drivers'!BQ368</f>
        <v>0</v>
      </c>
      <c r="BR992">
        <f>'Revenue drivers'!BR368</f>
        <v>0</v>
      </c>
      <c r="BS992">
        <f>'Revenue drivers'!BS368</f>
        <v>0</v>
      </c>
      <c r="BT992">
        <f>'Revenue drivers'!BT368</f>
        <v>0</v>
      </c>
      <c r="BU992">
        <f>'Revenue drivers'!BU368</f>
        <v>0</v>
      </c>
      <c r="BV992">
        <f>'Revenue drivers'!BV368</f>
        <v>0</v>
      </c>
      <c r="BW992">
        <f>'Revenue drivers'!BW368</f>
        <v>0</v>
      </c>
      <c r="BX992">
        <f>'Revenue drivers'!BX368</f>
        <v>0</v>
      </c>
      <c r="BY992">
        <f>'Revenue drivers'!BY368</f>
        <v>0</v>
      </c>
    </row>
    <row r="993" spans="9:77" ht="11.25" customHeight="1">
      <c r="I993" t="str">
        <f>'Revenue drivers'!I369</f>
        <v>Reviews (millions)</v>
      </c>
      <c r="J993">
        <f>'Revenue drivers'!J369</f>
        <v>0</v>
      </c>
      <c r="K993">
        <f>'Revenue drivers'!K369</f>
        <v>0</v>
      </c>
      <c r="L993">
        <f>'Revenue drivers'!L369</f>
        <v>0</v>
      </c>
      <c r="M993">
        <f>'Revenue drivers'!M369</f>
        <v>0</v>
      </c>
      <c r="N993">
        <f>'Revenue drivers'!N369</f>
        <v>0</v>
      </c>
      <c r="O993">
        <f>'Revenue drivers'!O369</f>
        <v>0</v>
      </c>
      <c r="P993">
        <f>'Revenue drivers'!P369</f>
        <v>0</v>
      </c>
      <c r="Q993">
        <f>'Revenue drivers'!Q369</f>
        <v>0</v>
      </c>
      <c r="R993">
        <f>'Revenue drivers'!R369</f>
        <v>0</v>
      </c>
      <c r="S993">
        <f>'Revenue drivers'!S369</f>
        <v>0</v>
      </c>
      <c r="T993">
        <f>'Revenue drivers'!T369</f>
        <v>0</v>
      </c>
      <c r="U993">
        <f>'Revenue drivers'!U369</f>
        <v>0</v>
      </c>
      <c r="V993">
        <f>'Revenue drivers'!V369</f>
        <v>0</v>
      </c>
      <c r="W993">
        <f>'Revenue drivers'!W369</f>
        <v>0</v>
      </c>
      <c r="X993">
        <f>'Revenue drivers'!X369</f>
        <v>0</v>
      </c>
      <c r="Y993">
        <f>'Revenue drivers'!Y369</f>
        <v>0</v>
      </c>
      <c r="Z993">
        <f>'Revenue drivers'!Z369</f>
        <v>0</v>
      </c>
      <c r="AA993">
        <f>'Revenue drivers'!AA369</f>
        <v>0</v>
      </c>
      <c r="AB993">
        <f>'Revenue drivers'!AB369</f>
        <v>0</v>
      </c>
      <c r="AC993">
        <f>'Revenue drivers'!AC369</f>
        <v>0</v>
      </c>
      <c r="AD993">
        <f>'Revenue drivers'!AD369</f>
        <v>0</v>
      </c>
      <c r="AE993">
        <f>'Revenue drivers'!AE369</f>
        <v>0</v>
      </c>
      <c r="AF993">
        <f>'Revenue drivers'!AF369</f>
        <v>0</v>
      </c>
      <c r="AG993">
        <f>'Revenue drivers'!AG369</f>
        <v>0</v>
      </c>
      <c r="AH993">
        <f>'Revenue drivers'!AH369</f>
        <v>0</v>
      </c>
      <c r="AI993">
        <f>'Revenue drivers'!AI369</f>
        <v>0</v>
      </c>
      <c r="AJ993">
        <f>'Revenue drivers'!AJ369</f>
        <v>0</v>
      </c>
      <c r="AK993">
        <f>'Revenue drivers'!AK369</f>
        <v>0</v>
      </c>
      <c r="AL993">
        <f>'Revenue drivers'!AL369</f>
        <v>0</v>
      </c>
      <c r="AM993">
        <f>'Revenue drivers'!AM369</f>
        <v>0</v>
      </c>
      <c r="AN993">
        <f>'Revenue drivers'!AN369</f>
        <v>0</v>
      </c>
      <c r="AO993">
        <f>'Revenue drivers'!AO369</f>
        <v>0</v>
      </c>
      <c r="AP993">
        <f>'Revenue drivers'!AP369</f>
        <v>0</v>
      </c>
      <c r="AQ993">
        <f>'Revenue drivers'!AQ369</f>
        <v>0</v>
      </c>
      <c r="AR993">
        <f>'Revenue drivers'!AR369</f>
        <v>0</v>
      </c>
      <c r="AS993">
        <f>'Revenue drivers'!AS369</f>
        <v>0</v>
      </c>
      <c r="AT993">
        <f>'Revenue drivers'!AT369</f>
        <v>0</v>
      </c>
      <c r="AU993">
        <f>'Revenue drivers'!AU369</f>
        <v>0</v>
      </c>
      <c r="AV993">
        <f>'Revenue drivers'!AV369</f>
        <v>0</v>
      </c>
      <c r="AW993">
        <f>'Revenue drivers'!AW369</f>
        <v>0</v>
      </c>
      <c r="AX993">
        <f>'Revenue drivers'!AX369</f>
        <v>0</v>
      </c>
      <c r="AY993">
        <f>'Revenue drivers'!AY369</f>
        <v>0</v>
      </c>
      <c r="AZ993">
        <f>'Revenue drivers'!AZ369</f>
        <v>0</v>
      </c>
      <c r="BA993">
        <f>'Revenue drivers'!BA369</f>
        <v>0</v>
      </c>
      <c r="BB993">
        <f>'Revenue drivers'!BB369</f>
        <v>0</v>
      </c>
      <c r="BC993">
        <f>'Revenue drivers'!BC369</f>
        <v>0</v>
      </c>
      <c r="BD993">
        <f>'Revenue drivers'!BD369</f>
        <v>0</v>
      </c>
      <c r="BE993">
        <f>'Revenue drivers'!BE369</f>
        <v>0</v>
      </c>
      <c r="BF993">
        <f>'Revenue drivers'!BF369</f>
        <v>0</v>
      </c>
      <c r="BG993">
        <f>'Revenue drivers'!BG369</f>
        <v>0</v>
      </c>
      <c r="BH993">
        <f>'Revenue drivers'!BH369</f>
        <v>0</v>
      </c>
      <c r="BI993">
        <f>'Revenue drivers'!BI369</f>
        <v>0</v>
      </c>
      <c r="BJ993">
        <f>'Revenue drivers'!BJ369</f>
        <v>0</v>
      </c>
      <c r="BK993">
        <f>'Revenue drivers'!BK369</f>
        <v>0</v>
      </c>
      <c r="BL993">
        <f>'Revenue drivers'!BL369</f>
        <v>0</v>
      </c>
      <c r="BM993">
        <f>'Revenue drivers'!BM369</f>
        <v>0</v>
      </c>
      <c r="BN993">
        <f>'Revenue drivers'!BN369</f>
        <v>0</v>
      </c>
      <c r="BO993">
        <f>'Revenue drivers'!BO369</f>
        <v>0</v>
      </c>
      <c r="BP993">
        <f>'Revenue drivers'!BP369</f>
        <v>0</v>
      </c>
      <c r="BQ993">
        <f>'Revenue drivers'!BQ369</f>
        <v>0</v>
      </c>
      <c r="BR993">
        <f>'Revenue drivers'!BR369</f>
        <v>0</v>
      </c>
      <c r="BS993">
        <f>'Revenue drivers'!BS369</f>
        <v>0</v>
      </c>
      <c r="BT993">
        <f>'Revenue drivers'!BT369</f>
        <v>0</v>
      </c>
      <c r="BU993">
        <f>'Revenue drivers'!BU369</f>
        <v>0</v>
      </c>
      <c r="BV993">
        <f>'Revenue drivers'!BV369</f>
        <v>0</v>
      </c>
      <c r="BW993">
        <f>'Revenue drivers'!BW369</f>
        <v>0</v>
      </c>
      <c r="BX993">
        <f>'Revenue drivers'!BX369</f>
        <v>0</v>
      </c>
      <c r="BY993">
        <f>'Revenue drivers'!BY369</f>
        <v>0</v>
      </c>
    </row>
    <row r="994" spans="9:77" ht="11.25" customHeight="1">
      <c r="I994">
        <f>'Revenue drivers'!I370</f>
        <v>0</v>
      </c>
      <c r="J994">
        <f>'Revenue drivers'!J370</f>
        <v>0</v>
      </c>
      <c r="K994">
        <f>'Revenue drivers'!K370</f>
        <v>0</v>
      </c>
      <c r="L994">
        <f>'Revenue drivers'!L370</f>
        <v>0</v>
      </c>
      <c r="M994">
        <f>'Revenue drivers'!M370</f>
        <v>0</v>
      </c>
      <c r="N994">
        <f>'Revenue drivers'!N370</f>
        <v>0</v>
      </c>
      <c r="O994">
        <f>'Revenue drivers'!O370</f>
        <v>0</v>
      </c>
      <c r="P994">
        <f>'Revenue drivers'!P370</f>
        <v>0</v>
      </c>
      <c r="Q994">
        <f>'Revenue drivers'!Q370</f>
        <v>0</v>
      </c>
      <c r="R994">
        <f>'Revenue drivers'!R370</f>
        <v>0</v>
      </c>
      <c r="S994">
        <f>'Revenue drivers'!S370</f>
        <v>0</v>
      </c>
      <c r="T994">
        <f>'Revenue drivers'!T370</f>
        <v>0</v>
      </c>
      <c r="U994">
        <f>'Revenue drivers'!U370</f>
        <v>0</v>
      </c>
      <c r="V994">
        <f>'Revenue drivers'!V370</f>
        <v>0</v>
      </c>
      <c r="W994">
        <f>'Revenue drivers'!W370</f>
        <v>0</v>
      </c>
      <c r="X994">
        <f>'Revenue drivers'!X370</f>
        <v>0</v>
      </c>
      <c r="Y994">
        <f>'Revenue drivers'!Y370</f>
        <v>0</v>
      </c>
      <c r="Z994">
        <f>'Revenue drivers'!Z370</f>
        <v>0</v>
      </c>
      <c r="AA994">
        <f>'Revenue drivers'!AA370</f>
        <v>0</v>
      </c>
      <c r="AB994">
        <f>'Revenue drivers'!AB370</f>
        <v>0</v>
      </c>
      <c r="AC994">
        <f>'Revenue drivers'!AC370</f>
        <v>0</v>
      </c>
      <c r="AD994">
        <f>'Revenue drivers'!AD370</f>
        <v>0</v>
      </c>
      <c r="AE994">
        <f>'Revenue drivers'!AE370</f>
        <v>0</v>
      </c>
      <c r="AF994">
        <f>'Revenue drivers'!AF370</f>
        <v>0</v>
      </c>
      <c r="AG994">
        <f>'Revenue drivers'!AG370</f>
        <v>0</v>
      </c>
      <c r="AH994">
        <f>'Revenue drivers'!AH370</f>
        <v>0</v>
      </c>
      <c r="AI994">
        <f>'Revenue drivers'!AI370</f>
        <v>0</v>
      </c>
      <c r="AJ994">
        <f>'Revenue drivers'!AJ370</f>
        <v>0</v>
      </c>
      <c r="AK994">
        <f>'Revenue drivers'!AK370</f>
        <v>0</v>
      </c>
      <c r="AL994">
        <f>'Revenue drivers'!AL370</f>
        <v>0</v>
      </c>
      <c r="AM994">
        <f>'Revenue drivers'!AM370</f>
        <v>0</v>
      </c>
      <c r="AN994">
        <f>'Revenue drivers'!AN370</f>
        <v>0</v>
      </c>
      <c r="AO994">
        <f>'Revenue drivers'!AO370</f>
        <v>0</v>
      </c>
      <c r="AP994">
        <f>'Revenue drivers'!AP370</f>
        <v>0</v>
      </c>
      <c r="AQ994">
        <f>'Revenue drivers'!AQ370</f>
        <v>0</v>
      </c>
      <c r="AR994">
        <f>'Revenue drivers'!AR370</f>
        <v>0</v>
      </c>
      <c r="AS994">
        <f>'Revenue drivers'!AS370</f>
        <v>0</v>
      </c>
      <c r="AT994">
        <f>'Revenue drivers'!AT370</f>
        <v>0</v>
      </c>
      <c r="AU994">
        <f>'Revenue drivers'!AU370</f>
        <v>0</v>
      </c>
      <c r="AV994">
        <f>'Revenue drivers'!AV370</f>
        <v>0</v>
      </c>
      <c r="AW994">
        <f>'Revenue drivers'!AW370</f>
        <v>0</v>
      </c>
      <c r="AX994">
        <f>'Revenue drivers'!AX370</f>
        <v>0</v>
      </c>
      <c r="AY994">
        <f>'Revenue drivers'!AY370</f>
        <v>0</v>
      </c>
      <c r="AZ994">
        <f>'Revenue drivers'!AZ370</f>
        <v>0</v>
      </c>
      <c r="BA994">
        <f>'Revenue drivers'!BA370</f>
        <v>0</v>
      </c>
      <c r="BB994">
        <f>'Revenue drivers'!BB370</f>
        <v>0</v>
      </c>
      <c r="BC994">
        <f>'Revenue drivers'!BC370</f>
        <v>0</v>
      </c>
      <c r="BD994">
        <f>'Revenue drivers'!BD370</f>
        <v>0</v>
      </c>
      <c r="BE994">
        <f>'Revenue drivers'!BE370</f>
        <v>0</v>
      </c>
      <c r="BF994">
        <f>'Revenue drivers'!BF370</f>
        <v>0</v>
      </c>
      <c r="BG994">
        <f>'Revenue drivers'!BG370</f>
        <v>0</v>
      </c>
      <c r="BH994">
        <f>'Revenue drivers'!BH370</f>
        <v>0</v>
      </c>
      <c r="BI994">
        <f>'Revenue drivers'!BI370</f>
        <v>0</v>
      </c>
      <c r="BJ994">
        <f>'Revenue drivers'!BJ370</f>
        <v>0</v>
      </c>
      <c r="BK994">
        <f>'Revenue drivers'!BK370</f>
        <v>0</v>
      </c>
      <c r="BL994">
        <f>'Revenue drivers'!BL370</f>
        <v>0</v>
      </c>
      <c r="BM994">
        <f>'Revenue drivers'!BM370</f>
        <v>0</v>
      </c>
      <c r="BN994">
        <f>'Revenue drivers'!BN370</f>
        <v>0</v>
      </c>
      <c r="BO994">
        <f>'Revenue drivers'!BO370</f>
        <v>0</v>
      </c>
      <c r="BP994">
        <f>'Revenue drivers'!BP370</f>
        <v>0</v>
      </c>
      <c r="BQ994">
        <f>'Revenue drivers'!BQ370</f>
        <v>0</v>
      </c>
      <c r="BR994">
        <f>'Revenue drivers'!BR370</f>
        <v>0</v>
      </c>
      <c r="BS994">
        <f>'Revenue drivers'!BS370</f>
        <v>0</v>
      </c>
      <c r="BT994">
        <f>'Revenue drivers'!BT370</f>
        <v>0</v>
      </c>
      <c r="BU994">
        <f>'Revenue drivers'!BU370</f>
        <v>0</v>
      </c>
      <c r="BV994">
        <f>'Revenue drivers'!BV370</f>
        <v>0</v>
      </c>
      <c r="BW994">
        <f>'Revenue drivers'!BW370</f>
        <v>0</v>
      </c>
      <c r="BX994">
        <f>'Revenue drivers'!BX370</f>
        <v>0</v>
      </c>
      <c r="BY994">
        <f>'Revenue drivers'!BY370</f>
        <v>0</v>
      </c>
    </row>
    <row r="995" spans="9:77" ht="11.25" customHeight="1">
      <c r="I995" t="str">
        <f>'Revenue drivers'!I371</f>
        <v>Cumulative reviews</v>
      </c>
      <c r="J995">
        <f>'Revenue drivers'!J371</f>
        <v>0</v>
      </c>
      <c r="K995">
        <f>'Revenue drivers'!K371</f>
        <v>0</v>
      </c>
      <c r="L995">
        <f>'Revenue drivers'!L371</f>
        <v>0</v>
      </c>
      <c r="M995">
        <f>'Revenue drivers'!M371</f>
        <v>10.244</v>
      </c>
      <c r="N995">
        <f>'Revenue drivers'!N371</f>
        <v>11.696</v>
      </c>
      <c r="O995">
        <f>'Revenue drivers'!O371</f>
        <v>13.475</v>
      </c>
      <c r="P995">
        <f>'Revenue drivers'!P371</f>
        <v>15.115</v>
      </c>
      <c r="Q995">
        <f>'Revenue drivers'!Q371</f>
        <v>17.338999999999999</v>
      </c>
      <c r="R995">
        <f>'Revenue drivers'!R371</f>
        <v>19.704999999999998</v>
      </c>
      <c r="S995">
        <f>'Revenue drivers'!S371</f>
        <v>22.39</v>
      </c>
      <c r="T995">
        <f>'Revenue drivers'!T371</f>
        <v>24.817</v>
      </c>
      <c r="U995">
        <f>'Revenue drivers'!U371</f>
        <v>27.568999999999999</v>
      </c>
      <c r="V995">
        <f>'Revenue drivers'!V371</f>
        <v>30.259</v>
      </c>
      <c r="W995">
        <f>'Revenue drivers'!W371</f>
        <v>33.258000000000003</v>
      </c>
      <c r="X995">
        <f>'Revenue drivers'!X371</f>
        <v>36</v>
      </c>
      <c r="Y995">
        <f>'Revenue drivers'!Y371</f>
        <v>39.103000000000002</v>
      </c>
      <c r="Z995">
        <f>'Revenue drivers'!Z371</f>
        <v>42.526000000000003</v>
      </c>
      <c r="AA995">
        <f>'Revenue drivers'!AA371</f>
        <v>47.322000000000003</v>
      </c>
      <c r="AB995">
        <f>'Revenue drivers'!AB371</f>
        <v>52.756999999999998</v>
      </c>
      <c r="AC995">
        <f>'Revenue drivers'!AC371</f>
        <v>57</v>
      </c>
      <c r="AD995">
        <f>'Revenue drivers'!AD371</f>
        <v>61.341999999999999</v>
      </c>
      <c r="AE995">
        <f>'Revenue drivers'!AE371</f>
        <v>66.591999999999999</v>
      </c>
      <c r="AF995">
        <f>'Revenue drivers'!AF371</f>
        <v>71.231999999999999</v>
      </c>
      <c r="AG995">
        <f>'Revenue drivers'!AG371</f>
        <v>77.346000000000004</v>
      </c>
      <c r="AH995">
        <f>'Revenue drivers'!AH371</f>
        <v>83.102000000000004</v>
      </c>
      <c r="AI995">
        <f>'Revenue drivers'!AI371</f>
        <v>89.635000000000005</v>
      </c>
      <c r="AJ995">
        <f>'Revenue drivers'!AJ371</f>
        <v>95.21</v>
      </c>
      <c r="AK995">
        <f>'Revenue drivers'!AK371</f>
        <v>101.56399999999999</v>
      </c>
      <c r="AL995">
        <f>'Revenue drivers'!AL371</f>
        <v>108.251</v>
      </c>
      <c r="AM995">
        <f>'Revenue drivers'!AM371</f>
        <v>115.259</v>
      </c>
      <c r="AN995">
        <f>'Revenue drivers'!AN371</f>
        <v>121.02200000000001</v>
      </c>
      <c r="AO995">
        <f>'Revenue drivers'!AO371</f>
        <v>127.47799999999999</v>
      </c>
      <c r="AP995">
        <f>'Revenue drivers'!AP371</f>
        <v>134.59100000000001</v>
      </c>
      <c r="AQ995">
        <f>'Revenue drivers'!AQ371</f>
        <v>142.036</v>
      </c>
      <c r="AR995">
        <f>'Revenue drivers'!AR371</f>
        <v>148.298</v>
      </c>
      <c r="AS995">
        <f>'Revenue drivers'!AS371</f>
        <v>154.56</v>
      </c>
      <c r="AT995">
        <f>'Revenue drivers'!AT371</f>
        <v>160.822</v>
      </c>
      <c r="AU995">
        <f>'Revenue drivers'!AU371</f>
        <v>167.029</v>
      </c>
      <c r="AV995">
        <f>'Revenue drivers'!AV371</f>
        <v>173.18600000000001</v>
      </c>
      <c r="AW995">
        <f>'Revenue drivers'!AW371</f>
        <v>179.34300000000002</v>
      </c>
      <c r="AX995">
        <f>'Revenue drivers'!AX371</f>
        <v>185.50000000000003</v>
      </c>
      <c r="AY995">
        <f>'Revenue drivers'!AY371</f>
        <v>191.60200000000003</v>
      </c>
      <c r="AZ995">
        <f>'Revenue drivers'!AZ371</f>
        <v>197.65400000000002</v>
      </c>
      <c r="BA995">
        <f>'Revenue drivers'!BA371</f>
        <v>203.70600000000002</v>
      </c>
      <c r="BB995">
        <f>'Revenue drivers'!BB371</f>
        <v>209.75800000000001</v>
      </c>
      <c r="BC995">
        <f>'Revenue drivers'!BC371</f>
        <v>215.75500000000002</v>
      </c>
      <c r="BD995">
        <f>'Revenue drivers'!BD371</f>
        <v>221.70200000000003</v>
      </c>
      <c r="BE995">
        <f>'Revenue drivers'!BE371</f>
        <v>0</v>
      </c>
      <c r="BF995">
        <f>'Revenue drivers'!BF371</f>
        <v>0.61099999999999999</v>
      </c>
      <c r="BG995">
        <f>'Revenue drivers'!BG371</f>
        <v>1.9930000000000001</v>
      </c>
      <c r="BH995">
        <f>'Revenue drivers'!BH371</f>
        <v>4.8689999999999998</v>
      </c>
      <c r="BI995">
        <f>'Revenue drivers'!BI371</f>
        <v>8.8339999999999996</v>
      </c>
      <c r="BJ995">
        <f>'Revenue drivers'!BJ371</f>
        <v>15.115</v>
      </c>
      <c r="BK995">
        <f>'Revenue drivers'!BK371</f>
        <v>24.817</v>
      </c>
      <c r="BL995">
        <f>'Revenue drivers'!BL371</f>
        <v>36</v>
      </c>
      <c r="BM995">
        <f>'Revenue drivers'!BM371</f>
        <v>52.756999999999998</v>
      </c>
      <c r="BN995">
        <f>'Revenue drivers'!BN371</f>
        <v>71.231999999999999</v>
      </c>
      <c r="BO995">
        <f>'Revenue drivers'!BO371</f>
        <v>95.21</v>
      </c>
      <c r="BP995">
        <f>'Revenue drivers'!BP371</f>
        <v>121.02200000000001</v>
      </c>
      <c r="BQ995">
        <f>'Revenue drivers'!BQ371</f>
        <v>148.298</v>
      </c>
      <c r="BR995">
        <f>'Revenue drivers'!BR371</f>
        <v>173.18600000000001</v>
      </c>
      <c r="BS995">
        <f>'Revenue drivers'!BS371</f>
        <v>197.65400000000002</v>
      </c>
      <c r="BT995">
        <f>'Revenue drivers'!BT371</f>
        <v>221.70200000000003</v>
      </c>
      <c r="BU995">
        <f>'Revenue drivers'!BU371</f>
        <v>241.70200000000003</v>
      </c>
      <c r="BV995">
        <f>'Revenue drivers'!BV371</f>
        <v>261.702</v>
      </c>
      <c r="BW995">
        <f>'Revenue drivers'!BW371</f>
        <v>281.702</v>
      </c>
      <c r="BX995">
        <f>'Revenue drivers'!BX371</f>
        <v>301.702</v>
      </c>
      <c r="BY995">
        <f>'Revenue drivers'!BY371</f>
        <v>321.702</v>
      </c>
    </row>
    <row r="996" spans="9:77" ht="11.25" customHeight="1">
      <c r="I996" t="str">
        <f>'Revenue drivers'!I372</f>
        <v>Q/Q Abs Growth (DRIVER)</v>
      </c>
      <c r="J996">
        <f>'Revenue drivers'!J372</f>
        <v>0</v>
      </c>
      <c r="K996">
        <f>'Revenue drivers'!K372</f>
        <v>0</v>
      </c>
      <c r="L996">
        <f>'Revenue drivers'!L372</f>
        <v>0</v>
      </c>
      <c r="M996">
        <f>'Revenue drivers'!M372</f>
        <v>0</v>
      </c>
      <c r="N996">
        <f>'Revenue drivers'!N372</f>
        <v>1.452</v>
      </c>
      <c r="O996">
        <f>'Revenue drivers'!O372</f>
        <v>1.7789999999999999</v>
      </c>
      <c r="P996">
        <f>'Revenue drivers'!P372</f>
        <v>1.6400000000000006</v>
      </c>
      <c r="Q996">
        <f>'Revenue drivers'!Q372</f>
        <v>2.2239999999999984</v>
      </c>
      <c r="R996">
        <f>'Revenue drivers'!R372</f>
        <v>2.3659999999999997</v>
      </c>
      <c r="S996">
        <f>'Revenue drivers'!S372</f>
        <v>2.6850000000000023</v>
      </c>
      <c r="T996">
        <f>'Revenue drivers'!T372</f>
        <v>2.4269999999999996</v>
      </c>
      <c r="U996">
        <f>'Revenue drivers'!U372</f>
        <v>2.7519999999999989</v>
      </c>
      <c r="V996">
        <f>'Revenue drivers'!V372</f>
        <v>2.6900000000000013</v>
      </c>
      <c r="W996">
        <f>'Revenue drivers'!W372</f>
        <v>2.9990000000000023</v>
      </c>
      <c r="X996">
        <f>'Revenue drivers'!X372</f>
        <v>2.7419999999999973</v>
      </c>
      <c r="Y996">
        <f>'Revenue drivers'!Y372</f>
        <v>3.1030000000000015</v>
      </c>
      <c r="Z996">
        <f>'Revenue drivers'!Z372</f>
        <v>3.4230000000000018</v>
      </c>
      <c r="AA996">
        <f>'Revenue drivers'!AA372</f>
        <v>4.7959999999999994</v>
      </c>
      <c r="AB996">
        <f>'Revenue drivers'!AB372</f>
        <v>5.4349999999999952</v>
      </c>
      <c r="AC996">
        <f>'Revenue drivers'!AC372</f>
        <v>4.2430000000000021</v>
      </c>
      <c r="AD996">
        <f>'Revenue drivers'!AD372</f>
        <v>4.3419999999999987</v>
      </c>
      <c r="AE996">
        <f>'Revenue drivers'!AE372</f>
        <v>5.25</v>
      </c>
      <c r="AF996">
        <f>'Revenue drivers'!AF372</f>
        <v>4.6400000000000006</v>
      </c>
      <c r="AG996">
        <f>'Revenue drivers'!AG372</f>
        <v>6.1140000000000043</v>
      </c>
      <c r="AH996">
        <f>'Revenue drivers'!AH372</f>
        <v>5.7560000000000002</v>
      </c>
      <c r="AI996">
        <f>'Revenue drivers'!AI372</f>
        <v>6.5330000000000013</v>
      </c>
      <c r="AJ996">
        <f>'Revenue drivers'!AJ372</f>
        <v>5.5749999999999886</v>
      </c>
      <c r="AK996">
        <f>'Revenue drivers'!AK372</f>
        <v>6.3539999999999992</v>
      </c>
      <c r="AL996">
        <f>'Revenue drivers'!AL372</f>
        <v>6.6870000000000118</v>
      </c>
      <c r="AM996">
        <f>'Revenue drivers'!AM372</f>
        <v>7.0079999999999956</v>
      </c>
      <c r="AN996">
        <f>'Revenue drivers'!AN372</f>
        <v>5.7630000000000052</v>
      </c>
      <c r="AO996">
        <f>'Revenue drivers'!AO372</f>
        <v>6.4559999999999889</v>
      </c>
      <c r="AP996">
        <f>'Revenue drivers'!AP372</f>
        <v>7.1130000000000138</v>
      </c>
      <c r="AQ996">
        <f>'Revenue drivers'!AQ372</f>
        <v>7.4449999999999932</v>
      </c>
      <c r="AR996">
        <f>'Revenue drivers'!AR372</f>
        <v>6.2620000000000005</v>
      </c>
      <c r="AS996">
        <f>'Revenue drivers'!AS372</f>
        <v>6.2620000000000005</v>
      </c>
      <c r="AT996">
        <f>'Revenue drivers'!AT372</f>
        <v>6.2620000000000005</v>
      </c>
      <c r="AU996">
        <f>'Revenue drivers'!AU372</f>
        <v>6.2070000000000007</v>
      </c>
      <c r="AV996">
        <f>'Revenue drivers'!AV372</f>
        <v>6.1570000000000009</v>
      </c>
      <c r="AW996">
        <f>'Revenue drivers'!AW372</f>
        <v>6.1570000000000009</v>
      </c>
      <c r="AX996">
        <f>'Revenue drivers'!AX372</f>
        <v>6.1570000000000009</v>
      </c>
      <c r="AY996">
        <f>'Revenue drivers'!AY372</f>
        <v>6.1020000000000012</v>
      </c>
      <c r="AZ996">
        <f>'Revenue drivers'!AZ372</f>
        <v>6.0520000000000014</v>
      </c>
      <c r="BA996">
        <f>'Revenue drivers'!BA372</f>
        <v>6.0520000000000014</v>
      </c>
      <c r="BB996">
        <f>'Revenue drivers'!BB372</f>
        <v>6.0520000000000014</v>
      </c>
      <c r="BC996">
        <f>'Revenue drivers'!BC372</f>
        <v>5.9970000000000017</v>
      </c>
      <c r="BD996">
        <f>'Revenue drivers'!BD372</f>
        <v>5.9470000000000018</v>
      </c>
      <c r="BE996">
        <f>'Revenue drivers'!BE372</f>
        <v>0</v>
      </c>
      <c r="BF996">
        <f>'Revenue drivers'!BF372</f>
        <v>0</v>
      </c>
      <c r="BG996">
        <f>'Revenue drivers'!BG372</f>
        <v>0</v>
      </c>
      <c r="BH996">
        <f>'Revenue drivers'!BH372</f>
        <v>0</v>
      </c>
      <c r="BI996">
        <f>'Revenue drivers'!BI372</f>
        <v>0</v>
      </c>
      <c r="BJ996">
        <f>'Revenue drivers'!BJ372</f>
        <v>0</v>
      </c>
      <c r="BK996">
        <f>'Revenue drivers'!BK372</f>
        <v>0</v>
      </c>
      <c r="BL996">
        <f>'Revenue drivers'!BL372</f>
        <v>0</v>
      </c>
      <c r="BM996">
        <f>'Revenue drivers'!BM372</f>
        <v>0</v>
      </c>
      <c r="BN996">
        <f>'Revenue drivers'!BN372</f>
        <v>0</v>
      </c>
      <c r="BO996">
        <f>'Revenue drivers'!BO372</f>
        <v>0</v>
      </c>
      <c r="BP996">
        <f>'Revenue drivers'!BP372</f>
        <v>0</v>
      </c>
      <c r="BQ996">
        <f>'Revenue drivers'!BQ372</f>
        <v>0</v>
      </c>
      <c r="BR996">
        <f>'Revenue drivers'!BR372</f>
        <v>0</v>
      </c>
      <c r="BS996">
        <f>'Revenue drivers'!BS372</f>
        <v>0</v>
      </c>
      <c r="BT996">
        <f>'Revenue drivers'!BT372</f>
        <v>0</v>
      </c>
      <c r="BU996">
        <f>'Revenue drivers'!BU372</f>
        <v>0</v>
      </c>
      <c r="BV996">
        <f>'Revenue drivers'!BV372</f>
        <v>0</v>
      </c>
      <c r="BW996">
        <f>'Revenue drivers'!BW372</f>
        <v>0</v>
      </c>
      <c r="BX996">
        <f>'Revenue drivers'!BX372</f>
        <v>0</v>
      </c>
      <c r="BY996">
        <f>'Revenue drivers'!BY372</f>
        <v>0</v>
      </c>
    </row>
    <row r="997" spans="9:77" ht="11.25" customHeight="1">
      <c r="I997" t="str">
        <f>'Revenue drivers'!I373</f>
        <v>Period-to-period addition Y/Y</v>
      </c>
      <c r="J997">
        <f>'Revenue drivers'!J373</f>
        <v>0</v>
      </c>
      <c r="K997">
        <f>'Revenue drivers'!K373</f>
        <v>0</v>
      </c>
      <c r="L997">
        <f>'Revenue drivers'!L373</f>
        <v>0</v>
      </c>
      <c r="M997">
        <f>'Revenue drivers'!M373</f>
        <v>0</v>
      </c>
      <c r="N997">
        <f>'Revenue drivers'!N373</f>
        <v>0</v>
      </c>
      <c r="O997">
        <f>'Revenue drivers'!O373</f>
        <v>0</v>
      </c>
      <c r="P997">
        <f>'Revenue drivers'!P373</f>
        <v>0</v>
      </c>
      <c r="Q997">
        <f>'Revenue drivers'!Q373</f>
        <v>0</v>
      </c>
      <c r="R997">
        <f>'Revenue drivers'!R373</f>
        <v>0</v>
      </c>
      <c r="S997">
        <f>'Revenue drivers'!S373</f>
        <v>0</v>
      </c>
      <c r="T997">
        <f>'Revenue drivers'!T373</f>
        <v>0</v>
      </c>
      <c r="U997">
        <f>'Revenue drivers'!U373</f>
        <v>0</v>
      </c>
      <c r="V997">
        <f>'Revenue drivers'!V373</f>
        <v>0</v>
      </c>
      <c r="W997">
        <f>'Revenue drivers'!W373</f>
        <v>0.30900000000000105</v>
      </c>
      <c r="X997">
        <f>'Revenue drivers'!X373</f>
        <v>0</v>
      </c>
      <c r="Y997">
        <f>'Revenue drivers'!Y373</f>
        <v>0</v>
      </c>
      <c r="Z997">
        <f>'Revenue drivers'!Z373</f>
        <v>0</v>
      </c>
      <c r="AA997">
        <f>'Revenue drivers'!AA373</f>
        <v>1.3729999999999976</v>
      </c>
      <c r="AB997">
        <f>'Revenue drivers'!AB373</f>
        <v>0.63899999999999579</v>
      </c>
      <c r="AC997">
        <f>'Revenue drivers'!AC373</f>
        <v>-1.1919999999999931</v>
      </c>
      <c r="AD997">
        <f>'Revenue drivers'!AD373</f>
        <v>9.8999999999996646E-2</v>
      </c>
      <c r="AE997">
        <f>'Revenue drivers'!AE373</f>
        <v>0.90800000000000125</v>
      </c>
      <c r="AF997">
        <f>'Revenue drivers'!AF373</f>
        <v>-0.60999999999999943</v>
      </c>
      <c r="AG997">
        <f>'Revenue drivers'!AG373</f>
        <v>1.4740000000000038</v>
      </c>
      <c r="AH997">
        <f>'Revenue drivers'!AH373</f>
        <v>-0.35800000000000409</v>
      </c>
      <c r="AI997">
        <f>'Revenue drivers'!AI373</f>
        <v>0.77700000000000102</v>
      </c>
      <c r="AJ997">
        <f>'Revenue drivers'!AJ373</f>
        <v>-0.95800000000001262</v>
      </c>
      <c r="AK997">
        <f>'Revenue drivers'!AK373</f>
        <v>0.77900000000001057</v>
      </c>
      <c r="AL997">
        <f>'Revenue drivers'!AL373</f>
        <v>0.33300000000001262</v>
      </c>
      <c r="AM997">
        <f>'Revenue drivers'!AM373</f>
        <v>0.32099999999998374</v>
      </c>
      <c r="AN997">
        <f>'Revenue drivers'!AN373</f>
        <v>-1.2449999999999903</v>
      </c>
      <c r="AO997">
        <f>'Revenue drivers'!AO373</f>
        <v>0.69299999999998363</v>
      </c>
      <c r="AP997">
        <f>'Revenue drivers'!AP373</f>
        <v>0.6570000000000249</v>
      </c>
      <c r="AQ997">
        <f>'Revenue drivers'!AQ373</f>
        <v>0.33199999999997942</v>
      </c>
      <c r="AR997">
        <f>'Revenue drivers'!AR373</f>
        <v>-1.1829999999999927</v>
      </c>
      <c r="AS997">
        <f>'Revenue drivers'!AS373</f>
        <v>0</v>
      </c>
      <c r="AT997">
        <f>'Revenue drivers'!AT373</f>
        <v>0</v>
      </c>
      <c r="AU997">
        <f>'Revenue drivers'!AU373</f>
        <v>-5.4999999999999716E-2</v>
      </c>
      <c r="AV997">
        <f>'Revenue drivers'!AV373</f>
        <v>-4.9999999999999822E-2</v>
      </c>
      <c r="AW997">
        <f>'Revenue drivers'!AW373</f>
        <v>0</v>
      </c>
      <c r="AX997">
        <f>'Revenue drivers'!AX373</f>
        <v>0</v>
      </c>
      <c r="AY997">
        <f>'Revenue drivers'!AY373</f>
        <v>-5.4999999999999716E-2</v>
      </c>
      <c r="AZ997">
        <f>'Revenue drivers'!AZ373</f>
        <v>-4.9999999999999822E-2</v>
      </c>
      <c r="BA997">
        <f>'Revenue drivers'!BA373</f>
        <v>0</v>
      </c>
      <c r="BB997">
        <f>'Revenue drivers'!BB373</f>
        <v>0</v>
      </c>
      <c r="BC997">
        <f>'Revenue drivers'!BC373</f>
        <v>-5.4999999999999716E-2</v>
      </c>
      <c r="BD997">
        <f>'Revenue drivers'!BD373</f>
        <v>-4.9999999999999822E-2</v>
      </c>
      <c r="BE997">
        <f>'Revenue drivers'!BE373</f>
        <v>0</v>
      </c>
      <c r="BF997">
        <f>'Revenue drivers'!BF373</f>
        <v>0</v>
      </c>
      <c r="BG997">
        <f>'Revenue drivers'!BG373</f>
        <v>1.3820000000000001</v>
      </c>
      <c r="BH997">
        <f>'Revenue drivers'!BH373</f>
        <v>2.8759999999999994</v>
      </c>
      <c r="BI997">
        <f>'Revenue drivers'!BI373</f>
        <v>3.9649999999999999</v>
      </c>
      <c r="BJ997">
        <f>'Revenue drivers'!BJ373</f>
        <v>6.2810000000000006</v>
      </c>
      <c r="BK997">
        <f>'Revenue drivers'!BK373</f>
        <v>9.702</v>
      </c>
      <c r="BL997">
        <f>'Revenue drivers'!BL373</f>
        <v>11.183</v>
      </c>
      <c r="BM997">
        <f>'Revenue drivers'!BM373</f>
        <v>16.756999999999998</v>
      </c>
      <c r="BN997">
        <f>'Revenue drivers'!BN373</f>
        <v>18.475000000000001</v>
      </c>
      <c r="BO997">
        <f>'Revenue drivers'!BO373</f>
        <v>23.977999999999994</v>
      </c>
      <c r="BP997">
        <f>'Revenue drivers'!BP373</f>
        <v>25.812000000000012</v>
      </c>
      <c r="BQ997">
        <f>'Revenue drivers'!BQ373</f>
        <v>27.275999999999996</v>
      </c>
      <c r="BR997">
        <f>'Revenue drivers'!BR373</f>
        <v>24.888000000000005</v>
      </c>
      <c r="BS997">
        <f>'Revenue drivers'!BS373</f>
        <v>24.468000000000018</v>
      </c>
      <c r="BT997">
        <f>'Revenue drivers'!BT373</f>
        <v>24.048000000000002</v>
      </c>
      <c r="BU997">
        <f>'Revenue drivers'!BU373</f>
        <v>20</v>
      </c>
      <c r="BV997">
        <f>'Revenue drivers'!BV373</f>
        <v>20</v>
      </c>
      <c r="BW997">
        <f>'Revenue drivers'!BW373</f>
        <v>20</v>
      </c>
      <c r="BX997">
        <f>'Revenue drivers'!BX373</f>
        <v>20</v>
      </c>
      <c r="BY997">
        <f>'Revenue drivers'!BY373</f>
        <v>20</v>
      </c>
    </row>
    <row r="998" spans="9:77" ht="11.25" customHeight="1">
      <c r="I998" t="str">
        <f>'Revenue drivers'!I374</f>
        <v>% change Y/Y</v>
      </c>
      <c r="J998">
        <f>'Revenue drivers'!J374</f>
        <v>0</v>
      </c>
      <c r="K998">
        <f>'Revenue drivers'!K374</f>
        <v>0</v>
      </c>
      <c r="L998">
        <f>'Revenue drivers'!L374</f>
        <v>0</v>
      </c>
      <c r="M998" t="str">
        <f>'Revenue drivers'!M374</f>
        <v>NA</v>
      </c>
      <c r="N998" t="str">
        <f>'Revenue drivers'!N374</f>
        <v>NA</v>
      </c>
      <c r="O998" t="str">
        <f>'Revenue drivers'!O374</f>
        <v>NA</v>
      </c>
      <c r="P998" t="str">
        <f>'Revenue drivers'!P374</f>
        <v>NA</v>
      </c>
      <c r="Q998">
        <f>'Revenue drivers'!Q374</f>
        <v>0.6926005466614602</v>
      </c>
      <c r="R998">
        <f>'Revenue drivers'!R374</f>
        <v>0.68476402188782481</v>
      </c>
      <c r="S998">
        <f>'Revenue drivers'!S374</f>
        <v>0.66159554730983317</v>
      </c>
      <c r="T998">
        <f>'Revenue drivers'!T374</f>
        <v>0.64187892821700299</v>
      </c>
      <c r="U998">
        <f>'Revenue drivers'!U374</f>
        <v>0.58999942326547106</v>
      </c>
      <c r="V998">
        <f>'Revenue drivers'!V374</f>
        <v>0.53560010149708215</v>
      </c>
      <c r="W998">
        <f>'Revenue drivers'!W374</f>
        <v>0.48539526574363556</v>
      </c>
      <c r="X998">
        <f>'Revenue drivers'!X374</f>
        <v>0.45061852762219434</v>
      </c>
      <c r="Y998">
        <f>'Revenue drivers'!Y374</f>
        <v>0.41836845732525663</v>
      </c>
      <c r="Z998">
        <f>'Revenue drivers'!Z374</f>
        <v>0.40540004626722648</v>
      </c>
      <c r="AA998">
        <f>'Revenue drivers'!AA374</f>
        <v>0.42287569907992051</v>
      </c>
      <c r="AB998">
        <f>'Revenue drivers'!AB374</f>
        <v>0.46547222222222207</v>
      </c>
      <c r="AC998">
        <f>'Revenue drivers'!AC374</f>
        <v>0.45768866838861455</v>
      </c>
      <c r="AD998">
        <f>'Revenue drivers'!AD374</f>
        <v>0.44245873112919143</v>
      </c>
      <c r="AE998">
        <f>'Revenue drivers'!AE374</f>
        <v>0.4072101770846539</v>
      </c>
      <c r="AF998">
        <f>'Revenue drivers'!AF374</f>
        <v>0.35019049604791785</v>
      </c>
      <c r="AG998">
        <f>'Revenue drivers'!AG374</f>
        <v>0.35694736842105268</v>
      </c>
      <c r="AH998">
        <f>'Revenue drivers'!AH374</f>
        <v>0.35473248345342512</v>
      </c>
      <c r="AI998">
        <f>'Revenue drivers'!AI374</f>
        <v>0.34603255646323894</v>
      </c>
      <c r="AJ998">
        <f>'Revenue drivers'!AJ374</f>
        <v>0.33661837376460002</v>
      </c>
      <c r="AK998">
        <f>'Revenue drivers'!AK374</f>
        <v>0.313112507434127</v>
      </c>
      <c r="AL998">
        <f>'Revenue drivers'!AL374</f>
        <v>0.30262809559336712</v>
      </c>
      <c r="AM998">
        <f>'Revenue drivers'!AM374</f>
        <v>0.2858704747029619</v>
      </c>
      <c r="AN998">
        <f>'Revenue drivers'!AN374</f>
        <v>0.27110597626299771</v>
      </c>
      <c r="AO998">
        <f>'Revenue drivers'!AO374</f>
        <v>0.25514946240793979</v>
      </c>
      <c r="AP998">
        <f>'Revenue drivers'!AP374</f>
        <v>0.24332338731281933</v>
      </c>
      <c r="AQ998">
        <f>'Revenue drivers'!AQ374</f>
        <v>0.23232025264838319</v>
      </c>
      <c r="AR998">
        <f>'Revenue drivers'!AR374</f>
        <v>0.22538050932888232</v>
      </c>
      <c r="AS998">
        <f>'Revenue drivers'!AS374</f>
        <v>0.2124445002274904</v>
      </c>
      <c r="AT998">
        <f>'Revenue drivers'!AT374</f>
        <v>0.19489416082798994</v>
      </c>
      <c r="AU998">
        <f>'Revenue drivers'!AU374</f>
        <v>0.17596243205947792</v>
      </c>
      <c r="AV998">
        <f>'Revenue drivers'!AV374</f>
        <v>0.16782424577539823</v>
      </c>
      <c r="AW998">
        <f>'Revenue drivers'!AW374</f>
        <v>0.16034549689441002</v>
      </c>
      <c r="AX998">
        <f>'Revenue drivers'!AX374</f>
        <v>0.15344915496636058</v>
      </c>
      <c r="AY998">
        <f>'Revenue drivers'!AY374</f>
        <v>0.14711816510905318</v>
      </c>
      <c r="AZ998">
        <f>'Revenue drivers'!AZ374</f>
        <v>0.14128162784520693</v>
      </c>
      <c r="BA998">
        <f>'Revenue drivers'!BA374</f>
        <v>0.13584583730616751</v>
      </c>
      <c r="BB998">
        <f>'Revenue drivers'!BB374</f>
        <v>0.13077088948787052</v>
      </c>
      <c r="BC998">
        <f>'Revenue drivers'!BC374</f>
        <v>0.12605818310873573</v>
      </c>
      <c r="BD998">
        <f>'Revenue drivers'!BD374</f>
        <v>0.12166715573679254</v>
      </c>
      <c r="BE998">
        <f>'Revenue drivers'!BE374</f>
        <v>0</v>
      </c>
      <c r="BF998">
        <f>'Revenue drivers'!BF374</f>
        <v>0</v>
      </c>
      <c r="BG998">
        <f>'Revenue drivers'!BG374</f>
        <v>0</v>
      </c>
      <c r="BH998">
        <f>'Revenue drivers'!BH374</f>
        <v>0</v>
      </c>
      <c r="BI998">
        <f>'Revenue drivers'!BI374</f>
        <v>0.81433559252413223</v>
      </c>
      <c r="BJ998">
        <f>'Revenue drivers'!BJ374</f>
        <v>0.71100294317410007</v>
      </c>
      <c r="BK998">
        <f>'Revenue drivers'!BK374</f>
        <v>0.64187892821700299</v>
      </c>
      <c r="BL998">
        <f>'Revenue drivers'!BL374</f>
        <v>0.45061852762219434</v>
      </c>
      <c r="BM998">
        <f>'Revenue drivers'!BM374</f>
        <v>0.46547222222222207</v>
      </c>
      <c r="BN998">
        <f>'Revenue drivers'!BN374</f>
        <v>0.35019049604791785</v>
      </c>
      <c r="BO998">
        <f>'Revenue drivers'!BO374</f>
        <v>0.33661837376460002</v>
      </c>
      <c r="BP998">
        <f>'Revenue drivers'!BP374</f>
        <v>0.27110597626299771</v>
      </c>
      <c r="BQ998">
        <f>'Revenue drivers'!BQ374</f>
        <v>0.22538050932888232</v>
      </c>
      <c r="BR998">
        <f>'Revenue drivers'!BR374</f>
        <v>0.16782424577539823</v>
      </c>
      <c r="BS998">
        <f>'Revenue drivers'!BS374</f>
        <v>0.14128162784520693</v>
      </c>
      <c r="BT998">
        <f>'Revenue drivers'!BT374</f>
        <v>0.12166715573679254</v>
      </c>
      <c r="BU998">
        <f>'Revenue drivers'!BU374</f>
        <v>9.0211184382639642E-2</v>
      </c>
      <c r="BV998">
        <f>'Revenue drivers'!BV374</f>
        <v>8.2746522577388459E-2</v>
      </c>
      <c r="BW998">
        <f>'Revenue drivers'!BW374</f>
        <v>7.6422801507057603E-2</v>
      </c>
      <c r="BX998">
        <f>'Revenue drivers'!BX374</f>
        <v>7.0997011025835777E-2</v>
      </c>
      <c r="BY998">
        <f>'Revenue drivers'!BY374</f>
        <v>6.6290578120131727E-2</v>
      </c>
    </row>
    <row r="999" spans="9:77" ht="11.25" customHeight="1">
      <c r="I999" t="str">
        <f>'Revenue drivers'!I375</f>
        <v>% change Q/Q</v>
      </c>
      <c r="J999">
        <f>'Revenue drivers'!J375</f>
        <v>0</v>
      </c>
      <c r="K999">
        <f>'Revenue drivers'!K375</f>
        <v>0</v>
      </c>
      <c r="L999">
        <f>'Revenue drivers'!L375</f>
        <v>0</v>
      </c>
      <c r="M999" t="str">
        <f>'Revenue drivers'!M375</f>
        <v>NA</v>
      </c>
      <c r="N999">
        <f>'Revenue drivers'!N375</f>
        <v>0.14174150722374068</v>
      </c>
      <c r="O999">
        <f>'Revenue drivers'!O375</f>
        <v>0.15210328317373456</v>
      </c>
      <c r="P999">
        <f>'Revenue drivers'!P375</f>
        <v>0.12170686456400737</v>
      </c>
      <c r="Q999">
        <f>'Revenue drivers'!Q375</f>
        <v>0.14713860403572609</v>
      </c>
      <c r="R999">
        <f>'Revenue drivers'!R375</f>
        <v>0.13645538958417447</v>
      </c>
      <c r="S999">
        <f>'Revenue drivers'!S375</f>
        <v>0.13625983252981499</v>
      </c>
      <c r="T999">
        <f>'Revenue drivers'!T375</f>
        <v>0.1083966056275123</v>
      </c>
      <c r="U999">
        <f>'Revenue drivers'!U375</f>
        <v>0.11089172744489662</v>
      </c>
      <c r="V999">
        <f>'Revenue drivers'!V375</f>
        <v>9.7573361384163393E-2</v>
      </c>
      <c r="W999">
        <f>'Revenue drivers'!W375</f>
        <v>9.9111008295052816E-2</v>
      </c>
      <c r="X999">
        <f>'Revenue drivers'!X375</f>
        <v>8.2446328702868499E-2</v>
      </c>
      <c r="Y999">
        <f>'Revenue drivers'!Y375</f>
        <v>8.6194444444444462E-2</v>
      </c>
      <c r="Z999">
        <f>'Revenue drivers'!Z375</f>
        <v>8.7538040559547836E-2</v>
      </c>
      <c r="AA999">
        <f>'Revenue drivers'!AA375</f>
        <v>0.1127780651836523</v>
      </c>
      <c r="AB999">
        <f>'Revenue drivers'!AB375</f>
        <v>0.11485144330332608</v>
      </c>
      <c r="AC999">
        <f>'Revenue drivers'!AC375</f>
        <v>8.0425346399529918E-2</v>
      </c>
      <c r="AD999">
        <f>'Revenue drivers'!AD375</f>
        <v>7.617543859649123E-2</v>
      </c>
      <c r="AE999">
        <f>'Revenue drivers'!AE375</f>
        <v>8.5585732450849328E-2</v>
      </c>
      <c r="AF999">
        <f>'Revenue drivers'!AF375</f>
        <v>6.967803940413253E-2</v>
      </c>
      <c r="AG999">
        <f>'Revenue drivers'!AG375</f>
        <v>8.5832210242587692E-2</v>
      </c>
      <c r="AH999">
        <f>'Revenue drivers'!AH375</f>
        <v>7.4418845189150096E-2</v>
      </c>
      <c r="AI999">
        <f>'Revenue drivers'!AI375</f>
        <v>7.8614233111116372E-2</v>
      </c>
      <c r="AJ999">
        <f>'Revenue drivers'!AJ375</f>
        <v>6.219668656216859E-2</v>
      </c>
      <c r="AK999">
        <f>'Revenue drivers'!AK375</f>
        <v>6.6736687322760169E-2</v>
      </c>
      <c r="AL999">
        <f>'Revenue drivers'!AL375</f>
        <v>6.5840258359261217E-2</v>
      </c>
      <c r="AM999">
        <f>'Revenue drivers'!AM375</f>
        <v>6.4738431977533706E-2</v>
      </c>
      <c r="AN999">
        <f>'Revenue drivers'!AN375</f>
        <v>5.000043380560304E-2</v>
      </c>
      <c r="AO999">
        <f>'Revenue drivers'!AO375</f>
        <v>5.3345672687610479E-2</v>
      </c>
      <c r="AP999">
        <f>'Revenue drivers'!AP375</f>
        <v>5.5797863160702343E-2</v>
      </c>
      <c r="AQ999">
        <f>'Revenue drivers'!AQ375</f>
        <v>5.5315734335876776E-2</v>
      </c>
      <c r="AR999">
        <f>'Revenue drivers'!AR375</f>
        <v>4.4087414458306329E-2</v>
      </c>
      <c r="AS999">
        <f>'Revenue drivers'!AS375</f>
        <v>4.2225788614816073E-2</v>
      </c>
      <c r="AT999">
        <f>'Revenue drivers'!AT375</f>
        <v>4.0515010351966918E-2</v>
      </c>
      <c r="AU999">
        <f>'Revenue drivers'!AU375</f>
        <v>3.8595465794480921E-2</v>
      </c>
      <c r="AV999">
        <f>'Revenue drivers'!AV375</f>
        <v>3.6861862311335258E-2</v>
      </c>
      <c r="AW999">
        <f>'Revenue drivers'!AW375</f>
        <v>3.5551372512789836E-2</v>
      </c>
      <c r="AX999">
        <f>'Revenue drivers'!AX375</f>
        <v>3.4330863206258444E-2</v>
      </c>
      <c r="AY999">
        <f>'Revenue drivers'!AY375</f>
        <v>3.289487870619956E-2</v>
      </c>
      <c r="AZ999">
        <f>'Revenue drivers'!AZ375</f>
        <v>3.1586309119946421E-2</v>
      </c>
      <c r="BA999">
        <f>'Revenue drivers'!BA375</f>
        <v>3.0619162779402354E-2</v>
      </c>
      <c r="BB999">
        <f>'Revenue drivers'!BB375</f>
        <v>2.9709483274915849E-2</v>
      </c>
      <c r="BC999">
        <f>'Revenue drivers'!BC375</f>
        <v>2.8590089531746132E-2</v>
      </c>
      <c r="BD999">
        <f>'Revenue drivers'!BD375</f>
        <v>2.7563671757317332E-2</v>
      </c>
      <c r="BE999">
        <f>'Revenue drivers'!BE375</f>
        <v>0</v>
      </c>
      <c r="BF999">
        <f>'Revenue drivers'!BF375</f>
        <v>0</v>
      </c>
      <c r="BG999">
        <f>'Revenue drivers'!BG375</f>
        <v>0</v>
      </c>
      <c r="BH999">
        <f>'Revenue drivers'!BH375</f>
        <v>0</v>
      </c>
      <c r="BI999">
        <f>'Revenue drivers'!BI375</f>
        <v>0</v>
      </c>
      <c r="BJ999">
        <f>'Revenue drivers'!BJ375</f>
        <v>0</v>
      </c>
      <c r="BK999">
        <f>'Revenue drivers'!BK375</f>
        <v>0</v>
      </c>
      <c r="BL999">
        <f>'Revenue drivers'!BL375</f>
        <v>0</v>
      </c>
      <c r="BM999">
        <f>'Revenue drivers'!BM375</f>
        <v>0</v>
      </c>
      <c r="BN999">
        <f>'Revenue drivers'!BN375</f>
        <v>0</v>
      </c>
      <c r="BO999">
        <f>'Revenue drivers'!BO375</f>
        <v>0</v>
      </c>
      <c r="BP999">
        <f>'Revenue drivers'!BP375</f>
        <v>0</v>
      </c>
      <c r="BQ999">
        <f>'Revenue drivers'!BQ375</f>
        <v>0</v>
      </c>
      <c r="BR999">
        <f>'Revenue drivers'!BR375</f>
        <v>0</v>
      </c>
      <c r="BS999">
        <f>'Revenue drivers'!BS375</f>
        <v>0</v>
      </c>
      <c r="BT999">
        <f>'Revenue drivers'!BT375</f>
        <v>0</v>
      </c>
      <c r="BU999">
        <f>'Revenue drivers'!BU375</f>
        <v>0</v>
      </c>
      <c r="BV999">
        <f>'Revenue drivers'!BV375</f>
        <v>0</v>
      </c>
      <c r="BW999">
        <f>'Revenue drivers'!BW375</f>
        <v>0</v>
      </c>
      <c r="BX999">
        <f>'Revenue drivers'!BX375</f>
        <v>0</v>
      </c>
      <c r="BY999">
        <f>'Revenue drivers'!BY375</f>
        <v>0</v>
      </c>
    </row>
    <row r="1000" spans="9:77" ht="11.25" customHeight="1">
      <c r="I1000">
        <f>'Revenue drivers'!I376</f>
        <v>0</v>
      </c>
      <c r="J1000">
        <f>'Revenue drivers'!J376</f>
        <v>0</v>
      </c>
      <c r="K1000">
        <f>'Revenue drivers'!K376</f>
        <v>0</v>
      </c>
      <c r="L1000">
        <f>'Revenue drivers'!L376</f>
        <v>0</v>
      </c>
      <c r="M1000">
        <f>'Revenue drivers'!M376</f>
        <v>0</v>
      </c>
      <c r="N1000">
        <f>'Revenue drivers'!N376</f>
        <v>0</v>
      </c>
      <c r="O1000">
        <f>'Revenue drivers'!O376</f>
        <v>0</v>
      </c>
      <c r="P1000">
        <f>'Revenue drivers'!P376</f>
        <v>0</v>
      </c>
      <c r="Q1000">
        <f>'Revenue drivers'!Q376</f>
        <v>0</v>
      </c>
      <c r="R1000">
        <f>'Revenue drivers'!R376</f>
        <v>0</v>
      </c>
      <c r="S1000">
        <f>'Revenue drivers'!S376</f>
        <v>0</v>
      </c>
      <c r="T1000">
        <f>'Revenue drivers'!T376</f>
        <v>0</v>
      </c>
      <c r="U1000">
        <f>'Revenue drivers'!U376</f>
        <v>0</v>
      </c>
      <c r="V1000">
        <f>'Revenue drivers'!V376</f>
        <v>0</v>
      </c>
      <c r="W1000">
        <f>'Revenue drivers'!W376</f>
        <v>0</v>
      </c>
      <c r="X1000">
        <f>'Revenue drivers'!X376</f>
        <v>0</v>
      </c>
      <c r="Y1000">
        <f>'Revenue drivers'!Y376</f>
        <v>0</v>
      </c>
      <c r="Z1000">
        <f>'Revenue drivers'!Z376</f>
        <v>0</v>
      </c>
      <c r="AA1000">
        <f>'Revenue drivers'!AA376</f>
        <v>0</v>
      </c>
      <c r="AB1000">
        <f>'Revenue drivers'!AB376</f>
        <v>0</v>
      </c>
      <c r="AC1000">
        <f>'Revenue drivers'!AC376</f>
        <v>0</v>
      </c>
      <c r="AD1000">
        <f>'Revenue drivers'!AD376</f>
        <v>0</v>
      </c>
      <c r="AE1000">
        <f>'Revenue drivers'!AE376</f>
        <v>0</v>
      </c>
      <c r="AF1000">
        <f>'Revenue drivers'!AF376</f>
        <v>0</v>
      </c>
      <c r="AG1000">
        <f>'Revenue drivers'!AG376</f>
        <v>0</v>
      </c>
      <c r="AH1000">
        <f>'Revenue drivers'!AH376</f>
        <v>0</v>
      </c>
      <c r="AI1000">
        <f>'Revenue drivers'!AI376</f>
        <v>0</v>
      </c>
      <c r="AJ1000">
        <f>'Revenue drivers'!AJ376</f>
        <v>0</v>
      </c>
      <c r="AK1000">
        <f>'Revenue drivers'!AK376</f>
        <v>0</v>
      </c>
      <c r="AL1000">
        <f>'Revenue drivers'!AL376</f>
        <v>0</v>
      </c>
      <c r="AM1000">
        <f>'Revenue drivers'!AM376</f>
        <v>0</v>
      </c>
      <c r="AN1000">
        <f>'Revenue drivers'!AN376</f>
        <v>0</v>
      </c>
      <c r="AO1000">
        <f>'Revenue drivers'!AO376</f>
        <v>0</v>
      </c>
      <c r="AP1000">
        <f>'Revenue drivers'!AP376</f>
        <v>0</v>
      </c>
      <c r="AQ1000">
        <f>'Revenue drivers'!AQ376</f>
        <v>0</v>
      </c>
      <c r="AR1000">
        <f>'Revenue drivers'!AR376</f>
        <v>0</v>
      </c>
      <c r="AS1000">
        <f>'Revenue drivers'!AS376</f>
        <v>0</v>
      </c>
      <c r="AT1000">
        <f>'Revenue drivers'!AT376</f>
        <v>0</v>
      </c>
      <c r="AU1000">
        <f>'Revenue drivers'!AU376</f>
        <v>0</v>
      </c>
      <c r="AV1000">
        <f>'Revenue drivers'!AV376</f>
        <v>0</v>
      </c>
      <c r="AW1000">
        <f>'Revenue drivers'!AW376</f>
        <v>0</v>
      </c>
      <c r="AX1000">
        <f>'Revenue drivers'!AX376</f>
        <v>0</v>
      </c>
      <c r="AY1000">
        <f>'Revenue drivers'!AY376</f>
        <v>0</v>
      </c>
      <c r="AZ1000">
        <f>'Revenue drivers'!AZ376</f>
        <v>0</v>
      </c>
      <c r="BA1000">
        <f>'Revenue drivers'!BA376</f>
        <v>0</v>
      </c>
      <c r="BB1000">
        <f>'Revenue drivers'!BB376</f>
        <v>0</v>
      </c>
      <c r="BC1000">
        <f>'Revenue drivers'!BC376</f>
        <v>0</v>
      </c>
      <c r="BD1000">
        <f>'Revenue drivers'!BD376</f>
        <v>0</v>
      </c>
      <c r="BE1000">
        <f>'Revenue drivers'!BE376</f>
        <v>0</v>
      </c>
      <c r="BF1000">
        <f>'Revenue drivers'!BF376</f>
        <v>0</v>
      </c>
      <c r="BG1000">
        <f>'Revenue drivers'!BG376</f>
        <v>0</v>
      </c>
      <c r="BH1000">
        <f>'Revenue drivers'!BH376</f>
        <v>0</v>
      </c>
      <c r="BI1000">
        <f>'Revenue drivers'!BI376</f>
        <v>0</v>
      </c>
      <c r="BJ1000">
        <f>'Revenue drivers'!BJ376</f>
        <v>0</v>
      </c>
      <c r="BK1000">
        <f>'Revenue drivers'!BK376</f>
        <v>0</v>
      </c>
      <c r="BL1000">
        <f>'Revenue drivers'!BL376</f>
        <v>0</v>
      </c>
      <c r="BM1000">
        <f>'Revenue drivers'!BM376</f>
        <v>0</v>
      </c>
      <c r="BN1000">
        <f>'Revenue drivers'!BN376</f>
        <v>0</v>
      </c>
      <c r="BO1000">
        <f>'Revenue drivers'!BO376</f>
        <v>0</v>
      </c>
      <c r="BP1000">
        <f>'Revenue drivers'!BP376</f>
        <v>0</v>
      </c>
      <c r="BQ1000">
        <f>'Revenue drivers'!BQ376</f>
        <v>0</v>
      </c>
      <c r="BR1000">
        <f>'Revenue drivers'!BR376</f>
        <v>0</v>
      </c>
      <c r="BS1000">
        <f>'Revenue drivers'!BS376</f>
        <v>0</v>
      </c>
      <c r="BT1000">
        <f>'Revenue drivers'!BT376</f>
        <v>0</v>
      </c>
      <c r="BU1000">
        <f>'Revenue drivers'!BU376</f>
        <v>0</v>
      </c>
      <c r="BV1000">
        <f>'Revenue drivers'!BV376</f>
        <v>0</v>
      </c>
      <c r="BW1000">
        <f>'Revenue drivers'!BW376</f>
        <v>0</v>
      </c>
      <c r="BX1000">
        <f>'Revenue drivers'!BX376</f>
        <v>0</v>
      </c>
      <c r="BY1000">
        <f>'Revenue drivers'!BY376</f>
        <v>0</v>
      </c>
    </row>
    <row r="1001" spans="9:77" ht="11.25" customHeight="1">
      <c r="I1001" t="str">
        <f>'Revenue drivers'!I377</f>
        <v>Available reviews</v>
      </c>
      <c r="J1001">
        <f>'Revenue drivers'!J377</f>
        <v>0</v>
      </c>
      <c r="K1001">
        <f>'Revenue drivers'!K377</f>
        <v>0</v>
      </c>
      <c r="L1001">
        <f>'Revenue drivers'!L377</f>
        <v>0</v>
      </c>
      <c r="M1001">
        <f>'Revenue drivers'!M377</f>
        <v>0</v>
      </c>
      <c r="N1001">
        <f>'Revenue drivers'!N377</f>
        <v>0</v>
      </c>
      <c r="O1001">
        <f>'Revenue drivers'!O377</f>
        <v>0</v>
      </c>
      <c r="P1001">
        <f>'Revenue drivers'!P377</f>
        <v>0</v>
      </c>
      <c r="Q1001">
        <f>'Revenue drivers'!Q377</f>
        <v>0</v>
      </c>
      <c r="R1001">
        <f>'Revenue drivers'!R377</f>
        <v>0</v>
      </c>
      <c r="S1001">
        <f>'Revenue drivers'!S377</f>
        <v>0</v>
      </c>
      <c r="T1001">
        <f>'Revenue drivers'!T377</f>
        <v>18</v>
      </c>
      <c r="U1001">
        <f>'Revenue drivers'!U377</f>
        <v>19.899999999999999</v>
      </c>
      <c r="V1001">
        <f>'Revenue drivers'!V377</f>
        <v>21.6</v>
      </c>
      <c r="W1001">
        <f>'Revenue drivers'!W377</f>
        <v>23.4</v>
      </c>
      <c r="X1001">
        <f>'Revenue drivers'!X377</f>
        <v>25.199999999999996</v>
      </c>
      <c r="Y1001">
        <f>'Revenue drivers'!Y377</f>
        <v>27.200000000000003</v>
      </c>
      <c r="Z1001">
        <f>'Revenue drivers'!Z377</f>
        <v>29.35</v>
      </c>
      <c r="AA1001">
        <f>'Revenue drivers'!AA377</f>
        <v>32.9</v>
      </c>
      <c r="AB1001">
        <f>'Revenue drivers'!AB377</f>
        <v>36.5</v>
      </c>
      <c r="AC1001">
        <f>'Revenue drivers'!AC377</f>
        <v>39.4</v>
      </c>
      <c r="AD1001">
        <f>'Revenue drivers'!AD377</f>
        <v>42.5</v>
      </c>
      <c r="AE1001">
        <f>'Revenue drivers'!AE377</f>
        <v>46.7</v>
      </c>
      <c r="AF1001">
        <f>'Revenue drivers'!AF377</f>
        <v>49.653060600315385</v>
      </c>
      <c r="AG1001">
        <f>'Revenue drivers'!AG377</f>
        <v>54.078258077701129</v>
      </c>
      <c r="AH1001">
        <f>'Revenue drivers'!AH377</f>
        <v>58.014938085865488</v>
      </c>
      <c r="AI1001">
        <f>'Revenue drivers'!AI377</f>
        <v>62.623068358201138</v>
      </c>
      <c r="AJ1001">
        <f>'Revenue drivers'!AJ377</f>
        <v>66.49287861236931</v>
      </c>
      <c r="AK1001">
        <f>'Revenue drivers'!AK377</f>
        <v>70.943800394941036</v>
      </c>
      <c r="AL1001">
        <f>'Revenue drivers'!AL377</f>
        <v>75.607613504069533</v>
      </c>
      <c r="AM1001">
        <f>'Revenue drivers'!AM377</f>
        <v>80.506135646091352</v>
      </c>
      <c r="AN1001">
        <f>'Revenue drivers'!AN377</f>
        <v>84.529480357525983</v>
      </c>
      <c r="AO1001">
        <f>'Revenue drivers'!AO377</f>
        <v>89.039814112091378</v>
      </c>
      <c r="AP1001">
        <f>'Revenue drivers'!AP377</f>
        <v>94.007490251229882</v>
      </c>
      <c r="AQ1001">
        <f>'Revenue drivers'!AQ377</f>
        <v>99.207876576147243</v>
      </c>
      <c r="AR1001">
        <f>'Revenue drivers'!AR377</f>
        <v>103.58154240587545</v>
      </c>
      <c r="AS1001">
        <f>'Revenue drivers'!AS377</f>
        <v>107.955434420166</v>
      </c>
      <c r="AT1001">
        <f>'Revenue drivers'!AT377</f>
        <v>112.32920849858989</v>
      </c>
      <c r="AU1001">
        <f>'Revenue drivers'!AU377</f>
        <v>116.66462815542236</v>
      </c>
      <c r="AV1001">
        <f>'Revenue drivers'!AV377</f>
        <v>120.96509245197454</v>
      </c>
      <c r="AW1001">
        <f>'Revenue drivers'!AW377</f>
        <v>125.26557329476884</v>
      </c>
      <c r="AX1001">
        <f>'Revenue drivers'!AX377</f>
        <v>129.56604556679403</v>
      </c>
      <c r="AY1001">
        <f>'Revenue drivers'!AY377</f>
        <v>133.82810646392605</v>
      </c>
      <c r="AZ1001">
        <f>'Revenue drivers'!AZ377</f>
        <v>138.05524160736653</v>
      </c>
      <c r="BA1001">
        <f>'Revenue drivers'!BA377</f>
        <v>142.28237793301579</v>
      </c>
      <c r="BB1001">
        <f>'Revenue drivers'!BB377</f>
        <v>146.50951364927491</v>
      </c>
      <c r="BC1001">
        <f>'Revenue drivers'!BC377</f>
        <v>150.69823387040873</v>
      </c>
      <c r="BD1001">
        <f>'Revenue drivers'!BD377</f>
        <v>154.85203046739852</v>
      </c>
      <c r="BE1001">
        <f>'Revenue drivers'!BE377</f>
        <v>0</v>
      </c>
      <c r="BF1001">
        <f>'Revenue drivers'!BF377</f>
        <v>0</v>
      </c>
      <c r="BG1001">
        <f>'Revenue drivers'!BG377</f>
        <v>0</v>
      </c>
      <c r="BH1001">
        <f>'Revenue drivers'!BH377</f>
        <v>0</v>
      </c>
      <c r="BI1001">
        <f>'Revenue drivers'!BI377</f>
        <v>0</v>
      </c>
      <c r="BJ1001">
        <f>'Revenue drivers'!BJ377</f>
        <v>0</v>
      </c>
      <c r="BK1001">
        <f>'Revenue drivers'!BK377</f>
        <v>18</v>
      </c>
      <c r="BL1001">
        <f>'Revenue drivers'!BL377</f>
        <v>25.199999999999996</v>
      </c>
      <c r="BM1001">
        <f>'Revenue drivers'!BM377</f>
        <v>36.5</v>
      </c>
      <c r="BN1001">
        <f>'Revenue drivers'!BN377</f>
        <v>49.653060600315385</v>
      </c>
      <c r="BO1001">
        <f>'Revenue drivers'!BO377</f>
        <v>66.49287861236931</v>
      </c>
      <c r="BP1001">
        <f>'Revenue drivers'!BP377</f>
        <v>84.529480357525983</v>
      </c>
      <c r="BQ1001">
        <f>'Revenue drivers'!BQ377</f>
        <v>103.58154240587545</v>
      </c>
      <c r="BR1001">
        <f>'Revenue drivers'!BR377</f>
        <v>120.96509245197454</v>
      </c>
      <c r="BS1001">
        <f>'Revenue drivers'!BS377</f>
        <v>138.05524160736653</v>
      </c>
      <c r="BT1001">
        <f>'Revenue drivers'!BT377</f>
        <v>154.85203046739852</v>
      </c>
      <c r="BU1001">
        <f>'Revenue drivers'!BU377</f>
        <v>168.82141553991914</v>
      </c>
      <c r="BV1001">
        <f>'Revenue drivers'!BV377</f>
        <v>182.79080061243977</v>
      </c>
      <c r="BW1001">
        <f>'Revenue drivers'!BW377</f>
        <v>196.76018568496039</v>
      </c>
      <c r="BX1001">
        <f>'Revenue drivers'!BX377</f>
        <v>210.72957075748101</v>
      </c>
      <c r="BY1001">
        <f>'Revenue drivers'!BY377</f>
        <v>224.69895583000167</v>
      </c>
    </row>
    <row r="1002" spans="9:77" ht="11.25" customHeight="1">
      <c r="I1002" t="str">
        <f>'Revenue drivers'!I378</f>
        <v>% change Y/Y</v>
      </c>
      <c r="J1002">
        <f>'Revenue drivers'!J378</f>
        <v>0</v>
      </c>
      <c r="K1002">
        <f>'Revenue drivers'!K378</f>
        <v>0</v>
      </c>
      <c r="L1002">
        <f>'Revenue drivers'!L378</f>
        <v>0</v>
      </c>
      <c r="M1002">
        <f>'Revenue drivers'!M378</f>
        <v>0</v>
      </c>
      <c r="N1002">
        <f>'Revenue drivers'!N378</f>
        <v>0</v>
      </c>
      <c r="O1002">
        <f>'Revenue drivers'!O378</f>
        <v>0</v>
      </c>
      <c r="P1002">
        <f>'Revenue drivers'!P378</f>
        <v>0</v>
      </c>
      <c r="Q1002">
        <f>'Revenue drivers'!Q378</f>
        <v>0</v>
      </c>
      <c r="R1002">
        <f>'Revenue drivers'!R378</f>
        <v>0</v>
      </c>
      <c r="S1002">
        <f>'Revenue drivers'!S378</f>
        <v>0</v>
      </c>
      <c r="T1002" t="str">
        <f>'Revenue drivers'!T378</f>
        <v>NA</v>
      </c>
      <c r="U1002" t="str">
        <f>'Revenue drivers'!U378</f>
        <v>NA</v>
      </c>
      <c r="V1002" t="str">
        <f>'Revenue drivers'!V378</f>
        <v>NA</v>
      </c>
      <c r="W1002" t="str">
        <f>'Revenue drivers'!W378</f>
        <v>NA</v>
      </c>
      <c r="X1002">
        <f>'Revenue drivers'!X378</f>
        <v>0.39999999999999969</v>
      </c>
      <c r="Y1002">
        <f>'Revenue drivers'!Y378</f>
        <v>0.3668341708542715</v>
      </c>
      <c r="Z1002">
        <f>'Revenue drivers'!Z378</f>
        <v>0.35879629629629628</v>
      </c>
      <c r="AA1002">
        <f>'Revenue drivers'!AA378</f>
        <v>0.40598290598290609</v>
      </c>
      <c r="AB1002">
        <f>'Revenue drivers'!AB378</f>
        <v>0.4484126984126986</v>
      </c>
      <c r="AC1002">
        <f>'Revenue drivers'!AC378</f>
        <v>0.44852941176470562</v>
      </c>
      <c r="AD1002">
        <f>'Revenue drivers'!AD378</f>
        <v>0.44804088586030666</v>
      </c>
      <c r="AE1002">
        <f>'Revenue drivers'!AE378</f>
        <v>0.41945288753799415</v>
      </c>
      <c r="AF1002">
        <f>'Revenue drivers'!AF378</f>
        <v>0.36035782466617494</v>
      </c>
      <c r="AG1002">
        <f>'Revenue drivers'!AG378</f>
        <v>0.37254462126145005</v>
      </c>
      <c r="AH1002">
        <f>'Revenue drivers'!AH378</f>
        <v>0.36505736672624667</v>
      </c>
      <c r="AI1002">
        <f>'Revenue drivers'!AI378</f>
        <v>0.34096506120345049</v>
      </c>
      <c r="AJ1002">
        <f>'Revenue drivers'!AJ378</f>
        <v>0.33914964774491585</v>
      </c>
      <c r="AK1002">
        <f>'Revenue drivers'!AK378</f>
        <v>0.31187288416366954</v>
      </c>
      <c r="AL1002">
        <f>'Revenue drivers'!AL378</f>
        <v>0.30324388853377493</v>
      </c>
      <c r="AM1002">
        <f>'Revenue drivers'!AM378</f>
        <v>0.28556676887181376</v>
      </c>
      <c r="AN1002">
        <f>'Revenue drivers'!AN378</f>
        <v>0.27125614233523976</v>
      </c>
      <c r="AO1002">
        <f>'Revenue drivers'!AO378</f>
        <v>0.25507533591956766</v>
      </c>
      <c r="AP1002">
        <f>'Revenue drivers'!AP378</f>
        <v>0.24336010481497317</v>
      </c>
      <c r="AQ1002">
        <f>'Revenue drivers'!AQ378</f>
        <v>0.2323020572279062</v>
      </c>
      <c r="AR1002">
        <f>'Revenue drivers'!AR378</f>
        <v>0.22538955601959043</v>
      </c>
      <c r="AS1002">
        <f>'Revenue drivers'!AS378</f>
        <v>0.21244002468673084</v>
      </c>
      <c r="AT1002">
        <f>'Revenue drivers'!AT378</f>
        <v>0.19489636621928974</v>
      </c>
      <c r="AU1002">
        <f>'Revenue drivers'!AU378</f>
        <v>0.1759613468379817</v>
      </c>
      <c r="AV1002">
        <f>'Revenue drivers'!AV378</f>
        <v>0.16782478463183259</v>
      </c>
      <c r="AW1002">
        <f>'Revenue drivers'!AW378</f>
        <v>0.16034522919180927</v>
      </c>
      <c r="AX1002">
        <f>'Revenue drivers'!AX378</f>
        <v>0.15344928802218449</v>
      </c>
      <c r="AY1002">
        <f>'Revenue drivers'!AY378</f>
        <v>0.14711809894630834</v>
      </c>
      <c r="AZ1002">
        <f>'Revenue drivers'!AZ378</f>
        <v>0.14128166075826454</v>
      </c>
      <c r="BA1002">
        <f>'Revenue drivers'!BA378</f>
        <v>0.13584582092802022</v>
      </c>
      <c r="BB1002">
        <f>'Revenue drivers'!BB378</f>
        <v>0.13077089764035565</v>
      </c>
      <c r="BC1002">
        <f>'Revenue drivers'!BC378</f>
        <v>0.12605817904948169</v>
      </c>
      <c r="BD1002">
        <f>'Revenue drivers'!BD378</f>
        <v>0.12166715775850512</v>
      </c>
      <c r="BE1002">
        <f>'Revenue drivers'!BE378</f>
        <v>0</v>
      </c>
      <c r="BF1002">
        <f>'Revenue drivers'!BF378</f>
        <v>0</v>
      </c>
      <c r="BG1002">
        <f>'Revenue drivers'!BG378</f>
        <v>0</v>
      </c>
      <c r="BH1002">
        <f>'Revenue drivers'!BH378</f>
        <v>0</v>
      </c>
      <c r="BI1002">
        <f>'Revenue drivers'!BI378</f>
        <v>0</v>
      </c>
      <c r="BJ1002">
        <f>'Revenue drivers'!BJ378</f>
        <v>0</v>
      </c>
      <c r="BK1002" t="str">
        <f>'Revenue drivers'!BK378</f>
        <v>NA</v>
      </c>
      <c r="BL1002">
        <f>'Revenue drivers'!BL378</f>
        <v>0.39999999999999969</v>
      </c>
      <c r="BM1002">
        <f>'Revenue drivers'!BM378</f>
        <v>0.4484126984126986</v>
      </c>
      <c r="BN1002">
        <f>'Revenue drivers'!BN378</f>
        <v>0.36035782466617494</v>
      </c>
      <c r="BO1002">
        <f>'Revenue drivers'!BO378</f>
        <v>0.33914964774491585</v>
      </c>
      <c r="BP1002">
        <f>'Revenue drivers'!BP378</f>
        <v>0.27125614233523976</v>
      </c>
      <c r="BQ1002">
        <f>'Revenue drivers'!BQ378</f>
        <v>0.22538955601959043</v>
      </c>
      <c r="BR1002">
        <f>'Revenue drivers'!BR378</f>
        <v>0.16782478463183259</v>
      </c>
      <c r="BS1002">
        <f>'Revenue drivers'!BS378</f>
        <v>0.14128166075826454</v>
      </c>
      <c r="BT1002">
        <f>'Revenue drivers'!BT378</f>
        <v>0.12166715775850512</v>
      </c>
      <c r="BU1002">
        <f>'Revenue drivers'!BU378</f>
        <v>9.0211184382639642E-2</v>
      </c>
      <c r="BV1002">
        <f>'Revenue drivers'!BV378</f>
        <v>8.2746522577388681E-2</v>
      </c>
      <c r="BW1002">
        <f>'Revenue drivers'!BW378</f>
        <v>7.6422801507057603E-2</v>
      </c>
      <c r="BX1002">
        <f>'Revenue drivers'!BX378</f>
        <v>7.0997011025835777E-2</v>
      </c>
      <c r="BY1002">
        <f>'Revenue drivers'!BY378</f>
        <v>6.6290578120131949E-2</v>
      </c>
    </row>
    <row r="1003" spans="9:77" ht="11.25" customHeight="1">
      <c r="I1003" t="str">
        <f>'Revenue drivers'!I379</f>
        <v>% change Q/Q</v>
      </c>
      <c r="J1003">
        <f>'Revenue drivers'!J379</f>
        <v>0</v>
      </c>
      <c r="K1003">
        <f>'Revenue drivers'!K379</f>
        <v>0</v>
      </c>
      <c r="L1003">
        <f>'Revenue drivers'!L379</f>
        <v>0</v>
      </c>
      <c r="M1003">
        <f>'Revenue drivers'!M379</f>
        <v>0</v>
      </c>
      <c r="N1003">
        <f>'Revenue drivers'!N379</f>
        <v>0</v>
      </c>
      <c r="O1003">
        <f>'Revenue drivers'!O379</f>
        <v>0</v>
      </c>
      <c r="P1003">
        <f>'Revenue drivers'!P379</f>
        <v>0</v>
      </c>
      <c r="Q1003">
        <f>'Revenue drivers'!Q379</f>
        <v>0</v>
      </c>
      <c r="R1003">
        <f>'Revenue drivers'!R379</f>
        <v>0</v>
      </c>
      <c r="S1003">
        <f>'Revenue drivers'!S379</f>
        <v>0</v>
      </c>
      <c r="T1003" t="str">
        <f>'Revenue drivers'!T379</f>
        <v>NA</v>
      </c>
      <c r="U1003">
        <f>'Revenue drivers'!U379</f>
        <v>0.1055555555555554</v>
      </c>
      <c r="V1003">
        <f>'Revenue drivers'!V379</f>
        <v>8.5427135678392219E-2</v>
      </c>
      <c r="W1003">
        <f>'Revenue drivers'!W379</f>
        <v>8.3333333333333259E-2</v>
      </c>
      <c r="X1003">
        <f>'Revenue drivers'!X379</f>
        <v>7.6923076923076872E-2</v>
      </c>
      <c r="Y1003">
        <f>'Revenue drivers'!Y379</f>
        <v>7.9365079365079749E-2</v>
      </c>
      <c r="Z1003">
        <f>'Revenue drivers'!Z379</f>
        <v>7.9044117647058654E-2</v>
      </c>
      <c r="AA1003">
        <f>'Revenue drivers'!AA379</f>
        <v>0.12095400340715501</v>
      </c>
      <c r="AB1003">
        <f>'Revenue drivers'!AB379</f>
        <v>0.10942249240121593</v>
      </c>
      <c r="AC1003">
        <f>'Revenue drivers'!AC379</f>
        <v>7.9452054794520555E-2</v>
      </c>
      <c r="AD1003">
        <f>'Revenue drivers'!AD379</f>
        <v>7.8680203045685237E-2</v>
      </c>
      <c r="AE1003">
        <f>'Revenue drivers'!AE379</f>
        <v>9.8823529411764754E-2</v>
      </c>
      <c r="AF1003">
        <f>'Revenue drivers'!AF379</f>
        <v>6.3234702362213735E-2</v>
      </c>
      <c r="AG1003">
        <f>'Revenue drivers'!AG379</f>
        <v>8.9122350644335491E-2</v>
      </c>
      <c r="AH1003">
        <f>'Revenue drivers'!AH379</f>
        <v>7.2795983970268319E-2</v>
      </c>
      <c r="AI1003">
        <f>'Revenue drivers'!AI379</f>
        <v>7.9430064469177664E-2</v>
      </c>
      <c r="AJ1003">
        <f>'Revenue drivers'!AJ379</f>
        <v>6.1795283361604669E-2</v>
      </c>
      <c r="AK1003">
        <f>'Revenue drivers'!AK379</f>
        <v>6.6938322952132534E-2</v>
      </c>
      <c r="AL1003">
        <f>'Revenue drivers'!AL379</f>
        <v>6.5739544303593078E-2</v>
      </c>
      <c r="AM1003">
        <f>'Revenue drivers'!AM379</f>
        <v>6.4788741702026531E-2</v>
      </c>
      <c r="AN1003">
        <f>'Revenue drivers'!AN379</f>
        <v>4.997562830641189E-2</v>
      </c>
      <c r="AO1003">
        <f>'Revenue drivers'!AO379</f>
        <v>5.3358115245574433E-2</v>
      </c>
      <c r="AP1003">
        <f>'Revenue drivers'!AP379</f>
        <v>5.5791627472230987E-2</v>
      </c>
      <c r="AQ1003">
        <f>'Revenue drivers'!AQ379</f>
        <v>5.5318850774758621E-2</v>
      </c>
      <c r="AR1003">
        <f>'Revenue drivers'!AR379</f>
        <v>4.4085872822519301E-2</v>
      </c>
      <c r="AS1003">
        <f>'Revenue drivers'!AS379</f>
        <v>4.222655805946407E-2</v>
      </c>
      <c r="AT1003">
        <f>'Revenue drivers'!AT379</f>
        <v>4.0514626261435094E-2</v>
      </c>
      <c r="AU1003">
        <f>'Revenue drivers'!AU379</f>
        <v>3.8595657485531953E-2</v>
      </c>
      <c r="AV1003">
        <f>'Revenue drivers'!AV379</f>
        <v>3.6861766625810866E-2</v>
      </c>
      <c r="AW1003">
        <f>'Revenue drivers'!AW379</f>
        <v>3.5551420295087732E-2</v>
      </c>
      <c r="AX1003">
        <f>'Revenue drivers'!AX379</f>
        <v>3.433083934326886E-2</v>
      </c>
      <c r="AY1003">
        <f>'Revenue drivers'!AY379</f>
        <v>3.2894890621129935E-2</v>
      </c>
      <c r="AZ1003">
        <f>'Revenue drivers'!AZ379</f>
        <v>3.1586303170028973E-2</v>
      </c>
      <c r="BA1003">
        <f>'Revenue drivers'!BA379</f>
        <v>3.0619165751571975E-2</v>
      </c>
      <c r="BB1003">
        <f>'Revenue drivers'!BB379</f>
        <v>2.9709481790142656E-2</v>
      </c>
      <c r="BC1003">
        <f>'Revenue drivers'!BC379</f>
        <v>2.8590090273325819E-2</v>
      </c>
      <c r="BD1003">
        <f>'Revenue drivers'!BD379</f>
        <v>2.7563671386897637E-2</v>
      </c>
      <c r="BE1003">
        <f>'Revenue drivers'!BE379</f>
        <v>0</v>
      </c>
      <c r="BF1003">
        <f>'Revenue drivers'!BF379</f>
        <v>0</v>
      </c>
      <c r="BG1003">
        <f>'Revenue drivers'!BG379</f>
        <v>0</v>
      </c>
      <c r="BH1003">
        <f>'Revenue drivers'!BH379</f>
        <v>0</v>
      </c>
      <c r="BI1003">
        <f>'Revenue drivers'!BI379</f>
        <v>0</v>
      </c>
      <c r="BJ1003">
        <f>'Revenue drivers'!BJ379</f>
        <v>0</v>
      </c>
      <c r="BK1003">
        <f>'Revenue drivers'!BK379</f>
        <v>0</v>
      </c>
      <c r="BL1003">
        <f>'Revenue drivers'!BL379</f>
        <v>0</v>
      </c>
      <c r="BM1003">
        <f>'Revenue drivers'!BM379</f>
        <v>0</v>
      </c>
      <c r="BN1003">
        <f>'Revenue drivers'!BN379</f>
        <v>0</v>
      </c>
      <c r="BO1003">
        <f>'Revenue drivers'!BO379</f>
        <v>0</v>
      </c>
      <c r="BP1003">
        <f>'Revenue drivers'!BP379</f>
        <v>0</v>
      </c>
      <c r="BQ1003">
        <f>'Revenue drivers'!BQ379</f>
        <v>0</v>
      </c>
      <c r="BR1003">
        <f>'Revenue drivers'!BR379</f>
        <v>0</v>
      </c>
      <c r="BS1003">
        <f>'Revenue drivers'!BS379</f>
        <v>0</v>
      </c>
      <c r="BT1003">
        <f>'Revenue drivers'!BT379</f>
        <v>0</v>
      </c>
      <c r="BU1003">
        <f>'Revenue drivers'!BU379</f>
        <v>0</v>
      </c>
      <c r="BV1003">
        <f>'Revenue drivers'!BV379</f>
        <v>0</v>
      </c>
      <c r="BW1003">
        <f>'Revenue drivers'!BW379</f>
        <v>0</v>
      </c>
      <c r="BX1003">
        <f>'Revenue drivers'!BX379</f>
        <v>0</v>
      </c>
      <c r="BY1003">
        <f>'Revenue drivers'!BY379</f>
        <v>0</v>
      </c>
    </row>
    <row r="1004" spans="9:77" ht="11.25" customHeight="1">
      <c r="I1004" t="str">
        <f>'Revenue drivers'!I380</f>
        <v>% of total reviews</v>
      </c>
      <c r="J1004">
        <f>'Revenue drivers'!J380</f>
        <v>0</v>
      </c>
      <c r="K1004">
        <f>'Revenue drivers'!K380</f>
        <v>0</v>
      </c>
      <c r="L1004">
        <f>'Revenue drivers'!L380</f>
        <v>0</v>
      </c>
      <c r="M1004">
        <f>'Revenue drivers'!M380</f>
        <v>0</v>
      </c>
      <c r="N1004">
        <f>'Revenue drivers'!N380</f>
        <v>0</v>
      </c>
      <c r="O1004">
        <f>'Revenue drivers'!O380</f>
        <v>0</v>
      </c>
      <c r="P1004">
        <f>'Revenue drivers'!P380</f>
        <v>0</v>
      </c>
      <c r="Q1004">
        <f>'Revenue drivers'!Q380</f>
        <v>0</v>
      </c>
      <c r="R1004">
        <f>'Revenue drivers'!R380</f>
        <v>0</v>
      </c>
      <c r="S1004">
        <f>'Revenue drivers'!S380</f>
        <v>0</v>
      </c>
      <c r="T1004">
        <f>'Revenue drivers'!T380</f>
        <v>0.72530926381109717</v>
      </c>
      <c r="U1004">
        <f>'Revenue drivers'!U380</f>
        <v>0.72182523849250968</v>
      </c>
      <c r="V1004">
        <f>'Revenue drivers'!V380</f>
        <v>0.71383720545953278</v>
      </c>
      <c r="W1004">
        <f>'Revenue drivers'!W380</f>
        <v>0.70359011365686441</v>
      </c>
      <c r="X1004">
        <f>'Revenue drivers'!X380</f>
        <v>0.69999999999999984</v>
      </c>
      <c r="Y1004">
        <f>'Revenue drivers'!Y380</f>
        <v>0.69559880316088285</v>
      </c>
      <c r="Z1004">
        <f>'Revenue drivers'!Z380</f>
        <v>0.69016601608427786</v>
      </c>
      <c r="AA1004">
        <f>'Revenue drivers'!AA380</f>
        <v>0.69523688770550685</v>
      </c>
      <c r="AB1004">
        <f>'Revenue drivers'!AB380</f>
        <v>0.69185131830847091</v>
      </c>
      <c r="AC1004">
        <f>'Revenue drivers'!AC380</f>
        <v>0.69122807017543852</v>
      </c>
      <c r="AD1004">
        <f>'Revenue drivers'!AD380</f>
        <v>0.69283688174497082</v>
      </c>
      <c r="AE1004">
        <f>'Revenue drivers'!AE380</f>
        <v>0.7012854396924556</v>
      </c>
      <c r="AF1004">
        <f>'Revenue drivers'!AF380</f>
        <v>0.69706116071871327</v>
      </c>
      <c r="AG1004">
        <f>'Revenue drivers'!AG380</f>
        <v>0.69917330020558432</v>
      </c>
      <c r="AH1004">
        <f>'Revenue drivers'!AH380</f>
        <v>0.6981172304621488</v>
      </c>
      <c r="AI1004">
        <f>'Revenue drivers'!AI380</f>
        <v>0.69864526533386662</v>
      </c>
      <c r="AJ1004">
        <f>'Revenue drivers'!AJ380</f>
        <v>0.69838124789800771</v>
      </c>
      <c r="AK1004">
        <f>'Revenue drivers'!AK380</f>
        <v>0.69851325661593711</v>
      </c>
      <c r="AL1004">
        <f>'Revenue drivers'!AL380</f>
        <v>0.69844725225697246</v>
      </c>
      <c r="AM1004">
        <f>'Revenue drivers'!AM380</f>
        <v>0.69848025443645489</v>
      </c>
      <c r="AN1004">
        <f>'Revenue drivers'!AN380</f>
        <v>0.69846375334671362</v>
      </c>
      <c r="AO1004">
        <f>'Revenue drivers'!AO380</f>
        <v>0.69847200389158426</v>
      </c>
      <c r="AP1004">
        <f>'Revenue drivers'!AP380</f>
        <v>0.69846787861914894</v>
      </c>
      <c r="AQ1004">
        <f>'Revenue drivers'!AQ380</f>
        <v>0.69846994125536654</v>
      </c>
      <c r="AR1004">
        <f>'Revenue drivers'!AR380</f>
        <v>0.69846890993725774</v>
      </c>
      <c r="AS1004">
        <f>'Revenue drivers'!AS380</f>
        <v>0.69846942559631209</v>
      </c>
      <c r="AT1004">
        <f>'Revenue drivers'!AT380</f>
        <v>0.69846916776678492</v>
      </c>
      <c r="AU1004">
        <f>'Revenue drivers'!AU380</f>
        <v>0.69846929668154856</v>
      </c>
      <c r="AV1004">
        <f>'Revenue drivers'!AV380</f>
        <v>0.69846923222416668</v>
      </c>
      <c r="AW1004">
        <f>'Revenue drivers'!AW380</f>
        <v>0.69846926445285751</v>
      </c>
      <c r="AX1004">
        <f>'Revenue drivers'!AX380</f>
        <v>0.69846924833851221</v>
      </c>
      <c r="AY1004">
        <f>'Revenue drivers'!AY380</f>
        <v>0.69846925639568491</v>
      </c>
      <c r="AZ1004">
        <f>'Revenue drivers'!AZ380</f>
        <v>0.69846925236709856</v>
      </c>
      <c r="BA1004">
        <f>'Revenue drivers'!BA380</f>
        <v>0.69846925438139174</v>
      </c>
      <c r="BB1004">
        <f>'Revenue drivers'!BB380</f>
        <v>0.69846925337424504</v>
      </c>
      <c r="BC1004">
        <f>'Revenue drivers'!BC380</f>
        <v>0.69846925387781844</v>
      </c>
      <c r="BD1004">
        <f>'Revenue drivers'!BD380</f>
        <v>0.69846925362603185</v>
      </c>
      <c r="BE1004">
        <f>'Revenue drivers'!BE380</f>
        <v>0</v>
      </c>
      <c r="BF1004">
        <f>'Revenue drivers'!BF380</f>
        <v>0</v>
      </c>
      <c r="BG1004">
        <f>'Revenue drivers'!BG380</f>
        <v>0</v>
      </c>
      <c r="BH1004">
        <f>'Revenue drivers'!BH380</f>
        <v>0</v>
      </c>
      <c r="BI1004">
        <f>'Revenue drivers'!BI380</f>
        <v>0</v>
      </c>
      <c r="BJ1004">
        <f>'Revenue drivers'!BJ380</f>
        <v>0</v>
      </c>
      <c r="BK1004">
        <f>'Revenue drivers'!BK380</f>
        <v>0.72530926381109717</v>
      </c>
      <c r="BL1004">
        <f>'Revenue drivers'!BL380</f>
        <v>0.69999999999999984</v>
      </c>
      <c r="BM1004">
        <f>'Revenue drivers'!BM380</f>
        <v>0.69185131830847091</v>
      </c>
      <c r="BN1004">
        <f>'Revenue drivers'!BN380</f>
        <v>0.69706116071871327</v>
      </c>
      <c r="BO1004">
        <f>'Revenue drivers'!BO380</f>
        <v>0.69838124789800771</v>
      </c>
      <c r="BP1004">
        <f>'Revenue drivers'!BP380</f>
        <v>0.69846375334671362</v>
      </c>
      <c r="BQ1004">
        <f>'Revenue drivers'!BQ380</f>
        <v>0.69846890993725774</v>
      </c>
      <c r="BR1004">
        <f>'Revenue drivers'!BR380</f>
        <v>0.69846923222416679</v>
      </c>
      <c r="BS1004">
        <f>'Revenue drivers'!BS380</f>
        <v>0.69846925236709856</v>
      </c>
      <c r="BT1004">
        <f>'Revenue drivers'!BT380</f>
        <v>0.69846925362603174</v>
      </c>
      <c r="BU1004">
        <f>'Revenue drivers'!BU380</f>
        <v>0.69846925362603174</v>
      </c>
      <c r="BV1004">
        <f>'Revenue drivers'!BV380</f>
        <v>0.69846925362603174</v>
      </c>
      <c r="BW1004">
        <f>'Revenue drivers'!BW380</f>
        <v>0.69846925362603174</v>
      </c>
      <c r="BX1004">
        <f>'Revenue drivers'!BX380</f>
        <v>0.69846925362603174</v>
      </c>
      <c r="BY1004">
        <f>'Revenue drivers'!BY380</f>
        <v>0.69846925362603174</v>
      </c>
    </row>
    <row r="1005" spans="9:77" ht="11.25" customHeight="1">
      <c r="I1005">
        <f>'Revenue drivers'!I381</f>
        <v>0</v>
      </c>
      <c r="J1005">
        <f>'Revenue drivers'!J381</f>
        <v>0</v>
      </c>
      <c r="K1005">
        <f>'Revenue drivers'!K381</f>
        <v>0</v>
      </c>
      <c r="L1005">
        <f>'Revenue drivers'!L381</f>
        <v>0</v>
      </c>
      <c r="M1005">
        <f>'Revenue drivers'!M381</f>
        <v>0</v>
      </c>
      <c r="N1005">
        <f>'Revenue drivers'!N381</f>
        <v>0</v>
      </c>
      <c r="O1005">
        <f>'Revenue drivers'!O381</f>
        <v>0</v>
      </c>
      <c r="P1005">
        <f>'Revenue drivers'!P381</f>
        <v>0</v>
      </c>
      <c r="Q1005">
        <f>'Revenue drivers'!Q381</f>
        <v>0</v>
      </c>
      <c r="R1005">
        <f>'Revenue drivers'!R381</f>
        <v>0</v>
      </c>
      <c r="S1005">
        <f>'Revenue drivers'!S381</f>
        <v>0</v>
      </c>
      <c r="T1005">
        <f>'Revenue drivers'!T381</f>
        <v>0</v>
      </c>
      <c r="U1005">
        <f>'Revenue drivers'!U381</f>
        <v>0</v>
      </c>
      <c r="V1005">
        <f>'Revenue drivers'!V381</f>
        <v>0</v>
      </c>
      <c r="W1005">
        <f>'Revenue drivers'!W381</f>
        <v>0</v>
      </c>
      <c r="X1005">
        <f>'Revenue drivers'!X381</f>
        <v>0</v>
      </c>
      <c r="Y1005">
        <f>'Revenue drivers'!Y381</f>
        <v>0</v>
      </c>
      <c r="Z1005">
        <f>'Revenue drivers'!Z381</f>
        <v>0</v>
      </c>
      <c r="AA1005">
        <f>'Revenue drivers'!AA381</f>
        <v>0</v>
      </c>
      <c r="AB1005">
        <f>'Revenue drivers'!AB381</f>
        <v>0</v>
      </c>
      <c r="AC1005">
        <f>'Revenue drivers'!AC381</f>
        <v>0</v>
      </c>
      <c r="AD1005">
        <f>'Revenue drivers'!AD381</f>
        <v>0</v>
      </c>
      <c r="AE1005">
        <f>'Revenue drivers'!AE381</f>
        <v>0</v>
      </c>
      <c r="AF1005">
        <f>'Revenue drivers'!AF381</f>
        <v>0</v>
      </c>
      <c r="AG1005">
        <f>'Revenue drivers'!AG381</f>
        <v>0</v>
      </c>
      <c r="AH1005">
        <f>'Revenue drivers'!AH381</f>
        <v>0</v>
      </c>
      <c r="AI1005">
        <f>'Revenue drivers'!AI381</f>
        <v>0</v>
      </c>
      <c r="AJ1005">
        <f>'Revenue drivers'!AJ381</f>
        <v>0</v>
      </c>
      <c r="AK1005">
        <f>'Revenue drivers'!AK381</f>
        <v>0</v>
      </c>
      <c r="AL1005">
        <f>'Revenue drivers'!AL381</f>
        <v>0</v>
      </c>
      <c r="AM1005">
        <f>'Revenue drivers'!AM381</f>
        <v>0</v>
      </c>
      <c r="AN1005">
        <f>'Revenue drivers'!AN381</f>
        <v>0</v>
      </c>
      <c r="AO1005">
        <f>'Revenue drivers'!AO381</f>
        <v>0</v>
      </c>
      <c r="AP1005">
        <f>'Revenue drivers'!AP381</f>
        <v>0</v>
      </c>
      <c r="AQ1005">
        <f>'Revenue drivers'!AQ381</f>
        <v>0</v>
      </c>
      <c r="AR1005">
        <f>'Revenue drivers'!AR381</f>
        <v>0</v>
      </c>
      <c r="AS1005">
        <f>'Revenue drivers'!AS381</f>
        <v>0</v>
      </c>
      <c r="AT1005">
        <f>'Revenue drivers'!AT381</f>
        <v>0</v>
      </c>
      <c r="AU1005">
        <f>'Revenue drivers'!AU381</f>
        <v>0</v>
      </c>
      <c r="AV1005">
        <f>'Revenue drivers'!AV381</f>
        <v>0</v>
      </c>
      <c r="AW1005">
        <f>'Revenue drivers'!AW381</f>
        <v>0</v>
      </c>
      <c r="AX1005">
        <f>'Revenue drivers'!AX381</f>
        <v>0</v>
      </c>
      <c r="AY1005">
        <f>'Revenue drivers'!AY381</f>
        <v>0</v>
      </c>
      <c r="AZ1005">
        <f>'Revenue drivers'!AZ381</f>
        <v>0</v>
      </c>
      <c r="BA1005">
        <f>'Revenue drivers'!BA381</f>
        <v>0</v>
      </c>
      <c r="BB1005">
        <f>'Revenue drivers'!BB381</f>
        <v>0</v>
      </c>
      <c r="BC1005">
        <f>'Revenue drivers'!BC381</f>
        <v>0</v>
      </c>
      <c r="BD1005">
        <f>'Revenue drivers'!BD381</f>
        <v>0</v>
      </c>
      <c r="BE1005">
        <f>'Revenue drivers'!BE381</f>
        <v>0</v>
      </c>
      <c r="BF1005">
        <f>'Revenue drivers'!BF381</f>
        <v>0</v>
      </c>
      <c r="BG1005">
        <f>'Revenue drivers'!BG381</f>
        <v>0</v>
      </c>
      <c r="BH1005">
        <f>'Revenue drivers'!BH381</f>
        <v>0</v>
      </c>
      <c r="BI1005">
        <f>'Revenue drivers'!BI381</f>
        <v>0</v>
      </c>
      <c r="BJ1005">
        <f>'Revenue drivers'!BJ381</f>
        <v>0</v>
      </c>
      <c r="BK1005">
        <f>'Revenue drivers'!BK381</f>
        <v>0</v>
      </c>
      <c r="BL1005">
        <f>'Revenue drivers'!BL381</f>
        <v>0</v>
      </c>
      <c r="BM1005">
        <f>'Revenue drivers'!BM381</f>
        <v>0</v>
      </c>
      <c r="BN1005">
        <f>'Revenue drivers'!BN381</f>
        <v>0</v>
      </c>
      <c r="BO1005">
        <f>'Revenue drivers'!BO381</f>
        <v>0</v>
      </c>
      <c r="BP1005">
        <f>'Revenue drivers'!BP381</f>
        <v>0</v>
      </c>
      <c r="BQ1005">
        <f>'Revenue drivers'!BQ381</f>
        <v>0</v>
      </c>
      <c r="BR1005">
        <f>'Revenue drivers'!BR381</f>
        <v>0</v>
      </c>
      <c r="BS1005">
        <f>'Revenue drivers'!BS381</f>
        <v>0</v>
      </c>
      <c r="BT1005">
        <f>'Revenue drivers'!BT381</f>
        <v>0</v>
      </c>
      <c r="BU1005">
        <f>'Revenue drivers'!BU381</f>
        <v>0</v>
      </c>
      <c r="BV1005">
        <f>'Revenue drivers'!BV381</f>
        <v>0</v>
      </c>
      <c r="BW1005">
        <f>'Revenue drivers'!BW381</f>
        <v>0</v>
      </c>
      <c r="BX1005">
        <f>'Revenue drivers'!BX381</f>
        <v>0</v>
      </c>
      <c r="BY1005">
        <f>'Revenue drivers'!BY381</f>
        <v>0</v>
      </c>
    </row>
    <row r="1006" spans="9:77" ht="11.25" customHeight="1">
      <c r="I1006" t="str">
        <f>'Revenue drivers'!I382</f>
        <v>Filtered reviews</v>
      </c>
      <c r="J1006">
        <f>'Revenue drivers'!J382</f>
        <v>0</v>
      </c>
      <c r="K1006">
        <f>'Revenue drivers'!K382</f>
        <v>0</v>
      </c>
      <c r="L1006">
        <f>'Revenue drivers'!L382</f>
        <v>0</v>
      </c>
      <c r="M1006">
        <f>'Revenue drivers'!M382</f>
        <v>0</v>
      </c>
      <c r="N1006">
        <f>'Revenue drivers'!N382</f>
        <v>0</v>
      </c>
      <c r="O1006">
        <f>'Revenue drivers'!O382</f>
        <v>0</v>
      </c>
      <c r="P1006">
        <f>'Revenue drivers'!P382</f>
        <v>0</v>
      </c>
      <c r="Q1006">
        <f>'Revenue drivers'!Q382</f>
        <v>0</v>
      </c>
      <c r="R1006">
        <f>'Revenue drivers'!R382</f>
        <v>0</v>
      </c>
      <c r="S1006">
        <f>'Revenue drivers'!S382</f>
        <v>0</v>
      </c>
      <c r="T1006">
        <f>'Revenue drivers'!T382</f>
        <v>5</v>
      </c>
      <c r="U1006">
        <f>'Revenue drivers'!U382</f>
        <v>5.6</v>
      </c>
      <c r="V1006">
        <f>'Revenue drivers'!V382</f>
        <v>6.3</v>
      </c>
      <c r="W1006">
        <f>'Revenue drivers'!W382</f>
        <v>7.4</v>
      </c>
      <c r="X1006">
        <f>'Revenue drivers'!X382</f>
        <v>8.1</v>
      </c>
      <c r="Y1006">
        <f>'Revenue drivers'!Y382</f>
        <v>9</v>
      </c>
      <c r="Z1006">
        <f>'Revenue drivers'!Z382</f>
        <v>10</v>
      </c>
      <c r="AA1006">
        <f>'Revenue drivers'!AA382</f>
        <v>11</v>
      </c>
      <c r="AB1006">
        <f>'Revenue drivers'!AB382</f>
        <v>12.6</v>
      </c>
      <c r="AC1006">
        <f>'Revenue drivers'!AC382</f>
        <v>13.5</v>
      </c>
      <c r="AD1006">
        <f>'Revenue drivers'!AD382</f>
        <v>14.5</v>
      </c>
      <c r="AE1006">
        <f>'Revenue drivers'!AE382</f>
        <v>15.3</v>
      </c>
      <c r="AF1006">
        <f>'Revenue drivers'!AF382</f>
        <v>16.601934331166763</v>
      </c>
      <c r="AG1006">
        <f>'Revenue drivers'!AG382</f>
        <v>17.898862678328779</v>
      </c>
      <c r="AH1006">
        <f>'Revenue drivers'!AH382</f>
        <v>19.299666309220097</v>
      </c>
      <c r="AI1006">
        <f>'Revenue drivers'!AI382</f>
        <v>20.779795331831167</v>
      </c>
      <c r="AJ1006">
        <f>'Revenue drivers'!AJ382</f>
        <v>22.091933201937703</v>
      </c>
      <c r="AK1006">
        <f>'Revenue drivers'!AK382</f>
        <v>23.555766442285506</v>
      </c>
      <c r="AL1006">
        <f>'Revenue drivers'!AL382</f>
        <v>25.112284753907808</v>
      </c>
      <c r="AM1006">
        <f>'Revenue drivers'!AM382</f>
        <v>26.735033124802957</v>
      </c>
      <c r="AN1006">
        <f>'Revenue drivers'!AN382</f>
        <v>28.073361702406221</v>
      </c>
      <c r="AO1006">
        <f>'Revenue drivers'!AO382</f>
        <v>29.570129653626672</v>
      </c>
      <c r="AP1006">
        <f>'Revenue drivers'!AP382</f>
        <v>31.220514908635419</v>
      </c>
      <c r="AQ1006">
        <f>'Revenue drivers'!AQ382</f>
        <v>32.947270976778995</v>
      </c>
      <c r="AR1006">
        <f>'Revenue drivers'!AR382</f>
        <v>34.399950849913395</v>
      </c>
      <c r="AS1006">
        <f>'Revenue drivers'!AS382</f>
        <v>35.852453430643827</v>
      </c>
      <c r="AT1006">
        <f>'Revenue drivers'!AT382</f>
        <v>37.305048454170091</v>
      </c>
      <c r="AU1006">
        <f>'Revenue drivers'!AU382</f>
        <v>38.74483729771633</v>
      </c>
      <c r="AV1006">
        <f>'Revenue drivers'!AV382</f>
        <v>40.173052905551678</v>
      </c>
      <c r="AW1006">
        <f>'Revenue drivers'!AW382</f>
        <v>41.601255543788156</v>
      </c>
      <c r="AX1006">
        <f>'Revenue drivers'!AX382</f>
        <v>43.029464900132389</v>
      </c>
      <c r="AY1006">
        <f>'Revenue drivers'!AY382</f>
        <v>44.444912718746629</v>
      </c>
      <c r="AZ1006">
        <f>'Revenue drivers'!AZ382</f>
        <v>45.848764094834934</v>
      </c>
      <c r="BA1006">
        <f>'Revenue drivers'!BA382</f>
        <v>47.252614544261242</v>
      </c>
      <c r="BB1006">
        <f>'Revenue drivers'!BB382</f>
        <v>48.656465471351645</v>
      </c>
      <c r="BC1006">
        <f>'Revenue drivers'!BC382</f>
        <v>50.047558090312947</v>
      </c>
      <c r="BD1006">
        <f>'Revenue drivers'!BD382</f>
        <v>51.427052597524785</v>
      </c>
      <c r="BE1006">
        <f>'Revenue drivers'!BE382</f>
        <v>0</v>
      </c>
      <c r="BF1006">
        <f>'Revenue drivers'!BF382</f>
        <v>0</v>
      </c>
      <c r="BG1006">
        <f>'Revenue drivers'!BG382</f>
        <v>0</v>
      </c>
      <c r="BH1006">
        <f>'Revenue drivers'!BH382</f>
        <v>0</v>
      </c>
      <c r="BI1006">
        <f>'Revenue drivers'!BI382</f>
        <v>0</v>
      </c>
      <c r="BJ1006">
        <f>'Revenue drivers'!BJ382</f>
        <v>0</v>
      </c>
      <c r="BK1006">
        <f>'Revenue drivers'!BK382</f>
        <v>5</v>
      </c>
      <c r="BL1006">
        <f>'Revenue drivers'!BL382</f>
        <v>8.1</v>
      </c>
      <c r="BM1006">
        <f>'Revenue drivers'!BM382</f>
        <v>12.6</v>
      </c>
      <c r="BN1006">
        <f>'Revenue drivers'!BN382</f>
        <v>16.601934331166763</v>
      </c>
      <c r="BO1006">
        <f>'Revenue drivers'!BO382</f>
        <v>22.091933201937703</v>
      </c>
      <c r="BP1006">
        <f>'Revenue drivers'!BP382</f>
        <v>28.073361702406221</v>
      </c>
      <c r="BQ1006">
        <f>'Revenue drivers'!BQ382</f>
        <v>34.399950849913395</v>
      </c>
      <c r="BR1006">
        <f>'Revenue drivers'!BR382</f>
        <v>40.173052905551678</v>
      </c>
      <c r="BS1006">
        <f>'Revenue drivers'!BS382</f>
        <v>45.848764094834934</v>
      </c>
      <c r="BT1006">
        <f>'Revenue drivers'!BT382</f>
        <v>51.427052597524785</v>
      </c>
      <c r="BU1006">
        <f>'Revenue drivers'!BU382</f>
        <v>56.066347921655804</v>
      </c>
      <c r="BV1006">
        <f>'Revenue drivers'!BV382</f>
        <v>60.705643245786824</v>
      </c>
      <c r="BW1006">
        <f>'Revenue drivers'!BW382</f>
        <v>65.344938569917844</v>
      </c>
      <c r="BX1006">
        <f>'Revenue drivers'!BX382</f>
        <v>69.984233894048856</v>
      </c>
      <c r="BY1006">
        <f>'Revenue drivers'!BY382</f>
        <v>74.623529218179883</v>
      </c>
    </row>
    <row r="1007" spans="9:77" ht="11.25" customHeight="1">
      <c r="I1007" t="str">
        <f>'Revenue drivers'!I383</f>
        <v>% change Y/Y</v>
      </c>
      <c r="J1007">
        <f>'Revenue drivers'!J383</f>
        <v>0</v>
      </c>
      <c r="K1007">
        <f>'Revenue drivers'!K383</f>
        <v>0</v>
      </c>
      <c r="L1007">
        <f>'Revenue drivers'!L383</f>
        <v>0</v>
      </c>
      <c r="M1007">
        <f>'Revenue drivers'!M383</f>
        <v>0</v>
      </c>
      <c r="N1007">
        <f>'Revenue drivers'!N383</f>
        <v>0</v>
      </c>
      <c r="O1007">
        <f>'Revenue drivers'!O383</f>
        <v>0</v>
      </c>
      <c r="P1007">
        <f>'Revenue drivers'!P383</f>
        <v>0</v>
      </c>
      <c r="Q1007">
        <f>'Revenue drivers'!Q383</f>
        <v>0</v>
      </c>
      <c r="R1007">
        <f>'Revenue drivers'!R383</f>
        <v>0</v>
      </c>
      <c r="S1007">
        <f>'Revenue drivers'!S383</f>
        <v>0</v>
      </c>
      <c r="T1007" t="str">
        <f>'Revenue drivers'!T383</f>
        <v>NA</v>
      </c>
      <c r="U1007" t="str">
        <f>'Revenue drivers'!U383</f>
        <v>NA</v>
      </c>
      <c r="V1007" t="str">
        <f>'Revenue drivers'!V383</f>
        <v>NA</v>
      </c>
      <c r="W1007" t="str">
        <f>'Revenue drivers'!W383</f>
        <v>NA</v>
      </c>
      <c r="X1007">
        <f>'Revenue drivers'!X383</f>
        <v>0.61999999999999988</v>
      </c>
      <c r="Y1007">
        <f>'Revenue drivers'!Y383</f>
        <v>0.60714285714285721</v>
      </c>
      <c r="Z1007">
        <f>'Revenue drivers'!Z383</f>
        <v>0.58730158730158744</v>
      </c>
      <c r="AA1007">
        <f>'Revenue drivers'!AA383</f>
        <v>0.4864864864864864</v>
      </c>
      <c r="AB1007">
        <f>'Revenue drivers'!AB383</f>
        <v>0.55555555555555558</v>
      </c>
      <c r="AC1007">
        <f>'Revenue drivers'!AC383</f>
        <v>0.5</v>
      </c>
      <c r="AD1007">
        <f>'Revenue drivers'!AD383</f>
        <v>0.44999999999999996</v>
      </c>
      <c r="AE1007">
        <f>'Revenue drivers'!AE383</f>
        <v>0.39090909090909087</v>
      </c>
      <c r="AF1007">
        <f>'Revenue drivers'!AF383</f>
        <v>0.31761383580688607</v>
      </c>
      <c r="AG1007">
        <f>'Revenue drivers'!AG383</f>
        <v>0.32584167987620583</v>
      </c>
      <c r="AH1007">
        <f>'Revenue drivers'!AH383</f>
        <v>0.33101146960138594</v>
      </c>
      <c r="AI1007">
        <f>'Revenue drivers'!AI383</f>
        <v>0.35815655763602394</v>
      </c>
      <c r="AJ1007">
        <f>'Revenue drivers'!AJ383</f>
        <v>0.33068429023144486</v>
      </c>
      <c r="AK1007">
        <f>'Revenue drivers'!AK383</f>
        <v>0.31604822415928568</v>
      </c>
      <c r="AL1007">
        <f>'Revenue drivers'!AL383</f>
        <v>0.30117714739507329</v>
      </c>
      <c r="AM1007">
        <f>'Revenue drivers'!AM383</f>
        <v>0.28658789453278977</v>
      </c>
      <c r="AN1007">
        <f>'Revenue drivers'!AN383</f>
        <v>0.27075170134698223</v>
      </c>
      <c r="AO1007">
        <f>'Revenue drivers'!AO383</f>
        <v>0.25532445425102535</v>
      </c>
      <c r="AP1007">
        <f>'Revenue drivers'!AP383</f>
        <v>0.24323673511137178</v>
      </c>
      <c r="AQ1007">
        <f>'Revenue drivers'!AQ383</f>
        <v>0.23236320011186917</v>
      </c>
      <c r="AR1007">
        <f>'Revenue drivers'!AR383</f>
        <v>0.22535915771586801</v>
      </c>
      <c r="AS1007">
        <f>'Revenue drivers'!AS383</f>
        <v>0.21245506362690736</v>
      </c>
      <c r="AT1007">
        <f>'Revenue drivers'!AT383</f>
        <v>0.19488895565433872</v>
      </c>
      <c r="AU1007">
        <f>'Revenue drivers'!AU383</f>
        <v>0.17596499342914984</v>
      </c>
      <c r="AV1007">
        <f>'Revenue drivers'!AV383</f>
        <v>0.16782297395790668</v>
      </c>
      <c r="AW1007">
        <f>'Revenue drivers'!AW383</f>
        <v>0.16034612873189613</v>
      </c>
      <c r="AX1007">
        <f>'Revenue drivers'!AX383</f>
        <v>0.15344884092550748</v>
      </c>
      <c r="AY1007">
        <f>'Revenue drivers'!AY383</f>
        <v>0.14711832126770252</v>
      </c>
      <c r="AZ1007">
        <f>'Revenue drivers'!AZ383</f>
        <v>0.14128155016316679</v>
      </c>
      <c r="BA1007">
        <f>'Revenue drivers'!BA383</f>
        <v>0.13584587596219655</v>
      </c>
      <c r="BB1007">
        <f>'Revenue drivers'!BB383</f>
        <v>0.13077087024621448</v>
      </c>
      <c r="BC1007">
        <f>'Revenue drivers'!BC383</f>
        <v>0.12605819268946727</v>
      </c>
      <c r="BD1007">
        <f>'Revenue drivers'!BD383</f>
        <v>0.12166715096510683</v>
      </c>
      <c r="BE1007">
        <f>'Revenue drivers'!BE383</f>
        <v>0</v>
      </c>
      <c r="BF1007">
        <f>'Revenue drivers'!BF383</f>
        <v>0</v>
      </c>
      <c r="BG1007">
        <f>'Revenue drivers'!BG383</f>
        <v>0</v>
      </c>
      <c r="BH1007">
        <f>'Revenue drivers'!BH383</f>
        <v>0</v>
      </c>
      <c r="BI1007">
        <f>'Revenue drivers'!BI383</f>
        <v>0</v>
      </c>
      <c r="BJ1007">
        <f>'Revenue drivers'!BJ383</f>
        <v>0</v>
      </c>
      <c r="BK1007" t="str">
        <f>'Revenue drivers'!BK383</f>
        <v>NA</v>
      </c>
      <c r="BL1007">
        <f>'Revenue drivers'!BL383</f>
        <v>0.61999999999999988</v>
      </c>
      <c r="BM1007">
        <f>'Revenue drivers'!BM383</f>
        <v>0.55555555555555558</v>
      </c>
      <c r="BN1007">
        <f>'Revenue drivers'!BN383</f>
        <v>0.31761383580688607</v>
      </c>
      <c r="BO1007">
        <f>'Revenue drivers'!BO383</f>
        <v>0.33068429023144486</v>
      </c>
      <c r="BP1007">
        <f>'Revenue drivers'!BP383</f>
        <v>0.27075170134698223</v>
      </c>
      <c r="BQ1007">
        <f>'Revenue drivers'!BQ383</f>
        <v>0.22535915771586801</v>
      </c>
      <c r="BR1007">
        <f>'Revenue drivers'!BR383</f>
        <v>0.16782297395790668</v>
      </c>
      <c r="BS1007">
        <f>'Revenue drivers'!BS383</f>
        <v>0.14128155016316679</v>
      </c>
      <c r="BT1007">
        <f>'Revenue drivers'!BT383</f>
        <v>0.12166715096510683</v>
      </c>
      <c r="BU1007">
        <f>'Revenue drivers'!BU383</f>
        <v>9.0211184382639642E-2</v>
      </c>
      <c r="BV1007">
        <f>'Revenue drivers'!BV383</f>
        <v>8.2746522577388681E-2</v>
      </c>
      <c r="BW1007">
        <f>'Revenue drivers'!BW383</f>
        <v>7.6422801507057603E-2</v>
      </c>
      <c r="BX1007">
        <f>'Revenue drivers'!BX383</f>
        <v>7.0997011025835777E-2</v>
      </c>
      <c r="BY1007">
        <f>'Revenue drivers'!BY383</f>
        <v>6.6290578120131949E-2</v>
      </c>
    </row>
    <row r="1008" spans="9:77" ht="11.25" customHeight="1">
      <c r="I1008" t="str">
        <f>'Revenue drivers'!I384</f>
        <v>% change Q/Q</v>
      </c>
      <c r="J1008">
        <f>'Revenue drivers'!J384</f>
        <v>0</v>
      </c>
      <c r="K1008">
        <f>'Revenue drivers'!K384</f>
        <v>0</v>
      </c>
      <c r="L1008">
        <f>'Revenue drivers'!L384</f>
        <v>0</v>
      </c>
      <c r="M1008">
        <f>'Revenue drivers'!M384</f>
        <v>0</v>
      </c>
      <c r="N1008">
        <f>'Revenue drivers'!N384</f>
        <v>0</v>
      </c>
      <c r="O1008">
        <f>'Revenue drivers'!O384</f>
        <v>0</v>
      </c>
      <c r="P1008">
        <f>'Revenue drivers'!P384</f>
        <v>0</v>
      </c>
      <c r="Q1008">
        <f>'Revenue drivers'!Q384</f>
        <v>0</v>
      </c>
      <c r="R1008">
        <f>'Revenue drivers'!R384</f>
        <v>0</v>
      </c>
      <c r="S1008">
        <f>'Revenue drivers'!S384</f>
        <v>0</v>
      </c>
      <c r="T1008" t="str">
        <f>'Revenue drivers'!T384</f>
        <v>NA</v>
      </c>
      <c r="U1008">
        <f>'Revenue drivers'!U384</f>
        <v>0.11999999999999988</v>
      </c>
      <c r="V1008">
        <f>'Revenue drivers'!V384</f>
        <v>0.125</v>
      </c>
      <c r="W1008">
        <f>'Revenue drivers'!W384</f>
        <v>0.17460317460317465</v>
      </c>
      <c r="X1008">
        <f>'Revenue drivers'!X384</f>
        <v>9.4594594594594517E-2</v>
      </c>
      <c r="Y1008">
        <f>'Revenue drivers'!Y384</f>
        <v>0.11111111111111116</v>
      </c>
      <c r="Z1008">
        <f>'Revenue drivers'!Z384</f>
        <v>0.11111111111111116</v>
      </c>
      <c r="AA1008">
        <f>'Revenue drivers'!AA384</f>
        <v>0.10000000000000009</v>
      </c>
      <c r="AB1008">
        <f>'Revenue drivers'!AB384</f>
        <v>0.1454545454545455</v>
      </c>
      <c r="AC1008">
        <f>'Revenue drivers'!AC384</f>
        <v>7.1428571428571397E-2</v>
      </c>
      <c r="AD1008">
        <f>'Revenue drivers'!AD384</f>
        <v>7.4074074074074181E-2</v>
      </c>
      <c r="AE1008">
        <f>'Revenue drivers'!AE384</f>
        <v>5.5172413793103559E-2</v>
      </c>
      <c r="AF1008">
        <f>'Revenue drivers'!AF384</f>
        <v>8.5093747135082554E-2</v>
      </c>
      <c r="AG1008">
        <f>'Revenue drivers'!AG384</f>
        <v>7.8119110778994916E-2</v>
      </c>
      <c r="AH1008">
        <f>'Revenue drivers'!AH384</f>
        <v>7.8262158667061765E-2</v>
      </c>
      <c r="AI1008">
        <f>'Revenue drivers'!AI384</f>
        <v>7.6691948912296137E-2</v>
      </c>
      <c r="AJ1008">
        <f>'Revenue drivers'!AJ384</f>
        <v>6.3144889020950057E-2</v>
      </c>
      <c r="AK1008">
        <f>'Revenue drivers'!AK384</f>
        <v>6.6260984358734509E-2</v>
      </c>
      <c r="AL1008">
        <f>'Revenue drivers'!AL384</f>
        <v>6.6078015989671224E-2</v>
      </c>
      <c r="AM1008">
        <f>'Revenue drivers'!AM384</f>
        <v>6.4619702539914448E-2</v>
      </c>
      <c r="AN1008">
        <f>'Revenue drivers'!AN384</f>
        <v>5.0058983333058027E-2</v>
      </c>
      <c r="AO1008">
        <f>'Revenue drivers'!AO384</f>
        <v>5.3316306293740512E-2</v>
      </c>
      <c r="AP1008">
        <f>'Revenue drivers'!AP384</f>
        <v>5.5812580950463708E-2</v>
      </c>
      <c r="AQ1008">
        <f>'Revenue drivers'!AQ384</f>
        <v>5.5308378903961231E-2</v>
      </c>
      <c r="AR1008">
        <f>'Revenue drivers'!AR384</f>
        <v>4.4091053069561958E-2</v>
      </c>
      <c r="AS1008">
        <f>'Revenue drivers'!AS384</f>
        <v>4.2223972559370271E-2</v>
      </c>
      <c r="AT1008">
        <f>'Revenue drivers'!AT384</f>
        <v>4.0515916890772719E-2</v>
      </c>
      <c r="AU1008">
        <f>'Revenue drivers'!AU384</f>
        <v>3.8595013361664599E-2</v>
      </c>
      <c r="AV1008">
        <f>'Revenue drivers'!AV384</f>
        <v>3.686208815024572E-2</v>
      </c>
      <c r="AW1008">
        <f>'Revenue drivers'!AW384</f>
        <v>3.5551259736078089E-2</v>
      </c>
      <c r="AX1008">
        <f>'Revenue drivers'!AX384</f>
        <v>3.4330919528160475E-2</v>
      </c>
      <c r="AY1008">
        <f>'Revenue drivers'!AY384</f>
        <v>3.2894850584346491E-2</v>
      </c>
      <c r="AZ1008">
        <f>'Revenue drivers'!AZ384</f>
        <v>3.1586323163059538E-2</v>
      </c>
      <c r="BA1008">
        <f>'Revenue drivers'!BA384</f>
        <v>3.0619155764428863E-2</v>
      </c>
      <c r="BB1008">
        <f>'Revenue drivers'!BB384</f>
        <v>2.9709486779306626E-2</v>
      </c>
      <c r="BC1008">
        <f>'Revenue drivers'!BC384</f>
        <v>2.8590087781455553E-2</v>
      </c>
      <c r="BD1008">
        <f>'Revenue drivers'!BD384</f>
        <v>2.756367263158932E-2</v>
      </c>
      <c r="BE1008">
        <f>'Revenue drivers'!BE384</f>
        <v>0</v>
      </c>
      <c r="BF1008">
        <f>'Revenue drivers'!BF384</f>
        <v>0</v>
      </c>
      <c r="BG1008">
        <f>'Revenue drivers'!BG384</f>
        <v>0</v>
      </c>
      <c r="BH1008">
        <f>'Revenue drivers'!BH384</f>
        <v>0</v>
      </c>
      <c r="BI1008">
        <f>'Revenue drivers'!BI384</f>
        <v>0</v>
      </c>
      <c r="BJ1008">
        <f>'Revenue drivers'!BJ384</f>
        <v>0</v>
      </c>
      <c r="BK1008">
        <f>'Revenue drivers'!BK384</f>
        <v>0</v>
      </c>
      <c r="BL1008">
        <f>'Revenue drivers'!BL384</f>
        <v>0</v>
      </c>
      <c r="BM1008">
        <f>'Revenue drivers'!BM384</f>
        <v>0</v>
      </c>
      <c r="BN1008">
        <f>'Revenue drivers'!BN384</f>
        <v>0</v>
      </c>
      <c r="BO1008">
        <f>'Revenue drivers'!BO384</f>
        <v>0</v>
      </c>
      <c r="BP1008">
        <f>'Revenue drivers'!BP384</f>
        <v>0</v>
      </c>
      <c r="BQ1008">
        <f>'Revenue drivers'!BQ384</f>
        <v>0</v>
      </c>
      <c r="BR1008">
        <f>'Revenue drivers'!BR384</f>
        <v>0</v>
      </c>
      <c r="BS1008">
        <f>'Revenue drivers'!BS384</f>
        <v>0</v>
      </c>
      <c r="BT1008">
        <f>'Revenue drivers'!BT384</f>
        <v>0</v>
      </c>
      <c r="BU1008">
        <f>'Revenue drivers'!BU384</f>
        <v>0</v>
      </c>
      <c r="BV1008">
        <f>'Revenue drivers'!BV384</f>
        <v>0</v>
      </c>
      <c r="BW1008">
        <f>'Revenue drivers'!BW384</f>
        <v>0</v>
      </c>
      <c r="BX1008">
        <f>'Revenue drivers'!BX384</f>
        <v>0</v>
      </c>
      <c r="BY1008">
        <f>'Revenue drivers'!BY384</f>
        <v>0</v>
      </c>
    </row>
    <row r="1009" spans="9:77" ht="11.25" customHeight="1">
      <c r="I1009" t="str">
        <f>'Revenue drivers'!I385</f>
        <v>% of total reviews</v>
      </c>
      <c r="J1009">
        <f>'Revenue drivers'!J385</f>
        <v>0</v>
      </c>
      <c r="K1009">
        <f>'Revenue drivers'!K385</f>
        <v>0</v>
      </c>
      <c r="L1009">
        <f>'Revenue drivers'!L385</f>
        <v>0</v>
      </c>
      <c r="M1009">
        <f>'Revenue drivers'!M385</f>
        <v>0</v>
      </c>
      <c r="N1009">
        <f>'Revenue drivers'!N385</f>
        <v>0</v>
      </c>
      <c r="O1009">
        <f>'Revenue drivers'!O385</f>
        <v>0</v>
      </c>
      <c r="P1009">
        <f>'Revenue drivers'!P385</f>
        <v>0</v>
      </c>
      <c r="Q1009">
        <f>'Revenue drivers'!Q385</f>
        <v>0</v>
      </c>
      <c r="R1009">
        <f>'Revenue drivers'!R385</f>
        <v>0</v>
      </c>
      <c r="S1009">
        <f>'Revenue drivers'!S385</f>
        <v>0</v>
      </c>
      <c r="T1009">
        <f>'Revenue drivers'!T385</f>
        <v>0.20147479550308256</v>
      </c>
      <c r="U1009">
        <f>'Revenue drivers'!U385</f>
        <v>0.20312670027929922</v>
      </c>
      <c r="V1009">
        <f>'Revenue drivers'!V385</f>
        <v>0.20820251825903036</v>
      </c>
      <c r="W1009">
        <f>'Revenue drivers'!W385</f>
        <v>0.22250285645558962</v>
      </c>
      <c r="X1009">
        <f>'Revenue drivers'!X385</f>
        <v>0.22499999999999998</v>
      </c>
      <c r="Y1009">
        <f>'Revenue drivers'!Y385</f>
        <v>0.23016136869293916</v>
      </c>
      <c r="Z1009">
        <f>'Revenue drivers'!Z385</f>
        <v>0.23515026101678971</v>
      </c>
      <c r="AA1009">
        <f>'Revenue drivers'!AA385</f>
        <v>0.2324500232450023</v>
      </c>
      <c r="AB1009">
        <f>'Revenue drivers'!AB385</f>
        <v>0.23883086604621187</v>
      </c>
      <c r="AC1009">
        <f>'Revenue drivers'!AC385</f>
        <v>0.23684210526315788</v>
      </c>
      <c r="AD1009">
        <f>'Revenue drivers'!AD385</f>
        <v>0.2363796420071077</v>
      </c>
      <c r="AE1009">
        <f>'Revenue drivers'!AE385</f>
        <v>0.22975732820759251</v>
      </c>
      <c r="AF1009">
        <f>'Revenue drivers'!AF385</f>
        <v>0.23306848510735012</v>
      </c>
      <c r="AG1009">
        <f>'Revenue drivers'!AG385</f>
        <v>0.23141290665747133</v>
      </c>
      <c r="AH1009">
        <f>'Revenue drivers'!AH385</f>
        <v>0.23224069588241072</v>
      </c>
      <c r="AI1009">
        <f>'Revenue drivers'!AI385</f>
        <v>0.23182680126994104</v>
      </c>
      <c r="AJ1009">
        <f>'Revenue drivers'!AJ385</f>
        <v>0.23203374857617587</v>
      </c>
      <c r="AK1009">
        <f>'Revenue drivers'!AK385</f>
        <v>0.23193027492305845</v>
      </c>
      <c r="AL1009">
        <f>'Revenue drivers'!AL385</f>
        <v>0.23198201174961716</v>
      </c>
      <c r="AM1009">
        <f>'Revenue drivers'!AM385</f>
        <v>0.23195614333633779</v>
      </c>
      <c r="AN1009">
        <f>'Revenue drivers'!AN385</f>
        <v>0.23196907754297746</v>
      </c>
      <c r="AO1009">
        <f>'Revenue drivers'!AO385</f>
        <v>0.23196261043965763</v>
      </c>
      <c r="AP1009">
        <f>'Revenue drivers'!AP385</f>
        <v>0.23196584399131753</v>
      </c>
      <c r="AQ1009">
        <f>'Revenue drivers'!AQ385</f>
        <v>0.2319642272154876</v>
      </c>
      <c r="AR1009">
        <f>'Revenue drivers'!AR385</f>
        <v>0.23196503560340256</v>
      </c>
      <c r="AS1009">
        <f>'Revenue drivers'!AS385</f>
        <v>0.23196463140944507</v>
      </c>
      <c r="AT1009">
        <f>'Revenue drivers'!AT385</f>
        <v>0.23196483350642383</v>
      </c>
      <c r="AU1009">
        <f>'Revenue drivers'!AU385</f>
        <v>0.23196473245793445</v>
      </c>
      <c r="AV1009">
        <f>'Revenue drivers'!AV385</f>
        <v>0.23196478298217915</v>
      </c>
      <c r="AW1009">
        <f>'Revenue drivers'!AW385</f>
        <v>0.23196475772005681</v>
      </c>
      <c r="AX1009">
        <f>'Revenue drivers'!AX385</f>
        <v>0.23196477035111798</v>
      </c>
      <c r="AY1009">
        <f>'Revenue drivers'!AY385</f>
        <v>0.23196476403558741</v>
      </c>
      <c r="AZ1009">
        <f>'Revenue drivers'!AZ385</f>
        <v>0.23196476719335268</v>
      </c>
      <c r="BA1009">
        <f>'Revenue drivers'!BA385</f>
        <v>0.23196476561447005</v>
      </c>
      <c r="BB1009">
        <f>'Revenue drivers'!BB385</f>
        <v>0.23196476640391137</v>
      </c>
      <c r="BC1009">
        <f>'Revenue drivers'!BC385</f>
        <v>0.23196476600919069</v>
      </c>
      <c r="BD1009">
        <f>'Revenue drivers'!BD385</f>
        <v>0.23196476620655104</v>
      </c>
      <c r="BE1009">
        <f>'Revenue drivers'!BE385</f>
        <v>0</v>
      </c>
      <c r="BF1009">
        <f>'Revenue drivers'!BF385</f>
        <v>0</v>
      </c>
      <c r="BG1009">
        <f>'Revenue drivers'!BG385</f>
        <v>0</v>
      </c>
      <c r="BH1009">
        <f>'Revenue drivers'!BH385</f>
        <v>0</v>
      </c>
      <c r="BI1009">
        <f>'Revenue drivers'!BI385</f>
        <v>0</v>
      </c>
      <c r="BJ1009">
        <f>'Revenue drivers'!BJ385</f>
        <v>0</v>
      </c>
      <c r="BK1009">
        <f>'Revenue drivers'!BK385</f>
        <v>0.20147479550308256</v>
      </c>
      <c r="BL1009">
        <f>'Revenue drivers'!BL385</f>
        <v>0.22499999999999998</v>
      </c>
      <c r="BM1009">
        <f>'Revenue drivers'!BM385</f>
        <v>0.23883086604621187</v>
      </c>
      <c r="BN1009">
        <f>'Revenue drivers'!BN385</f>
        <v>0.23306848510735012</v>
      </c>
      <c r="BO1009">
        <f>'Revenue drivers'!BO385</f>
        <v>0.23203374857617587</v>
      </c>
      <c r="BP1009">
        <f>'Revenue drivers'!BP385</f>
        <v>0.23196907754297746</v>
      </c>
      <c r="BQ1009">
        <f>'Revenue drivers'!BQ385</f>
        <v>0.23196503560340256</v>
      </c>
      <c r="BR1009">
        <f>'Revenue drivers'!BR385</f>
        <v>0.23196478298217915</v>
      </c>
      <c r="BS1009">
        <f>'Revenue drivers'!BS385</f>
        <v>0.23196476719335266</v>
      </c>
      <c r="BT1009">
        <f>'Revenue drivers'!BT385</f>
        <v>0.23196476620655104</v>
      </c>
      <c r="BU1009">
        <f>'Revenue drivers'!BU385</f>
        <v>0.23196476620655104</v>
      </c>
      <c r="BV1009">
        <f>'Revenue drivers'!BV385</f>
        <v>0.23196476620655104</v>
      </c>
      <c r="BW1009">
        <f>'Revenue drivers'!BW385</f>
        <v>0.23196476620655104</v>
      </c>
      <c r="BX1009">
        <f>'Revenue drivers'!BX385</f>
        <v>0.23196476620655104</v>
      </c>
      <c r="BY1009">
        <f>'Revenue drivers'!BY385</f>
        <v>0.23196476620655104</v>
      </c>
    </row>
    <row r="1010" spans="9:77" ht="11.25" customHeight="1">
      <c r="I1010">
        <f>'Revenue drivers'!I386</f>
        <v>0</v>
      </c>
      <c r="J1010">
        <f>'Revenue drivers'!J386</f>
        <v>0</v>
      </c>
      <c r="K1010">
        <f>'Revenue drivers'!K386</f>
        <v>0</v>
      </c>
      <c r="L1010">
        <f>'Revenue drivers'!L386</f>
        <v>0</v>
      </c>
      <c r="M1010">
        <f>'Revenue drivers'!M386</f>
        <v>0</v>
      </c>
      <c r="N1010">
        <f>'Revenue drivers'!N386</f>
        <v>0</v>
      </c>
      <c r="O1010">
        <f>'Revenue drivers'!O386</f>
        <v>0</v>
      </c>
      <c r="P1010">
        <f>'Revenue drivers'!P386</f>
        <v>0</v>
      </c>
      <c r="Q1010">
        <f>'Revenue drivers'!Q386</f>
        <v>0</v>
      </c>
      <c r="R1010">
        <f>'Revenue drivers'!R386</f>
        <v>0</v>
      </c>
      <c r="S1010">
        <f>'Revenue drivers'!S386</f>
        <v>0</v>
      </c>
      <c r="T1010">
        <f>'Revenue drivers'!T386</f>
        <v>0</v>
      </c>
      <c r="U1010">
        <f>'Revenue drivers'!U386</f>
        <v>0</v>
      </c>
      <c r="V1010">
        <f>'Revenue drivers'!V386</f>
        <v>0</v>
      </c>
      <c r="W1010">
        <f>'Revenue drivers'!W386</f>
        <v>0</v>
      </c>
      <c r="X1010">
        <f>'Revenue drivers'!X386</f>
        <v>0</v>
      </c>
      <c r="Y1010">
        <f>'Revenue drivers'!Y386</f>
        <v>0</v>
      </c>
      <c r="Z1010">
        <f>'Revenue drivers'!Z386</f>
        <v>0</v>
      </c>
      <c r="AA1010">
        <f>'Revenue drivers'!AA386</f>
        <v>0</v>
      </c>
      <c r="AB1010">
        <f>'Revenue drivers'!AB386</f>
        <v>0</v>
      </c>
      <c r="AC1010">
        <f>'Revenue drivers'!AC386</f>
        <v>0</v>
      </c>
      <c r="AD1010">
        <f>'Revenue drivers'!AD386</f>
        <v>0</v>
      </c>
      <c r="AE1010">
        <f>'Revenue drivers'!AE386</f>
        <v>0</v>
      </c>
      <c r="AF1010">
        <f>'Revenue drivers'!AF386</f>
        <v>0</v>
      </c>
      <c r="AG1010">
        <f>'Revenue drivers'!AG386</f>
        <v>0</v>
      </c>
      <c r="AH1010">
        <f>'Revenue drivers'!AH386</f>
        <v>0</v>
      </c>
      <c r="AI1010">
        <f>'Revenue drivers'!AI386</f>
        <v>0</v>
      </c>
      <c r="AJ1010">
        <f>'Revenue drivers'!AJ386</f>
        <v>0</v>
      </c>
      <c r="AK1010">
        <f>'Revenue drivers'!AK386</f>
        <v>0</v>
      </c>
      <c r="AL1010">
        <f>'Revenue drivers'!AL386</f>
        <v>0</v>
      </c>
      <c r="AM1010">
        <f>'Revenue drivers'!AM386</f>
        <v>0</v>
      </c>
      <c r="AN1010">
        <f>'Revenue drivers'!AN386</f>
        <v>0</v>
      </c>
      <c r="AO1010">
        <f>'Revenue drivers'!AO386</f>
        <v>0</v>
      </c>
      <c r="AP1010">
        <f>'Revenue drivers'!AP386</f>
        <v>0</v>
      </c>
      <c r="AQ1010">
        <f>'Revenue drivers'!AQ386</f>
        <v>0</v>
      </c>
      <c r="AR1010">
        <f>'Revenue drivers'!AR386</f>
        <v>0</v>
      </c>
      <c r="AS1010">
        <f>'Revenue drivers'!AS386</f>
        <v>0</v>
      </c>
      <c r="AT1010">
        <f>'Revenue drivers'!AT386</f>
        <v>0</v>
      </c>
      <c r="AU1010">
        <f>'Revenue drivers'!AU386</f>
        <v>0</v>
      </c>
      <c r="AV1010">
        <f>'Revenue drivers'!AV386</f>
        <v>0</v>
      </c>
      <c r="AW1010">
        <f>'Revenue drivers'!AW386</f>
        <v>0</v>
      </c>
      <c r="AX1010">
        <f>'Revenue drivers'!AX386</f>
        <v>0</v>
      </c>
      <c r="AY1010">
        <f>'Revenue drivers'!AY386</f>
        <v>0</v>
      </c>
      <c r="AZ1010">
        <f>'Revenue drivers'!AZ386</f>
        <v>0</v>
      </c>
      <c r="BA1010">
        <f>'Revenue drivers'!BA386</f>
        <v>0</v>
      </c>
      <c r="BB1010">
        <f>'Revenue drivers'!BB386</f>
        <v>0</v>
      </c>
      <c r="BC1010">
        <f>'Revenue drivers'!BC386</f>
        <v>0</v>
      </c>
      <c r="BD1010">
        <f>'Revenue drivers'!BD386</f>
        <v>0</v>
      </c>
      <c r="BE1010">
        <f>'Revenue drivers'!BE386</f>
        <v>0</v>
      </c>
      <c r="BF1010">
        <f>'Revenue drivers'!BF386</f>
        <v>0</v>
      </c>
      <c r="BG1010">
        <f>'Revenue drivers'!BG386</f>
        <v>0</v>
      </c>
      <c r="BH1010">
        <f>'Revenue drivers'!BH386</f>
        <v>0</v>
      </c>
      <c r="BI1010">
        <f>'Revenue drivers'!BI386</f>
        <v>0</v>
      </c>
      <c r="BJ1010">
        <f>'Revenue drivers'!BJ386</f>
        <v>0</v>
      </c>
      <c r="BK1010">
        <f>'Revenue drivers'!BK386</f>
        <v>0</v>
      </c>
      <c r="BL1010">
        <f>'Revenue drivers'!BL386</f>
        <v>0</v>
      </c>
      <c r="BM1010">
        <f>'Revenue drivers'!BM386</f>
        <v>0</v>
      </c>
      <c r="BN1010">
        <f>'Revenue drivers'!BN386</f>
        <v>0</v>
      </c>
      <c r="BO1010">
        <f>'Revenue drivers'!BO386</f>
        <v>0</v>
      </c>
      <c r="BP1010">
        <f>'Revenue drivers'!BP386</f>
        <v>0</v>
      </c>
      <c r="BQ1010">
        <f>'Revenue drivers'!BQ386</f>
        <v>0</v>
      </c>
      <c r="BR1010">
        <f>'Revenue drivers'!BR386</f>
        <v>0</v>
      </c>
      <c r="BS1010">
        <f>'Revenue drivers'!BS386</f>
        <v>0</v>
      </c>
      <c r="BT1010">
        <f>'Revenue drivers'!BT386</f>
        <v>0</v>
      </c>
      <c r="BU1010">
        <f>'Revenue drivers'!BU386</f>
        <v>0</v>
      </c>
      <c r="BV1010">
        <f>'Revenue drivers'!BV386</f>
        <v>0</v>
      </c>
      <c r="BW1010">
        <f>'Revenue drivers'!BW386</f>
        <v>0</v>
      </c>
      <c r="BX1010">
        <f>'Revenue drivers'!BX386</f>
        <v>0</v>
      </c>
      <c r="BY1010">
        <f>'Revenue drivers'!BY386</f>
        <v>0</v>
      </c>
    </row>
    <row r="1011" spans="9:77" ht="11.25" customHeight="1">
      <c r="I1011" t="str">
        <f>'Revenue drivers'!I387</f>
        <v>Removed reviews</v>
      </c>
      <c r="J1011">
        <f>'Revenue drivers'!J387</f>
        <v>0</v>
      </c>
      <c r="K1011">
        <f>'Revenue drivers'!K387</f>
        <v>0</v>
      </c>
      <c r="L1011">
        <f>'Revenue drivers'!L387</f>
        <v>0</v>
      </c>
      <c r="M1011">
        <f>'Revenue drivers'!M387</f>
        <v>0</v>
      </c>
      <c r="N1011">
        <f>'Revenue drivers'!N387</f>
        <v>0</v>
      </c>
      <c r="O1011">
        <f>'Revenue drivers'!O387</f>
        <v>0</v>
      </c>
      <c r="P1011">
        <f>'Revenue drivers'!P387</f>
        <v>0</v>
      </c>
      <c r="Q1011">
        <f>'Revenue drivers'!Q387</f>
        <v>0</v>
      </c>
      <c r="R1011">
        <f>'Revenue drivers'!R387</f>
        <v>0</v>
      </c>
      <c r="S1011">
        <f>'Revenue drivers'!S387</f>
        <v>0</v>
      </c>
      <c r="T1011">
        <f>'Revenue drivers'!T387</f>
        <v>1.8170000000000002</v>
      </c>
      <c r="U1011">
        <f>'Revenue drivers'!U387</f>
        <v>2.0690000000000008</v>
      </c>
      <c r="V1011">
        <f>'Revenue drivers'!V387</f>
        <v>2.3589999999999991</v>
      </c>
      <c r="W1011">
        <f>'Revenue drivers'!W387</f>
        <v>2.4580000000000037</v>
      </c>
      <c r="X1011">
        <f>'Revenue drivers'!X387</f>
        <v>2.7000000000000046</v>
      </c>
      <c r="Y1011">
        <f>'Revenue drivers'!Y387</f>
        <v>2.9029999999999987</v>
      </c>
      <c r="Z1011">
        <f>'Revenue drivers'!Z387</f>
        <v>3.1760000000000019</v>
      </c>
      <c r="AA1011">
        <f>'Revenue drivers'!AA387</f>
        <v>3.4220000000000041</v>
      </c>
      <c r="AB1011">
        <f>'Revenue drivers'!AB387</f>
        <v>3.6569999999999983</v>
      </c>
      <c r="AC1011">
        <f>'Revenue drivers'!AC387</f>
        <v>4.1000000000000014</v>
      </c>
      <c r="AD1011">
        <f>'Revenue drivers'!AD387</f>
        <v>4.3419999999999987</v>
      </c>
      <c r="AE1011">
        <f>'Revenue drivers'!AE387</f>
        <v>4.5919999999999952</v>
      </c>
      <c r="AF1011">
        <f>'Revenue drivers'!AF387</f>
        <v>4.9770050685178564</v>
      </c>
      <c r="AG1011">
        <f>'Revenue drivers'!AG387</f>
        <v>5.368879243970091</v>
      </c>
      <c r="AH1011">
        <f>'Revenue drivers'!AH387</f>
        <v>5.7873956049144137</v>
      </c>
      <c r="AI1011">
        <f>'Revenue drivers'!AI387</f>
        <v>6.2321363099677036</v>
      </c>
      <c r="AJ1011">
        <f>'Revenue drivers'!AJ387</f>
        <v>6.6251881856929815</v>
      </c>
      <c r="AK1011">
        <f>'Revenue drivers'!AK387</f>
        <v>7.06443316277345</v>
      </c>
      <c r="AL1011">
        <f>'Revenue drivers'!AL387</f>
        <v>7.5311017420226696</v>
      </c>
      <c r="AM1011">
        <f>'Revenue drivers'!AM387</f>
        <v>8.0178312291056972</v>
      </c>
      <c r="AN1011">
        <f>'Revenue drivers'!AN387</f>
        <v>8.4191579400678034</v>
      </c>
      <c r="AO1011">
        <f>'Revenue drivers'!AO387</f>
        <v>8.8680562342819496</v>
      </c>
      <c r="AP1011">
        <f>'Revenue drivers'!AP387</f>
        <v>9.3629948401347072</v>
      </c>
      <c r="AQ1011">
        <f>'Revenue drivers'!AQ387</f>
        <v>9.8808524470737584</v>
      </c>
      <c r="AR1011">
        <f>'Revenue drivers'!AR387</f>
        <v>10.316506744211155</v>
      </c>
      <c r="AS1011">
        <f>'Revenue drivers'!AS387</f>
        <v>10.752112149190161</v>
      </c>
      <c r="AT1011">
        <f>'Revenue drivers'!AT387</f>
        <v>11.187743047240019</v>
      </c>
      <c r="AU1011">
        <f>'Revenue drivers'!AU387</f>
        <v>11.619534546861294</v>
      </c>
      <c r="AV1011">
        <f>'Revenue drivers'!AV387</f>
        <v>12.047854642473782</v>
      </c>
      <c r="AW1011">
        <f>'Revenue drivers'!AW387</f>
        <v>12.476171161443006</v>
      </c>
      <c r="AX1011">
        <f>'Revenue drivers'!AX387</f>
        <v>12.904489533073606</v>
      </c>
      <c r="AY1011">
        <f>'Revenue drivers'!AY387</f>
        <v>13.328980817327368</v>
      </c>
      <c r="AZ1011">
        <f>'Revenue drivers'!AZ387</f>
        <v>13.749994297798574</v>
      </c>
      <c r="BA1011">
        <f>'Revenue drivers'!BA387</f>
        <v>14.171007522722986</v>
      </c>
      <c r="BB1011">
        <f>'Revenue drivers'!BB387</f>
        <v>14.592020879373452</v>
      </c>
      <c r="BC1011">
        <f>'Revenue drivers'!BC387</f>
        <v>15.009208039278349</v>
      </c>
      <c r="BD1011">
        <f>'Revenue drivers'!BD387</f>
        <v>15.422916935076728</v>
      </c>
      <c r="BE1011">
        <f>'Revenue drivers'!BE387</f>
        <v>0</v>
      </c>
      <c r="BF1011">
        <f>'Revenue drivers'!BF387</f>
        <v>0</v>
      </c>
      <c r="BG1011">
        <f>'Revenue drivers'!BG387</f>
        <v>0</v>
      </c>
      <c r="BH1011">
        <f>'Revenue drivers'!BH387</f>
        <v>0</v>
      </c>
      <c r="BI1011">
        <f>'Revenue drivers'!BI387</f>
        <v>0</v>
      </c>
      <c r="BJ1011">
        <f>'Revenue drivers'!BJ387</f>
        <v>0</v>
      </c>
      <c r="BK1011">
        <f>'Revenue drivers'!BK387</f>
        <v>1.8170000000000002</v>
      </c>
      <c r="BL1011">
        <f>'Revenue drivers'!BL387</f>
        <v>2.7000000000000046</v>
      </c>
      <c r="BM1011">
        <f>'Revenue drivers'!BM387</f>
        <v>3.6569999999999983</v>
      </c>
      <c r="BN1011">
        <f>'Revenue drivers'!BN387</f>
        <v>4.9770050685178564</v>
      </c>
      <c r="BO1011">
        <f>'Revenue drivers'!BO387</f>
        <v>6.6251881856929815</v>
      </c>
      <c r="BP1011">
        <f>'Revenue drivers'!BP387</f>
        <v>8.4191579400678034</v>
      </c>
      <c r="BQ1011">
        <f>'Revenue drivers'!BQ387</f>
        <v>10.316506744211155</v>
      </c>
      <c r="BR1011">
        <f>'Revenue drivers'!BR387</f>
        <v>12.047854642473782</v>
      </c>
      <c r="BS1011">
        <f>'Revenue drivers'!BS387</f>
        <v>13.749994297798574</v>
      </c>
      <c r="BT1011">
        <f>'Revenue drivers'!BT387</f>
        <v>15.422916935076728</v>
      </c>
      <c r="BU1011">
        <f>'Revenue drivers'!BU387</f>
        <v>16.814236538425071</v>
      </c>
      <c r="BV1011">
        <f>'Revenue drivers'!BV387</f>
        <v>18.205556141773414</v>
      </c>
      <c r="BW1011">
        <f>'Revenue drivers'!BW387</f>
        <v>19.596875745121757</v>
      </c>
      <c r="BX1011">
        <f>'Revenue drivers'!BX387</f>
        <v>20.9881953484701</v>
      </c>
      <c r="BY1011">
        <f>'Revenue drivers'!BY387</f>
        <v>22.379514951818447</v>
      </c>
    </row>
    <row r="1012" spans="9:77" ht="11.25" customHeight="1">
      <c r="I1012" t="str">
        <f>'Revenue drivers'!I388</f>
        <v>% change Y/Y</v>
      </c>
      <c r="J1012">
        <f>'Revenue drivers'!J388</f>
        <v>0</v>
      </c>
      <c r="K1012">
        <f>'Revenue drivers'!K388</f>
        <v>0</v>
      </c>
      <c r="L1012">
        <f>'Revenue drivers'!L388</f>
        <v>0</v>
      </c>
      <c r="M1012">
        <f>'Revenue drivers'!M388</f>
        <v>0</v>
      </c>
      <c r="N1012">
        <f>'Revenue drivers'!N388</f>
        <v>0</v>
      </c>
      <c r="O1012">
        <f>'Revenue drivers'!O388</f>
        <v>0</v>
      </c>
      <c r="P1012">
        <f>'Revenue drivers'!P388</f>
        <v>0</v>
      </c>
      <c r="Q1012">
        <f>'Revenue drivers'!Q388</f>
        <v>0</v>
      </c>
      <c r="R1012">
        <f>'Revenue drivers'!R388</f>
        <v>0</v>
      </c>
      <c r="S1012">
        <f>'Revenue drivers'!S388</f>
        <v>0</v>
      </c>
      <c r="T1012" t="str">
        <f>'Revenue drivers'!T388</f>
        <v>NA</v>
      </c>
      <c r="U1012" t="str">
        <f>'Revenue drivers'!U388</f>
        <v>NA</v>
      </c>
      <c r="V1012" t="str">
        <f>'Revenue drivers'!V388</f>
        <v>NA</v>
      </c>
      <c r="W1012" t="str">
        <f>'Revenue drivers'!W388</f>
        <v>NA</v>
      </c>
      <c r="X1012">
        <f>'Revenue drivers'!X388</f>
        <v>0.48596587782058576</v>
      </c>
      <c r="Y1012">
        <f>'Revenue drivers'!Y388</f>
        <v>0.4030932817786359</v>
      </c>
      <c r="Z1012">
        <f>'Revenue drivers'!Z388</f>
        <v>0.34633319203052282</v>
      </c>
      <c r="AA1012">
        <f>'Revenue drivers'!AA388</f>
        <v>0.3921887713588279</v>
      </c>
      <c r="AB1012">
        <f>'Revenue drivers'!AB388</f>
        <v>0.35444444444444145</v>
      </c>
      <c r="AC1012">
        <f>'Revenue drivers'!AC388</f>
        <v>0.41233207027213337</v>
      </c>
      <c r="AD1012">
        <f>'Revenue drivers'!AD388</f>
        <v>0.3671284634760692</v>
      </c>
      <c r="AE1012">
        <f>'Revenue drivers'!AE388</f>
        <v>0.3419053185271741</v>
      </c>
      <c r="AF1012">
        <f>'Revenue drivers'!AF388</f>
        <v>0.36095298564885381</v>
      </c>
      <c r="AG1012">
        <f>'Revenue drivers'!AG388</f>
        <v>0.30948274243172902</v>
      </c>
      <c r="AH1012">
        <f>'Revenue drivers'!AH388</f>
        <v>0.33288705778775118</v>
      </c>
      <c r="AI1012">
        <f>'Revenue drivers'!AI388</f>
        <v>0.35717254136927479</v>
      </c>
      <c r="AJ1012">
        <f>'Revenue drivers'!AJ388</f>
        <v>0.33115962199852667</v>
      </c>
      <c r="AK1012">
        <f>'Revenue drivers'!AK388</f>
        <v>0.31581152075783292</v>
      </c>
      <c r="AL1012">
        <f>'Revenue drivers'!AL388</f>
        <v>0.30129375217197407</v>
      </c>
      <c r="AM1012">
        <f>'Revenue drivers'!AM388</f>
        <v>0.28653014477265937</v>
      </c>
      <c r="AN1012">
        <f>'Revenue drivers'!AN388</f>
        <v>0.27078019583638069</v>
      </c>
      <c r="AO1012">
        <f>'Revenue drivers'!AO388</f>
        <v>0.25531037380505262</v>
      </c>
      <c r="AP1012">
        <f>'Revenue drivers'!AP388</f>
        <v>0.24324370601585255</v>
      </c>
      <c r="AQ1012">
        <f>'Revenue drivers'!AQ388</f>
        <v>0.23235974476552568</v>
      </c>
      <c r="AR1012">
        <f>'Revenue drivers'!AR388</f>
        <v>0.2253608754758758</v>
      </c>
      <c r="AS1012">
        <f>'Revenue drivers'!AS388</f>
        <v>0.21245421376838669</v>
      </c>
      <c r="AT1012">
        <f>'Revenue drivers'!AT388</f>
        <v>0.19488937442147081</v>
      </c>
      <c r="AU1012">
        <f>'Revenue drivers'!AU388</f>
        <v>0.17596478736026988</v>
      </c>
      <c r="AV1012">
        <f>'Revenue drivers'!AV388</f>
        <v>0.16782307627861814</v>
      </c>
      <c r="AW1012">
        <f>'Revenue drivers'!AW388</f>
        <v>0.16034607789900135</v>
      </c>
      <c r="AX1012">
        <f>'Revenue drivers'!AX388</f>
        <v>0.15344886619085374</v>
      </c>
      <c r="AY1012">
        <f>'Revenue drivers'!AY388</f>
        <v>0.14711830870435638</v>
      </c>
      <c r="AZ1012">
        <f>'Revenue drivers'!AZ388</f>
        <v>0.14128155641287621</v>
      </c>
      <c r="BA1012">
        <f>'Revenue drivers'!BA388</f>
        <v>0.13584587285222471</v>
      </c>
      <c r="BB1012">
        <f>'Revenue drivers'!BB388</f>
        <v>0.13077087179425284</v>
      </c>
      <c r="BC1012">
        <f>'Revenue drivers'!BC388</f>
        <v>0.12605819191867429</v>
      </c>
      <c r="BD1012">
        <f>'Revenue drivers'!BD388</f>
        <v>0.12166715134900064</v>
      </c>
      <c r="BE1012">
        <f>'Revenue drivers'!BE388</f>
        <v>0</v>
      </c>
      <c r="BF1012">
        <f>'Revenue drivers'!BF388</f>
        <v>0</v>
      </c>
      <c r="BG1012">
        <f>'Revenue drivers'!BG388</f>
        <v>0</v>
      </c>
      <c r="BH1012">
        <f>'Revenue drivers'!BH388</f>
        <v>0</v>
      </c>
      <c r="BI1012">
        <f>'Revenue drivers'!BI388</f>
        <v>0</v>
      </c>
      <c r="BJ1012">
        <f>'Revenue drivers'!BJ388</f>
        <v>0</v>
      </c>
      <c r="BK1012" t="str">
        <f>'Revenue drivers'!BK388</f>
        <v>NA</v>
      </c>
      <c r="BL1012">
        <f>'Revenue drivers'!BL388</f>
        <v>0.48596587782058576</v>
      </c>
      <c r="BM1012">
        <f>'Revenue drivers'!BM388</f>
        <v>0.35444444444444145</v>
      </c>
      <c r="BN1012">
        <f>'Revenue drivers'!BN388</f>
        <v>0.36095298564885381</v>
      </c>
      <c r="BO1012">
        <f>'Revenue drivers'!BO388</f>
        <v>0.33115962199852667</v>
      </c>
      <c r="BP1012">
        <f>'Revenue drivers'!BP388</f>
        <v>0.27078019583638069</v>
      </c>
      <c r="BQ1012">
        <f>'Revenue drivers'!BQ388</f>
        <v>0.2253608754758758</v>
      </c>
      <c r="BR1012">
        <f>'Revenue drivers'!BR388</f>
        <v>0.16782307627861814</v>
      </c>
      <c r="BS1012">
        <f>'Revenue drivers'!BS388</f>
        <v>0.14128155641287621</v>
      </c>
      <c r="BT1012">
        <f>'Revenue drivers'!BT388</f>
        <v>0.12166715134900064</v>
      </c>
      <c r="BU1012">
        <f>'Revenue drivers'!BU388</f>
        <v>9.0211184382639642E-2</v>
      </c>
      <c r="BV1012">
        <f>'Revenue drivers'!BV388</f>
        <v>8.2746522577388681E-2</v>
      </c>
      <c r="BW1012">
        <f>'Revenue drivers'!BW388</f>
        <v>7.6422801507057603E-2</v>
      </c>
      <c r="BX1012">
        <f>'Revenue drivers'!BX388</f>
        <v>7.0997011025835777E-2</v>
      </c>
      <c r="BY1012">
        <f>'Revenue drivers'!BY388</f>
        <v>6.6290578120131949E-2</v>
      </c>
    </row>
    <row r="1013" spans="9:77" ht="11.25" customHeight="1">
      <c r="I1013" t="str">
        <f>'Revenue drivers'!I389</f>
        <v>% change Q/Q</v>
      </c>
      <c r="J1013">
        <f>'Revenue drivers'!J389</f>
        <v>0</v>
      </c>
      <c r="K1013">
        <f>'Revenue drivers'!K389</f>
        <v>0</v>
      </c>
      <c r="L1013">
        <f>'Revenue drivers'!L389</f>
        <v>0</v>
      </c>
      <c r="M1013">
        <f>'Revenue drivers'!M389</f>
        <v>0</v>
      </c>
      <c r="N1013">
        <f>'Revenue drivers'!N389</f>
        <v>0</v>
      </c>
      <c r="O1013">
        <f>'Revenue drivers'!O389</f>
        <v>0</v>
      </c>
      <c r="P1013">
        <f>'Revenue drivers'!P389</f>
        <v>0</v>
      </c>
      <c r="Q1013">
        <f>'Revenue drivers'!Q389</f>
        <v>0</v>
      </c>
      <c r="R1013">
        <f>'Revenue drivers'!R389</f>
        <v>0</v>
      </c>
      <c r="S1013">
        <f>'Revenue drivers'!S389</f>
        <v>0</v>
      </c>
      <c r="T1013" t="str">
        <f>'Revenue drivers'!T389</f>
        <v>NA</v>
      </c>
      <c r="U1013">
        <f>'Revenue drivers'!U389</f>
        <v>0.13869014859658813</v>
      </c>
      <c r="V1013">
        <f>'Revenue drivers'!V389</f>
        <v>0.14016433059448929</v>
      </c>
      <c r="W1013">
        <f>'Revenue drivers'!W389</f>
        <v>4.196693514201133E-2</v>
      </c>
      <c r="X1013">
        <f>'Revenue drivers'!X389</f>
        <v>9.8454027664768295E-2</v>
      </c>
      <c r="Y1013">
        <f>'Revenue drivers'!Y389</f>
        <v>7.5185185185182801E-2</v>
      </c>
      <c r="Z1013">
        <f>'Revenue drivers'!Z389</f>
        <v>9.404064760592612E-2</v>
      </c>
      <c r="AA1013">
        <f>'Revenue drivers'!AA389</f>
        <v>7.7455919395466699E-2</v>
      </c>
      <c r="AB1013">
        <f>'Revenue drivers'!AB389</f>
        <v>6.8673290473405535E-2</v>
      </c>
      <c r="AC1013">
        <f>'Revenue drivers'!AC389</f>
        <v>0.12113754443533042</v>
      </c>
      <c r="AD1013">
        <f>'Revenue drivers'!AD389</f>
        <v>5.9024390243901825E-2</v>
      </c>
      <c r="AE1013">
        <f>'Revenue drivers'!AE389</f>
        <v>5.7577153385535818E-2</v>
      </c>
      <c r="AF1013">
        <f>'Revenue drivers'!AF389</f>
        <v>8.3842567185945516E-2</v>
      </c>
      <c r="AG1013">
        <f>'Revenue drivers'!AG389</f>
        <v>7.8736945222548149E-2</v>
      </c>
      <c r="AH1013">
        <f>'Revenue drivers'!AH389</f>
        <v>7.7952276802345288E-2</v>
      </c>
      <c r="AI1013">
        <f>'Revenue drivers'!AI389</f>
        <v>7.6846432387589703E-2</v>
      </c>
      <c r="AJ1013">
        <f>'Revenue drivers'!AJ389</f>
        <v>6.3068562075035084E-2</v>
      </c>
      <c r="AK1013">
        <f>'Revenue drivers'!AK389</f>
        <v>6.6299245360156522E-2</v>
      </c>
      <c r="AL1013">
        <f>'Revenue drivers'!AL389</f>
        <v>6.6058885192426198E-2</v>
      </c>
      <c r="AM1013">
        <f>'Revenue drivers'!AM389</f>
        <v>6.4629253959899824E-2</v>
      </c>
      <c r="AN1013">
        <f>'Revenue drivers'!AN389</f>
        <v>5.0054272719690207E-2</v>
      </c>
      <c r="AO1013">
        <f>'Revenue drivers'!AO389</f>
        <v>5.3318668851404238E-2</v>
      </c>
      <c r="AP1013">
        <f>'Revenue drivers'!AP389</f>
        <v>5.5811396858246543E-2</v>
      </c>
      <c r="AQ1013">
        <f>'Revenue drivers'!AQ389</f>
        <v>5.5308970663877854E-2</v>
      </c>
      <c r="AR1013">
        <f>'Revenue drivers'!AR389</f>
        <v>4.4090760333782342E-2</v>
      </c>
      <c r="AS1013">
        <f>'Revenue drivers'!AS389</f>
        <v>4.2224118665306509E-2</v>
      </c>
      <c r="AT1013">
        <f>'Revenue drivers'!AT389</f>
        <v>4.0515843957474873E-2</v>
      </c>
      <c r="AU1013">
        <f>'Revenue drivers'!AU389</f>
        <v>3.8595049760978828E-2</v>
      </c>
      <c r="AV1013">
        <f>'Revenue drivers'!AV389</f>
        <v>3.6862069980951873E-2</v>
      </c>
      <c r="AW1013">
        <f>'Revenue drivers'!AW389</f>
        <v>3.5551268809238978E-2</v>
      </c>
      <c r="AX1013">
        <f>'Revenue drivers'!AX389</f>
        <v>3.4330914996926198E-2</v>
      </c>
      <c r="AY1013">
        <f>'Revenue drivers'!AY389</f>
        <v>3.2894852846818257E-2</v>
      </c>
      <c r="AZ1013">
        <f>'Revenue drivers'!AZ389</f>
        <v>3.1586322033256842E-2</v>
      </c>
      <c r="BA1013">
        <f>'Revenue drivers'!BA389</f>
        <v>3.0619156328800523E-2</v>
      </c>
      <c r="BB1013">
        <f>'Revenue drivers'!BB389</f>
        <v>2.970948649736993E-2</v>
      </c>
      <c r="BC1013">
        <f>'Revenue drivers'!BC389</f>
        <v>2.8590087922270691E-2</v>
      </c>
      <c r="BD1013">
        <f>'Revenue drivers'!BD389</f>
        <v>2.7563672561252028E-2</v>
      </c>
      <c r="BE1013">
        <f>'Revenue drivers'!BE389</f>
        <v>0</v>
      </c>
      <c r="BF1013">
        <f>'Revenue drivers'!BF389</f>
        <v>0</v>
      </c>
      <c r="BG1013">
        <f>'Revenue drivers'!BG389</f>
        <v>0</v>
      </c>
      <c r="BH1013">
        <f>'Revenue drivers'!BH389</f>
        <v>0</v>
      </c>
      <c r="BI1013">
        <f>'Revenue drivers'!BI389</f>
        <v>0</v>
      </c>
      <c r="BJ1013">
        <f>'Revenue drivers'!BJ389</f>
        <v>0</v>
      </c>
      <c r="BK1013">
        <f>'Revenue drivers'!BK389</f>
        <v>0</v>
      </c>
      <c r="BL1013">
        <f>'Revenue drivers'!BL389</f>
        <v>0</v>
      </c>
      <c r="BM1013">
        <f>'Revenue drivers'!BM389</f>
        <v>0</v>
      </c>
      <c r="BN1013">
        <f>'Revenue drivers'!BN389</f>
        <v>0</v>
      </c>
      <c r="BO1013">
        <f>'Revenue drivers'!BO389</f>
        <v>0</v>
      </c>
      <c r="BP1013">
        <f>'Revenue drivers'!BP389</f>
        <v>0</v>
      </c>
      <c r="BQ1013">
        <f>'Revenue drivers'!BQ389</f>
        <v>0</v>
      </c>
      <c r="BR1013">
        <f>'Revenue drivers'!BR389</f>
        <v>0</v>
      </c>
      <c r="BS1013">
        <f>'Revenue drivers'!BS389</f>
        <v>0</v>
      </c>
      <c r="BT1013">
        <f>'Revenue drivers'!BT389</f>
        <v>0</v>
      </c>
      <c r="BU1013">
        <f>'Revenue drivers'!BU389</f>
        <v>0</v>
      </c>
      <c r="BV1013">
        <f>'Revenue drivers'!BV389</f>
        <v>0</v>
      </c>
      <c r="BW1013">
        <f>'Revenue drivers'!BW389</f>
        <v>0</v>
      </c>
      <c r="BX1013">
        <f>'Revenue drivers'!BX389</f>
        <v>0</v>
      </c>
      <c r="BY1013">
        <f>'Revenue drivers'!BY389</f>
        <v>0</v>
      </c>
    </row>
    <row r="1014" spans="9:77" ht="11.25" customHeight="1">
      <c r="I1014" t="str">
        <f>'Revenue drivers'!I390</f>
        <v>% of total reviews</v>
      </c>
      <c r="J1014">
        <f>'Revenue drivers'!J390</f>
        <v>0</v>
      </c>
      <c r="K1014">
        <f>'Revenue drivers'!K390</f>
        <v>0</v>
      </c>
      <c r="L1014">
        <f>'Revenue drivers'!L390</f>
        <v>0</v>
      </c>
      <c r="M1014">
        <f>'Revenue drivers'!M390</f>
        <v>0</v>
      </c>
      <c r="N1014">
        <f>'Revenue drivers'!N390</f>
        <v>0</v>
      </c>
      <c r="O1014">
        <f>'Revenue drivers'!O390</f>
        <v>0</v>
      </c>
      <c r="P1014">
        <f>'Revenue drivers'!P390</f>
        <v>0</v>
      </c>
      <c r="Q1014">
        <f>'Revenue drivers'!Q390</f>
        <v>0</v>
      </c>
      <c r="R1014">
        <f>'Revenue drivers'!R390</f>
        <v>0</v>
      </c>
      <c r="S1014">
        <f>'Revenue drivers'!S390</f>
        <v>0</v>
      </c>
      <c r="T1014">
        <f>'Revenue drivers'!T390</f>
        <v>7.3215940685820213E-2</v>
      </c>
      <c r="U1014">
        <f>'Revenue drivers'!U390</f>
        <v>7.5048061228191118E-2</v>
      </c>
      <c r="V1014">
        <f>'Revenue drivers'!V390</f>
        <v>7.7960276281436897E-2</v>
      </c>
      <c r="W1014">
        <f>'Revenue drivers'!W390</f>
        <v>7.3907029887545966E-2</v>
      </c>
      <c r="X1014">
        <f>'Revenue drivers'!X390</f>
        <v>7.5000000000000122E-2</v>
      </c>
      <c r="Y1014">
        <f>'Revenue drivers'!Y390</f>
        <v>7.4239828146178008E-2</v>
      </c>
      <c r="Z1014">
        <f>'Revenue drivers'!Z390</f>
        <v>7.4683722898932464E-2</v>
      </c>
      <c r="AA1014">
        <f>'Revenue drivers'!AA390</f>
        <v>7.2313089049490811E-2</v>
      </c>
      <c r="AB1014">
        <f>'Revenue drivers'!AB390</f>
        <v>6.931781564531718E-2</v>
      </c>
      <c r="AC1014">
        <f>'Revenue drivers'!AC390</f>
        <v>7.1929824561403538E-2</v>
      </c>
      <c r="AD1014">
        <f>'Revenue drivers'!AD390</f>
        <v>7.0783476247921473E-2</v>
      </c>
      <c r="AE1014">
        <f>'Revenue drivers'!AE390</f>
        <v>6.8957232099951873E-2</v>
      </c>
      <c r="AF1014">
        <f>'Revenue drivers'!AF390</f>
        <v>6.9870354173936666E-2</v>
      </c>
      <c r="AG1014">
        <f>'Revenue drivers'!AG390</f>
        <v>6.9413793136944263E-2</v>
      </c>
      <c r="AH1014">
        <f>'Revenue drivers'!AH390</f>
        <v>6.9642073655440465E-2</v>
      </c>
      <c r="AI1014">
        <f>'Revenue drivers'!AI390</f>
        <v>6.9527933396192371E-2</v>
      </c>
      <c r="AJ1014">
        <f>'Revenue drivers'!AJ390</f>
        <v>6.9585003525816425E-2</v>
      </c>
      <c r="AK1014">
        <f>'Revenue drivers'!AK390</f>
        <v>6.9556468461004398E-2</v>
      </c>
      <c r="AL1014">
        <f>'Revenue drivers'!AL390</f>
        <v>6.9570735993410404E-2</v>
      </c>
      <c r="AM1014">
        <f>'Revenue drivers'!AM390</f>
        <v>6.9563602227207394E-2</v>
      </c>
      <c r="AN1014">
        <f>'Revenue drivers'!AN390</f>
        <v>6.9567169110308899E-2</v>
      </c>
      <c r="AO1014">
        <f>'Revenue drivers'!AO390</f>
        <v>6.956538566875814E-2</v>
      </c>
      <c r="AP1014">
        <f>'Revenue drivers'!AP390</f>
        <v>6.9566277389533526E-2</v>
      </c>
      <c r="AQ1014">
        <f>'Revenue drivers'!AQ390</f>
        <v>6.9565831529145833E-2</v>
      </c>
      <c r="AR1014">
        <f>'Revenue drivers'!AR390</f>
        <v>6.956605445933968E-2</v>
      </c>
      <c r="AS1014">
        <f>'Revenue drivers'!AS390</f>
        <v>6.9565942994242763E-2</v>
      </c>
      <c r="AT1014">
        <f>'Revenue drivers'!AT390</f>
        <v>6.9565998726791228E-2</v>
      </c>
      <c r="AU1014">
        <f>'Revenue drivers'!AU390</f>
        <v>6.9565970860516996E-2</v>
      </c>
      <c r="AV1014">
        <f>'Revenue drivers'!AV390</f>
        <v>6.9565984793654112E-2</v>
      </c>
      <c r="AW1014">
        <f>'Revenue drivers'!AW390</f>
        <v>6.9565977827085554E-2</v>
      </c>
      <c r="AX1014">
        <f>'Revenue drivers'!AX390</f>
        <v>6.956598131036984E-2</v>
      </c>
      <c r="AY1014">
        <f>'Revenue drivers'!AY390</f>
        <v>6.9565979568727704E-2</v>
      </c>
      <c r="AZ1014">
        <f>'Revenue drivers'!AZ390</f>
        <v>6.9565980439548772E-2</v>
      </c>
      <c r="BA1014">
        <f>'Revenue drivers'!BA390</f>
        <v>6.9565980004138245E-2</v>
      </c>
      <c r="BB1014">
        <f>'Revenue drivers'!BB390</f>
        <v>6.9565980221843515E-2</v>
      </c>
      <c r="BC1014">
        <f>'Revenue drivers'!BC390</f>
        <v>6.956598011299088E-2</v>
      </c>
      <c r="BD1014">
        <f>'Revenue drivers'!BD390</f>
        <v>6.9565980167417191E-2</v>
      </c>
      <c r="BE1014">
        <f>'Revenue drivers'!BE390</f>
        <v>0</v>
      </c>
      <c r="BF1014">
        <f>'Revenue drivers'!BF390</f>
        <v>0</v>
      </c>
      <c r="BG1014">
        <f>'Revenue drivers'!BG390</f>
        <v>0</v>
      </c>
      <c r="BH1014">
        <f>'Revenue drivers'!BH390</f>
        <v>0</v>
      </c>
      <c r="BI1014">
        <f>'Revenue drivers'!BI390</f>
        <v>0</v>
      </c>
      <c r="BJ1014">
        <f>'Revenue drivers'!BJ390</f>
        <v>0</v>
      </c>
      <c r="BK1014">
        <f>'Revenue drivers'!BK390</f>
        <v>7.3215940685820213E-2</v>
      </c>
      <c r="BL1014">
        <f>'Revenue drivers'!BL390</f>
        <v>7.5000000000000122E-2</v>
      </c>
      <c r="BM1014">
        <f>'Revenue drivers'!BM390</f>
        <v>6.931781564531718E-2</v>
      </c>
      <c r="BN1014">
        <f>'Revenue drivers'!BN390</f>
        <v>6.9870354173936666E-2</v>
      </c>
      <c r="BO1014">
        <f>'Revenue drivers'!BO390</f>
        <v>6.9585003525816425E-2</v>
      </c>
      <c r="BP1014">
        <f>'Revenue drivers'!BP390</f>
        <v>6.9567169110308899E-2</v>
      </c>
      <c r="BQ1014">
        <f>'Revenue drivers'!BQ390</f>
        <v>6.956605445933968E-2</v>
      </c>
      <c r="BR1014">
        <f>'Revenue drivers'!BR390</f>
        <v>6.9565984793654112E-2</v>
      </c>
      <c r="BS1014">
        <f>'Revenue drivers'!BS390</f>
        <v>6.9565980439548772E-2</v>
      </c>
      <c r="BT1014">
        <f>'Revenue drivers'!BT390</f>
        <v>6.9565980167417191E-2</v>
      </c>
      <c r="BU1014">
        <f>'Revenue drivers'!BU390</f>
        <v>6.9565980167417191E-2</v>
      </c>
      <c r="BV1014">
        <f>'Revenue drivers'!BV390</f>
        <v>6.9565980167417191E-2</v>
      </c>
      <c r="BW1014">
        <f>'Revenue drivers'!BW390</f>
        <v>6.9565980167417191E-2</v>
      </c>
      <c r="BX1014">
        <f>'Revenue drivers'!BX390</f>
        <v>6.9565980167417191E-2</v>
      </c>
      <c r="BY1014">
        <f>'Revenue drivers'!BY390</f>
        <v>6.9565980167417191E-2</v>
      </c>
    </row>
    <row r="1015" spans="9:77" ht="11.25" customHeight="1">
      <c r="I1015">
        <f>'Revenue drivers'!I391</f>
        <v>0</v>
      </c>
      <c r="J1015">
        <f>'Revenue drivers'!J391</f>
        <v>0</v>
      </c>
      <c r="K1015">
        <f>'Revenue drivers'!K391</f>
        <v>0</v>
      </c>
      <c r="L1015">
        <f>'Revenue drivers'!L391</f>
        <v>0</v>
      </c>
      <c r="M1015">
        <f>'Revenue drivers'!M391</f>
        <v>0</v>
      </c>
      <c r="N1015">
        <f>'Revenue drivers'!N391</f>
        <v>0</v>
      </c>
      <c r="O1015">
        <f>'Revenue drivers'!O391</f>
        <v>0</v>
      </c>
      <c r="P1015">
        <f>'Revenue drivers'!P391</f>
        <v>0</v>
      </c>
      <c r="Q1015">
        <f>'Revenue drivers'!Q391</f>
        <v>0</v>
      </c>
      <c r="R1015">
        <f>'Revenue drivers'!R391</f>
        <v>0</v>
      </c>
      <c r="S1015">
        <f>'Revenue drivers'!S391</f>
        <v>0</v>
      </c>
      <c r="T1015">
        <f>'Revenue drivers'!T391</f>
        <v>0</v>
      </c>
      <c r="U1015">
        <f>'Revenue drivers'!U391</f>
        <v>0</v>
      </c>
      <c r="V1015">
        <f>'Revenue drivers'!V391</f>
        <v>0</v>
      </c>
      <c r="W1015">
        <f>'Revenue drivers'!W391</f>
        <v>0</v>
      </c>
      <c r="X1015">
        <f>'Revenue drivers'!X391</f>
        <v>0</v>
      </c>
      <c r="Y1015">
        <f>'Revenue drivers'!Y391</f>
        <v>0</v>
      </c>
      <c r="Z1015">
        <f>'Revenue drivers'!Z391</f>
        <v>0</v>
      </c>
      <c r="AA1015">
        <f>'Revenue drivers'!AA391</f>
        <v>0</v>
      </c>
      <c r="AB1015">
        <f>'Revenue drivers'!AB391</f>
        <v>0</v>
      </c>
      <c r="AC1015">
        <f>'Revenue drivers'!AC391</f>
        <v>0</v>
      </c>
      <c r="AD1015">
        <f>'Revenue drivers'!AD391</f>
        <v>0</v>
      </c>
      <c r="AE1015">
        <f>'Revenue drivers'!AE391</f>
        <v>0</v>
      </c>
      <c r="AF1015">
        <f>'Revenue drivers'!AF391</f>
        <v>0</v>
      </c>
      <c r="AG1015">
        <f>'Revenue drivers'!AG391</f>
        <v>0</v>
      </c>
      <c r="AH1015">
        <f>'Revenue drivers'!AH391</f>
        <v>0</v>
      </c>
      <c r="AI1015">
        <f>'Revenue drivers'!AI391</f>
        <v>0</v>
      </c>
      <c r="AJ1015">
        <f>'Revenue drivers'!AJ391</f>
        <v>0</v>
      </c>
      <c r="AK1015">
        <f>'Revenue drivers'!AK391</f>
        <v>0</v>
      </c>
      <c r="AL1015">
        <f>'Revenue drivers'!AL391</f>
        <v>0</v>
      </c>
      <c r="AM1015">
        <f>'Revenue drivers'!AM391</f>
        <v>0</v>
      </c>
      <c r="AN1015">
        <f>'Revenue drivers'!AN391</f>
        <v>0</v>
      </c>
      <c r="AO1015">
        <f>'Revenue drivers'!AO391</f>
        <v>0</v>
      </c>
      <c r="AP1015">
        <f>'Revenue drivers'!AP391</f>
        <v>0</v>
      </c>
      <c r="AQ1015">
        <f>'Revenue drivers'!AQ391</f>
        <v>0</v>
      </c>
      <c r="AR1015">
        <f>'Revenue drivers'!AR391</f>
        <v>0</v>
      </c>
      <c r="AS1015">
        <f>'Revenue drivers'!AS391</f>
        <v>0</v>
      </c>
      <c r="AT1015">
        <f>'Revenue drivers'!AT391</f>
        <v>0</v>
      </c>
      <c r="AU1015">
        <f>'Revenue drivers'!AU391</f>
        <v>0</v>
      </c>
      <c r="AV1015">
        <f>'Revenue drivers'!AV391</f>
        <v>0</v>
      </c>
      <c r="AW1015">
        <f>'Revenue drivers'!AW391</f>
        <v>0</v>
      </c>
      <c r="AX1015">
        <f>'Revenue drivers'!AX391</f>
        <v>0</v>
      </c>
      <c r="AY1015">
        <f>'Revenue drivers'!AY391</f>
        <v>0</v>
      </c>
      <c r="AZ1015">
        <f>'Revenue drivers'!AZ391</f>
        <v>0</v>
      </c>
      <c r="BA1015">
        <f>'Revenue drivers'!BA391</f>
        <v>0</v>
      </c>
      <c r="BB1015">
        <f>'Revenue drivers'!BB391</f>
        <v>0</v>
      </c>
      <c r="BC1015">
        <f>'Revenue drivers'!BC391</f>
        <v>0</v>
      </c>
      <c r="BD1015">
        <f>'Revenue drivers'!BD391</f>
        <v>0</v>
      </c>
      <c r="BE1015">
        <f>'Revenue drivers'!BE391</f>
        <v>0</v>
      </c>
      <c r="BF1015">
        <f>'Revenue drivers'!BF391</f>
        <v>0</v>
      </c>
      <c r="BG1015">
        <f>'Revenue drivers'!BG391</f>
        <v>0</v>
      </c>
      <c r="BH1015">
        <f>'Revenue drivers'!BH391</f>
        <v>0</v>
      </c>
      <c r="BI1015">
        <f>'Revenue drivers'!BI391</f>
        <v>0</v>
      </c>
      <c r="BJ1015">
        <f>'Revenue drivers'!BJ391</f>
        <v>0</v>
      </c>
      <c r="BK1015">
        <f>'Revenue drivers'!BK391</f>
        <v>0</v>
      </c>
      <c r="BL1015">
        <f>'Revenue drivers'!BL391</f>
        <v>0</v>
      </c>
      <c r="BM1015">
        <f>'Revenue drivers'!BM391</f>
        <v>0</v>
      </c>
      <c r="BN1015">
        <f>'Revenue drivers'!BN391</f>
        <v>0</v>
      </c>
      <c r="BO1015">
        <f>'Revenue drivers'!BO391</f>
        <v>0</v>
      </c>
      <c r="BP1015">
        <f>'Revenue drivers'!BP391</f>
        <v>0</v>
      </c>
      <c r="BQ1015">
        <f>'Revenue drivers'!BQ391</f>
        <v>0</v>
      </c>
      <c r="BR1015">
        <f>'Revenue drivers'!BR391</f>
        <v>0</v>
      </c>
      <c r="BS1015">
        <f>'Revenue drivers'!BS391</f>
        <v>0</v>
      </c>
      <c r="BT1015">
        <f>'Revenue drivers'!BT391</f>
        <v>0</v>
      </c>
      <c r="BU1015">
        <f>'Revenue drivers'!BU391</f>
        <v>0</v>
      </c>
      <c r="BV1015">
        <f>'Revenue drivers'!BV391</f>
        <v>0</v>
      </c>
      <c r="BW1015">
        <f>'Revenue drivers'!BW391</f>
        <v>0</v>
      </c>
      <c r="BX1015">
        <f>'Revenue drivers'!BX391</f>
        <v>0</v>
      </c>
      <c r="BY1015">
        <f>'Revenue drivers'!BY391</f>
        <v>0</v>
      </c>
    </row>
    <row r="1016" spans="9:77" ht="11.25" customHeight="1">
      <c r="I1016" t="str">
        <f>'Revenue drivers'!I392</f>
        <v>Cumulative reviews per active Yelp market</v>
      </c>
      <c r="J1016">
        <f>'Revenue drivers'!J392</f>
        <v>0</v>
      </c>
      <c r="K1016">
        <f>'Revenue drivers'!K392</f>
        <v>0</v>
      </c>
      <c r="L1016">
        <f>'Revenue drivers'!L392</f>
        <v>0</v>
      </c>
      <c r="M1016">
        <f>'Revenue drivers'!M392</f>
        <v>0</v>
      </c>
      <c r="N1016">
        <f>'Revenue drivers'!N392</f>
        <v>0</v>
      </c>
      <c r="O1016">
        <f>'Revenue drivers'!O392</f>
        <v>0</v>
      </c>
      <c r="P1016">
        <f>'Revenue drivers'!P392</f>
        <v>0.30846938775510202</v>
      </c>
      <c r="Q1016">
        <f>'Revenue drivers'!Q392</f>
        <v>0</v>
      </c>
      <c r="R1016">
        <f>'Revenue drivers'!R392</f>
        <v>0</v>
      </c>
      <c r="S1016">
        <f>'Revenue drivers'!S392</f>
        <v>0</v>
      </c>
      <c r="T1016">
        <f>'Revenue drivers'!T392</f>
        <v>0.34953521126760562</v>
      </c>
      <c r="U1016">
        <f>'Revenue drivers'!U392</f>
        <v>0.3362073170731707</v>
      </c>
      <c r="V1016">
        <f>'Revenue drivers'!V392</f>
        <v>0.33621111111111113</v>
      </c>
      <c r="W1016">
        <f>'Revenue drivers'!W392</f>
        <v>0.34643750000000001</v>
      </c>
      <c r="X1016">
        <f>'Revenue drivers'!X392</f>
        <v>0.37113402061855671</v>
      </c>
      <c r="Y1016">
        <f>'Revenue drivers'!Y392</f>
        <v>0.39102999999999999</v>
      </c>
      <c r="Z1016">
        <f>'Revenue drivers'!Z392</f>
        <v>0.40118867924528306</v>
      </c>
      <c r="AA1016">
        <f>'Revenue drivers'!AA392</f>
        <v>0.42632432432432432</v>
      </c>
      <c r="AB1016">
        <f>'Revenue drivers'!AB392</f>
        <v>0.4509145299145299</v>
      </c>
      <c r="AC1016">
        <f>'Revenue drivers'!AC392</f>
        <v>0.47499999999999998</v>
      </c>
      <c r="AD1016">
        <f>'Revenue drivers'!AD392</f>
        <v>0.49469354838709678</v>
      </c>
      <c r="AE1016">
        <f>'Revenue drivers'!AE392</f>
        <v>0.52434645669291335</v>
      </c>
      <c r="AF1016">
        <f>'Revenue drivers'!AF392</f>
        <v>0.53963636363636358</v>
      </c>
      <c r="AG1016">
        <f>'Revenue drivers'!AG392</f>
        <v>0.56456934306569351</v>
      </c>
      <c r="AH1016">
        <f>'Revenue drivers'!AH392</f>
        <v>0.58522535211267612</v>
      </c>
      <c r="AI1016">
        <f>'Revenue drivers'!AI392</f>
        <v>0.60976190476190484</v>
      </c>
      <c r="AJ1016">
        <f>'Revenue drivers'!AJ392</f>
        <v>0.62638157894736834</v>
      </c>
      <c r="AK1016">
        <f>'Revenue drivers'!AK392</f>
        <v>0.64690445859872603</v>
      </c>
      <c r="AL1016">
        <f>'Revenue drivers'!AL392</f>
        <v>0.66821604938271606</v>
      </c>
      <c r="AM1016">
        <f>'Revenue drivers'!AM392</f>
        <v>0.69017365269461073</v>
      </c>
      <c r="AN1016">
        <f>'Revenue drivers'!AN392</f>
        <v>0.70361627906976743</v>
      </c>
      <c r="AO1016">
        <f>'Revenue drivers'!AO392</f>
        <v>0.72021468926553667</v>
      </c>
      <c r="AP1016">
        <f>'Revenue drivers'!AP392</f>
        <v>0.73951098901098911</v>
      </c>
      <c r="AQ1016">
        <f>'Revenue drivers'!AQ392</f>
        <v>0.75955080213903747</v>
      </c>
      <c r="AR1016">
        <f>'Revenue drivers'!AR392</f>
        <v>0.77238541666666671</v>
      </c>
      <c r="AS1016">
        <f>'Revenue drivers'!AS392</f>
        <v>0.78456852791878173</v>
      </c>
      <c r="AT1016">
        <f>'Revenue drivers'!AT392</f>
        <v>0.79614851485148519</v>
      </c>
      <c r="AU1016">
        <f>'Revenue drivers'!AU392</f>
        <v>0.80690338164251207</v>
      </c>
      <c r="AV1016">
        <f>'Revenue drivers'!AV392</f>
        <v>0.81691509433962273</v>
      </c>
      <c r="AW1016">
        <f>'Revenue drivers'!AW392</f>
        <v>0.82646543778801851</v>
      </c>
      <c r="AX1016">
        <f>'Revenue drivers'!AX392</f>
        <v>0.83558558558558571</v>
      </c>
      <c r="AY1016">
        <f>'Revenue drivers'!AY392</f>
        <v>0.84406167400881071</v>
      </c>
      <c r="AZ1016">
        <f>'Revenue drivers'!AZ392</f>
        <v>0.85195689655172424</v>
      </c>
      <c r="BA1016">
        <f>'Revenue drivers'!BA392</f>
        <v>0.85951898734177223</v>
      </c>
      <c r="BB1016">
        <f>'Revenue drivers'!BB392</f>
        <v>0.86676859504132231</v>
      </c>
      <c r="BC1016">
        <f>'Revenue drivers'!BC392</f>
        <v>0.87350202429149804</v>
      </c>
      <c r="BD1016">
        <f>'Revenue drivers'!BD392</f>
        <v>0.87976984126984137</v>
      </c>
      <c r="BE1016">
        <f>'Revenue drivers'!BE392</f>
        <v>0</v>
      </c>
      <c r="BF1016">
        <f>'Revenue drivers'!BF392</f>
        <v>0</v>
      </c>
      <c r="BG1016">
        <f>'Revenue drivers'!BG392</f>
        <v>0</v>
      </c>
      <c r="BH1016">
        <f>'Revenue drivers'!BH392</f>
        <v>0.24345</v>
      </c>
      <c r="BI1016">
        <f>'Revenue drivers'!BI392</f>
        <v>0.32718518518518519</v>
      </c>
      <c r="BJ1016">
        <f>'Revenue drivers'!BJ392</f>
        <v>0.30846938775510202</v>
      </c>
      <c r="BK1016">
        <f>'Revenue drivers'!BK392</f>
        <v>0.34953521126760562</v>
      </c>
      <c r="BL1016">
        <f>'Revenue drivers'!BL392</f>
        <v>0.37113402061855671</v>
      </c>
      <c r="BM1016">
        <f>'Revenue drivers'!BM392</f>
        <v>0.4509145299145299</v>
      </c>
      <c r="BN1016">
        <f>'Revenue drivers'!BN392</f>
        <v>0.53963636363636358</v>
      </c>
      <c r="BO1016">
        <f>'Revenue drivers'!BO392</f>
        <v>0.62638157894736834</v>
      </c>
      <c r="BP1016">
        <f>'Revenue drivers'!BP392</f>
        <v>0.70361627906976743</v>
      </c>
      <c r="BQ1016">
        <f>'Revenue drivers'!BQ392</f>
        <v>0.77238541666666671</v>
      </c>
      <c r="BR1016">
        <f>'Revenue drivers'!BR392</f>
        <v>0.81691509433962273</v>
      </c>
      <c r="BS1016">
        <f>'Revenue drivers'!BS392</f>
        <v>0.85195689655172424</v>
      </c>
      <c r="BT1016">
        <f>'Revenue drivers'!BT392</f>
        <v>0.87976984126984137</v>
      </c>
      <c r="BU1016">
        <f>'Revenue drivers'!BU392</f>
        <v>0.88861029411764714</v>
      </c>
      <c r="BV1016">
        <f>'Revenue drivers'!BV392</f>
        <v>0.89623972602739721</v>
      </c>
      <c r="BW1016">
        <f>'Revenue drivers'!BW392</f>
        <v>0.90289102564102564</v>
      </c>
      <c r="BX1016">
        <f>'Revenue drivers'!BX392</f>
        <v>0.90874096385542169</v>
      </c>
      <c r="BY1016">
        <f>'Revenue drivers'!BY392</f>
        <v>0.9139261363636364</v>
      </c>
    </row>
    <row r="1017" spans="9:77" ht="11.25" customHeight="1">
      <c r="I1017" t="str">
        <f>'Revenue drivers'!I393</f>
        <v>% change Y/Y</v>
      </c>
      <c r="J1017">
        <f>'Revenue drivers'!J393</f>
        <v>0</v>
      </c>
      <c r="K1017">
        <f>'Revenue drivers'!K393</f>
        <v>0</v>
      </c>
      <c r="L1017">
        <f>'Revenue drivers'!L393</f>
        <v>0</v>
      </c>
      <c r="M1017">
        <f>'Revenue drivers'!M393</f>
        <v>0</v>
      </c>
      <c r="N1017">
        <f>'Revenue drivers'!N393</f>
        <v>0</v>
      </c>
      <c r="O1017">
        <f>'Revenue drivers'!O393</f>
        <v>0</v>
      </c>
      <c r="P1017">
        <f>'Revenue drivers'!P393</f>
        <v>0</v>
      </c>
      <c r="Q1017">
        <f>'Revenue drivers'!Q393</f>
        <v>0</v>
      </c>
      <c r="R1017">
        <f>'Revenue drivers'!R393</f>
        <v>0</v>
      </c>
      <c r="S1017">
        <f>'Revenue drivers'!S393</f>
        <v>0</v>
      </c>
      <c r="T1017">
        <f>'Revenue drivers'!T393</f>
        <v>0.13312771102300203</v>
      </c>
      <c r="U1017" t="str">
        <f>'Revenue drivers'!U393</f>
        <v>NA</v>
      </c>
      <c r="V1017" t="str">
        <f>'Revenue drivers'!V393</f>
        <v>NA</v>
      </c>
      <c r="W1017" t="str">
        <f>'Revenue drivers'!W393</f>
        <v>NA</v>
      </c>
      <c r="X1017">
        <f>'Revenue drivers'!X393</f>
        <v>6.1792942898719838E-2</v>
      </c>
      <c r="Y1017">
        <f>'Revenue drivers'!Y393</f>
        <v>0.16306213500671052</v>
      </c>
      <c r="Z1017">
        <f>'Revenue drivers'!Z393</f>
        <v>0.19326419022689034</v>
      </c>
      <c r="AA1017">
        <f>'Revenue drivers'!AA393</f>
        <v>0.23059519920425564</v>
      </c>
      <c r="AB1017">
        <f>'Revenue drivers'!AB393</f>
        <v>0.21496415004748326</v>
      </c>
      <c r="AC1017">
        <f>'Revenue drivers'!AC393</f>
        <v>0.21474055699051231</v>
      </c>
      <c r="AD1017">
        <f>'Revenue drivers'!AD393</f>
        <v>0.23306956048140548</v>
      </c>
      <c r="AE1017">
        <f>'Revenue drivers'!AE393</f>
        <v>0.22992385556217787</v>
      </c>
      <c r="AF1017">
        <f>'Revenue drivers'!AF393</f>
        <v>0.19675975786065436</v>
      </c>
      <c r="AG1017">
        <f>'Revenue drivers'!AG393</f>
        <v>0.18856703803303909</v>
      </c>
      <c r="AH1017">
        <f>'Revenue drivers'!AH393</f>
        <v>0.18300583062130094</v>
      </c>
      <c r="AI1017">
        <f>'Revenue drivers'!AI393</f>
        <v>0.16289887531177794</v>
      </c>
      <c r="AJ1017">
        <f>'Revenue drivers'!AJ393</f>
        <v>0.16074753511136319</v>
      </c>
      <c r="AK1017">
        <f>'Revenue drivers'!AK393</f>
        <v>0.14583702878009785</v>
      </c>
      <c r="AL1017">
        <f>'Revenue drivers'!AL393</f>
        <v>0.14180981218677857</v>
      </c>
      <c r="AM1017">
        <f>'Revenue drivers'!AM393</f>
        <v>0.13187401066667892</v>
      </c>
      <c r="AN1017">
        <f>'Revenue drivers'!AN393</f>
        <v>0.12330295576730022</v>
      </c>
      <c r="AO1017">
        <f>'Revenue drivers'!AO393</f>
        <v>0.11332466439574329</v>
      </c>
      <c r="AP1017">
        <f>'Revenue drivers'!AP393</f>
        <v>0.10669444365207004</v>
      </c>
      <c r="AQ1017">
        <f>'Revenue drivers'!AQ393</f>
        <v>0.10052129514588248</v>
      </c>
      <c r="AR1017">
        <f>'Revenue drivers'!AR393</f>
        <v>9.7736706273790608E-2</v>
      </c>
      <c r="AS1017">
        <f>'Revenue drivers'!AS393</f>
        <v>8.9353688021653666E-2</v>
      </c>
      <c r="AT1017">
        <f>'Revenue drivers'!AT393</f>
        <v>7.6587808270763169E-2</v>
      </c>
      <c r="AU1017">
        <f>'Revenue drivers'!AU393</f>
        <v>6.2342873406388222E-2</v>
      </c>
      <c r="AV1017">
        <f>'Revenue drivers'!AV393</f>
        <v>5.7652147117341901E-2</v>
      </c>
      <c r="AW1017">
        <f>'Revenue drivers'!AW393</f>
        <v>5.3401211466353793E-2</v>
      </c>
      <c r="AX1017">
        <f>'Revenue drivers'!AX393</f>
        <v>4.9534816681102711E-2</v>
      </c>
      <c r="AY1017">
        <f>'Revenue drivers'!AY393</f>
        <v>4.6050485363761995E-2</v>
      </c>
      <c r="AZ1017">
        <f>'Revenue drivers'!AZ393</f>
        <v>4.2895280617171849E-2</v>
      </c>
      <c r="BA1017">
        <f>'Revenue drivers'!BA393</f>
        <v>3.9993867913241887E-2</v>
      </c>
      <c r="BB1017">
        <f>'Revenue drivers'!BB393</f>
        <v>3.7318749860773659E-2</v>
      </c>
      <c r="BC1017">
        <f>'Revenue drivers'!BC393</f>
        <v>3.4879382857016195E-2</v>
      </c>
      <c r="BD1017">
        <f>'Revenue drivers'!BD393</f>
        <v>3.2645952900539177E-2</v>
      </c>
      <c r="BE1017">
        <f>'Revenue drivers'!BE393</f>
        <v>0</v>
      </c>
      <c r="BF1017">
        <f>'Revenue drivers'!BF393</f>
        <v>0</v>
      </c>
      <c r="BG1017">
        <f>'Revenue drivers'!BG393</f>
        <v>0</v>
      </c>
      <c r="BH1017" t="str">
        <f>'Revenue drivers'!BH393</f>
        <v>NA</v>
      </c>
      <c r="BI1017">
        <f>'Revenue drivers'!BI393</f>
        <v>0.34395229075861655</v>
      </c>
      <c r="BJ1017">
        <f>'Revenue drivers'!BJ393</f>
        <v>-5.720245988365924E-2</v>
      </c>
      <c r="BK1017">
        <f>'Revenue drivers'!BK393</f>
        <v>0.13312771102300203</v>
      </c>
      <c r="BL1017">
        <f>'Revenue drivers'!BL393</f>
        <v>6.1792942898719838E-2</v>
      </c>
      <c r="BM1017">
        <f>'Revenue drivers'!BM393</f>
        <v>0.21496415004748326</v>
      </c>
      <c r="BN1017">
        <f>'Revenue drivers'!BN393</f>
        <v>0.19675975786065436</v>
      </c>
      <c r="BO1017">
        <f>'Revenue drivers'!BO393</f>
        <v>0.16074753511136319</v>
      </c>
      <c r="BP1017">
        <f>'Revenue drivers'!BP393</f>
        <v>0.12330295576730022</v>
      </c>
      <c r="BQ1017">
        <f>'Revenue drivers'!BQ393</f>
        <v>9.7736706273790608E-2</v>
      </c>
      <c r="BR1017">
        <f>'Revenue drivers'!BR393</f>
        <v>5.7652147117341901E-2</v>
      </c>
      <c r="BS1017">
        <f>'Revenue drivers'!BS393</f>
        <v>4.2895280617171849E-2</v>
      </c>
      <c r="BT1017">
        <f>'Revenue drivers'!BT393</f>
        <v>3.2645952900539177E-2</v>
      </c>
      <c r="BU1017">
        <f>'Revenue drivers'!BU393</f>
        <v>1.0048597295680972E-2</v>
      </c>
      <c r="BV1017">
        <f>'Revenue drivers'!BV393</f>
        <v>8.5858018529099134E-3</v>
      </c>
      <c r="BW1017">
        <f>'Revenue drivers'!BW393</f>
        <v>7.421339871990007E-3</v>
      </c>
      <c r="BX1017">
        <f>'Revenue drivers'!BX393</f>
        <v>6.4791187953638918E-3</v>
      </c>
      <c r="BY1017">
        <f>'Revenue drivers'!BY393</f>
        <v>5.7058861814880402E-3</v>
      </c>
    </row>
    <row r="1018" spans="9:77" ht="11.25" customHeight="1">
      <c r="I1018" t="str">
        <f>'Revenue drivers'!I394</f>
        <v>% change Q/Q</v>
      </c>
      <c r="J1018">
        <f>'Revenue drivers'!J394</f>
        <v>0</v>
      </c>
      <c r="K1018">
        <f>'Revenue drivers'!K394</f>
        <v>0</v>
      </c>
      <c r="L1018">
        <f>'Revenue drivers'!L394</f>
        <v>0</v>
      </c>
      <c r="M1018">
        <f>'Revenue drivers'!M394</f>
        <v>0</v>
      </c>
      <c r="N1018">
        <f>'Revenue drivers'!N394</f>
        <v>0</v>
      </c>
      <c r="O1018">
        <f>'Revenue drivers'!O394</f>
        <v>0</v>
      </c>
      <c r="P1018">
        <f>'Revenue drivers'!P394</f>
        <v>0</v>
      </c>
      <c r="Q1018">
        <f>'Revenue drivers'!Q394</f>
        <v>0</v>
      </c>
      <c r="R1018">
        <f>'Revenue drivers'!R394</f>
        <v>0</v>
      </c>
      <c r="S1018">
        <f>'Revenue drivers'!S394</f>
        <v>0</v>
      </c>
      <c r="T1018" t="str">
        <f>'Revenue drivers'!T394</f>
        <v>NA</v>
      </c>
      <c r="U1018">
        <f>'Revenue drivers'!U394</f>
        <v>-3.8130333553809015E-2</v>
      </c>
      <c r="V1018">
        <f>'Revenue drivers'!V394</f>
        <v>1.1284816682444188E-5</v>
      </c>
      <c r="W1018">
        <f>'Revenue drivers'!W394</f>
        <v>3.0416570276611932E-2</v>
      </c>
      <c r="X1018">
        <f>'Revenue drivers'!X394</f>
        <v>7.1287088200777005E-2</v>
      </c>
      <c r="Y1018">
        <f>'Revenue drivers'!Y394</f>
        <v>5.3608611111111149E-2</v>
      </c>
      <c r="Z1018">
        <f>'Revenue drivers'!Z394</f>
        <v>2.5979283546743392E-2</v>
      </c>
      <c r="AA1018">
        <f>'Revenue drivers'!AA394</f>
        <v>6.2652927112316625E-2</v>
      </c>
      <c r="AB1018">
        <f>'Revenue drivers'!AB394</f>
        <v>5.7679574415976154E-2</v>
      </c>
      <c r="AC1018">
        <f>'Revenue drivers'!AC394</f>
        <v>5.3414712739541681E-2</v>
      </c>
      <c r="AD1018">
        <f>'Revenue drivers'!AD394</f>
        <v>4.1460101867572208E-2</v>
      </c>
      <c r="AE1018">
        <f>'Revenue drivers'!AE394</f>
        <v>5.994197499138032E-2</v>
      </c>
      <c r="AF1018">
        <f>'Revenue drivers'!AF394</f>
        <v>2.9159931850945675E-2</v>
      </c>
      <c r="AG1018">
        <f>'Revenue drivers'!AG394</f>
        <v>4.6203297460011727E-2</v>
      </c>
      <c r="AH1018">
        <f>'Revenue drivers'!AH394</f>
        <v>3.6587195710658937E-2</v>
      </c>
      <c r="AI1018">
        <f>'Revenue drivers'!AI394</f>
        <v>4.192667416175877E-2</v>
      </c>
      <c r="AJ1018">
        <f>'Revenue drivers'!AJ394</f>
        <v>2.7256006083149931E-2</v>
      </c>
      <c r="AK1018">
        <f>'Revenue drivers'!AK394</f>
        <v>3.2764181357067157E-2</v>
      </c>
      <c r="AL1018">
        <f>'Revenue drivers'!AL394</f>
        <v>3.2943954088913818E-2</v>
      </c>
      <c r="AM1018">
        <f>'Revenue drivers'!AM394</f>
        <v>3.2860035810541532E-2</v>
      </c>
      <c r="AN1018">
        <f>'Revenue drivers'!AN394</f>
        <v>1.9477165381021511E-2</v>
      </c>
      <c r="AO1018">
        <f>'Revenue drivers'!AO394</f>
        <v>2.3590145210559355E-2</v>
      </c>
      <c r="AP1018">
        <f>'Revenue drivers'!AP394</f>
        <v>2.6792427359584314E-2</v>
      </c>
      <c r="AQ1018">
        <f>'Revenue drivers'!AQ394</f>
        <v>2.709873609160196E-2</v>
      </c>
      <c r="AR1018">
        <f>'Revenue drivers'!AR394</f>
        <v>1.6897638040121343E-2</v>
      </c>
      <c r="AS1018">
        <f>'Revenue drivers'!AS394</f>
        <v>1.5773357431698942E-2</v>
      </c>
      <c r="AT1018">
        <f>'Revenue drivers'!AT394</f>
        <v>1.47596883135519E-2</v>
      </c>
      <c r="AU1018">
        <f>'Revenue drivers'!AU394</f>
        <v>1.3508618794614069E-2</v>
      </c>
      <c r="AV1018">
        <f>'Revenue drivers'!AV394</f>
        <v>1.2407573105879255E-2</v>
      </c>
      <c r="AW1018">
        <f>'Revenue drivers'!AW394</f>
        <v>1.1690741809730065E-2</v>
      </c>
      <c r="AX1018">
        <f>'Revenue drivers'!AX394</f>
        <v>1.1035123043955375E-2</v>
      </c>
      <c r="AY1018">
        <f>'Revenue drivers'!AY394</f>
        <v>1.0143890188441862E-2</v>
      </c>
      <c r="AZ1018">
        <f>'Revenue drivers'!AZ394</f>
        <v>9.3538455613269011E-3</v>
      </c>
      <c r="BA1018">
        <f>'Revenue drivers'!BA394</f>
        <v>8.8761424676007117E-3</v>
      </c>
      <c r="BB1018">
        <f>'Revenue drivers'!BB394</f>
        <v>8.4344939510538897E-3</v>
      </c>
      <c r="BC1018">
        <f>'Revenue drivers'!BC394</f>
        <v>7.7684278003342655E-3</v>
      </c>
      <c r="BD1018">
        <f>'Revenue drivers'!BD394</f>
        <v>7.175503666894345E-3</v>
      </c>
      <c r="BE1018">
        <f>'Revenue drivers'!BE394</f>
        <v>0</v>
      </c>
      <c r="BF1018">
        <f>'Revenue drivers'!BF394</f>
        <v>0</v>
      </c>
      <c r="BG1018">
        <f>'Revenue drivers'!BG394</f>
        <v>0</v>
      </c>
      <c r="BH1018">
        <f>'Revenue drivers'!BH394</f>
        <v>0</v>
      </c>
      <c r="BI1018">
        <f>'Revenue drivers'!BI394</f>
        <v>0</v>
      </c>
      <c r="BJ1018">
        <f>'Revenue drivers'!BJ394</f>
        <v>0</v>
      </c>
      <c r="BK1018">
        <f>'Revenue drivers'!BK394</f>
        <v>0</v>
      </c>
      <c r="BL1018">
        <f>'Revenue drivers'!BL394</f>
        <v>0</v>
      </c>
      <c r="BM1018">
        <f>'Revenue drivers'!BM394</f>
        <v>0</v>
      </c>
      <c r="BN1018">
        <f>'Revenue drivers'!BN394</f>
        <v>0</v>
      </c>
      <c r="BO1018">
        <f>'Revenue drivers'!BO394</f>
        <v>0</v>
      </c>
      <c r="BP1018">
        <f>'Revenue drivers'!BP394</f>
        <v>0</v>
      </c>
      <c r="BQ1018">
        <f>'Revenue drivers'!BQ394</f>
        <v>0</v>
      </c>
      <c r="BR1018">
        <f>'Revenue drivers'!BR394</f>
        <v>0</v>
      </c>
      <c r="BS1018">
        <f>'Revenue drivers'!BS394</f>
        <v>0</v>
      </c>
      <c r="BT1018">
        <f>'Revenue drivers'!BT394</f>
        <v>0</v>
      </c>
      <c r="BU1018">
        <f>'Revenue drivers'!BU394</f>
        <v>0</v>
      </c>
      <c r="BV1018">
        <f>'Revenue drivers'!BV394</f>
        <v>0</v>
      </c>
      <c r="BW1018">
        <f>'Revenue drivers'!BW394</f>
        <v>0</v>
      </c>
      <c r="BX1018">
        <f>'Revenue drivers'!BX394</f>
        <v>0</v>
      </c>
      <c r="BY1018">
        <f>'Revenue drivers'!BY394</f>
        <v>0</v>
      </c>
    </row>
    <row r="1019" spans="9:77" ht="11.25" customHeight="1">
      <c r="I1019">
        <f>'Revenue drivers'!I395</f>
        <v>0</v>
      </c>
      <c r="J1019">
        <f>'Revenue drivers'!J395</f>
        <v>0</v>
      </c>
      <c r="K1019">
        <f>'Revenue drivers'!K395</f>
        <v>0</v>
      </c>
      <c r="L1019">
        <f>'Revenue drivers'!L395</f>
        <v>0</v>
      </c>
      <c r="M1019">
        <f>'Revenue drivers'!M395</f>
        <v>0</v>
      </c>
      <c r="N1019">
        <f>'Revenue drivers'!N395</f>
        <v>0</v>
      </c>
      <c r="O1019">
        <f>'Revenue drivers'!O395</f>
        <v>0</v>
      </c>
      <c r="P1019">
        <f>'Revenue drivers'!P395</f>
        <v>0</v>
      </c>
      <c r="Q1019">
        <f>'Revenue drivers'!Q395</f>
        <v>0</v>
      </c>
      <c r="R1019">
        <f>'Revenue drivers'!R395</f>
        <v>0</v>
      </c>
      <c r="S1019">
        <f>'Revenue drivers'!S395</f>
        <v>0</v>
      </c>
      <c r="T1019">
        <f>'Revenue drivers'!T395</f>
        <v>0</v>
      </c>
      <c r="U1019">
        <f>'Revenue drivers'!U395</f>
        <v>0</v>
      </c>
      <c r="V1019">
        <f>'Revenue drivers'!V395</f>
        <v>0</v>
      </c>
      <c r="W1019">
        <f>'Revenue drivers'!W395</f>
        <v>0</v>
      </c>
      <c r="X1019">
        <f>'Revenue drivers'!X395</f>
        <v>0</v>
      </c>
      <c r="Y1019">
        <f>'Revenue drivers'!Y395</f>
        <v>0</v>
      </c>
      <c r="Z1019">
        <f>'Revenue drivers'!Z395</f>
        <v>0</v>
      </c>
      <c r="AA1019">
        <f>'Revenue drivers'!AA395</f>
        <v>0</v>
      </c>
      <c r="AB1019">
        <f>'Revenue drivers'!AB395</f>
        <v>0</v>
      </c>
      <c r="AC1019">
        <f>'Revenue drivers'!AC395</f>
        <v>0</v>
      </c>
      <c r="AD1019">
        <f>'Revenue drivers'!AD395</f>
        <v>0</v>
      </c>
      <c r="AE1019">
        <f>'Revenue drivers'!AE395</f>
        <v>0</v>
      </c>
      <c r="AF1019">
        <f>'Revenue drivers'!AF395</f>
        <v>0</v>
      </c>
      <c r="AG1019">
        <f>'Revenue drivers'!AG395</f>
        <v>0</v>
      </c>
      <c r="AH1019">
        <f>'Revenue drivers'!AH395</f>
        <v>0</v>
      </c>
      <c r="AI1019">
        <f>'Revenue drivers'!AI395</f>
        <v>0</v>
      </c>
      <c r="AJ1019">
        <f>'Revenue drivers'!AJ395</f>
        <v>0</v>
      </c>
      <c r="AK1019">
        <f>'Revenue drivers'!AK395</f>
        <v>0</v>
      </c>
      <c r="AL1019">
        <f>'Revenue drivers'!AL395</f>
        <v>0</v>
      </c>
      <c r="AM1019">
        <f>'Revenue drivers'!AM395</f>
        <v>0</v>
      </c>
      <c r="AN1019">
        <f>'Revenue drivers'!AN395</f>
        <v>0</v>
      </c>
      <c r="AO1019">
        <f>'Revenue drivers'!AO395</f>
        <v>0</v>
      </c>
      <c r="AP1019">
        <f>'Revenue drivers'!AP395</f>
        <v>0</v>
      </c>
      <c r="AQ1019">
        <f>'Revenue drivers'!AQ395</f>
        <v>0</v>
      </c>
      <c r="AR1019">
        <f>'Revenue drivers'!AR395</f>
        <v>0</v>
      </c>
      <c r="AS1019">
        <f>'Revenue drivers'!AS395</f>
        <v>0</v>
      </c>
      <c r="AT1019">
        <f>'Revenue drivers'!AT395</f>
        <v>0</v>
      </c>
      <c r="AU1019">
        <f>'Revenue drivers'!AU395</f>
        <v>0</v>
      </c>
      <c r="AV1019">
        <f>'Revenue drivers'!AV395</f>
        <v>0</v>
      </c>
      <c r="AW1019">
        <f>'Revenue drivers'!AW395</f>
        <v>0</v>
      </c>
      <c r="AX1019">
        <f>'Revenue drivers'!AX395</f>
        <v>0</v>
      </c>
      <c r="AY1019">
        <f>'Revenue drivers'!AY395</f>
        <v>0</v>
      </c>
      <c r="AZ1019">
        <f>'Revenue drivers'!AZ395</f>
        <v>0</v>
      </c>
      <c r="BA1019">
        <f>'Revenue drivers'!BA395</f>
        <v>0</v>
      </c>
      <c r="BB1019">
        <f>'Revenue drivers'!BB395</f>
        <v>0</v>
      </c>
      <c r="BC1019">
        <f>'Revenue drivers'!BC395</f>
        <v>0</v>
      </c>
      <c r="BD1019">
        <f>'Revenue drivers'!BD395</f>
        <v>0</v>
      </c>
      <c r="BE1019">
        <f>'Revenue drivers'!BE395</f>
        <v>0</v>
      </c>
      <c r="BF1019">
        <f>'Revenue drivers'!BF395</f>
        <v>0</v>
      </c>
      <c r="BG1019">
        <f>'Revenue drivers'!BG395</f>
        <v>0</v>
      </c>
      <c r="BH1019">
        <f>'Revenue drivers'!BH395</f>
        <v>0</v>
      </c>
      <c r="BI1019">
        <f>'Revenue drivers'!BI395</f>
        <v>0</v>
      </c>
      <c r="BJ1019">
        <f>'Revenue drivers'!BJ395</f>
        <v>0</v>
      </c>
      <c r="BK1019">
        <f>'Revenue drivers'!BK395</f>
        <v>0</v>
      </c>
      <c r="BL1019">
        <f>'Revenue drivers'!BL395</f>
        <v>0</v>
      </c>
      <c r="BM1019">
        <f>'Revenue drivers'!BM395</f>
        <v>0</v>
      </c>
      <c r="BN1019">
        <f>'Revenue drivers'!BN395</f>
        <v>0</v>
      </c>
      <c r="BO1019">
        <f>'Revenue drivers'!BO395</f>
        <v>0</v>
      </c>
      <c r="BP1019">
        <f>'Revenue drivers'!BP395</f>
        <v>0</v>
      </c>
      <c r="BQ1019">
        <f>'Revenue drivers'!BQ395</f>
        <v>0</v>
      </c>
      <c r="BR1019">
        <f>'Revenue drivers'!BR395</f>
        <v>0</v>
      </c>
      <c r="BS1019">
        <f>'Revenue drivers'!BS395</f>
        <v>0</v>
      </c>
      <c r="BT1019">
        <f>'Revenue drivers'!BT395</f>
        <v>0</v>
      </c>
      <c r="BU1019">
        <f>'Revenue drivers'!BU395</f>
        <v>0</v>
      </c>
      <c r="BV1019">
        <f>'Revenue drivers'!BV395</f>
        <v>0</v>
      </c>
      <c r="BW1019">
        <f>'Revenue drivers'!BW395</f>
        <v>0</v>
      </c>
      <c r="BX1019">
        <f>'Revenue drivers'!BX395</f>
        <v>0</v>
      </c>
      <c r="BY1019">
        <f>'Revenue drivers'!BY395</f>
        <v>0</v>
      </c>
    </row>
    <row r="1020" spans="9:77" ht="11.25" customHeight="1">
      <c r="I1020" t="str">
        <f>'Revenue drivers'!I396</f>
        <v>Cumulative reviews per claimed location ('0)</v>
      </c>
      <c r="J1020">
        <f>'Revenue drivers'!J396</f>
        <v>0</v>
      </c>
      <c r="K1020">
        <f>'Revenue drivers'!K396</f>
        <v>0</v>
      </c>
      <c r="L1020">
        <f>'Revenue drivers'!L396</f>
        <v>0</v>
      </c>
      <c r="M1020">
        <f>'Revenue drivers'!M396</f>
        <v>64.427672955974842</v>
      </c>
      <c r="N1020">
        <f>'Revenue drivers'!N396</f>
        <v>58.773869346733662</v>
      </c>
      <c r="O1020">
        <f>'Revenue drivers'!O396</f>
        <v>54.554655870445345</v>
      </c>
      <c r="P1020">
        <f>'Revenue drivers'!P396</f>
        <v>49.234527687296421</v>
      </c>
      <c r="Q1020">
        <f>'Revenue drivers'!Q396</f>
        <v>45.628947368421052</v>
      </c>
      <c r="R1020">
        <f>'Revenue drivers'!R396</f>
        <v>43.498896247240616</v>
      </c>
      <c r="S1020">
        <f>'Revenue drivers'!S396</f>
        <v>42.32514177693762</v>
      </c>
      <c r="T1020">
        <f>'Revenue drivers'!T396</f>
        <v>40.952145214521451</v>
      </c>
      <c r="U1020">
        <f>'Revenue drivers'!U396</f>
        <v>39.384285714285717</v>
      </c>
      <c r="V1020">
        <f>'Revenue drivers'!V396</f>
        <v>38.254108723135268</v>
      </c>
      <c r="W1020">
        <f>'Revenue drivers'!W396</f>
        <v>37.410573678290213</v>
      </c>
      <c r="X1020">
        <f>'Revenue drivers'!X396</f>
        <v>36.217303822937623</v>
      </c>
      <c r="Y1020">
        <f>'Revenue drivers'!Y396</f>
        <v>35.451495920217589</v>
      </c>
      <c r="Z1020">
        <f>'Revenue drivers'!Z396</f>
        <v>34.800327332242226</v>
      </c>
      <c r="AA1020">
        <f>'Revenue drivers'!AA396</f>
        <v>35.209821428571431</v>
      </c>
      <c r="AB1020">
        <f>'Revenue drivers'!AB396</f>
        <v>35.454973118279568</v>
      </c>
      <c r="AC1020">
        <f>'Revenue drivers'!AC396</f>
        <v>35.625</v>
      </c>
      <c r="AD1020">
        <f>'Revenue drivers'!AD396</f>
        <v>35.032552826956028</v>
      </c>
      <c r="AE1020">
        <f>'Revenue drivers'!AE396</f>
        <v>35.308589607635206</v>
      </c>
      <c r="AF1020">
        <f>'Revenue drivers'!AF396</f>
        <v>35.106949236076886</v>
      </c>
      <c r="AG1020">
        <f>'Revenue drivers'!AG396</f>
        <v>35.269493844049251</v>
      </c>
      <c r="AH1020">
        <f>'Revenue drivers'!AH396</f>
        <v>35.37760749255002</v>
      </c>
      <c r="AI1020">
        <f>'Revenue drivers'!AI396</f>
        <v>35.811026767878545</v>
      </c>
      <c r="AJ1020">
        <f>'Revenue drivers'!AJ396</f>
        <v>35.955438066465256</v>
      </c>
      <c r="AK1020">
        <f>'Revenue drivers'!AK396</f>
        <v>35.837685250529283</v>
      </c>
      <c r="AL1020">
        <f>'Revenue drivers'!AL396</f>
        <v>35.963787375415286</v>
      </c>
      <c r="AM1020">
        <f>'Revenue drivers'!AM396</f>
        <v>36.108709273182953</v>
      </c>
      <c r="AN1020">
        <f>'Revenue drivers'!AN396</f>
        <v>35.986321736544753</v>
      </c>
      <c r="AO1020">
        <f>'Revenue drivers'!AO396</f>
        <v>35.818488339421179</v>
      </c>
      <c r="AP1020">
        <f>'Revenue drivers'!AP396</f>
        <v>35.862243538502533</v>
      </c>
      <c r="AQ1020">
        <f>'Revenue drivers'!AQ396</f>
        <v>35.732327044025155</v>
      </c>
      <c r="AR1020">
        <f>'Revenue drivers'!AR396</f>
        <v>35.401766531391743</v>
      </c>
      <c r="AS1020">
        <f>'Revenue drivers'!AS396</f>
        <v>36.044776119402982</v>
      </c>
      <c r="AT1020">
        <f>'Revenue drivers'!AT396</f>
        <v>36.658764531570547</v>
      </c>
      <c r="AU1020">
        <f>'Revenue drivers'!AU396</f>
        <v>37.73813827383642</v>
      </c>
      <c r="AV1020">
        <f>'Revenue drivers'!AV396</f>
        <v>38.735405949452023</v>
      </c>
      <c r="AW1020">
        <f>'Revenue drivers'!AW396</f>
        <v>39.243544857768057</v>
      </c>
      <c r="AX1020">
        <f>'Revenue drivers'!AX396</f>
        <v>39.730134932533737</v>
      </c>
      <c r="AY1020">
        <f>'Revenue drivers'!AY396</f>
        <v>40.697111299915044</v>
      </c>
      <c r="AZ1020">
        <f>'Revenue drivers'!AZ396</f>
        <v>41.585104144750687</v>
      </c>
      <c r="BA1020">
        <f>'Revenue drivers'!BA396</f>
        <v>41.983924154987633</v>
      </c>
      <c r="BB1020">
        <f>'Revenue drivers'!BB396</f>
        <v>42.366794586952132</v>
      </c>
      <c r="BC1020">
        <f>'Revenue drivers'!BC396</f>
        <v>43.237474949899806</v>
      </c>
      <c r="BD1020">
        <f>'Revenue drivers'!BD396</f>
        <v>44.032174776564055</v>
      </c>
      <c r="BE1020">
        <f>'Revenue drivers'!BE396</f>
        <v>0</v>
      </c>
      <c r="BF1020">
        <f>'Revenue drivers'!BF396</f>
        <v>0</v>
      </c>
      <c r="BG1020">
        <f>'Revenue drivers'!BG396</f>
        <v>0</v>
      </c>
      <c r="BH1020">
        <f>'Revenue drivers'!BH396</f>
        <v>194.76</v>
      </c>
      <c r="BI1020">
        <f>'Revenue drivers'!BI396</f>
        <v>73.61666666666666</v>
      </c>
      <c r="BJ1020">
        <f>'Revenue drivers'!BJ396</f>
        <v>49.234527687296421</v>
      </c>
      <c r="BK1020">
        <f>'Revenue drivers'!BK396</f>
        <v>40.952145214521451</v>
      </c>
      <c r="BL1020">
        <f>'Revenue drivers'!BL396</f>
        <v>36.217303822937623</v>
      </c>
      <c r="BM1020">
        <f>'Revenue drivers'!BM396</f>
        <v>35.454973118279568</v>
      </c>
      <c r="BN1020">
        <f>'Revenue drivers'!BN396</f>
        <v>35.106949236076886</v>
      </c>
      <c r="BO1020">
        <f>'Revenue drivers'!BO396</f>
        <v>35.955438066465256</v>
      </c>
      <c r="BP1020">
        <f>'Revenue drivers'!BP396</f>
        <v>35.986321736544753</v>
      </c>
      <c r="BQ1020">
        <f>'Revenue drivers'!BQ396</f>
        <v>35.401766531391743</v>
      </c>
      <c r="BR1020">
        <f>'Revenue drivers'!BR396</f>
        <v>38.735405949452023</v>
      </c>
      <c r="BS1020">
        <f>'Revenue drivers'!BS396</f>
        <v>41.585104144750687</v>
      </c>
      <c r="BT1020">
        <f>'Revenue drivers'!BT396</f>
        <v>44.032174776564055</v>
      </c>
    </row>
    <row r="1021" spans="9:77" ht="11.25" customHeight="1">
      <c r="I1021" t="str">
        <f>'Revenue drivers'!I397</f>
        <v>% change Y/Y</v>
      </c>
      <c r="J1021">
        <f>'Revenue drivers'!J397</f>
        <v>0</v>
      </c>
      <c r="K1021">
        <f>'Revenue drivers'!K397</f>
        <v>0</v>
      </c>
      <c r="L1021">
        <f>'Revenue drivers'!L397</f>
        <v>0</v>
      </c>
      <c r="M1021" t="str">
        <f>'Revenue drivers'!M397</f>
        <v>NA</v>
      </c>
      <c r="N1021" t="str">
        <f>'Revenue drivers'!N397</f>
        <v>NA</v>
      </c>
      <c r="O1021" t="str">
        <f>'Revenue drivers'!O397</f>
        <v>NA</v>
      </c>
      <c r="P1021" t="str">
        <f>'Revenue drivers'!P397</f>
        <v>NA</v>
      </c>
      <c r="Q1021">
        <f>'Revenue drivers'!Q397</f>
        <v>-0.29178029758112578</v>
      </c>
      <c r="R1021">
        <f>'Revenue drivers'!R397</f>
        <v>-0.25989395064971921</v>
      </c>
      <c r="S1021">
        <f>'Revenue drivers'!S397</f>
        <v>-0.22416994293850889</v>
      </c>
      <c r="T1021">
        <f>'Revenue drivers'!T397</f>
        <v>-0.16822305121679892</v>
      </c>
      <c r="U1021">
        <f>'Revenue drivers'!U397</f>
        <v>-0.13685745594160148</v>
      </c>
      <c r="V1021">
        <f>'Revenue drivers'!V397</f>
        <v>-0.12057288751178497</v>
      </c>
      <c r="W1021">
        <f>'Revenue drivers'!W397</f>
        <v>-0.11611462814580076</v>
      </c>
      <c r="X1021">
        <f>'Revenue drivers'!X397</f>
        <v>-0.11561888557439659</v>
      </c>
      <c r="Y1021">
        <f>'Revenue drivers'!Y397</f>
        <v>-9.9856826720145397E-2</v>
      </c>
      <c r="Z1021">
        <f>'Revenue drivers'!Z397</f>
        <v>-9.0285240100346886E-2</v>
      </c>
      <c r="AA1021">
        <f>'Revenue drivers'!AA397</f>
        <v>-5.8827011546094043E-2</v>
      </c>
      <c r="AB1021">
        <f>'Revenue drivers'!AB397</f>
        <v>-2.1048797789725238E-2</v>
      </c>
      <c r="AC1021">
        <f>'Revenue drivers'!AC397</f>
        <v>4.8941257704011587E-3</v>
      </c>
      <c r="AD1021">
        <f>'Revenue drivers'!AD397</f>
        <v>6.6730836321371445E-3</v>
      </c>
      <c r="AE1021">
        <f>'Revenue drivers'!AE397</f>
        <v>2.805131496169011E-3</v>
      </c>
      <c r="AF1021">
        <f>'Revenue drivers'!AF397</f>
        <v>-9.8159398130597264E-3</v>
      </c>
      <c r="AG1021">
        <f>'Revenue drivers'!AG397</f>
        <v>-9.9791201670386132E-3</v>
      </c>
      <c r="AH1021">
        <f>'Revenue drivers'!AH397</f>
        <v>9.8495438599177643E-3</v>
      </c>
      <c r="AI1021">
        <f>'Revenue drivers'!AI397</f>
        <v>1.4229884734186404E-2</v>
      </c>
      <c r="AJ1021">
        <f>'Revenue drivers'!AJ397</f>
        <v>2.4168685939718104E-2</v>
      </c>
      <c r="AK1021">
        <f>'Revenue drivers'!AK397</f>
        <v>1.6109996049061603E-2</v>
      </c>
      <c r="AL1021">
        <f>'Revenue drivers'!AL397</f>
        <v>1.656923473382732E-2</v>
      </c>
      <c r="AM1021">
        <f>'Revenue drivers'!AM397</f>
        <v>8.3125934152612491E-3</v>
      </c>
      <c r="AN1021">
        <f>'Revenue drivers'!AN397</f>
        <v>8.5894295106081486E-4</v>
      </c>
      <c r="AO1021">
        <f>'Revenue drivers'!AO397</f>
        <v>-5.356626962345068E-4</v>
      </c>
      <c r="AP1021">
        <f>'Revenue drivers'!AP397</f>
        <v>-2.8235023150584571E-3</v>
      </c>
      <c r="AQ1021">
        <f>'Revenue drivers'!AQ397</f>
        <v>-1.042358579782654E-2</v>
      </c>
      <c r="AR1021">
        <f>'Revenue drivers'!AR397</f>
        <v>-1.6243816454277527E-2</v>
      </c>
      <c r="AS1021">
        <f>'Revenue drivers'!AS397</f>
        <v>6.3176250722103422E-3</v>
      </c>
      <c r="AT1021">
        <f>'Revenue drivers'!AT397</f>
        <v>2.2210573418610879E-2</v>
      </c>
      <c r="AU1021">
        <f>'Revenue drivers'!AU397</f>
        <v>5.6134357757890774E-2</v>
      </c>
      <c r="AV1021">
        <f>'Revenue drivers'!AV397</f>
        <v>9.4165905961338003E-2</v>
      </c>
      <c r="AW1021">
        <f>'Revenue drivers'!AW397</f>
        <v>8.8744308683420314E-2</v>
      </c>
      <c r="AX1021">
        <f>'Revenue drivers'!AX397</f>
        <v>8.3782703541962711E-2</v>
      </c>
      <c r="AY1021">
        <f>'Revenue drivers'!AY397</f>
        <v>7.8408028626310244E-2</v>
      </c>
      <c r="AZ1021">
        <f>'Revenue drivers'!AZ397</f>
        <v>7.3568305932236511E-2</v>
      </c>
      <c r="BA1021">
        <f>'Revenue drivers'!BA397</f>
        <v>6.9830065228603688E-2</v>
      </c>
      <c r="BB1021">
        <f>'Revenue drivers'!BB397</f>
        <v>6.6364226018757355E-2</v>
      </c>
      <c r="BC1021">
        <f>'Revenue drivers'!BC397</f>
        <v>6.2421227670526713E-2</v>
      </c>
      <c r="BD1021">
        <f>'Revenue drivers'!BD397</f>
        <v>5.8844884055009983E-2</v>
      </c>
      <c r="BE1021">
        <f>'Revenue drivers'!BE397</f>
        <v>0</v>
      </c>
      <c r="BF1021">
        <f>'Revenue drivers'!BF397</f>
        <v>0</v>
      </c>
      <c r="BG1021">
        <f>'Revenue drivers'!BG397</f>
        <v>0</v>
      </c>
      <c r="BH1021" t="str">
        <f>'Revenue drivers'!BH397</f>
        <v>NA</v>
      </c>
      <c r="BI1021">
        <f>'Revenue drivers'!BI397</f>
        <v>-0.62201341822413914</v>
      </c>
      <c r="BJ1021">
        <f>'Revenue drivers'!BJ397</f>
        <v>-0.33120406130002589</v>
      </c>
      <c r="BK1021">
        <f>'Revenue drivers'!BK397</f>
        <v>-0.16822305121679892</v>
      </c>
      <c r="BL1021">
        <f>'Revenue drivers'!BL397</f>
        <v>-0.11561888557439659</v>
      </c>
      <c r="BM1021">
        <f>'Revenue drivers'!BM397</f>
        <v>-2.1048797789725238E-2</v>
      </c>
      <c r="BN1021">
        <f>'Revenue drivers'!BN397</f>
        <v>-9.8159398130597264E-3</v>
      </c>
      <c r="BO1021">
        <f>'Revenue drivers'!BO397</f>
        <v>2.4168685939718104E-2</v>
      </c>
      <c r="BP1021">
        <f>'Revenue drivers'!BP397</f>
        <v>8.5894295106081486E-4</v>
      </c>
      <c r="BQ1021">
        <f>'Revenue drivers'!BQ397</f>
        <v>-1.6243816454277527E-2</v>
      </c>
      <c r="BR1021">
        <f>'Revenue drivers'!BR397</f>
        <v>9.4165905961338003E-2</v>
      </c>
      <c r="BS1021">
        <f>'Revenue drivers'!BS397</f>
        <v>7.3568305932236511E-2</v>
      </c>
      <c r="BT1021">
        <f>'Revenue drivers'!BT397</f>
        <v>5.8844884055009983E-2</v>
      </c>
      <c r="BU1021">
        <f>'Revenue drivers'!BU397</f>
        <v>3.2389188144929637E-2</v>
      </c>
      <c r="BV1021">
        <f>'Revenue drivers'!BV397</f>
        <v>2.8212763090547543E-2</v>
      </c>
      <c r="BW1021">
        <f>'Revenue drivers'!BW397</f>
        <v>2.480722081925113E-2</v>
      </c>
      <c r="BX1021">
        <f>'Revenue drivers'!BX397</f>
        <v>2.1991468739727571E-2</v>
      </c>
      <c r="BY1021">
        <f>'Revenue drivers'!BY397</f>
        <v>1.9635195182990062E-2</v>
      </c>
    </row>
    <row r="1022" spans="9:77" ht="11.25" customHeight="1">
      <c r="I1022" t="str">
        <f>'Revenue drivers'!I398</f>
        <v>% change Q/Q</v>
      </c>
      <c r="J1022">
        <f>'Revenue drivers'!J398</f>
        <v>0</v>
      </c>
      <c r="K1022">
        <f>'Revenue drivers'!K398</f>
        <v>0</v>
      </c>
      <c r="L1022">
        <f>'Revenue drivers'!L398</f>
        <v>0</v>
      </c>
      <c r="M1022" t="str">
        <f>'Revenue drivers'!M398</f>
        <v>NA</v>
      </c>
      <c r="N1022">
        <f>'Revenue drivers'!N398</f>
        <v>-8.7754273122739868E-2</v>
      </c>
      <c r="O1022">
        <f>'Revenue drivers'!O398</f>
        <v>-7.1787233394440375E-2</v>
      </c>
      <c r="P1022">
        <f>'Revenue drivers'!P398</f>
        <v>-9.7519232744919027E-2</v>
      </c>
      <c r="Q1022">
        <f>'Revenue drivers'!Q398</f>
        <v>-7.3232759371137157E-2</v>
      </c>
      <c r="R1022">
        <f>'Revenue drivers'!R398</f>
        <v>-4.6682013152348212E-2</v>
      </c>
      <c r="S1022">
        <f>'Revenue drivers'!S398</f>
        <v>-2.698354605669917E-2</v>
      </c>
      <c r="T1022">
        <f>'Revenue drivers'!T398</f>
        <v>-3.2439266704696434E-2</v>
      </c>
      <c r="U1022">
        <f>'Revenue drivers'!U398</f>
        <v>-3.8285161669132206E-2</v>
      </c>
      <c r="V1022">
        <f>'Revenue drivers'!V398</f>
        <v>-2.8696140367997169E-2</v>
      </c>
      <c r="W1022">
        <f>'Revenue drivers'!W398</f>
        <v>-2.2050835139047487E-2</v>
      </c>
      <c r="X1022">
        <f>'Revenue drivers'!X398</f>
        <v>-3.1896593343209267E-2</v>
      </c>
      <c r="Y1022">
        <f>'Revenue drivers'!Y398</f>
        <v>-2.1144807091769802E-2</v>
      </c>
      <c r="Z1022">
        <f>'Revenue drivers'!Z398</f>
        <v>-1.8367873373828725E-2</v>
      </c>
      <c r="AA1022">
        <f>'Revenue drivers'!AA398</f>
        <v>1.1766961052398273E-2</v>
      </c>
      <c r="AB1022">
        <f>'Revenue drivers'!AB398</f>
        <v>6.962593951391316E-3</v>
      </c>
      <c r="AC1022">
        <f>'Revenue drivers'!AC398</f>
        <v>4.7955721515628991E-3</v>
      </c>
      <c r="AD1022">
        <f>'Revenue drivers'!AD398</f>
        <v>-1.6630096085444857E-2</v>
      </c>
      <c r="AE1022">
        <f>'Revenue drivers'!AE398</f>
        <v>7.8794366497545454E-3</v>
      </c>
      <c r="AF1022">
        <f>'Revenue drivers'!AF398</f>
        <v>-5.7108022098598665E-3</v>
      </c>
      <c r="AG1022">
        <f>'Revenue drivers'!AG398</f>
        <v>4.6299838496171031E-3</v>
      </c>
      <c r="AH1022">
        <f>'Revenue drivers'!AH398</f>
        <v>3.0653586631783636E-3</v>
      </c>
      <c r="AI1022">
        <f>'Revenue drivers'!AI398</f>
        <v>1.2251231952861596E-2</v>
      </c>
      <c r="AJ1022">
        <f>'Revenue drivers'!AJ398</f>
        <v>4.0325930759472772E-3</v>
      </c>
      <c r="AK1022">
        <f>'Revenue drivers'!AK398</f>
        <v>-3.2749654090794555E-3</v>
      </c>
      <c r="AL1022">
        <f>'Revenue drivers'!AL398</f>
        <v>3.5187017243012431E-3</v>
      </c>
      <c r="AM1022">
        <f>'Revenue drivers'!AM398</f>
        <v>4.029661733200296E-3</v>
      </c>
      <c r="AN1022">
        <f>'Revenue drivers'!AN398</f>
        <v>-3.3894187607834692E-3</v>
      </c>
      <c r="AO1022">
        <f>'Revenue drivers'!AO398</f>
        <v>-4.6638108321344074E-3</v>
      </c>
      <c r="AP1022">
        <f>'Revenue drivers'!AP398</f>
        <v>1.2215813985985147E-3</v>
      </c>
      <c r="AQ1022">
        <f>'Revenue drivers'!AQ398</f>
        <v>-3.6226538459005475E-3</v>
      </c>
      <c r="AR1022">
        <f>'Revenue drivers'!AR398</f>
        <v>-9.2510211335000703E-3</v>
      </c>
      <c r="AS1022">
        <f>'Revenue drivers'!AS398</f>
        <v>1.8163206275061627E-2</v>
      </c>
      <c r="AT1022">
        <f>'Revenue drivers'!AT398</f>
        <v>1.7034047045642486E-2</v>
      </c>
      <c r="AU1022">
        <f>'Revenue drivers'!AU398</f>
        <v>2.944381121563211E-2</v>
      </c>
      <c r="AV1022">
        <f>'Revenue drivers'!AV398</f>
        <v>2.6425990290755763E-2</v>
      </c>
      <c r="AW1022">
        <f>'Revenue drivers'!AW398</f>
        <v>1.3118202736254636E-2</v>
      </c>
      <c r="AX1022">
        <f>'Revenue drivers'!AX398</f>
        <v>1.2399238563418402E-2</v>
      </c>
      <c r="AY1022">
        <f>'Revenue drivers'!AY398</f>
        <v>2.4338612718616259E-2</v>
      </c>
      <c r="AZ1022">
        <f>'Revenue drivers'!AZ398</f>
        <v>2.1819554667937835E-2</v>
      </c>
      <c r="BA1022">
        <f>'Revenue drivers'!BA398</f>
        <v>9.5904535635817911E-3</v>
      </c>
      <c r="BB1022">
        <f>'Revenue drivers'!BB398</f>
        <v>9.1194532114504678E-3</v>
      </c>
      <c r="BC1022">
        <f>'Revenue drivers'!BC398</f>
        <v>2.0551008671678472E-2</v>
      </c>
      <c r="BD1022">
        <f>'Revenue drivers'!BD398</f>
        <v>1.8379885217281622E-2</v>
      </c>
      <c r="BE1022">
        <f>'Revenue drivers'!BE398</f>
        <v>0</v>
      </c>
      <c r="BF1022">
        <f>'Revenue drivers'!BF398</f>
        <v>0</v>
      </c>
      <c r="BG1022">
        <f>'Revenue drivers'!BG398</f>
        <v>0</v>
      </c>
      <c r="BH1022">
        <f>'Revenue drivers'!BH398</f>
        <v>0</v>
      </c>
      <c r="BI1022">
        <f>'Revenue drivers'!BI398</f>
        <v>0</v>
      </c>
      <c r="BJ1022">
        <f>'Revenue drivers'!BJ398</f>
        <v>0</v>
      </c>
      <c r="BK1022">
        <f>'Revenue drivers'!BK398</f>
        <v>0</v>
      </c>
      <c r="BL1022">
        <f>'Revenue drivers'!BL398</f>
        <v>0</v>
      </c>
      <c r="BM1022">
        <f>'Revenue drivers'!BM398</f>
        <v>0</v>
      </c>
      <c r="BN1022">
        <f>'Revenue drivers'!BN398</f>
        <v>0</v>
      </c>
      <c r="BO1022">
        <f>'Revenue drivers'!BO398</f>
        <v>0</v>
      </c>
      <c r="BP1022">
        <f>'Revenue drivers'!BP398</f>
        <v>0</v>
      </c>
      <c r="BQ1022">
        <f>'Revenue drivers'!BQ398</f>
        <v>0</v>
      </c>
      <c r="BR1022">
        <f>'Revenue drivers'!BR398</f>
        <v>0</v>
      </c>
      <c r="BS1022">
        <f>'Revenue drivers'!BS398</f>
        <v>0</v>
      </c>
      <c r="BT1022">
        <f>'Revenue drivers'!BT398</f>
        <v>0</v>
      </c>
      <c r="BU1022">
        <f>'Revenue drivers'!BU398</f>
        <v>0</v>
      </c>
      <c r="BV1022">
        <f>'Revenue drivers'!BV398</f>
        <v>0</v>
      </c>
      <c r="BW1022">
        <f>'Revenue drivers'!BW398</f>
        <v>0</v>
      </c>
      <c r="BX1022">
        <f>'Revenue drivers'!BX398</f>
        <v>0</v>
      </c>
      <c r="BY1022">
        <f>'Revenue drivers'!BY398</f>
        <v>0</v>
      </c>
    </row>
    <row r="1024" spans="9:77" ht="11.25" customHeight="1">
      <c r="I1024">
        <f>'Revenue drivers'!I399</f>
        <v>0</v>
      </c>
      <c r="J1024">
        <f>'Revenue drivers'!J399</f>
        <v>0</v>
      </c>
      <c r="K1024">
        <f>'Revenue drivers'!K399</f>
        <v>0</v>
      </c>
      <c r="L1024">
        <f>'Revenue drivers'!L399</f>
        <v>0</v>
      </c>
      <c r="M1024">
        <f>'Revenue drivers'!M399</f>
        <v>0</v>
      </c>
      <c r="N1024">
        <f>'Revenue drivers'!N399</f>
        <v>0</v>
      </c>
      <c r="O1024">
        <f>'Revenue drivers'!O399</f>
        <v>0</v>
      </c>
      <c r="P1024">
        <f>'Revenue drivers'!P399</f>
        <v>0</v>
      </c>
      <c r="Q1024">
        <f>'Revenue drivers'!Q399</f>
        <v>0</v>
      </c>
      <c r="R1024">
        <f>'Revenue drivers'!R399</f>
        <v>0</v>
      </c>
      <c r="S1024">
        <f>'Revenue drivers'!S399</f>
        <v>0</v>
      </c>
      <c r="T1024">
        <f>'Revenue drivers'!T399</f>
        <v>0</v>
      </c>
      <c r="U1024">
        <f>'Revenue drivers'!U399</f>
        <v>0</v>
      </c>
      <c r="V1024">
        <f>'Revenue drivers'!V399</f>
        <v>0</v>
      </c>
      <c r="W1024">
        <f>'Revenue drivers'!W399</f>
        <v>0</v>
      </c>
      <c r="X1024">
        <f>'Revenue drivers'!X399</f>
        <v>0</v>
      </c>
      <c r="Y1024">
        <f>'Revenue drivers'!Y399</f>
        <v>0</v>
      </c>
      <c r="Z1024">
        <f>'Revenue drivers'!Z399</f>
        <v>0</v>
      </c>
      <c r="AA1024">
        <f>'Revenue drivers'!AA399</f>
        <v>0</v>
      </c>
      <c r="AB1024">
        <f>'Revenue drivers'!AB399</f>
        <v>0</v>
      </c>
      <c r="AC1024">
        <f>'Revenue drivers'!AC399</f>
        <v>0</v>
      </c>
      <c r="AD1024">
        <f>'Revenue drivers'!AD399</f>
        <v>0</v>
      </c>
      <c r="AE1024">
        <f>'Revenue drivers'!AE399</f>
        <v>0</v>
      </c>
      <c r="AF1024">
        <f>'Revenue drivers'!AF399</f>
        <v>0</v>
      </c>
      <c r="AG1024">
        <f>'Revenue drivers'!AG399</f>
        <v>0</v>
      </c>
      <c r="AH1024">
        <f>'Revenue drivers'!AH399</f>
        <v>0</v>
      </c>
      <c r="AI1024">
        <f>'Revenue drivers'!AI399</f>
        <v>0</v>
      </c>
      <c r="AJ1024">
        <f>'Revenue drivers'!AJ399</f>
        <v>0</v>
      </c>
      <c r="AK1024">
        <f>'Revenue drivers'!AK399</f>
        <v>0</v>
      </c>
      <c r="AL1024">
        <f>'Revenue drivers'!AL399</f>
        <v>0</v>
      </c>
      <c r="AM1024">
        <f>'Revenue drivers'!AM399</f>
        <v>0</v>
      </c>
      <c r="AN1024">
        <f>'Revenue drivers'!AN399</f>
        <v>0</v>
      </c>
      <c r="AO1024">
        <f>'Revenue drivers'!AO399</f>
        <v>0</v>
      </c>
      <c r="AP1024">
        <f>'Revenue drivers'!AP399</f>
        <v>0</v>
      </c>
      <c r="AQ1024">
        <f>'Revenue drivers'!AQ399</f>
        <v>0</v>
      </c>
      <c r="AR1024">
        <f>'Revenue drivers'!AR399</f>
        <v>0</v>
      </c>
      <c r="AS1024">
        <f>'Revenue drivers'!AS399</f>
        <v>0</v>
      </c>
      <c r="AT1024">
        <f>'Revenue drivers'!AT399</f>
        <v>0</v>
      </c>
      <c r="AU1024">
        <f>'Revenue drivers'!AU399</f>
        <v>0</v>
      </c>
      <c r="AV1024">
        <f>'Revenue drivers'!AV399</f>
        <v>0</v>
      </c>
      <c r="AW1024">
        <f>'Revenue drivers'!AW399</f>
        <v>0</v>
      </c>
      <c r="AX1024">
        <f>'Revenue drivers'!AX399</f>
        <v>0</v>
      </c>
      <c r="AY1024">
        <f>'Revenue drivers'!AY399</f>
        <v>0</v>
      </c>
      <c r="AZ1024">
        <f>'Revenue drivers'!AZ399</f>
        <v>0</v>
      </c>
      <c r="BA1024">
        <f>'Revenue drivers'!BA399</f>
        <v>0</v>
      </c>
      <c r="BB1024">
        <f>'Revenue drivers'!BB399</f>
        <v>0</v>
      </c>
      <c r="BC1024">
        <f>'Revenue drivers'!BC399</f>
        <v>0</v>
      </c>
      <c r="BD1024">
        <f>'Revenue drivers'!BD399</f>
        <v>0</v>
      </c>
      <c r="BE1024">
        <f>'Revenue drivers'!BE399</f>
        <v>0</v>
      </c>
      <c r="BF1024">
        <f>'Revenue drivers'!BF399</f>
        <v>0</v>
      </c>
      <c r="BG1024">
        <f>'Revenue drivers'!BG399</f>
        <v>0</v>
      </c>
      <c r="BH1024">
        <f>'Revenue drivers'!BH399</f>
        <v>0</v>
      </c>
      <c r="BI1024">
        <f>'Revenue drivers'!BI399</f>
        <v>0</v>
      </c>
      <c r="BJ1024">
        <f>'Revenue drivers'!BJ399</f>
        <v>0</v>
      </c>
      <c r="BK1024">
        <f>'Revenue drivers'!BK399</f>
        <v>0</v>
      </c>
      <c r="BL1024">
        <f>'Revenue drivers'!BL399</f>
        <v>0</v>
      </c>
      <c r="BM1024">
        <f>'Revenue drivers'!BM399</f>
        <v>0</v>
      </c>
      <c r="BN1024">
        <f>'Revenue drivers'!BN399</f>
        <v>0</v>
      </c>
      <c r="BO1024">
        <f>'Revenue drivers'!BO399</f>
        <v>0</v>
      </c>
      <c r="BP1024">
        <f>'Revenue drivers'!BP399</f>
        <v>0</v>
      </c>
      <c r="BQ1024">
        <f>'Revenue drivers'!BQ399</f>
        <v>0</v>
      </c>
      <c r="BR1024">
        <f>'Revenue drivers'!BR399</f>
        <v>0</v>
      </c>
      <c r="BS1024">
        <f>'Revenue drivers'!BS399</f>
        <v>0</v>
      </c>
      <c r="BT1024">
        <f>'Revenue drivers'!BT399</f>
        <v>0</v>
      </c>
      <c r="BU1024">
        <f>'Revenue drivers'!BU399</f>
        <v>0</v>
      </c>
      <c r="BV1024">
        <f>'Revenue drivers'!BV399</f>
        <v>0</v>
      </c>
      <c r="BW1024">
        <f>'Revenue drivers'!BW399</f>
        <v>0</v>
      </c>
      <c r="BX1024">
        <f>'Revenue drivers'!BX399</f>
        <v>0</v>
      </c>
      <c r="BY1024">
        <f>'Revenue drivers'!BY399</f>
        <v>0</v>
      </c>
    </row>
    <row r="1025" spans="9:77" ht="11.25" customHeight="1">
      <c r="I1025" t="str">
        <f>'Revenue drivers'!I400</f>
        <v>US vs. International cumulative reviews</v>
      </c>
      <c r="J1025">
        <f>'Revenue drivers'!J400</f>
        <v>0</v>
      </c>
      <c r="K1025">
        <f>'Revenue drivers'!K400</f>
        <v>0</v>
      </c>
      <c r="L1025">
        <f>'Revenue drivers'!L400</f>
        <v>0</v>
      </c>
      <c r="M1025">
        <f>'Revenue drivers'!M400</f>
        <v>0</v>
      </c>
      <c r="N1025">
        <f>'Revenue drivers'!N400</f>
        <v>0</v>
      </c>
      <c r="O1025">
        <f>'Revenue drivers'!O400</f>
        <v>0</v>
      </c>
      <c r="P1025">
        <f>'Revenue drivers'!P400</f>
        <v>0</v>
      </c>
      <c r="Q1025">
        <f>'Revenue drivers'!Q400</f>
        <v>0</v>
      </c>
      <c r="R1025">
        <f>'Revenue drivers'!R400</f>
        <v>0</v>
      </c>
      <c r="S1025">
        <f>'Revenue drivers'!S400</f>
        <v>0</v>
      </c>
      <c r="T1025">
        <f>'Revenue drivers'!T400</f>
        <v>0</v>
      </c>
      <c r="U1025">
        <f>'Revenue drivers'!U400</f>
        <v>0</v>
      </c>
      <c r="V1025">
        <f>'Revenue drivers'!V400</f>
        <v>0</v>
      </c>
      <c r="W1025">
        <f>'Revenue drivers'!W400</f>
        <v>0</v>
      </c>
      <c r="X1025">
        <f>'Revenue drivers'!X400</f>
        <v>0</v>
      </c>
      <c r="Y1025">
        <f>'Revenue drivers'!Y400</f>
        <v>0</v>
      </c>
      <c r="Z1025">
        <f>'Revenue drivers'!Z400</f>
        <v>0</v>
      </c>
      <c r="AA1025">
        <f>'Revenue drivers'!AA400</f>
        <v>0</v>
      </c>
      <c r="AB1025">
        <f>'Revenue drivers'!AB400</f>
        <v>0</v>
      </c>
      <c r="AC1025">
        <f>'Revenue drivers'!AC400</f>
        <v>0</v>
      </c>
      <c r="AD1025">
        <f>'Revenue drivers'!AD400</f>
        <v>0</v>
      </c>
      <c r="AE1025">
        <f>'Revenue drivers'!AE400</f>
        <v>0</v>
      </c>
      <c r="AF1025">
        <f>'Revenue drivers'!AF400</f>
        <v>0</v>
      </c>
      <c r="AG1025">
        <f>'Revenue drivers'!AG400</f>
        <v>0</v>
      </c>
      <c r="AH1025">
        <f>'Revenue drivers'!AH400</f>
        <v>0</v>
      </c>
      <c r="AI1025">
        <f>'Revenue drivers'!AI400</f>
        <v>0</v>
      </c>
      <c r="AJ1025">
        <f>'Revenue drivers'!AJ400</f>
        <v>0</v>
      </c>
      <c r="AK1025">
        <f>'Revenue drivers'!AK400</f>
        <v>0</v>
      </c>
      <c r="AL1025">
        <f>'Revenue drivers'!AL400</f>
        <v>0</v>
      </c>
      <c r="AM1025">
        <f>'Revenue drivers'!AM400</f>
        <v>0</v>
      </c>
      <c r="AN1025">
        <f>'Revenue drivers'!AN400</f>
        <v>0</v>
      </c>
      <c r="AO1025">
        <f>'Revenue drivers'!AO400</f>
        <v>0</v>
      </c>
      <c r="AP1025">
        <f>'Revenue drivers'!AP400</f>
        <v>0</v>
      </c>
      <c r="AQ1025">
        <f>'Revenue drivers'!AQ400</f>
        <v>0</v>
      </c>
      <c r="AR1025">
        <f>'Revenue drivers'!AR400</f>
        <v>0</v>
      </c>
      <c r="AS1025">
        <f>'Revenue drivers'!AS400</f>
        <v>0</v>
      </c>
      <c r="AT1025">
        <f>'Revenue drivers'!AT400</f>
        <v>0</v>
      </c>
      <c r="AU1025">
        <f>'Revenue drivers'!AU400</f>
        <v>0</v>
      </c>
      <c r="AV1025">
        <f>'Revenue drivers'!AV400</f>
        <v>0</v>
      </c>
      <c r="AW1025">
        <f>'Revenue drivers'!AW400</f>
        <v>0</v>
      </c>
      <c r="AX1025">
        <f>'Revenue drivers'!AX400</f>
        <v>0</v>
      </c>
      <c r="AY1025">
        <f>'Revenue drivers'!AY400</f>
        <v>0</v>
      </c>
      <c r="AZ1025">
        <f>'Revenue drivers'!AZ400</f>
        <v>0</v>
      </c>
      <c r="BA1025">
        <f>'Revenue drivers'!BA400</f>
        <v>0</v>
      </c>
      <c r="BB1025">
        <f>'Revenue drivers'!BB400</f>
        <v>0</v>
      </c>
      <c r="BC1025">
        <f>'Revenue drivers'!BC400</f>
        <v>0</v>
      </c>
      <c r="BD1025">
        <f>'Revenue drivers'!BD400</f>
        <v>0</v>
      </c>
      <c r="BE1025">
        <f>'Revenue drivers'!BE400</f>
        <v>0</v>
      </c>
      <c r="BF1025">
        <f>'Revenue drivers'!BF400</f>
        <v>0</v>
      </c>
      <c r="BG1025">
        <f>'Revenue drivers'!BG400</f>
        <v>0</v>
      </c>
      <c r="BH1025">
        <f>'Revenue drivers'!BH400</f>
        <v>0</v>
      </c>
      <c r="BI1025">
        <f>'Revenue drivers'!BI400</f>
        <v>0</v>
      </c>
      <c r="BJ1025">
        <f>'Revenue drivers'!BJ400</f>
        <v>0</v>
      </c>
      <c r="BK1025">
        <f>'Revenue drivers'!BK400</f>
        <v>0</v>
      </c>
      <c r="BL1025">
        <f>'Revenue drivers'!BL400</f>
        <v>0</v>
      </c>
      <c r="BM1025">
        <f>'Revenue drivers'!BM400</f>
        <v>0</v>
      </c>
      <c r="BN1025">
        <f>'Revenue drivers'!BN400</f>
        <v>0</v>
      </c>
      <c r="BO1025">
        <f>'Revenue drivers'!BO400</f>
        <v>0</v>
      </c>
      <c r="BP1025">
        <f>'Revenue drivers'!BP400</f>
        <v>0</v>
      </c>
      <c r="BQ1025">
        <f>'Revenue drivers'!BQ400</f>
        <v>0</v>
      </c>
      <c r="BR1025">
        <f>'Revenue drivers'!BR400</f>
        <v>0</v>
      </c>
      <c r="BS1025">
        <f>'Revenue drivers'!BS400</f>
        <v>0</v>
      </c>
      <c r="BT1025">
        <f>'Revenue drivers'!BT400</f>
        <v>0</v>
      </c>
      <c r="BU1025">
        <f>'Revenue drivers'!BU400</f>
        <v>0</v>
      </c>
      <c r="BV1025">
        <f>'Revenue drivers'!BV400</f>
        <v>0</v>
      </c>
      <c r="BW1025">
        <f>'Revenue drivers'!BW400</f>
        <v>0</v>
      </c>
      <c r="BX1025">
        <f>'Revenue drivers'!BX400</f>
        <v>0</v>
      </c>
      <c r="BY1025">
        <f>'Revenue drivers'!BY400</f>
        <v>0</v>
      </c>
    </row>
    <row r="1026" spans="9:77" ht="11.25" customHeight="1">
      <c r="I1026">
        <f>'Revenue drivers'!I401</f>
        <v>0</v>
      </c>
      <c r="J1026">
        <f>'Revenue drivers'!J401</f>
        <v>0</v>
      </c>
      <c r="K1026">
        <f>'Revenue drivers'!K401</f>
        <v>0</v>
      </c>
      <c r="L1026">
        <f>'Revenue drivers'!L401</f>
        <v>0</v>
      </c>
      <c r="M1026">
        <f>'Revenue drivers'!M401</f>
        <v>0</v>
      </c>
      <c r="N1026">
        <f>'Revenue drivers'!N401</f>
        <v>0</v>
      </c>
      <c r="O1026">
        <f>'Revenue drivers'!O401</f>
        <v>0</v>
      </c>
      <c r="P1026">
        <f>'Revenue drivers'!P401</f>
        <v>0</v>
      </c>
      <c r="Q1026">
        <f>'Revenue drivers'!Q401</f>
        <v>0</v>
      </c>
      <c r="R1026">
        <f>'Revenue drivers'!R401</f>
        <v>0</v>
      </c>
      <c r="S1026">
        <f>'Revenue drivers'!S401</f>
        <v>0</v>
      </c>
      <c r="T1026">
        <f>'Revenue drivers'!T401</f>
        <v>0</v>
      </c>
      <c r="U1026">
        <f>'Revenue drivers'!U401</f>
        <v>0</v>
      </c>
      <c r="V1026">
        <f>'Revenue drivers'!V401</f>
        <v>0</v>
      </c>
      <c r="W1026">
        <f>'Revenue drivers'!W401</f>
        <v>0</v>
      </c>
      <c r="X1026">
        <f>'Revenue drivers'!X401</f>
        <v>0</v>
      </c>
      <c r="Y1026">
        <f>'Revenue drivers'!Y401</f>
        <v>0</v>
      </c>
      <c r="Z1026">
        <f>'Revenue drivers'!Z401</f>
        <v>0</v>
      </c>
      <c r="AA1026">
        <f>'Revenue drivers'!AA401</f>
        <v>0</v>
      </c>
      <c r="AB1026">
        <f>'Revenue drivers'!AB401</f>
        <v>0</v>
      </c>
      <c r="AC1026">
        <f>'Revenue drivers'!AC401</f>
        <v>0</v>
      </c>
      <c r="AD1026">
        <f>'Revenue drivers'!AD401</f>
        <v>0</v>
      </c>
      <c r="AE1026">
        <f>'Revenue drivers'!AE401</f>
        <v>0</v>
      </c>
      <c r="AF1026">
        <f>'Revenue drivers'!AF401</f>
        <v>0</v>
      </c>
      <c r="AG1026">
        <f>'Revenue drivers'!AG401</f>
        <v>0</v>
      </c>
      <c r="AH1026">
        <f>'Revenue drivers'!AH401</f>
        <v>0</v>
      </c>
      <c r="AI1026">
        <f>'Revenue drivers'!AI401</f>
        <v>0</v>
      </c>
      <c r="AJ1026">
        <f>'Revenue drivers'!AJ401</f>
        <v>0</v>
      </c>
      <c r="AK1026">
        <f>'Revenue drivers'!AK401</f>
        <v>0</v>
      </c>
      <c r="AL1026">
        <f>'Revenue drivers'!AL401</f>
        <v>0</v>
      </c>
      <c r="AM1026">
        <f>'Revenue drivers'!AM401</f>
        <v>0</v>
      </c>
      <c r="AN1026">
        <f>'Revenue drivers'!AN401</f>
        <v>0</v>
      </c>
      <c r="AO1026">
        <f>'Revenue drivers'!AO401</f>
        <v>0</v>
      </c>
      <c r="AP1026">
        <f>'Revenue drivers'!AP401</f>
        <v>0</v>
      </c>
      <c r="AQ1026">
        <f>'Revenue drivers'!AQ401</f>
        <v>0</v>
      </c>
      <c r="AR1026">
        <f>'Revenue drivers'!AR401</f>
        <v>0</v>
      </c>
      <c r="AS1026">
        <f>'Revenue drivers'!AS401</f>
        <v>0</v>
      </c>
      <c r="AT1026">
        <f>'Revenue drivers'!AT401</f>
        <v>0</v>
      </c>
      <c r="AU1026">
        <f>'Revenue drivers'!AU401</f>
        <v>0</v>
      </c>
      <c r="AV1026">
        <f>'Revenue drivers'!AV401</f>
        <v>0</v>
      </c>
      <c r="AW1026">
        <f>'Revenue drivers'!AW401</f>
        <v>0</v>
      </c>
      <c r="AX1026">
        <f>'Revenue drivers'!AX401</f>
        <v>0</v>
      </c>
      <c r="AY1026">
        <f>'Revenue drivers'!AY401</f>
        <v>0</v>
      </c>
      <c r="AZ1026">
        <f>'Revenue drivers'!AZ401</f>
        <v>0</v>
      </c>
      <c r="BA1026">
        <f>'Revenue drivers'!BA401</f>
        <v>0</v>
      </c>
      <c r="BB1026">
        <f>'Revenue drivers'!BB401</f>
        <v>0</v>
      </c>
      <c r="BC1026">
        <f>'Revenue drivers'!BC401</f>
        <v>0</v>
      </c>
      <c r="BD1026">
        <f>'Revenue drivers'!BD401</f>
        <v>0</v>
      </c>
      <c r="BE1026">
        <f>'Revenue drivers'!BE401</f>
        <v>0</v>
      </c>
      <c r="BF1026">
        <f>'Revenue drivers'!BF401</f>
        <v>0</v>
      </c>
      <c r="BG1026">
        <f>'Revenue drivers'!BG401</f>
        <v>0</v>
      </c>
      <c r="BH1026">
        <f>'Revenue drivers'!BH401</f>
        <v>0</v>
      </c>
      <c r="BI1026">
        <f>'Revenue drivers'!BI401</f>
        <v>0</v>
      </c>
      <c r="BJ1026">
        <f>'Revenue drivers'!BJ401</f>
        <v>0</v>
      </c>
      <c r="BK1026">
        <f>'Revenue drivers'!BK401</f>
        <v>0</v>
      </c>
      <c r="BL1026">
        <f>'Revenue drivers'!BL401</f>
        <v>0</v>
      </c>
      <c r="BM1026">
        <f>'Revenue drivers'!BM401</f>
        <v>0</v>
      </c>
      <c r="BN1026">
        <f>'Revenue drivers'!BN401</f>
        <v>0</v>
      </c>
      <c r="BO1026">
        <f>'Revenue drivers'!BO401</f>
        <v>0</v>
      </c>
      <c r="BP1026">
        <f>'Revenue drivers'!BP401</f>
        <v>0</v>
      </c>
      <c r="BQ1026">
        <f>'Revenue drivers'!BQ401</f>
        <v>0</v>
      </c>
      <c r="BR1026">
        <f>'Revenue drivers'!BR401</f>
        <v>0</v>
      </c>
      <c r="BS1026">
        <f>'Revenue drivers'!BS401</f>
        <v>0</v>
      </c>
      <c r="BT1026">
        <f>'Revenue drivers'!BT401</f>
        <v>0</v>
      </c>
      <c r="BU1026">
        <f>'Revenue drivers'!BU401</f>
        <v>0</v>
      </c>
      <c r="BV1026">
        <f>'Revenue drivers'!BV401</f>
        <v>0</v>
      </c>
      <c r="BW1026">
        <f>'Revenue drivers'!BW401</f>
        <v>0</v>
      </c>
      <c r="BX1026">
        <f>'Revenue drivers'!BX401</f>
        <v>0</v>
      </c>
      <c r="BY1026">
        <f>'Revenue drivers'!BY401</f>
        <v>0</v>
      </c>
    </row>
    <row r="1027" spans="9:77" ht="11.25" customHeight="1">
      <c r="I1027" t="str">
        <f>'Revenue drivers'!I402</f>
        <v>US cumulative reviews</v>
      </c>
      <c r="J1027">
        <f>'Revenue drivers'!J402</f>
        <v>0</v>
      </c>
      <c r="K1027">
        <f>'Revenue drivers'!K402</f>
        <v>0</v>
      </c>
      <c r="L1027">
        <f>'Revenue drivers'!L402</f>
        <v>0</v>
      </c>
      <c r="M1027">
        <f>'Revenue drivers'!M402</f>
        <v>0</v>
      </c>
      <c r="N1027">
        <f>'Revenue drivers'!N402</f>
        <v>0</v>
      </c>
      <c r="O1027">
        <f>'Revenue drivers'!O402</f>
        <v>0</v>
      </c>
      <c r="P1027">
        <f>'Revenue drivers'!P402</f>
        <v>0</v>
      </c>
      <c r="Q1027">
        <f>'Revenue drivers'!Q402</f>
        <v>0</v>
      </c>
      <c r="R1027">
        <f>'Revenue drivers'!R402</f>
        <v>0</v>
      </c>
      <c r="S1027">
        <f>'Revenue drivers'!S402</f>
        <v>0</v>
      </c>
      <c r="T1027">
        <f>'Revenue drivers'!T402</f>
        <v>0</v>
      </c>
      <c r="U1027">
        <f>'Revenue drivers'!U402</f>
        <v>0</v>
      </c>
      <c r="V1027">
        <f>'Revenue drivers'!V402</f>
        <v>0</v>
      </c>
      <c r="W1027">
        <f>'Revenue drivers'!W402</f>
        <v>0</v>
      </c>
      <c r="X1027">
        <f>'Revenue drivers'!X402</f>
        <v>0</v>
      </c>
      <c r="Y1027">
        <f>'Revenue drivers'!Y402</f>
        <v>0</v>
      </c>
      <c r="Z1027">
        <f>'Revenue drivers'!Z402</f>
        <v>0</v>
      </c>
      <c r="AA1027">
        <f>'Revenue drivers'!AA402</f>
        <v>43.536239999999999</v>
      </c>
      <c r="AB1027">
        <f>'Revenue drivers'!AB402</f>
        <v>48.272655</v>
      </c>
      <c r="AC1027">
        <f>'Revenue drivers'!AC402</f>
        <v>51.87</v>
      </c>
      <c r="AD1027">
        <f>'Revenue drivers'!AD402</f>
        <v>55.514510000000001</v>
      </c>
      <c r="AE1027">
        <f>'Revenue drivers'!AE402</f>
        <v>59.9328</v>
      </c>
      <c r="AF1027">
        <f>'Revenue drivers'!AF402</f>
        <v>63.75264</v>
      </c>
      <c r="AG1027">
        <f>'Revenue drivers'!AG402</f>
        <v>68.686999999999998</v>
      </c>
      <c r="AH1027">
        <f>'Revenue drivers'!AH402</f>
        <v>73.545270000000002</v>
      </c>
      <c r="AI1027">
        <f>'Revenue drivers'!AI402</f>
        <v>78.878799999999998</v>
      </c>
      <c r="AJ1027">
        <f>'Revenue drivers'!AJ402</f>
        <v>83.308749999999989</v>
      </c>
      <c r="AK1027">
        <f>'Revenue drivers'!AK402</f>
        <v>88.360679999999988</v>
      </c>
      <c r="AL1027">
        <f>'Revenue drivers'!AL402</f>
        <v>93.637114999999994</v>
      </c>
      <c r="AM1027">
        <f>'Revenue drivers'!AM402</f>
        <v>99.122739999999993</v>
      </c>
      <c r="AN1027">
        <f>'Revenue drivers'!AN402</f>
        <v>103.776365</v>
      </c>
      <c r="AO1027">
        <f>'Revenue drivers'!AO402</f>
        <v>108.674995</v>
      </c>
      <c r="AP1027">
        <f>'Revenue drivers'!AP402</f>
        <v>114.40235</v>
      </c>
      <c r="AQ1027">
        <f>'Revenue drivers'!AQ402</f>
        <v>120.37550999999999</v>
      </c>
      <c r="AR1027">
        <f>'Revenue drivers'!AR402</f>
        <v>125.31180999999999</v>
      </c>
      <c r="AS1027">
        <f>'Revenue drivers'!AS402</f>
        <v>129.8304</v>
      </c>
      <c r="AT1027">
        <f>'Revenue drivers'!AT402</f>
        <v>134.28636999999998</v>
      </c>
      <c r="AU1027">
        <f>'Revenue drivers'!AU402</f>
        <v>138.63406999999998</v>
      </c>
      <c r="AV1027">
        <f>'Revenue drivers'!AV402</f>
        <v>142.87844999999999</v>
      </c>
      <c r="AW1027">
        <f>'Revenue drivers'!AW402</f>
        <v>147.06126</v>
      </c>
      <c r="AX1027">
        <f>'Revenue drivers'!AX402</f>
        <v>151.1825</v>
      </c>
      <c r="AY1027">
        <f>'Revenue drivers'!AY402</f>
        <v>155.19762</v>
      </c>
      <c r="AZ1027">
        <f>'Revenue drivers'!AZ402</f>
        <v>159.11147</v>
      </c>
      <c r="BA1027">
        <f>'Revenue drivers'!BA402</f>
        <v>162.9648</v>
      </c>
      <c r="BB1027">
        <f>'Revenue drivers'!BB402</f>
        <v>166.75761</v>
      </c>
      <c r="BC1027">
        <f>'Revenue drivers'!BC402</f>
        <v>170.44645</v>
      </c>
      <c r="BD1027">
        <f>'Revenue drivers'!BD402</f>
        <v>174.03607</v>
      </c>
      <c r="BE1027">
        <f>'Revenue drivers'!BE402</f>
        <v>0</v>
      </c>
      <c r="BF1027">
        <f>'Revenue drivers'!BF402</f>
        <v>0</v>
      </c>
      <c r="BG1027">
        <f>'Revenue drivers'!BG402</f>
        <v>0</v>
      </c>
      <c r="BH1027">
        <f>'Revenue drivers'!BH402</f>
        <v>0</v>
      </c>
      <c r="BI1027">
        <f>'Revenue drivers'!BI402</f>
        <v>0</v>
      </c>
      <c r="BJ1027">
        <f>'Revenue drivers'!BJ402</f>
        <v>0</v>
      </c>
      <c r="BK1027">
        <f>'Revenue drivers'!BK402</f>
        <v>0</v>
      </c>
      <c r="BL1027">
        <f>'Revenue drivers'!BL402</f>
        <v>0</v>
      </c>
      <c r="BM1027">
        <f>'Revenue drivers'!BM402</f>
        <v>48.272655</v>
      </c>
      <c r="BN1027">
        <f>'Revenue drivers'!BN402</f>
        <v>63.75264</v>
      </c>
      <c r="BO1027">
        <f>'Revenue drivers'!BO402</f>
        <v>83.308749999999989</v>
      </c>
      <c r="BP1027">
        <f>'Revenue drivers'!BP402</f>
        <v>103.776365</v>
      </c>
      <c r="BQ1027">
        <f>'Revenue drivers'!BQ402</f>
        <v>125.31180999999999</v>
      </c>
      <c r="BR1027">
        <f>'Revenue drivers'!BR402</f>
        <v>142.87844999999999</v>
      </c>
      <c r="BS1027">
        <f>'Revenue drivers'!BS402</f>
        <v>159.11147</v>
      </c>
      <c r="BT1027">
        <f>'Revenue drivers'!BT402</f>
        <v>174.03607</v>
      </c>
      <c r="BU1027">
        <f>'Revenue drivers'!BU402</f>
        <v>184.90203</v>
      </c>
      <c r="BV1027">
        <f>'Revenue drivers'!BV402</f>
        <v>194.96798999999999</v>
      </c>
      <c r="BW1027">
        <f>'Revenue drivers'!BW402</f>
        <v>204.23394999999996</v>
      </c>
      <c r="BX1027">
        <f>'Revenue drivers'!BX402</f>
        <v>212.69990999999996</v>
      </c>
      <c r="BY1027">
        <f>'Revenue drivers'!BY402</f>
        <v>220.36586999999994</v>
      </c>
    </row>
    <row r="1028" spans="9:77" ht="11.25" customHeight="1">
      <c r="I1028" t="str">
        <f>'Revenue drivers'!I403</f>
        <v>% change Y/Y</v>
      </c>
      <c r="J1028">
        <f>'Revenue drivers'!J403</f>
        <v>0</v>
      </c>
      <c r="K1028">
        <f>'Revenue drivers'!K403</f>
        <v>0</v>
      </c>
      <c r="L1028">
        <f>'Revenue drivers'!L403</f>
        <v>0</v>
      </c>
      <c r="M1028">
        <f>'Revenue drivers'!M403</f>
        <v>0</v>
      </c>
      <c r="N1028">
        <f>'Revenue drivers'!N403</f>
        <v>0</v>
      </c>
      <c r="O1028">
        <f>'Revenue drivers'!O403</f>
        <v>0</v>
      </c>
      <c r="P1028">
        <f>'Revenue drivers'!P403</f>
        <v>0</v>
      </c>
      <c r="Q1028">
        <f>'Revenue drivers'!Q403</f>
        <v>0</v>
      </c>
      <c r="R1028">
        <f>'Revenue drivers'!R403</f>
        <v>0</v>
      </c>
      <c r="S1028">
        <f>'Revenue drivers'!S403</f>
        <v>0</v>
      </c>
      <c r="T1028">
        <f>'Revenue drivers'!T403</f>
        <v>0</v>
      </c>
      <c r="U1028">
        <f>'Revenue drivers'!U403</f>
        <v>0</v>
      </c>
      <c r="V1028">
        <f>'Revenue drivers'!V403</f>
        <v>0</v>
      </c>
      <c r="W1028">
        <f>'Revenue drivers'!W403</f>
        <v>0</v>
      </c>
      <c r="X1028">
        <f>'Revenue drivers'!X403</f>
        <v>0</v>
      </c>
      <c r="Y1028">
        <f>'Revenue drivers'!Y403</f>
        <v>0</v>
      </c>
      <c r="Z1028">
        <f>'Revenue drivers'!Z403</f>
        <v>0</v>
      </c>
      <c r="AA1028" t="str">
        <f>'Revenue drivers'!AA403</f>
        <v>NA</v>
      </c>
      <c r="AB1028" t="str">
        <f>'Revenue drivers'!AB403</f>
        <v>NA</v>
      </c>
      <c r="AC1028" t="str">
        <f>'Revenue drivers'!AC403</f>
        <v>NA</v>
      </c>
      <c r="AD1028" t="str">
        <f>'Revenue drivers'!AD403</f>
        <v>NA</v>
      </c>
      <c r="AE1028">
        <f>'Revenue drivers'!AE403</f>
        <v>0.37661865149585738</v>
      </c>
      <c r="AF1028">
        <f>'Revenue drivers'!AF403</f>
        <v>0.32067813547856439</v>
      </c>
      <c r="AG1028">
        <f>'Revenue drivers'!AG403</f>
        <v>0.32421438210911901</v>
      </c>
      <c r="AH1028">
        <f>'Revenue drivers'!AH403</f>
        <v>0.32479364404008981</v>
      </c>
      <c r="AI1028">
        <f>'Revenue drivers'!AI403</f>
        <v>0.31612072187516671</v>
      </c>
      <c r="AJ1028">
        <f>'Revenue drivers'!AJ403</f>
        <v>0.30674980675310048</v>
      </c>
      <c r="AK1028">
        <f>'Revenue drivers'!AK403</f>
        <v>0.28642508771674402</v>
      </c>
      <c r="AL1028">
        <f>'Revenue drivers'!AL403</f>
        <v>0.27319017252911015</v>
      </c>
      <c r="AM1028">
        <f>'Revenue drivers'!AM403</f>
        <v>0.25664614573244005</v>
      </c>
      <c r="AN1028">
        <f>'Revenue drivers'!AN403</f>
        <v>0.24568385673773774</v>
      </c>
      <c r="AO1028">
        <f>'Revenue drivers'!AO403</f>
        <v>0.2299022031066309</v>
      </c>
      <c r="AP1028">
        <f>'Revenue drivers'!AP403</f>
        <v>0.22176286614554508</v>
      </c>
      <c r="AQ1028">
        <f>'Revenue drivers'!AQ403</f>
        <v>0.21440862106919156</v>
      </c>
      <c r="AR1028">
        <f>'Revenue drivers'!AR403</f>
        <v>0.20751781968851968</v>
      </c>
      <c r="AS1028">
        <f>'Revenue drivers'!AS403</f>
        <v>0.19466672163177923</v>
      </c>
      <c r="AT1028">
        <f>'Revenue drivers'!AT403</f>
        <v>0.17380779328396634</v>
      </c>
      <c r="AU1028">
        <f>'Revenue drivers'!AU403</f>
        <v>0.1516800219579546</v>
      </c>
      <c r="AV1028">
        <f>'Revenue drivers'!AV403</f>
        <v>0.14018343522450105</v>
      </c>
      <c r="AW1028">
        <f>'Revenue drivers'!AW403</f>
        <v>0.13271822315882886</v>
      </c>
      <c r="AX1028">
        <f>'Revenue drivers'!AX403</f>
        <v>0.12582163029650761</v>
      </c>
      <c r="AY1028">
        <f>'Revenue drivers'!AY403</f>
        <v>0.11947676354016035</v>
      </c>
      <c r="AZ1028">
        <f>'Revenue drivers'!AZ403</f>
        <v>0.113614194442899</v>
      </c>
      <c r="BA1028">
        <f>'Revenue drivers'!BA403</f>
        <v>0.10814228029869999</v>
      </c>
      <c r="BB1028">
        <f>'Revenue drivers'!BB403</f>
        <v>0.10302191060473276</v>
      </c>
      <c r="BC1028">
        <f>'Revenue drivers'!BC403</f>
        <v>9.8254277352964658E-2</v>
      </c>
      <c r="BD1028">
        <f>'Revenue drivers'!BD403</f>
        <v>9.3799648761965448E-2</v>
      </c>
      <c r="BE1028">
        <f>'Revenue drivers'!BE403</f>
        <v>0</v>
      </c>
      <c r="BF1028">
        <f>'Revenue drivers'!BF403</f>
        <v>0</v>
      </c>
      <c r="BG1028">
        <f>'Revenue drivers'!BG403</f>
        <v>0</v>
      </c>
      <c r="BH1028">
        <f>'Revenue drivers'!BH403</f>
        <v>0</v>
      </c>
      <c r="BI1028">
        <f>'Revenue drivers'!BI403</f>
        <v>0</v>
      </c>
      <c r="BJ1028">
        <f>'Revenue drivers'!BJ403</f>
        <v>0</v>
      </c>
      <c r="BK1028">
        <f>'Revenue drivers'!BK403</f>
        <v>0</v>
      </c>
      <c r="BL1028">
        <f>'Revenue drivers'!BL403</f>
        <v>0</v>
      </c>
      <c r="BM1028">
        <f>'Revenue drivers'!BM403</f>
        <v>0</v>
      </c>
      <c r="BN1028">
        <f>'Revenue drivers'!BN403</f>
        <v>0.32067813547856439</v>
      </c>
      <c r="BO1028">
        <f>'Revenue drivers'!BO403</f>
        <v>0.30674980675310048</v>
      </c>
      <c r="BP1028">
        <f>'Revenue drivers'!BP403</f>
        <v>0.24568385673773774</v>
      </c>
      <c r="BQ1028">
        <f>'Revenue drivers'!BQ403</f>
        <v>0.20751781968851968</v>
      </c>
      <c r="BR1028">
        <f>'Revenue drivers'!BR403</f>
        <v>0.14018343522450105</v>
      </c>
      <c r="BS1028">
        <f>'Revenue drivers'!BS403</f>
        <v>0.113614194442899</v>
      </c>
      <c r="BT1028">
        <f>'Revenue drivers'!BT403</f>
        <v>9.3799648761965448E-2</v>
      </c>
      <c r="BU1028">
        <f>'Revenue drivers'!BU403</f>
        <v>6.243510325187196E-2</v>
      </c>
      <c r="BV1028">
        <f>'Revenue drivers'!BV403</f>
        <v>5.4439423947914456E-2</v>
      </c>
      <c r="BW1028">
        <f>'Revenue drivers'!BW403</f>
        <v>4.752554509076079E-2</v>
      </c>
      <c r="BX1028">
        <f>'Revenue drivers'!BX403</f>
        <v>4.1452265894088569E-2</v>
      </c>
      <c r="BY1028">
        <f>'Revenue drivers'!BY403</f>
        <v>3.604120001743305E-2</v>
      </c>
    </row>
    <row r="1029" spans="9:77" ht="11.25" customHeight="1">
      <c r="I1029" t="str">
        <f>'Revenue drivers'!I404</f>
        <v>% change Q/Q</v>
      </c>
      <c r="J1029">
        <f>'Revenue drivers'!J404</f>
        <v>0</v>
      </c>
      <c r="K1029">
        <f>'Revenue drivers'!K404</f>
        <v>0</v>
      </c>
      <c r="L1029">
        <f>'Revenue drivers'!L404</f>
        <v>0</v>
      </c>
      <c r="M1029">
        <f>'Revenue drivers'!M404</f>
        <v>0</v>
      </c>
      <c r="N1029">
        <f>'Revenue drivers'!N404</f>
        <v>0</v>
      </c>
      <c r="O1029">
        <f>'Revenue drivers'!O404</f>
        <v>0</v>
      </c>
      <c r="P1029">
        <f>'Revenue drivers'!P404</f>
        <v>0</v>
      </c>
      <c r="Q1029">
        <f>'Revenue drivers'!Q404</f>
        <v>0</v>
      </c>
      <c r="R1029">
        <f>'Revenue drivers'!R404</f>
        <v>0</v>
      </c>
      <c r="S1029">
        <f>'Revenue drivers'!S404</f>
        <v>0</v>
      </c>
      <c r="T1029">
        <f>'Revenue drivers'!T404</f>
        <v>0</v>
      </c>
      <c r="U1029">
        <f>'Revenue drivers'!U404</f>
        <v>0</v>
      </c>
      <c r="V1029">
        <f>'Revenue drivers'!V404</f>
        <v>0</v>
      </c>
      <c r="W1029">
        <f>'Revenue drivers'!W404</f>
        <v>0</v>
      </c>
      <c r="X1029">
        <f>'Revenue drivers'!X404</f>
        <v>0</v>
      </c>
      <c r="Y1029">
        <f>'Revenue drivers'!Y404</f>
        <v>0</v>
      </c>
      <c r="Z1029">
        <f>'Revenue drivers'!Z404</f>
        <v>0</v>
      </c>
      <c r="AA1029" t="str">
        <f>'Revenue drivers'!AA404</f>
        <v>NA</v>
      </c>
      <c r="AB1029">
        <f>'Revenue drivers'!AB404</f>
        <v>0.10879246806798193</v>
      </c>
      <c r="AC1029">
        <f>'Revenue drivers'!AC404</f>
        <v>7.4521382758002463E-2</v>
      </c>
      <c r="AD1029">
        <f>'Revenue drivers'!AD404</f>
        <v>7.0262386736070992E-2</v>
      </c>
      <c r="AE1029">
        <f>'Revenue drivers'!AE404</f>
        <v>7.9588021221839167E-2</v>
      </c>
      <c r="AF1029">
        <f>'Revenue drivers'!AF404</f>
        <v>6.3735383629665243E-2</v>
      </c>
      <c r="AG1029">
        <f>'Revenue drivers'!AG404</f>
        <v>7.7398520280885563E-2</v>
      </c>
      <c r="AH1029">
        <f>'Revenue drivers'!AH404</f>
        <v>7.0730560368046369E-2</v>
      </c>
      <c r="AI1029">
        <f>'Revenue drivers'!AI404</f>
        <v>7.2520367387324702E-2</v>
      </c>
      <c r="AJ1029">
        <f>'Revenue drivers'!AJ404</f>
        <v>5.616147811579264E-2</v>
      </c>
      <c r="AK1029">
        <f>'Revenue drivers'!AK404</f>
        <v>6.0641049109487311E-2</v>
      </c>
      <c r="AL1029">
        <f>'Revenue drivers'!AL404</f>
        <v>5.9714739633058622E-2</v>
      </c>
      <c r="AM1029">
        <f>'Revenue drivers'!AM404</f>
        <v>5.8583874567258887E-2</v>
      </c>
      <c r="AN1029">
        <f>'Revenue drivers'!AN404</f>
        <v>4.6948106963144998E-2</v>
      </c>
      <c r="AO1029">
        <f>'Revenue drivers'!AO404</f>
        <v>4.7203715412464042E-2</v>
      </c>
      <c r="AP1029">
        <f>'Revenue drivers'!AP404</f>
        <v>5.2701681743808626E-2</v>
      </c>
      <c r="AQ1029">
        <f>'Revenue drivers'!AQ404</f>
        <v>5.2211864529006613E-2</v>
      </c>
      <c r="AR1029">
        <f>'Revenue drivers'!AR404</f>
        <v>4.1007510580848283E-2</v>
      </c>
      <c r="AS1029">
        <f>'Revenue drivers'!AS404</f>
        <v>3.6058772114136772E-2</v>
      </c>
      <c r="AT1029">
        <f>'Revenue drivers'!AT404</f>
        <v>3.4321468623681239E-2</v>
      </c>
      <c r="AU1029">
        <f>'Revenue drivers'!AU404</f>
        <v>3.237633126876549E-2</v>
      </c>
      <c r="AV1029">
        <f>'Revenue drivers'!AV404</f>
        <v>3.0615706514278918E-2</v>
      </c>
      <c r="AW1029">
        <f>'Revenue drivers'!AW404</f>
        <v>2.9275303588469859E-2</v>
      </c>
      <c r="AX1029">
        <f>'Revenue drivers'!AX404</f>
        <v>2.8023967698903141E-2</v>
      </c>
      <c r="AY1029">
        <f>'Revenue drivers'!AY404</f>
        <v>2.6558100309228783E-2</v>
      </c>
      <c r="AZ1029">
        <f>'Revenue drivers'!AZ404</f>
        <v>2.5218492396983816E-2</v>
      </c>
      <c r="BA1029">
        <f>'Revenue drivers'!BA404</f>
        <v>2.4217801519903048E-2</v>
      </c>
      <c r="BB1029">
        <f>'Revenue drivers'!BB404</f>
        <v>2.3273799004447593E-2</v>
      </c>
      <c r="BC1029">
        <f>'Revenue drivers'!BC404</f>
        <v>2.2120969471798091E-2</v>
      </c>
      <c r="BD1029">
        <f>'Revenue drivers'!BD404</f>
        <v>2.1060104214549513E-2</v>
      </c>
      <c r="BE1029">
        <f>'Revenue drivers'!BE404</f>
        <v>0</v>
      </c>
      <c r="BF1029">
        <f>'Revenue drivers'!BF404</f>
        <v>0</v>
      </c>
      <c r="BG1029">
        <f>'Revenue drivers'!BG404</f>
        <v>0</v>
      </c>
      <c r="BH1029">
        <f>'Revenue drivers'!BH404</f>
        <v>0</v>
      </c>
      <c r="BI1029">
        <f>'Revenue drivers'!BI404</f>
        <v>0</v>
      </c>
      <c r="BJ1029">
        <f>'Revenue drivers'!BJ404</f>
        <v>0</v>
      </c>
      <c r="BK1029">
        <f>'Revenue drivers'!BK404</f>
        <v>0</v>
      </c>
      <c r="BL1029">
        <f>'Revenue drivers'!BL404</f>
        <v>0</v>
      </c>
      <c r="BM1029">
        <f>'Revenue drivers'!BM404</f>
        <v>0</v>
      </c>
      <c r="BN1029">
        <f>'Revenue drivers'!BN404</f>
        <v>0</v>
      </c>
      <c r="BO1029">
        <f>'Revenue drivers'!BO404</f>
        <v>0</v>
      </c>
      <c r="BP1029">
        <f>'Revenue drivers'!BP404</f>
        <v>0</v>
      </c>
      <c r="BQ1029">
        <f>'Revenue drivers'!BQ404</f>
        <v>0</v>
      </c>
      <c r="BR1029">
        <f>'Revenue drivers'!BR404</f>
        <v>0</v>
      </c>
      <c r="BS1029">
        <f>'Revenue drivers'!BS404</f>
        <v>0</v>
      </c>
      <c r="BT1029">
        <f>'Revenue drivers'!BT404</f>
        <v>0</v>
      </c>
      <c r="BU1029">
        <f>'Revenue drivers'!BU404</f>
        <v>0</v>
      </c>
      <c r="BV1029">
        <f>'Revenue drivers'!BV404</f>
        <v>0</v>
      </c>
      <c r="BW1029">
        <f>'Revenue drivers'!BW404</f>
        <v>0</v>
      </c>
      <c r="BX1029">
        <f>'Revenue drivers'!BX404</f>
        <v>0</v>
      </c>
      <c r="BY1029">
        <f>'Revenue drivers'!BY404</f>
        <v>0</v>
      </c>
    </row>
    <row r="1030" spans="9:77" ht="11.25" customHeight="1">
      <c r="I1030" t="str">
        <f>'Revenue drivers'!I405</f>
        <v>% of total average monthly unique visitors</v>
      </c>
      <c r="J1030">
        <f>'Revenue drivers'!J405</f>
        <v>0</v>
      </c>
      <c r="K1030">
        <f>'Revenue drivers'!K405</f>
        <v>0</v>
      </c>
      <c r="L1030">
        <f>'Revenue drivers'!L405</f>
        <v>0</v>
      </c>
      <c r="M1030">
        <f>'Revenue drivers'!M405</f>
        <v>0</v>
      </c>
      <c r="N1030">
        <f>'Revenue drivers'!N405</f>
        <v>0</v>
      </c>
      <c r="O1030">
        <f>'Revenue drivers'!O405</f>
        <v>0</v>
      </c>
      <c r="P1030">
        <f>'Revenue drivers'!P405</f>
        <v>0</v>
      </c>
      <c r="Q1030">
        <f>'Revenue drivers'!Q405</f>
        <v>0</v>
      </c>
      <c r="R1030">
        <f>'Revenue drivers'!R405</f>
        <v>0</v>
      </c>
      <c r="S1030">
        <f>'Revenue drivers'!S405</f>
        <v>0</v>
      </c>
      <c r="T1030">
        <f>'Revenue drivers'!T405</f>
        <v>0</v>
      </c>
      <c r="U1030">
        <f>'Revenue drivers'!U405</f>
        <v>0</v>
      </c>
      <c r="V1030">
        <f>'Revenue drivers'!V405</f>
        <v>0</v>
      </c>
      <c r="W1030">
        <f>'Revenue drivers'!W405</f>
        <v>0</v>
      </c>
      <c r="X1030">
        <f>'Revenue drivers'!X405</f>
        <v>0</v>
      </c>
      <c r="Y1030">
        <f>'Revenue drivers'!Y405</f>
        <v>0</v>
      </c>
      <c r="Z1030">
        <f>'Revenue drivers'!Z405</f>
        <v>0</v>
      </c>
      <c r="AA1030">
        <f>'Revenue drivers'!AA405</f>
        <v>0.91999999999999993</v>
      </c>
      <c r="AB1030">
        <f>'Revenue drivers'!AB405</f>
        <v>0.91500000000000004</v>
      </c>
      <c r="AC1030">
        <f>'Revenue drivers'!AC405</f>
        <v>0.90999999999999992</v>
      </c>
      <c r="AD1030">
        <f>'Revenue drivers'!AD405</f>
        <v>0.90500000000000003</v>
      </c>
      <c r="AE1030">
        <f>'Revenue drivers'!AE405</f>
        <v>0.9</v>
      </c>
      <c r="AF1030">
        <f>'Revenue drivers'!AF405</f>
        <v>0.89500000000000002</v>
      </c>
      <c r="AG1030">
        <f>'Revenue drivers'!AG405</f>
        <v>0.88804850929589108</v>
      </c>
      <c r="AH1030">
        <f>'Revenue drivers'!AH405</f>
        <v>0.88500000000000001</v>
      </c>
      <c r="AI1030">
        <f>'Revenue drivers'!AI405</f>
        <v>0.87999999999999989</v>
      </c>
      <c r="AJ1030">
        <f>'Revenue drivers'!AJ405</f>
        <v>0.87499999999999989</v>
      </c>
      <c r="AK1030">
        <f>'Revenue drivers'!AK405</f>
        <v>0.87</v>
      </c>
      <c r="AL1030">
        <f>'Revenue drivers'!AL405</f>
        <v>0.86499999999999988</v>
      </c>
      <c r="AM1030">
        <f>'Revenue drivers'!AM405</f>
        <v>0.86</v>
      </c>
      <c r="AN1030">
        <f>'Revenue drivers'!AN405</f>
        <v>0.85749999999999993</v>
      </c>
      <c r="AO1030">
        <f>'Revenue drivers'!AO405</f>
        <v>0.85250000000000004</v>
      </c>
      <c r="AP1030">
        <f>'Revenue drivers'!AP405</f>
        <v>0.85</v>
      </c>
      <c r="AQ1030">
        <f>'Revenue drivers'!AQ405</f>
        <v>0.84749999999999992</v>
      </c>
      <c r="AR1030">
        <f>'Revenue drivers'!AR405</f>
        <v>0.84499999999999997</v>
      </c>
      <c r="AS1030">
        <f>'Revenue drivers'!AS405</f>
        <v>0.84</v>
      </c>
      <c r="AT1030">
        <f>'Revenue drivers'!AT405</f>
        <v>0.83499999999999985</v>
      </c>
      <c r="AU1030">
        <f>'Revenue drivers'!AU405</f>
        <v>0.82999999999999985</v>
      </c>
      <c r="AV1030">
        <f>'Revenue drivers'!AV405</f>
        <v>0.82499999999999984</v>
      </c>
      <c r="AW1030">
        <f>'Revenue drivers'!AW405</f>
        <v>0.82</v>
      </c>
      <c r="AX1030">
        <f>'Revenue drivers'!AX405</f>
        <v>0.81499999999999995</v>
      </c>
      <c r="AY1030">
        <f>'Revenue drivers'!AY405</f>
        <v>0.80999999999999983</v>
      </c>
      <c r="AZ1030">
        <f>'Revenue drivers'!AZ405</f>
        <v>0.80499999999999994</v>
      </c>
      <c r="BA1030">
        <f>'Revenue drivers'!BA405</f>
        <v>0.79999999999999993</v>
      </c>
      <c r="BB1030">
        <f>'Revenue drivers'!BB405</f>
        <v>0.79499999999999993</v>
      </c>
      <c r="BC1030">
        <f>'Revenue drivers'!BC405</f>
        <v>0.78999999999999992</v>
      </c>
      <c r="BD1030">
        <f>'Revenue drivers'!BD405</f>
        <v>0.78499999999999992</v>
      </c>
      <c r="BE1030">
        <f>'Revenue drivers'!BE405</f>
        <v>0</v>
      </c>
      <c r="BF1030">
        <f>'Revenue drivers'!BF405</f>
        <v>0</v>
      </c>
      <c r="BG1030">
        <f>'Revenue drivers'!BG405</f>
        <v>0</v>
      </c>
      <c r="BH1030">
        <f>'Revenue drivers'!BH405</f>
        <v>0</v>
      </c>
      <c r="BI1030">
        <f>'Revenue drivers'!BI405</f>
        <v>0</v>
      </c>
      <c r="BJ1030">
        <f>'Revenue drivers'!BJ405</f>
        <v>0</v>
      </c>
      <c r="BK1030">
        <f>'Revenue drivers'!BK405</f>
        <v>0</v>
      </c>
      <c r="BL1030">
        <f>'Revenue drivers'!BL405</f>
        <v>0</v>
      </c>
      <c r="BM1030">
        <f>'Revenue drivers'!BM405</f>
        <v>0.91500000000000004</v>
      </c>
      <c r="BN1030">
        <f>'Revenue drivers'!BN405</f>
        <v>0.89500000000000002</v>
      </c>
      <c r="BO1030">
        <f>'Revenue drivers'!BO405</f>
        <v>0.87499999999999989</v>
      </c>
      <c r="BP1030">
        <f>'Revenue drivers'!BP405</f>
        <v>0.85749999999999993</v>
      </c>
      <c r="BQ1030">
        <f>'Revenue drivers'!BQ405</f>
        <v>0.84499999999999997</v>
      </c>
      <c r="BR1030">
        <f>'Revenue drivers'!BR405</f>
        <v>0.82499999999999984</v>
      </c>
      <c r="BS1030">
        <f>'Revenue drivers'!BS405</f>
        <v>0.80499999999999994</v>
      </c>
      <c r="BT1030">
        <f>'Revenue drivers'!BT405</f>
        <v>0.78499999999999992</v>
      </c>
      <c r="BU1030">
        <f>'Revenue drivers'!BU405</f>
        <v>0.7649999999999999</v>
      </c>
      <c r="BV1030">
        <f>'Revenue drivers'!BV405</f>
        <v>0.745</v>
      </c>
      <c r="BW1030">
        <f>'Revenue drivers'!BW405</f>
        <v>0.72499999999999987</v>
      </c>
      <c r="BX1030">
        <f>'Revenue drivers'!BX405</f>
        <v>0.70499999999999985</v>
      </c>
      <c r="BY1030">
        <f>'Revenue drivers'!BY405</f>
        <v>0.68499999999999983</v>
      </c>
    </row>
    <row r="1031" spans="9:77" ht="11.25" customHeight="1">
      <c r="I1031">
        <f>'Revenue drivers'!I406</f>
        <v>0</v>
      </c>
      <c r="J1031">
        <f>'Revenue drivers'!J406</f>
        <v>0</v>
      </c>
      <c r="K1031">
        <f>'Revenue drivers'!K406</f>
        <v>0</v>
      </c>
      <c r="L1031">
        <f>'Revenue drivers'!L406</f>
        <v>0</v>
      </c>
      <c r="M1031">
        <f>'Revenue drivers'!M406</f>
        <v>0</v>
      </c>
      <c r="N1031">
        <f>'Revenue drivers'!N406</f>
        <v>0</v>
      </c>
      <c r="O1031">
        <f>'Revenue drivers'!O406</f>
        <v>0</v>
      </c>
      <c r="P1031">
        <f>'Revenue drivers'!P406</f>
        <v>0</v>
      </c>
      <c r="Q1031">
        <f>'Revenue drivers'!Q406</f>
        <v>0</v>
      </c>
      <c r="R1031">
        <f>'Revenue drivers'!R406</f>
        <v>0</v>
      </c>
      <c r="S1031">
        <f>'Revenue drivers'!S406</f>
        <v>0</v>
      </c>
      <c r="T1031">
        <f>'Revenue drivers'!T406</f>
        <v>0</v>
      </c>
      <c r="U1031">
        <f>'Revenue drivers'!U406</f>
        <v>0</v>
      </c>
      <c r="V1031">
        <f>'Revenue drivers'!V406</f>
        <v>0</v>
      </c>
      <c r="W1031">
        <f>'Revenue drivers'!W406</f>
        <v>0</v>
      </c>
      <c r="X1031">
        <f>'Revenue drivers'!X406</f>
        <v>0</v>
      </c>
      <c r="Y1031">
        <f>'Revenue drivers'!Y406</f>
        <v>0</v>
      </c>
      <c r="Z1031">
        <f>'Revenue drivers'!Z406</f>
        <v>0</v>
      </c>
      <c r="AA1031">
        <f>'Revenue drivers'!AA406</f>
        <v>0</v>
      </c>
      <c r="AB1031">
        <f>'Revenue drivers'!AB406</f>
        <v>0</v>
      </c>
      <c r="AC1031">
        <f>'Revenue drivers'!AC406</f>
        <v>0</v>
      </c>
      <c r="AD1031">
        <f>'Revenue drivers'!AD406</f>
        <v>0</v>
      </c>
      <c r="AE1031">
        <f>'Revenue drivers'!AE406</f>
        <v>0</v>
      </c>
      <c r="AF1031">
        <f>'Revenue drivers'!AF406</f>
        <v>0</v>
      </c>
      <c r="AG1031">
        <f>'Revenue drivers'!AG406</f>
        <v>0</v>
      </c>
      <c r="AH1031">
        <f>'Revenue drivers'!AH406</f>
        <v>0</v>
      </c>
      <c r="AI1031">
        <f>'Revenue drivers'!AI406</f>
        <v>0</v>
      </c>
      <c r="AJ1031">
        <f>'Revenue drivers'!AJ406</f>
        <v>0</v>
      </c>
      <c r="AK1031">
        <f>'Revenue drivers'!AK406</f>
        <v>0</v>
      </c>
      <c r="AL1031">
        <f>'Revenue drivers'!AL406</f>
        <v>0</v>
      </c>
      <c r="AM1031">
        <f>'Revenue drivers'!AM406</f>
        <v>0</v>
      </c>
      <c r="AN1031">
        <f>'Revenue drivers'!AN406</f>
        <v>0</v>
      </c>
      <c r="AO1031">
        <f>'Revenue drivers'!AO406</f>
        <v>0</v>
      </c>
      <c r="AP1031">
        <f>'Revenue drivers'!AP406</f>
        <v>0</v>
      </c>
      <c r="AQ1031">
        <f>'Revenue drivers'!AQ406</f>
        <v>0</v>
      </c>
      <c r="AR1031">
        <f>'Revenue drivers'!AR406</f>
        <v>0</v>
      </c>
      <c r="AS1031">
        <f>'Revenue drivers'!AS406</f>
        <v>0</v>
      </c>
      <c r="AT1031">
        <f>'Revenue drivers'!AT406</f>
        <v>0</v>
      </c>
      <c r="AU1031">
        <f>'Revenue drivers'!AU406</f>
        <v>0</v>
      </c>
      <c r="AV1031">
        <f>'Revenue drivers'!AV406</f>
        <v>0</v>
      </c>
      <c r="AW1031">
        <f>'Revenue drivers'!AW406</f>
        <v>0</v>
      </c>
      <c r="AX1031">
        <f>'Revenue drivers'!AX406</f>
        <v>0</v>
      </c>
      <c r="AY1031">
        <f>'Revenue drivers'!AY406</f>
        <v>0</v>
      </c>
      <c r="AZ1031">
        <f>'Revenue drivers'!AZ406</f>
        <v>0</v>
      </c>
      <c r="BA1031">
        <f>'Revenue drivers'!BA406</f>
        <v>0</v>
      </c>
      <c r="BB1031">
        <f>'Revenue drivers'!BB406</f>
        <v>0</v>
      </c>
      <c r="BC1031">
        <f>'Revenue drivers'!BC406</f>
        <v>0</v>
      </c>
      <c r="BD1031">
        <f>'Revenue drivers'!BD406</f>
        <v>0</v>
      </c>
      <c r="BE1031">
        <f>'Revenue drivers'!BE406</f>
        <v>0</v>
      </c>
      <c r="BF1031">
        <f>'Revenue drivers'!BF406</f>
        <v>0</v>
      </c>
      <c r="BG1031">
        <f>'Revenue drivers'!BG406</f>
        <v>0</v>
      </c>
      <c r="BH1031">
        <f>'Revenue drivers'!BH406</f>
        <v>0</v>
      </c>
      <c r="BI1031">
        <f>'Revenue drivers'!BI406</f>
        <v>0</v>
      </c>
      <c r="BJ1031">
        <f>'Revenue drivers'!BJ406</f>
        <v>0</v>
      </c>
      <c r="BK1031">
        <f>'Revenue drivers'!BK406</f>
        <v>0</v>
      </c>
      <c r="BL1031">
        <f>'Revenue drivers'!BL406</f>
        <v>0</v>
      </c>
      <c r="BM1031">
        <f>'Revenue drivers'!BM406</f>
        <v>0</v>
      </c>
      <c r="BN1031">
        <f>'Revenue drivers'!BN406</f>
        <v>0</v>
      </c>
      <c r="BO1031">
        <f>'Revenue drivers'!BO406</f>
        <v>0</v>
      </c>
      <c r="BP1031">
        <f>'Revenue drivers'!BP406</f>
        <v>0</v>
      </c>
      <c r="BQ1031">
        <f>'Revenue drivers'!BQ406</f>
        <v>0</v>
      </c>
      <c r="BR1031">
        <f>'Revenue drivers'!BR406</f>
        <v>0</v>
      </c>
      <c r="BS1031">
        <f>'Revenue drivers'!BS406</f>
        <v>0</v>
      </c>
      <c r="BT1031">
        <f>'Revenue drivers'!BT406</f>
        <v>0</v>
      </c>
      <c r="BU1031">
        <f>'Revenue drivers'!BU406</f>
        <v>0</v>
      </c>
      <c r="BV1031">
        <f>'Revenue drivers'!BV406</f>
        <v>0</v>
      </c>
      <c r="BW1031">
        <f>'Revenue drivers'!BW406</f>
        <v>0</v>
      </c>
      <c r="BX1031">
        <f>'Revenue drivers'!BX406</f>
        <v>0</v>
      </c>
      <c r="BY1031">
        <f>'Revenue drivers'!BY406</f>
        <v>0</v>
      </c>
    </row>
    <row r="1032" spans="9:77" ht="11.25" customHeight="1">
      <c r="I1032">
        <f>'Revenue drivers'!I407</f>
        <v>0</v>
      </c>
      <c r="J1032">
        <f>'Revenue drivers'!J407</f>
        <v>0</v>
      </c>
      <c r="K1032">
        <f>'Revenue drivers'!K407</f>
        <v>0</v>
      </c>
      <c r="L1032">
        <f>'Revenue drivers'!L407</f>
        <v>0</v>
      </c>
      <c r="M1032">
        <f>'Revenue drivers'!M407</f>
        <v>0</v>
      </c>
      <c r="N1032">
        <f>'Revenue drivers'!N407</f>
        <v>0</v>
      </c>
      <c r="O1032">
        <f>'Revenue drivers'!O407</f>
        <v>0</v>
      </c>
      <c r="P1032">
        <f>'Revenue drivers'!P407</f>
        <v>0</v>
      </c>
      <c r="Q1032">
        <f>'Revenue drivers'!Q407</f>
        <v>0</v>
      </c>
      <c r="R1032">
        <f>'Revenue drivers'!R407</f>
        <v>0</v>
      </c>
      <c r="S1032">
        <f>'Revenue drivers'!S407</f>
        <v>0</v>
      </c>
      <c r="T1032">
        <f>'Revenue drivers'!T407</f>
        <v>0</v>
      </c>
      <c r="U1032">
        <f>'Revenue drivers'!U407</f>
        <v>0</v>
      </c>
      <c r="V1032">
        <f>'Revenue drivers'!V407</f>
        <v>0</v>
      </c>
      <c r="W1032">
        <f>'Revenue drivers'!W407</f>
        <v>0</v>
      </c>
      <c r="X1032">
        <f>'Revenue drivers'!X407</f>
        <v>0</v>
      </c>
      <c r="Y1032">
        <f>'Revenue drivers'!Y407</f>
        <v>0</v>
      </c>
      <c r="Z1032">
        <f>'Revenue drivers'!Z407</f>
        <v>0</v>
      </c>
      <c r="AA1032">
        <f>'Revenue drivers'!AA407</f>
        <v>0</v>
      </c>
      <c r="AB1032">
        <f>'Revenue drivers'!AB407</f>
        <v>0</v>
      </c>
      <c r="AC1032">
        <f>'Revenue drivers'!AC407</f>
        <v>0</v>
      </c>
      <c r="AD1032">
        <f>'Revenue drivers'!AD407</f>
        <v>0</v>
      </c>
      <c r="AE1032">
        <f>'Revenue drivers'!AE407</f>
        <v>0</v>
      </c>
      <c r="AF1032">
        <f>'Revenue drivers'!AF407</f>
        <v>0</v>
      </c>
      <c r="AG1032">
        <f>'Revenue drivers'!AG407</f>
        <v>0</v>
      </c>
      <c r="AH1032">
        <f>'Revenue drivers'!AH407</f>
        <v>0</v>
      </c>
      <c r="AI1032">
        <f>'Revenue drivers'!AI407</f>
        <v>0</v>
      </c>
      <c r="AJ1032">
        <f>'Revenue drivers'!AJ407</f>
        <v>0</v>
      </c>
      <c r="AK1032">
        <f>'Revenue drivers'!AK407</f>
        <v>0</v>
      </c>
      <c r="AL1032">
        <f>'Revenue drivers'!AL407</f>
        <v>0</v>
      </c>
      <c r="AM1032">
        <f>'Revenue drivers'!AM407</f>
        <v>0</v>
      </c>
      <c r="AN1032">
        <f>'Revenue drivers'!AN407</f>
        <v>0</v>
      </c>
      <c r="AO1032">
        <f>'Revenue drivers'!AO407</f>
        <v>0</v>
      </c>
      <c r="AP1032">
        <f>'Revenue drivers'!AP407</f>
        <v>0</v>
      </c>
      <c r="AQ1032">
        <f>'Revenue drivers'!AQ407</f>
        <v>0</v>
      </c>
      <c r="AR1032">
        <f>'Revenue drivers'!AR407</f>
        <v>0</v>
      </c>
      <c r="AS1032">
        <f>'Revenue drivers'!AS407</f>
        <v>0</v>
      </c>
      <c r="AT1032">
        <f>'Revenue drivers'!AT407</f>
        <v>0</v>
      </c>
      <c r="AU1032">
        <f>'Revenue drivers'!AU407</f>
        <v>0</v>
      </c>
      <c r="AV1032">
        <f>'Revenue drivers'!AV407</f>
        <v>0</v>
      </c>
      <c r="AW1032">
        <f>'Revenue drivers'!AW407</f>
        <v>0</v>
      </c>
      <c r="AX1032">
        <f>'Revenue drivers'!AX407</f>
        <v>0</v>
      </c>
      <c r="AY1032">
        <f>'Revenue drivers'!AY407</f>
        <v>0</v>
      </c>
      <c r="AZ1032">
        <f>'Revenue drivers'!AZ407</f>
        <v>0</v>
      </c>
      <c r="BA1032">
        <f>'Revenue drivers'!BA407</f>
        <v>0</v>
      </c>
      <c r="BB1032">
        <f>'Revenue drivers'!BB407</f>
        <v>0</v>
      </c>
      <c r="BC1032">
        <f>'Revenue drivers'!BC407</f>
        <v>0</v>
      </c>
      <c r="BD1032">
        <f>'Revenue drivers'!BD407</f>
        <v>0</v>
      </c>
      <c r="BE1032">
        <f>'Revenue drivers'!BE407</f>
        <v>0</v>
      </c>
      <c r="BF1032">
        <f>'Revenue drivers'!BF407</f>
        <v>0</v>
      </c>
      <c r="BG1032">
        <f>'Revenue drivers'!BG407</f>
        <v>0</v>
      </c>
      <c r="BH1032">
        <f>'Revenue drivers'!BH407</f>
        <v>0</v>
      </c>
      <c r="BI1032">
        <f>'Revenue drivers'!BI407</f>
        <v>0</v>
      </c>
      <c r="BJ1032">
        <f>'Revenue drivers'!BJ407</f>
        <v>0</v>
      </c>
      <c r="BK1032">
        <f>'Revenue drivers'!BK407</f>
        <v>0</v>
      </c>
      <c r="BL1032">
        <f>'Revenue drivers'!BL407</f>
        <v>0</v>
      </c>
      <c r="BM1032">
        <f>'Revenue drivers'!BM407</f>
        <v>0</v>
      </c>
      <c r="BN1032">
        <f>'Revenue drivers'!BN407</f>
        <v>0</v>
      </c>
      <c r="BO1032">
        <f>'Revenue drivers'!BO407</f>
        <v>0</v>
      </c>
      <c r="BP1032">
        <f>'Revenue drivers'!BP407</f>
        <v>0</v>
      </c>
      <c r="BQ1032">
        <f>'Revenue drivers'!BQ407</f>
        <v>0</v>
      </c>
      <c r="BR1032">
        <f>'Revenue drivers'!BR407</f>
        <v>0</v>
      </c>
      <c r="BS1032">
        <f>'Revenue drivers'!BS407</f>
        <v>0</v>
      </c>
      <c r="BT1032">
        <f>'Revenue drivers'!BT407</f>
        <v>0</v>
      </c>
      <c r="BU1032">
        <f>'Revenue drivers'!BU407</f>
        <v>0</v>
      </c>
      <c r="BV1032">
        <f>'Revenue drivers'!BV407</f>
        <v>0</v>
      </c>
      <c r="BW1032">
        <f>'Revenue drivers'!BW407</f>
        <v>0</v>
      </c>
      <c r="BX1032">
        <f>'Revenue drivers'!BX407</f>
        <v>0</v>
      </c>
      <c r="BY1032">
        <f>'Revenue drivers'!BY407</f>
        <v>0</v>
      </c>
    </row>
    <row r="1033" spans="9:77" ht="11.25" customHeight="1">
      <c r="I1033" t="str">
        <f>'Revenue drivers'!I408</f>
        <v>International cumulative reviews</v>
      </c>
      <c r="J1033">
        <f>'Revenue drivers'!J408</f>
        <v>0</v>
      </c>
      <c r="K1033">
        <f>'Revenue drivers'!K408</f>
        <v>0</v>
      </c>
      <c r="L1033">
        <f>'Revenue drivers'!L408</f>
        <v>0</v>
      </c>
      <c r="M1033">
        <f>'Revenue drivers'!M408</f>
        <v>0</v>
      </c>
      <c r="N1033">
        <f>'Revenue drivers'!N408</f>
        <v>0</v>
      </c>
      <c r="O1033">
        <f>'Revenue drivers'!O408</f>
        <v>0</v>
      </c>
      <c r="P1033">
        <f>'Revenue drivers'!P408</f>
        <v>0</v>
      </c>
      <c r="Q1033">
        <f>'Revenue drivers'!Q408</f>
        <v>0</v>
      </c>
      <c r="R1033">
        <f>'Revenue drivers'!R408</f>
        <v>0</v>
      </c>
      <c r="S1033">
        <f>'Revenue drivers'!S408</f>
        <v>0</v>
      </c>
      <c r="T1033">
        <f>'Revenue drivers'!T408</f>
        <v>0</v>
      </c>
      <c r="U1033">
        <f>'Revenue drivers'!U408</f>
        <v>0</v>
      </c>
      <c r="V1033">
        <f>'Revenue drivers'!V408</f>
        <v>0</v>
      </c>
      <c r="W1033">
        <f>'Revenue drivers'!W408</f>
        <v>0</v>
      </c>
      <c r="X1033">
        <f>'Revenue drivers'!X408</f>
        <v>0</v>
      </c>
      <c r="Y1033">
        <f>'Revenue drivers'!Y408</f>
        <v>0</v>
      </c>
      <c r="Z1033">
        <f>'Revenue drivers'!Z408</f>
        <v>0</v>
      </c>
      <c r="AA1033">
        <f>'Revenue drivers'!AA408</f>
        <v>3.7857600000000002</v>
      </c>
      <c r="AB1033">
        <f>'Revenue drivers'!AB408</f>
        <v>4.4843450000000002</v>
      </c>
      <c r="AC1033">
        <f>'Revenue drivers'!AC408</f>
        <v>5.1300000000000008</v>
      </c>
      <c r="AD1033">
        <f>'Revenue drivers'!AD408</f>
        <v>5.8274900000000009</v>
      </c>
      <c r="AE1033">
        <f>'Revenue drivers'!AE408</f>
        <v>6.6592000000000011</v>
      </c>
      <c r="AF1033">
        <f>'Revenue drivers'!AF408</f>
        <v>7.4793600000000016</v>
      </c>
      <c r="AG1033">
        <f>'Revenue drivers'!AG408</f>
        <v>8.6590000000000007</v>
      </c>
      <c r="AH1033">
        <f>'Revenue drivers'!AH408</f>
        <v>9.5567300000000035</v>
      </c>
      <c r="AI1033">
        <f>'Revenue drivers'!AI408</f>
        <v>10.756200000000003</v>
      </c>
      <c r="AJ1033">
        <f>'Revenue drivers'!AJ408</f>
        <v>11.901250000000001</v>
      </c>
      <c r="AK1033">
        <f>'Revenue drivers'!AK408</f>
        <v>13.203320000000001</v>
      </c>
      <c r="AL1033">
        <f>'Revenue drivers'!AL408</f>
        <v>14.613885000000005</v>
      </c>
      <c r="AM1033">
        <f>'Revenue drivers'!AM408</f>
        <v>16.136260000000004</v>
      </c>
      <c r="AN1033">
        <f>'Revenue drivers'!AN408</f>
        <v>17.245635000000007</v>
      </c>
      <c r="AO1033">
        <f>'Revenue drivers'!AO408</f>
        <v>18.803005000000006</v>
      </c>
      <c r="AP1033">
        <f>'Revenue drivers'!AP408</f>
        <v>20.188650000000006</v>
      </c>
      <c r="AQ1033">
        <f>'Revenue drivers'!AQ408</f>
        <v>21.660490000000006</v>
      </c>
      <c r="AR1033">
        <f>'Revenue drivers'!AR408</f>
        <v>22.986190000000008</v>
      </c>
      <c r="AS1033">
        <f>'Revenue drivers'!AS408</f>
        <v>24.729600000000008</v>
      </c>
      <c r="AT1033">
        <f>'Revenue drivers'!AT408</f>
        <v>26.535630000000012</v>
      </c>
      <c r="AU1033">
        <f>'Revenue drivers'!AU408</f>
        <v>28.394930000000009</v>
      </c>
      <c r="AV1033">
        <f>'Revenue drivers'!AV408</f>
        <v>30.307550000000013</v>
      </c>
      <c r="AW1033">
        <f>'Revenue drivers'!AW408</f>
        <v>32.281740000000013</v>
      </c>
      <c r="AX1033">
        <f>'Revenue drivers'!AX408</f>
        <v>34.317500000000017</v>
      </c>
      <c r="AY1033">
        <f>'Revenue drivers'!AY408</f>
        <v>36.404380000000025</v>
      </c>
      <c r="AZ1033">
        <f>'Revenue drivers'!AZ408</f>
        <v>38.542530000000021</v>
      </c>
      <c r="BA1033">
        <f>'Revenue drivers'!BA408</f>
        <v>40.741200000000021</v>
      </c>
      <c r="BB1033">
        <f>'Revenue drivers'!BB408</f>
        <v>43.000390000000024</v>
      </c>
      <c r="BC1033">
        <f>'Revenue drivers'!BC408</f>
        <v>45.308550000000025</v>
      </c>
      <c r="BD1033">
        <f>'Revenue drivers'!BD408</f>
        <v>47.665930000000031</v>
      </c>
      <c r="BE1033">
        <f>'Revenue drivers'!BE408</f>
        <v>0</v>
      </c>
      <c r="BF1033">
        <f>'Revenue drivers'!BF408</f>
        <v>0</v>
      </c>
      <c r="BG1033">
        <f>'Revenue drivers'!BG408</f>
        <v>0</v>
      </c>
      <c r="BH1033">
        <f>'Revenue drivers'!BH408</f>
        <v>0</v>
      </c>
      <c r="BI1033">
        <f>'Revenue drivers'!BI408</f>
        <v>0</v>
      </c>
      <c r="BJ1033">
        <f>'Revenue drivers'!BJ408</f>
        <v>0</v>
      </c>
      <c r="BK1033">
        <f>'Revenue drivers'!BK408</f>
        <v>0</v>
      </c>
      <c r="BL1033">
        <f>'Revenue drivers'!BL408</f>
        <v>0</v>
      </c>
      <c r="BM1033">
        <f>'Revenue drivers'!BM408</f>
        <v>4.4843450000000002</v>
      </c>
      <c r="BN1033">
        <f>'Revenue drivers'!BN408</f>
        <v>7.4793600000000016</v>
      </c>
      <c r="BO1033">
        <f>'Revenue drivers'!BO408</f>
        <v>11.901250000000001</v>
      </c>
      <c r="BP1033">
        <f>'Revenue drivers'!BP408</f>
        <v>17.245635000000007</v>
      </c>
      <c r="BQ1033">
        <f>'Revenue drivers'!BQ408</f>
        <v>22.986190000000008</v>
      </c>
      <c r="BR1033">
        <f>'Revenue drivers'!BR408</f>
        <v>30.307550000000013</v>
      </c>
      <c r="BS1033">
        <f>'Revenue drivers'!BS408</f>
        <v>38.542530000000021</v>
      </c>
      <c r="BT1033">
        <f>'Revenue drivers'!BT408</f>
        <v>47.665930000000031</v>
      </c>
      <c r="BU1033">
        <f>'Revenue drivers'!BU408</f>
        <v>56.79997000000003</v>
      </c>
      <c r="BV1033">
        <f>'Revenue drivers'!BV408</f>
        <v>66.734010000000026</v>
      </c>
      <c r="BW1033">
        <f>'Revenue drivers'!BW408</f>
        <v>77.468050000000034</v>
      </c>
      <c r="BX1033">
        <f>'Revenue drivers'!BX408</f>
        <v>89.002090000000038</v>
      </c>
      <c r="BY1033">
        <f>'Revenue drivers'!BY408</f>
        <v>101.33613000000005</v>
      </c>
    </row>
    <row r="1034" spans="9:77" ht="11.25" customHeight="1">
      <c r="I1034" t="str">
        <f>'Revenue drivers'!I409</f>
        <v>% change Y/Y</v>
      </c>
      <c r="J1034">
        <f>'Revenue drivers'!J409</f>
        <v>0</v>
      </c>
      <c r="K1034">
        <f>'Revenue drivers'!K409</f>
        <v>0</v>
      </c>
      <c r="L1034">
        <f>'Revenue drivers'!L409</f>
        <v>0</v>
      </c>
      <c r="M1034">
        <f>'Revenue drivers'!M409</f>
        <v>0</v>
      </c>
      <c r="N1034">
        <f>'Revenue drivers'!N409</f>
        <v>0</v>
      </c>
      <c r="O1034">
        <f>'Revenue drivers'!O409</f>
        <v>0</v>
      </c>
      <c r="P1034">
        <f>'Revenue drivers'!P409</f>
        <v>0</v>
      </c>
      <c r="Q1034">
        <f>'Revenue drivers'!Q409</f>
        <v>0</v>
      </c>
      <c r="R1034">
        <f>'Revenue drivers'!R409</f>
        <v>0</v>
      </c>
      <c r="S1034">
        <f>'Revenue drivers'!S409</f>
        <v>0</v>
      </c>
      <c r="T1034">
        <f>'Revenue drivers'!T409</f>
        <v>0</v>
      </c>
      <c r="U1034">
        <f>'Revenue drivers'!U409</f>
        <v>0</v>
      </c>
      <c r="V1034">
        <f>'Revenue drivers'!V409</f>
        <v>0</v>
      </c>
      <c r="W1034">
        <f>'Revenue drivers'!W409</f>
        <v>0</v>
      </c>
      <c r="X1034">
        <f>'Revenue drivers'!X409</f>
        <v>0</v>
      </c>
      <c r="Y1034">
        <f>'Revenue drivers'!Y409</f>
        <v>0</v>
      </c>
      <c r="Z1034">
        <f>'Revenue drivers'!Z409</f>
        <v>0</v>
      </c>
      <c r="AA1034" t="str">
        <f>'Revenue drivers'!AA409</f>
        <v>NA</v>
      </c>
      <c r="AB1034" t="str">
        <f>'Revenue drivers'!AB409</f>
        <v>NA</v>
      </c>
      <c r="AC1034" t="str">
        <f>'Revenue drivers'!AC409</f>
        <v>NA</v>
      </c>
      <c r="AD1034" t="str">
        <f>'Revenue drivers'!AD409</f>
        <v>NA</v>
      </c>
      <c r="AE1034">
        <f>'Revenue drivers'!AE409</f>
        <v>0.75901272135581777</v>
      </c>
      <c r="AF1034">
        <f>'Revenue drivers'!AF409</f>
        <v>0.66788237747095747</v>
      </c>
      <c r="AG1034">
        <f>'Revenue drivers'!AG409</f>
        <v>0.68791423001949314</v>
      </c>
      <c r="AH1034">
        <f>'Revenue drivers'!AH409</f>
        <v>0.63993932207519899</v>
      </c>
      <c r="AI1034">
        <f>'Revenue drivers'!AI409</f>
        <v>0.61523906775588677</v>
      </c>
      <c r="AJ1034">
        <f>'Revenue drivers'!AJ409</f>
        <v>0.59121234971976189</v>
      </c>
      <c r="AK1034">
        <f>'Revenue drivers'!AK409</f>
        <v>0.52480886938445548</v>
      </c>
      <c r="AL1034">
        <f>'Revenue drivers'!AL409</f>
        <v>0.52917211221830063</v>
      </c>
      <c r="AM1034">
        <f>'Revenue drivers'!AM409</f>
        <v>0.50018222048678895</v>
      </c>
      <c r="AN1034">
        <f>'Revenue drivers'!AN409</f>
        <v>0.4490608129398177</v>
      </c>
      <c r="AO1034">
        <f>'Revenue drivers'!AO409</f>
        <v>0.42411189003977823</v>
      </c>
      <c r="AP1034">
        <f>'Revenue drivers'!AP409</f>
        <v>0.38147043034757688</v>
      </c>
      <c r="AQ1034">
        <f>'Revenue drivers'!AQ409</f>
        <v>0.3423488466348461</v>
      </c>
      <c r="AR1034">
        <f>'Revenue drivers'!AR409</f>
        <v>0.332870027691065</v>
      </c>
      <c r="AS1034">
        <f>'Revenue drivers'!AS409</f>
        <v>0.31519403414507408</v>
      </c>
      <c r="AT1034">
        <f>'Revenue drivers'!AT409</f>
        <v>0.31438357691078922</v>
      </c>
      <c r="AU1034">
        <f>'Revenue drivers'!AU409</f>
        <v>0.31090894065646713</v>
      </c>
      <c r="AV1034">
        <f>'Revenue drivers'!AV409</f>
        <v>0.31851124523028851</v>
      </c>
      <c r="AW1034">
        <f>'Revenue drivers'!AW409</f>
        <v>0.30538868400621122</v>
      </c>
      <c r="AX1034">
        <f>'Revenue drivers'!AX409</f>
        <v>0.29326117375016159</v>
      </c>
      <c r="AY1034">
        <f>'Revenue drivers'!AY409</f>
        <v>0.28207324335717732</v>
      </c>
      <c r="AZ1034">
        <f>'Revenue drivers'!AZ409</f>
        <v>0.27171381388465932</v>
      </c>
      <c r="BA1034">
        <f>'Revenue drivers'!BA409</f>
        <v>0.26205093034018634</v>
      </c>
      <c r="BB1034">
        <f>'Revenue drivers'!BB409</f>
        <v>0.25301639105412699</v>
      </c>
      <c r="BC1034">
        <f>'Revenue drivers'!BC409</f>
        <v>0.24459062343597093</v>
      </c>
      <c r="BD1034">
        <f>'Revenue drivers'!BD409</f>
        <v>0.23670994094056641</v>
      </c>
      <c r="BE1034">
        <f>'Revenue drivers'!BE409</f>
        <v>0</v>
      </c>
      <c r="BF1034">
        <f>'Revenue drivers'!BF409</f>
        <v>0</v>
      </c>
      <c r="BG1034">
        <f>'Revenue drivers'!BG409</f>
        <v>0</v>
      </c>
      <c r="BH1034">
        <f>'Revenue drivers'!BH409</f>
        <v>0</v>
      </c>
      <c r="BI1034">
        <f>'Revenue drivers'!BI409</f>
        <v>0</v>
      </c>
      <c r="BJ1034">
        <f>'Revenue drivers'!BJ409</f>
        <v>0</v>
      </c>
      <c r="BK1034">
        <f>'Revenue drivers'!BK409</f>
        <v>0</v>
      </c>
      <c r="BL1034">
        <f>'Revenue drivers'!BL409</f>
        <v>0</v>
      </c>
      <c r="BM1034">
        <f>'Revenue drivers'!BM409</f>
        <v>0</v>
      </c>
      <c r="BN1034">
        <f>'Revenue drivers'!BN409</f>
        <v>0.66788237747095747</v>
      </c>
      <c r="BO1034">
        <f>'Revenue drivers'!BO409</f>
        <v>0.59121234971976189</v>
      </c>
      <c r="BP1034">
        <f>'Revenue drivers'!BP409</f>
        <v>0.4490608129398177</v>
      </c>
      <c r="BQ1034">
        <f>'Revenue drivers'!BQ409</f>
        <v>0.332870027691065</v>
      </c>
      <c r="BR1034">
        <f>'Revenue drivers'!BR409</f>
        <v>0.31851124523028851</v>
      </c>
      <c r="BS1034">
        <f>'Revenue drivers'!BS409</f>
        <v>0.27171381388465932</v>
      </c>
      <c r="BT1034">
        <f>'Revenue drivers'!BT409</f>
        <v>0.23670994094056641</v>
      </c>
      <c r="BU1034">
        <f>'Revenue drivers'!BU409</f>
        <v>0.19162617827869921</v>
      </c>
      <c r="BV1034">
        <f>'Revenue drivers'!BV409</f>
        <v>0.17489516279674078</v>
      </c>
      <c r="BW1034">
        <f>'Revenue drivers'!BW409</f>
        <v>0.16084811927231701</v>
      </c>
      <c r="BX1034">
        <f>'Revenue drivers'!BX409</f>
        <v>0.14888770273680563</v>
      </c>
      <c r="BY1034">
        <f>'Revenue drivers'!BY409</f>
        <v>0.13858146477234423</v>
      </c>
    </row>
    <row r="1035" spans="9:77" ht="11.25" customHeight="1">
      <c r="I1035" t="str">
        <f>'Revenue drivers'!I410</f>
        <v>% change Q/Q</v>
      </c>
      <c r="J1035">
        <f>'Revenue drivers'!J410</f>
        <v>0</v>
      </c>
      <c r="K1035">
        <f>'Revenue drivers'!K410</f>
        <v>0</v>
      </c>
      <c r="L1035">
        <f>'Revenue drivers'!L410</f>
        <v>0</v>
      </c>
      <c r="M1035">
        <f>'Revenue drivers'!M410</f>
        <v>0</v>
      </c>
      <c r="N1035">
        <f>'Revenue drivers'!N410</f>
        <v>0</v>
      </c>
      <c r="O1035">
        <f>'Revenue drivers'!O410</f>
        <v>0</v>
      </c>
      <c r="P1035">
        <f>'Revenue drivers'!P410</f>
        <v>0</v>
      </c>
      <c r="Q1035">
        <f>'Revenue drivers'!Q410</f>
        <v>0</v>
      </c>
      <c r="R1035">
        <f>'Revenue drivers'!R410</f>
        <v>0</v>
      </c>
      <c r="S1035">
        <f>'Revenue drivers'!S410</f>
        <v>0</v>
      </c>
      <c r="T1035">
        <f>'Revenue drivers'!T410</f>
        <v>0</v>
      </c>
      <c r="U1035">
        <f>'Revenue drivers'!U410</f>
        <v>0</v>
      </c>
      <c r="V1035">
        <f>'Revenue drivers'!V410</f>
        <v>0</v>
      </c>
      <c r="W1035">
        <f>'Revenue drivers'!W410</f>
        <v>0</v>
      </c>
      <c r="X1035">
        <f>'Revenue drivers'!X410</f>
        <v>0</v>
      </c>
      <c r="Y1035">
        <f>'Revenue drivers'!Y410</f>
        <v>0</v>
      </c>
      <c r="Z1035">
        <f>'Revenue drivers'!Z410</f>
        <v>0</v>
      </c>
      <c r="AA1035" t="str">
        <f>'Revenue drivers'!AA410</f>
        <v>NA</v>
      </c>
      <c r="AB1035">
        <f>'Revenue drivers'!AB410</f>
        <v>0.18452965850978398</v>
      </c>
      <c r="AC1035">
        <f>'Revenue drivers'!AC410</f>
        <v>0.14397977854067889</v>
      </c>
      <c r="AD1035">
        <f>'Revenue drivers'!AD410</f>
        <v>0.13596296296296306</v>
      </c>
      <c r="AE1035">
        <f>'Revenue drivers'!AE410</f>
        <v>0.14272182363247299</v>
      </c>
      <c r="AF1035">
        <f>'Revenue drivers'!AF410</f>
        <v>0.12316194137433922</v>
      </c>
      <c r="AG1035">
        <f>'Revenue drivers'!AG410</f>
        <v>0.15771937705899952</v>
      </c>
      <c r="AH1035">
        <f>'Revenue drivers'!AH410</f>
        <v>0.1036759441044004</v>
      </c>
      <c r="AI1035">
        <f>'Revenue drivers'!AI410</f>
        <v>0.12551050411594744</v>
      </c>
      <c r="AJ1035">
        <f>'Revenue drivers'!AJ410</f>
        <v>0.10645488183559215</v>
      </c>
      <c r="AK1035">
        <f>'Revenue drivers'!AK410</f>
        <v>0.10940615481567062</v>
      </c>
      <c r="AL1035">
        <f>'Revenue drivers'!AL410</f>
        <v>0.10683411445000224</v>
      </c>
      <c r="AM1035">
        <f>'Revenue drivers'!AM410</f>
        <v>0.10417318871744219</v>
      </c>
      <c r="AN1035">
        <f>'Revenue drivers'!AN410</f>
        <v>6.8750441552131836E-2</v>
      </c>
      <c r="AO1035">
        <f>'Revenue drivers'!AO410</f>
        <v>9.0305169974894905E-2</v>
      </c>
      <c r="AP1035">
        <f>'Revenue drivers'!AP410</f>
        <v>7.3692742197324357E-2</v>
      </c>
      <c r="AQ1035">
        <f>'Revenue drivers'!AQ410</f>
        <v>7.2904329908141552E-2</v>
      </c>
      <c r="AR1035">
        <f>'Revenue drivers'!AR410</f>
        <v>6.1203601580573697E-2</v>
      </c>
      <c r="AS1035">
        <f>'Revenue drivers'!AS410</f>
        <v>7.5845975344326355E-2</v>
      </c>
      <c r="AT1035">
        <f>'Revenue drivers'!AT410</f>
        <v>7.3031104425465898E-2</v>
      </c>
      <c r="AU1035">
        <f>'Revenue drivers'!AU410</f>
        <v>7.0068055667040774E-2</v>
      </c>
      <c r="AV1035">
        <f>'Revenue drivers'!AV410</f>
        <v>6.7357799438139354E-2</v>
      </c>
      <c r="AW1035">
        <f>'Revenue drivers'!AW410</f>
        <v>6.513855458458373E-2</v>
      </c>
      <c r="AX1035">
        <f>'Revenue drivers'!AX410</f>
        <v>6.3062276073099E-2</v>
      </c>
      <c r="AY1035">
        <f>'Revenue drivers'!AY410</f>
        <v>6.081095650906998E-2</v>
      </c>
      <c r="AZ1035">
        <f>'Revenue drivers'!AZ410</f>
        <v>5.8733317254681783E-2</v>
      </c>
      <c r="BA1035">
        <f>'Revenue drivers'!BA410</f>
        <v>5.704529515836132E-2</v>
      </c>
      <c r="BB1035">
        <f>'Revenue drivers'!BB410</f>
        <v>5.5452220356788873E-2</v>
      </c>
      <c r="BC1035">
        <f>'Revenue drivers'!BC410</f>
        <v>5.3677652691056954E-2</v>
      </c>
      <c r="BD1035">
        <f>'Revenue drivers'!BD410</f>
        <v>5.2029473465825093E-2</v>
      </c>
      <c r="BE1035">
        <f>'Revenue drivers'!BE410</f>
        <v>0</v>
      </c>
      <c r="BF1035">
        <f>'Revenue drivers'!BF410</f>
        <v>0</v>
      </c>
      <c r="BG1035">
        <f>'Revenue drivers'!BG410</f>
        <v>0</v>
      </c>
      <c r="BH1035">
        <f>'Revenue drivers'!BH410</f>
        <v>0</v>
      </c>
      <c r="BI1035">
        <f>'Revenue drivers'!BI410</f>
        <v>0</v>
      </c>
      <c r="BJ1035">
        <f>'Revenue drivers'!BJ410</f>
        <v>0</v>
      </c>
      <c r="BK1035">
        <f>'Revenue drivers'!BK410</f>
        <v>0</v>
      </c>
      <c r="BL1035">
        <f>'Revenue drivers'!BL410</f>
        <v>0</v>
      </c>
      <c r="BM1035">
        <f>'Revenue drivers'!BM410</f>
        <v>0</v>
      </c>
      <c r="BN1035">
        <f>'Revenue drivers'!BN410</f>
        <v>0</v>
      </c>
      <c r="BO1035">
        <f>'Revenue drivers'!BO410</f>
        <v>0</v>
      </c>
      <c r="BP1035">
        <f>'Revenue drivers'!BP410</f>
        <v>0</v>
      </c>
      <c r="BQ1035">
        <f>'Revenue drivers'!BQ410</f>
        <v>0</v>
      </c>
      <c r="BR1035">
        <f>'Revenue drivers'!BR410</f>
        <v>0</v>
      </c>
      <c r="BS1035">
        <f>'Revenue drivers'!BS410</f>
        <v>0</v>
      </c>
      <c r="BT1035">
        <f>'Revenue drivers'!BT410</f>
        <v>0</v>
      </c>
      <c r="BU1035">
        <f>'Revenue drivers'!BU410</f>
        <v>0</v>
      </c>
      <c r="BV1035">
        <f>'Revenue drivers'!BV410</f>
        <v>0</v>
      </c>
      <c r="BW1035">
        <f>'Revenue drivers'!BW410</f>
        <v>0</v>
      </c>
      <c r="BX1035">
        <f>'Revenue drivers'!BX410</f>
        <v>0</v>
      </c>
      <c r="BY1035">
        <f>'Revenue drivers'!BY410</f>
        <v>0</v>
      </c>
    </row>
    <row r="1036" spans="9:77" ht="11.25" customHeight="1">
      <c r="I1036" t="str">
        <f>'Revenue drivers'!I411</f>
        <v>% of total average monthly unique visitors</v>
      </c>
      <c r="J1036">
        <f>'Revenue drivers'!J411</f>
        <v>0</v>
      </c>
      <c r="K1036">
        <f>'Revenue drivers'!K411</f>
        <v>0</v>
      </c>
      <c r="L1036">
        <f>'Revenue drivers'!L411</f>
        <v>0</v>
      </c>
      <c r="M1036">
        <f>'Revenue drivers'!M411</f>
        <v>0</v>
      </c>
      <c r="N1036">
        <f>'Revenue drivers'!N411</f>
        <v>0</v>
      </c>
      <c r="O1036">
        <f>'Revenue drivers'!O411</f>
        <v>0</v>
      </c>
      <c r="P1036">
        <f>'Revenue drivers'!P411</f>
        <v>0</v>
      </c>
      <c r="Q1036">
        <f>'Revenue drivers'!Q411</f>
        <v>0</v>
      </c>
      <c r="R1036">
        <f>'Revenue drivers'!R411</f>
        <v>0</v>
      </c>
      <c r="S1036">
        <f>'Revenue drivers'!S411</f>
        <v>0</v>
      </c>
      <c r="T1036">
        <f>'Revenue drivers'!T411</f>
        <v>0</v>
      </c>
      <c r="U1036">
        <f>'Revenue drivers'!U411</f>
        <v>0</v>
      </c>
      <c r="V1036">
        <f>'Revenue drivers'!V411</f>
        <v>0</v>
      </c>
      <c r="W1036">
        <f>'Revenue drivers'!W411</f>
        <v>0</v>
      </c>
      <c r="X1036">
        <f>'Revenue drivers'!X411</f>
        <v>0</v>
      </c>
      <c r="Y1036">
        <f>'Revenue drivers'!Y411</f>
        <v>0</v>
      </c>
      <c r="Z1036">
        <f>'Revenue drivers'!Z411</f>
        <v>0</v>
      </c>
      <c r="AA1036">
        <f>'Revenue drivers'!AA411</f>
        <v>0.08</v>
      </c>
      <c r="AB1036">
        <f>'Revenue drivers'!AB411</f>
        <v>8.5000000000000006E-2</v>
      </c>
      <c r="AC1036">
        <f>'Revenue drivers'!AC411</f>
        <v>9.0000000000000011E-2</v>
      </c>
      <c r="AD1036">
        <f>'Revenue drivers'!AD411</f>
        <v>9.5000000000000015E-2</v>
      </c>
      <c r="AE1036">
        <f>'Revenue drivers'!AE411</f>
        <v>0.10000000000000002</v>
      </c>
      <c r="AF1036">
        <f>'Revenue drivers'!AF411</f>
        <v>0.10500000000000002</v>
      </c>
      <c r="AG1036">
        <f>'Revenue drivers'!AG411</f>
        <v>0.11000000000000003</v>
      </c>
      <c r="AH1036">
        <f>'Revenue drivers'!AH411</f>
        <v>0.11500000000000003</v>
      </c>
      <c r="AI1036">
        <f>'Revenue drivers'!AI411</f>
        <v>0.12000000000000004</v>
      </c>
      <c r="AJ1036">
        <f>'Revenue drivers'!AJ411</f>
        <v>0.12500000000000003</v>
      </c>
      <c r="AK1036">
        <f>'Revenue drivers'!AK411</f>
        <v>0.13000000000000003</v>
      </c>
      <c r="AL1036">
        <f>'Revenue drivers'!AL411</f>
        <v>0.13500000000000004</v>
      </c>
      <c r="AM1036">
        <f>'Revenue drivers'!AM411</f>
        <v>0.14000000000000004</v>
      </c>
      <c r="AN1036">
        <f>'Revenue drivers'!AN411</f>
        <v>0.14250000000000004</v>
      </c>
      <c r="AO1036">
        <f>'Revenue drivers'!AO411</f>
        <v>0.14750000000000005</v>
      </c>
      <c r="AP1036">
        <f>'Revenue drivers'!AP411</f>
        <v>0.15000000000000005</v>
      </c>
      <c r="AQ1036">
        <f>'Revenue drivers'!AQ411</f>
        <v>0.15250000000000005</v>
      </c>
      <c r="AR1036">
        <f>'Revenue drivers'!AR411</f>
        <v>0.15500000000000005</v>
      </c>
      <c r="AS1036">
        <f>'Revenue drivers'!AS411</f>
        <v>0.16000000000000006</v>
      </c>
      <c r="AT1036">
        <f>'Revenue drivers'!AT411</f>
        <v>0.16500000000000006</v>
      </c>
      <c r="AU1036">
        <f>'Revenue drivers'!AU411</f>
        <v>0.17000000000000007</v>
      </c>
      <c r="AV1036">
        <f>'Revenue drivers'!AV411</f>
        <v>0.17500000000000007</v>
      </c>
      <c r="AW1036">
        <f>'Revenue drivers'!AW411</f>
        <v>0.18000000000000008</v>
      </c>
      <c r="AX1036">
        <f>'Revenue drivers'!AX411</f>
        <v>0.18500000000000008</v>
      </c>
      <c r="AY1036">
        <f>'Revenue drivers'!AY411</f>
        <v>0.19000000000000009</v>
      </c>
      <c r="AZ1036">
        <f>'Revenue drivers'!AZ411</f>
        <v>0.19500000000000009</v>
      </c>
      <c r="BA1036">
        <f>'Revenue drivers'!BA411</f>
        <v>0.20000000000000009</v>
      </c>
      <c r="BB1036">
        <f>'Revenue drivers'!BB411</f>
        <v>0.2050000000000001</v>
      </c>
      <c r="BC1036">
        <f>'Revenue drivers'!BC411</f>
        <v>0.2100000000000001</v>
      </c>
      <c r="BD1036">
        <f>'Revenue drivers'!BD411</f>
        <v>0.21500000000000011</v>
      </c>
      <c r="BE1036">
        <f>'Revenue drivers'!BE411</f>
        <v>0</v>
      </c>
      <c r="BF1036">
        <f>'Revenue drivers'!BF411</f>
        <v>0</v>
      </c>
      <c r="BG1036">
        <f>'Revenue drivers'!BG411</f>
        <v>0</v>
      </c>
      <c r="BH1036">
        <f>'Revenue drivers'!BH411</f>
        <v>0</v>
      </c>
      <c r="BI1036">
        <f>'Revenue drivers'!BI411</f>
        <v>0</v>
      </c>
      <c r="BJ1036">
        <f>'Revenue drivers'!BJ411</f>
        <v>0</v>
      </c>
      <c r="BK1036">
        <f>'Revenue drivers'!BK411</f>
        <v>0</v>
      </c>
      <c r="BL1036">
        <f>'Revenue drivers'!BL411</f>
        <v>0</v>
      </c>
      <c r="BM1036">
        <f>'Revenue drivers'!BM411</f>
        <v>8.5000000000000006E-2</v>
      </c>
      <c r="BN1036">
        <f>'Revenue drivers'!BN411</f>
        <v>0.10500000000000002</v>
      </c>
      <c r="BO1036">
        <f>'Revenue drivers'!BO411</f>
        <v>0.12500000000000003</v>
      </c>
      <c r="BP1036">
        <f>'Revenue drivers'!BP411</f>
        <v>0.14250000000000004</v>
      </c>
      <c r="BQ1036">
        <f>'Revenue drivers'!BQ411</f>
        <v>0.15500000000000005</v>
      </c>
      <c r="BR1036">
        <f>'Revenue drivers'!BR411</f>
        <v>0.17500000000000007</v>
      </c>
      <c r="BS1036">
        <f>'Revenue drivers'!BS411</f>
        <v>0.19500000000000009</v>
      </c>
      <c r="BT1036">
        <f>'Revenue drivers'!BT411</f>
        <v>0.21500000000000011</v>
      </c>
      <c r="BU1036">
        <f>'Revenue drivers'!BU411</f>
        <v>0.2350000000000001</v>
      </c>
      <c r="BV1036">
        <f>'Revenue drivers'!BV411</f>
        <v>0.25500000000000012</v>
      </c>
      <c r="BW1036">
        <f>'Revenue drivers'!BW411</f>
        <v>0.27500000000000013</v>
      </c>
      <c r="BX1036">
        <f>'Revenue drivers'!BX411</f>
        <v>0.29500000000000015</v>
      </c>
      <c r="BY1036">
        <f>'Revenue drivers'!BY411</f>
        <v>0.31500000000000017</v>
      </c>
    </row>
    <row r="1037" spans="9:77" ht="11.25" customHeight="1">
      <c r="I1037">
        <f>'Revenue drivers'!I412</f>
        <v>0</v>
      </c>
      <c r="J1037">
        <f>'Revenue drivers'!J412</f>
        <v>0</v>
      </c>
      <c r="K1037">
        <f>'Revenue drivers'!K412</f>
        <v>0</v>
      </c>
      <c r="L1037">
        <f>'Revenue drivers'!L412</f>
        <v>0</v>
      </c>
      <c r="M1037">
        <f>'Revenue drivers'!M412</f>
        <v>0</v>
      </c>
      <c r="N1037">
        <f>'Revenue drivers'!N412</f>
        <v>0</v>
      </c>
      <c r="O1037">
        <f>'Revenue drivers'!O412</f>
        <v>0</v>
      </c>
      <c r="P1037">
        <f>'Revenue drivers'!P412</f>
        <v>0</v>
      </c>
      <c r="Q1037">
        <f>'Revenue drivers'!Q412</f>
        <v>0</v>
      </c>
      <c r="R1037">
        <f>'Revenue drivers'!R412</f>
        <v>0</v>
      </c>
      <c r="S1037">
        <f>'Revenue drivers'!S412</f>
        <v>0</v>
      </c>
      <c r="T1037">
        <f>'Revenue drivers'!T412</f>
        <v>0</v>
      </c>
      <c r="U1037">
        <f>'Revenue drivers'!U412</f>
        <v>0</v>
      </c>
      <c r="V1037">
        <f>'Revenue drivers'!V412</f>
        <v>0</v>
      </c>
      <c r="W1037">
        <f>'Revenue drivers'!W412</f>
        <v>0</v>
      </c>
      <c r="X1037">
        <f>'Revenue drivers'!X412</f>
        <v>0</v>
      </c>
      <c r="Y1037">
        <f>'Revenue drivers'!Y412</f>
        <v>0</v>
      </c>
      <c r="Z1037">
        <f>'Revenue drivers'!Z412</f>
        <v>0</v>
      </c>
      <c r="AA1037">
        <f>'Revenue drivers'!AA412</f>
        <v>0</v>
      </c>
      <c r="AB1037">
        <f>'Revenue drivers'!AB412</f>
        <v>0</v>
      </c>
      <c r="AC1037">
        <f>'Revenue drivers'!AC412</f>
        <v>0</v>
      </c>
      <c r="AD1037">
        <f>'Revenue drivers'!AD412</f>
        <v>0</v>
      </c>
      <c r="AE1037">
        <f>'Revenue drivers'!AE412</f>
        <v>0</v>
      </c>
      <c r="AF1037">
        <f>'Revenue drivers'!AF412</f>
        <v>0</v>
      </c>
      <c r="AG1037">
        <f>'Revenue drivers'!AG412</f>
        <v>0</v>
      </c>
      <c r="AH1037">
        <f>'Revenue drivers'!AH412</f>
        <v>0</v>
      </c>
      <c r="AI1037">
        <f>'Revenue drivers'!AI412</f>
        <v>0</v>
      </c>
      <c r="AJ1037">
        <f>'Revenue drivers'!AJ412</f>
        <v>0</v>
      </c>
      <c r="AK1037">
        <f>'Revenue drivers'!AK412</f>
        <v>0</v>
      </c>
      <c r="AL1037">
        <f>'Revenue drivers'!AL412</f>
        <v>0</v>
      </c>
      <c r="AM1037">
        <f>'Revenue drivers'!AM412</f>
        <v>0</v>
      </c>
      <c r="AN1037">
        <f>'Revenue drivers'!AN412</f>
        <v>0</v>
      </c>
      <c r="AO1037">
        <f>'Revenue drivers'!AO412</f>
        <v>0</v>
      </c>
      <c r="AP1037">
        <f>'Revenue drivers'!AP412</f>
        <v>0</v>
      </c>
      <c r="AQ1037">
        <f>'Revenue drivers'!AQ412</f>
        <v>0</v>
      </c>
      <c r="AR1037">
        <f>'Revenue drivers'!AR412</f>
        <v>0</v>
      </c>
      <c r="AS1037">
        <f>'Revenue drivers'!AS412</f>
        <v>0</v>
      </c>
      <c r="AT1037">
        <f>'Revenue drivers'!AT412</f>
        <v>0</v>
      </c>
      <c r="AU1037">
        <f>'Revenue drivers'!AU412</f>
        <v>0</v>
      </c>
      <c r="AV1037">
        <f>'Revenue drivers'!AV412</f>
        <v>0</v>
      </c>
      <c r="AW1037">
        <f>'Revenue drivers'!AW412</f>
        <v>0</v>
      </c>
      <c r="AX1037">
        <f>'Revenue drivers'!AX412</f>
        <v>0</v>
      </c>
      <c r="AY1037">
        <f>'Revenue drivers'!AY412</f>
        <v>0</v>
      </c>
      <c r="AZ1037">
        <f>'Revenue drivers'!AZ412</f>
        <v>0</v>
      </c>
      <c r="BA1037">
        <f>'Revenue drivers'!BA412</f>
        <v>0</v>
      </c>
      <c r="BB1037">
        <f>'Revenue drivers'!BB412</f>
        <v>0</v>
      </c>
      <c r="BC1037">
        <f>'Revenue drivers'!BC412</f>
        <v>0</v>
      </c>
      <c r="BD1037">
        <f>'Revenue drivers'!BD412</f>
        <v>0</v>
      </c>
      <c r="BE1037">
        <f>'Revenue drivers'!BE412</f>
        <v>0</v>
      </c>
      <c r="BF1037">
        <f>'Revenue drivers'!BF412</f>
        <v>0</v>
      </c>
      <c r="BG1037">
        <f>'Revenue drivers'!BG412</f>
        <v>0</v>
      </c>
      <c r="BH1037">
        <f>'Revenue drivers'!BH412</f>
        <v>0</v>
      </c>
      <c r="BI1037">
        <f>'Revenue drivers'!BI412</f>
        <v>0</v>
      </c>
      <c r="BJ1037">
        <f>'Revenue drivers'!BJ412</f>
        <v>0</v>
      </c>
      <c r="BK1037">
        <f>'Revenue drivers'!BK412</f>
        <v>0</v>
      </c>
      <c r="BL1037">
        <f>'Revenue drivers'!BL412</f>
        <v>0</v>
      </c>
      <c r="BM1037">
        <f>'Revenue drivers'!BM412</f>
        <v>0</v>
      </c>
      <c r="BN1037">
        <f>'Revenue drivers'!BN412</f>
        <v>0</v>
      </c>
      <c r="BO1037">
        <f>'Revenue drivers'!BO412</f>
        <v>0</v>
      </c>
      <c r="BP1037">
        <f>'Revenue drivers'!BP412</f>
        <v>0</v>
      </c>
      <c r="BQ1037">
        <f>'Revenue drivers'!BQ412</f>
        <v>0</v>
      </c>
      <c r="BR1037">
        <f>'Revenue drivers'!BR412</f>
        <v>0</v>
      </c>
      <c r="BS1037">
        <f>'Revenue drivers'!BS412</f>
        <v>0</v>
      </c>
      <c r="BT1037">
        <f>'Revenue drivers'!BT412</f>
        <v>0</v>
      </c>
      <c r="BU1037">
        <f>'Revenue drivers'!BU412</f>
        <v>0</v>
      </c>
      <c r="BV1037">
        <f>'Revenue drivers'!BV412</f>
        <v>0</v>
      </c>
      <c r="BW1037">
        <f>'Revenue drivers'!BW412</f>
        <v>0</v>
      </c>
      <c r="BX1037">
        <f>'Revenue drivers'!BX412</f>
        <v>0</v>
      </c>
      <c r="BY1037">
        <f>'Revenue drivers'!BY412</f>
        <v>0</v>
      </c>
    </row>
    <row r="1038" spans="9:77" ht="11.25" customHeight="1">
      <c r="I1038">
        <f>'Revenue drivers'!I413</f>
        <v>0</v>
      </c>
      <c r="J1038">
        <f>'Revenue drivers'!J413</f>
        <v>0</v>
      </c>
      <c r="K1038">
        <f>'Revenue drivers'!K413</f>
        <v>0</v>
      </c>
      <c r="L1038">
        <f>'Revenue drivers'!L413</f>
        <v>0</v>
      </c>
      <c r="M1038">
        <f>'Revenue drivers'!M413</f>
        <v>0</v>
      </c>
      <c r="N1038">
        <f>'Revenue drivers'!N413</f>
        <v>0</v>
      </c>
      <c r="O1038">
        <f>'Revenue drivers'!O413</f>
        <v>0</v>
      </c>
      <c r="P1038">
        <f>'Revenue drivers'!P413</f>
        <v>0</v>
      </c>
      <c r="Q1038">
        <f>'Revenue drivers'!Q413</f>
        <v>0</v>
      </c>
      <c r="R1038">
        <f>'Revenue drivers'!R413</f>
        <v>0</v>
      </c>
      <c r="S1038">
        <f>'Revenue drivers'!S413</f>
        <v>0</v>
      </c>
      <c r="T1038">
        <f>'Revenue drivers'!T413</f>
        <v>0</v>
      </c>
      <c r="U1038">
        <f>'Revenue drivers'!U413</f>
        <v>0</v>
      </c>
      <c r="V1038">
        <f>'Revenue drivers'!V413</f>
        <v>0</v>
      </c>
      <c r="W1038">
        <f>'Revenue drivers'!W413</f>
        <v>0</v>
      </c>
      <c r="X1038">
        <f>'Revenue drivers'!X413</f>
        <v>0</v>
      </c>
      <c r="Y1038">
        <f>'Revenue drivers'!Y413</f>
        <v>0</v>
      </c>
      <c r="Z1038">
        <f>'Revenue drivers'!Z413</f>
        <v>0</v>
      </c>
      <c r="AA1038">
        <f>'Revenue drivers'!AA413</f>
        <v>0</v>
      </c>
      <c r="AB1038">
        <f>'Revenue drivers'!AB413</f>
        <v>0</v>
      </c>
      <c r="AC1038">
        <f>'Revenue drivers'!AC413</f>
        <v>0</v>
      </c>
      <c r="AD1038">
        <f>'Revenue drivers'!AD413</f>
        <v>0</v>
      </c>
      <c r="AE1038">
        <f>'Revenue drivers'!AE413</f>
        <v>0</v>
      </c>
      <c r="AF1038">
        <f>'Revenue drivers'!AF413</f>
        <v>0</v>
      </c>
      <c r="AG1038">
        <f>'Revenue drivers'!AG413</f>
        <v>0</v>
      </c>
      <c r="AH1038">
        <f>'Revenue drivers'!AH413</f>
        <v>0</v>
      </c>
      <c r="AI1038">
        <f>'Revenue drivers'!AI413</f>
        <v>0</v>
      </c>
      <c r="AJ1038">
        <f>'Revenue drivers'!AJ413</f>
        <v>0</v>
      </c>
      <c r="AK1038">
        <f>'Revenue drivers'!AK413</f>
        <v>0</v>
      </c>
      <c r="AL1038">
        <f>'Revenue drivers'!AL413</f>
        <v>0</v>
      </c>
      <c r="AM1038">
        <f>'Revenue drivers'!AM413</f>
        <v>0</v>
      </c>
      <c r="AN1038">
        <f>'Revenue drivers'!AN413</f>
        <v>0</v>
      </c>
      <c r="AO1038">
        <f>'Revenue drivers'!AO413</f>
        <v>0</v>
      </c>
      <c r="AP1038">
        <f>'Revenue drivers'!AP413</f>
        <v>0</v>
      </c>
      <c r="AQ1038">
        <f>'Revenue drivers'!AQ413</f>
        <v>0</v>
      </c>
      <c r="AR1038">
        <f>'Revenue drivers'!AR413</f>
        <v>0</v>
      </c>
      <c r="AS1038">
        <f>'Revenue drivers'!AS413</f>
        <v>0</v>
      </c>
      <c r="AT1038">
        <f>'Revenue drivers'!AT413</f>
        <v>0</v>
      </c>
      <c r="AU1038">
        <f>'Revenue drivers'!AU413</f>
        <v>0</v>
      </c>
      <c r="AV1038">
        <f>'Revenue drivers'!AV413</f>
        <v>0</v>
      </c>
      <c r="AW1038">
        <f>'Revenue drivers'!AW413</f>
        <v>0</v>
      </c>
      <c r="AX1038">
        <f>'Revenue drivers'!AX413</f>
        <v>0</v>
      </c>
      <c r="AY1038">
        <f>'Revenue drivers'!AY413</f>
        <v>0</v>
      </c>
      <c r="AZ1038">
        <f>'Revenue drivers'!AZ413</f>
        <v>0</v>
      </c>
      <c r="BA1038">
        <f>'Revenue drivers'!BA413</f>
        <v>0</v>
      </c>
      <c r="BB1038">
        <f>'Revenue drivers'!BB413</f>
        <v>0</v>
      </c>
      <c r="BC1038">
        <f>'Revenue drivers'!BC413</f>
        <v>0</v>
      </c>
      <c r="BD1038">
        <f>'Revenue drivers'!BD413</f>
        <v>0</v>
      </c>
      <c r="BE1038">
        <f>'Revenue drivers'!BE413</f>
        <v>0</v>
      </c>
      <c r="BF1038">
        <f>'Revenue drivers'!BF413</f>
        <v>0</v>
      </c>
      <c r="BG1038">
        <f>'Revenue drivers'!BG413</f>
        <v>0</v>
      </c>
      <c r="BH1038">
        <f>'Revenue drivers'!BH413</f>
        <v>0</v>
      </c>
      <c r="BI1038">
        <f>'Revenue drivers'!BI413</f>
        <v>0</v>
      </c>
      <c r="BJ1038">
        <f>'Revenue drivers'!BJ413</f>
        <v>0</v>
      </c>
      <c r="BK1038">
        <f>'Revenue drivers'!BK413</f>
        <v>0</v>
      </c>
      <c r="BL1038">
        <f>'Revenue drivers'!BL413</f>
        <v>0</v>
      </c>
      <c r="BM1038">
        <f>'Revenue drivers'!BM413</f>
        <v>0</v>
      </c>
      <c r="BN1038">
        <f>'Revenue drivers'!BN413</f>
        <v>0</v>
      </c>
      <c r="BO1038">
        <f>'Revenue drivers'!BO413</f>
        <v>0</v>
      </c>
      <c r="BP1038">
        <f>'Revenue drivers'!BP413</f>
        <v>0</v>
      </c>
      <c r="BQ1038">
        <f>'Revenue drivers'!BQ413</f>
        <v>0</v>
      </c>
      <c r="BR1038">
        <f>'Revenue drivers'!BR413</f>
        <v>0</v>
      </c>
      <c r="BS1038">
        <f>'Revenue drivers'!BS413</f>
        <v>0</v>
      </c>
      <c r="BT1038">
        <f>'Revenue drivers'!BT413</f>
        <v>0</v>
      </c>
      <c r="BU1038">
        <f>'Revenue drivers'!BU413</f>
        <v>0</v>
      </c>
      <c r="BV1038">
        <f>'Revenue drivers'!BV413</f>
        <v>0</v>
      </c>
      <c r="BW1038">
        <f>'Revenue drivers'!BW413</f>
        <v>0</v>
      </c>
      <c r="BX1038">
        <f>'Revenue drivers'!BX413</f>
        <v>0</v>
      </c>
      <c r="BY1038">
        <f>'Revenue drivers'!BY413</f>
        <v>0</v>
      </c>
    </row>
    <row r="1039" spans="9:77" ht="11.25" customHeight="1">
      <c r="I1039" t="str">
        <f>'Revenue drivers'!I414</f>
        <v>Claimed locations (millions)</v>
      </c>
      <c r="J1039">
        <f>'Revenue drivers'!J414</f>
        <v>0</v>
      </c>
      <c r="K1039">
        <f>'Revenue drivers'!K414</f>
        <v>0</v>
      </c>
      <c r="L1039">
        <f>'Revenue drivers'!L414</f>
        <v>0</v>
      </c>
      <c r="M1039">
        <f>'Revenue drivers'!M414</f>
        <v>0</v>
      </c>
      <c r="N1039">
        <f>'Revenue drivers'!N414</f>
        <v>0</v>
      </c>
      <c r="O1039">
        <f>'Revenue drivers'!O414</f>
        <v>0</v>
      </c>
      <c r="P1039">
        <f>'Revenue drivers'!P414</f>
        <v>0</v>
      </c>
      <c r="Q1039">
        <f>'Revenue drivers'!Q414</f>
        <v>0</v>
      </c>
      <c r="R1039">
        <f>'Revenue drivers'!R414</f>
        <v>0</v>
      </c>
      <c r="S1039">
        <f>'Revenue drivers'!S414</f>
        <v>0</v>
      </c>
      <c r="T1039">
        <f>'Revenue drivers'!T414</f>
        <v>0</v>
      </c>
      <c r="U1039">
        <f>'Revenue drivers'!U414</f>
        <v>0</v>
      </c>
      <c r="V1039">
        <f>'Revenue drivers'!V414</f>
        <v>0</v>
      </c>
      <c r="W1039">
        <f>'Revenue drivers'!W414</f>
        <v>0</v>
      </c>
      <c r="X1039">
        <f>'Revenue drivers'!X414</f>
        <v>0</v>
      </c>
      <c r="Y1039">
        <f>'Revenue drivers'!Y414</f>
        <v>0</v>
      </c>
      <c r="Z1039">
        <f>'Revenue drivers'!Z414</f>
        <v>0</v>
      </c>
      <c r="AA1039">
        <f>'Revenue drivers'!AA414</f>
        <v>0</v>
      </c>
      <c r="AB1039">
        <f>'Revenue drivers'!AB414</f>
        <v>0</v>
      </c>
      <c r="AC1039">
        <f>'Revenue drivers'!AC414</f>
        <v>0</v>
      </c>
      <c r="AD1039">
        <f>'Revenue drivers'!AD414</f>
        <v>0</v>
      </c>
      <c r="AE1039">
        <f>'Revenue drivers'!AE414</f>
        <v>0</v>
      </c>
      <c r="AF1039">
        <f>'Revenue drivers'!AF414</f>
        <v>0</v>
      </c>
      <c r="AG1039">
        <f>'Revenue drivers'!AG414</f>
        <v>0</v>
      </c>
      <c r="AH1039">
        <f>'Revenue drivers'!AH414</f>
        <v>0</v>
      </c>
      <c r="AI1039">
        <f>'Revenue drivers'!AI414</f>
        <v>0</v>
      </c>
      <c r="AJ1039">
        <f>'Revenue drivers'!AJ414</f>
        <v>0</v>
      </c>
      <c r="AK1039">
        <f>'Revenue drivers'!AK414</f>
        <v>0</v>
      </c>
      <c r="AL1039">
        <f>'Revenue drivers'!AL414</f>
        <v>0</v>
      </c>
      <c r="AM1039">
        <f>'Revenue drivers'!AM414</f>
        <v>0</v>
      </c>
      <c r="AN1039">
        <f>'Revenue drivers'!AN414</f>
        <v>0</v>
      </c>
      <c r="AO1039">
        <f>'Revenue drivers'!AO414</f>
        <v>0</v>
      </c>
      <c r="AP1039">
        <f>'Revenue drivers'!AP414</f>
        <v>0</v>
      </c>
      <c r="AQ1039">
        <f>'Revenue drivers'!AQ414</f>
        <v>0</v>
      </c>
      <c r="AR1039">
        <f>'Revenue drivers'!AR414</f>
        <v>0</v>
      </c>
      <c r="AS1039">
        <f>'Revenue drivers'!AS414</f>
        <v>0</v>
      </c>
      <c r="AT1039">
        <f>'Revenue drivers'!AT414</f>
        <v>0</v>
      </c>
      <c r="AU1039">
        <f>'Revenue drivers'!AU414</f>
        <v>0</v>
      </c>
      <c r="AV1039">
        <f>'Revenue drivers'!AV414</f>
        <v>0</v>
      </c>
      <c r="AW1039">
        <f>'Revenue drivers'!AW414</f>
        <v>0</v>
      </c>
      <c r="AX1039">
        <f>'Revenue drivers'!AX414</f>
        <v>0</v>
      </c>
      <c r="AY1039">
        <f>'Revenue drivers'!AY414</f>
        <v>0</v>
      </c>
      <c r="AZ1039">
        <f>'Revenue drivers'!AZ414</f>
        <v>0</v>
      </c>
      <c r="BA1039">
        <f>'Revenue drivers'!BA414</f>
        <v>0</v>
      </c>
      <c r="BB1039">
        <f>'Revenue drivers'!BB414</f>
        <v>0</v>
      </c>
      <c r="BC1039">
        <f>'Revenue drivers'!BC414</f>
        <v>0</v>
      </c>
      <c r="BD1039">
        <f>'Revenue drivers'!BD414</f>
        <v>0</v>
      </c>
      <c r="BE1039">
        <f>'Revenue drivers'!BE414</f>
        <v>0</v>
      </c>
      <c r="BF1039">
        <f>'Revenue drivers'!BF414</f>
        <v>0</v>
      </c>
      <c r="BG1039">
        <f>'Revenue drivers'!BG414</f>
        <v>0</v>
      </c>
      <c r="BH1039">
        <f>'Revenue drivers'!BH414</f>
        <v>0</v>
      </c>
      <c r="BI1039">
        <f>'Revenue drivers'!BI414</f>
        <v>0</v>
      </c>
      <c r="BJ1039">
        <f>'Revenue drivers'!BJ414</f>
        <v>0</v>
      </c>
      <c r="BK1039">
        <f>'Revenue drivers'!BK414</f>
        <v>0</v>
      </c>
      <c r="BL1039">
        <f>'Revenue drivers'!BL414</f>
        <v>0</v>
      </c>
      <c r="BM1039">
        <f>'Revenue drivers'!BM414</f>
        <v>0</v>
      </c>
      <c r="BN1039">
        <f>'Revenue drivers'!BN414</f>
        <v>0</v>
      </c>
      <c r="BO1039">
        <f>'Revenue drivers'!BO414</f>
        <v>0</v>
      </c>
      <c r="BP1039">
        <f>'Revenue drivers'!BP414</f>
        <v>0</v>
      </c>
      <c r="BQ1039">
        <f>'Revenue drivers'!BQ414</f>
        <v>0</v>
      </c>
      <c r="BR1039">
        <f>'Revenue drivers'!BR414</f>
        <v>0</v>
      </c>
      <c r="BS1039">
        <f>'Revenue drivers'!BS414</f>
        <v>0</v>
      </c>
      <c r="BT1039">
        <f>'Revenue drivers'!BT414</f>
        <v>0</v>
      </c>
      <c r="BU1039">
        <f>'Revenue drivers'!BU414</f>
        <v>0</v>
      </c>
      <c r="BV1039">
        <f>'Revenue drivers'!BV414</f>
        <v>0</v>
      </c>
      <c r="BW1039">
        <f>'Revenue drivers'!BW414</f>
        <v>0</v>
      </c>
      <c r="BX1039">
        <f>'Revenue drivers'!BX414</f>
        <v>0</v>
      </c>
      <c r="BY1039">
        <f>'Revenue drivers'!BY414</f>
        <v>0</v>
      </c>
    </row>
    <row r="1040" spans="9:77" ht="11.25" customHeight="1">
      <c r="I1040">
        <f>'Revenue drivers'!I415</f>
        <v>0</v>
      </c>
      <c r="J1040">
        <f>'Revenue drivers'!J415</f>
        <v>0</v>
      </c>
      <c r="K1040">
        <f>'Revenue drivers'!K415</f>
        <v>0</v>
      </c>
      <c r="L1040">
        <f>'Revenue drivers'!L415</f>
        <v>0</v>
      </c>
      <c r="M1040">
        <f>'Revenue drivers'!M415</f>
        <v>0</v>
      </c>
      <c r="N1040">
        <f>'Revenue drivers'!N415</f>
        <v>0</v>
      </c>
      <c r="O1040">
        <f>'Revenue drivers'!O415</f>
        <v>0</v>
      </c>
      <c r="P1040">
        <f>'Revenue drivers'!P415</f>
        <v>0</v>
      </c>
      <c r="Q1040">
        <f>'Revenue drivers'!Q415</f>
        <v>0</v>
      </c>
      <c r="R1040">
        <f>'Revenue drivers'!R415</f>
        <v>0</v>
      </c>
      <c r="S1040">
        <f>'Revenue drivers'!S415</f>
        <v>0</v>
      </c>
      <c r="T1040">
        <f>'Revenue drivers'!T415</f>
        <v>0</v>
      </c>
      <c r="U1040">
        <f>'Revenue drivers'!U415</f>
        <v>0</v>
      </c>
      <c r="V1040">
        <f>'Revenue drivers'!V415</f>
        <v>0</v>
      </c>
      <c r="W1040">
        <f>'Revenue drivers'!W415</f>
        <v>0</v>
      </c>
      <c r="X1040">
        <f>'Revenue drivers'!X415</f>
        <v>0</v>
      </c>
      <c r="Y1040">
        <f>'Revenue drivers'!Y415</f>
        <v>0</v>
      </c>
      <c r="Z1040">
        <f>'Revenue drivers'!Z415</f>
        <v>0</v>
      </c>
      <c r="AA1040">
        <f>'Revenue drivers'!AA415</f>
        <v>0</v>
      </c>
      <c r="AB1040">
        <f>'Revenue drivers'!AB415</f>
        <v>0</v>
      </c>
      <c r="AC1040">
        <f>'Revenue drivers'!AC415</f>
        <v>0</v>
      </c>
      <c r="AD1040">
        <f>'Revenue drivers'!AD415</f>
        <v>0</v>
      </c>
      <c r="AE1040">
        <f>'Revenue drivers'!AE415</f>
        <v>0</v>
      </c>
      <c r="AF1040">
        <f>'Revenue drivers'!AF415</f>
        <v>0</v>
      </c>
      <c r="AG1040">
        <f>'Revenue drivers'!AG415</f>
        <v>0</v>
      </c>
      <c r="AH1040">
        <f>'Revenue drivers'!AH415</f>
        <v>0</v>
      </c>
      <c r="AI1040">
        <f>'Revenue drivers'!AI415</f>
        <v>0</v>
      </c>
      <c r="AJ1040">
        <f>'Revenue drivers'!AJ415</f>
        <v>0</v>
      </c>
      <c r="AK1040">
        <f>'Revenue drivers'!AK415</f>
        <v>0</v>
      </c>
      <c r="AL1040">
        <f>'Revenue drivers'!AL415</f>
        <v>0</v>
      </c>
      <c r="AM1040">
        <f>'Revenue drivers'!AM415</f>
        <v>0</v>
      </c>
      <c r="AN1040">
        <f>'Revenue drivers'!AN415</f>
        <v>0</v>
      </c>
      <c r="AO1040">
        <f>'Revenue drivers'!AO415</f>
        <v>0</v>
      </c>
      <c r="AP1040">
        <f>'Revenue drivers'!AP415</f>
        <v>0</v>
      </c>
      <c r="AQ1040">
        <f>'Revenue drivers'!AQ415</f>
        <v>0</v>
      </c>
      <c r="AR1040">
        <f>'Revenue drivers'!AR415</f>
        <v>0</v>
      </c>
      <c r="AS1040">
        <f>'Revenue drivers'!AS415</f>
        <v>0</v>
      </c>
      <c r="AT1040">
        <f>'Revenue drivers'!AT415</f>
        <v>0</v>
      </c>
      <c r="AU1040">
        <f>'Revenue drivers'!AU415</f>
        <v>0</v>
      </c>
      <c r="AV1040">
        <f>'Revenue drivers'!AV415</f>
        <v>0</v>
      </c>
      <c r="AW1040">
        <f>'Revenue drivers'!AW415</f>
        <v>0</v>
      </c>
      <c r="AX1040">
        <f>'Revenue drivers'!AX415</f>
        <v>0</v>
      </c>
      <c r="AY1040">
        <f>'Revenue drivers'!AY415</f>
        <v>0</v>
      </c>
      <c r="AZ1040">
        <f>'Revenue drivers'!AZ415</f>
        <v>0</v>
      </c>
      <c r="BA1040">
        <f>'Revenue drivers'!BA415</f>
        <v>0</v>
      </c>
      <c r="BB1040">
        <f>'Revenue drivers'!BB415</f>
        <v>0</v>
      </c>
      <c r="BC1040">
        <f>'Revenue drivers'!BC415</f>
        <v>0</v>
      </c>
      <c r="BD1040">
        <f>'Revenue drivers'!BD415</f>
        <v>0</v>
      </c>
      <c r="BE1040">
        <f>'Revenue drivers'!BE415</f>
        <v>0</v>
      </c>
      <c r="BF1040">
        <f>'Revenue drivers'!BF415</f>
        <v>0</v>
      </c>
      <c r="BG1040">
        <f>'Revenue drivers'!BG415</f>
        <v>0</v>
      </c>
      <c r="BH1040">
        <f>'Revenue drivers'!BH415</f>
        <v>0</v>
      </c>
      <c r="BI1040">
        <f>'Revenue drivers'!BI415</f>
        <v>0</v>
      </c>
      <c r="BJ1040">
        <f>'Revenue drivers'!BJ415</f>
        <v>0</v>
      </c>
      <c r="BK1040">
        <f>'Revenue drivers'!BK415</f>
        <v>0</v>
      </c>
      <c r="BL1040">
        <f>'Revenue drivers'!BL415</f>
        <v>0</v>
      </c>
      <c r="BM1040">
        <f>'Revenue drivers'!BM415</f>
        <v>0</v>
      </c>
      <c r="BN1040">
        <f>'Revenue drivers'!BN415</f>
        <v>0</v>
      </c>
      <c r="BO1040">
        <f>'Revenue drivers'!BO415</f>
        <v>0</v>
      </c>
      <c r="BP1040">
        <f>'Revenue drivers'!BP415</f>
        <v>0</v>
      </c>
      <c r="BQ1040">
        <f>'Revenue drivers'!BQ415</f>
        <v>0</v>
      </c>
      <c r="BR1040">
        <f>'Revenue drivers'!BR415</f>
        <v>0</v>
      </c>
      <c r="BS1040">
        <f>'Revenue drivers'!BS415</f>
        <v>0</v>
      </c>
      <c r="BT1040">
        <f>'Revenue drivers'!BT415</f>
        <v>0</v>
      </c>
      <c r="BU1040">
        <f>'Revenue drivers'!BU415</f>
        <v>0</v>
      </c>
      <c r="BV1040">
        <f>'Revenue drivers'!BV415</f>
        <v>0</v>
      </c>
      <c r="BW1040">
        <f>'Revenue drivers'!BW415</f>
        <v>0</v>
      </c>
      <c r="BX1040">
        <f>'Revenue drivers'!BX415</f>
        <v>0</v>
      </c>
      <c r="BY1040">
        <f>'Revenue drivers'!BY415</f>
        <v>0</v>
      </c>
    </row>
    <row r="1041" spans="9:77" ht="11.25" customHeight="1">
      <c r="I1041" t="str">
        <f>'Revenue drivers'!I416</f>
        <v>Claimed local business locations</v>
      </c>
      <c r="J1041">
        <f>'Revenue drivers'!J416</f>
        <v>0</v>
      </c>
      <c r="K1041">
        <f>'Revenue drivers'!K416</f>
        <v>0</v>
      </c>
      <c r="L1041">
        <f>'Revenue drivers'!L416</f>
        <v>0</v>
      </c>
      <c r="M1041">
        <f>'Revenue drivers'!M416</f>
        <v>0.159</v>
      </c>
      <c r="N1041">
        <f>'Revenue drivers'!N416</f>
        <v>0.19900000000000001</v>
      </c>
      <c r="O1041">
        <f>'Revenue drivers'!O416</f>
        <v>0.247</v>
      </c>
      <c r="P1041">
        <f>'Revenue drivers'!P416</f>
        <v>0.307</v>
      </c>
      <c r="Q1041">
        <f>'Revenue drivers'!Q416</f>
        <v>0.38</v>
      </c>
      <c r="R1041">
        <f>'Revenue drivers'!R416</f>
        <v>0.45300000000000001</v>
      </c>
      <c r="S1041">
        <f>'Revenue drivers'!S416</f>
        <v>0.52900000000000003</v>
      </c>
      <c r="T1041">
        <f>'Revenue drivers'!T416</f>
        <v>0.60599999999999998</v>
      </c>
      <c r="U1041">
        <f>'Revenue drivers'!U416</f>
        <v>0.7</v>
      </c>
      <c r="V1041">
        <f>'Revenue drivers'!V416</f>
        <v>0.79100000000000004</v>
      </c>
      <c r="W1041">
        <f>'Revenue drivers'!W416</f>
        <v>0.88900000000000001</v>
      </c>
      <c r="X1041">
        <f>'Revenue drivers'!X416</f>
        <v>0.99399999999999999</v>
      </c>
      <c r="Y1041">
        <f>'Revenue drivers'!Y416</f>
        <v>1.103</v>
      </c>
      <c r="Z1041">
        <f>'Revenue drivers'!Z416</f>
        <v>1.222</v>
      </c>
      <c r="AA1041">
        <f>'Revenue drivers'!AA416</f>
        <v>1.3440000000000001</v>
      </c>
      <c r="AB1041">
        <f>'Revenue drivers'!AB416</f>
        <v>1.488</v>
      </c>
      <c r="AC1041">
        <f>'Revenue drivers'!AC416</f>
        <v>1.6</v>
      </c>
      <c r="AD1041">
        <f>'Revenue drivers'!AD416</f>
        <v>1.7509999999999999</v>
      </c>
      <c r="AE1041">
        <f>'Revenue drivers'!AE416</f>
        <v>1.8859999999999999</v>
      </c>
      <c r="AF1041">
        <f>'Revenue drivers'!AF416</f>
        <v>2.0289999999999999</v>
      </c>
      <c r="AG1041">
        <f>'Revenue drivers'!AG416</f>
        <v>2.1930000000000001</v>
      </c>
      <c r="AH1041">
        <f>'Revenue drivers'!AH416</f>
        <v>2.3490000000000002</v>
      </c>
      <c r="AI1041">
        <f>'Revenue drivers'!AI416</f>
        <v>2.5030000000000001</v>
      </c>
      <c r="AJ1041">
        <f>'Revenue drivers'!AJ416</f>
        <v>2.6480000000000001</v>
      </c>
      <c r="AK1041">
        <f>'Revenue drivers'!AK416</f>
        <v>2.8340000000000001</v>
      </c>
      <c r="AL1041">
        <f>'Revenue drivers'!AL416</f>
        <v>3.01</v>
      </c>
      <c r="AM1041">
        <f>'Revenue drivers'!AM416</f>
        <v>3.1920000000000002</v>
      </c>
      <c r="AN1041">
        <f>'Revenue drivers'!AN416</f>
        <v>3.363</v>
      </c>
      <c r="AO1041">
        <f>'Revenue drivers'!AO416</f>
        <v>3.5590000000000002</v>
      </c>
      <c r="AP1041">
        <f>'Revenue drivers'!AP416</f>
        <v>3.7530000000000001</v>
      </c>
      <c r="AQ1041">
        <f>'Revenue drivers'!AQ416</f>
        <v>3.9750000000000001</v>
      </c>
      <c r="AR1041">
        <f>'Revenue drivers'!AR416</f>
        <v>4.1890000000000001</v>
      </c>
      <c r="AS1041">
        <f>'Revenue drivers'!AS416</f>
        <v>4.2880000000000003</v>
      </c>
      <c r="AT1041">
        <f>'Revenue drivers'!AT416</f>
        <v>4.3870000000000005</v>
      </c>
      <c r="AU1041">
        <f>'Revenue drivers'!AU416</f>
        <v>4.4260000000000002</v>
      </c>
      <c r="AV1041">
        <f>'Revenue drivers'!AV416</f>
        <v>4.4710000000000001</v>
      </c>
      <c r="AW1041">
        <f>'Revenue drivers'!AW416</f>
        <v>4.57</v>
      </c>
      <c r="AX1041">
        <f>'Revenue drivers'!AX416</f>
        <v>4.6690000000000005</v>
      </c>
      <c r="AY1041">
        <f>'Revenue drivers'!AY416</f>
        <v>4.7080000000000002</v>
      </c>
      <c r="AZ1041">
        <f>'Revenue drivers'!AZ416</f>
        <v>4.7530000000000001</v>
      </c>
      <c r="BA1041">
        <f>'Revenue drivers'!BA416</f>
        <v>4.8520000000000003</v>
      </c>
      <c r="BB1041">
        <f>'Revenue drivers'!BB416</f>
        <v>4.9510000000000005</v>
      </c>
      <c r="BC1041">
        <f>'Revenue drivers'!BC416</f>
        <v>4.99</v>
      </c>
      <c r="BD1041">
        <f>'Revenue drivers'!BD416</f>
        <v>5.0350000000000001</v>
      </c>
      <c r="BE1041">
        <f>'Revenue drivers'!BE416</f>
        <v>0</v>
      </c>
      <c r="BF1041">
        <f>'Revenue drivers'!BF416</f>
        <v>0</v>
      </c>
      <c r="BG1041">
        <f>'Revenue drivers'!BG416</f>
        <v>0</v>
      </c>
      <c r="BH1041">
        <f>'Revenue drivers'!BH416</f>
        <v>2.5000000000000001E-2</v>
      </c>
      <c r="BI1041">
        <f>'Revenue drivers'!BI416</f>
        <v>0.12</v>
      </c>
      <c r="BJ1041">
        <f>'Revenue drivers'!BJ416</f>
        <v>0.307</v>
      </c>
      <c r="BK1041">
        <f>'Revenue drivers'!BK416</f>
        <v>0.60599999999999998</v>
      </c>
      <c r="BL1041">
        <f>'Revenue drivers'!BL416</f>
        <v>0.99399999999999999</v>
      </c>
      <c r="BM1041">
        <f>'Revenue drivers'!BM416</f>
        <v>1.488</v>
      </c>
      <c r="BN1041">
        <f>'Revenue drivers'!BN416</f>
        <v>2.0289999999999999</v>
      </c>
      <c r="BO1041">
        <f>'Revenue drivers'!BO416</f>
        <v>2.6480000000000001</v>
      </c>
      <c r="BP1041">
        <f>'Revenue drivers'!BP416</f>
        <v>3.363</v>
      </c>
      <c r="BQ1041">
        <f>'Revenue drivers'!BQ416</f>
        <v>4.1890000000000001</v>
      </c>
      <c r="BR1041">
        <f>'Revenue drivers'!BR416</f>
        <v>4.4710000000000001</v>
      </c>
      <c r="BS1041">
        <f>'Revenue drivers'!BS416</f>
        <v>4.7530000000000001</v>
      </c>
      <c r="BT1041">
        <f>'Revenue drivers'!BT416</f>
        <v>5.0350000000000001</v>
      </c>
      <c r="BU1041">
        <f>'Revenue drivers'!BU416</f>
        <v>5.3170000000000002</v>
      </c>
      <c r="BV1041">
        <f>'Revenue drivers'!BV416</f>
        <v>5.5990000000000002</v>
      </c>
      <c r="BW1041">
        <f>'Revenue drivers'!BW416</f>
        <v>5.8810000000000002</v>
      </c>
      <c r="BX1041">
        <f>'Revenue drivers'!BX416</f>
        <v>6.1630000000000003</v>
      </c>
      <c r="BY1041">
        <f>'Revenue drivers'!BY416</f>
        <v>6.4450000000000003</v>
      </c>
    </row>
    <row r="1042" spans="9:77" ht="11.25" customHeight="1">
      <c r="I1042" t="str">
        <f>'Revenue drivers'!I417</f>
        <v>Q/Q Abs Growth (DRIVER)</v>
      </c>
      <c r="J1042">
        <f>'Revenue drivers'!J417</f>
        <v>0</v>
      </c>
      <c r="K1042">
        <f>'Revenue drivers'!K417</f>
        <v>0</v>
      </c>
      <c r="L1042">
        <f>'Revenue drivers'!L417</f>
        <v>0</v>
      </c>
      <c r="M1042">
        <f>'Revenue drivers'!M417</f>
        <v>0</v>
      </c>
      <c r="N1042">
        <f>'Revenue drivers'!N417</f>
        <v>4.0000000000000008E-2</v>
      </c>
      <c r="O1042">
        <f>'Revenue drivers'!O417</f>
        <v>4.7999999999999987E-2</v>
      </c>
      <c r="P1042">
        <f>'Revenue drivers'!P417</f>
        <v>0.06</v>
      </c>
      <c r="Q1042">
        <f>'Revenue drivers'!Q417</f>
        <v>7.3000000000000009E-2</v>
      </c>
      <c r="R1042">
        <f>'Revenue drivers'!R417</f>
        <v>7.3000000000000009E-2</v>
      </c>
      <c r="S1042">
        <f>'Revenue drivers'!S417</f>
        <v>7.6000000000000012E-2</v>
      </c>
      <c r="T1042">
        <f>'Revenue drivers'!T417</f>
        <v>7.6999999999999957E-2</v>
      </c>
      <c r="U1042">
        <f>'Revenue drivers'!U417</f>
        <v>9.3999999999999972E-2</v>
      </c>
      <c r="V1042">
        <f>'Revenue drivers'!V417</f>
        <v>9.1000000000000081E-2</v>
      </c>
      <c r="W1042">
        <f>'Revenue drivers'!W417</f>
        <v>9.7999999999999976E-2</v>
      </c>
      <c r="X1042">
        <f>'Revenue drivers'!X417</f>
        <v>0.10499999999999998</v>
      </c>
      <c r="Y1042">
        <f>'Revenue drivers'!Y417</f>
        <v>0.10899999999999999</v>
      </c>
      <c r="Z1042">
        <f>'Revenue drivers'!Z417</f>
        <v>0.11899999999999999</v>
      </c>
      <c r="AA1042">
        <f>'Revenue drivers'!AA417</f>
        <v>0.12200000000000011</v>
      </c>
      <c r="AB1042">
        <f>'Revenue drivers'!AB417</f>
        <v>0.14399999999999991</v>
      </c>
      <c r="AC1042">
        <f>'Revenue drivers'!AC417</f>
        <v>0.1120000000000001</v>
      </c>
      <c r="AD1042">
        <f>'Revenue drivers'!AD417</f>
        <v>0.1509999999999998</v>
      </c>
      <c r="AE1042">
        <f>'Revenue drivers'!AE417</f>
        <v>0.13500000000000001</v>
      </c>
      <c r="AF1042">
        <f>'Revenue drivers'!AF417</f>
        <v>0.14300000000000002</v>
      </c>
      <c r="AG1042">
        <f>'Revenue drivers'!AG417</f>
        <v>0.16400000000000015</v>
      </c>
      <c r="AH1042">
        <f>'Revenue drivers'!AH417</f>
        <v>0.15600000000000014</v>
      </c>
      <c r="AI1042">
        <f>'Revenue drivers'!AI417</f>
        <v>0.15399999999999991</v>
      </c>
      <c r="AJ1042">
        <f>'Revenue drivers'!AJ417</f>
        <v>0.14500000000000002</v>
      </c>
      <c r="AK1042">
        <f>'Revenue drivers'!AK417</f>
        <v>0.18599999999999994</v>
      </c>
      <c r="AL1042">
        <f>'Revenue drivers'!AL417</f>
        <v>0.17599999999999971</v>
      </c>
      <c r="AM1042">
        <f>'Revenue drivers'!AM417</f>
        <v>0.18200000000000038</v>
      </c>
      <c r="AN1042">
        <f>'Revenue drivers'!AN417</f>
        <v>0.17099999999999982</v>
      </c>
      <c r="AO1042">
        <f>'Revenue drivers'!AO417</f>
        <v>0.19600000000000017</v>
      </c>
      <c r="AP1042">
        <f>'Revenue drivers'!AP417</f>
        <v>0.19399999999999995</v>
      </c>
      <c r="AQ1042">
        <f>'Revenue drivers'!AQ417</f>
        <v>0.22199999999999998</v>
      </c>
      <c r="AR1042">
        <f>'Revenue drivers'!AR417</f>
        <v>0.21399999999999997</v>
      </c>
      <c r="AS1042">
        <f>'Revenue drivers'!AS417</f>
        <v>9.9000000000000005E-2</v>
      </c>
      <c r="AT1042">
        <f>'Revenue drivers'!AT417</f>
        <v>9.9000000000000005E-2</v>
      </c>
      <c r="AU1042">
        <f>'Revenue drivers'!AU417</f>
        <v>3.9E-2</v>
      </c>
      <c r="AV1042">
        <f>'Revenue drivers'!AV417</f>
        <v>4.4999999999999998E-2</v>
      </c>
      <c r="AW1042">
        <f>'Revenue drivers'!AW417</f>
        <v>9.9000000000000005E-2</v>
      </c>
      <c r="AX1042">
        <f>'Revenue drivers'!AX417</f>
        <v>9.9000000000000005E-2</v>
      </c>
      <c r="AY1042">
        <f>'Revenue drivers'!AY417</f>
        <v>3.9E-2</v>
      </c>
      <c r="AZ1042">
        <f>'Revenue drivers'!AZ417</f>
        <v>4.4999999999999998E-2</v>
      </c>
      <c r="BA1042">
        <f>'Revenue drivers'!BA417</f>
        <v>9.9000000000000005E-2</v>
      </c>
      <c r="BB1042">
        <f>'Revenue drivers'!BB417</f>
        <v>9.9000000000000005E-2</v>
      </c>
      <c r="BC1042">
        <f>'Revenue drivers'!BC417</f>
        <v>3.9E-2</v>
      </c>
      <c r="BD1042">
        <f>'Revenue drivers'!BD417</f>
        <v>4.4999999999999998E-2</v>
      </c>
      <c r="BE1042">
        <f>'Revenue drivers'!BE417</f>
        <v>0</v>
      </c>
      <c r="BF1042">
        <f>'Revenue drivers'!BF417</f>
        <v>0</v>
      </c>
      <c r="BG1042">
        <f>'Revenue drivers'!BG417</f>
        <v>0</v>
      </c>
      <c r="BH1042">
        <f>'Revenue drivers'!BH417</f>
        <v>0</v>
      </c>
      <c r="BI1042">
        <f>'Revenue drivers'!BI417</f>
        <v>0</v>
      </c>
      <c r="BJ1042">
        <f>'Revenue drivers'!BJ417</f>
        <v>0</v>
      </c>
      <c r="BK1042">
        <f>'Revenue drivers'!BK417</f>
        <v>0</v>
      </c>
      <c r="BL1042">
        <f>'Revenue drivers'!BL417</f>
        <v>0</v>
      </c>
      <c r="BM1042">
        <f>'Revenue drivers'!BM417</f>
        <v>0</v>
      </c>
      <c r="BN1042">
        <f>'Revenue drivers'!BN417</f>
        <v>0</v>
      </c>
      <c r="BO1042">
        <f>'Revenue drivers'!BO417</f>
        <v>0.61900000000000022</v>
      </c>
      <c r="BP1042">
        <f>'Revenue drivers'!BP417</f>
        <v>0.71499999999999986</v>
      </c>
      <c r="BQ1042">
        <f>'Revenue drivers'!BQ417</f>
        <v>0.82600000000000007</v>
      </c>
      <c r="BR1042">
        <f>'Revenue drivers'!BR417</f>
        <v>0.28200000000000003</v>
      </c>
      <c r="BS1042">
        <f>'Revenue drivers'!BS417</f>
        <v>0.28200000000000003</v>
      </c>
      <c r="BT1042">
        <f>'Revenue drivers'!BT417</f>
        <v>0.28200000000000003</v>
      </c>
      <c r="BU1042">
        <f>'Revenue drivers'!BU417</f>
        <v>0.28200000000000003</v>
      </c>
      <c r="BV1042">
        <f>'Revenue drivers'!BV417</f>
        <v>0.28200000000000003</v>
      </c>
      <c r="BW1042">
        <f>'Revenue drivers'!BW417</f>
        <v>0.28200000000000003</v>
      </c>
      <c r="BX1042">
        <f>'Revenue drivers'!BX417</f>
        <v>0.28200000000000003</v>
      </c>
      <c r="BY1042">
        <f>'Revenue drivers'!BY417</f>
        <v>0.28200000000000003</v>
      </c>
    </row>
    <row r="1043" spans="9:77" ht="11.25" customHeight="1">
      <c r="I1043" t="str">
        <f>'Revenue drivers'!I418</f>
        <v>Period-to-period addition Y/Y</v>
      </c>
      <c r="J1043">
        <f>'Revenue drivers'!J418</f>
        <v>0</v>
      </c>
      <c r="K1043">
        <f>'Revenue drivers'!K418</f>
        <v>0</v>
      </c>
      <c r="L1043">
        <f>'Revenue drivers'!L418</f>
        <v>0</v>
      </c>
      <c r="M1043">
        <f>'Revenue drivers'!M418</f>
        <v>0</v>
      </c>
      <c r="N1043">
        <f>'Revenue drivers'!N418</f>
        <v>0</v>
      </c>
      <c r="O1043">
        <f>'Revenue drivers'!O418</f>
        <v>0</v>
      </c>
      <c r="P1043">
        <f>'Revenue drivers'!P418</f>
        <v>0</v>
      </c>
      <c r="Q1043">
        <f>'Revenue drivers'!Q418</f>
        <v>0</v>
      </c>
      <c r="R1043">
        <f>'Revenue drivers'!R418</f>
        <v>0</v>
      </c>
      <c r="S1043">
        <f>'Revenue drivers'!S418</f>
        <v>0</v>
      </c>
      <c r="T1043">
        <f>'Revenue drivers'!T418</f>
        <v>0</v>
      </c>
      <c r="U1043">
        <f>'Revenue drivers'!U418</f>
        <v>0</v>
      </c>
      <c r="V1043">
        <f>'Revenue drivers'!V418</f>
        <v>0</v>
      </c>
      <c r="W1043">
        <f>'Revenue drivers'!W418</f>
        <v>6.9999999999998952E-3</v>
      </c>
      <c r="X1043">
        <f>'Revenue drivers'!X418</f>
        <v>0</v>
      </c>
      <c r="Y1043">
        <f>'Revenue drivers'!Y418</f>
        <v>0</v>
      </c>
      <c r="Z1043">
        <f>'Revenue drivers'!Z418</f>
        <v>0</v>
      </c>
      <c r="AA1043">
        <f>'Revenue drivers'!AA418</f>
        <v>3.0000000000001137E-3</v>
      </c>
      <c r="AB1043">
        <f>'Revenue drivers'!AB418</f>
        <v>2.1999999999999797E-2</v>
      </c>
      <c r="AC1043">
        <f>'Revenue drivers'!AC418</f>
        <v>-3.1999999999999806E-2</v>
      </c>
      <c r="AD1043">
        <f>'Revenue drivers'!AD418</f>
        <v>3.8999999999999702E-2</v>
      </c>
      <c r="AE1043">
        <f>'Revenue drivers'!AE418</f>
        <v>-1.5999999999999792E-2</v>
      </c>
      <c r="AF1043">
        <f>'Revenue drivers'!AF418</f>
        <v>8.0000000000000071E-3</v>
      </c>
      <c r="AG1043">
        <f>'Revenue drivers'!AG418</f>
        <v>2.100000000000013E-2</v>
      </c>
      <c r="AH1043">
        <f>'Revenue drivers'!AH418</f>
        <v>-8.0000000000000071E-3</v>
      </c>
      <c r="AI1043">
        <f>'Revenue drivers'!AI418</f>
        <v>-2.0000000000002238E-3</v>
      </c>
      <c r="AJ1043">
        <f>'Revenue drivers'!AJ418</f>
        <v>-8.999999999999897E-3</v>
      </c>
      <c r="AK1043">
        <f>'Revenue drivers'!AK418</f>
        <v>4.0999999999999925E-2</v>
      </c>
      <c r="AL1043">
        <f>'Revenue drivers'!AL418</f>
        <v>-1.0000000000000231E-2</v>
      </c>
      <c r="AM1043">
        <f>'Revenue drivers'!AM418</f>
        <v>6.0000000000006715E-3</v>
      </c>
      <c r="AN1043">
        <f>'Revenue drivers'!AN418</f>
        <v>-1.1000000000000565E-2</v>
      </c>
      <c r="AO1043">
        <f>'Revenue drivers'!AO418</f>
        <v>2.5000000000000355E-2</v>
      </c>
      <c r="AP1043">
        <f>'Revenue drivers'!AP418</f>
        <v>-2.0000000000002238E-3</v>
      </c>
      <c r="AQ1043">
        <f>'Revenue drivers'!AQ418</f>
        <v>2.8000000000000025E-2</v>
      </c>
      <c r="AR1043">
        <f>'Revenue drivers'!AR418</f>
        <v>-8.0000000000000071E-3</v>
      </c>
      <c r="AS1043">
        <f>'Revenue drivers'!AS418</f>
        <v>-0.11499999999999996</v>
      </c>
      <c r="AT1043">
        <f>'Revenue drivers'!AT418</f>
        <v>0</v>
      </c>
      <c r="AU1043">
        <f>'Revenue drivers'!AU418</f>
        <v>-6.0000000000000005E-2</v>
      </c>
      <c r="AV1043">
        <f>'Revenue drivers'!AV418</f>
        <v>5.9999999999999984E-3</v>
      </c>
      <c r="AW1043">
        <f>'Revenue drivers'!AW418</f>
        <v>5.4000000000000006E-2</v>
      </c>
      <c r="AX1043">
        <f>'Revenue drivers'!AX418</f>
        <v>0</v>
      </c>
      <c r="AY1043">
        <f>'Revenue drivers'!AY418</f>
        <v>-6.0000000000000005E-2</v>
      </c>
      <c r="AZ1043">
        <f>'Revenue drivers'!AZ418</f>
        <v>5.9999999999999984E-3</v>
      </c>
      <c r="BA1043">
        <f>'Revenue drivers'!BA418</f>
        <v>5.4000000000000006E-2</v>
      </c>
      <c r="BB1043">
        <f>'Revenue drivers'!BB418</f>
        <v>0</v>
      </c>
      <c r="BC1043">
        <f>'Revenue drivers'!BC418</f>
        <v>-6.0000000000000005E-2</v>
      </c>
      <c r="BD1043">
        <f>'Revenue drivers'!BD418</f>
        <v>5.9999999999999984E-3</v>
      </c>
      <c r="BE1043">
        <f>'Revenue drivers'!BE418</f>
        <v>0</v>
      </c>
      <c r="BF1043">
        <f>'Revenue drivers'!BF418</f>
        <v>0</v>
      </c>
      <c r="BG1043">
        <f>'Revenue drivers'!BG418</f>
        <v>0</v>
      </c>
      <c r="BH1043">
        <f>'Revenue drivers'!BH418</f>
        <v>0</v>
      </c>
      <c r="BI1043">
        <f>'Revenue drivers'!BI418</f>
        <v>9.5000000000000001E-2</v>
      </c>
      <c r="BJ1043">
        <f>'Revenue drivers'!BJ418</f>
        <v>0.187</v>
      </c>
      <c r="BK1043">
        <f>'Revenue drivers'!BK418</f>
        <v>0.29899999999999999</v>
      </c>
      <c r="BL1043">
        <f>'Revenue drivers'!BL418</f>
        <v>0.38800000000000001</v>
      </c>
      <c r="BM1043">
        <f>'Revenue drivers'!BM418</f>
        <v>0.49399999999999999</v>
      </c>
      <c r="BN1043">
        <f>'Revenue drivers'!BN418</f>
        <v>0.54099999999999993</v>
      </c>
      <c r="BO1043">
        <f>'Revenue drivers'!BO418</f>
        <v>0.61900000000000022</v>
      </c>
      <c r="BP1043">
        <f>'Revenue drivers'!BP418</f>
        <v>0.71499999999999986</v>
      </c>
      <c r="BQ1043">
        <f>'Revenue drivers'!BQ418</f>
        <v>0.82600000000000007</v>
      </c>
      <c r="BR1043">
        <f>'Revenue drivers'!BR418</f>
        <v>0.28200000000000003</v>
      </c>
      <c r="BS1043">
        <f>'Revenue drivers'!BS418</f>
        <v>0.28200000000000003</v>
      </c>
      <c r="BT1043">
        <f>'Revenue drivers'!BT418</f>
        <v>0.28200000000000003</v>
      </c>
      <c r="BU1043">
        <f>'Revenue drivers'!BU418</f>
        <v>0.28200000000000003</v>
      </c>
      <c r="BV1043">
        <f>'Revenue drivers'!BV418</f>
        <v>0.28200000000000003</v>
      </c>
      <c r="BW1043">
        <f>'Revenue drivers'!BW418</f>
        <v>0.28200000000000003</v>
      </c>
      <c r="BX1043">
        <f>'Revenue drivers'!BX418</f>
        <v>0.28200000000000003</v>
      </c>
      <c r="BY1043">
        <f>'Revenue drivers'!BY418</f>
        <v>0.28200000000000003</v>
      </c>
    </row>
    <row r="1044" spans="9:77" ht="11.25" customHeight="1">
      <c r="I1044" t="str">
        <f>'Revenue drivers'!I419</f>
        <v>% change Y/Y</v>
      </c>
      <c r="J1044">
        <f>'Revenue drivers'!J419</f>
        <v>0</v>
      </c>
      <c r="K1044">
        <f>'Revenue drivers'!K419</f>
        <v>0</v>
      </c>
      <c r="L1044">
        <f>'Revenue drivers'!L419</f>
        <v>0</v>
      </c>
      <c r="M1044" t="str">
        <f>'Revenue drivers'!M419</f>
        <v>NA</v>
      </c>
      <c r="N1044" t="str">
        <f>'Revenue drivers'!N419</f>
        <v>NA</v>
      </c>
      <c r="O1044" t="str">
        <f>'Revenue drivers'!O419</f>
        <v>NA</v>
      </c>
      <c r="P1044" t="str">
        <f>'Revenue drivers'!P419</f>
        <v>NA</v>
      </c>
      <c r="Q1044">
        <f>'Revenue drivers'!Q419</f>
        <v>1.3899371069182389</v>
      </c>
      <c r="R1044">
        <f>'Revenue drivers'!R419</f>
        <v>1.2763819095477387</v>
      </c>
      <c r="S1044">
        <f>'Revenue drivers'!S419</f>
        <v>1.1417004048582999</v>
      </c>
      <c r="T1044">
        <f>'Revenue drivers'!T419</f>
        <v>0.97394136807817588</v>
      </c>
      <c r="U1044">
        <f>'Revenue drivers'!U419</f>
        <v>0.84210526315789469</v>
      </c>
      <c r="V1044">
        <f>'Revenue drivers'!V419</f>
        <v>0.74613686534216339</v>
      </c>
      <c r="W1044">
        <f>'Revenue drivers'!W419</f>
        <v>0.68052930056710759</v>
      </c>
      <c r="X1044">
        <f>'Revenue drivers'!X419</f>
        <v>0.64026402640264024</v>
      </c>
      <c r="Y1044">
        <f>'Revenue drivers'!Y419</f>
        <v>0.57571428571428584</v>
      </c>
      <c r="Z1044">
        <f>'Revenue drivers'!Z419</f>
        <v>0.54487989886219967</v>
      </c>
      <c r="AA1044">
        <f>'Revenue drivers'!AA419</f>
        <v>0.51181102362204722</v>
      </c>
      <c r="AB1044">
        <f>'Revenue drivers'!AB419</f>
        <v>0.49698189134808857</v>
      </c>
      <c r="AC1044">
        <f>'Revenue drivers'!AC419</f>
        <v>0.45058930190389868</v>
      </c>
      <c r="AD1044">
        <f>'Revenue drivers'!AD419</f>
        <v>0.43289689034369871</v>
      </c>
      <c r="AE1044">
        <f>'Revenue drivers'!AE419</f>
        <v>0.40327380952380931</v>
      </c>
      <c r="AF1044">
        <f>'Revenue drivers'!AF419</f>
        <v>0.36357526881720426</v>
      </c>
      <c r="AG1044">
        <f>'Revenue drivers'!AG419</f>
        <v>0.37062499999999998</v>
      </c>
      <c r="AH1044">
        <f>'Revenue drivers'!AH419</f>
        <v>0.34151913192461469</v>
      </c>
      <c r="AI1044">
        <f>'Revenue drivers'!AI419</f>
        <v>0.32714740190880187</v>
      </c>
      <c r="AJ1044">
        <f>'Revenue drivers'!AJ419</f>
        <v>0.30507639231148365</v>
      </c>
      <c r="AK1044">
        <f>'Revenue drivers'!AK419</f>
        <v>0.2922936616507068</v>
      </c>
      <c r="AL1044">
        <f>'Revenue drivers'!AL419</f>
        <v>0.28139633886760307</v>
      </c>
      <c r="AM1044">
        <f>'Revenue drivers'!AM419</f>
        <v>0.27526967638833399</v>
      </c>
      <c r="AN1044">
        <f>'Revenue drivers'!AN419</f>
        <v>0.27001510574018117</v>
      </c>
      <c r="AO1044">
        <f>'Revenue drivers'!AO419</f>
        <v>0.25582215949188436</v>
      </c>
      <c r="AP1044">
        <f>'Revenue drivers'!AP419</f>
        <v>0.24684385382059815</v>
      </c>
      <c r="AQ1044">
        <f>'Revenue drivers'!AQ419</f>
        <v>0.24530075187969924</v>
      </c>
      <c r="AR1044">
        <f>'Revenue drivers'!AR419</f>
        <v>0.2456140350877194</v>
      </c>
      <c r="AS1044">
        <f>'Revenue drivers'!AS419</f>
        <v>0.20483281820736154</v>
      </c>
      <c r="AT1044">
        <f>'Revenue drivers'!AT419</f>
        <v>0.16893152144950707</v>
      </c>
      <c r="AU1044">
        <f>'Revenue drivers'!AU419</f>
        <v>0.11345911949685528</v>
      </c>
      <c r="AV1044">
        <f>'Revenue drivers'!AV419</f>
        <v>6.7319169252805011E-2</v>
      </c>
      <c r="AW1044">
        <f>'Revenue drivers'!AW419</f>
        <v>6.5764925373134275E-2</v>
      </c>
      <c r="AX1044">
        <f>'Revenue drivers'!AX419</f>
        <v>6.4280829724185029E-2</v>
      </c>
      <c r="AY1044">
        <f>'Revenue drivers'!AY419</f>
        <v>6.3714414821509191E-2</v>
      </c>
      <c r="AZ1044">
        <f>'Revenue drivers'!AZ419</f>
        <v>6.3073138000447226E-2</v>
      </c>
      <c r="BA1044">
        <f>'Revenue drivers'!BA419</f>
        <v>6.1706783369803064E-2</v>
      </c>
      <c r="BB1044">
        <f>'Revenue drivers'!BB419</f>
        <v>6.0398372242450149E-2</v>
      </c>
      <c r="BC1044">
        <f>'Revenue drivers'!BC419</f>
        <v>5.9898045879354322E-2</v>
      </c>
      <c r="BD1044">
        <f>'Revenue drivers'!BD419</f>
        <v>5.9330948874395162E-2</v>
      </c>
      <c r="BE1044">
        <f>'Revenue drivers'!BE419</f>
        <v>0</v>
      </c>
      <c r="BF1044">
        <f>'Revenue drivers'!BF419</f>
        <v>0</v>
      </c>
      <c r="BG1044">
        <f>'Revenue drivers'!BG419</f>
        <v>0</v>
      </c>
      <c r="BH1044" t="str">
        <f>'Revenue drivers'!BH419</f>
        <v>NA</v>
      </c>
      <c r="BI1044">
        <f>'Revenue drivers'!BI419</f>
        <v>3.8</v>
      </c>
      <c r="BJ1044">
        <f>'Revenue drivers'!BJ419</f>
        <v>1.5583333333333336</v>
      </c>
      <c r="BK1044">
        <f>'Revenue drivers'!BK419</f>
        <v>0.97394136807817588</v>
      </c>
      <c r="BL1044">
        <f>'Revenue drivers'!BL419</f>
        <v>0.64026402640264024</v>
      </c>
      <c r="BM1044">
        <f>'Revenue drivers'!BM419</f>
        <v>0.49698189134808857</v>
      </c>
      <c r="BN1044">
        <f>'Revenue drivers'!BN419</f>
        <v>0.36357526881720426</v>
      </c>
      <c r="BO1044">
        <f>'Revenue drivers'!BO419</f>
        <v>0.30507639231148365</v>
      </c>
      <c r="BP1044">
        <f>'Revenue drivers'!BP419</f>
        <v>0.27001510574018117</v>
      </c>
      <c r="BQ1044">
        <f>'Revenue drivers'!BQ419</f>
        <v>0.2456140350877194</v>
      </c>
      <c r="BR1044">
        <f>'Revenue drivers'!BR419</f>
        <v>6.7319169252805011E-2</v>
      </c>
      <c r="BS1044">
        <f>'Revenue drivers'!BS419</f>
        <v>6.3073138000447226E-2</v>
      </c>
      <c r="BT1044">
        <f>'Revenue drivers'!BT419</f>
        <v>5.9330948874395162E-2</v>
      </c>
      <c r="BU1044">
        <f>'Revenue drivers'!BU419</f>
        <v>5.6007944389275144E-2</v>
      </c>
      <c r="BV1044">
        <f>'Revenue drivers'!BV419</f>
        <v>5.3037427120556702E-2</v>
      </c>
      <c r="BW1044">
        <f>'Revenue drivers'!BW419</f>
        <v>5.0366136810144679E-2</v>
      </c>
      <c r="BX1044">
        <f>'Revenue drivers'!BX419</f>
        <v>4.7951028736609391E-2</v>
      </c>
      <c r="BY1044">
        <f>'Revenue drivers'!BY419</f>
        <v>4.5756936556871741E-2</v>
      </c>
    </row>
    <row r="1045" spans="9:77" ht="11.25" customHeight="1">
      <c r="I1045" t="str">
        <f>'Revenue drivers'!I420</f>
        <v>% change Q/Q</v>
      </c>
      <c r="J1045">
        <f>'Revenue drivers'!J420</f>
        <v>0</v>
      </c>
      <c r="K1045">
        <f>'Revenue drivers'!K420</f>
        <v>0</v>
      </c>
      <c r="L1045">
        <f>'Revenue drivers'!L420</f>
        <v>0</v>
      </c>
      <c r="M1045" t="str">
        <f>'Revenue drivers'!M420</f>
        <v>NA</v>
      </c>
      <c r="N1045">
        <f>'Revenue drivers'!N420</f>
        <v>0.2515723270440251</v>
      </c>
      <c r="O1045">
        <f>'Revenue drivers'!O420</f>
        <v>0.2412060301507537</v>
      </c>
      <c r="P1045">
        <f>'Revenue drivers'!P420</f>
        <v>0.24291497975708509</v>
      </c>
      <c r="Q1045">
        <f>'Revenue drivers'!Q420</f>
        <v>0.23778501628664506</v>
      </c>
      <c r="R1045">
        <f>'Revenue drivers'!R420</f>
        <v>0.19210526315789478</v>
      </c>
      <c r="S1045">
        <f>'Revenue drivers'!S420</f>
        <v>0.16777041942604853</v>
      </c>
      <c r="T1045">
        <f>'Revenue drivers'!T420</f>
        <v>0.14555765595463122</v>
      </c>
      <c r="U1045">
        <f>'Revenue drivers'!U420</f>
        <v>0.15511551155115511</v>
      </c>
      <c r="V1045">
        <f>'Revenue drivers'!V420</f>
        <v>0.13000000000000012</v>
      </c>
      <c r="W1045">
        <f>'Revenue drivers'!W420</f>
        <v>0.12389380530973448</v>
      </c>
      <c r="X1045">
        <f>'Revenue drivers'!X420</f>
        <v>0.11811023622047245</v>
      </c>
      <c r="Y1045">
        <f>'Revenue drivers'!Y420</f>
        <v>0.10965794768611659</v>
      </c>
      <c r="Z1045">
        <f>'Revenue drivers'!Z420</f>
        <v>0.10788757932910253</v>
      </c>
      <c r="AA1045">
        <f>'Revenue drivers'!AA420</f>
        <v>9.983633387888724E-2</v>
      </c>
      <c r="AB1045">
        <f>'Revenue drivers'!AB420</f>
        <v>0.10714285714285698</v>
      </c>
      <c r="AC1045">
        <f>'Revenue drivers'!AC420</f>
        <v>7.526881720430123E-2</v>
      </c>
      <c r="AD1045">
        <f>'Revenue drivers'!AD420</f>
        <v>9.4374999999999876E-2</v>
      </c>
      <c r="AE1045">
        <f>'Revenue drivers'!AE420</f>
        <v>7.7098800685322599E-2</v>
      </c>
      <c r="AF1045">
        <f>'Revenue drivers'!AF420</f>
        <v>7.5821845174973479E-2</v>
      </c>
      <c r="AG1045">
        <f>'Revenue drivers'!AG420</f>
        <v>8.0827994085756583E-2</v>
      </c>
      <c r="AH1045">
        <f>'Revenue drivers'!AH420</f>
        <v>7.1135430916552833E-2</v>
      </c>
      <c r="AI1045">
        <f>'Revenue drivers'!AI420</f>
        <v>6.555981268624933E-2</v>
      </c>
      <c r="AJ1045">
        <f>'Revenue drivers'!AJ420</f>
        <v>5.793048341989615E-2</v>
      </c>
      <c r="AK1045">
        <f>'Revenue drivers'!AK420</f>
        <v>7.02416918429003E-2</v>
      </c>
      <c r="AL1045">
        <f>'Revenue drivers'!AL420</f>
        <v>6.2103034580098804E-2</v>
      </c>
      <c r="AM1045">
        <f>'Revenue drivers'!AM420</f>
        <v>6.0465116279069919E-2</v>
      </c>
      <c r="AN1045">
        <f>'Revenue drivers'!AN420</f>
        <v>5.3571428571428603E-2</v>
      </c>
      <c r="AO1045">
        <f>'Revenue drivers'!AO420</f>
        <v>5.8281296461492715E-2</v>
      </c>
      <c r="AP1045">
        <f>'Revenue drivers'!AP420</f>
        <v>5.4509693734194897E-2</v>
      </c>
      <c r="AQ1045">
        <f>'Revenue drivers'!AQ420</f>
        <v>5.9152677857713831E-2</v>
      </c>
      <c r="AR1045">
        <f>'Revenue drivers'!AR420</f>
        <v>5.3836477987421416E-2</v>
      </c>
      <c r="AS1045">
        <f>'Revenue drivers'!AS420</f>
        <v>2.3633325375984837E-2</v>
      </c>
      <c r="AT1045">
        <f>'Revenue drivers'!AT420</f>
        <v>2.3087686567164312E-2</v>
      </c>
      <c r="AU1045">
        <f>'Revenue drivers'!AU420</f>
        <v>8.8899019831318871E-3</v>
      </c>
      <c r="AV1045">
        <f>'Revenue drivers'!AV420</f>
        <v>1.0167193854496048E-2</v>
      </c>
      <c r="AW1045">
        <f>'Revenue drivers'!AW420</f>
        <v>2.214269738313579E-2</v>
      </c>
      <c r="AX1045">
        <f>'Revenue drivers'!AX420</f>
        <v>2.1663019693654251E-2</v>
      </c>
      <c r="AY1045">
        <f>'Revenue drivers'!AY420</f>
        <v>8.3529663739558835E-3</v>
      </c>
      <c r="AZ1045">
        <f>'Revenue drivers'!AZ420</f>
        <v>9.5581988105353233E-3</v>
      </c>
      <c r="BA1045">
        <f>'Revenue drivers'!BA420</f>
        <v>2.0828950136755786E-2</v>
      </c>
      <c r="BB1045">
        <f>'Revenue drivers'!BB420</f>
        <v>2.0403957131079897E-2</v>
      </c>
      <c r="BC1045">
        <f>'Revenue drivers'!BC420</f>
        <v>7.8771965259543109E-3</v>
      </c>
      <c r="BD1045">
        <f>'Revenue drivers'!BD420</f>
        <v>9.0180360721443531E-3</v>
      </c>
      <c r="BE1045">
        <f>'Revenue drivers'!BE420</f>
        <v>0</v>
      </c>
      <c r="BF1045">
        <f>'Revenue drivers'!BF420</f>
        <v>0</v>
      </c>
      <c r="BG1045">
        <f>'Revenue drivers'!BG420</f>
        <v>0</v>
      </c>
      <c r="BH1045">
        <f>'Revenue drivers'!BH420</f>
        <v>0</v>
      </c>
      <c r="BI1045">
        <f>'Revenue drivers'!BI420</f>
        <v>0</v>
      </c>
      <c r="BJ1045">
        <f>'Revenue drivers'!BJ420</f>
        <v>0</v>
      </c>
      <c r="BK1045">
        <f>'Revenue drivers'!BK420</f>
        <v>0</v>
      </c>
      <c r="BL1045">
        <f>'Revenue drivers'!BL420</f>
        <v>0</v>
      </c>
      <c r="BM1045">
        <f>'Revenue drivers'!BM420</f>
        <v>0</v>
      </c>
      <c r="BN1045">
        <f>'Revenue drivers'!BN420</f>
        <v>0</v>
      </c>
      <c r="BO1045">
        <f>'Revenue drivers'!BO420</f>
        <v>0</v>
      </c>
      <c r="BP1045">
        <f>'Revenue drivers'!BP420</f>
        <v>0</v>
      </c>
      <c r="BQ1045">
        <f>'Revenue drivers'!BQ420</f>
        <v>0</v>
      </c>
      <c r="BR1045">
        <f>'Revenue drivers'!BR420</f>
        <v>0</v>
      </c>
      <c r="BS1045">
        <f>'Revenue drivers'!BS420</f>
        <v>0</v>
      </c>
      <c r="BT1045">
        <f>'Revenue drivers'!BT420</f>
        <v>0</v>
      </c>
      <c r="BU1045">
        <f>'Revenue drivers'!BU420</f>
        <v>0</v>
      </c>
      <c r="BV1045">
        <f>'Revenue drivers'!BV420</f>
        <v>0</v>
      </c>
      <c r="BW1045">
        <f>'Revenue drivers'!BW420</f>
        <v>0</v>
      </c>
      <c r="BX1045">
        <f>'Revenue drivers'!BX420</f>
        <v>0</v>
      </c>
      <c r="BY1045">
        <f>'Revenue drivers'!BY420</f>
        <v>0</v>
      </c>
    </row>
    <row r="1046" spans="9:77" ht="11.25" customHeight="1">
      <c r="I1046">
        <f>'Revenue drivers'!I421</f>
        <v>0</v>
      </c>
      <c r="J1046">
        <f>'Revenue drivers'!J421</f>
        <v>0</v>
      </c>
      <c r="K1046">
        <f>'Revenue drivers'!K421</f>
        <v>0</v>
      </c>
      <c r="L1046">
        <f>'Revenue drivers'!L421</f>
        <v>0</v>
      </c>
      <c r="M1046">
        <f>'Revenue drivers'!M421</f>
        <v>0</v>
      </c>
      <c r="N1046">
        <f>'Revenue drivers'!N421</f>
        <v>0</v>
      </c>
      <c r="O1046">
        <f>'Revenue drivers'!O421</f>
        <v>0</v>
      </c>
      <c r="P1046">
        <f>'Revenue drivers'!P421</f>
        <v>0</v>
      </c>
      <c r="Q1046">
        <f>'Revenue drivers'!Q421</f>
        <v>0</v>
      </c>
      <c r="R1046">
        <f>'Revenue drivers'!R421</f>
        <v>0</v>
      </c>
      <c r="S1046">
        <f>'Revenue drivers'!S421</f>
        <v>0</v>
      </c>
      <c r="T1046">
        <f>'Revenue drivers'!T421</f>
        <v>0</v>
      </c>
      <c r="U1046">
        <f>'Revenue drivers'!U421</f>
        <v>0</v>
      </c>
      <c r="V1046">
        <f>'Revenue drivers'!V421</f>
        <v>0</v>
      </c>
      <c r="W1046">
        <f>'Revenue drivers'!W421</f>
        <v>0</v>
      </c>
      <c r="X1046">
        <f>'Revenue drivers'!X421</f>
        <v>0</v>
      </c>
      <c r="Y1046">
        <f>'Revenue drivers'!Y421</f>
        <v>0</v>
      </c>
      <c r="Z1046">
        <f>'Revenue drivers'!Z421</f>
        <v>0</v>
      </c>
      <c r="AA1046">
        <f>'Revenue drivers'!AA421</f>
        <v>0</v>
      </c>
      <c r="AB1046">
        <f>'Revenue drivers'!AB421</f>
        <v>0</v>
      </c>
      <c r="AC1046">
        <f>'Revenue drivers'!AC421</f>
        <v>0</v>
      </c>
      <c r="AD1046">
        <f>'Revenue drivers'!AD421</f>
        <v>0</v>
      </c>
      <c r="AE1046">
        <f>'Revenue drivers'!AE421</f>
        <v>0</v>
      </c>
      <c r="AF1046">
        <f>'Revenue drivers'!AF421</f>
        <v>0</v>
      </c>
      <c r="AG1046">
        <f>'Revenue drivers'!AG421</f>
        <v>0</v>
      </c>
      <c r="AH1046">
        <f>'Revenue drivers'!AH421</f>
        <v>0</v>
      </c>
      <c r="AI1046">
        <f>'Revenue drivers'!AI421</f>
        <v>0</v>
      </c>
      <c r="AJ1046">
        <f>'Revenue drivers'!AJ421</f>
        <v>0</v>
      </c>
      <c r="AK1046">
        <f>'Revenue drivers'!AK421</f>
        <v>0</v>
      </c>
      <c r="AL1046">
        <f>'Revenue drivers'!AL421</f>
        <v>0</v>
      </c>
      <c r="AM1046">
        <f>'Revenue drivers'!AM421</f>
        <v>0</v>
      </c>
      <c r="AN1046">
        <f>'Revenue drivers'!AN421</f>
        <v>0</v>
      </c>
      <c r="AO1046">
        <f>'Revenue drivers'!AO421</f>
        <v>0</v>
      </c>
      <c r="AP1046">
        <f>'Revenue drivers'!AP421</f>
        <v>0</v>
      </c>
      <c r="AQ1046">
        <f>'Revenue drivers'!AQ421</f>
        <v>0</v>
      </c>
      <c r="AR1046">
        <f>'Revenue drivers'!AR421</f>
        <v>0</v>
      </c>
      <c r="AS1046">
        <f>'Revenue drivers'!AS421</f>
        <v>0</v>
      </c>
      <c r="AT1046">
        <f>'Revenue drivers'!AT421</f>
        <v>0</v>
      </c>
      <c r="AU1046">
        <f>'Revenue drivers'!AU421</f>
        <v>0</v>
      </c>
      <c r="AV1046">
        <f>'Revenue drivers'!AV421</f>
        <v>0</v>
      </c>
      <c r="AW1046">
        <f>'Revenue drivers'!AW421</f>
        <v>0</v>
      </c>
      <c r="AX1046">
        <f>'Revenue drivers'!AX421</f>
        <v>0</v>
      </c>
      <c r="AY1046">
        <f>'Revenue drivers'!AY421</f>
        <v>0</v>
      </c>
      <c r="AZ1046">
        <f>'Revenue drivers'!AZ421</f>
        <v>0</v>
      </c>
      <c r="BA1046">
        <f>'Revenue drivers'!BA421</f>
        <v>0</v>
      </c>
      <c r="BB1046">
        <f>'Revenue drivers'!BB421</f>
        <v>0</v>
      </c>
      <c r="BC1046">
        <f>'Revenue drivers'!BC421</f>
        <v>0</v>
      </c>
      <c r="BD1046">
        <f>'Revenue drivers'!BD421</f>
        <v>0</v>
      </c>
      <c r="BE1046">
        <f>'Revenue drivers'!BE421</f>
        <v>0</v>
      </c>
      <c r="BF1046">
        <f>'Revenue drivers'!BF421</f>
        <v>0</v>
      </c>
      <c r="BG1046">
        <f>'Revenue drivers'!BG421</f>
        <v>0</v>
      </c>
      <c r="BH1046">
        <f>'Revenue drivers'!BH421</f>
        <v>0</v>
      </c>
      <c r="BI1046">
        <f>'Revenue drivers'!BI421</f>
        <v>0</v>
      </c>
      <c r="BJ1046">
        <f>'Revenue drivers'!BJ421</f>
        <v>0</v>
      </c>
      <c r="BK1046">
        <f>'Revenue drivers'!BK421</f>
        <v>0</v>
      </c>
      <c r="BL1046">
        <f>'Revenue drivers'!BL421</f>
        <v>0</v>
      </c>
      <c r="BM1046">
        <f>'Revenue drivers'!BM421</f>
        <v>0</v>
      </c>
      <c r="BN1046">
        <f>'Revenue drivers'!BN421</f>
        <v>0</v>
      </c>
      <c r="BO1046">
        <f>'Revenue drivers'!BO421</f>
        <v>0</v>
      </c>
      <c r="BP1046">
        <f>'Revenue drivers'!BP421</f>
        <v>0</v>
      </c>
      <c r="BQ1046">
        <f>'Revenue drivers'!BQ421</f>
        <v>0</v>
      </c>
      <c r="BR1046">
        <f>'Revenue drivers'!BR421</f>
        <v>0</v>
      </c>
      <c r="BS1046">
        <f>'Revenue drivers'!BS421</f>
        <v>0</v>
      </c>
      <c r="BT1046">
        <f>'Revenue drivers'!BT421</f>
        <v>0</v>
      </c>
      <c r="BU1046">
        <f>'Revenue drivers'!BU421</f>
        <v>0</v>
      </c>
      <c r="BV1046">
        <f>'Revenue drivers'!BV421</f>
        <v>0</v>
      </c>
      <c r="BW1046">
        <f>'Revenue drivers'!BW421</f>
        <v>0</v>
      </c>
      <c r="BX1046">
        <f>'Revenue drivers'!BX421</f>
        <v>0</v>
      </c>
      <c r="BY1046">
        <f>'Revenue drivers'!BY421</f>
        <v>0</v>
      </c>
    </row>
    <row r="1047" spans="9:77" ht="11.25" customHeight="1">
      <c r="I1047" t="str">
        <f>'Revenue drivers'!I422</f>
        <v>Active local business accounts</v>
      </c>
      <c r="J1047">
        <f>'Revenue drivers'!J422</f>
        <v>0</v>
      </c>
      <c r="K1047">
        <f>'Revenue drivers'!K422</f>
        <v>0</v>
      </c>
      <c r="L1047">
        <f>'Revenue drivers'!L422</f>
        <v>0</v>
      </c>
      <c r="M1047">
        <f>'Revenue drivers'!M422</f>
        <v>8.0000000000000002E-3</v>
      </c>
      <c r="N1047">
        <f>'Revenue drivers'!N422</f>
        <v>8.9999999999999993E-3</v>
      </c>
      <c r="O1047">
        <f>'Revenue drivers'!O422</f>
        <v>1.0999999999999999E-2</v>
      </c>
      <c r="P1047">
        <f>'Revenue drivers'!P422</f>
        <v>1.0999999999999999E-2</v>
      </c>
      <c r="Q1047">
        <f>'Revenue drivers'!Q422</f>
        <v>1.2999999999999999E-2</v>
      </c>
      <c r="R1047">
        <f>'Revenue drivers'!R422</f>
        <v>1.4999999999999999E-2</v>
      </c>
      <c r="S1047">
        <f>'Revenue drivers'!S422</f>
        <v>1.9E-2</v>
      </c>
      <c r="T1047">
        <f>'Revenue drivers'!T422</f>
        <v>2.3699999999999999E-2</v>
      </c>
      <c r="U1047">
        <f>'Revenue drivers'!U422</f>
        <v>2.7E-2</v>
      </c>
      <c r="V1047">
        <f>'Revenue drivers'!V422</f>
        <v>3.1800000000000002E-2</v>
      </c>
      <c r="W1047">
        <f>'Revenue drivers'!W422</f>
        <v>3.5999999999999997E-2</v>
      </c>
      <c r="X1047">
        <f>'Revenue drivers'!X422</f>
        <v>3.9799999999999995E-2</v>
      </c>
      <c r="Y1047">
        <f>'Revenue drivers'!Y422</f>
        <v>4.4700000000000004E-2</v>
      </c>
      <c r="Z1047">
        <f>'Revenue drivers'!Z422</f>
        <v>5.1400000000000001E-2</v>
      </c>
      <c r="AA1047">
        <f>'Revenue drivers'!AA422</f>
        <v>5.7200000000000001E-2</v>
      </c>
      <c r="AB1047">
        <f>'Revenue drivers'!AB422</f>
        <v>6.720000000000001E-2</v>
      </c>
      <c r="AC1047">
        <f>'Revenue drivers'!AC422</f>
        <v>7.3999999999999996E-2</v>
      </c>
      <c r="AD1047">
        <f>'Revenue drivers'!AD422</f>
        <v>7.9899999999999999E-2</v>
      </c>
      <c r="AE1047">
        <f>'Revenue drivers'!AE422</f>
        <v>8.6199999999999999E-2</v>
      </c>
      <c r="AF1047">
        <f>'Revenue drivers'!AF422</f>
        <v>9.3700000000000006E-2</v>
      </c>
      <c r="AG1047">
        <f>'Revenue drivers'!AG422</f>
        <v>9.9699999999999997E-2</v>
      </c>
      <c r="AH1047">
        <f>'Revenue drivers'!AH422</f>
        <v>0.1057</v>
      </c>
      <c r="AI1047">
        <f>'Revenue drivers'!AI422</f>
        <v>0.11270000000000001</v>
      </c>
      <c r="AJ1047">
        <f>'Revenue drivers'!AJ422</f>
        <v>0.1217</v>
      </c>
      <c r="AK1047">
        <f>'Revenue drivers'!AK422</f>
        <v>0.13069999999999998</v>
      </c>
      <c r="AL1047">
        <f>'Revenue drivers'!AL422</f>
        <v>0.13969999999999999</v>
      </c>
      <c r="AM1047">
        <f>'Revenue drivers'!AM422</f>
        <v>0.1487</v>
      </c>
      <c r="AN1047">
        <f>'Revenue drivers'!AN422</f>
        <v>0.15769999999999998</v>
      </c>
      <c r="AO1047">
        <f>'Revenue drivers'!AO422</f>
        <v>0.16669999999999999</v>
      </c>
      <c r="AP1047">
        <f>'Revenue drivers'!AP422</f>
        <v>0.1757</v>
      </c>
      <c r="AQ1047">
        <f>'Revenue drivers'!AQ422</f>
        <v>0.18469999999999998</v>
      </c>
      <c r="AR1047">
        <f>'Revenue drivers'!AR422</f>
        <v>0.19369999999999998</v>
      </c>
      <c r="AS1047">
        <f>'Revenue drivers'!AS422</f>
        <v>0.20269999999999999</v>
      </c>
      <c r="AT1047">
        <f>'Revenue drivers'!AT422</f>
        <v>0.2117</v>
      </c>
      <c r="AU1047">
        <f>'Revenue drivers'!AU422</f>
        <v>0.22069999999999998</v>
      </c>
      <c r="AV1047">
        <f>'Revenue drivers'!AV422</f>
        <v>0.22969999999999999</v>
      </c>
      <c r="AW1047">
        <f>'Revenue drivers'!AW422</f>
        <v>0.2387</v>
      </c>
      <c r="AX1047">
        <f>'Revenue drivers'!AX422</f>
        <v>0.24769999999999998</v>
      </c>
      <c r="AY1047">
        <f>'Revenue drivers'!AY422</f>
        <v>0.25669999999999998</v>
      </c>
      <c r="AZ1047">
        <f>'Revenue drivers'!AZ422</f>
        <v>0.26569999999999999</v>
      </c>
      <c r="BA1047">
        <f>'Revenue drivers'!BA422</f>
        <v>0.2747</v>
      </c>
      <c r="BB1047">
        <f>'Revenue drivers'!BB422</f>
        <v>0.28370000000000001</v>
      </c>
      <c r="BC1047">
        <f>'Revenue drivers'!BC422</f>
        <v>0.29270000000000002</v>
      </c>
      <c r="BD1047">
        <f>'Revenue drivers'!BD422</f>
        <v>0.30169999999999997</v>
      </c>
      <c r="BE1047">
        <f>'Revenue drivers'!BE422</f>
        <v>0</v>
      </c>
      <c r="BF1047">
        <f>'Revenue drivers'!BF422</f>
        <v>0</v>
      </c>
      <c r="BG1047">
        <f>'Revenue drivers'!BG422</f>
        <v>0</v>
      </c>
      <c r="BH1047">
        <f>'Revenue drivers'!BH422</f>
        <v>4.0000000000000001E-3</v>
      </c>
      <c r="BI1047">
        <f>'Revenue drivers'!BI422</f>
        <v>7.0000000000000001E-3</v>
      </c>
      <c r="BJ1047">
        <f>'Revenue drivers'!BJ422</f>
        <v>1.0999999999999999E-2</v>
      </c>
      <c r="BK1047">
        <f>'Revenue drivers'!BK422</f>
        <v>2.3699999999999999E-2</v>
      </c>
      <c r="BL1047">
        <f>'Revenue drivers'!BL422</f>
        <v>3.9799999999999995E-2</v>
      </c>
      <c r="BM1047">
        <f>'Revenue drivers'!BM422</f>
        <v>6.720000000000001E-2</v>
      </c>
      <c r="BN1047">
        <f>'Revenue drivers'!BN422</f>
        <v>9.3700000000000006E-2</v>
      </c>
      <c r="BO1047">
        <f>'Revenue drivers'!BO422</f>
        <v>0.1217</v>
      </c>
      <c r="BP1047">
        <f>'Revenue drivers'!BP422</f>
        <v>0.15769999999999998</v>
      </c>
      <c r="BQ1047">
        <f>'Revenue drivers'!BQ422</f>
        <v>0.19369999999999998</v>
      </c>
      <c r="BR1047">
        <f>'Revenue drivers'!BR422</f>
        <v>0.22969999999999999</v>
      </c>
      <c r="BS1047">
        <f>'Revenue drivers'!BS422</f>
        <v>0.26569999999999999</v>
      </c>
      <c r="BT1047">
        <f>'Revenue drivers'!BT422</f>
        <v>0.30169999999999997</v>
      </c>
      <c r="BU1047">
        <f>'Revenue drivers'!BU422</f>
        <v>0.32923159682224423</v>
      </c>
      <c r="BV1047">
        <f>'Revenue drivers'!BV422</f>
        <v>0.34669319364448853</v>
      </c>
      <c r="BW1047">
        <f>'Revenue drivers'!BW422</f>
        <v>0.36415479046673283</v>
      </c>
      <c r="BX1047">
        <f>'Revenue drivers'!BX422</f>
        <v>0.38161638728897712</v>
      </c>
      <c r="BY1047">
        <f>'Revenue drivers'!BY422</f>
        <v>0.39907798411122142</v>
      </c>
    </row>
    <row r="1048" spans="9:77" ht="11.25" customHeight="1">
      <c r="I1048" t="str">
        <f>'Revenue drivers'!I423</f>
        <v>% change Y/Y</v>
      </c>
      <c r="J1048">
        <f>'Revenue drivers'!J423</f>
        <v>0</v>
      </c>
      <c r="K1048">
        <f>'Revenue drivers'!K423</f>
        <v>0</v>
      </c>
      <c r="L1048">
        <f>'Revenue drivers'!L423</f>
        <v>0</v>
      </c>
      <c r="M1048" t="str">
        <f>'Revenue drivers'!M423</f>
        <v>NA</v>
      </c>
      <c r="N1048" t="str">
        <f>'Revenue drivers'!N423</f>
        <v>NA</v>
      </c>
      <c r="O1048" t="str">
        <f>'Revenue drivers'!O423</f>
        <v>NA</v>
      </c>
      <c r="P1048" t="str">
        <f>'Revenue drivers'!P423</f>
        <v>NA</v>
      </c>
      <c r="Q1048">
        <f>'Revenue drivers'!Q423</f>
        <v>0.625</v>
      </c>
      <c r="R1048">
        <f>'Revenue drivers'!R423</f>
        <v>0.66666666666666674</v>
      </c>
      <c r="S1048">
        <f>'Revenue drivers'!S423</f>
        <v>0.72727272727272729</v>
      </c>
      <c r="T1048">
        <f>'Revenue drivers'!T423</f>
        <v>1.1545454545454548</v>
      </c>
      <c r="U1048">
        <f>'Revenue drivers'!U423</f>
        <v>1.0769230769230771</v>
      </c>
      <c r="V1048">
        <f>'Revenue drivers'!V423</f>
        <v>1.1200000000000001</v>
      </c>
      <c r="W1048">
        <f>'Revenue drivers'!W423</f>
        <v>0.89473684210526305</v>
      </c>
      <c r="X1048">
        <f>'Revenue drivers'!X423</f>
        <v>0.67932489451476785</v>
      </c>
      <c r="Y1048">
        <f>'Revenue drivers'!Y423</f>
        <v>0.65555555555555567</v>
      </c>
      <c r="Z1048">
        <f>'Revenue drivers'!Z423</f>
        <v>0.6163522012578615</v>
      </c>
      <c r="AA1048">
        <f>'Revenue drivers'!AA423</f>
        <v>0.58888888888888902</v>
      </c>
      <c r="AB1048">
        <f>'Revenue drivers'!AB423</f>
        <v>0.68844221105527681</v>
      </c>
      <c r="AC1048">
        <f>'Revenue drivers'!AC423</f>
        <v>0.65548098434004443</v>
      </c>
      <c r="AD1048">
        <f>'Revenue drivers'!AD423</f>
        <v>0.55447470817120625</v>
      </c>
      <c r="AE1048">
        <f>'Revenue drivers'!AE423</f>
        <v>0.50699300699300687</v>
      </c>
      <c r="AF1048">
        <f>'Revenue drivers'!AF423</f>
        <v>0.39434523809523792</v>
      </c>
      <c r="AG1048">
        <f>'Revenue drivers'!AG423</f>
        <v>0.34729729729729741</v>
      </c>
      <c r="AH1048">
        <f>'Revenue drivers'!AH423</f>
        <v>0.3229036295369212</v>
      </c>
      <c r="AI1048">
        <f>'Revenue drivers'!AI423</f>
        <v>0.30742459396751753</v>
      </c>
      <c r="AJ1048">
        <f>'Revenue drivers'!AJ423</f>
        <v>0.29882604055496254</v>
      </c>
      <c r="AK1048">
        <f>'Revenue drivers'!AK423</f>
        <v>0.31093279839518551</v>
      </c>
      <c r="AL1048">
        <f>'Revenue drivers'!AL423</f>
        <v>0.32166508987701037</v>
      </c>
      <c r="AM1048">
        <f>'Revenue drivers'!AM423</f>
        <v>0.31943212067435667</v>
      </c>
      <c r="AN1048">
        <f>'Revenue drivers'!AN423</f>
        <v>0.29580936729663088</v>
      </c>
      <c r="AO1048">
        <f>'Revenue drivers'!AO423</f>
        <v>0.27543993879112483</v>
      </c>
      <c r="AP1048">
        <f>'Revenue drivers'!AP423</f>
        <v>0.25769506084466709</v>
      </c>
      <c r="AQ1048">
        <f>'Revenue drivers'!AQ423</f>
        <v>0.24209818426361784</v>
      </c>
      <c r="AR1048">
        <f>'Revenue drivers'!AR423</f>
        <v>0.22828154724159799</v>
      </c>
      <c r="AS1048">
        <f>'Revenue drivers'!AS423</f>
        <v>0.21595680863827238</v>
      </c>
      <c r="AT1048">
        <f>'Revenue drivers'!AT423</f>
        <v>0.20489470688673883</v>
      </c>
      <c r="AU1048">
        <f>'Revenue drivers'!AU423</f>
        <v>0.19491066594477546</v>
      </c>
      <c r="AV1048">
        <f>'Revenue drivers'!AV423</f>
        <v>0.18585441404233349</v>
      </c>
      <c r="AW1048">
        <f>'Revenue drivers'!AW423</f>
        <v>0.1776023680315737</v>
      </c>
      <c r="AX1048">
        <f>'Revenue drivers'!AX423</f>
        <v>0.17005196032120917</v>
      </c>
      <c r="AY1048">
        <f>'Revenue drivers'!AY423</f>
        <v>0.16311735387403714</v>
      </c>
      <c r="AZ1048">
        <f>'Revenue drivers'!AZ423</f>
        <v>0.1567261645624729</v>
      </c>
      <c r="BA1048">
        <f>'Revenue drivers'!BA423</f>
        <v>0.15081692501047339</v>
      </c>
      <c r="BB1048">
        <f>'Revenue drivers'!BB423</f>
        <v>0.14533710133225686</v>
      </c>
      <c r="BC1048">
        <f>'Revenue drivers'!BC423</f>
        <v>0.14024152707440596</v>
      </c>
      <c r="BD1048">
        <f>'Revenue drivers'!BD423</f>
        <v>0.13549115543846435</v>
      </c>
      <c r="BE1048">
        <f>'Revenue drivers'!BE423</f>
        <v>0</v>
      </c>
      <c r="BF1048">
        <f>'Revenue drivers'!BF423</f>
        <v>0</v>
      </c>
      <c r="BG1048">
        <f>'Revenue drivers'!BG423</f>
        <v>0</v>
      </c>
      <c r="BH1048" t="str">
        <f>'Revenue drivers'!BH423</f>
        <v>NA</v>
      </c>
      <c r="BI1048">
        <f>'Revenue drivers'!BI423</f>
        <v>0.75</v>
      </c>
      <c r="BJ1048">
        <f>'Revenue drivers'!BJ423</f>
        <v>0.5714285714285714</v>
      </c>
      <c r="BK1048">
        <f>'Revenue drivers'!BK423</f>
        <v>1.1545454545454548</v>
      </c>
      <c r="BL1048">
        <f>'Revenue drivers'!BL423</f>
        <v>0.67932489451476785</v>
      </c>
      <c r="BM1048">
        <f>'Revenue drivers'!BM423</f>
        <v>0.68844221105527681</v>
      </c>
      <c r="BN1048">
        <f>'Revenue drivers'!BN423</f>
        <v>0.39434523809523792</v>
      </c>
      <c r="BO1048">
        <f>'Revenue drivers'!BO423</f>
        <v>0.29882604055496254</v>
      </c>
      <c r="BP1048">
        <f>'Revenue drivers'!BP423</f>
        <v>0.29580936729663088</v>
      </c>
      <c r="BQ1048">
        <f>'Revenue drivers'!BQ423</f>
        <v>0.22828154724159799</v>
      </c>
      <c r="BR1048">
        <f>'Revenue drivers'!BR423</f>
        <v>0.18585441404233349</v>
      </c>
      <c r="BS1048">
        <f>'Revenue drivers'!BS423</f>
        <v>0.1567261645624729</v>
      </c>
      <c r="BT1048">
        <f>'Revenue drivers'!BT423</f>
        <v>0.13549115543846435</v>
      </c>
      <c r="BU1048">
        <f>'Revenue drivers'!BU423</f>
        <v>9.1254878429712472E-2</v>
      </c>
      <c r="BV1048">
        <f>'Revenue drivers'!BV423</f>
        <v>5.3037427120556702E-2</v>
      </c>
      <c r="BW1048">
        <f>'Revenue drivers'!BW423</f>
        <v>5.0366136810144679E-2</v>
      </c>
      <c r="BX1048">
        <f>'Revenue drivers'!BX423</f>
        <v>4.7951028736609391E-2</v>
      </c>
      <c r="BY1048">
        <f>'Revenue drivers'!BY423</f>
        <v>4.5756936556871741E-2</v>
      </c>
    </row>
    <row r="1049" spans="9:77" ht="11.25" customHeight="1">
      <c r="I1049" t="str">
        <f>'Revenue drivers'!I424</f>
        <v>% change Q/Q</v>
      </c>
      <c r="J1049">
        <f>'Revenue drivers'!J424</f>
        <v>0</v>
      </c>
      <c r="K1049">
        <f>'Revenue drivers'!K424</f>
        <v>0</v>
      </c>
      <c r="L1049">
        <f>'Revenue drivers'!L424</f>
        <v>0</v>
      </c>
      <c r="M1049" t="str">
        <f>'Revenue drivers'!M424</f>
        <v>NA</v>
      </c>
      <c r="N1049">
        <f>'Revenue drivers'!N424</f>
        <v>0.125</v>
      </c>
      <c r="O1049">
        <f>'Revenue drivers'!O424</f>
        <v>0.22222222222222232</v>
      </c>
      <c r="P1049">
        <f>'Revenue drivers'!P424</f>
        <v>0</v>
      </c>
      <c r="Q1049">
        <f>'Revenue drivers'!Q424</f>
        <v>0.18181818181818188</v>
      </c>
      <c r="R1049">
        <f>'Revenue drivers'!R424</f>
        <v>0.15384615384615397</v>
      </c>
      <c r="S1049">
        <f>'Revenue drivers'!S424</f>
        <v>0.26666666666666661</v>
      </c>
      <c r="T1049">
        <f>'Revenue drivers'!T424</f>
        <v>0.24736842105263146</v>
      </c>
      <c r="U1049">
        <f>'Revenue drivers'!U424</f>
        <v>0.139240506329114</v>
      </c>
      <c r="V1049">
        <f>'Revenue drivers'!V424</f>
        <v>0.17777777777777781</v>
      </c>
      <c r="W1049">
        <f>'Revenue drivers'!W424</f>
        <v>0.13207547169811296</v>
      </c>
      <c r="X1049">
        <f>'Revenue drivers'!X424</f>
        <v>0.1055555555555554</v>
      </c>
      <c r="Y1049">
        <f>'Revenue drivers'!Y424</f>
        <v>0.12311557788944749</v>
      </c>
      <c r="Z1049">
        <f>'Revenue drivers'!Z424</f>
        <v>0.14988814317673382</v>
      </c>
      <c r="AA1049">
        <f>'Revenue drivers'!AA424</f>
        <v>0.11284046692607008</v>
      </c>
      <c r="AB1049">
        <f>'Revenue drivers'!AB424</f>
        <v>0.17482517482517501</v>
      </c>
      <c r="AC1049">
        <f>'Revenue drivers'!AC424</f>
        <v>0.10119047619047605</v>
      </c>
      <c r="AD1049">
        <f>'Revenue drivers'!AD424</f>
        <v>7.9729729729729693E-2</v>
      </c>
      <c r="AE1049">
        <f>'Revenue drivers'!AE424</f>
        <v>7.8848560700876202E-2</v>
      </c>
      <c r="AF1049">
        <f>'Revenue drivers'!AF424</f>
        <v>8.7006960556844648E-2</v>
      </c>
      <c r="AG1049">
        <f>'Revenue drivers'!AG424</f>
        <v>6.4034151547491813E-2</v>
      </c>
      <c r="AH1049">
        <f>'Revenue drivers'!AH424</f>
        <v>6.0180541624874628E-2</v>
      </c>
      <c r="AI1049">
        <f>'Revenue drivers'!AI424</f>
        <v>6.6225165562914023E-2</v>
      </c>
      <c r="AJ1049">
        <f>'Revenue drivers'!AJ424</f>
        <v>7.9858030168589167E-2</v>
      </c>
      <c r="AK1049">
        <f>'Revenue drivers'!AK424</f>
        <v>7.3952341824157664E-2</v>
      </c>
      <c r="AL1049">
        <f>'Revenue drivers'!AL424</f>
        <v>6.8859984697781318E-2</v>
      </c>
      <c r="AM1049">
        <f>'Revenue drivers'!AM424</f>
        <v>6.4423765211166772E-2</v>
      </c>
      <c r="AN1049">
        <f>'Revenue drivers'!AN424</f>
        <v>6.0524546065904294E-2</v>
      </c>
      <c r="AO1049">
        <f>'Revenue drivers'!AO424</f>
        <v>5.7070386810399443E-2</v>
      </c>
      <c r="AP1049">
        <f>'Revenue drivers'!AP424</f>
        <v>5.3989202159568039E-2</v>
      </c>
      <c r="AQ1049">
        <f>'Revenue drivers'!AQ424</f>
        <v>5.1223676721684486E-2</v>
      </c>
      <c r="AR1049">
        <f>'Revenue drivers'!AR424</f>
        <v>4.8727666486193977E-2</v>
      </c>
      <c r="AS1049">
        <f>'Revenue drivers'!AS424</f>
        <v>4.6463603510583429E-2</v>
      </c>
      <c r="AT1049">
        <f>'Revenue drivers'!AT424</f>
        <v>4.4400592007893369E-2</v>
      </c>
      <c r="AU1049">
        <f>'Revenue drivers'!AU424</f>
        <v>4.2512990080302293E-2</v>
      </c>
      <c r="AV1049">
        <f>'Revenue drivers'!AV424</f>
        <v>4.0779338468509341E-2</v>
      </c>
      <c r="AW1049">
        <f>'Revenue drivers'!AW424</f>
        <v>3.9181541140618226E-2</v>
      </c>
      <c r="AX1049">
        <f>'Revenue drivers'!AX424</f>
        <v>3.7704231252618348E-2</v>
      </c>
      <c r="AY1049">
        <f>'Revenue drivers'!AY424</f>
        <v>3.6334275333064214E-2</v>
      </c>
      <c r="AZ1049">
        <f>'Revenue drivers'!AZ424</f>
        <v>3.506038176860149E-2</v>
      </c>
      <c r="BA1049">
        <f>'Revenue drivers'!BA424</f>
        <v>3.3872788859616199E-2</v>
      </c>
      <c r="BB1049">
        <f>'Revenue drivers'!BB424</f>
        <v>3.2763014197306095E-2</v>
      </c>
      <c r="BC1049">
        <f>'Revenue drivers'!BC424</f>
        <v>3.1723651744800963E-2</v>
      </c>
      <c r="BD1049">
        <f>'Revenue drivers'!BD424</f>
        <v>3.074820635462916E-2</v>
      </c>
      <c r="BE1049">
        <f>'Revenue drivers'!BE424</f>
        <v>0</v>
      </c>
      <c r="BF1049">
        <f>'Revenue drivers'!BF424</f>
        <v>0</v>
      </c>
      <c r="BG1049">
        <f>'Revenue drivers'!BG424</f>
        <v>0</v>
      </c>
      <c r="BH1049">
        <f>'Revenue drivers'!BH424</f>
        <v>0</v>
      </c>
      <c r="BI1049">
        <f>'Revenue drivers'!BI424</f>
        <v>0</v>
      </c>
      <c r="BJ1049">
        <f>'Revenue drivers'!BJ424</f>
        <v>0</v>
      </c>
      <c r="BK1049">
        <f>'Revenue drivers'!BK424</f>
        <v>0</v>
      </c>
      <c r="BL1049">
        <f>'Revenue drivers'!BL424</f>
        <v>0</v>
      </c>
      <c r="BM1049">
        <f>'Revenue drivers'!BM424</f>
        <v>0</v>
      </c>
      <c r="BN1049">
        <f>'Revenue drivers'!BN424</f>
        <v>0</v>
      </c>
      <c r="BO1049">
        <f>'Revenue drivers'!BO424</f>
        <v>0</v>
      </c>
      <c r="BP1049">
        <f>'Revenue drivers'!BP424</f>
        <v>0</v>
      </c>
      <c r="BQ1049">
        <f>'Revenue drivers'!BQ424</f>
        <v>0</v>
      </c>
      <c r="BR1049">
        <f>'Revenue drivers'!BR424</f>
        <v>0</v>
      </c>
      <c r="BS1049">
        <f>'Revenue drivers'!BS424</f>
        <v>0</v>
      </c>
      <c r="BT1049">
        <f>'Revenue drivers'!BT424</f>
        <v>0</v>
      </c>
      <c r="BU1049">
        <f>'Revenue drivers'!BU424</f>
        <v>0</v>
      </c>
      <c r="BV1049">
        <f>'Revenue drivers'!BV424</f>
        <v>0</v>
      </c>
      <c r="BW1049">
        <f>'Revenue drivers'!BW424</f>
        <v>0</v>
      </c>
      <c r="BX1049">
        <f>'Revenue drivers'!BX424</f>
        <v>0</v>
      </c>
      <c r="BY1049">
        <f>'Revenue drivers'!BY424</f>
        <v>0</v>
      </c>
    </row>
    <row r="1050" spans="9:77" ht="11.25" customHeight="1">
      <c r="I1050" t="str">
        <f>'Revenue drivers'!I425</f>
        <v>Paying business participation rate</v>
      </c>
      <c r="J1050">
        <f>'Revenue drivers'!J425</f>
        <v>0</v>
      </c>
      <c r="K1050">
        <f>'Revenue drivers'!K425</f>
        <v>0</v>
      </c>
      <c r="L1050">
        <f>'Revenue drivers'!L425</f>
        <v>0</v>
      </c>
      <c r="M1050">
        <f>'Revenue drivers'!M425</f>
        <v>5.0314465408805034E-2</v>
      </c>
      <c r="N1050">
        <f>'Revenue drivers'!N425</f>
        <v>4.5226130653266326E-2</v>
      </c>
      <c r="O1050">
        <f>'Revenue drivers'!O425</f>
        <v>4.4534412955465584E-2</v>
      </c>
      <c r="P1050">
        <f>'Revenue drivers'!P425</f>
        <v>3.5830618892508138E-2</v>
      </c>
      <c r="Q1050">
        <f>'Revenue drivers'!Q425</f>
        <v>3.4210526315789469E-2</v>
      </c>
      <c r="R1050">
        <f>'Revenue drivers'!R425</f>
        <v>3.3112582781456949E-2</v>
      </c>
      <c r="S1050">
        <f>'Revenue drivers'!S425</f>
        <v>3.5916824196597349E-2</v>
      </c>
      <c r="T1050">
        <f>'Revenue drivers'!T425</f>
        <v>3.9108910891089109E-2</v>
      </c>
      <c r="U1050">
        <f>'Revenue drivers'!U425</f>
        <v>3.8571428571428576E-2</v>
      </c>
      <c r="V1050">
        <f>'Revenue drivers'!V425</f>
        <v>4.0202275600505689E-2</v>
      </c>
      <c r="W1050">
        <f>'Revenue drivers'!W425</f>
        <v>4.0494938132733402E-2</v>
      </c>
      <c r="X1050">
        <f>'Revenue drivers'!X425</f>
        <v>4.004024144869215E-2</v>
      </c>
      <c r="Y1050">
        <f>'Revenue drivers'!Y425</f>
        <v>4.0525838621940168E-2</v>
      </c>
      <c r="Z1050">
        <f>'Revenue drivers'!Z425</f>
        <v>4.2062193126022912E-2</v>
      </c>
      <c r="AA1050">
        <f>'Revenue drivers'!AA425</f>
        <v>4.2559523809523811E-2</v>
      </c>
      <c r="AB1050">
        <f>'Revenue drivers'!AB425</f>
        <v>4.5161290322580649E-2</v>
      </c>
      <c r="AC1050">
        <f>'Revenue drivers'!AC425</f>
        <v>4.6249999999999993E-2</v>
      </c>
      <c r="AD1050">
        <f>'Revenue drivers'!AD425</f>
        <v>4.5631067961165048E-2</v>
      </c>
      <c r="AE1050">
        <f>'Revenue drivers'!AE425</f>
        <v>4.5705196182396608E-2</v>
      </c>
      <c r="AF1050">
        <f>'Revenue drivers'!AF425</f>
        <v>4.6180384425825532E-2</v>
      </c>
      <c r="AG1050">
        <f>'Revenue drivers'!AG425</f>
        <v>4.5462836297309621E-2</v>
      </c>
      <c r="AH1050">
        <f>'Revenue drivers'!AH425</f>
        <v>4.4997871434653038E-2</v>
      </c>
      <c r="AI1050">
        <f>'Revenue drivers'!AI425</f>
        <v>4.5025968837395125E-2</v>
      </c>
      <c r="AJ1050">
        <f>'Revenue drivers'!AJ425</f>
        <v>4.5959214501510574E-2</v>
      </c>
      <c r="AK1050">
        <f>'Revenue drivers'!AK425</f>
        <v>4.6118560338743821E-2</v>
      </c>
      <c r="AL1050">
        <f>'Revenue drivers'!AL425</f>
        <v>4.6411960132890367E-2</v>
      </c>
      <c r="AM1050">
        <f>'Revenue drivers'!AM425</f>
        <v>4.6585213032581452E-2</v>
      </c>
      <c r="AN1050">
        <f>'Revenue drivers'!AN425</f>
        <v>4.6892655367231632E-2</v>
      </c>
      <c r="AO1050">
        <f>'Revenue drivers'!AO425</f>
        <v>4.6838999719022188E-2</v>
      </c>
      <c r="AP1050">
        <f>'Revenue drivers'!AP425</f>
        <v>4.681588062883027E-2</v>
      </c>
      <c r="AQ1050">
        <f>'Revenue drivers'!AQ425</f>
        <v>4.6465408805031437E-2</v>
      </c>
      <c r="AR1050">
        <f>'Revenue drivers'!AR425</f>
        <v>4.6240152781093335E-2</v>
      </c>
      <c r="AS1050">
        <f>'Revenue drivers'!AS425</f>
        <v>4.7271455223880592E-2</v>
      </c>
      <c r="AT1050">
        <f>'Revenue drivers'!AT425</f>
        <v>4.8256211534077956E-2</v>
      </c>
      <c r="AU1050">
        <f>'Revenue drivers'!AU425</f>
        <v>4.9864437415273376E-2</v>
      </c>
      <c r="AV1050">
        <f>'Revenue drivers'!AV425</f>
        <v>5.1375531201073583E-2</v>
      </c>
      <c r="AW1050">
        <f>'Revenue drivers'!AW425</f>
        <v>5.2231947483588614E-2</v>
      </c>
      <c r="AX1050">
        <f>'Revenue drivers'!AX425</f>
        <v>5.3052045405868484E-2</v>
      </c>
      <c r="AY1050">
        <f>'Revenue drivers'!AY425</f>
        <v>5.4524214103653351E-2</v>
      </c>
      <c r="AZ1050">
        <f>'Revenue drivers'!AZ425</f>
        <v>5.5901535872080785E-2</v>
      </c>
      <c r="BA1050">
        <f>'Revenue drivers'!BA425</f>
        <v>5.6615828524319865E-2</v>
      </c>
      <c r="BB1050">
        <f>'Revenue drivers'!BB425</f>
        <v>5.7301555241365376E-2</v>
      </c>
      <c r="BC1050">
        <f>'Revenue drivers'!BC425</f>
        <v>5.8657314629258515E-2</v>
      </c>
      <c r="BD1050">
        <f>'Revenue drivers'!BD425</f>
        <v>5.9920556107249244E-2</v>
      </c>
      <c r="BE1050">
        <f>'Revenue drivers'!BE425</f>
        <v>0</v>
      </c>
      <c r="BF1050">
        <f>'Revenue drivers'!BF425</f>
        <v>0</v>
      </c>
      <c r="BG1050">
        <f>'Revenue drivers'!BG425</f>
        <v>0</v>
      </c>
      <c r="BH1050">
        <f>'Revenue drivers'!BH425</f>
        <v>0.16</v>
      </c>
      <c r="BI1050">
        <f>'Revenue drivers'!BI425</f>
        <v>5.8333333333333334E-2</v>
      </c>
      <c r="BJ1050">
        <f>'Revenue drivers'!BJ425</f>
        <v>3.5830618892508138E-2</v>
      </c>
      <c r="BK1050">
        <f>'Revenue drivers'!BK425</f>
        <v>3.9108910891089109E-2</v>
      </c>
      <c r="BL1050">
        <f>'Revenue drivers'!BL425</f>
        <v>4.004024144869215E-2</v>
      </c>
      <c r="BM1050">
        <f>'Revenue drivers'!BM425</f>
        <v>4.5161290322580649E-2</v>
      </c>
      <c r="BN1050">
        <f>'Revenue drivers'!BN425</f>
        <v>4.6180384425825532E-2</v>
      </c>
      <c r="BO1050">
        <f>'Revenue drivers'!BO425</f>
        <v>4.5959214501510574E-2</v>
      </c>
      <c r="BP1050">
        <f>'Revenue drivers'!BP425</f>
        <v>4.6892655367231632E-2</v>
      </c>
      <c r="BQ1050">
        <f>'Revenue drivers'!BQ425</f>
        <v>4.6240152781093335E-2</v>
      </c>
      <c r="BR1050">
        <f>'Revenue drivers'!BR425</f>
        <v>5.1375531201073583E-2</v>
      </c>
      <c r="BS1050">
        <f>'Revenue drivers'!BS425</f>
        <v>5.5901535872080785E-2</v>
      </c>
      <c r="BT1050">
        <f>'Revenue drivers'!BT425</f>
        <v>5.9920556107249244E-2</v>
      </c>
      <c r="BU1050">
        <f>'Revenue drivers'!BU425</f>
        <v>6.1920556107249246E-2</v>
      </c>
      <c r="BV1050">
        <f>'Revenue drivers'!BV425</f>
        <v>6.1920556107249246E-2</v>
      </c>
      <c r="BW1050">
        <f>'Revenue drivers'!BW425</f>
        <v>6.1920556107249246E-2</v>
      </c>
      <c r="BX1050">
        <f>'Revenue drivers'!BX425</f>
        <v>6.1920556107249246E-2</v>
      </c>
      <c r="BY1050">
        <f>'Revenue drivers'!BY425</f>
        <v>6.1920556107249246E-2</v>
      </c>
    </row>
    <row r="1052" spans="9:77" ht="11.25" customHeight="1">
      <c r="I1052" t="str">
        <f>'Revenue drivers'!I433</f>
        <v>Local Advertising Account</v>
      </c>
      <c r="J1052">
        <f>'Revenue drivers'!J433</f>
        <v>0</v>
      </c>
      <c r="K1052">
        <f>'Revenue drivers'!K433</f>
        <v>0</v>
      </c>
      <c r="L1052">
        <f>'Revenue drivers'!L433</f>
        <v>0</v>
      </c>
      <c r="M1052">
        <f>'Revenue drivers'!M433</f>
        <v>0</v>
      </c>
      <c r="N1052">
        <f>'Revenue drivers'!N433</f>
        <v>0</v>
      </c>
      <c r="O1052">
        <f>'Revenue drivers'!O433</f>
        <v>0</v>
      </c>
      <c r="P1052">
        <f>'Revenue drivers'!P433</f>
        <v>0</v>
      </c>
      <c r="Q1052">
        <f>'Revenue drivers'!Q433</f>
        <v>0</v>
      </c>
      <c r="R1052">
        <f>'Revenue drivers'!R433</f>
        <v>0</v>
      </c>
      <c r="S1052">
        <f>'Revenue drivers'!S433</f>
        <v>0</v>
      </c>
      <c r="T1052">
        <f>'Revenue drivers'!T433</f>
        <v>0</v>
      </c>
      <c r="U1052">
        <f>'Revenue drivers'!U433</f>
        <v>0</v>
      </c>
      <c r="V1052">
        <f>'Revenue drivers'!V433</f>
        <v>0</v>
      </c>
      <c r="W1052">
        <f>'Revenue drivers'!W433</f>
        <v>0</v>
      </c>
      <c r="X1052">
        <f>'Revenue drivers'!X433</f>
        <v>0</v>
      </c>
      <c r="Y1052">
        <f>'Revenue drivers'!Y433</f>
        <v>44.7</v>
      </c>
      <c r="Z1052">
        <f>'Revenue drivers'!Z433</f>
        <v>4.07E-2</v>
      </c>
      <c r="AA1052">
        <f>'Revenue drivers'!AA433</f>
        <v>4.6399999999999997E-2</v>
      </c>
      <c r="AB1052">
        <f>'Revenue drivers'!AB433</f>
        <v>5.4399999999999997E-2</v>
      </c>
      <c r="AC1052">
        <f>'Revenue drivers'!AC433</f>
        <v>6.3500000000000001E-2</v>
      </c>
      <c r="AD1052">
        <f>'Revenue drivers'!AD433</f>
        <v>6.9400000000000003E-2</v>
      </c>
      <c r="AE1052">
        <f>'Revenue drivers'!AE433</f>
        <v>7.6899999999999996E-2</v>
      </c>
      <c r="AF1052">
        <f>'Revenue drivers'!AF433</f>
        <v>8.4000000000000005E-2</v>
      </c>
      <c r="AG1052">
        <f>'Revenue drivers'!AG433</f>
        <v>9.0200000000000002E-2</v>
      </c>
      <c r="AH1052">
        <f>'Revenue drivers'!AH433</f>
        <v>6.9400000000000003E-2</v>
      </c>
      <c r="AI1052">
        <f>'Revenue drivers'!AI433</f>
        <v>0.1042</v>
      </c>
      <c r="AJ1052">
        <f>'Revenue drivers'!AJ433</f>
        <v>0.111</v>
      </c>
      <c r="AK1052">
        <f>'Revenue drivers'!AK433</f>
        <v>0.121</v>
      </c>
      <c r="AL1052">
        <f>'Revenue drivers'!AL433</f>
        <v>0</v>
      </c>
      <c r="AM1052">
        <f>'Revenue drivers'!AM433</f>
        <v>0</v>
      </c>
      <c r="AN1052">
        <f>'Revenue drivers'!AN433</f>
        <v>0</v>
      </c>
      <c r="AO1052">
        <f>'Revenue drivers'!AO433</f>
        <v>0</v>
      </c>
      <c r="AP1052">
        <f>'Revenue drivers'!AP433</f>
        <v>0</v>
      </c>
      <c r="AQ1052">
        <f>'Revenue drivers'!AQ433</f>
        <v>0</v>
      </c>
      <c r="AR1052">
        <f>'Revenue drivers'!AR433</f>
        <v>0</v>
      </c>
      <c r="AS1052">
        <f>'Revenue drivers'!AS433</f>
        <v>0</v>
      </c>
      <c r="AT1052">
        <f>'Revenue drivers'!AT433</f>
        <v>0</v>
      </c>
      <c r="AU1052">
        <f>'Revenue drivers'!AU433</f>
        <v>0</v>
      </c>
      <c r="AV1052">
        <f>'Revenue drivers'!AV433</f>
        <v>0</v>
      </c>
      <c r="AW1052">
        <f>'Revenue drivers'!AW433</f>
        <v>0</v>
      </c>
      <c r="AX1052">
        <f>'Revenue drivers'!AX433</f>
        <v>0</v>
      </c>
      <c r="AY1052">
        <f>'Revenue drivers'!AY433</f>
        <v>0</v>
      </c>
      <c r="AZ1052">
        <f>'Revenue drivers'!AZ433</f>
        <v>0</v>
      </c>
      <c r="BA1052">
        <f>'Revenue drivers'!BA433</f>
        <v>0</v>
      </c>
      <c r="BB1052">
        <f>'Revenue drivers'!BB433</f>
        <v>0</v>
      </c>
      <c r="BC1052">
        <f>'Revenue drivers'!BC433</f>
        <v>0</v>
      </c>
      <c r="BD1052">
        <f>'Revenue drivers'!BD433</f>
        <v>0</v>
      </c>
      <c r="BE1052">
        <f>'Revenue drivers'!BE433</f>
        <v>0</v>
      </c>
      <c r="BF1052">
        <f>'Revenue drivers'!BF433</f>
        <v>0</v>
      </c>
      <c r="BG1052">
        <f>'Revenue drivers'!BG433</f>
        <v>0</v>
      </c>
      <c r="BH1052">
        <f>'Revenue drivers'!BH433</f>
        <v>0</v>
      </c>
      <c r="BI1052">
        <f>'Revenue drivers'!BI433</f>
        <v>0</v>
      </c>
      <c r="BJ1052">
        <f>'Revenue drivers'!BJ433</f>
        <v>0</v>
      </c>
      <c r="BK1052">
        <f>'Revenue drivers'!BK433</f>
        <v>0</v>
      </c>
      <c r="BL1052">
        <f>'Revenue drivers'!BL433</f>
        <v>0</v>
      </c>
      <c r="BM1052">
        <f>'Revenue drivers'!BM433</f>
        <v>0</v>
      </c>
      <c r="BN1052">
        <f>'Revenue drivers'!BN433</f>
        <v>0</v>
      </c>
      <c r="BO1052">
        <f>'Revenue drivers'!BO433</f>
        <v>0</v>
      </c>
      <c r="BP1052">
        <f>'Revenue drivers'!BP433</f>
        <v>0</v>
      </c>
      <c r="BQ1052">
        <f>'Revenue drivers'!BQ433</f>
        <v>0</v>
      </c>
      <c r="BR1052">
        <f>'Revenue drivers'!BR433</f>
        <v>0</v>
      </c>
      <c r="BS1052">
        <f>'Revenue drivers'!BS433</f>
        <v>0</v>
      </c>
      <c r="BT1052">
        <f>'Revenue drivers'!BT433</f>
        <v>0</v>
      </c>
      <c r="BU1052">
        <f>'Revenue drivers'!BU433</f>
        <v>0</v>
      </c>
      <c r="BV1052">
        <f>'Revenue drivers'!BV433</f>
        <v>0</v>
      </c>
      <c r="BW1052">
        <f>'Revenue drivers'!BW433</f>
        <v>0</v>
      </c>
      <c r="BX1052">
        <f>'Revenue drivers'!BX433</f>
        <v>0</v>
      </c>
      <c r="BY1052">
        <f>'Revenue drivers'!BY433</f>
        <v>0</v>
      </c>
    </row>
    <row r="1053" spans="9:77" ht="11.25" customHeight="1">
      <c r="I1053" t="str">
        <f>'Revenue drivers'!I434</f>
        <v>% change Y/Y</v>
      </c>
      <c r="J1053">
        <f>'Revenue drivers'!J434</f>
        <v>0</v>
      </c>
      <c r="K1053">
        <f>'Revenue drivers'!K434</f>
        <v>0</v>
      </c>
      <c r="L1053">
        <f>'Revenue drivers'!L434</f>
        <v>0</v>
      </c>
      <c r="M1053">
        <f>'Revenue drivers'!M434</f>
        <v>0</v>
      </c>
      <c r="N1053">
        <f>'Revenue drivers'!N434</f>
        <v>0</v>
      </c>
      <c r="O1053">
        <f>'Revenue drivers'!O434</f>
        <v>0</v>
      </c>
      <c r="P1053">
        <f>'Revenue drivers'!P434</f>
        <v>0</v>
      </c>
      <c r="Q1053">
        <f>'Revenue drivers'!Q434</f>
        <v>0</v>
      </c>
      <c r="R1053">
        <f>'Revenue drivers'!R434</f>
        <v>0</v>
      </c>
      <c r="S1053">
        <f>'Revenue drivers'!S434</f>
        <v>0</v>
      </c>
      <c r="T1053">
        <f>'Revenue drivers'!T434</f>
        <v>0</v>
      </c>
      <c r="U1053">
        <f>'Revenue drivers'!U434</f>
        <v>0</v>
      </c>
      <c r="V1053">
        <f>'Revenue drivers'!V434</f>
        <v>0</v>
      </c>
      <c r="W1053">
        <f>'Revenue drivers'!W434</f>
        <v>0</v>
      </c>
      <c r="X1053">
        <f>'Revenue drivers'!X434</f>
        <v>0</v>
      </c>
      <c r="Y1053">
        <f>'Revenue drivers'!Y434</f>
        <v>0</v>
      </c>
      <c r="Z1053">
        <f>'Revenue drivers'!Z434</f>
        <v>0</v>
      </c>
      <c r="AA1053">
        <f>'Revenue drivers'!AA434</f>
        <v>0</v>
      </c>
      <c r="AB1053">
        <f>'Revenue drivers'!AB434</f>
        <v>0</v>
      </c>
      <c r="AC1053">
        <f>'Revenue drivers'!AC434</f>
        <v>-0.99857941834451902</v>
      </c>
      <c r="AD1053">
        <f>'Revenue drivers'!AD434</f>
        <v>0.70515970515970516</v>
      </c>
      <c r="AE1053">
        <f>'Revenue drivers'!AE434</f>
        <v>0.65732758620689657</v>
      </c>
      <c r="AF1053">
        <f>'Revenue drivers'!AF434</f>
        <v>0.54411764705882382</v>
      </c>
      <c r="AG1053">
        <f>'Revenue drivers'!AG434</f>
        <v>0.4204724409448819</v>
      </c>
      <c r="AH1053">
        <f>'Revenue drivers'!AH434</f>
        <v>0</v>
      </c>
      <c r="AI1053">
        <f>'Revenue drivers'!AI434</f>
        <v>0.35500650195058525</v>
      </c>
      <c r="AJ1053">
        <f>'Revenue drivers'!AJ434</f>
        <v>0.3214285714285714</v>
      </c>
      <c r="AK1053">
        <f>'Revenue drivers'!AK434</f>
        <v>0.3414634146341462</v>
      </c>
      <c r="AL1053">
        <f>'Revenue drivers'!AL434</f>
        <v>0</v>
      </c>
      <c r="AM1053">
        <f>'Revenue drivers'!AM434</f>
        <v>0</v>
      </c>
      <c r="AN1053">
        <f>'Revenue drivers'!AN434</f>
        <v>0</v>
      </c>
      <c r="AO1053">
        <f>'Revenue drivers'!AO434</f>
        <v>0</v>
      </c>
      <c r="AP1053">
        <f>'Revenue drivers'!AP434</f>
        <v>0</v>
      </c>
      <c r="AQ1053">
        <f>'Revenue drivers'!AQ434</f>
        <v>0</v>
      </c>
      <c r="AR1053">
        <f>'Revenue drivers'!AR434</f>
        <v>0</v>
      </c>
      <c r="AS1053">
        <f>'Revenue drivers'!AS434</f>
        <v>0</v>
      </c>
      <c r="AT1053">
        <f>'Revenue drivers'!AT434</f>
        <v>0</v>
      </c>
      <c r="AU1053">
        <f>'Revenue drivers'!AU434</f>
        <v>0</v>
      </c>
      <c r="AV1053">
        <f>'Revenue drivers'!AV434</f>
        <v>0</v>
      </c>
      <c r="AW1053">
        <f>'Revenue drivers'!AW434</f>
        <v>0</v>
      </c>
      <c r="AX1053">
        <f>'Revenue drivers'!AX434</f>
        <v>0</v>
      </c>
      <c r="AY1053">
        <f>'Revenue drivers'!AY434</f>
        <v>0</v>
      </c>
      <c r="AZ1053">
        <f>'Revenue drivers'!AZ434</f>
        <v>0</v>
      </c>
      <c r="BA1053">
        <f>'Revenue drivers'!BA434</f>
        <v>0</v>
      </c>
      <c r="BB1053">
        <f>'Revenue drivers'!BB434</f>
        <v>0</v>
      </c>
      <c r="BC1053">
        <f>'Revenue drivers'!BC434</f>
        <v>0</v>
      </c>
      <c r="BD1053">
        <f>'Revenue drivers'!BD434</f>
        <v>0</v>
      </c>
      <c r="BE1053">
        <f>'Revenue drivers'!BE434</f>
        <v>0</v>
      </c>
      <c r="BF1053">
        <f>'Revenue drivers'!BF434</f>
        <v>0</v>
      </c>
      <c r="BG1053">
        <f>'Revenue drivers'!BG434</f>
        <v>0</v>
      </c>
      <c r="BH1053">
        <f>'Revenue drivers'!BH434</f>
        <v>0</v>
      </c>
      <c r="BI1053">
        <f>'Revenue drivers'!BI434</f>
        <v>0</v>
      </c>
      <c r="BJ1053">
        <f>'Revenue drivers'!BJ434</f>
        <v>0</v>
      </c>
      <c r="BK1053">
        <f>'Revenue drivers'!BK434</f>
        <v>0</v>
      </c>
      <c r="BL1053">
        <f>'Revenue drivers'!BL434</f>
        <v>0</v>
      </c>
      <c r="BM1053">
        <f>'Revenue drivers'!BM434</f>
        <v>0</v>
      </c>
      <c r="BN1053">
        <f>'Revenue drivers'!BN434</f>
        <v>0</v>
      </c>
      <c r="BO1053">
        <f>'Revenue drivers'!BO434</f>
        <v>0</v>
      </c>
      <c r="BP1053">
        <f>'Revenue drivers'!BP434</f>
        <v>0</v>
      </c>
      <c r="BQ1053">
        <f>'Revenue drivers'!BQ434</f>
        <v>0</v>
      </c>
      <c r="BR1053">
        <f>'Revenue drivers'!BR434</f>
        <v>0</v>
      </c>
      <c r="BS1053">
        <f>'Revenue drivers'!BS434</f>
        <v>0</v>
      </c>
      <c r="BT1053">
        <f>'Revenue drivers'!BT434</f>
        <v>0</v>
      </c>
      <c r="BU1053">
        <f>'Revenue drivers'!BU434</f>
        <v>0</v>
      </c>
      <c r="BV1053">
        <f>'Revenue drivers'!BV434</f>
        <v>0</v>
      </c>
      <c r="BW1053">
        <f>'Revenue drivers'!BW434</f>
        <v>0</v>
      </c>
      <c r="BX1053">
        <f>'Revenue drivers'!BX434</f>
        <v>0</v>
      </c>
      <c r="BY1053">
        <f>'Revenue drivers'!BY434</f>
        <v>0</v>
      </c>
    </row>
    <row r="1054" spans="9:77" ht="11.25" customHeight="1">
      <c r="I1054" t="str">
        <f>'Revenue drivers'!I435</f>
        <v>% change Q/Q</v>
      </c>
      <c r="J1054">
        <f>'Revenue drivers'!J435</f>
        <v>0</v>
      </c>
      <c r="K1054">
        <f>'Revenue drivers'!K435</f>
        <v>0</v>
      </c>
      <c r="L1054">
        <f>'Revenue drivers'!L435</f>
        <v>0</v>
      </c>
      <c r="M1054">
        <f>'Revenue drivers'!M435</f>
        <v>0</v>
      </c>
      <c r="N1054">
        <f>'Revenue drivers'!N435</f>
        <v>0</v>
      </c>
      <c r="O1054">
        <f>'Revenue drivers'!O435</f>
        <v>0</v>
      </c>
      <c r="P1054">
        <f>'Revenue drivers'!P435</f>
        <v>0</v>
      </c>
      <c r="Q1054">
        <f>'Revenue drivers'!Q435</f>
        <v>0</v>
      </c>
      <c r="R1054">
        <f>'Revenue drivers'!R435</f>
        <v>0</v>
      </c>
      <c r="S1054">
        <f>'Revenue drivers'!S435</f>
        <v>0</v>
      </c>
      <c r="T1054">
        <f>'Revenue drivers'!T435</f>
        <v>0</v>
      </c>
      <c r="U1054">
        <f>'Revenue drivers'!U435</f>
        <v>0</v>
      </c>
      <c r="V1054">
        <f>'Revenue drivers'!V435</f>
        <v>0</v>
      </c>
      <c r="W1054">
        <f>'Revenue drivers'!W435</f>
        <v>0</v>
      </c>
      <c r="X1054">
        <f>'Revenue drivers'!X435</f>
        <v>0</v>
      </c>
      <c r="Y1054">
        <f>'Revenue drivers'!Y435</f>
        <v>0</v>
      </c>
      <c r="Z1054">
        <f>'Revenue drivers'!Z435</f>
        <v>-0.99908948545861298</v>
      </c>
      <c r="AA1054">
        <f>'Revenue drivers'!AA435</f>
        <v>0.14004914004913993</v>
      </c>
      <c r="AB1054">
        <f>'Revenue drivers'!AB435</f>
        <v>0.1724137931034484</v>
      </c>
      <c r="AC1054">
        <f>'Revenue drivers'!AC435</f>
        <v>0.16727941176470607</v>
      </c>
      <c r="AD1054">
        <f>'Revenue drivers'!AD435</f>
        <v>9.2913385826771666E-2</v>
      </c>
      <c r="AE1054">
        <f>'Revenue drivers'!AE435</f>
        <v>0.10806916426512947</v>
      </c>
      <c r="AF1054">
        <f>'Revenue drivers'!AF435</f>
        <v>9.2327698309492945E-2</v>
      </c>
      <c r="AG1054">
        <f>'Revenue drivers'!AG435</f>
        <v>7.3809523809523769E-2</v>
      </c>
      <c r="AH1054">
        <f>'Revenue drivers'!AH435</f>
        <v>-0.23059866962305986</v>
      </c>
      <c r="AI1054">
        <f>'Revenue drivers'!AI435</f>
        <v>0.50144092219020164</v>
      </c>
      <c r="AJ1054">
        <f>'Revenue drivers'!AJ435</f>
        <v>6.5259117082533624E-2</v>
      </c>
      <c r="AK1054">
        <f>'Revenue drivers'!AK435</f>
        <v>9.0090090090090058E-2</v>
      </c>
      <c r="AL1054">
        <f>'Revenue drivers'!AL435</f>
        <v>0</v>
      </c>
      <c r="AM1054">
        <f>'Revenue drivers'!AM435</f>
        <v>0</v>
      </c>
      <c r="AN1054">
        <f>'Revenue drivers'!AN435</f>
        <v>0</v>
      </c>
      <c r="AO1054">
        <f>'Revenue drivers'!AO435</f>
        <v>0</v>
      </c>
      <c r="AP1054">
        <f>'Revenue drivers'!AP435</f>
        <v>0</v>
      </c>
      <c r="AQ1054">
        <f>'Revenue drivers'!AQ435</f>
        <v>0</v>
      </c>
      <c r="AR1054">
        <f>'Revenue drivers'!AR435</f>
        <v>0</v>
      </c>
      <c r="AS1054">
        <f>'Revenue drivers'!AS435</f>
        <v>0</v>
      </c>
      <c r="AT1054">
        <f>'Revenue drivers'!AT435</f>
        <v>0</v>
      </c>
      <c r="AU1054">
        <f>'Revenue drivers'!AU435</f>
        <v>0</v>
      </c>
      <c r="AV1054">
        <f>'Revenue drivers'!AV435</f>
        <v>0</v>
      </c>
      <c r="AW1054">
        <f>'Revenue drivers'!AW435</f>
        <v>0</v>
      </c>
      <c r="AX1054">
        <f>'Revenue drivers'!AX435</f>
        <v>0</v>
      </c>
      <c r="AY1054">
        <f>'Revenue drivers'!AY435</f>
        <v>0</v>
      </c>
      <c r="AZ1054">
        <f>'Revenue drivers'!AZ435</f>
        <v>0</v>
      </c>
      <c r="BA1054">
        <f>'Revenue drivers'!BA435</f>
        <v>0</v>
      </c>
      <c r="BB1054">
        <f>'Revenue drivers'!BB435</f>
        <v>0</v>
      </c>
      <c r="BC1054">
        <f>'Revenue drivers'!BC435</f>
        <v>0</v>
      </c>
      <c r="BD1054">
        <f>'Revenue drivers'!BD435</f>
        <v>0</v>
      </c>
      <c r="BE1054">
        <f>'Revenue drivers'!BE435</f>
        <v>0</v>
      </c>
      <c r="BF1054">
        <f>'Revenue drivers'!BF435</f>
        <v>0</v>
      </c>
      <c r="BG1054">
        <f>'Revenue drivers'!BG435</f>
        <v>0</v>
      </c>
      <c r="BH1054">
        <f>'Revenue drivers'!BH435</f>
        <v>0</v>
      </c>
      <c r="BI1054">
        <f>'Revenue drivers'!BI435</f>
        <v>0</v>
      </c>
      <c r="BJ1054">
        <f>'Revenue drivers'!BJ435</f>
        <v>0</v>
      </c>
      <c r="BK1054">
        <f>'Revenue drivers'!BK435</f>
        <v>0</v>
      </c>
      <c r="BL1054">
        <f>'Revenue drivers'!BL435</f>
        <v>0</v>
      </c>
      <c r="BM1054">
        <f>'Revenue drivers'!BM435</f>
        <v>0</v>
      </c>
      <c r="BN1054">
        <f>'Revenue drivers'!BN435</f>
        <v>0</v>
      </c>
      <c r="BO1054">
        <f>'Revenue drivers'!BO435</f>
        <v>0</v>
      </c>
      <c r="BP1054">
        <f>'Revenue drivers'!BP435</f>
        <v>0</v>
      </c>
      <c r="BQ1054">
        <f>'Revenue drivers'!BQ435</f>
        <v>0</v>
      </c>
      <c r="BR1054">
        <f>'Revenue drivers'!BR435</f>
        <v>0</v>
      </c>
      <c r="BS1054">
        <f>'Revenue drivers'!BS435</f>
        <v>0</v>
      </c>
      <c r="BT1054">
        <f>'Revenue drivers'!BT435</f>
        <v>0</v>
      </c>
      <c r="BU1054">
        <f>'Revenue drivers'!BU435</f>
        <v>0</v>
      </c>
      <c r="BV1054">
        <f>'Revenue drivers'!BV435</f>
        <v>0</v>
      </c>
      <c r="BW1054">
        <f>'Revenue drivers'!BW435</f>
        <v>0</v>
      </c>
      <c r="BX1054">
        <f>'Revenue drivers'!BX435</f>
        <v>0</v>
      </c>
      <c r="BY1054">
        <f>'Revenue drivers'!BY435</f>
        <v>0</v>
      </c>
    </row>
    <row r="1055" spans="9:77" ht="11.25" customHeight="1">
      <c r="I1055" t="str">
        <f>'Revenue drivers'!I436</f>
        <v>Paying business participation rate</v>
      </c>
      <c r="J1055">
        <f>'Revenue drivers'!J436</f>
        <v>0</v>
      </c>
      <c r="K1055">
        <f>'Revenue drivers'!K436</f>
        <v>0</v>
      </c>
      <c r="L1055">
        <f>'Revenue drivers'!L436</f>
        <v>0</v>
      </c>
      <c r="M1055">
        <f>'Revenue drivers'!M436</f>
        <v>0</v>
      </c>
      <c r="N1055">
        <f>'Revenue drivers'!N436</f>
        <v>0</v>
      </c>
      <c r="O1055">
        <f>'Revenue drivers'!O436</f>
        <v>0</v>
      </c>
      <c r="P1055">
        <f>'Revenue drivers'!P436</f>
        <v>0</v>
      </c>
      <c r="Q1055">
        <f>'Revenue drivers'!Q436</f>
        <v>0</v>
      </c>
      <c r="R1055">
        <f>'Revenue drivers'!R436</f>
        <v>0</v>
      </c>
      <c r="S1055">
        <f>'Revenue drivers'!S436</f>
        <v>0</v>
      </c>
      <c r="T1055">
        <f>'Revenue drivers'!T436</f>
        <v>0</v>
      </c>
      <c r="U1055">
        <f>'Revenue drivers'!U436</f>
        <v>0</v>
      </c>
      <c r="V1055">
        <f>'Revenue drivers'!V436</f>
        <v>0</v>
      </c>
      <c r="W1055">
        <f>'Revenue drivers'!W436</f>
        <v>0</v>
      </c>
      <c r="X1055">
        <f>'Revenue drivers'!X436</f>
        <v>0</v>
      </c>
      <c r="Y1055">
        <f>'Revenue drivers'!Y436</f>
        <v>40.525838621940167</v>
      </c>
      <c r="Z1055">
        <f>'Revenue drivers'!Z436</f>
        <v>3.3306055646481182E-2</v>
      </c>
      <c r="AA1055">
        <f>'Revenue drivers'!AA436</f>
        <v>3.4523809523809519E-2</v>
      </c>
      <c r="AB1055">
        <f>'Revenue drivers'!AB436</f>
        <v>3.6559139784946237E-2</v>
      </c>
      <c r="AC1055">
        <f>'Revenue drivers'!AC436</f>
        <v>3.9687500000000001E-2</v>
      </c>
      <c r="AD1055">
        <f>'Revenue drivers'!AD436</f>
        <v>3.9634494574528847E-2</v>
      </c>
      <c r="AE1055">
        <f>'Revenue drivers'!AE436</f>
        <v>4.0774125132555676E-2</v>
      </c>
      <c r="AF1055">
        <f>'Revenue drivers'!AF436</f>
        <v>4.1399704287826522E-2</v>
      </c>
      <c r="AG1055">
        <f>'Revenue drivers'!AG436</f>
        <v>4.1130870953032375E-2</v>
      </c>
      <c r="AH1055">
        <f>'Revenue drivers'!AH436</f>
        <v>2.9544487015751384E-2</v>
      </c>
      <c r="AI1055">
        <f>'Revenue drivers'!AI436</f>
        <v>4.163004394726328E-2</v>
      </c>
      <c r="AJ1055">
        <f>'Revenue drivers'!AJ436</f>
        <v>4.1918429003021146E-2</v>
      </c>
      <c r="AK1055">
        <f>'Revenue drivers'!AK436</f>
        <v>4.2695836273817921E-2</v>
      </c>
      <c r="AL1055">
        <f>'Revenue drivers'!AL436</f>
        <v>0</v>
      </c>
      <c r="AM1055">
        <f>'Revenue drivers'!AM436</f>
        <v>0</v>
      </c>
      <c r="AN1055">
        <f>'Revenue drivers'!AN436</f>
        <v>0</v>
      </c>
      <c r="AO1055">
        <f>'Revenue drivers'!AO436</f>
        <v>0</v>
      </c>
      <c r="AP1055">
        <f>'Revenue drivers'!AP436</f>
        <v>0</v>
      </c>
      <c r="AQ1055">
        <f>'Revenue drivers'!AQ436</f>
        <v>0</v>
      </c>
      <c r="AR1055">
        <f>'Revenue drivers'!AR436</f>
        <v>0</v>
      </c>
      <c r="AS1055">
        <f>'Revenue drivers'!AS436</f>
        <v>0</v>
      </c>
      <c r="AT1055">
        <f>'Revenue drivers'!AT436</f>
        <v>0</v>
      </c>
      <c r="AU1055">
        <f>'Revenue drivers'!AU436</f>
        <v>0</v>
      </c>
      <c r="AV1055">
        <f>'Revenue drivers'!AV436</f>
        <v>0</v>
      </c>
      <c r="AW1055">
        <f>'Revenue drivers'!AW436</f>
        <v>0</v>
      </c>
      <c r="AX1055">
        <f>'Revenue drivers'!AX436</f>
        <v>0</v>
      </c>
      <c r="AY1055">
        <f>'Revenue drivers'!AY436</f>
        <v>0</v>
      </c>
      <c r="AZ1055">
        <f>'Revenue drivers'!AZ436</f>
        <v>0</v>
      </c>
      <c r="BA1055">
        <f>'Revenue drivers'!BA436</f>
        <v>0</v>
      </c>
      <c r="BB1055">
        <f>'Revenue drivers'!BB436</f>
        <v>0</v>
      </c>
      <c r="BC1055">
        <f>'Revenue drivers'!BC436</f>
        <v>0</v>
      </c>
      <c r="BD1055">
        <f>'Revenue drivers'!BD436</f>
        <v>0</v>
      </c>
      <c r="BE1055">
        <f>'Revenue drivers'!BE436</f>
        <v>0</v>
      </c>
      <c r="BF1055">
        <f>'Revenue drivers'!BF436</f>
        <v>0</v>
      </c>
      <c r="BG1055">
        <f>'Revenue drivers'!BG436</f>
        <v>0</v>
      </c>
      <c r="BH1055">
        <f>'Revenue drivers'!BH436</f>
        <v>0</v>
      </c>
      <c r="BI1055">
        <f>'Revenue drivers'!BI436</f>
        <v>0</v>
      </c>
      <c r="BJ1055">
        <f>'Revenue drivers'!BJ436</f>
        <v>0</v>
      </c>
      <c r="BK1055">
        <f>'Revenue drivers'!BK436</f>
        <v>0</v>
      </c>
      <c r="BL1055">
        <f>'Revenue drivers'!BL436</f>
        <v>0</v>
      </c>
      <c r="BM1055">
        <f>'Revenue drivers'!BM436</f>
        <v>0</v>
      </c>
      <c r="BN1055">
        <f>'Revenue drivers'!BN436</f>
        <v>0</v>
      </c>
      <c r="BO1055">
        <f>'Revenue drivers'!BO436</f>
        <v>0</v>
      </c>
      <c r="BP1055">
        <f>'Revenue drivers'!BP436</f>
        <v>0</v>
      </c>
      <c r="BQ1055">
        <f>'Revenue drivers'!BQ436</f>
        <v>0</v>
      </c>
      <c r="BR1055">
        <f>'Revenue drivers'!BR436</f>
        <v>0</v>
      </c>
      <c r="BS1055">
        <f>'Revenue drivers'!BS436</f>
        <v>0</v>
      </c>
      <c r="BT1055">
        <f>'Revenue drivers'!BT436</f>
        <v>0</v>
      </c>
      <c r="BU1055">
        <f>'Revenue drivers'!BU436</f>
        <v>0</v>
      </c>
      <c r="BV1055">
        <f>'Revenue drivers'!BV436</f>
        <v>0</v>
      </c>
      <c r="BW1055">
        <f>'Revenue drivers'!BW436</f>
        <v>0</v>
      </c>
      <c r="BX1055">
        <f>'Revenue drivers'!BX436</f>
        <v>0</v>
      </c>
      <c r="BY1055">
        <f>'Revenue drivers'!BY436</f>
        <v>0</v>
      </c>
    </row>
    <row r="1056" spans="9:77" ht="11.25" customHeight="1">
      <c r="I1056">
        <f>'Revenue drivers'!I426</f>
        <v>0</v>
      </c>
      <c r="J1056">
        <f>'Revenue drivers'!J426</f>
        <v>0</v>
      </c>
      <c r="K1056">
        <f>'Revenue drivers'!K426</f>
        <v>0</v>
      </c>
      <c r="L1056">
        <f>'Revenue drivers'!L426</f>
        <v>0</v>
      </c>
      <c r="M1056">
        <f>'Revenue drivers'!M426</f>
        <v>0</v>
      </c>
      <c r="N1056">
        <f>'Revenue drivers'!N426</f>
        <v>0</v>
      </c>
      <c r="O1056">
        <f>'Revenue drivers'!O426</f>
        <v>0</v>
      </c>
      <c r="P1056">
        <f>'Revenue drivers'!P426</f>
        <v>0</v>
      </c>
      <c r="Q1056">
        <f>'Revenue drivers'!Q426</f>
        <v>0</v>
      </c>
      <c r="R1056">
        <f>'Revenue drivers'!R426</f>
        <v>0</v>
      </c>
      <c r="S1056">
        <f>'Revenue drivers'!S426</f>
        <v>0</v>
      </c>
      <c r="T1056">
        <f>'Revenue drivers'!T426</f>
        <v>0</v>
      </c>
      <c r="U1056">
        <f>'Revenue drivers'!U426</f>
        <v>0</v>
      </c>
      <c r="V1056">
        <f>'Revenue drivers'!V426</f>
        <v>0</v>
      </c>
      <c r="W1056">
        <f>'Revenue drivers'!W426</f>
        <v>0</v>
      </c>
      <c r="X1056">
        <f>'Revenue drivers'!X426</f>
        <v>0</v>
      </c>
      <c r="Y1056">
        <f>'Revenue drivers'!Y426</f>
        <v>0</v>
      </c>
      <c r="Z1056">
        <f>'Revenue drivers'!Z426</f>
        <v>0</v>
      </c>
      <c r="AA1056">
        <f>'Revenue drivers'!AA426</f>
        <v>0</v>
      </c>
      <c r="AB1056">
        <f>'Revenue drivers'!AB426</f>
        <v>0</v>
      </c>
      <c r="AC1056">
        <f>'Revenue drivers'!AC426</f>
        <v>0</v>
      </c>
      <c r="AD1056">
        <f>'Revenue drivers'!AD426</f>
        <v>0</v>
      </c>
      <c r="AE1056">
        <f>'Revenue drivers'!AE426</f>
        <v>0</v>
      </c>
      <c r="AF1056">
        <f>'Revenue drivers'!AF426</f>
        <v>0</v>
      </c>
      <c r="AG1056">
        <f>'Revenue drivers'!AG426</f>
        <v>0</v>
      </c>
      <c r="AH1056">
        <f>'Revenue drivers'!AH426</f>
        <v>0</v>
      </c>
      <c r="AI1056">
        <f>'Revenue drivers'!AI426</f>
        <v>0</v>
      </c>
      <c r="AJ1056">
        <f>'Revenue drivers'!AJ426</f>
        <v>0</v>
      </c>
      <c r="AK1056">
        <f>'Revenue drivers'!AK426</f>
        <v>0</v>
      </c>
      <c r="AL1056">
        <f>'Revenue drivers'!AL426</f>
        <v>0</v>
      </c>
      <c r="AM1056">
        <f>'Revenue drivers'!AM426</f>
        <v>0</v>
      </c>
      <c r="AN1056">
        <f>'Revenue drivers'!AN426</f>
        <v>0</v>
      </c>
      <c r="AO1056">
        <f>'Revenue drivers'!AO426</f>
        <v>0</v>
      </c>
      <c r="AP1056">
        <f>'Revenue drivers'!AP426</f>
        <v>0</v>
      </c>
      <c r="AQ1056">
        <f>'Revenue drivers'!AQ426</f>
        <v>0</v>
      </c>
      <c r="AR1056">
        <f>'Revenue drivers'!AR426</f>
        <v>0</v>
      </c>
      <c r="AS1056">
        <f>'Revenue drivers'!AS426</f>
        <v>0</v>
      </c>
      <c r="AT1056">
        <f>'Revenue drivers'!AT426</f>
        <v>0</v>
      </c>
      <c r="AU1056">
        <f>'Revenue drivers'!AU426</f>
        <v>0</v>
      </c>
      <c r="AV1056">
        <f>'Revenue drivers'!AV426</f>
        <v>0</v>
      </c>
      <c r="AW1056">
        <f>'Revenue drivers'!AW426</f>
        <v>0</v>
      </c>
      <c r="AX1056">
        <f>'Revenue drivers'!AX426</f>
        <v>0</v>
      </c>
      <c r="AY1056">
        <f>'Revenue drivers'!AY426</f>
        <v>0</v>
      </c>
      <c r="AZ1056">
        <f>'Revenue drivers'!AZ426</f>
        <v>0</v>
      </c>
      <c r="BA1056">
        <f>'Revenue drivers'!BA426</f>
        <v>0</v>
      </c>
      <c r="BB1056">
        <f>'Revenue drivers'!BB426</f>
        <v>0</v>
      </c>
      <c r="BC1056">
        <f>'Revenue drivers'!BC426</f>
        <v>0</v>
      </c>
      <c r="BD1056">
        <f>'Revenue drivers'!BD426</f>
        <v>0</v>
      </c>
      <c r="BE1056">
        <f>'Revenue drivers'!BE426</f>
        <v>0</v>
      </c>
      <c r="BF1056">
        <f>'Revenue drivers'!BF426</f>
        <v>0</v>
      </c>
      <c r="BG1056">
        <f>'Revenue drivers'!BG426</f>
        <v>0</v>
      </c>
      <c r="BH1056">
        <f>'Revenue drivers'!BH426</f>
        <v>0</v>
      </c>
      <c r="BI1056">
        <f>'Revenue drivers'!BI426</f>
        <v>0</v>
      </c>
      <c r="BJ1056">
        <f>'Revenue drivers'!BJ426</f>
        <v>0</v>
      </c>
      <c r="BK1056">
        <f>'Revenue drivers'!BK426</f>
        <v>0</v>
      </c>
      <c r="BL1056">
        <f>'Revenue drivers'!BL426</f>
        <v>0</v>
      </c>
      <c r="BM1056">
        <f>'Revenue drivers'!BM426</f>
        <v>0</v>
      </c>
      <c r="BN1056">
        <f>'Revenue drivers'!BN426</f>
        <v>0</v>
      </c>
      <c r="BO1056">
        <f>'Revenue drivers'!BO426</f>
        <v>0</v>
      </c>
      <c r="BP1056">
        <f>'Revenue drivers'!BP426</f>
        <v>0</v>
      </c>
      <c r="BQ1056">
        <f>'Revenue drivers'!BQ426</f>
        <v>0</v>
      </c>
      <c r="BR1056">
        <f>'Revenue drivers'!BR426</f>
        <v>0</v>
      </c>
      <c r="BS1056">
        <f>'Revenue drivers'!BS426</f>
        <v>0</v>
      </c>
      <c r="BT1056">
        <f>'Revenue drivers'!BT426</f>
        <v>0</v>
      </c>
      <c r="BU1056">
        <f>'Revenue drivers'!BU426</f>
        <v>0</v>
      </c>
      <c r="BV1056">
        <f>'Revenue drivers'!BV426</f>
        <v>0</v>
      </c>
      <c r="BW1056">
        <f>'Revenue drivers'!BW426</f>
        <v>0</v>
      </c>
      <c r="BX1056">
        <f>'Revenue drivers'!BX426</f>
        <v>0</v>
      </c>
      <c r="BY1056">
        <f>'Revenue drivers'!BY426</f>
        <v>0</v>
      </c>
    </row>
    <row r="1057" spans="9:77" ht="11.25" customHeight="1">
      <c r="I1057">
        <f>'Revenue drivers'!I437</f>
        <v>0</v>
      </c>
      <c r="J1057">
        <f>'Revenue drivers'!J437</f>
        <v>0</v>
      </c>
      <c r="K1057">
        <f>'Revenue drivers'!K437</f>
        <v>0</v>
      </c>
      <c r="L1057">
        <f>'Revenue drivers'!L437</f>
        <v>0</v>
      </c>
      <c r="M1057">
        <f>'Revenue drivers'!M437</f>
        <v>0</v>
      </c>
      <c r="N1057">
        <f>'Revenue drivers'!N437</f>
        <v>0</v>
      </c>
      <c r="O1057">
        <f>'Revenue drivers'!O437</f>
        <v>0</v>
      </c>
      <c r="P1057">
        <f>'Revenue drivers'!P437</f>
        <v>0</v>
      </c>
      <c r="Q1057">
        <f>'Revenue drivers'!Q437</f>
        <v>0</v>
      </c>
      <c r="R1057">
        <f>'Revenue drivers'!R437</f>
        <v>0</v>
      </c>
      <c r="S1057">
        <f>'Revenue drivers'!S437</f>
        <v>0</v>
      </c>
      <c r="T1057">
        <f>'Revenue drivers'!T437</f>
        <v>0</v>
      </c>
      <c r="U1057">
        <f>'Revenue drivers'!U437</f>
        <v>0</v>
      </c>
      <c r="V1057">
        <f>'Revenue drivers'!V437</f>
        <v>0</v>
      </c>
      <c r="W1057">
        <f>'Revenue drivers'!W437</f>
        <v>0</v>
      </c>
      <c r="X1057">
        <f>'Revenue drivers'!X437</f>
        <v>0</v>
      </c>
      <c r="Y1057">
        <f>'Revenue drivers'!Y437</f>
        <v>0</v>
      </c>
      <c r="Z1057">
        <f>'Revenue drivers'!Z437</f>
        <v>0</v>
      </c>
      <c r="AA1057">
        <f>'Revenue drivers'!AA437</f>
        <v>0</v>
      </c>
      <c r="AB1057">
        <f>'Revenue drivers'!AB437</f>
        <v>0</v>
      </c>
      <c r="AC1057">
        <f>'Revenue drivers'!AC437</f>
        <v>0</v>
      </c>
      <c r="AD1057">
        <f>'Revenue drivers'!AD437</f>
        <v>0</v>
      </c>
      <c r="AE1057">
        <f>'Revenue drivers'!AE437</f>
        <v>0</v>
      </c>
      <c r="AF1057">
        <f>'Revenue drivers'!AF437</f>
        <v>0</v>
      </c>
      <c r="AG1057">
        <f>'Revenue drivers'!AG437</f>
        <v>0</v>
      </c>
      <c r="AH1057">
        <f>'Revenue drivers'!AH437</f>
        <v>0</v>
      </c>
      <c r="AI1057">
        <f>'Revenue drivers'!AI437</f>
        <v>0</v>
      </c>
      <c r="AJ1057">
        <f>'Revenue drivers'!AJ437</f>
        <v>0</v>
      </c>
      <c r="AK1057">
        <f>'Revenue drivers'!AK437</f>
        <v>0</v>
      </c>
      <c r="AL1057">
        <f>'Revenue drivers'!AL437</f>
        <v>0</v>
      </c>
      <c r="AM1057">
        <f>'Revenue drivers'!AM437</f>
        <v>0</v>
      </c>
      <c r="AN1057">
        <f>'Revenue drivers'!AN437</f>
        <v>0</v>
      </c>
      <c r="AO1057">
        <f>'Revenue drivers'!AO437</f>
        <v>0</v>
      </c>
      <c r="AP1057">
        <f>'Revenue drivers'!AP437</f>
        <v>0</v>
      </c>
      <c r="AQ1057">
        <f>'Revenue drivers'!AQ437</f>
        <v>0</v>
      </c>
      <c r="AR1057">
        <f>'Revenue drivers'!AR437</f>
        <v>0</v>
      </c>
      <c r="AS1057">
        <f>'Revenue drivers'!AS437</f>
        <v>0</v>
      </c>
      <c r="AT1057">
        <f>'Revenue drivers'!AT437</f>
        <v>0</v>
      </c>
      <c r="AU1057">
        <f>'Revenue drivers'!AU437</f>
        <v>0</v>
      </c>
      <c r="AV1057">
        <f>'Revenue drivers'!AV437</f>
        <v>0</v>
      </c>
      <c r="AW1057">
        <f>'Revenue drivers'!AW437</f>
        <v>0</v>
      </c>
      <c r="AX1057">
        <f>'Revenue drivers'!AX437</f>
        <v>0</v>
      </c>
      <c r="AY1057">
        <f>'Revenue drivers'!AY437</f>
        <v>0</v>
      </c>
      <c r="AZ1057">
        <f>'Revenue drivers'!AZ437</f>
        <v>0</v>
      </c>
      <c r="BA1057">
        <f>'Revenue drivers'!BA437</f>
        <v>0</v>
      </c>
      <c r="BB1057">
        <f>'Revenue drivers'!BB437</f>
        <v>0</v>
      </c>
      <c r="BC1057">
        <f>'Revenue drivers'!BC437</f>
        <v>0</v>
      </c>
      <c r="BD1057">
        <f>'Revenue drivers'!BD437</f>
        <v>0</v>
      </c>
      <c r="BE1057">
        <f>'Revenue drivers'!BE437</f>
        <v>0</v>
      </c>
      <c r="BF1057">
        <f>'Revenue drivers'!BF437</f>
        <v>0</v>
      </c>
      <c r="BG1057">
        <f>'Revenue drivers'!BG437</f>
        <v>0</v>
      </c>
      <c r="BH1057">
        <f>'Revenue drivers'!BH437</f>
        <v>0</v>
      </c>
      <c r="BI1057">
        <f>'Revenue drivers'!BI437</f>
        <v>0</v>
      </c>
      <c r="BJ1057">
        <f>'Revenue drivers'!BJ437</f>
        <v>0</v>
      </c>
      <c r="BK1057">
        <f>'Revenue drivers'!BK437</f>
        <v>0</v>
      </c>
      <c r="BL1057">
        <f>'Revenue drivers'!BL437</f>
        <v>0</v>
      </c>
      <c r="BM1057">
        <f>'Revenue drivers'!BM437</f>
        <v>0</v>
      </c>
      <c r="BN1057">
        <f>'Revenue drivers'!BN437</f>
        <v>0</v>
      </c>
      <c r="BO1057">
        <f>'Revenue drivers'!BO437</f>
        <v>0</v>
      </c>
      <c r="BP1057">
        <f>'Revenue drivers'!BP437</f>
        <v>0</v>
      </c>
      <c r="BQ1057">
        <f>'Revenue drivers'!BQ437</f>
        <v>0</v>
      </c>
      <c r="BR1057">
        <f>'Revenue drivers'!BR437</f>
        <v>0</v>
      </c>
      <c r="BS1057">
        <f>'Revenue drivers'!BS437</f>
        <v>0</v>
      </c>
      <c r="BT1057">
        <f>'Revenue drivers'!BT437</f>
        <v>0</v>
      </c>
      <c r="BU1057">
        <f>'Revenue drivers'!BU437</f>
        <v>0</v>
      </c>
      <c r="BV1057">
        <f>'Revenue drivers'!BV437</f>
        <v>0</v>
      </c>
      <c r="BW1057">
        <f>'Revenue drivers'!BW437</f>
        <v>0</v>
      </c>
      <c r="BX1057">
        <f>'Revenue drivers'!BX437</f>
        <v>0</v>
      </c>
      <c r="BY1057">
        <f>'Revenue drivers'!BY437</f>
        <v>0</v>
      </c>
    </row>
    <row r="1058" spans="9:77" ht="11.25" customHeight="1">
      <c r="I1058" t="str">
        <f>'Revenue drivers'!I216</f>
        <v xml:space="preserve">AD REVENUE CHANNEL BREAKDOWN </v>
      </c>
      <c r="J1058">
        <f>'Revenue drivers'!J216</f>
        <v>0</v>
      </c>
      <c r="K1058">
        <f>'Revenue drivers'!K216</f>
        <v>0</v>
      </c>
      <c r="L1058">
        <f>'Revenue drivers'!L216</f>
        <v>0</v>
      </c>
      <c r="M1058">
        <f>'Revenue drivers'!M216</f>
        <v>0</v>
      </c>
      <c r="N1058">
        <f>'Revenue drivers'!N216</f>
        <v>0</v>
      </c>
      <c r="O1058">
        <f>'Revenue drivers'!O216</f>
        <v>0</v>
      </c>
      <c r="P1058">
        <f>'Revenue drivers'!P216</f>
        <v>0</v>
      </c>
      <c r="Q1058">
        <f>'Revenue drivers'!Q216</f>
        <v>0</v>
      </c>
      <c r="R1058">
        <f>'Revenue drivers'!R216</f>
        <v>0</v>
      </c>
      <c r="S1058">
        <f>'Revenue drivers'!S216</f>
        <v>0</v>
      </c>
      <c r="T1058">
        <f>'Revenue drivers'!T216</f>
        <v>0</v>
      </c>
      <c r="U1058">
        <f>'Revenue drivers'!U216</f>
        <v>0</v>
      </c>
      <c r="V1058">
        <f>'Revenue drivers'!V216</f>
        <v>0</v>
      </c>
      <c r="W1058">
        <f>'Revenue drivers'!W216</f>
        <v>0</v>
      </c>
      <c r="X1058">
        <f>'Revenue drivers'!X216</f>
        <v>0</v>
      </c>
      <c r="Y1058">
        <f>'Revenue drivers'!Y216</f>
        <v>0</v>
      </c>
      <c r="Z1058">
        <f>'Revenue drivers'!Z216</f>
        <v>0</v>
      </c>
      <c r="AA1058">
        <f>'Revenue drivers'!AA216</f>
        <v>0</v>
      </c>
      <c r="AB1058">
        <f>'Revenue drivers'!AB216</f>
        <v>0</v>
      </c>
      <c r="AC1058">
        <f>'Revenue drivers'!AC216</f>
        <v>0</v>
      </c>
      <c r="AD1058">
        <f>'Revenue drivers'!AD216</f>
        <v>0</v>
      </c>
      <c r="AE1058">
        <f>'Revenue drivers'!AE216</f>
        <v>0</v>
      </c>
      <c r="AF1058">
        <f>'Revenue drivers'!AF216</f>
        <v>0</v>
      </c>
      <c r="AG1058">
        <f>'Revenue drivers'!AG216</f>
        <v>0</v>
      </c>
      <c r="AH1058">
        <f>'Revenue drivers'!AH216</f>
        <v>0</v>
      </c>
      <c r="AI1058">
        <f>'Revenue drivers'!AI216</f>
        <v>0</v>
      </c>
      <c r="AJ1058">
        <f>'Revenue drivers'!AJ216</f>
        <v>0</v>
      </c>
      <c r="AK1058">
        <f>'Revenue drivers'!AK216</f>
        <v>0</v>
      </c>
      <c r="AL1058">
        <f>'Revenue drivers'!AL216</f>
        <v>0</v>
      </c>
      <c r="AM1058">
        <f>'Revenue drivers'!AM216</f>
        <v>0</v>
      </c>
      <c r="AN1058">
        <f>'Revenue drivers'!AN216</f>
        <v>0</v>
      </c>
      <c r="AO1058">
        <f>'Revenue drivers'!AO216</f>
        <v>0</v>
      </c>
      <c r="AP1058">
        <f>'Revenue drivers'!AP216</f>
        <v>0</v>
      </c>
      <c r="AQ1058">
        <f>'Revenue drivers'!AQ216</f>
        <v>0</v>
      </c>
      <c r="AR1058">
        <f>'Revenue drivers'!AR216</f>
        <v>0</v>
      </c>
      <c r="AS1058">
        <f>'Revenue drivers'!AS216</f>
        <v>0</v>
      </c>
      <c r="AT1058">
        <f>'Revenue drivers'!AT216</f>
        <v>0</v>
      </c>
      <c r="AU1058">
        <f>'Revenue drivers'!AU216</f>
        <v>0</v>
      </c>
      <c r="AV1058">
        <f>'Revenue drivers'!AV216</f>
        <v>0</v>
      </c>
      <c r="AW1058">
        <f>'Revenue drivers'!AW216</f>
        <v>0</v>
      </c>
      <c r="AX1058">
        <f>'Revenue drivers'!AX216</f>
        <v>0</v>
      </c>
      <c r="AY1058">
        <f>'Revenue drivers'!AY216</f>
        <v>0</v>
      </c>
      <c r="AZ1058">
        <f>'Revenue drivers'!AZ216</f>
        <v>0</v>
      </c>
      <c r="BA1058">
        <f>'Revenue drivers'!BA216</f>
        <v>0</v>
      </c>
      <c r="BB1058">
        <f>'Revenue drivers'!BB216</f>
        <v>0</v>
      </c>
      <c r="BC1058">
        <f>'Revenue drivers'!BC216</f>
        <v>0</v>
      </c>
      <c r="BD1058">
        <f>'Revenue drivers'!BD216</f>
        <v>0</v>
      </c>
      <c r="BE1058">
        <f>'Revenue drivers'!BE216</f>
        <v>0</v>
      </c>
      <c r="BF1058">
        <f>'Revenue drivers'!BF216</f>
        <v>0</v>
      </c>
      <c r="BG1058">
        <f>'Revenue drivers'!BG216</f>
        <v>0</v>
      </c>
      <c r="BH1058">
        <f>'Revenue drivers'!BH216</f>
        <v>0</v>
      </c>
      <c r="BI1058">
        <f>'Revenue drivers'!BI216</f>
        <v>0</v>
      </c>
      <c r="BJ1058">
        <f>'Revenue drivers'!BJ216</f>
        <v>0</v>
      </c>
      <c r="BK1058">
        <f>'Revenue drivers'!BK216</f>
        <v>0</v>
      </c>
      <c r="BL1058">
        <f>'Revenue drivers'!BL216</f>
        <v>0</v>
      </c>
      <c r="BM1058">
        <f>'Revenue drivers'!BM216</f>
        <v>0</v>
      </c>
      <c r="BN1058">
        <f>'Revenue drivers'!BN216</f>
        <v>0</v>
      </c>
      <c r="BO1058">
        <f>'Revenue drivers'!BO216</f>
        <v>0</v>
      </c>
      <c r="BP1058">
        <f>'Revenue drivers'!BP216</f>
        <v>0</v>
      </c>
      <c r="BQ1058">
        <f>'Revenue drivers'!BQ216</f>
        <v>0</v>
      </c>
      <c r="BR1058">
        <f>'Revenue drivers'!BR216</f>
        <v>0</v>
      </c>
      <c r="BS1058">
        <f>'Revenue drivers'!BS216</f>
        <v>0</v>
      </c>
      <c r="BT1058">
        <f>'Revenue drivers'!BT216</f>
        <v>0</v>
      </c>
      <c r="BU1058">
        <f>'Revenue drivers'!BU216</f>
        <v>0</v>
      </c>
      <c r="BV1058">
        <f>'Revenue drivers'!BV216</f>
        <v>0</v>
      </c>
      <c r="BW1058">
        <f>'Revenue drivers'!BW216</f>
        <v>0</v>
      </c>
      <c r="BX1058">
        <f>'Revenue drivers'!BX216</f>
        <v>0</v>
      </c>
      <c r="BY1058">
        <f>'Revenue drivers'!BY216</f>
        <v>0</v>
      </c>
    </row>
    <row r="1059" spans="9:77" ht="11.25" customHeight="1">
      <c r="I1059" t="str">
        <f>'Revenue drivers'!I253</f>
        <v>Revenue Mix by Vertical (Total Revenue)</v>
      </c>
      <c r="J1059">
        <f>'Revenue drivers'!J253</f>
        <v>0</v>
      </c>
      <c r="K1059">
        <f>'Revenue drivers'!K253</f>
        <v>0</v>
      </c>
      <c r="L1059">
        <f>'Revenue drivers'!L253</f>
        <v>0</v>
      </c>
      <c r="M1059">
        <f>'Revenue drivers'!M253</f>
        <v>0</v>
      </c>
      <c r="N1059">
        <f>'Revenue drivers'!N253</f>
        <v>0</v>
      </c>
      <c r="O1059">
        <f>'Revenue drivers'!O253</f>
        <v>0</v>
      </c>
      <c r="P1059">
        <f>'Revenue drivers'!P253</f>
        <v>0</v>
      </c>
      <c r="Q1059">
        <f>'Revenue drivers'!Q253</f>
        <v>0</v>
      </c>
      <c r="R1059">
        <f>'Revenue drivers'!R253</f>
        <v>0</v>
      </c>
      <c r="S1059">
        <f>'Revenue drivers'!S253</f>
        <v>0</v>
      </c>
      <c r="T1059">
        <f>'Revenue drivers'!T253</f>
        <v>0</v>
      </c>
      <c r="U1059">
        <f>'Revenue drivers'!U253</f>
        <v>0</v>
      </c>
      <c r="V1059">
        <f>'Revenue drivers'!V253</f>
        <v>0</v>
      </c>
      <c r="W1059">
        <f>'Revenue drivers'!W253</f>
        <v>0</v>
      </c>
      <c r="X1059">
        <f>'Revenue drivers'!X253</f>
        <v>0</v>
      </c>
      <c r="Y1059">
        <f>'Revenue drivers'!Y253</f>
        <v>0</v>
      </c>
      <c r="Z1059">
        <f>'Revenue drivers'!Z253</f>
        <v>0</v>
      </c>
      <c r="AA1059">
        <f>'Revenue drivers'!AA253</f>
        <v>0</v>
      </c>
      <c r="AB1059">
        <f>'Revenue drivers'!AB253</f>
        <v>0</v>
      </c>
      <c r="AC1059">
        <f>'Revenue drivers'!AC253</f>
        <v>0</v>
      </c>
      <c r="AD1059">
        <f>'Revenue drivers'!AD253</f>
        <v>0</v>
      </c>
      <c r="AE1059">
        <f>'Revenue drivers'!AE253</f>
        <v>0</v>
      </c>
      <c r="AF1059">
        <f>'Revenue drivers'!AF253</f>
        <v>0</v>
      </c>
      <c r="AG1059">
        <f>'Revenue drivers'!AG253</f>
        <v>0</v>
      </c>
      <c r="AH1059">
        <f>'Revenue drivers'!AH253</f>
        <v>0</v>
      </c>
      <c r="AI1059">
        <f>'Revenue drivers'!AI253</f>
        <v>0</v>
      </c>
      <c r="AJ1059">
        <f>'Revenue drivers'!AJ253</f>
        <v>0</v>
      </c>
      <c r="AK1059">
        <f>'Revenue drivers'!AK253</f>
        <v>0</v>
      </c>
      <c r="AL1059">
        <f>'Revenue drivers'!AL253</f>
        <v>0</v>
      </c>
      <c r="AM1059">
        <f>'Revenue drivers'!AM253</f>
        <v>0</v>
      </c>
      <c r="AN1059">
        <f>'Revenue drivers'!AN253</f>
        <v>0</v>
      </c>
      <c r="AO1059">
        <f>'Revenue drivers'!AO253</f>
        <v>0</v>
      </c>
      <c r="AP1059">
        <f>'Revenue drivers'!AP253</f>
        <v>0</v>
      </c>
      <c r="AQ1059">
        <f>'Revenue drivers'!AQ253</f>
        <v>0</v>
      </c>
      <c r="AR1059">
        <f>'Revenue drivers'!AR253</f>
        <v>0</v>
      </c>
      <c r="AS1059">
        <f>'Revenue drivers'!AS253</f>
        <v>0</v>
      </c>
      <c r="AT1059">
        <f>'Revenue drivers'!AT253</f>
        <v>0</v>
      </c>
      <c r="AU1059">
        <f>'Revenue drivers'!AU253</f>
        <v>0</v>
      </c>
      <c r="AV1059">
        <f>'Revenue drivers'!AV253</f>
        <v>0</v>
      </c>
      <c r="AW1059">
        <f>'Revenue drivers'!AW253</f>
        <v>0</v>
      </c>
      <c r="AX1059">
        <f>'Revenue drivers'!AX253</f>
        <v>0</v>
      </c>
      <c r="AY1059">
        <f>'Revenue drivers'!AY253</f>
        <v>0</v>
      </c>
      <c r="AZ1059">
        <f>'Revenue drivers'!AZ253</f>
        <v>0</v>
      </c>
      <c r="BA1059">
        <f>'Revenue drivers'!BA253</f>
        <v>0</v>
      </c>
      <c r="BB1059">
        <f>'Revenue drivers'!BB253</f>
        <v>0</v>
      </c>
      <c r="BC1059">
        <f>'Revenue drivers'!BC253</f>
        <v>0</v>
      </c>
      <c r="BD1059">
        <f>'Revenue drivers'!BD253</f>
        <v>0</v>
      </c>
      <c r="BE1059">
        <f>'Revenue drivers'!BE253</f>
        <v>0</v>
      </c>
      <c r="BF1059">
        <f>'Revenue drivers'!BF253</f>
        <v>0</v>
      </c>
      <c r="BG1059">
        <f>'Revenue drivers'!BG253</f>
        <v>0</v>
      </c>
      <c r="BH1059">
        <f>'Revenue drivers'!BH253</f>
        <v>0</v>
      </c>
      <c r="BI1059">
        <f>'Revenue drivers'!BI253</f>
        <v>0</v>
      </c>
      <c r="BJ1059">
        <f>'Revenue drivers'!BJ253</f>
        <v>0</v>
      </c>
      <c r="BK1059">
        <f>'Revenue drivers'!BK253</f>
        <v>0</v>
      </c>
      <c r="BL1059">
        <f>'Revenue drivers'!BL253</f>
        <v>0</v>
      </c>
      <c r="BM1059">
        <f>'Revenue drivers'!BM253</f>
        <v>0</v>
      </c>
      <c r="BN1059">
        <f>'Revenue drivers'!BN253</f>
        <v>0</v>
      </c>
      <c r="BO1059">
        <f>'Revenue drivers'!BO253</f>
        <v>0</v>
      </c>
      <c r="BP1059">
        <f>'Revenue drivers'!BP253</f>
        <v>0</v>
      </c>
      <c r="BQ1059">
        <f>'Revenue drivers'!BQ253</f>
        <v>0</v>
      </c>
      <c r="BR1059">
        <f>'Revenue drivers'!BR253</f>
        <v>0</v>
      </c>
      <c r="BS1059">
        <f>'Revenue drivers'!BS253</f>
        <v>0</v>
      </c>
      <c r="BT1059">
        <f>'Revenue drivers'!BT253</f>
        <v>0</v>
      </c>
      <c r="BU1059">
        <f>'Revenue drivers'!BU253</f>
        <v>0</v>
      </c>
      <c r="BV1059">
        <f>'Revenue drivers'!BV253</f>
        <v>0</v>
      </c>
      <c r="BW1059">
        <f>'Revenue drivers'!BW253</f>
        <v>0</v>
      </c>
      <c r="BX1059">
        <f>'Revenue drivers'!BX253</f>
        <v>0</v>
      </c>
      <c r="BY1059">
        <f>'Revenue drivers'!BY253</f>
        <v>0</v>
      </c>
    </row>
    <row r="1060" spans="9:77" ht="11.25" customHeight="1">
      <c r="I1060" t="str">
        <f>'Revenue drivers'!I254</f>
        <v>Home &amp; Local</v>
      </c>
      <c r="J1060">
        <f>'Revenue drivers'!J254</f>
        <v>0</v>
      </c>
      <c r="K1060">
        <f>'Revenue drivers'!K254</f>
        <v>0</v>
      </c>
      <c r="L1060">
        <f>'Revenue drivers'!L254</f>
        <v>0</v>
      </c>
      <c r="M1060">
        <f>'Revenue drivers'!M254</f>
        <v>0</v>
      </c>
      <c r="N1060">
        <f>'Revenue drivers'!N254</f>
        <v>0</v>
      </c>
      <c r="O1060">
        <f>'Revenue drivers'!O254</f>
        <v>0</v>
      </c>
      <c r="P1060">
        <f>'Revenue drivers'!P254</f>
        <v>0</v>
      </c>
      <c r="Q1060">
        <f>'Revenue drivers'!Q254</f>
        <v>0</v>
      </c>
      <c r="R1060">
        <f>'Revenue drivers'!R254</f>
        <v>0</v>
      </c>
      <c r="S1060">
        <f>'Revenue drivers'!S254</f>
        <v>0</v>
      </c>
      <c r="T1060">
        <f>'Revenue drivers'!T254</f>
        <v>0</v>
      </c>
      <c r="U1060">
        <f>'Revenue drivers'!U254</f>
        <v>0</v>
      </c>
      <c r="V1060">
        <f>'Revenue drivers'!V254</f>
        <v>0</v>
      </c>
      <c r="W1060">
        <f>'Revenue drivers'!W254</f>
        <v>0</v>
      </c>
      <c r="X1060">
        <f>'Revenue drivers'!X254</f>
        <v>0</v>
      </c>
      <c r="Y1060">
        <f>'Revenue drivers'!Y254</f>
        <v>10.14926</v>
      </c>
      <c r="Z1060">
        <f>'Revenue drivers'!Z254</f>
        <v>13.20552</v>
      </c>
      <c r="AA1060">
        <f>'Revenue drivers'!AA254</f>
        <v>14.683439999999999</v>
      </c>
      <c r="AB1060">
        <f>'Revenue drivers'!AB254</f>
        <v>16.956239999999998</v>
      </c>
      <c r="AC1060">
        <f>'Revenue drivers'!AC254</f>
        <v>19.101749999999999</v>
      </c>
      <c r="AD1060">
        <f>'Revenue drivers'!AD254</f>
        <v>23.084620000000001</v>
      </c>
      <c r="AE1060">
        <f>'Revenue drivers'!AE254</f>
        <v>26.638300000000001</v>
      </c>
      <c r="AF1060">
        <f>'Revenue drivers'!AF254</f>
        <v>28.570620000000002</v>
      </c>
      <c r="AG1060">
        <f>'Revenue drivers'!AG254</f>
        <v>29.068000000000001</v>
      </c>
      <c r="AH1060">
        <f>'Revenue drivers'!AH254</f>
        <v>35.167999999999999</v>
      </c>
      <c r="AI1060">
        <f>'Revenue drivers'!AI254</f>
        <v>37.688000000000002</v>
      </c>
      <c r="AJ1060">
        <f>'Revenue drivers'!AJ254</f>
        <v>41.076000000000001</v>
      </c>
      <c r="AK1060">
        <f>'Revenue drivers'!AK254</f>
        <v>45.997769999999996</v>
      </c>
      <c r="AL1060">
        <f>'Revenue drivers'!AL254</f>
        <v>52.028399999999998</v>
      </c>
      <c r="AM1060">
        <f>'Revenue drivers'!AM254</f>
        <v>55.869599999999998</v>
      </c>
      <c r="AN1060">
        <f>'Revenue drivers'!AN254</f>
        <v>57.951809999999995</v>
      </c>
      <c r="AO1060">
        <f>'Revenue drivers'!AO254</f>
        <v>59.196899999999999</v>
      </c>
      <c r="AP1060">
        <f>'Revenue drivers'!AP254</f>
        <v>64.747839999999997</v>
      </c>
      <c r="AQ1060">
        <f>'Revenue drivers'!AQ254</f>
        <v>68.937799999999996</v>
      </c>
      <c r="AR1060">
        <f>'Revenue drivers'!AR254</f>
        <v>67.656260000000003</v>
      </c>
      <c r="AS1060">
        <f>'Revenue drivers'!AS254</f>
        <v>59.196899999999999</v>
      </c>
      <c r="AT1060">
        <f>'Revenue drivers'!AT254</f>
        <v>64.747839999999997</v>
      </c>
      <c r="AU1060">
        <f>'Revenue drivers'!AU254</f>
        <v>68.937799999999996</v>
      </c>
      <c r="AV1060">
        <f>'Revenue drivers'!AV254</f>
        <v>67.656260000000003</v>
      </c>
      <c r="AW1060">
        <f>'Revenue drivers'!AW254</f>
        <v>59.196899999999999</v>
      </c>
      <c r="AX1060">
        <f>'Revenue drivers'!AX254</f>
        <v>64.747839999999997</v>
      </c>
      <c r="AY1060">
        <f>'Revenue drivers'!AY254</f>
        <v>68.937799999999996</v>
      </c>
      <c r="AZ1060">
        <f>'Revenue drivers'!AZ254</f>
        <v>67.656260000000003</v>
      </c>
      <c r="BA1060">
        <f>'Revenue drivers'!BA254</f>
        <v>59.196899999999999</v>
      </c>
      <c r="BB1060">
        <f>'Revenue drivers'!BB254</f>
        <v>64.747839999999997</v>
      </c>
      <c r="BC1060">
        <f>'Revenue drivers'!BC254</f>
        <v>68.937799999999996</v>
      </c>
      <c r="BD1060">
        <f>'Revenue drivers'!BD254</f>
        <v>67.656260000000003</v>
      </c>
      <c r="BE1060">
        <f>'Revenue drivers'!BE254</f>
        <v>0</v>
      </c>
      <c r="BF1060">
        <f>'Revenue drivers'!BF254</f>
        <v>0</v>
      </c>
      <c r="BG1060">
        <f>'Revenue drivers'!BG254</f>
        <v>0</v>
      </c>
      <c r="BH1060">
        <f>'Revenue drivers'!BH254</f>
        <v>0</v>
      </c>
      <c r="BI1060">
        <f>'Revenue drivers'!BI254</f>
        <v>0</v>
      </c>
      <c r="BJ1060">
        <f>'Revenue drivers'!BJ254</f>
        <v>0</v>
      </c>
      <c r="BK1060">
        <f>'Revenue drivers'!BK254</f>
        <v>0</v>
      </c>
      <c r="BL1060">
        <f>'Revenue drivers'!BL254</f>
        <v>0</v>
      </c>
      <c r="BM1060">
        <f>'Revenue drivers'!BM254</f>
        <v>54.994459999999989</v>
      </c>
      <c r="BN1060">
        <f>'Revenue drivers'!BN254</f>
        <v>97.395290000000003</v>
      </c>
      <c r="BO1060">
        <f>'Revenue drivers'!BO254</f>
        <v>143</v>
      </c>
      <c r="BP1060">
        <f>'Revenue drivers'!BP254</f>
        <v>159.92976999999999</v>
      </c>
      <c r="BQ1060">
        <f>'Revenue drivers'!BQ254</f>
        <v>0</v>
      </c>
      <c r="BR1060">
        <f>'Revenue drivers'!BR254</f>
        <v>0</v>
      </c>
      <c r="BS1060">
        <f>'Revenue drivers'!BS254</f>
        <v>0</v>
      </c>
      <c r="BT1060">
        <f>'Revenue drivers'!BT254</f>
        <v>0</v>
      </c>
      <c r="BU1060">
        <f>'Revenue drivers'!BU254</f>
        <v>0</v>
      </c>
      <c r="BV1060">
        <f>'Revenue drivers'!BV254</f>
        <v>0</v>
      </c>
      <c r="BW1060">
        <f>'Revenue drivers'!BW254</f>
        <v>0</v>
      </c>
      <c r="BX1060">
        <f>'Revenue drivers'!BX254</f>
        <v>0</v>
      </c>
      <c r="BY1060">
        <f>'Revenue drivers'!BY254</f>
        <v>0</v>
      </c>
    </row>
    <row r="1061" spans="9:77" ht="11.25" customHeight="1">
      <c r="I1061" t="str">
        <f>'Revenue drivers'!I255</f>
        <v>Restaurants</v>
      </c>
      <c r="J1061">
        <f>'Revenue drivers'!J255</f>
        <v>0</v>
      </c>
      <c r="K1061">
        <f>'Revenue drivers'!K255</f>
        <v>0</v>
      </c>
      <c r="L1061">
        <f>'Revenue drivers'!L255</f>
        <v>0</v>
      </c>
      <c r="M1061">
        <f>'Revenue drivers'!M255</f>
        <v>0</v>
      </c>
      <c r="N1061">
        <f>'Revenue drivers'!N255</f>
        <v>0</v>
      </c>
      <c r="O1061">
        <f>'Revenue drivers'!O255</f>
        <v>0</v>
      </c>
      <c r="P1061">
        <f>'Revenue drivers'!P255</f>
        <v>0</v>
      </c>
      <c r="Q1061">
        <f>'Revenue drivers'!Q255</f>
        <v>0</v>
      </c>
      <c r="R1061">
        <f>'Revenue drivers'!R255</f>
        <v>0</v>
      </c>
      <c r="S1061">
        <f>'Revenue drivers'!S255</f>
        <v>0</v>
      </c>
      <c r="T1061">
        <f>'Revenue drivers'!T255</f>
        <v>0</v>
      </c>
      <c r="U1061">
        <f>'Revenue drivers'!U255</f>
        <v>0</v>
      </c>
      <c r="V1061">
        <f>'Revenue drivers'!V255</f>
        <v>0</v>
      </c>
      <c r="W1061">
        <f>'Revenue drivers'!W255</f>
        <v>0</v>
      </c>
      <c r="X1061">
        <f>'Revenue drivers'!X255</f>
        <v>0</v>
      </c>
      <c r="Y1061">
        <f>'Revenue drivers'!Y255</f>
        <v>7.3812800000000003</v>
      </c>
      <c r="Z1061">
        <f>'Revenue drivers'!Z255</f>
        <v>8.8036799999999999</v>
      </c>
      <c r="AA1061">
        <f>'Revenue drivers'!AA255</f>
        <v>9.7889599999999994</v>
      </c>
      <c r="AB1061">
        <f>'Revenue drivers'!AB255</f>
        <v>11.30416</v>
      </c>
      <c r="AC1061">
        <f>'Revenue drivers'!AC255</f>
        <v>12.22512</v>
      </c>
      <c r="AD1061">
        <f>'Revenue drivers'!AD255</f>
        <v>13.318050000000001</v>
      </c>
      <c r="AE1061">
        <f>'Revenue drivers'!AE255</f>
        <v>15.36825</v>
      </c>
      <c r="AF1061">
        <f>'Revenue drivers'!AF255</f>
        <v>16.483049999999999</v>
      </c>
      <c r="AG1061">
        <f>'Revenue drivers'!AG255</f>
        <v>16.77</v>
      </c>
      <c r="AH1061">
        <f>'Revenue drivers'!AH255</f>
        <v>18.84</v>
      </c>
      <c r="AI1061">
        <f>'Revenue drivers'!AI255</f>
        <v>20.189999999999998</v>
      </c>
      <c r="AJ1061">
        <f>'Revenue drivers'!AJ255</f>
        <v>20.538</v>
      </c>
      <c r="AK1061">
        <f>'Revenue drivers'!AK255</f>
        <v>22.205820000000003</v>
      </c>
      <c r="AL1061">
        <f>'Revenue drivers'!AL255</f>
        <v>24.279920000000001</v>
      </c>
      <c r="AM1061">
        <f>'Revenue drivers'!AM255</f>
        <v>27.934799999999999</v>
      </c>
      <c r="AN1061">
        <f>'Revenue drivers'!AN255</f>
        <v>28.732409999999998</v>
      </c>
      <c r="AO1061">
        <f>'Revenue drivers'!AO255</f>
        <v>27.625220000000002</v>
      </c>
      <c r="AP1061">
        <f>'Revenue drivers'!AP255</f>
        <v>29.240960000000005</v>
      </c>
      <c r="AQ1061">
        <f>'Revenue drivers'!AQ255</f>
        <v>33.356999999999999</v>
      </c>
      <c r="AR1061">
        <f>'Revenue drivers'!AR255</f>
        <v>30.554440000000003</v>
      </c>
      <c r="AS1061">
        <f>'Revenue drivers'!AS255</f>
        <v>27.625220000000002</v>
      </c>
      <c r="AT1061">
        <f>'Revenue drivers'!AT255</f>
        <v>29.240960000000005</v>
      </c>
      <c r="AU1061">
        <f>'Revenue drivers'!AU255</f>
        <v>33.356999999999999</v>
      </c>
      <c r="AV1061">
        <f>'Revenue drivers'!AV255</f>
        <v>30.554440000000003</v>
      </c>
      <c r="AW1061">
        <f>'Revenue drivers'!AW255</f>
        <v>27.625220000000002</v>
      </c>
      <c r="AX1061">
        <f>'Revenue drivers'!AX255</f>
        <v>29.240960000000005</v>
      </c>
      <c r="AY1061">
        <f>'Revenue drivers'!AY255</f>
        <v>33.356999999999999</v>
      </c>
      <c r="AZ1061">
        <f>'Revenue drivers'!AZ255</f>
        <v>30.554440000000003</v>
      </c>
      <c r="BA1061">
        <f>'Revenue drivers'!BA255</f>
        <v>27.625220000000002</v>
      </c>
      <c r="BB1061">
        <f>'Revenue drivers'!BB255</f>
        <v>29.240960000000005</v>
      </c>
      <c r="BC1061">
        <f>'Revenue drivers'!BC255</f>
        <v>33.356999999999999</v>
      </c>
      <c r="BD1061">
        <f>'Revenue drivers'!BD255</f>
        <v>30.554440000000003</v>
      </c>
      <c r="BE1061">
        <f>'Revenue drivers'!BE255</f>
        <v>0</v>
      </c>
      <c r="BF1061">
        <f>'Revenue drivers'!BF255</f>
        <v>0</v>
      </c>
      <c r="BG1061">
        <f>'Revenue drivers'!BG255</f>
        <v>0</v>
      </c>
      <c r="BH1061">
        <f>'Revenue drivers'!BH255</f>
        <v>0</v>
      </c>
      <c r="BI1061">
        <f>'Revenue drivers'!BI255</f>
        <v>0</v>
      </c>
      <c r="BJ1061">
        <f>'Revenue drivers'!BJ255</f>
        <v>0</v>
      </c>
      <c r="BK1061">
        <f>'Revenue drivers'!BK255</f>
        <v>0</v>
      </c>
      <c r="BL1061">
        <f>'Revenue drivers'!BL255</f>
        <v>0</v>
      </c>
      <c r="BM1061">
        <f>'Revenue drivers'!BM255</f>
        <v>37.278080000000003</v>
      </c>
      <c r="BN1061">
        <f>'Revenue drivers'!BN255</f>
        <v>57.394470000000005</v>
      </c>
      <c r="BO1061">
        <f>'Revenue drivers'!BO255</f>
        <v>76.337999999999994</v>
      </c>
      <c r="BP1061">
        <f>'Revenue drivers'!BP255</f>
        <v>81.773820000000001</v>
      </c>
      <c r="BQ1061">
        <f>'Revenue drivers'!BQ255</f>
        <v>0</v>
      </c>
      <c r="BR1061">
        <f>'Revenue drivers'!BR255</f>
        <v>0</v>
      </c>
      <c r="BS1061">
        <f>'Revenue drivers'!BS255</f>
        <v>0</v>
      </c>
      <c r="BT1061">
        <f>'Revenue drivers'!BT255</f>
        <v>0</v>
      </c>
      <c r="BU1061">
        <f>'Revenue drivers'!BU255</f>
        <v>0</v>
      </c>
      <c r="BV1061">
        <f>'Revenue drivers'!BV255</f>
        <v>0</v>
      </c>
      <c r="BW1061">
        <f>'Revenue drivers'!BW255</f>
        <v>0</v>
      </c>
      <c r="BX1061">
        <f>'Revenue drivers'!BX255</f>
        <v>0</v>
      </c>
      <c r="BY1061">
        <f>'Revenue drivers'!BY255</f>
        <v>0</v>
      </c>
    </row>
    <row r="1062" spans="9:77" ht="11.25" customHeight="1">
      <c r="I1062" t="str">
        <f>'Revenue drivers'!I256</f>
        <v>Beauty &amp; Fitness</v>
      </c>
      <c r="J1062">
        <f>'Revenue drivers'!J256</f>
        <v>0</v>
      </c>
      <c r="K1062">
        <f>'Revenue drivers'!K256</f>
        <v>0</v>
      </c>
      <c r="L1062">
        <f>'Revenue drivers'!L256</f>
        <v>0</v>
      </c>
      <c r="M1062">
        <f>'Revenue drivers'!M256</f>
        <v>0</v>
      </c>
      <c r="N1062">
        <f>'Revenue drivers'!N256</f>
        <v>0</v>
      </c>
      <c r="O1062">
        <f>'Revenue drivers'!O256</f>
        <v>0</v>
      </c>
      <c r="P1062">
        <f>'Revenue drivers'!P256</f>
        <v>0</v>
      </c>
      <c r="Q1062">
        <f>'Revenue drivers'!Q256</f>
        <v>0</v>
      </c>
      <c r="R1062">
        <f>'Revenue drivers'!R256</f>
        <v>0</v>
      </c>
      <c r="S1062">
        <f>'Revenue drivers'!S256</f>
        <v>0</v>
      </c>
      <c r="T1062">
        <f>'Revenue drivers'!T256</f>
        <v>0</v>
      </c>
      <c r="U1062">
        <f>'Revenue drivers'!U256</f>
        <v>0</v>
      </c>
      <c r="V1062">
        <f>'Revenue drivers'!V256</f>
        <v>0</v>
      </c>
      <c r="W1062">
        <f>'Revenue drivers'!W256</f>
        <v>0</v>
      </c>
      <c r="X1062">
        <f>'Revenue drivers'!X256</f>
        <v>0</v>
      </c>
      <c r="Y1062">
        <f>'Revenue drivers'!Y256</f>
        <v>6.4586200000000007</v>
      </c>
      <c r="Z1062">
        <f>'Revenue drivers'!Z256</f>
        <v>7.7032200000000008</v>
      </c>
      <c r="AA1062">
        <f>'Revenue drivers'!AA256</f>
        <v>7.9535299999999998</v>
      </c>
      <c r="AB1062">
        <f>'Revenue drivers'!AB256</f>
        <v>9.89114</v>
      </c>
      <c r="AC1062">
        <f>'Revenue drivers'!AC256</f>
        <v>9.9329099999999997</v>
      </c>
      <c r="AD1062">
        <f>'Revenue drivers'!AD256</f>
        <v>11.542310000000001</v>
      </c>
      <c r="AE1062">
        <f>'Revenue drivers'!AE256</f>
        <v>12.294599999999999</v>
      </c>
      <c r="AF1062">
        <f>'Revenue drivers'!AF256</f>
        <v>14.285310000000001</v>
      </c>
      <c r="AG1062">
        <f>'Revenue drivers'!AG256</f>
        <v>14.534000000000001</v>
      </c>
      <c r="AH1062">
        <f>'Revenue drivers'!AH256</f>
        <v>15.071999999999999</v>
      </c>
      <c r="AI1062">
        <f>'Revenue drivers'!AI256</f>
        <v>16.151999999999997</v>
      </c>
      <c r="AJ1062">
        <f>'Revenue drivers'!AJ256</f>
        <v>17.237249999999996</v>
      </c>
      <c r="AK1062">
        <f>'Revenue drivers'!AK256</f>
        <v>19.033559999999998</v>
      </c>
      <c r="AL1062">
        <f>'Revenue drivers'!AL256</f>
        <v>20.811360000000001</v>
      </c>
      <c r="AM1062">
        <f>'Revenue drivers'!AM256</f>
        <v>22.347839999999998</v>
      </c>
      <c r="AN1062">
        <f>'Revenue drivers'!AN256</f>
        <v>22.888529999999999</v>
      </c>
      <c r="AO1062">
        <f>'Revenue drivers'!AO256</f>
        <v>25.651990000000001</v>
      </c>
      <c r="AP1062">
        <f>'Revenue drivers'!AP256</f>
        <v>27.152320000000003</v>
      </c>
      <c r="AQ1062">
        <f>'Revenue drivers'!AQ256</f>
        <v>26.685599999999997</v>
      </c>
      <c r="AR1062">
        <f>'Revenue drivers'!AR256</f>
        <v>26.189520000000002</v>
      </c>
      <c r="AS1062">
        <f>'Revenue drivers'!AS256</f>
        <v>25.651990000000001</v>
      </c>
      <c r="AT1062">
        <f>'Revenue drivers'!AT256</f>
        <v>27.152320000000003</v>
      </c>
      <c r="AU1062">
        <f>'Revenue drivers'!AU256</f>
        <v>26.685599999999997</v>
      </c>
      <c r="AV1062">
        <f>'Revenue drivers'!AV256</f>
        <v>26.189520000000002</v>
      </c>
      <c r="AW1062">
        <f>'Revenue drivers'!AW256</f>
        <v>25.651990000000001</v>
      </c>
      <c r="AX1062">
        <f>'Revenue drivers'!AX256</f>
        <v>27.152320000000003</v>
      </c>
      <c r="AY1062">
        <f>'Revenue drivers'!AY256</f>
        <v>26.685599999999997</v>
      </c>
      <c r="AZ1062">
        <f>'Revenue drivers'!AZ256</f>
        <v>26.189520000000002</v>
      </c>
      <c r="BA1062">
        <f>'Revenue drivers'!BA256</f>
        <v>25.651990000000001</v>
      </c>
      <c r="BB1062">
        <f>'Revenue drivers'!BB256</f>
        <v>27.152320000000003</v>
      </c>
      <c r="BC1062">
        <f>'Revenue drivers'!BC256</f>
        <v>26.685599999999997</v>
      </c>
      <c r="BD1062">
        <f>'Revenue drivers'!BD256</f>
        <v>26.189520000000002</v>
      </c>
      <c r="BE1062">
        <f>'Revenue drivers'!BE256</f>
        <v>0</v>
      </c>
      <c r="BF1062">
        <f>'Revenue drivers'!BF256</f>
        <v>0</v>
      </c>
      <c r="BG1062">
        <f>'Revenue drivers'!BG256</f>
        <v>0</v>
      </c>
      <c r="BH1062">
        <f>'Revenue drivers'!BH256</f>
        <v>0</v>
      </c>
      <c r="BI1062">
        <f>'Revenue drivers'!BI256</f>
        <v>0</v>
      </c>
      <c r="BJ1062">
        <f>'Revenue drivers'!BJ256</f>
        <v>0</v>
      </c>
      <c r="BK1062">
        <f>'Revenue drivers'!BK256</f>
        <v>0</v>
      </c>
      <c r="BL1062">
        <f>'Revenue drivers'!BL256</f>
        <v>0</v>
      </c>
      <c r="BM1062">
        <f>'Revenue drivers'!BM256</f>
        <v>32.006510000000006</v>
      </c>
      <c r="BN1062">
        <f>'Revenue drivers'!BN256</f>
        <v>48.055129999999998</v>
      </c>
      <c r="BO1062">
        <f>'Revenue drivers'!BO256</f>
        <v>62.995249999999992</v>
      </c>
      <c r="BP1062">
        <f>'Revenue drivers'!BP256</f>
        <v>67.494809999999987</v>
      </c>
      <c r="BQ1062">
        <f>'Revenue drivers'!BQ256</f>
        <v>0</v>
      </c>
      <c r="BR1062">
        <f>'Revenue drivers'!BR256</f>
        <v>0</v>
      </c>
      <c r="BS1062">
        <f>'Revenue drivers'!BS256</f>
        <v>0</v>
      </c>
      <c r="BT1062">
        <f>'Revenue drivers'!BT256</f>
        <v>0</v>
      </c>
      <c r="BU1062">
        <f>'Revenue drivers'!BU256</f>
        <v>0</v>
      </c>
      <c r="BV1062">
        <f>'Revenue drivers'!BV256</f>
        <v>0</v>
      </c>
      <c r="BW1062">
        <f>'Revenue drivers'!BW256</f>
        <v>0</v>
      </c>
      <c r="BX1062">
        <f>'Revenue drivers'!BX256</f>
        <v>0</v>
      </c>
      <c r="BY1062">
        <f>'Revenue drivers'!BY256</f>
        <v>0</v>
      </c>
    </row>
    <row r="1063" spans="9:77" ht="11.25" customHeight="1">
      <c r="I1063" t="str">
        <f>'Revenue drivers'!I257</f>
        <v>Shopping</v>
      </c>
      <c r="J1063">
        <f>'Revenue drivers'!J257</f>
        <v>0</v>
      </c>
      <c r="K1063">
        <f>'Revenue drivers'!K257</f>
        <v>0</v>
      </c>
      <c r="L1063">
        <f>'Revenue drivers'!L257</f>
        <v>0</v>
      </c>
      <c r="M1063">
        <f>'Revenue drivers'!M257</f>
        <v>0</v>
      </c>
      <c r="N1063">
        <f>'Revenue drivers'!N257</f>
        <v>0</v>
      </c>
      <c r="O1063">
        <f>'Revenue drivers'!O257</f>
        <v>0</v>
      </c>
      <c r="P1063">
        <f>'Revenue drivers'!P257</f>
        <v>0</v>
      </c>
      <c r="Q1063">
        <f>'Revenue drivers'!Q257</f>
        <v>0</v>
      </c>
      <c r="R1063">
        <f>'Revenue drivers'!R257</f>
        <v>0</v>
      </c>
      <c r="S1063">
        <f>'Revenue drivers'!S257</f>
        <v>0</v>
      </c>
      <c r="T1063">
        <f>'Revenue drivers'!T257</f>
        <v>0</v>
      </c>
      <c r="U1063">
        <f>'Revenue drivers'!U257</f>
        <v>0</v>
      </c>
      <c r="V1063">
        <f>'Revenue drivers'!V257</f>
        <v>0</v>
      </c>
      <c r="W1063">
        <f>'Revenue drivers'!W257</f>
        <v>0</v>
      </c>
      <c r="X1063">
        <f>'Revenue drivers'!X257</f>
        <v>0</v>
      </c>
      <c r="Y1063">
        <f>'Revenue drivers'!Y257</f>
        <v>5.5359600000000002</v>
      </c>
      <c r="Z1063">
        <f>'Revenue drivers'!Z257</f>
        <v>6.05253</v>
      </c>
      <c r="AA1063">
        <f>'Revenue drivers'!AA257</f>
        <v>6.7299099999999994</v>
      </c>
      <c r="AB1063">
        <f>'Revenue drivers'!AB257</f>
        <v>7.0651000000000002</v>
      </c>
      <c r="AC1063">
        <f>'Revenue drivers'!AC257</f>
        <v>8.4047699999999992</v>
      </c>
      <c r="AD1063">
        <f>'Revenue drivers'!AD257</f>
        <v>9.7665700000000015</v>
      </c>
      <c r="AE1063">
        <f>'Revenue drivers'!AE257</f>
        <v>11.270049999999999</v>
      </c>
      <c r="AF1063">
        <f>'Revenue drivers'!AF257</f>
        <v>12.087569999999999</v>
      </c>
      <c r="AG1063">
        <f>'Revenue drivers'!AG257</f>
        <v>12.298</v>
      </c>
      <c r="AH1063">
        <f>'Revenue drivers'!AH257</f>
        <v>13.815999999999999</v>
      </c>
      <c r="AI1063">
        <f>'Revenue drivers'!AI257</f>
        <v>13.46</v>
      </c>
      <c r="AJ1063">
        <f>'Revenue drivers'!AJ257</f>
        <v>14.67</v>
      </c>
      <c r="AK1063">
        <f>'Revenue drivers'!AK257</f>
        <v>15.8613</v>
      </c>
      <c r="AL1063">
        <f>'Revenue drivers'!AL257</f>
        <v>15.608519999999999</v>
      </c>
      <c r="AM1063">
        <f>'Revenue drivers'!AM257</f>
        <v>18.623200000000001</v>
      </c>
      <c r="AN1063">
        <f>'Revenue drivers'!AN257</f>
        <v>17.531639999999999</v>
      </c>
      <c r="AO1063">
        <f>'Revenue drivers'!AO257</f>
        <v>17.759070000000001</v>
      </c>
      <c r="AP1063">
        <f>'Revenue drivers'!AP257</f>
        <v>18.79776</v>
      </c>
      <c r="AQ1063">
        <f>'Revenue drivers'!AQ257</f>
        <v>20.014199999999999</v>
      </c>
      <c r="AR1063">
        <f>'Revenue drivers'!AR257</f>
        <v>19.642140000000001</v>
      </c>
      <c r="AS1063">
        <f>'Revenue drivers'!AS257</f>
        <v>17.759070000000001</v>
      </c>
      <c r="AT1063">
        <f>'Revenue drivers'!AT257</f>
        <v>18.79776</v>
      </c>
      <c r="AU1063">
        <f>'Revenue drivers'!AU257</f>
        <v>20.014199999999999</v>
      </c>
      <c r="AV1063">
        <f>'Revenue drivers'!AV257</f>
        <v>19.642140000000001</v>
      </c>
      <c r="AW1063">
        <f>'Revenue drivers'!AW257</f>
        <v>17.759070000000001</v>
      </c>
      <c r="AX1063">
        <f>'Revenue drivers'!AX257</f>
        <v>18.79776</v>
      </c>
      <c r="AY1063">
        <f>'Revenue drivers'!AY257</f>
        <v>20.014199999999999</v>
      </c>
      <c r="AZ1063">
        <f>'Revenue drivers'!AZ257</f>
        <v>19.642140000000001</v>
      </c>
      <c r="BA1063">
        <f>'Revenue drivers'!BA257</f>
        <v>17.759070000000001</v>
      </c>
      <c r="BB1063">
        <f>'Revenue drivers'!BB257</f>
        <v>18.79776</v>
      </c>
      <c r="BC1063">
        <f>'Revenue drivers'!BC257</f>
        <v>20.014199999999999</v>
      </c>
      <c r="BD1063">
        <f>'Revenue drivers'!BD257</f>
        <v>19.642140000000001</v>
      </c>
      <c r="BE1063">
        <f>'Revenue drivers'!BE257</f>
        <v>0</v>
      </c>
      <c r="BF1063">
        <f>'Revenue drivers'!BF257</f>
        <v>0</v>
      </c>
      <c r="BG1063">
        <f>'Revenue drivers'!BG257</f>
        <v>0</v>
      </c>
      <c r="BH1063">
        <f>'Revenue drivers'!BH257</f>
        <v>0</v>
      </c>
      <c r="BI1063">
        <f>'Revenue drivers'!BI257</f>
        <v>0</v>
      </c>
      <c r="BJ1063">
        <f>'Revenue drivers'!BJ257</f>
        <v>0</v>
      </c>
      <c r="BK1063">
        <f>'Revenue drivers'!BK257</f>
        <v>0</v>
      </c>
      <c r="BL1063">
        <f>'Revenue drivers'!BL257</f>
        <v>0</v>
      </c>
      <c r="BM1063">
        <f>'Revenue drivers'!BM257</f>
        <v>25.383500000000002</v>
      </c>
      <c r="BN1063">
        <f>'Revenue drivers'!BN257</f>
        <v>41.528959999999998</v>
      </c>
      <c r="BO1063">
        <f>'Revenue drivers'!BO257</f>
        <v>54.244</v>
      </c>
      <c r="BP1063">
        <f>'Revenue drivers'!BP257</f>
        <v>57.807299999999998</v>
      </c>
      <c r="BQ1063">
        <f>'Revenue drivers'!BQ257</f>
        <v>0</v>
      </c>
      <c r="BR1063">
        <f>'Revenue drivers'!BR257</f>
        <v>0</v>
      </c>
      <c r="BS1063">
        <f>'Revenue drivers'!BS257</f>
        <v>0</v>
      </c>
      <c r="BT1063">
        <f>'Revenue drivers'!BT257</f>
        <v>0</v>
      </c>
      <c r="BU1063">
        <f>'Revenue drivers'!BU257</f>
        <v>0</v>
      </c>
      <c r="BV1063">
        <f>'Revenue drivers'!BV257</f>
        <v>0</v>
      </c>
      <c r="BW1063">
        <f>'Revenue drivers'!BW257</f>
        <v>0</v>
      </c>
      <c r="BX1063">
        <f>'Revenue drivers'!BX257</f>
        <v>0</v>
      </c>
      <c r="BY1063">
        <f>'Revenue drivers'!BY257</f>
        <v>0</v>
      </c>
    </row>
    <row r="1064" spans="9:77" ht="11.25" customHeight="1">
      <c r="I1064" t="str">
        <f>'Revenue drivers'!I258</f>
        <v>Health</v>
      </c>
      <c r="J1064">
        <f>'Revenue drivers'!J258</f>
        <v>0</v>
      </c>
      <c r="K1064">
        <f>'Revenue drivers'!K258</f>
        <v>0</v>
      </c>
      <c r="L1064">
        <f>'Revenue drivers'!L258</f>
        <v>0</v>
      </c>
      <c r="M1064">
        <f>'Revenue drivers'!M258</f>
        <v>0</v>
      </c>
      <c r="N1064">
        <f>'Revenue drivers'!N258</f>
        <v>0</v>
      </c>
      <c r="O1064">
        <f>'Revenue drivers'!O258</f>
        <v>0</v>
      </c>
      <c r="P1064">
        <f>'Revenue drivers'!P258</f>
        <v>0</v>
      </c>
      <c r="Q1064">
        <f>'Revenue drivers'!Q258</f>
        <v>0</v>
      </c>
      <c r="R1064">
        <f>'Revenue drivers'!R258</f>
        <v>0</v>
      </c>
      <c r="S1064">
        <f>'Revenue drivers'!S258</f>
        <v>0</v>
      </c>
      <c r="T1064">
        <f>'Revenue drivers'!T258</f>
        <v>0</v>
      </c>
      <c r="U1064">
        <f>'Revenue drivers'!U258</f>
        <v>0</v>
      </c>
      <c r="V1064">
        <f>'Revenue drivers'!V258</f>
        <v>0</v>
      </c>
      <c r="W1064">
        <f>'Revenue drivers'!W258</f>
        <v>0</v>
      </c>
      <c r="X1064">
        <f>'Revenue drivers'!X258</f>
        <v>0</v>
      </c>
      <c r="Y1064">
        <f>'Revenue drivers'!Y258</f>
        <v>5.07463</v>
      </c>
      <c r="Z1064">
        <f>'Revenue drivers'!Z258</f>
        <v>6.60276</v>
      </c>
      <c r="AA1064">
        <f>'Revenue drivers'!AA258</f>
        <v>7.3417199999999996</v>
      </c>
      <c r="AB1064">
        <f>'Revenue drivers'!AB258</f>
        <v>7.7716099999999999</v>
      </c>
      <c r="AC1064">
        <f>'Revenue drivers'!AC258</f>
        <v>8.4047699999999992</v>
      </c>
      <c r="AD1064">
        <f>'Revenue drivers'!AD258</f>
        <v>10.654440000000001</v>
      </c>
      <c r="AE1064">
        <f>'Revenue drivers'!AE258</f>
        <v>11.270049999999999</v>
      </c>
      <c r="AF1064">
        <f>'Revenue drivers'!AF258</f>
        <v>12.087569999999999</v>
      </c>
      <c r="AG1064">
        <f>'Revenue drivers'!AG258</f>
        <v>12.298</v>
      </c>
      <c r="AH1064">
        <f>'Revenue drivers'!AH258</f>
        <v>13.815999999999999</v>
      </c>
      <c r="AI1064">
        <f>'Revenue drivers'!AI258</f>
        <v>14.805999999999999</v>
      </c>
      <c r="AJ1064">
        <f>'Revenue drivers'!AJ258</f>
        <v>16.137</v>
      </c>
      <c r="AK1064">
        <f>'Revenue drivers'!AK258</f>
        <v>17.447430000000001</v>
      </c>
      <c r="AL1064">
        <f>'Revenue drivers'!AL258</f>
        <v>19.077079999999999</v>
      </c>
      <c r="AM1064">
        <f>'Revenue drivers'!AM258</f>
        <v>18.623200000000001</v>
      </c>
      <c r="AN1064">
        <f>'Revenue drivers'!AN258</f>
        <v>21.42756</v>
      </c>
      <c r="AO1064">
        <f>'Revenue drivers'!AO258</f>
        <v>21.70553</v>
      </c>
      <c r="AP1064">
        <f>'Revenue drivers'!AP258</f>
        <v>22.97504</v>
      </c>
      <c r="AQ1064">
        <f>'Revenue drivers'!AQ258</f>
        <v>24.4618</v>
      </c>
      <c r="AR1064">
        <f>'Revenue drivers'!AR258</f>
        <v>24.007060000000003</v>
      </c>
      <c r="AS1064">
        <f>'Revenue drivers'!AS258</f>
        <v>21.70553</v>
      </c>
      <c r="AT1064">
        <f>'Revenue drivers'!AT258</f>
        <v>22.97504</v>
      </c>
      <c r="AU1064">
        <f>'Revenue drivers'!AU258</f>
        <v>24.4618</v>
      </c>
      <c r="AV1064">
        <f>'Revenue drivers'!AV258</f>
        <v>24.007060000000003</v>
      </c>
      <c r="AW1064">
        <f>'Revenue drivers'!AW258</f>
        <v>21.70553</v>
      </c>
      <c r="AX1064">
        <f>'Revenue drivers'!AX258</f>
        <v>22.97504</v>
      </c>
      <c r="AY1064">
        <f>'Revenue drivers'!AY258</f>
        <v>24.4618</v>
      </c>
      <c r="AZ1064">
        <f>'Revenue drivers'!AZ258</f>
        <v>24.007060000000003</v>
      </c>
      <c r="BA1064">
        <f>'Revenue drivers'!BA258</f>
        <v>21.70553</v>
      </c>
      <c r="BB1064">
        <f>'Revenue drivers'!BB258</f>
        <v>22.97504</v>
      </c>
      <c r="BC1064">
        <f>'Revenue drivers'!BC258</f>
        <v>24.4618</v>
      </c>
      <c r="BD1064">
        <f>'Revenue drivers'!BD258</f>
        <v>24.007060000000003</v>
      </c>
      <c r="BE1064">
        <f>'Revenue drivers'!BE258</f>
        <v>0</v>
      </c>
      <c r="BF1064">
        <f>'Revenue drivers'!BF258</f>
        <v>0</v>
      </c>
      <c r="BG1064">
        <f>'Revenue drivers'!BG258</f>
        <v>0</v>
      </c>
      <c r="BH1064">
        <f>'Revenue drivers'!BH258</f>
        <v>0</v>
      </c>
      <c r="BI1064">
        <f>'Revenue drivers'!BI258</f>
        <v>0</v>
      </c>
      <c r="BJ1064">
        <f>'Revenue drivers'!BJ258</f>
        <v>0</v>
      </c>
      <c r="BK1064">
        <f>'Revenue drivers'!BK258</f>
        <v>0</v>
      </c>
      <c r="BL1064">
        <f>'Revenue drivers'!BL258</f>
        <v>0</v>
      </c>
      <c r="BM1064">
        <f>'Revenue drivers'!BM258</f>
        <v>26.790719999999997</v>
      </c>
      <c r="BN1064">
        <f>'Revenue drivers'!BN258</f>
        <v>42.416829999999997</v>
      </c>
      <c r="BO1064">
        <f>'Revenue drivers'!BO258</f>
        <v>57.056999999999995</v>
      </c>
      <c r="BP1064">
        <f>'Revenue drivers'!BP258</f>
        <v>62.206429999999997</v>
      </c>
      <c r="BQ1064">
        <f>'Revenue drivers'!BQ258</f>
        <v>0</v>
      </c>
      <c r="BR1064">
        <f>'Revenue drivers'!BR258</f>
        <v>0</v>
      </c>
      <c r="BS1064">
        <f>'Revenue drivers'!BS258</f>
        <v>0</v>
      </c>
      <c r="BT1064">
        <f>'Revenue drivers'!BT258</f>
        <v>0</v>
      </c>
      <c r="BU1064">
        <f>'Revenue drivers'!BU258</f>
        <v>0</v>
      </c>
      <c r="BV1064">
        <f>'Revenue drivers'!BV258</f>
        <v>0</v>
      </c>
      <c r="BW1064">
        <f>'Revenue drivers'!BW258</f>
        <v>0</v>
      </c>
      <c r="BX1064">
        <f>'Revenue drivers'!BX258</f>
        <v>0</v>
      </c>
      <c r="BY1064">
        <f>'Revenue drivers'!BY258</f>
        <v>0</v>
      </c>
    </row>
    <row r="1065" spans="9:77" ht="11.25" customHeight="1">
      <c r="I1065" t="str">
        <f>'Revenue drivers'!I259</f>
        <v>Other</v>
      </c>
      <c r="J1065">
        <f>'Revenue drivers'!J259</f>
        <v>0</v>
      </c>
      <c r="K1065">
        <f>'Revenue drivers'!K259</f>
        <v>0</v>
      </c>
      <c r="L1065">
        <f>'Revenue drivers'!L259</f>
        <v>0</v>
      </c>
      <c r="M1065">
        <f>'Revenue drivers'!M259</f>
        <v>0</v>
      </c>
      <c r="N1065">
        <f>'Revenue drivers'!N259</f>
        <v>0</v>
      </c>
      <c r="O1065">
        <f>'Revenue drivers'!O259</f>
        <v>0</v>
      </c>
      <c r="P1065">
        <f>'Revenue drivers'!P259</f>
        <v>0</v>
      </c>
      <c r="Q1065">
        <f>'Revenue drivers'!Q259</f>
        <v>0</v>
      </c>
      <c r="R1065">
        <f>'Revenue drivers'!R259</f>
        <v>0</v>
      </c>
      <c r="S1065">
        <f>'Revenue drivers'!S259</f>
        <v>0</v>
      </c>
      <c r="T1065">
        <f>'Revenue drivers'!T259</f>
        <v>0</v>
      </c>
      <c r="U1065">
        <f>'Revenue drivers'!U259</f>
        <v>0</v>
      </c>
      <c r="V1065">
        <f>'Revenue drivers'!V259</f>
        <v>0</v>
      </c>
      <c r="W1065">
        <f>'Revenue drivers'!W259</f>
        <v>0</v>
      </c>
      <c r="X1065">
        <f>'Revenue drivers'!X259</f>
        <v>0</v>
      </c>
      <c r="Y1065">
        <f>'Revenue drivers'!Y259</f>
        <v>11.533250000000001</v>
      </c>
      <c r="Z1065">
        <f>'Revenue drivers'!Z259</f>
        <v>12.655290000000001</v>
      </c>
      <c r="AA1065">
        <f>'Revenue drivers'!AA259</f>
        <v>14.683439999999999</v>
      </c>
      <c r="AB1065">
        <f>'Revenue drivers'!AB259</f>
        <v>17.662749999999999</v>
      </c>
      <c r="AC1065">
        <f>'Revenue drivers'!AC259</f>
        <v>18.337679999999999</v>
      </c>
      <c r="AD1065">
        <f>'Revenue drivers'!AD259</f>
        <v>20.421010000000003</v>
      </c>
      <c r="AE1065">
        <f>'Revenue drivers'!AE259</f>
        <v>25.61375</v>
      </c>
      <c r="AF1065">
        <f>'Revenue drivers'!AF259</f>
        <v>26.372879999999999</v>
      </c>
      <c r="AG1065">
        <f>'Revenue drivers'!AG259</f>
        <v>26.831999999999997</v>
      </c>
      <c r="AH1065">
        <f>'Revenue drivers'!AH259</f>
        <v>28.888000000000002</v>
      </c>
      <c r="AI1065">
        <f>'Revenue drivers'!AI259</f>
        <v>32.303999999999995</v>
      </c>
      <c r="AJ1065">
        <f>'Revenue drivers'!AJ259</f>
        <v>36.674999999999997</v>
      </c>
      <c r="AK1065">
        <f>'Revenue drivers'!AK259</f>
        <v>38.067119999999996</v>
      </c>
      <c r="AL1065">
        <f>'Revenue drivers'!AL259</f>
        <v>41.622720000000001</v>
      </c>
      <c r="AM1065">
        <f>'Revenue drivers'!AM259</f>
        <v>42.833359999999999</v>
      </c>
      <c r="AN1065">
        <f>'Revenue drivers'!AN259</f>
        <v>46.751039999999996</v>
      </c>
      <c r="AO1065">
        <f>'Revenue drivers'!AO259</f>
        <v>45.384290000000007</v>
      </c>
      <c r="AP1065">
        <f>'Revenue drivers'!AP259</f>
        <v>45.95008</v>
      </c>
      <c r="AQ1065">
        <f>'Revenue drivers'!AQ259</f>
        <v>48.9236</v>
      </c>
      <c r="AR1065">
        <f>'Revenue drivers'!AR259</f>
        <v>50.196580000000004</v>
      </c>
      <c r="AS1065" t="e">
        <f>'Revenue drivers'!AS259</f>
        <v>#REF!</v>
      </c>
      <c r="AT1065" t="e">
        <f>'Revenue drivers'!AT259</f>
        <v>#REF!</v>
      </c>
      <c r="AU1065" t="e">
        <f>'Revenue drivers'!AU259</f>
        <v>#REF!</v>
      </c>
      <c r="AV1065" t="e">
        <f>'Revenue drivers'!AV259</f>
        <v>#REF!</v>
      </c>
      <c r="AW1065" t="e">
        <f>'Revenue drivers'!AW259</f>
        <v>#REF!</v>
      </c>
      <c r="AX1065" t="e">
        <f>'Revenue drivers'!AX259</f>
        <v>#REF!</v>
      </c>
      <c r="AY1065" t="e">
        <f>'Revenue drivers'!AY259</f>
        <v>#REF!</v>
      </c>
      <c r="AZ1065" t="e">
        <f>'Revenue drivers'!AZ259</f>
        <v>#REF!</v>
      </c>
      <c r="BA1065" t="e">
        <f>'Revenue drivers'!BA259</f>
        <v>#REF!</v>
      </c>
      <c r="BB1065" t="e">
        <f>'Revenue drivers'!BB259</f>
        <v>#REF!</v>
      </c>
      <c r="BC1065" t="e">
        <f>'Revenue drivers'!BC259</f>
        <v>#REF!</v>
      </c>
      <c r="BD1065" t="e">
        <f>'Revenue drivers'!BD259</f>
        <v>#REF!</v>
      </c>
      <c r="BE1065">
        <f>'Revenue drivers'!BE259</f>
        <v>0</v>
      </c>
      <c r="BF1065">
        <f>'Revenue drivers'!BF259</f>
        <v>0</v>
      </c>
      <c r="BG1065">
        <f>'Revenue drivers'!BG259</f>
        <v>0</v>
      </c>
      <c r="BH1065">
        <f>'Revenue drivers'!BH259</f>
        <v>0</v>
      </c>
      <c r="BI1065">
        <f>'Revenue drivers'!BI259</f>
        <v>0</v>
      </c>
      <c r="BJ1065">
        <f>'Revenue drivers'!BJ259</f>
        <v>0</v>
      </c>
      <c r="BK1065">
        <f>'Revenue drivers'!BK259</f>
        <v>0</v>
      </c>
      <c r="BL1065">
        <f>'Revenue drivers'!BL259</f>
        <v>0</v>
      </c>
      <c r="BM1065">
        <f>'Revenue drivers'!BM259</f>
        <v>56.534729999999996</v>
      </c>
      <c r="BN1065">
        <f>'Revenue drivers'!BN259</f>
        <v>90.745319999999992</v>
      </c>
      <c r="BO1065">
        <f>'Revenue drivers'!BO259</f>
        <v>124.699</v>
      </c>
      <c r="BP1065">
        <f>'Revenue drivers'!BP259</f>
        <v>135.93411999999998</v>
      </c>
      <c r="BQ1065">
        <f>'Revenue drivers'!BQ259</f>
        <v>0</v>
      </c>
      <c r="BR1065">
        <f>'Revenue drivers'!BR259</f>
        <v>0</v>
      </c>
      <c r="BS1065">
        <f>'Revenue drivers'!BS259</f>
        <v>0</v>
      </c>
      <c r="BT1065">
        <f>'Revenue drivers'!BT259</f>
        <v>0</v>
      </c>
      <c r="BU1065">
        <f>'Revenue drivers'!BU259</f>
        <v>0</v>
      </c>
      <c r="BV1065">
        <f>'Revenue drivers'!BV259</f>
        <v>0</v>
      </c>
      <c r="BW1065">
        <f>'Revenue drivers'!BW259</f>
        <v>0</v>
      </c>
      <c r="BX1065">
        <f>'Revenue drivers'!BX259</f>
        <v>0</v>
      </c>
      <c r="BY1065">
        <f>'Revenue drivers'!BY259</f>
        <v>0</v>
      </c>
    </row>
    <row r="1066" spans="9:77" ht="11.25" customHeight="1">
      <c r="I1066" t="str">
        <f>'Revenue drivers'!I260</f>
        <v>Total</v>
      </c>
      <c r="J1066">
        <f>'Revenue drivers'!J260</f>
        <v>0</v>
      </c>
      <c r="K1066">
        <f>'Revenue drivers'!K260</f>
        <v>0</v>
      </c>
      <c r="L1066">
        <f>'Revenue drivers'!L260</f>
        <v>0</v>
      </c>
      <c r="M1066">
        <f>'Revenue drivers'!M260</f>
        <v>0</v>
      </c>
      <c r="N1066">
        <f>'Revenue drivers'!N260</f>
        <v>0</v>
      </c>
      <c r="O1066">
        <f>'Revenue drivers'!O260</f>
        <v>0</v>
      </c>
      <c r="P1066">
        <f>'Revenue drivers'!P260</f>
        <v>0</v>
      </c>
      <c r="Q1066">
        <f>'Revenue drivers'!Q260</f>
        <v>0</v>
      </c>
      <c r="R1066">
        <f>'Revenue drivers'!R260</f>
        <v>0</v>
      </c>
      <c r="S1066">
        <f>'Revenue drivers'!S260</f>
        <v>0</v>
      </c>
      <c r="T1066">
        <f>'Revenue drivers'!T260</f>
        <v>0</v>
      </c>
      <c r="U1066">
        <f>'Revenue drivers'!U260</f>
        <v>0</v>
      </c>
      <c r="V1066">
        <f>'Revenue drivers'!V260</f>
        <v>0</v>
      </c>
      <c r="W1066">
        <f>'Revenue drivers'!W260</f>
        <v>0</v>
      </c>
      <c r="X1066">
        <f>'Revenue drivers'!X260</f>
        <v>0</v>
      </c>
      <c r="Y1066">
        <f>'Revenue drivers'!Y260</f>
        <v>46.133000000000003</v>
      </c>
      <c r="Z1066">
        <f>'Revenue drivers'!Z260</f>
        <v>55.023000000000003</v>
      </c>
      <c r="AA1066">
        <f>'Revenue drivers'!AA260</f>
        <v>61.180999999999997</v>
      </c>
      <c r="AB1066">
        <f>'Revenue drivers'!AB260</f>
        <v>70.650999999999996</v>
      </c>
      <c r="AC1066">
        <f>'Revenue drivers'!AC260</f>
        <v>76.406999999999996</v>
      </c>
      <c r="AD1066">
        <f>'Revenue drivers'!AD260</f>
        <v>88.787000000000006</v>
      </c>
      <c r="AE1066">
        <f>'Revenue drivers'!AE260</f>
        <v>102.455</v>
      </c>
      <c r="AF1066">
        <f>'Revenue drivers'!AF260</f>
        <v>109.88699999999999</v>
      </c>
      <c r="AG1066">
        <f>'Revenue drivers'!AG260</f>
        <v>111.8</v>
      </c>
      <c r="AH1066">
        <f>'Revenue drivers'!AH260</f>
        <v>125.60000000000001</v>
      </c>
      <c r="AI1066">
        <f>'Revenue drivers'!AI260</f>
        <v>134.6</v>
      </c>
      <c r="AJ1066" t="e">
        <f>'Revenue drivers'!AJ260</f>
        <v>#REF!</v>
      </c>
      <c r="AK1066" t="e">
        <f>'Revenue drivers'!AK260</f>
        <v>#REF!</v>
      </c>
      <c r="AL1066" t="e">
        <f>'Revenue drivers'!AL260</f>
        <v>#REF!</v>
      </c>
      <c r="AM1066" t="e">
        <f>'Revenue drivers'!AM260</f>
        <v>#REF!</v>
      </c>
      <c r="AN1066" t="e">
        <f>'Revenue drivers'!AN260</f>
        <v>#REF!</v>
      </c>
      <c r="AO1066" t="e">
        <f>'Revenue drivers'!AO260</f>
        <v>#REF!</v>
      </c>
      <c r="AP1066" t="e">
        <f>'Revenue drivers'!AP260</f>
        <v>#REF!</v>
      </c>
      <c r="AQ1066" t="e">
        <f>'Revenue drivers'!AQ260</f>
        <v>#REF!</v>
      </c>
      <c r="AR1066" t="e">
        <f>'Revenue drivers'!AR260</f>
        <v>#REF!</v>
      </c>
      <c r="AS1066" t="e">
        <f>'Revenue drivers'!AS260</f>
        <v>#REF!</v>
      </c>
      <c r="AT1066" t="e">
        <f>'Revenue drivers'!AT260</f>
        <v>#REF!</v>
      </c>
      <c r="AU1066" t="e">
        <f>'Revenue drivers'!AU260</f>
        <v>#REF!</v>
      </c>
      <c r="AV1066" t="e">
        <f>'Revenue drivers'!AV260</f>
        <v>#REF!</v>
      </c>
      <c r="AW1066" t="e">
        <f>'Revenue drivers'!AW260</f>
        <v>#REF!</v>
      </c>
      <c r="AX1066" t="e">
        <f>'Revenue drivers'!AX260</f>
        <v>#REF!</v>
      </c>
      <c r="AY1066" t="e">
        <f>'Revenue drivers'!AY260</f>
        <v>#REF!</v>
      </c>
      <c r="AZ1066" t="e">
        <f>'Revenue drivers'!AZ260</f>
        <v>#REF!</v>
      </c>
      <c r="BA1066" t="e">
        <f>'Revenue drivers'!BA260</f>
        <v>#REF!</v>
      </c>
      <c r="BB1066" t="e">
        <f>'Revenue drivers'!BB260</f>
        <v>#REF!</v>
      </c>
      <c r="BC1066" t="e">
        <f>'Revenue drivers'!BC260</f>
        <v>#REF!</v>
      </c>
      <c r="BD1066" t="e">
        <f>'Revenue drivers'!BD260</f>
        <v>#REF!</v>
      </c>
      <c r="BE1066">
        <f>'Revenue drivers'!BE260</f>
        <v>0</v>
      </c>
      <c r="BF1066">
        <f>'Revenue drivers'!BF260</f>
        <v>0</v>
      </c>
      <c r="BG1066">
        <f>'Revenue drivers'!BG260</f>
        <v>0</v>
      </c>
      <c r="BH1066">
        <f>'Revenue drivers'!BH260</f>
        <v>0</v>
      </c>
      <c r="BI1066">
        <f>'Revenue drivers'!BI260</f>
        <v>0</v>
      </c>
      <c r="BJ1066">
        <f>'Revenue drivers'!BJ260</f>
        <v>0</v>
      </c>
      <c r="BK1066">
        <f>'Revenue drivers'!BK260</f>
        <v>0</v>
      </c>
      <c r="BL1066">
        <f>'Revenue drivers'!BL260</f>
        <v>0</v>
      </c>
      <c r="BM1066">
        <f>'Revenue drivers'!BM260</f>
        <v>232.988</v>
      </c>
      <c r="BN1066">
        <f>'Revenue drivers'!BN260</f>
        <v>377.536</v>
      </c>
      <c r="BO1066">
        <f>'Revenue drivers'!BO260</f>
        <v>518.33324999999991</v>
      </c>
      <c r="BP1066">
        <f>'Revenue drivers'!BP260</f>
        <v>565.14625000000001</v>
      </c>
      <c r="BQ1066">
        <f>'Revenue drivers'!BQ260</f>
        <v>0</v>
      </c>
      <c r="BR1066">
        <f>'Revenue drivers'!BR260</f>
        <v>0</v>
      </c>
      <c r="BS1066">
        <f>'Revenue drivers'!BS260</f>
        <v>0</v>
      </c>
      <c r="BT1066">
        <f>'Revenue drivers'!BT260</f>
        <v>0</v>
      </c>
      <c r="BU1066">
        <f>'Revenue drivers'!BU260</f>
        <v>0</v>
      </c>
      <c r="BV1066">
        <f>'Revenue drivers'!BV260</f>
        <v>0</v>
      </c>
      <c r="BW1066">
        <f>'Revenue drivers'!BW260</f>
        <v>0</v>
      </c>
      <c r="BX1066">
        <f>'Revenue drivers'!BX260</f>
        <v>0</v>
      </c>
      <c r="BY1066">
        <f>'Revenue drivers'!BY260</f>
        <v>0</v>
      </c>
    </row>
    <row r="1067" spans="9:77" ht="11.25" customHeight="1">
      <c r="I1067">
        <f>'Revenue drivers'!I261</f>
        <v>0</v>
      </c>
      <c r="J1067">
        <f>'Revenue drivers'!J261</f>
        <v>0</v>
      </c>
      <c r="K1067">
        <f>'Revenue drivers'!K261</f>
        <v>0</v>
      </c>
      <c r="L1067">
        <f>'Revenue drivers'!L261</f>
        <v>0</v>
      </c>
      <c r="M1067">
        <f>'Revenue drivers'!M261</f>
        <v>0</v>
      </c>
      <c r="N1067">
        <f>'Revenue drivers'!N261</f>
        <v>0</v>
      </c>
      <c r="O1067">
        <f>'Revenue drivers'!O261</f>
        <v>0</v>
      </c>
      <c r="P1067">
        <f>'Revenue drivers'!P261</f>
        <v>0</v>
      </c>
      <c r="Q1067">
        <f>'Revenue drivers'!Q261</f>
        <v>0</v>
      </c>
      <c r="R1067">
        <f>'Revenue drivers'!R261</f>
        <v>0</v>
      </c>
      <c r="S1067">
        <f>'Revenue drivers'!S261</f>
        <v>0</v>
      </c>
      <c r="T1067">
        <f>'Revenue drivers'!T261</f>
        <v>0</v>
      </c>
      <c r="U1067">
        <f>'Revenue drivers'!U261</f>
        <v>0</v>
      </c>
      <c r="V1067">
        <f>'Revenue drivers'!V261</f>
        <v>0</v>
      </c>
      <c r="W1067">
        <f>'Revenue drivers'!W261</f>
        <v>0</v>
      </c>
      <c r="X1067">
        <f>'Revenue drivers'!X261</f>
        <v>0</v>
      </c>
      <c r="Y1067">
        <f>'Revenue drivers'!Y261</f>
        <v>0</v>
      </c>
      <c r="Z1067">
        <f>'Revenue drivers'!Z261</f>
        <v>0</v>
      </c>
      <c r="AA1067">
        <f>'Revenue drivers'!AA261</f>
        <v>0</v>
      </c>
      <c r="AB1067">
        <f>'Revenue drivers'!AB261</f>
        <v>0</v>
      </c>
      <c r="AC1067">
        <f>'Revenue drivers'!AC261</f>
        <v>0</v>
      </c>
      <c r="AD1067">
        <f>'Revenue drivers'!AD261</f>
        <v>0</v>
      </c>
      <c r="AE1067">
        <f>'Revenue drivers'!AE261</f>
        <v>0</v>
      </c>
      <c r="AF1067">
        <f>'Revenue drivers'!AF261</f>
        <v>0</v>
      </c>
      <c r="AG1067">
        <f>'Revenue drivers'!AG261</f>
        <v>0</v>
      </c>
      <c r="AH1067">
        <f>'Revenue drivers'!AH261</f>
        <v>0</v>
      </c>
      <c r="AI1067">
        <f>'Revenue drivers'!AI261</f>
        <v>0</v>
      </c>
      <c r="AJ1067">
        <f>'Revenue drivers'!AJ261</f>
        <v>0</v>
      </c>
      <c r="AK1067">
        <f>'Revenue drivers'!AK261</f>
        <v>0</v>
      </c>
      <c r="AL1067">
        <f>'Revenue drivers'!AL261</f>
        <v>0</v>
      </c>
      <c r="AM1067">
        <f>'Revenue drivers'!AM261</f>
        <v>0</v>
      </c>
      <c r="AN1067">
        <f>'Revenue drivers'!AN261</f>
        <v>0</v>
      </c>
      <c r="AO1067">
        <f>'Revenue drivers'!AO261</f>
        <v>0</v>
      </c>
      <c r="AP1067">
        <f>'Revenue drivers'!AP261</f>
        <v>0</v>
      </c>
      <c r="AQ1067">
        <f>'Revenue drivers'!AQ261</f>
        <v>0</v>
      </c>
      <c r="AR1067">
        <f>'Revenue drivers'!AR261</f>
        <v>0</v>
      </c>
      <c r="AS1067">
        <f>'Revenue drivers'!AS261</f>
        <v>0</v>
      </c>
      <c r="AT1067">
        <f>'Revenue drivers'!AT261</f>
        <v>0</v>
      </c>
      <c r="AU1067">
        <f>'Revenue drivers'!AU261</f>
        <v>0</v>
      </c>
      <c r="AV1067">
        <f>'Revenue drivers'!AV261</f>
        <v>0</v>
      </c>
      <c r="AW1067">
        <f>'Revenue drivers'!AW261</f>
        <v>0</v>
      </c>
      <c r="AX1067">
        <f>'Revenue drivers'!AX261</f>
        <v>0</v>
      </c>
      <c r="AY1067">
        <f>'Revenue drivers'!AY261</f>
        <v>0</v>
      </c>
      <c r="AZ1067">
        <f>'Revenue drivers'!AZ261</f>
        <v>0</v>
      </c>
      <c r="BA1067">
        <f>'Revenue drivers'!BA261</f>
        <v>0</v>
      </c>
      <c r="BB1067">
        <f>'Revenue drivers'!BB261</f>
        <v>0</v>
      </c>
      <c r="BC1067">
        <f>'Revenue drivers'!BC261</f>
        <v>0</v>
      </c>
      <c r="BD1067">
        <f>'Revenue drivers'!BD261</f>
        <v>0</v>
      </c>
      <c r="BE1067">
        <f>'Revenue drivers'!BE261</f>
        <v>0</v>
      </c>
      <c r="BF1067">
        <f>'Revenue drivers'!BF261</f>
        <v>0</v>
      </c>
      <c r="BG1067">
        <f>'Revenue drivers'!BG261</f>
        <v>0</v>
      </c>
      <c r="BH1067">
        <f>'Revenue drivers'!BH261</f>
        <v>0</v>
      </c>
      <c r="BI1067">
        <f>'Revenue drivers'!BI261</f>
        <v>0</v>
      </c>
      <c r="BJ1067">
        <f>'Revenue drivers'!BJ261</f>
        <v>0</v>
      </c>
      <c r="BK1067">
        <f>'Revenue drivers'!BK261</f>
        <v>0</v>
      </c>
      <c r="BL1067">
        <f>'Revenue drivers'!BL261</f>
        <v>0</v>
      </c>
      <c r="BM1067">
        <f>'Revenue drivers'!BM261</f>
        <v>0</v>
      </c>
      <c r="BN1067">
        <f>'Revenue drivers'!BN261</f>
        <v>0</v>
      </c>
      <c r="BO1067">
        <f>'Revenue drivers'!BO261</f>
        <v>0</v>
      </c>
      <c r="BP1067">
        <f>'Revenue drivers'!BP261</f>
        <v>0</v>
      </c>
      <c r="BQ1067">
        <f>'Revenue drivers'!BQ261</f>
        <v>0</v>
      </c>
      <c r="BR1067">
        <f>'Revenue drivers'!BR261</f>
        <v>0</v>
      </c>
      <c r="BS1067">
        <f>'Revenue drivers'!BS261</f>
        <v>0</v>
      </c>
      <c r="BT1067">
        <f>'Revenue drivers'!BT261</f>
        <v>0</v>
      </c>
      <c r="BU1067">
        <f>'Revenue drivers'!BU261</f>
        <v>0</v>
      </c>
      <c r="BV1067">
        <f>'Revenue drivers'!BV261</f>
        <v>0</v>
      </c>
      <c r="BW1067">
        <f>'Revenue drivers'!BW261</f>
        <v>0</v>
      </c>
      <c r="BX1067">
        <f>'Revenue drivers'!BX261</f>
        <v>0</v>
      </c>
      <c r="BY1067">
        <f>'Revenue drivers'!BY261</f>
        <v>0</v>
      </c>
    </row>
    <row r="1068" spans="9:77" ht="11.25" customHeight="1">
      <c r="I1068" t="str">
        <f>'Revenue drivers'!I262</f>
        <v>Top 5 Verticals</v>
      </c>
      <c r="J1068">
        <f>'Revenue drivers'!J262</f>
        <v>0</v>
      </c>
      <c r="K1068">
        <f>'Revenue drivers'!K262</f>
        <v>0</v>
      </c>
      <c r="L1068">
        <f>'Revenue drivers'!L262</f>
        <v>0</v>
      </c>
      <c r="M1068">
        <f>'Revenue drivers'!M262</f>
        <v>0</v>
      </c>
      <c r="N1068">
        <f>'Revenue drivers'!N262</f>
        <v>0</v>
      </c>
      <c r="O1068">
        <f>'Revenue drivers'!O262</f>
        <v>0</v>
      </c>
      <c r="P1068">
        <f>'Revenue drivers'!P262</f>
        <v>0</v>
      </c>
      <c r="Q1068">
        <f>'Revenue drivers'!Q262</f>
        <v>0</v>
      </c>
      <c r="R1068">
        <f>'Revenue drivers'!R262</f>
        <v>0</v>
      </c>
      <c r="S1068">
        <f>'Revenue drivers'!S262</f>
        <v>0</v>
      </c>
      <c r="T1068">
        <f>'Revenue drivers'!T262</f>
        <v>0</v>
      </c>
      <c r="U1068">
        <f>'Revenue drivers'!U262</f>
        <v>0</v>
      </c>
      <c r="V1068">
        <f>'Revenue drivers'!V262</f>
        <v>0</v>
      </c>
      <c r="W1068">
        <f>'Revenue drivers'!W262</f>
        <v>0</v>
      </c>
      <c r="X1068">
        <f>'Revenue drivers'!X262</f>
        <v>0</v>
      </c>
      <c r="Y1068">
        <f>'Revenue drivers'!Y262</f>
        <v>0</v>
      </c>
      <c r="Z1068">
        <f>'Revenue drivers'!Z262</f>
        <v>0</v>
      </c>
      <c r="AA1068">
        <f>'Revenue drivers'!AA262</f>
        <v>0</v>
      </c>
      <c r="AB1068">
        <f>'Revenue drivers'!AB262</f>
        <v>0</v>
      </c>
      <c r="AC1068">
        <f>'Revenue drivers'!AC262</f>
        <v>0</v>
      </c>
      <c r="AD1068">
        <f>'Revenue drivers'!AD262</f>
        <v>0</v>
      </c>
      <c r="AE1068">
        <f>'Revenue drivers'!AE262</f>
        <v>0</v>
      </c>
      <c r="AF1068">
        <f>'Revenue drivers'!AF262</f>
        <v>0</v>
      </c>
      <c r="AG1068">
        <f>'Revenue drivers'!AG262</f>
        <v>84.968000000000004</v>
      </c>
      <c r="AH1068">
        <f>'Revenue drivers'!AH262</f>
        <v>96.712000000000003</v>
      </c>
      <c r="AI1068">
        <f>'Revenue drivers'!AI262</f>
        <v>102.29600000000001</v>
      </c>
      <c r="AJ1068">
        <f>'Revenue drivers'!AJ262</f>
        <v>109.65825</v>
      </c>
      <c r="AK1068">
        <f>'Revenue drivers'!AK262</f>
        <v>120.54587999999998</v>
      </c>
      <c r="AL1068">
        <f>'Revenue drivers'!AL262</f>
        <v>131.80527999999998</v>
      </c>
      <c r="AM1068">
        <f>'Revenue drivers'!AM262</f>
        <v>143.39864</v>
      </c>
      <c r="AN1068">
        <f>'Revenue drivers'!AN262</f>
        <v>148.53194999999999</v>
      </c>
      <c r="AO1068">
        <f>'Revenue drivers'!AO262</f>
        <v>151.93871000000001</v>
      </c>
      <c r="AP1068">
        <f>'Revenue drivers'!AP262</f>
        <v>162.91392000000002</v>
      </c>
      <c r="AQ1068">
        <f>'Revenue drivers'!AQ262</f>
        <v>173.4564</v>
      </c>
      <c r="AR1068">
        <f>'Revenue drivers'!AR262</f>
        <v>168.04942</v>
      </c>
      <c r="AS1068">
        <f>'Revenue drivers'!AS262</f>
        <v>151.93871000000001</v>
      </c>
      <c r="AT1068">
        <f>'Revenue drivers'!AT262</f>
        <v>162.91392000000002</v>
      </c>
      <c r="AU1068">
        <f>'Revenue drivers'!AU262</f>
        <v>173.4564</v>
      </c>
      <c r="AV1068">
        <f>'Revenue drivers'!AV262</f>
        <v>168.04942</v>
      </c>
      <c r="AW1068">
        <f>'Revenue drivers'!AW262</f>
        <v>151.93871000000001</v>
      </c>
      <c r="AX1068">
        <f>'Revenue drivers'!AX262</f>
        <v>162.91392000000002</v>
      </c>
      <c r="AY1068">
        <f>'Revenue drivers'!AY262</f>
        <v>173.4564</v>
      </c>
      <c r="AZ1068">
        <f>'Revenue drivers'!AZ262</f>
        <v>168.04942</v>
      </c>
      <c r="BA1068">
        <f>'Revenue drivers'!BA262</f>
        <v>151.93871000000001</v>
      </c>
      <c r="BB1068">
        <f>'Revenue drivers'!BB262</f>
        <v>162.91392000000002</v>
      </c>
      <c r="BC1068">
        <f>'Revenue drivers'!BC262</f>
        <v>173.4564</v>
      </c>
      <c r="BD1068">
        <f>'Revenue drivers'!BD262</f>
        <v>168.04942</v>
      </c>
      <c r="BE1068">
        <f>'Revenue drivers'!BE262</f>
        <v>0</v>
      </c>
      <c r="BF1068">
        <f>'Revenue drivers'!BF262</f>
        <v>0</v>
      </c>
      <c r="BG1068">
        <f>'Revenue drivers'!BG262</f>
        <v>0</v>
      </c>
      <c r="BH1068">
        <f>'Revenue drivers'!BH262</f>
        <v>0</v>
      </c>
      <c r="BI1068">
        <f>'Revenue drivers'!BI262</f>
        <v>0</v>
      </c>
      <c r="BJ1068">
        <f>'Revenue drivers'!BJ262</f>
        <v>0</v>
      </c>
      <c r="BK1068">
        <f>'Revenue drivers'!BK262</f>
        <v>0</v>
      </c>
      <c r="BL1068">
        <f>'Revenue drivers'!BL262</f>
        <v>0</v>
      </c>
      <c r="BM1068">
        <f>'Revenue drivers'!BM262</f>
        <v>176.45327</v>
      </c>
      <c r="BN1068">
        <f>'Revenue drivers'!BN262</f>
        <v>286.79068000000001</v>
      </c>
      <c r="BO1068">
        <f>'Revenue drivers'!BO262</f>
        <v>393.63424999999995</v>
      </c>
      <c r="BP1068">
        <f>'Revenue drivers'!BP262</f>
        <v>429.21213</v>
      </c>
      <c r="BQ1068">
        <f>'Revenue drivers'!BQ262</f>
        <v>0</v>
      </c>
      <c r="BR1068">
        <f>'Revenue drivers'!BR262</f>
        <v>0</v>
      </c>
      <c r="BS1068">
        <f>'Revenue drivers'!BS262</f>
        <v>0</v>
      </c>
      <c r="BT1068">
        <f>'Revenue drivers'!BT262</f>
        <v>0</v>
      </c>
      <c r="BU1068">
        <f>'Revenue drivers'!BU262</f>
        <v>0</v>
      </c>
      <c r="BV1068">
        <f>'Revenue drivers'!BV262</f>
        <v>0</v>
      </c>
      <c r="BW1068">
        <f>'Revenue drivers'!BW262</f>
        <v>0</v>
      </c>
      <c r="BX1068">
        <f>'Revenue drivers'!BX262</f>
        <v>0</v>
      </c>
      <c r="BY1068">
        <f>'Revenue drivers'!BY262</f>
        <v>0</v>
      </c>
    </row>
    <row r="1070" spans="9:77" ht="11.25" customHeight="1">
      <c r="I1070">
        <f>'Revenue drivers'!I263</f>
        <v>0</v>
      </c>
      <c r="J1070">
        <f>'Revenue drivers'!J263</f>
        <v>0</v>
      </c>
      <c r="K1070">
        <f>'Revenue drivers'!K263</f>
        <v>0</v>
      </c>
      <c r="L1070">
        <f>'Revenue drivers'!L263</f>
        <v>0</v>
      </c>
      <c r="M1070">
        <f>'Revenue drivers'!M263</f>
        <v>0</v>
      </c>
      <c r="N1070">
        <f>'Revenue drivers'!N263</f>
        <v>0</v>
      </c>
      <c r="O1070">
        <f>'Revenue drivers'!O263</f>
        <v>0</v>
      </c>
      <c r="P1070">
        <f>'Revenue drivers'!P263</f>
        <v>0</v>
      </c>
      <c r="Q1070">
        <f>'Revenue drivers'!Q263</f>
        <v>0</v>
      </c>
      <c r="R1070">
        <f>'Revenue drivers'!R263</f>
        <v>0</v>
      </c>
      <c r="S1070">
        <f>'Revenue drivers'!S263</f>
        <v>0</v>
      </c>
      <c r="T1070">
        <f>'Revenue drivers'!T263</f>
        <v>0</v>
      </c>
      <c r="U1070">
        <f>'Revenue drivers'!U263</f>
        <v>0</v>
      </c>
      <c r="V1070">
        <f>'Revenue drivers'!V263</f>
        <v>0</v>
      </c>
      <c r="W1070">
        <f>'Revenue drivers'!W263</f>
        <v>0</v>
      </c>
      <c r="X1070">
        <f>'Revenue drivers'!X263</f>
        <v>0</v>
      </c>
      <c r="Y1070">
        <f>'Revenue drivers'!Y263</f>
        <v>0</v>
      </c>
      <c r="Z1070">
        <f>'Revenue drivers'!Z263</f>
        <v>0</v>
      </c>
      <c r="AA1070">
        <f>'Revenue drivers'!AA263</f>
        <v>0</v>
      </c>
      <c r="AB1070">
        <f>'Revenue drivers'!AB263</f>
        <v>0</v>
      </c>
      <c r="AC1070">
        <f>'Revenue drivers'!AC263</f>
        <v>0</v>
      </c>
      <c r="AD1070">
        <f>'Revenue drivers'!AD263</f>
        <v>0</v>
      </c>
      <c r="AE1070">
        <f>'Revenue drivers'!AE263</f>
        <v>0</v>
      </c>
      <c r="AF1070">
        <f>'Revenue drivers'!AF263</f>
        <v>0</v>
      </c>
      <c r="AG1070">
        <f>'Revenue drivers'!AG263</f>
        <v>0</v>
      </c>
      <c r="AH1070">
        <f>'Revenue drivers'!AH263</f>
        <v>0</v>
      </c>
      <c r="AI1070">
        <f>'Revenue drivers'!AI263</f>
        <v>0</v>
      </c>
      <c r="AJ1070">
        <f>'Revenue drivers'!AJ263</f>
        <v>0</v>
      </c>
      <c r="AK1070">
        <f>'Revenue drivers'!AK263</f>
        <v>0</v>
      </c>
      <c r="AL1070">
        <f>'Revenue drivers'!AL263</f>
        <v>0</v>
      </c>
      <c r="AM1070">
        <f>'Revenue drivers'!AM263</f>
        <v>0</v>
      </c>
      <c r="AN1070">
        <f>'Revenue drivers'!AN263</f>
        <v>0</v>
      </c>
      <c r="AO1070">
        <f>'Revenue drivers'!AO263</f>
        <v>0</v>
      </c>
      <c r="AP1070">
        <f>'Revenue drivers'!AP263</f>
        <v>0</v>
      </c>
      <c r="AQ1070">
        <f>'Revenue drivers'!AQ263</f>
        <v>0</v>
      </c>
      <c r="AR1070">
        <f>'Revenue drivers'!AR263</f>
        <v>0</v>
      </c>
      <c r="AS1070">
        <f>'Revenue drivers'!AS263</f>
        <v>0</v>
      </c>
      <c r="AT1070">
        <f>'Revenue drivers'!AT263</f>
        <v>0</v>
      </c>
      <c r="AU1070">
        <f>'Revenue drivers'!AU263</f>
        <v>0</v>
      </c>
      <c r="AV1070">
        <f>'Revenue drivers'!AV263</f>
        <v>0</v>
      </c>
      <c r="AW1070">
        <f>'Revenue drivers'!AW263</f>
        <v>0</v>
      </c>
      <c r="AX1070">
        <f>'Revenue drivers'!AX263</f>
        <v>0</v>
      </c>
      <c r="AY1070">
        <f>'Revenue drivers'!AY263</f>
        <v>0</v>
      </c>
      <c r="AZ1070">
        <f>'Revenue drivers'!AZ263</f>
        <v>0</v>
      </c>
      <c r="BA1070">
        <f>'Revenue drivers'!BA263</f>
        <v>0</v>
      </c>
      <c r="BB1070">
        <f>'Revenue drivers'!BB263</f>
        <v>0</v>
      </c>
      <c r="BC1070">
        <f>'Revenue drivers'!BC263</f>
        <v>0</v>
      </c>
      <c r="BD1070">
        <f>'Revenue drivers'!BD263</f>
        <v>0</v>
      </c>
      <c r="BE1070">
        <f>'Revenue drivers'!BE263</f>
        <v>0</v>
      </c>
      <c r="BF1070">
        <f>'Revenue drivers'!BF263</f>
        <v>0</v>
      </c>
      <c r="BG1070">
        <f>'Revenue drivers'!BG263</f>
        <v>0</v>
      </c>
      <c r="BH1070">
        <f>'Revenue drivers'!BH263</f>
        <v>0</v>
      </c>
      <c r="BI1070">
        <f>'Revenue drivers'!BI263</f>
        <v>0</v>
      </c>
      <c r="BJ1070">
        <f>'Revenue drivers'!BJ263</f>
        <v>0</v>
      </c>
      <c r="BK1070">
        <f>'Revenue drivers'!BK263</f>
        <v>0</v>
      </c>
      <c r="BL1070">
        <f>'Revenue drivers'!BL263</f>
        <v>0</v>
      </c>
      <c r="BM1070">
        <f>'Revenue drivers'!BM263</f>
        <v>0</v>
      </c>
      <c r="BN1070">
        <f>'Revenue drivers'!BN263</f>
        <v>0</v>
      </c>
      <c r="BO1070">
        <f>'Revenue drivers'!BO263</f>
        <v>0</v>
      </c>
      <c r="BP1070">
        <f>'Revenue drivers'!BP263</f>
        <v>0</v>
      </c>
      <c r="BQ1070">
        <f>'Revenue drivers'!BQ263</f>
        <v>0</v>
      </c>
      <c r="BR1070">
        <f>'Revenue drivers'!BR263</f>
        <v>0</v>
      </c>
      <c r="BS1070">
        <f>'Revenue drivers'!BS263</f>
        <v>0</v>
      </c>
      <c r="BT1070">
        <f>'Revenue drivers'!BT263</f>
        <v>0</v>
      </c>
      <c r="BU1070">
        <f>'Revenue drivers'!BU263</f>
        <v>0</v>
      </c>
      <c r="BV1070">
        <f>'Revenue drivers'!BV263</f>
        <v>0</v>
      </c>
      <c r="BW1070">
        <f>'Revenue drivers'!BW263</f>
        <v>0</v>
      </c>
      <c r="BX1070">
        <f>'Revenue drivers'!BX263</f>
        <v>0</v>
      </c>
      <c r="BY1070">
        <f>'Revenue drivers'!BY263</f>
        <v>0</v>
      </c>
    </row>
    <row r="1071" spans="9:77" ht="11.25" customHeight="1">
      <c r="I1071" t="str">
        <f>'Revenue drivers'!I264</f>
        <v>Revenue Mix</v>
      </c>
      <c r="J1071">
        <f>'Revenue drivers'!J264</f>
        <v>0</v>
      </c>
      <c r="K1071">
        <f>'Revenue drivers'!K264</f>
        <v>0</v>
      </c>
      <c r="L1071">
        <f>'Revenue drivers'!L264</f>
        <v>0</v>
      </c>
      <c r="M1071">
        <f>'Revenue drivers'!M264</f>
        <v>0</v>
      </c>
      <c r="N1071">
        <f>'Revenue drivers'!N264</f>
        <v>0</v>
      </c>
      <c r="O1071">
        <f>'Revenue drivers'!O264</f>
        <v>0</v>
      </c>
      <c r="P1071">
        <f>'Revenue drivers'!P264</f>
        <v>0</v>
      </c>
      <c r="Q1071">
        <f>'Revenue drivers'!Q264</f>
        <v>0</v>
      </c>
      <c r="R1071">
        <f>'Revenue drivers'!R264</f>
        <v>0</v>
      </c>
      <c r="S1071">
        <f>'Revenue drivers'!S264</f>
        <v>0</v>
      </c>
      <c r="T1071">
        <f>'Revenue drivers'!T264</f>
        <v>0</v>
      </c>
      <c r="U1071">
        <f>'Revenue drivers'!U264</f>
        <v>0</v>
      </c>
      <c r="V1071">
        <f>'Revenue drivers'!V264</f>
        <v>0</v>
      </c>
      <c r="W1071">
        <f>'Revenue drivers'!W264</f>
        <v>0</v>
      </c>
      <c r="X1071">
        <f>'Revenue drivers'!X264</f>
        <v>0</v>
      </c>
      <c r="Y1071">
        <f>'Revenue drivers'!Y264</f>
        <v>0</v>
      </c>
      <c r="Z1071">
        <f>'Revenue drivers'!Z264</f>
        <v>0</v>
      </c>
      <c r="AA1071">
        <f>'Revenue drivers'!AA264</f>
        <v>0</v>
      </c>
      <c r="AB1071">
        <f>'Revenue drivers'!AB264</f>
        <v>0</v>
      </c>
      <c r="AC1071">
        <f>'Revenue drivers'!AC264</f>
        <v>0</v>
      </c>
      <c r="AD1071">
        <f>'Revenue drivers'!AD264</f>
        <v>0</v>
      </c>
      <c r="AE1071">
        <f>'Revenue drivers'!AE264</f>
        <v>0</v>
      </c>
      <c r="AF1071">
        <f>'Revenue drivers'!AF264</f>
        <v>0</v>
      </c>
      <c r="AG1071">
        <f>'Revenue drivers'!AG264</f>
        <v>0</v>
      </c>
      <c r="AH1071">
        <f>'Revenue drivers'!AH264</f>
        <v>0</v>
      </c>
      <c r="AI1071">
        <f>'Revenue drivers'!AI264</f>
        <v>0</v>
      </c>
      <c r="AJ1071">
        <f>'Revenue drivers'!AJ264</f>
        <v>0</v>
      </c>
      <c r="AK1071">
        <f>'Revenue drivers'!AK264</f>
        <v>0</v>
      </c>
      <c r="AL1071">
        <f>'Revenue drivers'!AL264</f>
        <v>0</v>
      </c>
      <c r="AM1071">
        <f>'Revenue drivers'!AM264</f>
        <v>0</v>
      </c>
      <c r="AN1071">
        <f>'Revenue drivers'!AN264</f>
        <v>0</v>
      </c>
      <c r="AO1071">
        <f>'Revenue drivers'!AO264</f>
        <v>0</v>
      </c>
      <c r="AP1071">
        <f>'Revenue drivers'!AP264</f>
        <v>0</v>
      </c>
      <c r="AQ1071">
        <f>'Revenue drivers'!AQ264</f>
        <v>0</v>
      </c>
      <c r="AR1071">
        <f>'Revenue drivers'!AR264</f>
        <v>0</v>
      </c>
      <c r="AS1071">
        <f>'Revenue drivers'!AS264</f>
        <v>0</v>
      </c>
      <c r="AT1071">
        <f>'Revenue drivers'!AT264</f>
        <v>0</v>
      </c>
      <c r="AU1071">
        <f>'Revenue drivers'!AU264</f>
        <v>0</v>
      </c>
      <c r="AV1071">
        <f>'Revenue drivers'!AV264</f>
        <v>0</v>
      </c>
      <c r="AW1071">
        <f>'Revenue drivers'!AW264</f>
        <v>0</v>
      </c>
      <c r="AX1071">
        <f>'Revenue drivers'!AX264</f>
        <v>0</v>
      </c>
      <c r="AY1071">
        <f>'Revenue drivers'!AY264</f>
        <v>0</v>
      </c>
      <c r="AZ1071">
        <f>'Revenue drivers'!AZ264</f>
        <v>0</v>
      </c>
      <c r="BA1071">
        <f>'Revenue drivers'!BA264</f>
        <v>0</v>
      </c>
      <c r="BB1071">
        <f>'Revenue drivers'!BB264</f>
        <v>0</v>
      </c>
      <c r="BC1071">
        <f>'Revenue drivers'!BC264</f>
        <v>0</v>
      </c>
      <c r="BD1071">
        <f>'Revenue drivers'!BD264</f>
        <v>0</v>
      </c>
      <c r="BE1071">
        <f>'Revenue drivers'!BE264</f>
        <v>0</v>
      </c>
      <c r="BF1071">
        <f>'Revenue drivers'!BF264</f>
        <v>0</v>
      </c>
      <c r="BG1071">
        <f>'Revenue drivers'!BG264</f>
        <v>0</v>
      </c>
      <c r="BH1071">
        <f>'Revenue drivers'!BH264</f>
        <v>0</v>
      </c>
      <c r="BI1071">
        <f>'Revenue drivers'!BI264</f>
        <v>0</v>
      </c>
      <c r="BJ1071">
        <f>'Revenue drivers'!BJ264</f>
        <v>0</v>
      </c>
      <c r="BK1071">
        <f>'Revenue drivers'!BK264</f>
        <v>0</v>
      </c>
      <c r="BL1071">
        <f>'Revenue drivers'!BL264</f>
        <v>0</v>
      </c>
      <c r="BM1071">
        <f>'Revenue drivers'!BM264</f>
        <v>0</v>
      </c>
      <c r="BN1071">
        <f>'Revenue drivers'!BN264</f>
        <v>0</v>
      </c>
      <c r="BO1071">
        <f>'Revenue drivers'!BO264</f>
        <v>0</v>
      </c>
      <c r="BP1071">
        <f>'Revenue drivers'!BP264</f>
        <v>0</v>
      </c>
      <c r="BQ1071">
        <f>'Revenue drivers'!BQ264</f>
        <v>0</v>
      </c>
      <c r="BR1071">
        <f>'Revenue drivers'!BR264</f>
        <v>0</v>
      </c>
      <c r="BS1071">
        <f>'Revenue drivers'!BS264</f>
        <v>0</v>
      </c>
      <c r="BT1071">
        <f>'Revenue drivers'!BT264</f>
        <v>0</v>
      </c>
      <c r="BU1071">
        <f>'Revenue drivers'!BU264</f>
        <v>0</v>
      </c>
      <c r="BV1071">
        <f>'Revenue drivers'!BV264</f>
        <v>0</v>
      </c>
      <c r="BW1071">
        <f>'Revenue drivers'!BW264</f>
        <v>0</v>
      </c>
      <c r="BX1071">
        <f>'Revenue drivers'!BX264</f>
        <v>0</v>
      </c>
      <c r="BY1071">
        <f>'Revenue drivers'!BY264</f>
        <v>0</v>
      </c>
    </row>
    <row r="1072" spans="9:77" ht="11.25" customHeight="1">
      <c r="I1072" t="str">
        <f>'Revenue drivers'!I265</f>
        <v>Home &amp; Local</v>
      </c>
      <c r="J1072">
        <f>'Revenue drivers'!J265</f>
        <v>0</v>
      </c>
      <c r="K1072">
        <f>'Revenue drivers'!K265</f>
        <v>0</v>
      </c>
      <c r="L1072">
        <f>'Revenue drivers'!L265</f>
        <v>0</v>
      </c>
      <c r="M1072">
        <f>'Revenue drivers'!M265</f>
        <v>0</v>
      </c>
      <c r="N1072">
        <f>'Revenue drivers'!N265</f>
        <v>0</v>
      </c>
      <c r="O1072">
        <f>'Revenue drivers'!O265</f>
        <v>0</v>
      </c>
      <c r="P1072">
        <f>'Revenue drivers'!P265</f>
        <v>0</v>
      </c>
      <c r="Q1072">
        <f>'Revenue drivers'!Q265</f>
        <v>0</v>
      </c>
      <c r="R1072">
        <f>'Revenue drivers'!R265</f>
        <v>0</v>
      </c>
      <c r="S1072">
        <f>'Revenue drivers'!S265</f>
        <v>0</v>
      </c>
      <c r="T1072">
        <f>'Revenue drivers'!T265</f>
        <v>0</v>
      </c>
      <c r="U1072">
        <f>'Revenue drivers'!U265</f>
        <v>0</v>
      </c>
      <c r="V1072">
        <f>'Revenue drivers'!V265</f>
        <v>0</v>
      </c>
      <c r="W1072">
        <f>'Revenue drivers'!W265</f>
        <v>0</v>
      </c>
      <c r="X1072">
        <f>'Revenue drivers'!X265</f>
        <v>0</v>
      </c>
      <c r="Y1072">
        <f>'Revenue drivers'!Y265</f>
        <v>0.22</v>
      </c>
      <c r="Z1072">
        <f>'Revenue drivers'!Z265</f>
        <v>0.24</v>
      </c>
      <c r="AA1072">
        <f>'Revenue drivers'!AA265</f>
        <v>0.24</v>
      </c>
      <c r="AB1072">
        <f>'Revenue drivers'!AB265</f>
        <v>0.24</v>
      </c>
      <c r="AC1072">
        <f>'Revenue drivers'!AC265</f>
        <v>0.25</v>
      </c>
      <c r="AD1072">
        <f>'Revenue drivers'!AD265</f>
        <v>0.26</v>
      </c>
      <c r="AE1072">
        <f>'Revenue drivers'!AE265</f>
        <v>0.26</v>
      </c>
      <c r="AF1072">
        <f>'Revenue drivers'!AF265</f>
        <v>0.26</v>
      </c>
      <c r="AG1072">
        <f>'Revenue drivers'!AG265</f>
        <v>0.26</v>
      </c>
      <c r="AH1072">
        <f>'Revenue drivers'!AH265</f>
        <v>0.28000000000000003</v>
      </c>
      <c r="AI1072">
        <f>'Revenue drivers'!AI265</f>
        <v>0.28000000000000003</v>
      </c>
      <c r="AJ1072">
        <f>'Revenue drivers'!AJ265</f>
        <v>0.28000000000000003</v>
      </c>
      <c r="AK1072">
        <f>'Revenue drivers'!AK265</f>
        <v>0.28999999999999998</v>
      </c>
      <c r="AL1072">
        <f>'Revenue drivers'!AL265</f>
        <v>0.3</v>
      </c>
      <c r="AM1072">
        <f>'Revenue drivers'!AM265</f>
        <v>0.3</v>
      </c>
      <c r="AN1072">
        <f>'Revenue drivers'!AN265</f>
        <v>0.29749999999999999</v>
      </c>
      <c r="AO1072">
        <f>'Revenue drivers'!AO265</f>
        <v>0.3</v>
      </c>
      <c r="AP1072">
        <f>'Revenue drivers'!AP265</f>
        <v>0.31</v>
      </c>
      <c r="AQ1072">
        <f>'Revenue drivers'!AQ265</f>
        <v>0.31</v>
      </c>
      <c r="AR1072">
        <f>'Revenue drivers'!AR265</f>
        <v>0.31</v>
      </c>
      <c r="AS1072" t="e">
        <f>'Revenue drivers'!AS265</f>
        <v>#REF!</v>
      </c>
      <c r="AT1072" t="e">
        <f>'Revenue drivers'!AT265</f>
        <v>#REF!</v>
      </c>
      <c r="AU1072" t="e">
        <f>'Revenue drivers'!AU265</f>
        <v>#REF!</v>
      </c>
      <c r="AV1072" t="e">
        <f>'Revenue drivers'!AV265</f>
        <v>#REF!</v>
      </c>
      <c r="AW1072" t="e">
        <f>'Revenue drivers'!AW265</f>
        <v>#REF!</v>
      </c>
      <c r="AX1072" t="e">
        <f>'Revenue drivers'!AX265</f>
        <v>#REF!</v>
      </c>
      <c r="AY1072" t="e">
        <f>'Revenue drivers'!AY265</f>
        <v>#REF!</v>
      </c>
      <c r="AZ1072" t="e">
        <f>'Revenue drivers'!AZ265</f>
        <v>#REF!</v>
      </c>
      <c r="BA1072" t="e">
        <f>'Revenue drivers'!BA265</f>
        <v>#REF!</v>
      </c>
      <c r="BB1072" t="e">
        <f>'Revenue drivers'!BB265</f>
        <v>#REF!</v>
      </c>
      <c r="BC1072" t="e">
        <f>'Revenue drivers'!BC265</f>
        <v>#REF!</v>
      </c>
      <c r="BD1072" t="e">
        <f>'Revenue drivers'!BD265</f>
        <v>#REF!</v>
      </c>
      <c r="BE1072">
        <f>'Revenue drivers'!BE265</f>
        <v>0</v>
      </c>
      <c r="BF1072">
        <f>'Revenue drivers'!BF265</f>
        <v>0</v>
      </c>
      <c r="BG1072">
        <f>'Revenue drivers'!BG265</f>
        <v>0</v>
      </c>
      <c r="BH1072">
        <f>'Revenue drivers'!BH265</f>
        <v>0</v>
      </c>
      <c r="BI1072">
        <f>'Revenue drivers'!BI265</f>
        <v>0</v>
      </c>
      <c r="BJ1072">
        <f>'Revenue drivers'!BJ265</f>
        <v>0</v>
      </c>
      <c r="BK1072">
        <f>'Revenue drivers'!BK265</f>
        <v>0</v>
      </c>
      <c r="BL1072">
        <f>'Revenue drivers'!BL265</f>
        <v>0</v>
      </c>
      <c r="BM1072">
        <f>'Revenue drivers'!BM265</f>
        <v>0.23603988188232866</v>
      </c>
      <c r="BN1072">
        <f>'Revenue drivers'!BN265</f>
        <v>0.25797616651127309</v>
      </c>
      <c r="BO1072">
        <f>'Revenue drivers'!BO265</f>
        <v>0.27588428872737764</v>
      </c>
      <c r="BP1072">
        <f>'Revenue drivers'!BP265</f>
        <v>0.28298828842976487</v>
      </c>
      <c r="BQ1072">
        <f>'Revenue drivers'!BQ265</f>
        <v>0</v>
      </c>
      <c r="BR1072">
        <f>'Revenue drivers'!BR265</f>
        <v>0</v>
      </c>
      <c r="BS1072">
        <f>'Revenue drivers'!BS265</f>
        <v>0</v>
      </c>
      <c r="BT1072">
        <f>'Revenue drivers'!BT265</f>
        <v>0</v>
      </c>
      <c r="BU1072">
        <f>'Revenue drivers'!BU265</f>
        <v>0</v>
      </c>
      <c r="BV1072">
        <f>'Revenue drivers'!BV265</f>
        <v>0</v>
      </c>
      <c r="BW1072">
        <f>'Revenue drivers'!BW265</f>
        <v>0</v>
      </c>
      <c r="BX1072">
        <f>'Revenue drivers'!BX265</f>
        <v>0</v>
      </c>
      <c r="BY1072">
        <f>'Revenue drivers'!BY265</f>
        <v>0</v>
      </c>
    </row>
    <row r="1073" spans="9:77" ht="11.25" customHeight="1">
      <c r="I1073" t="str">
        <f>'Revenue drivers'!I266</f>
        <v>Restaurants</v>
      </c>
      <c r="J1073">
        <f>'Revenue drivers'!J266</f>
        <v>0</v>
      </c>
      <c r="K1073">
        <f>'Revenue drivers'!K266</f>
        <v>0</v>
      </c>
      <c r="L1073">
        <f>'Revenue drivers'!L266</f>
        <v>0</v>
      </c>
      <c r="M1073">
        <f>'Revenue drivers'!M266</f>
        <v>0</v>
      </c>
      <c r="N1073">
        <f>'Revenue drivers'!N266</f>
        <v>0</v>
      </c>
      <c r="O1073">
        <f>'Revenue drivers'!O266</f>
        <v>0</v>
      </c>
      <c r="P1073">
        <f>'Revenue drivers'!P266</f>
        <v>0</v>
      </c>
      <c r="Q1073">
        <f>'Revenue drivers'!Q266</f>
        <v>0</v>
      </c>
      <c r="R1073">
        <f>'Revenue drivers'!R266</f>
        <v>0</v>
      </c>
      <c r="S1073">
        <f>'Revenue drivers'!S266</f>
        <v>0</v>
      </c>
      <c r="T1073">
        <f>'Revenue drivers'!T266</f>
        <v>0</v>
      </c>
      <c r="U1073">
        <f>'Revenue drivers'!U266</f>
        <v>0</v>
      </c>
      <c r="V1073">
        <f>'Revenue drivers'!V266</f>
        <v>0</v>
      </c>
      <c r="W1073">
        <f>'Revenue drivers'!W266</f>
        <v>0</v>
      </c>
      <c r="X1073">
        <f>'Revenue drivers'!X266</f>
        <v>0</v>
      </c>
      <c r="Y1073">
        <f>'Revenue drivers'!Y266</f>
        <v>0.16</v>
      </c>
      <c r="Z1073">
        <f>'Revenue drivers'!Z266</f>
        <v>0.16</v>
      </c>
      <c r="AA1073">
        <f>'Revenue drivers'!AA266</f>
        <v>0.16</v>
      </c>
      <c r="AB1073">
        <f>'Revenue drivers'!AB266</f>
        <v>0.16</v>
      </c>
      <c r="AC1073">
        <f>'Revenue drivers'!AC266</f>
        <v>0.16</v>
      </c>
      <c r="AD1073">
        <f>'Revenue drivers'!AD266</f>
        <v>0.15</v>
      </c>
      <c r="AE1073">
        <f>'Revenue drivers'!AE266</f>
        <v>0.15</v>
      </c>
      <c r="AF1073">
        <f>'Revenue drivers'!AF266</f>
        <v>0.15</v>
      </c>
      <c r="AG1073">
        <f>'Revenue drivers'!AG266</f>
        <v>0.15</v>
      </c>
      <c r="AH1073">
        <f>'Revenue drivers'!AH266</f>
        <v>0.15</v>
      </c>
      <c r="AI1073">
        <f>'Revenue drivers'!AI266</f>
        <v>0.15</v>
      </c>
      <c r="AJ1073">
        <f>'Revenue drivers'!AJ266</f>
        <v>0.14000000000000001</v>
      </c>
      <c r="AK1073">
        <f>'Revenue drivers'!AK266</f>
        <v>0.14000000000000001</v>
      </c>
      <c r="AL1073">
        <f>'Revenue drivers'!AL266</f>
        <v>0.14000000000000001</v>
      </c>
      <c r="AM1073">
        <f>'Revenue drivers'!AM266</f>
        <v>0.15</v>
      </c>
      <c r="AN1073">
        <f>'Revenue drivers'!AN266</f>
        <v>0.14749999999999999</v>
      </c>
      <c r="AO1073">
        <f>'Revenue drivers'!AO266</f>
        <v>0.14000000000000001</v>
      </c>
      <c r="AP1073">
        <f>'Revenue drivers'!AP266</f>
        <v>0.14000000000000001</v>
      </c>
      <c r="AQ1073">
        <f>'Revenue drivers'!AQ266</f>
        <v>0.15</v>
      </c>
      <c r="AR1073">
        <f>'Revenue drivers'!AR266</f>
        <v>0.14000000000000001</v>
      </c>
      <c r="AS1073" t="e">
        <f>'Revenue drivers'!AS266</f>
        <v>#REF!</v>
      </c>
      <c r="AT1073" t="e">
        <f>'Revenue drivers'!AT266</f>
        <v>#REF!</v>
      </c>
      <c r="AU1073" t="e">
        <f>'Revenue drivers'!AU266</f>
        <v>#REF!</v>
      </c>
      <c r="AV1073" t="e">
        <f>'Revenue drivers'!AV266</f>
        <v>#REF!</v>
      </c>
      <c r="AW1073" t="e">
        <f>'Revenue drivers'!AW266</f>
        <v>#REF!</v>
      </c>
      <c r="AX1073" t="e">
        <f>'Revenue drivers'!AX266</f>
        <v>#REF!</v>
      </c>
      <c r="AY1073" t="e">
        <f>'Revenue drivers'!AY266</f>
        <v>#REF!</v>
      </c>
      <c r="AZ1073" t="e">
        <f>'Revenue drivers'!AZ266</f>
        <v>#REF!</v>
      </c>
      <c r="BA1073" t="e">
        <f>'Revenue drivers'!BA266</f>
        <v>#REF!</v>
      </c>
      <c r="BB1073" t="e">
        <f>'Revenue drivers'!BB266</f>
        <v>#REF!</v>
      </c>
      <c r="BC1073" t="e">
        <f>'Revenue drivers'!BC266</f>
        <v>#REF!</v>
      </c>
      <c r="BD1073" t="e">
        <f>'Revenue drivers'!BD266</f>
        <v>#REF!</v>
      </c>
      <c r="BE1073">
        <f>'Revenue drivers'!BE266</f>
        <v>0</v>
      </c>
      <c r="BF1073">
        <f>'Revenue drivers'!BF266</f>
        <v>0</v>
      </c>
      <c r="BG1073">
        <f>'Revenue drivers'!BG266</f>
        <v>0</v>
      </c>
      <c r="BH1073">
        <f>'Revenue drivers'!BH266</f>
        <v>0</v>
      </c>
      <c r="BI1073">
        <f>'Revenue drivers'!BI266</f>
        <v>0</v>
      </c>
      <c r="BJ1073">
        <f>'Revenue drivers'!BJ266</f>
        <v>0</v>
      </c>
      <c r="BK1073">
        <f>'Revenue drivers'!BK266</f>
        <v>0</v>
      </c>
      <c r="BL1073">
        <f>'Revenue drivers'!BL266</f>
        <v>0</v>
      </c>
      <c r="BM1073">
        <f>'Revenue drivers'!BM266</f>
        <v>0.16</v>
      </c>
      <c r="BN1073">
        <f>'Revenue drivers'!BN266</f>
        <v>0.15202383348872692</v>
      </c>
      <c r="BO1073">
        <f>'Revenue drivers'!BO266</f>
        <v>0.14727590792217171</v>
      </c>
      <c r="BP1073">
        <f>'Revenue drivers'!BP266</f>
        <v>0.1446949705496586</v>
      </c>
      <c r="BQ1073">
        <f>'Revenue drivers'!BQ266</f>
        <v>0</v>
      </c>
      <c r="BR1073">
        <f>'Revenue drivers'!BR266</f>
        <v>0</v>
      </c>
      <c r="BS1073">
        <f>'Revenue drivers'!BS266</f>
        <v>0</v>
      </c>
      <c r="BT1073">
        <f>'Revenue drivers'!BT266</f>
        <v>0</v>
      </c>
      <c r="BU1073">
        <f>'Revenue drivers'!BU266</f>
        <v>0</v>
      </c>
      <c r="BV1073">
        <f>'Revenue drivers'!BV266</f>
        <v>0</v>
      </c>
      <c r="BW1073">
        <f>'Revenue drivers'!BW266</f>
        <v>0</v>
      </c>
      <c r="BX1073">
        <f>'Revenue drivers'!BX266</f>
        <v>0</v>
      </c>
      <c r="BY1073">
        <f>'Revenue drivers'!BY266</f>
        <v>0</v>
      </c>
    </row>
    <row r="1074" spans="9:77" ht="11.25" customHeight="1">
      <c r="I1074" t="str">
        <f>'Revenue drivers'!I267</f>
        <v>Beauty &amp; Fitness</v>
      </c>
      <c r="J1074">
        <f>'Revenue drivers'!J267</f>
        <v>0</v>
      </c>
      <c r="K1074">
        <f>'Revenue drivers'!K267</f>
        <v>0</v>
      </c>
      <c r="L1074">
        <f>'Revenue drivers'!L267</f>
        <v>0</v>
      </c>
      <c r="M1074">
        <f>'Revenue drivers'!M267</f>
        <v>0</v>
      </c>
      <c r="N1074">
        <f>'Revenue drivers'!N267</f>
        <v>0</v>
      </c>
      <c r="O1074">
        <f>'Revenue drivers'!O267</f>
        <v>0</v>
      </c>
      <c r="P1074">
        <f>'Revenue drivers'!P267</f>
        <v>0</v>
      </c>
      <c r="Q1074">
        <f>'Revenue drivers'!Q267</f>
        <v>0</v>
      </c>
      <c r="R1074">
        <f>'Revenue drivers'!R267</f>
        <v>0</v>
      </c>
      <c r="S1074">
        <f>'Revenue drivers'!S267</f>
        <v>0</v>
      </c>
      <c r="T1074">
        <f>'Revenue drivers'!T267</f>
        <v>0</v>
      </c>
      <c r="U1074">
        <f>'Revenue drivers'!U267</f>
        <v>0</v>
      </c>
      <c r="V1074">
        <f>'Revenue drivers'!V267</f>
        <v>0</v>
      </c>
      <c r="W1074">
        <f>'Revenue drivers'!W267</f>
        <v>0</v>
      </c>
      <c r="X1074">
        <f>'Revenue drivers'!X267</f>
        <v>0</v>
      </c>
      <c r="Y1074">
        <f>'Revenue drivers'!Y267</f>
        <v>0.14000000000000001</v>
      </c>
      <c r="Z1074">
        <f>'Revenue drivers'!Z267</f>
        <v>0.14000000000000001</v>
      </c>
      <c r="AA1074">
        <f>'Revenue drivers'!AA267</f>
        <v>0.13</v>
      </c>
      <c r="AB1074">
        <f>'Revenue drivers'!AB267</f>
        <v>0.14000000000000001</v>
      </c>
      <c r="AC1074">
        <f>'Revenue drivers'!AC267</f>
        <v>0.13</v>
      </c>
      <c r="AD1074">
        <f>'Revenue drivers'!AD267</f>
        <v>0.13</v>
      </c>
      <c r="AE1074">
        <f>'Revenue drivers'!AE267</f>
        <v>0.12</v>
      </c>
      <c r="AF1074">
        <f>'Revenue drivers'!AF267</f>
        <v>0.13</v>
      </c>
      <c r="AG1074">
        <f>'Revenue drivers'!AG267</f>
        <v>0.13</v>
      </c>
      <c r="AH1074">
        <f>'Revenue drivers'!AH267</f>
        <v>0.12</v>
      </c>
      <c r="AI1074">
        <f>'Revenue drivers'!AI267</f>
        <v>0.12</v>
      </c>
      <c r="AJ1074">
        <f>'Revenue drivers'!AJ267</f>
        <v>0.11749999999999999</v>
      </c>
      <c r="AK1074">
        <f>'Revenue drivers'!AK267</f>
        <v>0.12</v>
      </c>
      <c r="AL1074">
        <f>'Revenue drivers'!AL267</f>
        <v>0.12</v>
      </c>
      <c r="AM1074">
        <f>'Revenue drivers'!AM267</f>
        <v>0.12</v>
      </c>
      <c r="AN1074">
        <f>'Revenue drivers'!AN267</f>
        <v>0.11749999999999999</v>
      </c>
      <c r="AO1074">
        <f>'Revenue drivers'!AO267</f>
        <v>0.13</v>
      </c>
      <c r="AP1074">
        <f>'Revenue drivers'!AP267</f>
        <v>0.13</v>
      </c>
      <c r="AQ1074">
        <f>'Revenue drivers'!AQ267</f>
        <v>0.12</v>
      </c>
      <c r="AR1074">
        <f>'Revenue drivers'!AR267</f>
        <v>0.12</v>
      </c>
      <c r="AS1074" t="e">
        <f>'Revenue drivers'!AS267</f>
        <v>#REF!</v>
      </c>
      <c r="AT1074" t="e">
        <f>'Revenue drivers'!AT267</f>
        <v>#REF!</v>
      </c>
      <c r="AU1074" t="e">
        <f>'Revenue drivers'!AU267</f>
        <v>#REF!</v>
      </c>
      <c r="AV1074" t="e">
        <f>'Revenue drivers'!AV267</f>
        <v>#REF!</v>
      </c>
      <c r="AW1074" t="e">
        <f>'Revenue drivers'!AW267</f>
        <v>#REF!</v>
      </c>
      <c r="AX1074" t="e">
        <f>'Revenue drivers'!AX267</f>
        <v>#REF!</v>
      </c>
      <c r="AY1074" t="e">
        <f>'Revenue drivers'!AY267</f>
        <v>#REF!</v>
      </c>
      <c r="AZ1074" t="e">
        <f>'Revenue drivers'!AZ267</f>
        <v>#REF!</v>
      </c>
      <c r="BA1074" t="e">
        <f>'Revenue drivers'!BA267</f>
        <v>#REF!</v>
      </c>
      <c r="BB1074" t="e">
        <f>'Revenue drivers'!BB267</f>
        <v>#REF!</v>
      </c>
      <c r="BC1074" t="e">
        <f>'Revenue drivers'!BC267</f>
        <v>#REF!</v>
      </c>
      <c r="BD1074" t="e">
        <f>'Revenue drivers'!BD267</f>
        <v>#REF!</v>
      </c>
      <c r="BE1074">
        <f>'Revenue drivers'!BE267</f>
        <v>0</v>
      </c>
      <c r="BF1074">
        <f>'Revenue drivers'!BF267</f>
        <v>0</v>
      </c>
      <c r="BG1074">
        <f>'Revenue drivers'!BG267</f>
        <v>0</v>
      </c>
      <c r="BH1074">
        <f>'Revenue drivers'!BH267</f>
        <v>0</v>
      </c>
      <c r="BI1074">
        <f>'Revenue drivers'!BI267</f>
        <v>0</v>
      </c>
      <c r="BJ1074">
        <f>'Revenue drivers'!BJ267</f>
        <v>0</v>
      </c>
      <c r="BK1074">
        <f>'Revenue drivers'!BK267</f>
        <v>0</v>
      </c>
      <c r="BL1074">
        <f>'Revenue drivers'!BL267</f>
        <v>0</v>
      </c>
      <c r="BM1074">
        <f>'Revenue drivers'!BM267</f>
        <v>0.1373740707675932</v>
      </c>
      <c r="BN1074">
        <f>'Revenue drivers'!BN267</f>
        <v>0.12728621906255297</v>
      </c>
      <c r="BO1074">
        <f>'Revenue drivers'!BO267</f>
        <v>0.12153426391226109</v>
      </c>
      <c r="BP1074">
        <f>'Revenue drivers'!BP267</f>
        <v>0.11942892658316319</v>
      </c>
      <c r="BQ1074">
        <f>'Revenue drivers'!BQ267</f>
        <v>0</v>
      </c>
      <c r="BR1074">
        <f>'Revenue drivers'!BR267</f>
        <v>0</v>
      </c>
      <c r="BS1074">
        <f>'Revenue drivers'!BS267</f>
        <v>0</v>
      </c>
      <c r="BT1074">
        <f>'Revenue drivers'!BT267</f>
        <v>0</v>
      </c>
      <c r="BU1074">
        <f>'Revenue drivers'!BU267</f>
        <v>0</v>
      </c>
      <c r="BV1074">
        <f>'Revenue drivers'!BV267</f>
        <v>0</v>
      </c>
      <c r="BW1074">
        <f>'Revenue drivers'!BW267</f>
        <v>0</v>
      </c>
      <c r="BX1074">
        <f>'Revenue drivers'!BX267</f>
        <v>0</v>
      </c>
      <c r="BY1074">
        <f>'Revenue drivers'!BY267</f>
        <v>0</v>
      </c>
    </row>
    <row r="1075" spans="9:77" ht="11.25" customHeight="1">
      <c r="I1075" t="str">
        <f>'Revenue drivers'!I268</f>
        <v>Shopping</v>
      </c>
      <c r="J1075">
        <f>'Revenue drivers'!J268</f>
        <v>0</v>
      </c>
      <c r="K1075">
        <f>'Revenue drivers'!K268</f>
        <v>0</v>
      </c>
      <c r="L1075">
        <f>'Revenue drivers'!L268</f>
        <v>0</v>
      </c>
      <c r="M1075">
        <f>'Revenue drivers'!M268</f>
        <v>0</v>
      </c>
      <c r="N1075">
        <f>'Revenue drivers'!N268</f>
        <v>0</v>
      </c>
      <c r="O1075">
        <f>'Revenue drivers'!O268</f>
        <v>0</v>
      </c>
      <c r="P1075">
        <f>'Revenue drivers'!P268</f>
        <v>0</v>
      </c>
      <c r="Q1075">
        <f>'Revenue drivers'!Q268</f>
        <v>0</v>
      </c>
      <c r="R1075">
        <f>'Revenue drivers'!R268</f>
        <v>0</v>
      </c>
      <c r="S1075">
        <f>'Revenue drivers'!S268</f>
        <v>0</v>
      </c>
      <c r="T1075">
        <f>'Revenue drivers'!T268</f>
        <v>0</v>
      </c>
      <c r="U1075">
        <f>'Revenue drivers'!U268</f>
        <v>0</v>
      </c>
      <c r="V1075">
        <f>'Revenue drivers'!V268</f>
        <v>0</v>
      </c>
      <c r="W1075">
        <f>'Revenue drivers'!W268</f>
        <v>0</v>
      </c>
      <c r="X1075">
        <f>'Revenue drivers'!X268</f>
        <v>0</v>
      </c>
      <c r="Y1075">
        <f>'Revenue drivers'!Y268</f>
        <v>0.12</v>
      </c>
      <c r="Z1075">
        <f>'Revenue drivers'!Z268</f>
        <v>0.11</v>
      </c>
      <c r="AA1075">
        <f>'Revenue drivers'!AA268</f>
        <v>0.11</v>
      </c>
      <c r="AB1075">
        <f>'Revenue drivers'!AB268</f>
        <v>0.1</v>
      </c>
      <c r="AC1075">
        <f>'Revenue drivers'!AC268</f>
        <v>0.11</v>
      </c>
      <c r="AD1075">
        <f>'Revenue drivers'!AD268</f>
        <v>0.11</v>
      </c>
      <c r="AE1075">
        <f>'Revenue drivers'!AE268</f>
        <v>0.11</v>
      </c>
      <c r="AF1075">
        <f>'Revenue drivers'!AF268</f>
        <v>0.11</v>
      </c>
      <c r="AG1075">
        <f>'Revenue drivers'!AG268</f>
        <v>0.11</v>
      </c>
      <c r="AH1075">
        <f>'Revenue drivers'!AH268</f>
        <v>0.11</v>
      </c>
      <c r="AI1075">
        <f>'Revenue drivers'!AI268</f>
        <v>0.1</v>
      </c>
      <c r="AJ1075">
        <f>'Revenue drivers'!AJ268</f>
        <v>0.1</v>
      </c>
      <c r="AK1075">
        <f>'Revenue drivers'!AK268</f>
        <v>0.1</v>
      </c>
      <c r="AL1075">
        <f>'Revenue drivers'!AL268</f>
        <v>0.09</v>
      </c>
      <c r="AM1075">
        <f>'Revenue drivers'!AM268</f>
        <v>0.1</v>
      </c>
      <c r="AN1075">
        <f>'Revenue drivers'!AN268</f>
        <v>0.09</v>
      </c>
      <c r="AO1075">
        <f>'Revenue drivers'!AO268</f>
        <v>0.09</v>
      </c>
      <c r="AP1075">
        <f>'Revenue drivers'!AP268</f>
        <v>0.09</v>
      </c>
      <c r="AQ1075">
        <f>'Revenue drivers'!AQ268</f>
        <v>0.09</v>
      </c>
      <c r="AR1075">
        <f>'Revenue drivers'!AR268</f>
        <v>0.09</v>
      </c>
      <c r="AS1075" t="e">
        <f>'Revenue drivers'!AS268</f>
        <v>#REF!</v>
      </c>
      <c r="AT1075" t="e">
        <f>'Revenue drivers'!AT268</f>
        <v>#REF!</v>
      </c>
      <c r="AU1075" t="e">
        <f>'Revenue drivers'!AU268</f>
        <v>#REF!</v>
      </c>
      <c r="AV1075" t="e">
        <f>'Revenue drivers'!AV268</f>
        <v>#REF!</v>
      </c>
      <c r="AW1075" t="e">
        <f>'Revenue drivers'!AW268</f>
        <v>#REF!</v>
      </c>
      <c r="AX1075" t="e">
        <f>'Revenue drivers'!AX268</f>
        <v>#REF!</v>
      </c>
      <c r="AY1075" t="e">
        <f>'Revenue drivers'!AY268</f>
        <v>#REF!</v>
      </c>
      <c r="AZ1075" t="e">
        <f>'Revenue drivers'!AZ268</f>
        <v>#REF!</v>
      </c>
      <c r="BA1075" t="e">
        <f>'Revenue drivers'!BA268</f>
        <v>#REF!</v>
      </c>
      <c r="BB1075" t="e">
        <f>'Revenue drivers'!BB268</f>
        <v>#REF!</v>
      </c>
      <c r="BC1075" t="e">
        <f>'Revenue drivers'!BC268</f>
        <v>#REF!</v>
      </c>
      <c r="BD1075" t="e">
        <f>'Revenue drivers'!BD268</f>
        <v>#REF!</v>
      </c>
      <c r="BE1075">
        <f>'Revenue drivers'!BE268</f>
        <v>0</v>
      </c>
      <c r="BF1075">
        <f>'Revenue drivers'!BF268</f>
        <v>0</v>
      </c>
      <c r="BG1075">
        <f>'Revenue drivers'!BG268</f>
        <v>0</v>
      </c>
      <c r="BH1075">
        <f>'Revenue drivers'!BH268</f>
        <v>0</v>
      </c>
      <c r="BI1075">
        <f>'Revenue drivers'!BI268</f>
        <v>0</v>
      </c>
      <c r="BJ1075">
        <f>'Revenue drivers'!BJ268</f>
        <v>0</v>
      </c>
      <c r="BK1075">
        <f>'Revenue drivers'!BK268</f>
        <v>0</v>
      </c>
      <c r="BL1075">
        <f>'Revenue drivers'!BL268</f>
        <v>0</v>
      </c>
      <c r="BM1075">
        <f>'Revenue drivers'!BM268</f>
        <v>0.10894767112469313</v>
      </c>
      <c r="BN1075">
        <f>'Revenue drivers'!BN268</f>
        <v>0.11</v>
      </c>
      <c r="BO1075">
        <f>'Revenue drivers'!BO268</f>
        <v>0.10465082068341171</v>
      </c>
      <c r="BP1075">
        <f>'Revenue drivers'!BP268</f>
        <v>0.10228732828006909</v>
      </c>
      <c r="BQ1075">
        <f>'Revenue drivers'!BQ268</f>
        <v>0</v>
      </c>
      <c r="BR1075">
        <f>'Revenue drivers'!BR268</f>
        <v>0</v>
      </c>
      <c r="BS1075">
        <f>'Revenue drivers'!BS268</f>
        <v>0</v>
      </c>
      <c r="BT1075">
        <f>'Revenue drivers'!BT268</f>
        <v>0</v>
      </c>
      <c r="BU1075">
        <f>'Revenue drivers'!BU268</f>
        <v>0</v>
      </c>
      <c r="BV1075">
        <f>'Revenue drivers'!BV268</f>
        <v>0</v>
      </c>
      <c r="BW1075">
        <f>'Revenue drivers'!BW268</f>
        <v>0</v>
      </c>
      <c r="BX1075">
        <f>'Revenue drivers'!BX268</f>
        <v>0</v>
      </c>
      <c r="BY1075">
        <f>'Revenue drivers'!BY268</f>
        <v>0</v>
      </c>
    </row>
    <row r="1076" spans="9:77" ht="11.25" customHeight="1">
      <c r="I1076" t="str">
        <f>'Revenue drivers'!I269</f>
        <v>Health</v>
      </c>
      <c r="J1076">
        <f>'Revenue drivers'!J269</f>
        <v>0</v>
      </c>
      <c r="K1076">
        <f>'Revenue drivers'!K269</f>
        <v>0</v>
      </c>
      <c r="L1076">
        <f>'Revenue drivers'!L269</f>
        <v>0</v>
      </c>
      <c r="M1076">
        <f>'Revenue drivers'!M269</f>
        <v>0</v>
      </c>
      <c r="N1076">
        <f>'Revenue drivers'!N269</f>
        <v>0</v>
      </c>
      <c r="O1076">
        <f>'Revenue drivers'!O269</f>
        <v>0</v>
      </c>
      <c r="P1076">
        <f>'Revenue drivers'!P269</f>
        <v>0</v>
      </c>
      <c r="Q1076">
        <f>'Revenue drivers'!Q269</f>
        <v>0</v>
      </c>
      <c r="R1076">
        <f>'Revenue drivers'!R269</f>
        <v>0</v>
      </c>
      <c r="S1076">
        <f>'Revenue drivers'!S269</f>
        <v>0</v>
      </c>
      <c r="T1076">
        <f>'Revenue drivers'!T269</f>
        <v>0</v>
      </c>
      <c r="U1076">
        <f>'Revenue drivers'!U269</f>
        <v>0</v>
      </c>
      <c r="V1076">
        <f>'Revenue drivers'!V269</f>
        <v>0</v>
      </c>
      <c r="W1076">
        <f>'Revenue drivers'!W269</f>
        <v>0</v>
      </c>
      <c r="X1076">
        <f>'Revenue drivers'!X269</f>
        <v>0</v>
      </c>
      <c r="Y1076">
        <f>'Revenue drivers'!Y269</f>
        <v>0.11</v>
      </c>
      <c r="Z1076">
        <f>'Revenue drivers'!Z269</f>
        <v>0.12</v>
      </c>
      <c r="AA1076">
        <f>'Revenue drivers'!AA269</f>
        <v>0.12</v>
      </c>
      <c r="AB1076">
        <f>'Revenue drivers'!AB269</f>
        <v>0.11</v>
      </c>
      <c r="AC1076">
        <f>'Revenue drivers'!AC269</f>
        <v>0.11</v>
      </c>
      <c r="AD1076">
        <f>'Revenue drivers'!AD269</f>
        <v>0.12</v>
      </c>
      <c r="AE1076">
        <f>'Revenue drivers'!AE269</f>
        <v>0.11</v>
      </c>
      <c r="AF1076">
        <f>'Revenue drivers'!AF269</f>
        <v>0.11</v>
      </c>
      <c r="AG1076">
        <f>'Revenue drivers'!AG269</f>
        <v>0.11</v>
      </c>
      <c r="AH1076">
        <f>'Revenue drivers'!AH269</f>
        <v>0.11</v>
      </c>
      <c r="AI1076">
        <f>'Revenue drivers'!AI269</f>
        <v>0.11</v>
      </c>
      <c r="AJ1076">
        <f>'Revenue drivers'!AJ269</f>
        <v>0.11</v>
      </c>
      <c r="AK1076">
        <f>'Revenue drivers'!AK269</f>
        <v>0.11</v>
      </c>
      <c r="AL1076">
        <f>'Revenue drivers'!AL269</f>
        <v>0.11</v>
      </c>
      <c r="AM1076">
        <f>'Revenue drivers'!AM269</f>
        <v>0.1</v>
      </c>
      <c r="AN1076">
        <f>'Revenue drivers'!AN269</f>
        <v>0.11</v>
      </c>
      <c r="AO1076">
        <f>'Revenue drivers'!AO269</f>
        <v>0.11</v>
      </c>
      <c r="AP1076">
        <f>'Revenue drivers'!AP269</f>
        <v>0.11</v>
      </c>
      <c r="AQ1076">
        <f>'Revenue drivers'!AQ269</f>
        <v>0.11</v>
      </c>
      <c r="AR1076">
        <f>'Revenue drivers'!AR269</f>
        <v>0.11</v>
      </c>
      <c r="AS1076" t="e">
        <f>'Revenue drivers'!AS269</f>
        <v>#REF!</v>
      </c>
      <c r="AT1076" t="e">
        <f>'Revenue drivers'!AT269</f>
        <v>#REF!</v>
      </c>
      <c r="AU1076" t="e">
        <f>'Revenue drivers'!AU269</f>
        <v>#REF!</v>
      </c>
      <c r="AV1076" t="e">
        <f>'Revenue drivers'!AV269</f>
        <v>#REF!</v>
      </c>
      <c r="AW1076" t="e">
        <f>'Revenue drivers'!AW269</f>
        <v>#REF!</v>
      </c>
      <c r="AX1076" t="e">
        <f>'Revenue drivers'!AX269</f>
        <v>#REF!</v>
      </c>
      <c r="AY1076" t="e">
        <f>'Revenue drivers'!AY269</f>
        <v>#REF!</v>
      </c>
      <c r="AZ1076" t="e">
        <f>'Revenue drivers'!AZ269</f>
        <v>#REF!</v>
      </c>
      <c r="BA1076" t="e">
        <f>'Revenue drivers'!BA269</f>
        <v>#REF!</v>
      </c>
      <c r="BB1076" t="e">
        <f>'Revenue drivers'!BB269</f>
        <v>#REF!</v>
      </c>
      <c r="BC1076" t="e">
        <f>'Revenue drivers'!BC269</f>
        <v>#REF!</v>
      </c>
      <c r="BD1076" t="e">
        <f>'Revenue drivers'!BD269</f>
        <v>#REF!</v>
      </c>
      <c r="BE1076">
        <f>'Revenue drivers'!BE269</f>
        <v>0</v>
      </c>
      <c r="BF1076">
        <f>'Revenue drivers'!BF269</f>
        <v>0</v>
      </c>
      <c r="BG1076">
        <f>'Revenue drivers'!BG269</f>
        <v>0</v>
      </c>
      <c r="BH1076">
        <f>'Revenue drivers'!BH269</f>
        <v>0</v>
      </c>
      <c r="BI1076">
        <f>'Revenue drivers'!BI269</f>
        <v>0</v>
      </c>
      <c r="BJ1076">
        <f>'Revenue drivers'!BJ269</f>
        <v>0</v>
      </c>
      <c r="BK1076">
        <f>'Revenue drivers'!BK269</f>
        <v>0</v>
      </c>
      <c r="BL1076">
        <f>'Revenue drivers'!BL269</f>
        <v>0</v>
      </c>
      <c r="BM1076">
        <f>'Revenue drivers'!BM269</f>
        <v>0.11498755300702181</v>
      </c>
      <c r="BN1076">
        <f>'Revenue drivers'!BN269</f>
        <v>0.11235174923715883</v>
      </c>
      <c r="BO1076">
        <f>'Revenue drivers'!BO269</f>
        <v>0.11007783120222367</v>
      </c>
      <c r="BP1076">
        <f>'Revenue drivers'!BP269</f>
        <v>0.11007138417710459</v>
      </c>
      <c r="BQ1076">
        <f>'Revenue drivers'!BQ269</f>
        <v>0</v>
      </c>
      <c r="BR1076">
        <f>'Revenue drivers'!BR269</f>
        <v>0</v>
      </c>
      <c r="BS1076">
        <f>'Revenue drivers'!BS269</f>
        <v>0</v>
      </c>
      <c r="BT1076">
        <f>'Revenue drivers'!BT269</f>
        <v>0</v>
      </c>
      <c r="BU1076">
        <f>'Revenue drivers'!BU269</f>
        <v>0</v>
      </c>
      <c r="BV1076">
        <f>'Revenue drivers'!BV269</f>
        <v>0</v>
      </c>
      <c r="BW1076">
        <f>'Revenue drivers'!BW269</f>
        <v>0</v>
      </c>
      <c r="BX1076">
        <f>'Revenue drivers'!BX269</f>
        <v>0</v>
      </c>
      <c r="BY1076">
        <f>'Revenue drivers'!BY269</f>
        <v>0</v>
      </c>
    </row>
    <row r="1077" spans="9:77" ht="11.25" customHeight="1">
      <c r="I1077" t="str">
        <f>'Revenue drivers'!I270</f>
        <v>Other</v>
      </c>
      <c r="J1077">
        <f>'Revenue drivers'!J270</f>
        <v>0</v>
      </c>
      <c r="K1077">
        <f>'Revenue drivers'!K270</f>
        <v>0</v>
      </c>
      <c r="L1077">
        <f>'Revenue drivers'!L270</f>
        <v>0</v>
      </c>
      <c r="M1077">
        <f>'Revenue drivers'!M270</f>
        <v>0</v>
      </c>
      <c r="N1077">
        <f>'Revenue drivers'!N270</f>
        <v>0</v>
      </c>
      <c r="O1077">
        <f>'Revenue drivers'!O270</f>
        <v>0</v>
      </c>
      <c r="P1077">
        <f>'Revenue drivers'!P270</f>
        <v>0</v>
      </c>
      <c r="Q1077">
        <f>'Revenue drivers'!Q270</f>
        <v>0</v>
      </c>
      <c r="R1077">
        <f>'Revenue drivers'!R270</f>
        <v>0</v>
      </c>
      <c r="S1077">
        <f>'Revenue drivers'!S270</f>
        <v>0</v>
      </c>
      <c r="T1077">
        <f>'Revenue drivers'!T270</f>
        <v>0</v>
      </c>
      <c r="U1077">
        <f>'Revenue drivers'!U270</f>
        <v>0</v>
      </c>
      <c r="V1077">
        <f>'Revenue drivers'!V270</f>
        <v>0</v>
      </c>
      <c r="W1077">
        <f>'Revenue drivers'!W270</f>
        <v>0</v>
      </c>
      <c r="X1077">
        <f>'Revenue drivers'!X270</f>
        <v>0</v>
      </c>
      <c r="Y1077">
        <f>'Revenue drivers'!Y270</f>
        <v>0.25</v>
      </c>
      <c r="Z1077">
        <f>'Revenue drivers'!Z270</f>
        <v>0.23</v>
      </c>
      <c r="AA1077">
        <f>'Revenue drivers'!AA270</f>
        <v>0.24</v>
      </c>
      <c r="AB1077">
        <f>'Revenue drivers'!AB270</f>
        <v>0.25</v>
      </c>
      <c r="AC1077">
        <f>'Revenue drivers'!AC270</f>
        <v>0.24</v>
      </c>
      <c r="AD1077">
        <f>'Revenue drivers'!AD270</f>
        <v>0.23</v>
      </c>
      <c r="AE1077">
        <f>'Revenue drivers'!AE270</f>
        <v>0.25</v>
      </c>
      <c r="AF1077">
        <f>'Revenue drivers'!AF270</f>
        <v>0.24</v>
      </c>
      <c r="AG1077">
        <f>'Revenue drivers'!AG270</f>
        <v>0.24</v>
      </c>
      <c r="AH1077">
        <f>'Revenue drivers'!AH270</f>
        <v>0.23</v>
      </c>
      <c r="AI1077">
        <f>'Revenue drivers'!AI270</f>
        <v>0.24</v>
      </c>
      <c r="AJ1077">
        <f>'Revenue drivers'!AJ270</f>
        <v>0.25</v>
      </c>
      <c r="AK1077">
        <f>'Revenue drivers'!AK270</f>
        <v>0.24</v>
      </c>
      <c r="AL1077">
        <f>'Revenue drivers'!AL270</f>
        <v>0.24</v>
      </c>
      <c r="AM1077">
        <f>'Revenue drivers'!AM270</f>
        <v>0.23</v>
      </c>
      <c r="AN1077">
        <f>'Revenue drivers'!AN270</f>
        <v>0.24</v>
      </c>
      <c r="AO1077">
        <f>'Revenue drivers'!AO270</f>
        <v>0.23</v>
      </c>
      <c r="AP1077">
        <f>'Revenue drivers'!AP270</f>
        <v>0.22</v>
      </c>
      <c r="AQ1077">
        <f>'Revenue drivers'!AQ270</f>
        <v>0.22</v>
      </c>
      <c r="AR1077">
        <f>'Revenue drivers'!AR270</f>
        <v>0.23</v>
      </c>
      <c r="AS1077" t="e">
        <f>'Revenue drivers'!AS270</f>
        <v>#REF!</v>
      </c>
      <c r="AT1077" t="e">
        <f>'Revenue drivers'!AT270</f>
        <v>#REF!</v>
      </c>
      <c r="AU1077" t="e">
        <f>'Revenue drivers'!AU270</f>
        <v>#REF!</v>
      </c>
      <c r="AV1077" t="e">
        <f>'Revenue drivers'!AV270</f>
        <v>#REF!</v>
      </c>
      <c r="AW1077" t="e">
        <f>'Revenue drivers'!AW270</f>
        <v>#REF!</v>
      </c>
      <c r="AX1077" t="e">
        <f>'Revenue drivers'!AX270</f>
        <v>#REF!</v>
      </c>
      <c r="AY1077" t="e">
        <f>'Revenue drivers'!AY270</f>
        <v>#REF!</v>
      </c>
      <c r="AZ1077" t="e">
        <f>'Revenue drivers'!AZ270</f>
        <v>#REF!</v>
      </c>
      <c r="BA1077" t="e">
        <f>'Revenue drivers'!BA270</f>
        <v>#REF!</v>
      </c>
      <c r="BB1077" t="e">
        <f>'Revenue drivers'!BB270</f>
        <v>#REF!</v>
      </c>
      <c r="BC1077" t="e">
        <f>'Revenue drivers'!BC270</f>
        <v>#REF!</v>
      </c>
      <c r="BD1077" t="e">
        <f>'Revenue drivers'!BD270</f>
        <v>#REF!</v>
      </c>
      <c r="BE1077">
        <f>'Revenue drivers'!BE270</f>
        <v>0</v>
      </c>
      <c r="BF1077">
        <f>'Revenue drivers'!BF270</f>
        <v>0</v>
      </c>
      <c r="BG1077">
        <f>'Revenue drivers'!BG270</f>
        <v>0</v>
      </c>
      <c r="BH1077">
        <f>'Revenue drivers'!BH270</f>
        <v>0</v>
      </c>
      <c r="BI1077">
        <f>'Revenue drivers'!BI270</f>
        <v>0</v>
      </c>
      <c r="BJ1077">
        <f>'Revenue drivers'!BJ270</f>
        <v>0</v>
      </c>
      <c r="BK1077">
        <f>'Revenue drivers'!BK270</f>
        <v>0</v>
      </c>
      <c r="BL1077">
        <f>'Revenue drivers'!BL270</f>
        <v>0</v>
      </c>
      <c r="BM1077">
        <f>'Revenue drivers'!BM270</f>
        <v>0.24265082321836315</v>
      </c>
      <c r="BN1077">
        <f>'Revenue drivers'!BN270</f>
        <v>0.24036203170028816</v>
      </c>
      <c r="BO1077">
        <f>'Revenue drivers'!BO270</f>
        <v>0.2405768875525543</v>
      </c>
      <c r="BP1077">
        <f>'Revenue drivers'!BP270</f>
        <v>0.24052910198023958</v>
      </c>
      <c r="BQ1077">
        <f>'Revenue drivers'!BQ270</f>
        <v>0</v>
      </c>
      <c r="BR1077">
        <f>'Revenue drivers'!BR270</f>
        <v>0</v>
      </c>
      <c r="BS1077">
        <f>'Revenue drivers'!BS270</f>
        <v>0</v>
      </c>
      <c r="BT1077">
        <f>'Revenue drivers'!BT270</f>
        <v>0</v>
      </c>
      <c r="BU1077">
        <f>'Revenue drivers'!BU270</f>
        <v>0</v>
      </c>
      <c r="BV1077">
        <f>'Revenue drivers'!BV270</f>
        <v>0</v>
      </c>
      <c r="BW1077">
        <f>'Revenue drivers'!BW270</f>
        <v>0</v>
      </c>
      <c r="BX1077">
        <f>'Revenue drivers'!BX270</f>
        <v>0</v>
      </c>
      <c r="BY1077">
        <f>'Revenue drivers'!BY270</f>
        <v>0</v>
      </c>
    </row>
    <row r="1078" spans="9:77" ht="11.25" customHeight="1">
      <c r="J1078">
        <f>'Revenue drivers'!J271</f>
        <v>0</v>
      </c>
      <c r="K1078">
        <f>'Revenue drivers'!K271</f>
        <v>0</v>
      </c>
      <c r="L1078">
        <f>'Revenue drivers'!L271</f>
        <v>0</v>
      </c>
      <c r="M1078">
        <f>'Revenue drivers'!M271</f>
        <v>0</v>
      </c>
      <c r="N1078">
        <f>'Revenue drivers'!N271</f>
        <v>0</v>
      </c>
      <c r="O1078">
        <f>'Revenue drivers'!O271</f>
        <v>0</v>
      </c>
      <c r="P1078">
        <f>'Revenue drivers'!P271</f>
        <v>0</v>
      </c>
      <c r="Q1078">
        <f>'Revenue drivers'!Q271</f>
        <v>0</v>
      </c>
      <c r="R1078">
        <f>'Revenue drivers'!R271</f>
        <v>0</v>
      </c>
      <c r="S1078">
        <f>'Revenue drivers'!S271</f>
        <v>0</v>
      </c>
      <c r="T1078">
        <f>'Revenue drivers'!T271</f>
        <v>0</v>
      </c>
      <c r="U1078">
        <f>'Revenue drivers'!U271</f>
        <v>0</v>
      </c>
      <c r="V1078">
        <f>'Revenue drivers'!V271</f>
        <v>0</v>
      </c>
      <c r="W1078">
        <f>'Revenue drivers'!W271</f>
        <v>0</v>
      </c>
      <c r="X1078">
        <f>'Revenue drivers'!X271</f>
        <v>0</v>
      </c>
      <c r="Y1078">
        <f>'Revenue drivers'!Y271</f>
        <v>0</v>
      </c>
      <c r="Z1078">
        <f>'Revenue drivers'!Z271</f>
        <v>0</v>
      </c>
      <c r="AA1078">
        <f>'Revenue drivers'!AA271</f>
        <v>0</v>
      </c>
      <c r="AB1078">
        <f>'Revenue drivers'!AB271</f>
        <v>0</v>
      </c>
      <c r="AC1078">
        <f>'Revenue drivers'!AC271</f>
        <v>0</v>
      </c>
      <c r="AD1078">
        <f>'Revenue drivers'!AD271</f>
        <v>0</v>
      </c>
      <c r="AE1078">
        <f>'Revenue drivers'!AE271</f>
        <v>0</v>
      </c>
      <c r="AF1078">
        <f>'Revenue drivers'!AF271</f>
        <v>0</v>
      </c>
      <c r="AG1078">
        <f>'Revenue drivers'!AG271</f>
        <v>0</v>
      </c>
      <c r="AH1078">
        <f>'Revenue drivers'!AH271</f>
        <v>0</v>
      </c>
      <c r="AI1078">
        <f>'Revenue drivers'!AI271</f>
        <v>0</v>
      </c>
      <c r="AJ1078">
        <f>'Revenue drivers'!AJ271</f>
        <v>0</v>
      </c>
      <c r="AK1078">
        <f>'Revenue drivers'!AK271</f>
        <v>1</v>
      </c>
      <c r="AL1078">
        <f>'Revenue drivers'!AL271</f>
        <v>1</v>
      </c>
      <c r="AM1078">
        <f>'Revenue drivers'!AM271</f>
        <v>0.99999999999999989</v>
      </c>
      <c r="AN1078">
        <f>'Revenue drivers'!AN271</f>
        <v>1.0024999999999999</v>
      </c>
      <c r="AO1078">
        <f>'Revenue drivers'!AO271</f>
        <v>1</v>
      </c>
      <c r="AP1078">
        <f>'Revenue drivers'!AP271</f>
        <v>1</v>
      </c>
      <c r="AQ1078">
        <f>'Revenue drivers'!AQ271</f>
        <v>0.99999999999999989</v>
      </c>
      <c r="AR1078">
        <f>'Revenue drivers'!AR271</f>
        <v>1</v>
      </c>
      <c r="AS1078" t="e">
        <f>'Revenue drivers'!AS271</f>
        <v>#REF!</v>
      </c>
      <c r="AT1078" t="e">
        <f>'Revenue drivers'!AT271</f>
        <v>#REF!</v>
      </c>
      <c r="AU1078" t="e">
        <f>'Revenue drivers'!AU271</f>
        <v>#REF!</v>
      </c>
      <c r="AV1078" t="e">
        <f>'Revenue drivers'!AV271</f>
        <v>#REF!</v>
      </c>
      <c r="AW1078" t="e">
        <f>'Revenue drivers'!AW271</f>
        <v>#REF!</v>
      </c>
      <c r="AX1078" t="e">
        <f>'Revenue drivers'!AX271</f>
        <v>#REF!</v>
      </c>
      <c r="AY1078" t="e">
        <f>'Revenue drivers'!AY271</f>
        <v>#REF!</v>
      </c>
      <c r="AZ1078" t="e">
        <f>'Revenue drivers'!AZ271</f>
        <v>#REF!</v>
      </c>
      <c r="BA1078" t="e">
        <f>'Revenue drivers'!BA271</f>
        <v>#REF!</v>
      </c>
      <c r="BB1078" t="e">
        <f>'Revenue drivers'!BB271</f>
        <v>#REF!</v>
      </c>
      <c r="BC1078" t="e">
        <f>'Revenue drivers'!BC271</f>
        <v>#REF!</v>
      </c>
      <c r="BD1078" t="e">
        <f>'Revenue drivers'!BD271</f>
        <v>#REF!</v>
      </c>
      <c r="BE1078">
        <f>'Revenue drivers'!BE271</f>
        <v>0</v>
      </c>
      <c r="BF1078">
        <f>'Revenue drivers'!BF271</f>
        <v>0</v>
      </c>
      <c r="BG1078">
        <f>'Revenue drivers'!BG271</f>
        <v>0</v>
      </c>
      <c r="BH1078">
        <f>'Revenue drivers'!BH271</f>
        <v>0</v>
      </c>
      <c r="BI1078">
        <f>'Revenue drivers'!BI271</f>
        <v>0</v>
      </c>
      <c r="BJ1078">
        <f>'Revenue drivers'!BJ271</f>
        <v>0</v>
      </c>
      <c r="BK1078">
        <f>'Revenue drivers'!BK271</f>
        <v>0</v>
      </c>
      <c r="BL1078">
        <f>'Revenue drivers'!BL271</f>
        <v>0</v>
      </c>
      <c r="BM1078">
        <f>'Revenue drivers'!BM271</f>
        <v>0</v>
      </c>
      <c r="BN1078">
        <f>'Revenue drivers'!BN271</f>
        <v>0</v>
      </c>
      <c r="BO1078">
        <f>'Revenue drivers'!BO271</f>
        <v>0</v>
      </c>
      <c r="BP1078">
        <f>'Revenue drivers'!BP271</f>
        <v>0</v>
      </c>
      <c r="BQ1078">
        <f>'Revenue drivers'!BQ271</f>
        <v>0</v>
      </c>
      <c r="BR1078">
        <f>'Revenue drivers'!BR271</f>
        <v>0</v>
      </c>
      <c r="BS1078">
        <f>'Revenue drivers'!BS271</f>
        <v>0</v>
      </c>
      <c r="BT1078">
        <f>'Revenue drivers'!BT271</f>
        <v>0</v>
      </c>
      <c r="BU1078">
        <f>'Revenue drivers'!BU271</f>
        <v>0</v>
      </c>
      <c r="BV1078">
        <f>'Revenue drivers'!BV271</f>
        <v>0</v>
      </c>
      <c r="BW1078">
        <f>'Revenue drivers'!BW271</f>
        <v>0</v>
      </c>
      <c r="BX1078">
        <f>'Revenue drivers'!BX271</f>
        <v>0</v>
      </c>
      <c r="BY1078">
        <f>'Revenue drivers'!BY271</f>
        <v>0</v>
      </c>
    </row>
    <row r="1079" spans="9:77" ht="11.25" customHeight="1">
      <c r="I1079" t="str">
        <f>'Revenue drivers'!I271</f>
        <v>Top 5 Vericals</v>
      </c>
      <c r="J1079">
        <f>'Revenue drivers'!J272</f>
        <v>0</v>
      </c>
      <c r="K1079">
        <f>'Revenue drivers'!K272</f>
        <v>0</v>
      </c>
      <c r="L1079">
        <f>'Revenue drivers'!L272</f>
        <v>0</v>
      </c>
      <c r="M1079">
        <f>'Revenue drivers'!M272</f>
        <v>0</v>
      </c>
      <c r="N1079">
        <f>'Revenue drivers'!N272</f>
        <v>0</v>
      </c>
      <c r="O1079">
        <f>'Revenue drivers'!O272</f>
        <v>0</v>
      </c>
      <c r="P1079">
        <f>'Revenue drivers'!P272</f>
        <v>0</v>
      </c>
      <c r="Q1079">
        <f>'Revenue drivers'!Q272</f>
        <v>0</v>
      </c>
      <c r="R1079">
        <f>'Revenue drivers'!R272</f>
        <v>0</v>
      </c>
      <c r="S1079">
        <f>'Revenue drivers'!S272</f>
        <v>0</v>
      </c>
      <c r="T1079">
        <f>'Revenue drivers'!T272</f>
        <v>0</v>
      </c>
      <c r="U1079">
        <f>'Revenue drivers'!U272</f>
        <v>0</v>
      </c>
      <c r="V1079">
        <f>'Revenue drivers'!V272</f>
        <v>0</v>
      </c>
      <c r="W1079">
        <f>'Revenue drivers'!W272</f>
        <v>0</v>
      </c>
      <c r="X1079">
        <f>'Revenue drivers'!X272</f>
        <v>0</v>
      </c>
      <c r="Y1079">
        <f>'Revenue drivers'!Y272</f>
        <v>0</v>
      </c>
      <c r="Z1079">
        <f>'Revenue drivers'!Z272</f>
        <v>0</v>
      </c>
      <c r="AA1079">
        <f>'Revenue drivers'!AA272</f>
        <v>0</v>
      </c>
      <c r="AB1079">
        <f>'Revenue drivers'!AB272</f>
        <v>0</v>
      </c>
      <c r="AC1079">
        <f>'Revenue drivers'!AC272</f>
        <v>0</v>
      </c>
      <c r="AD1079">
        <f>'Revenue drivers'!AD272</f>
        <v>0</v>
      </c>
      <c r="AE1079">
        <f>'Revenue drivers'!AE272</f>
        <v>0</v>
      </c>
      <c r="AF1079">
        <f>'Revenue drivers'!AF272</f>
        <v>0</v>
      </c>
      <c r="AG1079">
        <f>'Revenue drivers'!AG272</f>
        <v>0</v>
      </c>
      <c r="AH1079">
        <f>'Revenue drivers'!AH272</f>
        <v>0</v>
      </c>
      <c r="AI1079">
        <f>'Revenue drivers'!AI272</f>
        <v>0</v>
      </c>
      <c r="AJ1079">
        <f>'Revenue drivers'!AJ272</f>
        <v>0</v>
      </c>
      <c r="AK1079">
        <f>'Revenue drivers'!AK272</f>
        <v>0</v>
      </c>
      <c r="AL1079">
        <f>'Revenue drivers'!AL272</f>
        <v>0</v>
      </c>
      <c r="AM1079">
        <f>'Revenue drivers'!AM272</f>
        <v>0</v>
      </c>
      <c r="AN1079">
        <f>'Revenue drivers'!AN272</f>
        <v>0</v>
      </c>
      <c r="AO1079">
        <f>'Revenue drivers'!AO272</f>
        <v>0</v>
      </c>
      <c r="AP1079">
        <f>'Revenue drivers'!AP272</f>
        <v>0</v>
      </c>
      <c r="AQ1079">
        <f>'Revenue drivers'!AQ272</f>
        <v>0</v>
      </c>
      <c r="AR1079">
        <f>'Revenue drivers'!AR272</f>
        <v>0</v>
      </c>
      <c r="AS1079">
        <f>'Revenue drivers'!AS272</f>
        <v>0</v>
      </c>
      <c r="AT1079">
        <f>'Revenue drivers'!AT272</f>
        <v>0</v>
      </c>
      <c r="AU1079">
        <f>'Revenue drivers'!AU272</f>
        <v>0</v>
      </c>
      <c r="AV1079">
        <f>'Revenue drivers'!AV272</f>
        <v>0</v>
      </c>
      <c r="AW1079">
        <f>'Revenue drivers'!AW272</f>
        <v>0</v>
      </c>
      <c r="AX1079">
        <f>'Revenue drivers'!AX272</f>
        <v>0</v>
      </c>
      <c r="AY1079">
        <f>'Revenue drivers'!AY272</f>
        <v>0</v>
      </c>
      <c r="AZ1079">
        <f>'Revenue drivers'!AZ272</f>
        <v>0</v>
      </c>
      <c r="BA1079">
        <f>'Revenue drivers'!BA272</f>
        <v>0</v>
      </c>
      <c r="BB1079">
        <f>'Revenue drivers'!BB272</f>
        <v>0</v>
      </c>
      <c r="BC1079">
        <f>'Revenue drivers'!BC272</f>
        <v>0</v>
      </c>
      <c r="BD1079">
        <f>'Revenue drivers'!BD272</f>
        <v>0</v>
      </c>
      <c r="BE1079">
        <f>'Revenue drivers'!BE272</f>
        <v>0</v>
      </c>
      <c r="BF1079">
        <f>'Revenue drivers'!BF272</f>
        <v>0</v>
      </c>
      <c r="BG1079">
        <f>'Revenue drivers'!BG272</f>
        <v>0</v>
      </c>
      <c r="BH1079">
        <f>'Revenue drivers'!BH272</f>
        <v>0</v>
      </c>
      <c r="BI1079">
        <f>'Revenue drivers'!BI272</f>
        <v>0</v>
      </c>
      <c r="BJ1079">
        <f>'Revenue drivers'!BJ272</f>
        <v>0</v>
      </c>
      <c r="BK1079">
        <f>'Revenue drivers'!BK272</f>
        <v>0</v>
      </c>
      <c r="BL1079">
        <f>'Revenue drivers'!BL272</f>
        <v>0</v>
      </c>
      <c r="BM1079">
        <f>'Revenue drivers'!BM272</f>
        <v>0.75734917678163682</v>
      </c>
      <c r="BN1079">
        <f>'Revenue drivers'!BN272</f>
        <v>0.75963796829971186</v>
      </c>
      <c r="BO1079">
        <f>'Revenue drivers'!BO272</f>
        <v>0.75942311244744587</v>
      </c>
      <c r="BP1079">
        <f>'Revenue drivers'!BP272</f>
        <v>0.75947089801976042</v>
      </c>
      <c r="BQ1079">
        <f>'Revenue drivers'!BQ272</f>
        <v>0</v>
      </c>
      <c r="BR1079">
        <f>'Revenue drivers'!BR272</f>
        <v>0</v>
      </c>
      <c r="BS1079">
        <f>'Revenue drivers'!BS272</f>
        <v>0</v>
      </c>
      <c r="BT1079">
        <f>'Revenue drivers'!BT272</f>
        <v>0</v>
      </c>
      <c r="BU1079">
        <f>'Revenue drivers'!BU272</f>
        <v>0</v>
      </c>
      <c r="BV1079">
        <f>'Revenue drivers'!BV272</f>
        <v>0</v>
      </c>
      <c r="BW1079">
        <f>'Revenue drivers'!BW272</f>
        <v>0</v>
      </c>
      <c r="BX1079">
        <f>'Revenue drivers'!BX272</f>
        <v>0</v>
      </c>
      <c r="BY1079">
        <f>'Revenue drivers'!BY272</f>
        <v>0</v>
      </c>
    </row>
    <row r="1080" spans="9:77" ht="11.25" customHeight="1">
      <c r="I1080">
        <f>'Revenue drivers'!I273</f>
        <v>0</v>
      </c>
      <c r="J1080">
        <f>'Revenue drivers'!J273</f>
        <v>0</v>
      </c>
      <c r="K1080">
        <f>'Revenue drivers'!K273</f>
        <v>0</v>
      </c>
      <c r="L1080">
        <f>'Revenue drivers'!L273</f>
        <v>0</v>
      </c>
      <c r="M1080">
        <f>'Revenue drivers'!M273</f>
        <v>0</v>
      </c>
      <c r="N1080">
        <f>'Revenue drivers'!N273</f>
        <v>0</v>
      </c>
      <c r="O1080">
        <f>'Revenue drivers'!O273</f>
        <v>0</v>
      </c>
      <c r="P1080">
        <f>'Revenue drivers'!P273</f>
        <v>0</v>
      </c>
      <c r="Q1080">
        <f>'Revenue drivers'!Q273</f>
        <v>0</v>
      </c>
      <c r="R1080">
        <f>'Revenue drivers'!R273</f>
        <v>0</v>
      </c>
      <c r="S1080">
        <f>'Revenue drivers'!S273</f>
        <v>0</v>
      </c>
      <c r="T1080">
        <f>'Revenue drivers'!T273</f>
        <v>0</v>
      </c>
      <c r="U1080">
        <f>'Revenue drivers'!U273</f>
        <v>0</v>
      </c>
      <c r="V1080">
        <f>'Revenue drivers'!V273</f>
        <v>0</v>
      </c>
      <c r="W1080">
        <f>'Revenue drivers'!W273</f>
        <v>0</v>
      </c>
      <c r="X1080">
        <f>'Revenue drivers'!X273</f>
        <v>0</v>
      </c>
      <c r="Y1080">
        <f>'Revenue drivers'!Y273</f>
        <v>0</v>
      </c>
      <c r="Z1080">
        <f>'Revenue drivers'!Z273</f>
        <v>0</v>
      </c>
      <c r="AA1080">
        <f>'Revenue drivers'!AA273</f>
        <v>0</v>
      </c>
      <c r="AB1080">
        <f>'Revenue drivers'!AB273</f>
        <v>0</v>
      </c>
      <c r="AC1080">
        <f>'Revenue drivers'!AC273</f>
        <v>0</v>
      </c>
      <c r="AD1080">
        <f>'Revenue drivers'!AD273</f>
        <v>0</v>
      </c>
      <c r="AE1080">
        <f>'Revenue drivers'!AE273</f>
        <v>0</v>
      </c>
      <c r="AF1080">
        <f>'Revenue drivers'!AF273</f>
        <v>0</v>
      </c>
      <c r="AG1080">
        <f>'Revenue drivers'!AG273</f>
        <v>0</v>
      </c>
      <c r="AH1080">
        <f>'Revenue drivers'!AH273</f>
        <v>0</v>
      </c>
      <c r="AI1080">
        <f>'Revenue drivers'!AI273</f>
        <v>0</v>
      </c>
      <c r="AJ1080">
        <f>'Revenue drivers'!AJ273</f>
        <v>0</v>
      </c>
      <c r="AK1080">
        <f>'Revenue drivers'!AK273</f>
        <v>0</v>
      </c>
      <c r="AL1080">
        <f>'Revenue drivers'!AL273</f>
        <v>0</v>
      </c>
      <c r="AM1080">
        <f>'Revenue drivers'!AM273</f>
        <v>0</v>
      </c>
      <c r="AN1080">
        <f>'Revenue drivers'!AN273</f>
        <v>0</v>
      </c>
      <c r="AO1080">
        <f>'Revenue drivers'!AO273</f>
        <v>0</v>
      </c>
      <c r="AP1080">
        <f>'Revenue drivers'!AP273</f>
        <v>0</v>
      </c>
      <c r="AQ1080">
        <f>'Revenue drivers'!AQ273</f>
        <v>0</v>
      </c>
      <c r="AR1080">
        <f>'Revenue drivers'!AR273</f>
        <v>0</v>
      </c>
      <c r="AS1080">
        <f>'Revenue drivers'!AS273</f>
        <v>0</v>
      </c>
      <c r="AT1080">
        <f>'Revenue drivers'!AT273</f>
        <v>0</v>
      </c>
      <c r="AU1080">
        <f>'Revenue drivers'!AU273</f>
        <v>0</v>
      </c>
      <c r="AV1080">
        <f>'Revenue drivers'!AV273</f>
        <v>0</v>
      </c>
      <c r="AW1080">
        <f>'Revenue drivers'!AW273</f>
        <v>0</v>
      </c>
      <c r="AX1080">
        <f>'Revenue drivers'!AX273</f>
        <v>0</v>
      </c>
      <c r="AY1080">
        <f>'Revenue drivers'!AY273</f>
        <v>0</v>
      </c>
      <c r="AZ1080">
        <f>'Revenue drivers'!AZ273</f>
        <v>0</v>
      </c>
      <c r="BA1080">
        <f>'Revenue drivers'!BA273</f>
        <v>0</v>
      </c>
      <c r="BB1080">
        <f>'Revenue drivers'!BB273</f>
        <v>0</v>
      </c>
      <c r="BC1080">
        <f>'Revenue drivers'!BC273</f>
        <v>0</v>
      </c>
      <c r="BD1080">
        <f>'Revenue drivers'!BD273</f>
        <v>0</v>
      </c>
      <c r="BE1080">
        <f>'Revenue drivers'!BE273</f>
        <v>0</v>
      </c>
      <c r="BF1080">
        <f>'Revenue drivers'!BF273</f>
        <v>0</v>
      </c>
      <c r="BG1080">
        <f>'Revenue drivers'!BG273</f>
        <v>0</v>
      </c>
      <c r="BH1080">
        <f>'Revenue drivers'!BH273</f>
        <v>0</v>
      </c>
      <c r="BI1080">
        <f>'Revenue drivers'!BI273</f>
        <v>0</v>
      </c>
      <c r="BJ1080">
        <f>'Revenue drivers'!BJ273</f>
        <v>0</v>
      </c>
      <c r="BK1080">
        <f>'Revenue drivers'!BK273</f>
        <v>0</v>
      </c>
      <c r="BL1080">
        <f>'Revenue drivers'!BL273</f>
        <v>0</v>
      </c>
      <c r="BM1080">
        <f>'Revenue drivers'!BM273</f>
        <v>0</v>
      </c>
      <c r="BP1080">
        <f>'Revenue drivers'!BP273</f>
        <v>35.57788000000005</v>
      </c>
      <c r="BQ1080">
        <f>'Revenue drivers'!BQ273</f>
        <v>0</v>
      </c>
      <c r="BR1080">
        <f>'Revenue drivers'!BR273</f>
        <v>0</v>
      </c>
      <c r="BS1080">
        <f>'Revenue drivers'!BS273</f>
        <v>0</v>
      </c>
      <c r="BT1080">
        <f>'Revenue drivers'!BT273</f>
        <v>0</v>
      </c>
      <c r="BU1080">
        <f>'Revenue drivers'!BU273</f>
        <v>0</v>
      </c>
      <c r="BV1080">
        <f>'Revenue drivers'!BV273</f>
        <v>0</v>
      </c>
      <c r="BW1080">
        <f>'Revenue drivers'!BW273</f>
        <v>0</v>
      </c>
      <c r="BX1080">
        <f>'Revenue drivers'!BX273</f>
        <v>0</v>
      </c>
      <c r="BY1080">
        <f>'Revenue drivers'!BY273</f>
        <v>0</v>
      </c>
    </row>
    <row r="1081" spans="9:77" ht="11.25" customHeight="1">
      <c r="I1081" t="str">
        <f>'Revenue drivers'!I274</f>
        <v>Revenue YoY Growth</v>
      </c>
      <c r="J1081">
        <f>'Revenue drivers'!J274</f>
        <v>0</v>
      </c>
      <c r="K1081">
        <f>'Revenue drivers'!K274</f>
        <v>0</v>
      </c>
      <c r="L1081">
        <f>'Revenue drivers'!L274</f>
        <v>0</v>
      </c>
      <c r="M1081">
        <f>'Revenue drivers'!M274</f>
        <v>0</v>
      </c>
      <c r="N1081">
        <f>'Revenue drivers'!N274</f>
        <v>0</v>
      </c>
      <c r="O1081">
        <f>'Revenue drivers'!O274</f>
        <v>0</v>
      </c>
      <c r="P1081">
        <f>'Revenue drivers'!P274</f>
        <v>0</v>
      </c>
      <c r="Q1081">
        <f>'Revenue drivers'!Q274</f>
        <v>0</v>
      </c>
      <c r="R1081">
        <f>'Revenue drivers'!R274</f>
        <v>0</v>
      </c>
      <c r="S1081">
        <f>'Revenue drivers'!S274</f>
        <v>0</v>
      </c>
      <c r="T1081">
        <f>'Revenue drivers'!T274</f>
        <v>0</v>
      </c>
      <c r="U1081">
        <f>'Revenue drivers'!U274</f>
        <v>0</v>
      </c>
      <c r="V1081">
        <f>'Revenue drivers'!V274</f>
        <v>0</v>
      </c>
      <c r="W1081">
        <f>'Revenue drivers'!W274</f>
        <v>0</v>
      </c>
      <c r="X1081">
        <f>'Revenue drivers'!X274</f>
        <v>0</v>
      </c>
      <c r="Y1081">
        <f>'Revenue drivers'!Y274</f>
        <v>0</v>
      </c>
      <c r="Z1081">
        <f>'Revenue drivers'!Z274</f>
        <v>0</v>
      </c>
      <c r="AA1081">
        <f>'Revenue drivers'!AA274</f>
        <v>0</v>
      </c>
      <c r="AB1081">
        <f>'Revenue drivers'!AB274</f>
        <v>0</v>
      </c>
      <c r="AC1081">
        <f>'Revenue drivers'!AC274</f>
        <v>0</v>
      </c>
      <c r="AD1081">
        <f>'Revenue drivers'!AD274</f>
        <v>0</v>
      </c>
      <c r="AE1081">
        <f>'Revenue drivers'!AE274</f>
        <v>0</v>
      </c>
      <c r="AF1081">
        <f>'Revenue drivers'!AF274</f>
        <v>0</v>
      </c>
      <c r="AG1081">
        <f>'Revenue drivers'!AG274</f>
        <v>0</v>
      </c>
      <c r="AH1081">
        <f>'Revenue drivers'!AH274</f>
        <v>0</v>
      </c>
      <c r="AI1081">
        <f>'Revenue drivers'!AI274</f>
        <v>0</v>
      </c>
      <c r="AJ1081">
        <f>'Revenue drivers'!AJ274</f>
        <v>0</v>
      </c>
      <c r="AK1081">
        <f>'Revenue drivers'!AK274</f>
        <v>0</v>
      </c>
      <c r="AL1081">
        <f>'Revenue drivers'!AL274</f>
        <v>0</v>
      </c>
      <c r="AM1081">
        <f>'Revenue drivers'!AM274</f>
        <v>0</v>
      </c>
      <c r="AN1081">
        <f>'Revenue drivers'!AN274</f>
        <v>0</v>
      </c>
      <c r="AO1081">
        <f>'Revenue drivers'!AO274</f>
        <v>0</v>
      </c>
      <c r="AP1081">
        <f>'Revenue drivers'!AP274</f>
        <v>0</v>
      </c>
      <c r="AQ1081">
        <f>'Revenue drivers'!AQ274</f>
        <v>0</v>
      </c>
      <c r="AR1081">
        <f>'Revenue drivers'!AR274</f>
        <v>0</v>
      </c>
      <c r="AS1081">
        <f>'Revenue drivers'!AS274</f>
        <v>0</v>
      </c>
      <c r="AT1081">
        <f>'Revenue drivers'!AT274</f>
        <v>0</v>
      </c>
      <c r="AU1081">
        <f>'Revenue drivers'!AU274</f>
        <v>0</v>
      </c>
      <c r="AV1081">
        <f>'Revenue drivers'!AV274</f>
        <v>0</v>
      </c>
      <c r="AW1081">
        <f>'Revenue drivers'!AW274</f>
        <v>0</v>
      </c>
      <c r="AX1081">
        <f>'Revenue drivers'!AX274</f>
        <v>0</v>
      </c>
      <c r="AY1081">
        <f>'Revenue drivers'!AY274</f>
        <v>0</v>
      </c>
      <c r="AZ1081">
        <f>'Revenue drivers'!AZ274</f>
        <v>0</v>
      </c>
      <c r="BA1081">
        <f>'Revenue drivers'!BA274</f>
        <v>0</v>
      </c>
      <c r="BB1081">
        <f>'Revenue drivers'!BB274</f>
        <v>0</v>
      </c>
      <c r="BC1081">
        <f>'Revenue drivers'!BC274</f>
        <v>0</v>
      </c>
      <c r="BD1081">
        <f>'Revenue drivers'!BD274</f>
        <v>0</v>
      </c>
      <c r="BE1081">
        <f>'Revenue drivers'!BE274</f>
        <v>0</v>
      </c>
      <c r="BF1081">
        <f>'Revenue drivers'!BF274</f>
        <v>0</v>
      </c>
      <c r="BG1081">
        <f>'Revenue drivers'!BG274</f>
        <v>0</v>
      </c>
      <c r="BH1081">
        <f>'Revenue drivers'!BH274</f>
        <v>0</v>
      </c>
      <c r="BI1081">
        <f>'Revenue drivers'!BI274</f>
        <v>0</v>
      </c>
      <c r="BJ1081">
        <f>'Revenue drivers'!BJ274</f>
        <v>0</v>
      </c>
      <c r="BK1081">
        <f>'Revenue drivers'!BK274</f>
        <v>0</v>
      </c>
      <c r="BL1081">
        <f>'Revenue drivers'!BL274</f>
        <v>0</v>
      </c>
      <c r="BM1081">
        <f>'Revenue drivers'!BM274</f>
        <v>0</v>
      </c>
      <c r="BN1081">
        <f>'Revenue drivers'!BN274</f>
        <v>0</v>
      </c>
      <c r="BO1081">
        <f>'Revenue drivers'!BO274</f>
        <v>0</v>
      </c>
      <c r="BP1081">
        <f>'Revenue drivers'!BP274</f>
        <v>0</v>
      </c>
      <c r="BQ1081">
        <f>'Revenue drivers'!BQ274</f>
        <v>0</v>
      </c>
      <c r="BR1081">
        <f>'Revenue drivers'!BR274</f>
        <v>0</v>
      </c>
      <c r="BS1081">
        <f>'Revenue drivers'!BS274</f>
        <v>0</v>
      </c>
      <c r="BT1081">
        <f>'Revenue drivers'!BT274</f>
        <v>0</v>
      </c>
      <c r="BU1081">
        <f>'Revenue drivers'!BU274</f>
        <v>0</v>
      </c>
      <c r="BV1081">
        <f>'Revenue drivers'!BV274</f>
        <v>0</v>
      </c>
      <c r="BW1081">
        <f>'Revenue drivers'!BW274</f>
        <v>0</v>
      </c>
      <c r="BX1081">
        <f>'Revenue drivers'!BX274</f>
        <v>0</v>
      </c>
      <c r="BY1081">
        <f>'Revenue drivers'!BY274</f>
        <v>0</v>
      </c>
    </row>
    <row r="1082" spans="9:77" ht="11.25" customHeight="1">
      <c r="I1082" t="str">
        <f>'Revenue drivers'!I275</f>
        <v>Home &amp; Local</v>
      </c>
      <c r="J1082">
        <f>'Revenue drivers'!J275</f>
        <v>0</v>
      </c>
      <c r="K1082">
        <f>'Revenue drivers'!K275</f>
        <v>0</v>
      </c>
      <c r="L1082">
        <f>'Revenue drivers'!L275</f>
        <v>0</v>
      </c>
      <c r="M1082">
        <f>'Revenue drivers'!M275</f>
        <v>0</v>
      </c>
      <c r="N1082">
        <f>'Revenue drivers'!N275</f>
        <v>0</v>
      </c>
      <c r="O1082">
        <f>'Revenue drivers'!O275</f>
        <v>0</v>
      </c>
      <c r="P1082">
        <f>'Revenue drivers'!P275</f>
        <v>0</v>
      </c>
      <c r="Q1082">
        <f>'Revenue drivers'!Q275</f>
        <v>0</v>
      </c>
      <c r="R1082">
        <f>'Revenue drivers'!R275</f>
        <v>0</v>
      </c>
      <c r="S1082">
        <f>'Revenue drivers'!S275</f>
        <v>0</v>
      </c>
      <c r="T1082">
        <f>'Revenue drivers'!T275</f>
        <v>0</v>
      </c>
      <c r="U1082">
        <f>'Revenue drivers'!U275</f>
        <v>0</v>
      </c>
      <c r="V1082">
        <f>'Revenue drivers'!V275</f>
        <v>0</v>
      </c>
      <c r="W1082">
        <f>'Revenue drivers'!W275</f>
        <v>0</v>
      </c>
      <c r="X1082">
        <f>'Revenue drivers'!X275</f>
        <v>0</v>
      </c>
      <c r="Y1082">
        <f>'Revenue drivers'!Y275</f>
        <v>0</v>
      </c>
      <c r="Z1082">
        <f>'Revenue drivers'!Z275</f>
        <v>0</v>
      </c>
      <c r="AA1082">
        <f>'Revenue drivers'!AA275</f>
        <v>0</v>
      </c>
      <c r="AB1082">
        <f>'Revenue drivers'!AB275</f>
        <v>0</v>
      </c>
      <c r="AC1082">
        <f>'Revenue drivers'!AC275</f>
        <v>0.88208302871342337</v>
      </c>
      <c r="AD1082">
        <f>'Revenue drivers'!AD275</f>
        <v>0.74810382324967151</v>
      </c>
      <c r="AE1082">
        <f>'Revenue drivers'!AE275</f>
        <v>0.81417297309077452</v>
      </c>
      <c r="AF1082">
        <f>'Revenue drivers'!AF275</f>
        <v>0.68496199629163113</v>
      </c>
      <c r="AG1082">
        <f>'Revenue drivers'!AG275</f>
        <v>0.52174538982030461</v>
      </c>
      <c r="AH1082">
        <f>'Revenue drivers'!AH275</f>
        <v>0.52343854912924703</v>
      </c>
      <c r="AI1082">
        <f>'Revenue drivers'!AI275</f>
        <v>0.41480499881749222</v>
      </c>
      <c r="AJ1082">
        <f>'Revenue drivers'!AJ275</f>
        <v>0.43770068692943997</v>
      </c>
      <c r="AK1082">
        <f>'Revenue drivers'!AK275</f>
        <v>0.58241949910554536</v>
      </c>
      <c r="AL1082">
        <f>'Revenue drivers'!AL275</f>
        <v>0.47942447679708833</v>
      </c>
      <c r="AM1082">
        <f>'Revenue drivers'!AM275</f>
        <v>0.48242411377626815</v>
      </c>
      <c r="AN1082">
        <f>'Revenue drivers'!AN275</f>
        <v>0.41084355828220853</v>
      </c>
      <c r="AO1082">
        <f>'Revenue drivers'!AO275</f>
        <v>0.28695151960627663</v>
      </c>
      <c r="AP1082">
        <f>'Revenue drivers'!AP275</f>
        <v>0.24447109655495836</v>
      </c>
      <c r="AQ1082">
        <f>'Revenue drivers'!AQ275</f>
        <v>0.23390537966980252</v>
      </c>
      <c r="AR1082">
        <f>'Revenue drivers'!AR275</f>
        <v>0.16745723731493478</v>
      </c>
      <c r="AS1082">
        <f>'Revenue drivers'!AS275</f>
        <v>0</v>
      </c>
      <c r="AT1082">
        <f>'Revenue drivers'!AT275</f>
        <v>0</v>
      </c>
      <c r="AU1082">
        <f>'Revenue drivers'!AU275</f>
        <v>0</v>
      </c>
      <c r="AV1082">
        <f>'Revenue drivers'!AV275</f>
        <v>0</v>
      </c>
      <c r="AW1082">
        <f>'Revenue drivers'!AW275</f>
        <v>0</v>
      </c>
      <c r="AX1082">
        <f>'Revenue drivers'!AX275</f>
        <v>0</v>
      </c>
      <c r="AY1082">
        <f>'Revenue drivers'!AY275</f>
        <v>0</v>
      </c>
      <c r="AZ1082">
        <f>'Revenue drivers'!AZ275</f>
        <v>0</v>
      </c>
      <c r="BA1082">
        <f>'Revenue drivers'!BA275</f>
        <v>0</v>
      </c>
      <c r="BB1082">
        <f>'Revenue drivers'!BB275</f>
        <v>0</v>
      </c>
      <c r="BC1082">
        <f>'Revenue drivers'!BC275</f>
        <v>0</v>
      </c>
      <c r="BD1082">
        <f>'Revenue drivers'!BD275</f>
        <v>0</v>
      </c>
      <c r="BE1082">
        <f>'Revenue drivers'!BE275</f>
        <v>0</v>
      </c>
      <c r="BF1082">
        <f>'Revenue drivers'!BF275</f>
        <v>0</v>
      </c>
      <c r="BG1082">
        <f>'Revenue drivers'!BG275</f>
        <v>0</v>
      </c>
      <c r="BH1082">
        <f>'Revenue drivers'!BH275</f>
        <v>0</v>
      </c>
      <c r="BI1082">
        <f>'Revenue drivers'!BI275</f>
        <v>0</v>
      </c>
      <c r="BJ1082">
        <f>'Revenue drivers'!BJ275</f>
        <v>0</v>
      </c>
      <c r="BK1082">
        <f>'Revenue drivers'!BK275</f>
        <v>0</v>
      </c>
      <c r="BL1082">
        <f>'Revenue drivers'!BL275</f>
        <v>0</v>
      </c>
      <c r="BM1082">
        <f>'Revenue drivers'!BM275</f>
        <v>0</v>
      </c>
      <c r="BN1082">
        <f>'Revenue drivers'!BN275</f>
        <v>0.77100184273106831</v>
      </c>
      <c r="BO1082">
        <f>'Revenue drivers'!BO275</f>
        <v>0.46824348487488465</v>
      </c>
      <c r="BP1082">
        <f>'Revenue drivers'!BP275</f>
        <v>0.11839</v>
      </c>
      <c r="BQ1082">
        <f>'Revenue drivers'!BQ275</f>
        <v>0</v>
      </c>
      <c r="BR1082">
        <f>'Revenue drivers'!BR275</f>
        <v>0</v>
      </c>
      <c r="BS1082">
        <f>'Revenue drivers'!BS275</f>
        <v>0</v>
      </c>
      <c r="BT1082">
        <f>'Revenue drivers'!BT275</f>
        <v>0</v>
      </c>
      <c r="BU1082">
        <f>'Revenue drivers'!BU275</f>
        <v>0</v>
      </c>
      <c r="BV1082">
        <f>'Revenue drivers'!BV275</f>
        <v>0</v>
      </c>
      <c r="BW1082">
        <f>'Revenue drivers'!BW275</f>
        <v>0</v>
      </c>
      <c r="BX1082">
        <f>'Revenue drivers'!BX275</f>
        <v>0</v>
      </c>
      <c r="BY1082">
        <f>'Revenue drivers'!BY275</f>
        <v>0</v>
      </c>
    </row>
    <row r="1083" spans="9:77" ht="11.25" customHeight="1">
      <c r="I1083" t="str">
        <f>'Revenue drivers'!I276</f>
        <v>Restaurants</v>
      </c>
      <c r="J1083">
        <f>'Revenue drivers'!J276</f>
        <v>0</v>
      </c>
      <c r="K1083">
        <f>'Revenue drivers'!K276</f>
        <v>0</v>
      </c>
      <c r="L1083">
        <f>'Revenue drivers'!L276</f>
        <v>0</v>
      </c>
      <c r="M1083">
        <f>'Revenue drivers'!M276</f>
        <v>0</v>
      </c>
      <c r="N1083">
        <f>'Revenue drivers'!N276</f>
        <v>0</v>
      </c>
      <c r="O1083">
        <f>'Revenue drivers'!O276</f>
        <v>0</v>
      </c>
      <c r="P1083">
        <f>'Revenue drivers'!P276</f>
        <v>0</v>
      </c>
      <c r="Q1083">
        <f>'Revenue drivers'!Q276</f>
        <v>0</v>
      </c>
      <c r="R1083">
        <f>'Revenue drivers'!R276</f>
        <v>0</v>
      </c>
      <c r="S1083">
        <f>'Revenue drivers'!S276</f>
        <v>0</v>
      </c>
      <c r="T1083">
        <f>'Revenue drivers'!T276</f>
        <v>0</v>
      </c>
      <c r="U1083">
        <f>'Revenue drivers'!U276</f>
        <v>0</v>
      </c>
      <c r="V1083">
        <f>'Revenue drivers'!V276</f>
        <v>0</v>
      </c>
      <c r="W1083">
        <f>'Revenue drivers'!W276</f>
        <v>0</v>
      </c>
      <c r="X1083">
        <f>'Revenue drivers'!X276</f>
        <v>0</v>
      </c>
      <c r="Y1083">
        <f>'Revenue drivers'!Y276</f>
        <v>0</v>
      </c>
      <c r="Z1083">
        <f>'Revenue drivers'!Z276</f>
        <v>0</v>
      </c>
      <c r="AA1083">
        <f>'Revenue drivers'!AA276</f>
        <v>0</v>
      </c>
      <c r="AB1083">
        <f>'Revenue drivers'!AB276</f>
        <v>0</v>
      </c>
      <c r="AC1083">
        <f>'Revenue drivers'!AC276</f>
        <v>0.65623306526781255</v>
      </c>
      <c r="AD1083">
        <f>'Revenue drivers'!AD276</f>
        <v>0.51278215473529265</v>
      </c>
      <c r="AE1083">
        <f>'Revenue drivers'!AE276</f>
        <v>0.5699573805593241</v>
      </c>
      <c r="AF1083">
        <f>'Revenue drivers'!AF276</f>
        <v>0.45814018909852661</v>
      </c>
      <c r="AG1083">
        <f>'Revenue drivers'!AG276</f>
        <v>0.37176567591974541</v>
      </c>
      <c r="AH1083">
        <f>'Revenue drivers'!AH276</f>
        <v>0.41462150990572932</v>
      </c>
      <c r="AI1083">
        <f>'Revenue drivers'!AI276</f>
        <v>0.31374749890195686</v>
      </c>
      <c r="AJ1083">
        <f>'Revenue drivers'!AJ276</f>
        <v>0.24600726200551493</v>
      </c>
      <c r="AK1083">
        <f>'Revenue drivers'!AK276</f>
        <v>0.32413953488372105</v>
      </c>
      <c r="AL1083">
        <f>'Revenue drivers'!AL276</f>
        <v>0.28874309978768586</v>
      </c>
      <c r="AM1083">
        <f>'Revenue drivers'!AM276</f>
        <v>0.38359583952451715</v>
      </c>
      <c r="AN1083">
        <f>'Revenue drivers'!AN276</f>
        <v>0.39898773006134958</v>
      </c>
      <c r="AO1083">
        <f>'Revenue drivers'!AO276</f>
        <v>0.24405313561940067</v>
      </c>
      <c r="AP1083">
        <f>'Revenue drivers'!AP276</f>
        <v>0.20432686763383101</v>
      </c>
      <c r="AQ1083">
        <f>'Revenue drivers'!AQ276</f>
        <v>0.19410198032561543</v>
      </c>
      <c r="AR1083">
        <f>'Revenue drivers'!AR276</f>
        <v>6.3413754711143522E-2</v>
      </c>
      <c r="AS1083">
        <f>'Revenue drivers'!AS276</f>
        <v>0</v>
      </c>
      <c r="AT1083">
        <f>'Revenue drivers'!AT276</f>
        <v>0</v>
      </c>
      <c r="AU1083">
        <f>'Revenue drivers'!AU276</f>
        <v>0</v>
      </c>
      <c r="AV1083">
        <f>'Revenue drivers'!AV276</f>
        <v>0</v>
      </c>
      <c r="AW1083">
        <f>'Revenue drivers'!AW276</f>
        <v>0</v>
      </c>
      <c r="AX1083">
        <f>'Revenue drivers'!AX276</f>
        <v>0</v>
      </c>
      <c r="AY1083">
        <f>'Revenue drivers'!AY276</f>
        <v>0</v>
      </c>
      <c r="AZ1083">
        <f>'Revenue drivers'!AZ276</f>
        <v>0</v>
      </c>
      <c r="BA1083">
        <f>'Revenue drivers'!BA276</f>
        <v>0</v>
      </c>
      <c r="BB1083">
        <f>'Revenue drivers'!BB276</f>
        <v>0</v>
      </c>
      <c r="BC1083">
        <f>'Revenue drivers'!BC276</f>
        <v>0</v>
      </c>
      <c r="BD1083">
        <f>'Revenue drivers'!BD276</f>
        <v>0</v>
      </c>
      <c r="BE1083">
        <f>'Revenue drivers'!BE276</f>
        <v>0</v>
      </c>
      <c r="BF1083">
        <f>'Revenue drivers'!BF276</f>
        <v>0</v>
      </c>
      <c r="BG1083">
        <f>'Revenue drivers'!BG276</f>
        <v>0</v>
      </c>
      <c r="BH1083">
        <f>'Revenue drivers'!BH276</f>
        <v>0</v>
      </c>
      <c r="BI1083">
        <f>'Revenue drivers'!BI276</f>
        <v>0</v>
      </c>
      <c r="BJ1083">
        <f>'Revenue drivers'!BJ276</f>
        <v>0</v>
      </c>
      <c r="BK1083">
        <f>'Revenue drivers'!BK276</f>
        <v>0</v>
      </c>
      <c r="BL1083">
        <f>'Revenue drivers'!BL276</f>
        <v>0</v>
      </c>
      <c r="BM1083">
        <f>'Revenue drivers'!BM276</f>
        <v>0</v>
      </c>
      <c r="BN1083">
        <f>'Revenue drivers'!BN276</f>
        <v>0.53963052818170887</v>
      </c>
      <c r="BO1083">
        <f>'Revenue drivers'!BO276</f>
        <v>0.33005845336667439</v>
      </c>
      <c r="BP1083">
        <f>'Revenue drivers'!BP276</f>
        <v>7.1207262438104379E-2</v>
      </c>
      <c r="BQ1083">
        <f>'Revenue drivers'!BQ276</f>
        <v>0</v>
      </c>
      <c r="BR1083">
        <f>'Revenue drivers'!BR276</f>
        <v>0</v>
      </c>
      <c r="BS1083">
        <f>'Revenue drivers'!BS276</f>
        <v>0</v>
      </c>
      <c r="BT1083">
        <f>'Revenue drivers'!BT276</f>
        <v>0</v>
      </c>
      <c r="BU1083">
        <f>'Revenue drivers'!BU276</f>
        <v>0</v>
      </c>
      <c r="BV1083">
        <f>'Revenue drivers'!BV276</f>
        <v>0</v>
      </c>
      <c r="BW1083">
        <f>'Revenue drivers'!BW276</f>
        <v>0</v>
      </c>
      <c r="BX1083">
        <f>'Revenue drivers'!BX276</f>
        <v>0</v>
      </c>
      <c r="BY1083">
        <f>'Revenue drivers'!BY276</f>
        <v>0</v>
      </c>
    </row>
    <row r="1084" spans="9:77" ht="11.25" customHeight="1">
      <c r="I1084" t="str">
        <f>'Revenue drivers'!I277</f>
        <v>Beauty &amp; Fitness</v>
      </c>
      <c r="J1084">
        <f>'Revenue drivers'!J277</f>
        <v>0</v>
      </c>
      <c r="K1084">
        <f>'Revenue drivers'!K277</f>
        <v>0</v>
      </c>
      <c r="L1084">
        <f>'Revenue drivers'!L277</f>
        <v>0</v>
      </c>
      <c r="M1084">
        <f>'Revenue drivers'!M277</f>
        <v>0</v>
      </c>
      <c r="N1084">
        <f>'Revenue drivers'!N277</f>
        <v>0</v>
      </c>
      <c r="O1084">
        <f>'Revenue drivers'!O277</f>
        <v>0</v>
      </c>
      <c r="P1084">
        <f>'Revenue drivers'!P277</f>
        <v>0</v>
      </c>
      <c r="Q1084">
        <f>'Revenue drivers'!Q277</f>
        <v>0</v>
      </c>
      <c r="R1084">
        <f>'Revenue drivers'!R277</f>
        <v>0</v>
      </c>
      <c r="S1084">
        <f>'Revenue drivers'!S277</f>
        <v>0</v>
      </c>
      <c r="T1084">
        <f>'Revenue drivers'!T277</f>
        <v>0</v>
      </c>
      <c r="U1084">
        <f>'Revenue drivers'!U277</f>
        <v>0</v>
      </c>
      <c r="V1084">
        <f>'Revenue drivers'!V277</f>
        <v>0</v>
      </c>
      <c r="W1084">
        <f>'Revenue drivers'!W277</f>
        <v>0</v>
      </c>
      <c r="X1084">
        <f>'Revenue drivers'!X277</f>
        <v>0</v>
      </c>
      <c r="Y1084">
        <f>'Revenue drivers'!Y277</f>
        <v>0</v>
      </c>
      <c r="Z1084">
        <f>'Revenue drivers'!Z277</f>
        <v>0</v>
      </c>
      <c r="AA1084">
        <f>'Revenue drivers'!AA277</f>
        <v>0</v>
      </c>
      <c r="AB1084">
        <f>'Revenue drivers'!AB277</f>
        <v>0</v>
      </c>
      <c r="AC1084">
        <f>'Revenue drivers'!AC277</f>
        <v>0.53793070346296856</v>
      </c>
      <c r="AD1084">
        <f>'Revenue drivers'!AD277</f>
        <v>0.49837470564257536</v>
      </c>
      <c r="AE1084">
        <f>'Revenue drivers'!AE277</f>
        <v>0.54580419008918035</v>
      </c>
      <c r="AF1084">
        <f>'Revenue drivers'!AF277</f>
        <v>0.44425313967854074</v>
      </c>
      <c r="AG1084">
        <f>'Revenue drivers'!AG277</f>
        <v>0.46321672098106204</v>
      </c>
      <c r="AH1084">
        <f>'Revenue drivers'!AH277</f>
        <v>0.30580447068221162</v>
      </c>
      <c r="AI1084">
        <f>'Revenue drivers'!AI277</f>
        <v>0.31374749890195686</v>
      </c>
      <c r="AJ1084">
        <f>'Revenue drivers'!AJ277</f>
        <v>0.20664164795863682</v>
      </c>
      <c r="AK1084">
        <f>'Revenue drivers'!AK277</f>
        <v>0.30958855098389959</v>
      </c>
      <c r="AL1084">
        <f>'Revenue drivers'!AL277</f>
        <v>0.38079617834394908</v>
      </c>
      <c r="AM1084">
        <f>'Revenue drivers'!AM277</f>
        <v>0.38359583952451715</v>
      </c>
      <c r="AN1084">
        <f>'Revenue drivers'!AN277</f>
        <v>0.32785276073619651</v>
      </c>
      <c r="AO1084">
        <f>'Revenue drivers'!AO277</f>
        <v>0.34772423025435106</v>
      </c>
      <c r="AP1084">
        <f>'Revenue drivers'!AP277</f>
        <v>0.30468743993665015</v>
      </c>
      <c r="AQ1084">
        <f>'Revenue drivers'!AQ277</f>
        <v>0.19410198032561543</v>
      </c>
      <c r="AR1084">
        <f>'Revenue drivers'!AR277</f>
        <v>0.14422027102657986</v>
      </c>
      <c r="AS1084">
        <f>'Revenue drivers'!AS277</f>
        <v>0</v>
      </c>
      <c r="AT1084">
        <f>'Revenue drivers'!AT277</f>
        <v>0</v>
      </c>
      <c r="AU1084">
        <f>'Revenue drivers'!AU277</f>
        <v>0</v>
      </c>
      <c r="AV1084">
        <f>'Revenue drivers'!AV277</f>
        <v>0</v>
      </c>
      <c r="AW1084">
        <f>'Revenue drivers'!AW277</f>
        <v>0</v>
      </c>
      <c r="AX1084">
        <f>'Revenue drivers'!AX277</f>
        <v>0</v>
      </c>
      <c r="AY1084">
        <f>'Revenue drivers'!AY277</f>
        <v>0</v>
      </c>
      <c r="AZ1084">
        <f>'Revenue drivers'!AZ277</f>
        <v>0</v>
      </c>
      <c r="BA1084">
        <f>'Revenue drivers'!BA277</f>
        <v>0</v>
      </c>
      <c r="BB1084">
        <f>'Revenue drivers'!BB277</f>
        <v>0</v>
      </c>
      <c r="BC1084">
        <f>'Revenue drivers'!BC277</f>
        <v>0</v>
      </c>
      <c r="BD1084">
        <f>'Revenue drivers'!BD277</f>
        <v>0</v>
      </c>
      <c r="BE1084">
        <f>'Revenue drivers'!BE277</f>
        <v>0</v>
      </c>
      <c r="BF1084">
        <f>'Revenue drivers'!BF277</f>
        <v>0</v>
      </c>
      <c r="BG1084">
        <f>'Revenue drivers'!BG277</f>
        <v>0</v>
      </c>
      <c r="BH1084">
        <f>'Revenue drivers'!BH277</f>
        <v>0</v>
      </c>
      <c r="BI1084">
        <f>'Revenue drivers'!BI277</f>
        <v>0</v>
      </c>
      <c r="BJ1084">
        <f>'Revenue drivers'!BJ277</f>
        <v>0</v>
      </c>
      <c r="BK1084">
        <f>'Revenue drivers'!BK277</f>
        <v>0</v>
      </c>
      <c r="BL1084">
        <f>'Revenue drivers'!BL277</f>
        <v>0</v>
      </c>
      <c r="BM1084">
        <f>'Revenue drivers'!BM277</f>
        <v>0</v>
      </c>
      <c r="BN1084">
        <f>'Revenue drivers'!BN277</f>
        <v>0.50141736790421665</v>
      </c>
      <c r="BO1084">
        <f>'Revenue drivers'!BO277</f>
        <v>0.31089542365195966</v>
      </c>
      <c r="BP1084">
        <f>'Revenue drivers'!BP277</f>
        <v>7.1426972668574118E-2</v>
      </c>
      <c r="BQ1084">
        <f>'Revenue drivers'!BQ277</f>
        <v>0</v>
      </c>
      <c r="BR1084">
        <f>'Revenue drivers'!BR277</f>
        <v>0</v>
      </c>
      <c r="BS1084">
        <f>'Revenue drivers'!BS277</f>
        <v>0</v>
      </c>
      <c r="BT1084">
        <f>'Revenue drivers'!BT277</f>
        <v>0</v>
      </c>
      <c r="BU1084">
        <f>'Revenue drivers'!BU277</f>
        <v>0</v>
      </c>
      <c r="BV1084">
        <f>'Revenue drivers'!BV277</f>
        <v>0</v>
      </c>
      <c r="BW1084">
        <f>'Revenue drivers'!BW277</f>
        <v>0</v>
      </c>
      <c r="BX1084">
        <f>'Revenue drivers'!BX277</f>
        <v>0</v>
      </c>
      <c r="BY1084">
        <f>'Revenue drivers'!BY277</f>
        <v>0</v>
      </c>
    </row>
    <row r="1085" spans="9:77" ht="11.25" customHeight="1">
      <c r="I1085" t="str">
        <f>'Revenue drivers'!I278</f>
        <v>Shopping</v>
      </c>
      <c r="J1085">
        <f>'Revenue drivers'!J278</f>
        <v>0</v>
      </c>
      <c r="K1085">
        <f>'Revenue drivers'!K278</f>
        <v>0</v>
      </c>
      <c r="L1085">
        <f>'Revenue drivers'!L278</f>
        <v>0</v>
      </c>
      <c r="M1085">
        <f>'Revenue drivers'!M278</f>
        <v>0</v>
      </c>
      <c r="N1085">
        <f>'Revenue drivers'!N278</f>
        <v>0</v>
      </c>
      <c r="O1085">
        <f>'Revenue drivers'!O278</f>
        <v>0</v>
      </c>
      <c r="P1085">
        <f>'Revenue drivers'!P278</f>
        <v>0</v>
      </c>
      <c r="Q1085">
        <f>'Revenue drivers'!Q278</f>
        <v>0</v>
      </c>
      <c r="R1085">
        <f>'Revenue drivers'!R278</f>
        <v>0</v>
      </c>
      <c r="S1085">
        <f>'Revenue drivers'!S278</f>
        <v>0</v>
      </c>
      <c r="T1085">
        <f>'Revenue drivers'!T278</f>
        <v>0</v>
      </c>
      <c r="U1085">
        <f>'Revenue drivers'!U278</f>
        <v>0</v>
      </c>
      <c r="V1085">
        <f>'Revenue drivers'!V278</f>
        <v>0</v>
      </c>
      <c r="W1085">
        <f>'Revenue drivers'!W278</f>
        <v>0</v>
      </c>
      <c r="X1085">
        <f>'Revenue drivers'!X278</f>
        <v>0</v>
      </c>
      <c r="Y1085">
        <f>'Revenue drivers'!Y278</f>
        <v>0</v>
      </c>
      <c r="Z1085">
        <f>'Revenue drivers'!Z278</f>
        <v>0</v>
      </c>
      <c r="AA1085">
        <f>'Revenue drivers'!AA278</f>
        <v>0</v>
      </c>
      <c r="AB1085">
        <f>'Revenue drivers'!AB278</f>
        <v>0</v>
      </c>
      <c r="AC1085">
        <f>'Revenue drivers'!AC278</f>
        <v>0.51821364316216134</v>
      </c>
      <c r="AD1085">
        <f>'Revenue drivers'!AD278</f>
        <v>0.61363429838431238</v>
      </c>
      <c r="AE1085">
        <f>'Revenue drivers'!AE278</f>
        <v>0.67462120592994568</v>
      </c>
      <c r="AF1085">
        <f>'Revenue drivers'!AF278</f>
        <v>0.71088448854227115</v>
      </c>
      <c r="AG1085">
        <f>'Revenue drivers'!AG278</f>
        <v>0.46321672098106204</v>
      </c>
      <c r="AH1085">
        <f>'Revenue drivers'!AH278</f>
        <v>0.4146215099057291</v>
      </c>
      <c r="AI1085">
        <f>'Revenue drivers'!AI278</f>
        <v>0.19431590809268817</v>
      </c>
      <c r="AJ1085">
        <f>'Revenue drivers'!AJ278</f>
        <v>0.21364343701835864</v>
      </c>
      <c r="AK1085">
        <f>'Revenue drivers'!AK278</f>
        <v>0.28974630021141645</v>
      </c>
      <c r="AL1085">
        <f>'Revenue drivers'!AL278</f>
        <v>0.1297423277359584</v>
      </c>
      <c r="AM1085">
        <f>'Revenue drivers'!AM278</f>
        <v>0.38359583952451715</v>
      </c>
      <c r="AN1085">
        <f>'Revenue drivers'!AN278</f>
        <v>0.19506748466257662</v>
      </c>
      <c r="AO1085">
        <f>'Revenue drivers'!AO278</f>
        <v>0.11964782205746061</v>
      </c>
      <c r="AP1085">
        <f>'Revenue drivers'!AP278</f>
        <v>0.20432686763383079</v>
      </c>
      <c r="AQ1085">
        <f>'Revenue drivers'!AQ278</f>
        <v>7.4691782293053732E-2</v>
      </c>
      <c r="AR1085">
        <f>'Revenue drivers'!AR278</f>
        <v>0.12038234871352604</v>
      </c>
      <c r="AS1085">
        <f>'Revenue drivers'!AS278</f>
        <v>0</v>
      </c>
      <c r="AT1085">
        <f>'Revenue drivers'!AT278</f>
        <v>0</v>
      </c>
      <c r="AU1085">
        <f>'Revenue drivers'!AU278</f>
        <v>0</v>
      </c>
      <c r="AV1085">
        <f>'Revenue drivers'!AV278</f>
        <v>0</v>
      </c>
      <c r="AW1085">
        <f>'Revenue drivers'!AW278</f>
        <v>0</v>
      </c>
      <c r="AX1085">
        <f>'Revenue drivers'!AX278</f>
        <v>0</v>
      </c>
      <c r="AY1085">
        <f>'Revenue drivers'!AY278</f>
        <v>0</v>
      </c>
      <c r="AZ1085">
        <f>'Revenue drivers'!AZ278</f>
        <v>0</v>
      </c>
      <c r="BA1085">
        <f>'Revenue drivers'!BA278</f>
        <v>0</v>
      </c>
      <c r="BB1085">
        <f>'Revenue drivers'!BB278</f>
        <v>0</v>
      </c>
      <c r="BC1085">
        <f>'Revenue drivers'!BC278</f>
        <v>0</v>
      </c>
      <c r="BD1085">
        <f>'Revenue drivers'!BD278</f>
        <v>0</v>
      </c>
      <c r="BE1085">
        <f>'Revenue drivers'!BE278</f>
        <v>0</v>
      </c>
      <c r="BF1085">
        <f>'Revenue drivers'!BF278</f>
        <v>0</v>
      </c>
      <c r="BG1085">
        <f>'Revenue drivers'!BG278</f>
        <v>0</v>
      </c>
      <c r="BH1085">
        <f>'Revenue drivers'!BH278</f>
        <v>0</v>
      </c>
      <c r="BI1085">
        <f>'Revenue drivers'!BI278</f>
        <v>0</v>
      </c>
      <c r="BJ1085">
        <f>'Revenue drivers'!BJ278</f>
        <v>0</v>
      </c>
      <c r="BK1085">
        <f>'Revenue drivers'!BK278</f>
        <v>0</v>
      </c>
      <c r="BL1085">
        <f>'Revenue drivers'!BL278</f>
        <v>0</v>
      </c>
      <c r="BM1085">
        <f>'Revenue drivers'!BM278</f>
        <v>0</v>
      </c>
      <c r="BN1085">
        <f>'Revenue drivers'!BN278</f>
        <v>0.63606122087182593</v>
      </c>
      <c r="BO1085">
        <f>'Revenue drivers'!BO278</f>
        <v>0.30617284901909425</v>
      </c>
      <c r="BP1085">
        <f>'Revenue drivers'!BP278</f>
        <v>6.5690214585945039E-2</v>
      </c>
      <c r="BQ1085">
        <f>'Revenue drivers'!BQ278</f>
        <v>0</v>
      </c>
      <c r="BR1085">
        <f>'Revenue drivers'!BR278</f>
        <v>0</v>
      </c>
      <c r="BS1085">
        <f>'Revenue drivers'!BS278</f>
        <v>0</v>
      </c>
      <c r="BT1085">
        <f>'Revenue drivers'!BT278</f>
        <v>0</v>
      </c>
      <c r="BU1085">
        <f>'Revenue drivers'!BU278</f>
        <v>0</v>
      </c>
      <c r="BV1085">
        <f>'Revenue drivers'!BV278</f>
        <v>0</v>
      </c>
      <c r="BW1085">
        <f>'Revenue drivers'!BW278</f>
        <v>0</v>
      </c>
      <c r="BX1085">
        <f>'Revenue drivers'!BX278</f>
        <v>0</v>
      </c>
      <c r="BY1085">
        <f>'Revenue drivers'!BY278</f>
        <v>0</v>
      </c>
    </row>
    <row r="1086" spans="9:77" ht="11.25" customHeight="1">
      <c r="I1086" t="str">
        <f>'Revenue drivers'!I279</f>
        <v>Health</v>
      </c>
      <c r="J1086">
        <f>'Revenue drivers'!J279</f>
        <v>0</v>
      </c>
      <c r="K1086">
        <f>'Revenue drivers'!K279</f>
        <v>0</v>
      </c>
      <c r="L1086">
        <f>'Revenue drivers'!L279</f>
        <v>0</v>
      </c>
      <c r="M1086">
        <f>'Revenue drivers'!M279</f>
        <v>0</v>
      </c>
      <c r="N1086">
        <f>'Revenue drivers'!N279</f>
        <v>0</v>
      </c>
      <c r="O1086">
        <f>'Revenue drivers'!O279</f>
        <v>0</v>
      </c>
      <c r="P1086">
        <f>'Revenue drivers'!P279</f>
        <v>0</v>
      </c>
      <c r="Q1086">
        <f>'Revenue drivers'!Q279</f>
        <v>0</v>
      </c>
      <c r="R1086">
        <f>'Revenue drivers'!R279</f>
        <v>0</v>
      </c>
      <c r="S1086">
        <f>'Revenue drivers'!S279</f>
        <v>0</v>
      </c>
      <c r="T1086">
        <f>'Revenue drivers'!T279</f>
        <v>0</v>
      </c>
      <c r="U1086">
        <f>'Revenue drivers'!U279</f>
        <v>0</v>
      </c>
      <c r="V1086">
        <f>'Revenue drivers'!V279</f>
        <v>0</v>
      </c>
      <c r="W1086">
        <f>'Revenue drivers'!W279</f>
        <v>0</v>
      </c>
      <c r="X1086">
        <f>'Revenue drivers'!X279</f>
        <v>0</v>
      </c>
      <c r="Y1086">
        <f>'Revenue drivers'!Y279</f>
        <v>0</v>
      </c>
      <c r="Z1086">
        <f>'Revenue drivers'!Z279</f>
        <v>0</v>
      </c>
      <c r="AA1086">
        <f>'Revenue drivers'!AA279</f>
        <v>0</v>
      </c>
      <c r="AB1086">
        <f>'Revenue drivers'!AB279</f>
        <v>0</v>
      </c>
      <c r="AC1086">
        <f>'Revenue drivers'!AC279</f>
        <v>0.65623306526781255</v>
      </c>
      <c r="AD1086">
        <f>'Revenue drivers'!AD279</f>
        <v>0.61363429838431216</v>
      </c>
      <c r="AE1086">
        <f>'Revenue drivers'!AE279</f>
        <v>0.53506943876911683</v>
      </c>
      <c r="AF1086">
        <f>'Revenue drivers'!AF279</f>
        <v>0.55534953503842832</v>
      </c>
      <c r="AG1086">
        <f>'Revenue drivers'!AG279</f>
        <v>0.46321672098106204</v>
      </c>
      <c r="AH1086">
        <f>'Revenue drivers'!AH279</f>
        <v>0.29673638408025171</v>
      </c>
      <c r="AI1086">
        <f>'Revenue drivers'!AI279</f>
        <v>0.31374749890195686</v>
      </c>
      <c r="AJ1086">
        <f>'Revenue drivers'!AJ279</f>
        <v>0.33500778072019455</v>
      </c>
      <c r="AK1086">
        <f>'Revenue drivers'!AK279</f>
        <v>0.4187209302325583</v>
      </c>
      <c r="AL1086">
        <f>'Revenue drivers'!AL279</f>
        <v>0.38079617834394908</v>
      </c>
      <c r="AM1086">
        <f>'Revenue drivers'!AM279</f>
        <v>0.25781439956774288</v>
      </c>
      <c r="AN1086">
        <f>'Revenue drivers'!AN279</f>
        <v>0.32785276073619629</v>
      </c>
      <c r="AO1086">
        <f>'Revenue drivers'!AO279</f>
        <v>0.24405313561940067</v>
      </c>
      <c r="AP1086">
        <f>'Revenue drivers'!AP279</f>
        <v>0.20432686763383079</v>
      </c>
      <c r="AQ1086">
        <f>'Revenue drivers'!AQ279</f>
        <v>0.31351217835817691</v>
      </c>
      <c r="AR1086">
        <f>'Revenue drivers'!AR279</f>
        <v>0.12038234871352604</v>
      </c>
      <c r="AS1086">
        <f>'Revenue drivers'!AS279</f>
        <v>0</v>
      </c>
      <c r="AT1086">
        <f>'Revenue drivers'!AT279</f>
        <v>0</v>
      </c>
      <c r="AU1086">
        <f>'Revenue drivers'!AU279</f>
        <v>0</v>
      </c>
      <c r="AV1086">
        <f>'Revenue drivers'!AV279</f>
        <v>0</v>
      </c>
      <c r="AW1086">
        <f>'Revenue drivers'!AW279</f>
        <v>0</v>
      </c>
      <c r="AX1086">
        <f>'Revenue drivers'!AX279</f>
        <v>0</v>
      </c>
      <c r="AY1086">
        <f>'Revenue drivers'!AY279</f>
        <v>0</v>
      </c>
      <c r="AZ1086">
        <f>'Revenue drivers'!AZ279</f>
        <v>0</v>
      </c>
      <c r="BA1086">
        <f>'Revenue drivers'!BA279</f>
        <v>0</v>
      </c>
      <c r="BB1086">
        <f>'Revenue drivers'!BB279</f>
        <v>0</v>
      </c>
      <c r="BC1086">
        <f>'Revenue drivers'!BC279</f>
        <v>0</v>
      </c>
      <c r="BD1086">
        <f>'Revenue drivers'!BD279</f>
        <v>0</v>
      </c>
      <c r="BE1086">
        <f>'Revenue drivers'!BE279</f>
        <v>0</v>
      </c>
      <c r="BF1086">
        <f>'Revenue drivers'!BF279</f>
        <v>0</v>
      </c>
      <c r="BG1086">
        <f>'Revenue drivers'!BG279</f>
        <v>0</v>
      </c>
      <c r="BH1086">
        <f>'Revenue drivers'!BH279</f>
        <v>0</v>
      </c>
      <c r="BI1086">
        <f>'Revenue drivers'!BI279</f>
        <v>0</v>
      </c>
      <c r="BJ1086">
        <f>'Revenue drivers'!BJ279</f>
        <v>0</v>
      </c>
      <c r="BK1086">
        <f>'Revenue drivers'!BK279</f>
        <v>0</v>
      </c>
      <c r="BL1086">
        <f>'Revenue drivers'!BL279</f>
        <v>0</v>
      </c>
      <c r="BM1086">
        <f>'Revenue drivers'!BM279</f>
        <v>0</v>
      </c>
      <c r="BN1086">
        <f>'Revenue drivers'!BN279</f>
        <v>0.58326577262574508</v>
      </c>
      <c r="BO1086">
        <f>'Revenue drivers'!BO279</f>
        <v>0.34515002653427884</v>
      </c>
      <c r="BP1086">
        <f>'Revenue drivers'!BP279</f>
        <v>9.0250626566416026E-2</v>
      </c>
      <c r="BQ1086">
        <f>'Revenue drivers'!BQ279</f>
        <v>0</v>
      </c>
      <c r="BR1086">
        <f>'Revenue drivers'!BR279</f>
        <v>0</v>
      </c>
      <c r="BS1086">
        <f>'Revenue drivers'!BS279</f>
        <v>0</v>
      </c>
      <c r="BT1086">
        <f>'Revenue drivers'!BT279</f>
        <v>0</v>
      </c>
      <c r="BU1086">
        <f>'Revenue drivers'!BU279</f>
        <v>0</v>
      </c>
      <c r="BV1086">
        <f>'Revenue drivers'!BV279</f>
        <v>0</v>
      </c>
      <c r="BW1086">
        <f>'Revenue drivers'!BW279</f>
        <v>0</v>
      </c>
      <c r="BX1086">
        <f>'Revenue drivers'!BX279</f>
        <v>0</v>
      </c>
      <c r="BY1086">
        <f>'Revenue drivers'!BY279</f>
        <v>0</v>
      </c>
    </row>
    <row r="1087" spans="9:77" ht="11.25" customHeight="1">
      <c r="I1087" t="str">
        <f>'Revenue drivers'!I280</f>
        <v>Other</v>
      </c>
      <c r="J1087">
        <f>'Revenue drivers'!J280</f>
        <v>0</v>
      </c>
      <c r="K1087">
        <f>'Revenue drivers'!K280</f>
        <v>0</v>
      </c>
      <c r="L1087">
        <f>'Revenue drivers'!L280</f>
        <v>0</v>
      </c>
      <c r="M1087">
        <f>'Revenue drivers'!M280</f>
        <v>0</v>
      </c>
      <c r="N1087">
        <f>'Revenue drivers'!N280</f>
        <v>0</v>
      </c>
      <c r="O1087">
        <f>'Revenue drivers'!O280</f>
        <v>0</v>
      </c>
      <c r="P1087">
        <f>'Revenue drivers'!P280</f>
        <v>0</v>
      </c>
      <c r="Q1087">
        <f>'Revenue drivers'!Q280</f>
        <v>0</v>
      </c>
      <c r="R1087">
        <f>'Revenue drivers'!R280</f>
        <v>0</v>
      </c>
      <c r="S1087">
        <f>'Revenue drivers'!S280</f>
        <v>0</v>
      </c>
      <c r="T1087">
        <f>'Revenue drivers'!T280</f>
        <v>0</v>
      </c>
      <c r="U1087">
        <f>'Revenue drivers'!U280</f>
        <v>0</v>
      </c>
      <c r="V1087">
        <f>'Revenue drivers'!V280</f>
        <v>0</v>
      </c>
      <c r="W1087">
        <f>'Revenue drivers'!W280</f>
        <v>0</v>
      </c>
      <c r="X1087">
        <f>'Revenue drivers'!X280</f>
        <v>0</v>
      </c>
      <c r="Y1087">
        <f>'Revenue drivers'!Y280</f>
        <v>0</v>
      </c>
      <c r="Z1087">
        <f>'Revenue drivers'!Z280</f>
        <v>0</v>
      </c>
      <c r="AA1087">
        <f>'Revenue drivers'!AA280</f>
        <v>0</v>
      </c>
      <c r="AB1087">
        <f>'Revenue drivers'!AB280</f>
        <v>0</v>
      </c>
      <c r="AC1087">
        <f>'Revenue drivers'!AC280</f>
        <v>0.58998374265709996</v>
      </c>
      <c r="AD1087">
        <f>'Revenue drivers'!AD280</f>
        <v>0.61363429838431216</v>
      </c>
      <c r="AE1087">
        <f>'Revenue drivers'!AE280</f>
        <v>0.74439708951035999</v>
      </c>
      <c r="AF1087">
        <f>'Revenue drivers'!AF280</f>
        <v>0.4931355536368911</v>
      </c>
      <c r="AG1087">
        <f>'Revenue drivers'!AG280</f>
        <v>0.46321672098106181</v>
      </c>
      <c r="AH1087">
        <f>'Revenue drivers'!AH280</f>
        <v>0.41462150990572932</v>
      </c>
      <c r="AI1087">
        <f>'Revenue drivers'!AI280</f>
        <v>0.26119759894587857</v>
      </c>
      <c r="AJ1087">
        <f>'Revenue drivers'!AJ280</f>
        <v>0.3906331049168692</v>
      </c>
      <c r="AK1087">
        <f>'Revenue drivers'!AK280</f>
        <v>0.41872093023255808</v>
      </c>
      <c r="AL1087">
        <f>'Revenue drivers'!AL280</f>
        <v>0.44083079479368581</v>
      </c>
      <c r="AM1087">
        <f>'Revenue drivers'!AM280</f>
        <v>0.32594601287766234</v>
      </c>
      <c r="AN1087">
        <f>'Revenue drivers'!AN280</f>
        <v>0.27473865030674838</v>
      </c>
      <c r="AO1087">
        <f>'Revenue drivers'!AO280</f>
        <v>0.19221758830192592</v>
      </c>
      <c r="AP1087">
        <f>'Revenue drivers'!AP280</f>
        <v>0.10396629533101143</v>
      </c>
      <c r="AQ1087">
        <f>'Revenue drivers'!AQ280</f>
        <v>0.14218450292015383</v>
      </c>
      <c r="AR1087">
        <f>'Revenue drivers'!AR280</f>
        <v>7.3699750850462653E-2</v>
      </c>
      <c r="AS1087" t="e">
        <f>'Revenue drivers'!AS280</f>
        <v>#REF!</v>
      </c>
      <c r="AT1087" t="e">
        <f>'Revenue drivers'!AT280</f>
        <v>#REF!</v>
      </c>
      <c r="AU1087" t="e">
        <f>'Revenue drivers'!AU280</f>
        <v>#REF!</v>
      </c>
      <c r="AV1087" t="e">
        <f>'Revenue drivers'!AV280</f>
        <v>#REF!</v>
      </c>
      <c r="AW1087" t="e">
        <f>'Revenue drivers'!AW280</f>
        <v>#REF!</v>
      </c>
      <c r="AX1087" t="e">
        <f>'Revenue drivers'!AX280</f>
        <v>#REF!</v>
      </c>
      <c r="AY1087" t="e">
        <f>'Revenue drivers'!AY280</f>
        <v>#REF!</v>
      </c>
      <c r="AZ1087" t="e">
        <f>'Revenue drivers'!AZ280</f>
        <v>#REF!</v>
      </c>
      <c r="BA1087" t="e">
        <f>'Revenue drivers'!BA280</f>
        <v>#REF!</v>
      </c>
      <c r="BB1087" t="e">
        <f>'Revenue drivers'!BB280</f>
        <v>#REF!</v>
      </c>
      <c r="BC1087" t="e">
        <f>'Revenue drivers'!BC280</f>
        <v>#REF!</v>
      </c>
      <c r="BD1087" t="e">
        <f>'Revenue drivers'!BD280</f>
        <v>#REF!</v>
      </c>
      <c r="BE1087">
        <f>'Revenue drivers'!BE280</f>
        <v>0</v>
      </c>
      <c r="BF1087">
        <f>'Revenue drivers'!BF280</f>
        <v>0</v>
      </c>
      <c r="BG1087">
        <f>'Revenue drivers'!BG280</f>
        <v>0</v>
      </c>
      <c r="BH1087">
        <f>'Revenue drivers'!BH280</f>
        <v>0</v>
      </c>
      <c r="BI1087">
        <f>'Revenue drivers'!BI280</f>
        <v>0</v>
      </c>
      <c r="BJ1087">
        <f>'Revenue drivers'!BJ280</f>
        <v>0</v>
      </c>
      <c r="BK1087">
        <f>'Revenue drivers'!BK280</f>
        <v>0</v>
      </c>
      <c r="BL1087">
        <f>'Revenue drivers'!BL280</f>
        <v>0</v>
      </c>
      <c r="BM1087">
        <f>'Revenue drivers'!BM280</f>
        <v>0</v>
      </c>
      <c r="BN1087">
        <f>'Revenue drivers'!BN280</f>
        <v>0.60512520356955801</v>
      </c>
      <c r="BO1087">
        <f>'Revenue drivers'!BO280</f>
        <v>0.37416452991735571</v>
      </c>
      <c r="BP1087">
        <f>'Revenue drivers'!BP280</f>
        <v>9.0097915781200966E-2</v>
      </c>
      <c r="BQ1087">
        <f>'Revenue drivers'!BQ280</f>
        <v>0</v>
      </c>
      <c r="BR1087">
        <f>'Revenue drivers'!BR280</f>
        <v>0</v>
      </c>
      <c r="BS1087">
        <f>'Revenue drivers'!BS280</f>
        <v>0</v>
      </c>
      <c r="BT1087">
        <f>'Revenue drivers'!BT280</f>
        <v>0</v>
      </c>
      <c r="BU1087">
        <f>'Revenue drivers'!BU280</f>
        <v>0</v>
      </c>
      <c r="BV1087">
        <f>'Revenue drivers'!BV280</f>
        <v>0</v>
      </c>
      <c r="BW1087">
        <f>'Revenue drivers'!BW280</f>
        <v>0</v>
      </c>
      <c r="BX1087">
        <f>'Revenue drivers'!BX280</f>
        <v>0</v>
      </c>
      <c r="BY1087">
        <f>'Revenue drivers'!BY280</f>
        <v>0</v>
      </c>
    </row>
    <row r="1088" spans="9:77" ht="11.25" customHeight="1">
      <c r="I1088" t="str">
        <f>'Revenue drivers'!I281</f>
        <v>Total</v>
      </c>
      <c r="J1088">
        <f>'Revenue drivers'!J281</f>
        <v>0</v>
      </c>
      <c r="K1088">
        <f>'Revenue drivers'!K281</f>
        <v>0</v>
      </c>
      <c r="L1088">
        <f>'Revenue drivers'!L281</f>
        <v>0</v>
      </c>
      <c r="M1088">
        <f>'Revenue drivers'!M281</f>
        <v>0</v>
      </c>
      <c r="N1088">
        <f>'Revenue drivers'!N281</f>
        <v>0</v>
      </c>
      <c r="O1088">
        <f>'Revenue drivers'!O281</f>
        <v>0</v>
      </c>
      <c r="P1088">
        <f>'Revenue drivers'!P281</f>
        <v>0</v>
      </c>
      <c r="Q1088">
        <f>'Revenue drivers'!Q281</f>
        <v>0</v>
      </c>
      <c r="R1088">
        <f>'Revenue drivers'!R281</f>
        <v>0</v>
      </c>
      <c r="S1088">
        <f>'Revenue drivers'!S281</f>
        <v>0</v>
      </c>
      <c r="T1088">
        <f>'Revenue drivers'!T281</f>
        <v>0</v>
      </c>
      <c r="U1088">
        <f>'Revenue drivers'!U281</f>
        <v>0</v>
      </c>
      <c r="V1088">
        <f>'Revenue drivers'!V281</f>
        <v>0</v>
      </c>
      <c r="W1088">
        <f>'Revenue drivers'!W281</f>
        <v>0</v>
      </c>
      <c r="X1088">
        <f>'Revenue drivers'!X281</f>
        <v>0</v>
      </c>
      <c r="Y1088">
        <f>'Revenue drivers'!Y281</f>
        <v>0</v>
      </c>
      <c r="Z1088">
        <f>'Revenue drivers'!Z281</f>
        <v>0</v>
      </c>
      <c r="AA1088">
        <f>'Revenue drivers'!AA281</f>
        <v>0</v>
      </c>
      <c r="AB1088">
        <f>'Revenue drivers'!AB281</f>
        <v>0</v>
      </c>
      <c r="AC1088">
        <f>'Revenue drivers'!AC281</f>
        <v>0.65623306526781255</v>
      </c>
      <c r="AD1088">
        <f>'Revenue drivers'!AD281</f>
        <v>0.61363429838431194</v>
      </c>
      <c r="AE1088">
        <f>'Revenue drivers'!AE281</f>
        <v>0.67462120592994568</v>
      </c>
      <c r="AF1088">
        <f>'Revenue drivers'!AF281</f>
        <v>0.55534953503842832</v>
      </c>
      <c r="AG1088">
        <f>'Revenue drivers'!AG281</f>
        <v>0.46321672098106204</v>
      </c>
      <c r="AH1088">
        <f>'Revenue drivers'!AH281</f>
        <v>0.41462150990572955</v>
      </c>
      <c r="AI1088">
        <f>'Revenue drivers'!AI281</f>
        <v>0.31374749890195686</v>
      </c>
      <c r="AJ1088" t="e">
        <f>'Revenue drivers'!AJ281</f>
        <v>#REF!</v>
      </c>
      <c r="AK1088" t="e">
        <f>'Revenue drivers'!AK281</f>
        <v>#REF!</v>
      </c>
      <c r="AL1088" t="e">
        <f>'Revenue drivers'!AL281</f>
        <v>#REF!</v>
      </c>
      <c r="AM1088" t="e">
        <f>'Revenue drivers'!AM281</f>
        <v>#REF!</v>
      </c>
      <c r="AN1088" t="e">
        <f>'Revenue drivers'!AN281</f>
        <v>#REF!</v>
      </c>
      <c r="AO1088" t="e">
        <f>'Revenue drivers'!AO281</f>
        <v>#REF!</v>
      </c>
      <c r="AP1088" t="e">
        <f>'Revenue drivers'!AP281</f>
        <v>#REF!</v>
      </c>
      <c r="AQ1088" t="e">
        <f>'Revenue drivers'!AQ281</f>
        <v>#REF!</v>
      </c>
      <c r="AR1088" t="e">
        <f>'Revenue drivers'!AR281</f>
        <v>#REF!</v>
      </c>
      <c r="AS1088" t="e">
        <f>'Revenue drivers'!AS281</f>
        <v>#REF!</v>
      </c>
      <c r="AT1088" t="e">
        <f>'Revenue drivers'!AT281</f>
        <v>#REF!</v>
      </c>
      <c r="AU1088" t="e">
        <f>'Revenue drivers'!AU281</f>
        <v>#REF!</v>
      </c>
      <c r="AV1088" t="e">
        <f>'Revenue drivers'!AV281</f>
        <v>#REF!</v>
      </c>
      <c r="AW1088" t="e">
        <f>'Revenue drivers'!AW281</f>
        <v>#REF!</v>
      </c>
      <c r="AX1088" t="e">
        <f>'Revenue drivers'!AX281</f>
        <v>#REF!</v>
      </c>
      <c r="AY1088" t="e">
        <f>'Revenue drivers'!AY281</f>
        <v>#REF!</v>
      </c>
      <c r="AZ1088" t="e">
        <f>'Revenue drivers'!AZ281</f>
        <v>#REF!</v>
      </c>
      <c r="BA1088" t="e">
        <f>'Revenue drivers'!BA281</f>
        <v>#REF!</v>
      </c>
      <c r="BB1088" t="e">
        <f>'Revenue drivers'!BB281</f>
        <v>#REF!</v>
      </c>
      <c r="BC1088" t="e">
        <f>'Revenue drivers'!BC281</f>
        <v>#REF!</v>
      </c>
      <c r="BD1088" t="e">
        <f>'Revenue drivers'!BD281</f>
        <v>#REF!</v>
      </c>
      <c r="BE1088">
        <f>'Revenue drivers'!BE281</f>
        <v>0</v>
      </c>
      <c r="BF1088">
        <f>'Revenue drivers'!BF281</f>
        <v>0</v>
      </c>
      <c r="BG1088">
        <f>'Revenue drivers'!BG281</f>
        <v>0</v>
      </c>
      <c r="BH1088">
        <f>'Revenue drivers'!BH281</f>
        <v>0</v>
      </c>
      <c r="BI1088">
        <f>'Revenue drivers'!BI281</f>
        <v>0</v>
      </c>
      <c r="BJ1088">
        <f>'Revenue drivers'!BJ281</f>
        <v>0</v>
      </c>
      <c r="BK1088">
        <f>'Revenue drivers'!BK281</f>
        <v>0</v>
      </c>
      <c r="BL1088">
        <f>'Revenue drivers'!BL281</f>
        <v>0</v>
      </c>
      <c r="BM1088">
        <f>'Revenue drivers'!BM281</f>
        <v>0</v>
      </c>
      <c r="BN1088">
        <f>'Revenue drivers'!BN281</f>
        <v>0.62040963483097844</v>
      </c>
      <c r="BO1088">
        <f>'Revenue drivers'!BO281</f>
        <v>0.37293728280216953</v>
      </c>
      <c r="BP1088">
        <f>'Revenue drivers'!BP281</f>
        <v>9.0314483973389814E-2</v>
      </c>
      <c r="BQ1088">
        <f>'Revenue drivers'!BQ281</f>
        <v>0</v>
      </c>
      <c r="BR1088">
        <f>'Revenue drivers'!BR281</f>
        <v>0</v>
      </c>
      <c r="BS1088">
        <f>'Revenue drivers'!BS281</f>
        <v>0</v>
      </c>
      <c r="BT1088">
        <f>'Revenue drivers'!BT281</f>
        <v>0</v>
      </c>
      <c r="BU1088">
        <f>'Revenue drivers'!BU281</f>
        <v>0</v>
      </c>
      <c r="BV1088">
        <f>'Revenue drivers'!BV281</f>
        <v>0</v>
      </c>
      <c r="BW1088">
        <f>'Revenue drivers'!BW281</f>
        <v>0</v>
      </c>
      <c r="BX1088">
        <f>'Revenue drivers'!BX281</f>
        <v>0</v>
      </c>
      <c r="BY1088">
        <f>'Revenue drivers'!BY281</f>
        <v>0</v>
      </c>
    </row>
    <row r="1089" spans="9:77" ht="11.25" customHeight="1">
      <c r="I1089">
        <f>'Revenue drivers'!I282</f>
        <v>0</v>
      </c>
      <c r="J1089">
        <f>'Revenue drivers'!J282</f>
        <v>0</v>
      </c>
      <c r="K1089">
        <f>'Revenue drivers'!K282</f>
        <v>0</v>
      </c>
      <c r="L1089">
        <f>'Revenue drivers'!L282</f>
        <v>0</v>
      </c>
      <c r="M1089">
        <f>'Revenue drivers'!M282</f>
        <v>0</v>
      </c>
      <c r="N1089">
        <f>'Revenue drivers'!N282</f>
        <v>0</v>
      </c>
      <c r="O1089">
        <f>'Revenue drivers'!O282</f>
        <v>0</v>
      </c>
      <c r="P1089">
        <f>'Revenue drivers'!P282</f>
        <v>0</v>
      </c>
      <c r="Q1089">
        <f>'Revenue drivers'!Q282</f>
        <v>0</v>
      </c>
      <c r="R1089">
        <f>'Revenue drivers'!R282</f>
        <v>0</v>
      </c>
      <c r="S1089">
        <f>'Revenue drivers'!S282</f>
        <v>0</v>
      </c>
      <c r="T1089">
        <f>'Revenue drivers'!T282</f>
        <v>0</v>
      </c>
      <c r="U1089">
        <f>'Revenue drivers'!U282</f>
        <v>0</v>
      </c>
      <c r="V1089">
        <f>'Revenue drivers'!V282</f>
        <v>0</v>
      </c>
      <c r="W1089">
        <f>'Revenue drivers'!W282</f>
        <v>0</v>
      </c>
      <c r="X1089">
        <f>'Revenue drivers'!X282</f>
        <v>0</v>
      </c>
      <c r="Y1089">
        <f>'Revenue drivers'!Y282</f>
        <v>0</v>
      </c>
      <c r="Z1089">
        <f>'Revenue drivers'!Z282</f>
        <v>0</v>
      </c>
      <c r="AA1089">
        <f>'Revenue drivers'!AA282</f>
        <v>0</v>
      </c>
      <c r="AB1089">
        <f>'Revenue drivers'!AB282</f>
        <v>0</v>
      </c>
      <c r="AC1089">
        <f>'Revenue drivers'!AC282</f>
        <v>0</v>
      </c>
      <c r="AD1089">
        <f>'Revenue drivers'!AD282</f>
        <v>0</v>
      </c>
      <c r="AE1089">
        <f>'Revenue drivers'!AE282</f>
        <v>0</v>
      </c>
      <c r="AF1089">
        <f>'Revenue drivers'!AF282</f>
        <v>0</v>
      </c>
      <c r="AG1089">
        <f>'Revenue drivers'!AG282</f>
        <v>0</v>
      </c>
      <c r="AH1089">
        <f>'Revenue drivers'!AH282</f>
        <v>0</v>
      </c>
      <c r="AI1089">
        <f>'Revenue drivers'!AI282</f>
        <v>0</v>
      </c>
      <c r="AJ1089">
        <f>'Revenue drivers'!AJ282</f>
        <v>0</v>
      </c>
      <c r="AK1089">
        <f>'Revenue drivers'!AK282</f>
        <v>0</v>
      </c>
      <c r="AL1089">
        <f>'Revenue drivers'!AL282</f>
        <v>0</v>
      </c>
      <c r="AM1089">
        <f>'Revenue drivers'!AM282</f>
        <v>0</v>
      </c>
      <c r="AN1089">
        <f>'Revenue drivers'!AN282</f>
        <v>0</v>
      </c>
      <c r="AO1089">
        <f>'Revenue drivers'!AO282</f>
        <v>0</v>
      </c>
      <c r="AP1089">
        <f>'Revenue drivers'!AP282</f>
        <v>0</v>
      </c>
      <c r="AQ1089">
        <f>'Revenue drivers'!AQ282</f>
        <v>0</v>
      </c>
      <c r="AR1089">
        <f>'Revenue drivers'!AR282</f>
        <v>0</v>
      </c>
      <c r="AS1089">
        <f>'Revenue drivers'!AS282</f>
        <v>0</v>
      </c>
      <c r="AT1089">
        <f>'Revenue drivers'!AT282</f>
        <v>0</v>
      </c>
      <c r="AU1089">
        <f>'Revenue drivers'!AU282</f>
        <v>0</v>
      </c>
      <c r="AV1089">
        <f>'Revenue drivers'!AV282</f>
        <v>0</v>
      </c>
      <c r="AW1089">
        <f>'Revenue drivers'!AW282</f>
        <v>0</v>
      </c>
      <c r="AX1089">
        <f>'Revenue drivers'!AX282</f>
        <v>0</v>
      </c>
      <c r="AY1089">
        <f>'Revenue drivers'!AY282</f>
        <v>0</v>
      </c>
      <c r="AZ1089">
        <f>'Revenue drivers'!AZ282</f>
        <v>0</v>
      </c>
      <c r="BA1089">
        <f>'Revenue drivers'!BA282</f>
        <v>0</v>
      </c>
      <c r="BB1089">
        <f>'Revenue drivers'!BB282</f>
        <v>0</v>
      </c>
      <c r="BC1089">
        <f>'Revenue drivers'!BC282</f>
        <v>0</v>
      </c>
      <c r="BD1089">
        <f>'Revenue drivers'!BD282</f>
        <v>0</v>
      </c>
      <c r="BE1089">
        <f>'Revenue drivers'!BE282</f>
        <v>0</v>
      </c>
      <c r="BF1089">
        <f>'Revenue drivers'!BF282</f>
        <v>0</v>
      </c>
      <c r="BG1089">
        <f>'Revenue drivers'!BG282</f>
        <v>0</v>
      </c>
      <c r="BH1089">
        <f>'Revenue drivers'!BH282</f>
        <v>0</v>
      </c>
      <c r="BI1089">
        <f>'Revenue drivers'!BI282</f>
        <v>0</v>
      </c>
      <c r="BJ1089">
        <f>'Revenue drivers'!BJ282</f>
        <v>0</v>
      </c>
      <c r="BK1089">
        <f>'Revenue drivers'!BK282</f>
        <v>0</v>
      </c>
      <c r="BL1089">
        <f>'Revenue drivers'!BL282</f>
        <v>0</v>
      </c>
      <c r="BM1089">
        <f>'Revenue drivers'!BM282</f>
        <v>0</v>
      </c>
      <c r="BN1089">
        <f>'Revenue drivers'!BN282</f>
        <v>0</v>
      </c>
      <c r="BO1089">
        <f>'Revenue drivers'!BO282</f>
        <v>0</v>
      </c>
      <c r="BP1089">
        <f>'Revenue drivers'!BP282</f>
        <v>0</v>
      </c>
      <c r="BQ1089">
        <f>'Revenue drivers'!BQ282</f>
        <v>0</v>
      </c>
      <c r="BR1089">
        <f>'Revenue drivers'!BR282</f>
        <v>0</v>
      </c>
      <c r="BS1089">
        <f>'Revenue drivers'!BS282</f>
        <v>0</v>
      </c>
      <c r="BT1089">
        <f>'Revenue drivers'!BT282</f>
        <v>0</v>
      </c>
      <c r="BU1089">
        <f>'Revenue drivers'!BU282</f>
        <v>0</v>
      </c>
      <c r="BV1089">
        <f>'Revenue drivers'!BV282</f>
        <v>0</v>
      </c>
      <c r="BW1089">
        <f>'Revenue drivers'!BW282</f>
        <v>0</v>
      </c>
      <c r="BX1089">
        <f>'Revenue drivers'!BX282</f>
        <v>0</v>
      </c>
      <c r="BY1089">
        <f>'Revenue drivers'!BY282</f>
        <v>0</v>
      </c>
    </row>
    <row r="1090" spans="9:77" ht="11.25" customHeight="1">
      <c r="I1090" t="str">
        <f>'Revenue drivers'!I283</f>
        <v>Top 5 Vericals</v>
      </c>
      <c r="J1090">
        <f>'Revenue drivers'!J283</f>
        <v>0</v>
      </c>
      <c r="K1090">
        <f>'Revenue drivers'!K283</f>
        <v>0</v>
      </c>
      <c r="L1090">
        <f>'Revenue drivers'!L283</f>
        <v>0</v>
      </c>
      <c r="M1090">
        <f>'Revenue drivers'!M283</f>
        <v>0</v>
      </c>
      <c r="N1090">
        <f>'Revenue drivers'!N283</f>
        <v>0</v>
      </c>
      <c r="O1090">
        <f>'Revenue drivers'!O283</f>
        <v>0</v>
      </c>
      <c r="P1090">
        <f>'Revenue drivers'!P283</f>
        <v>0</v>
      </c>
      <c r="Q1090">
        <f>'Revenue drivers'!Q283</f>
        <v>0</v>
      </c>
      <c r="R1090">
        <f>'Revenue drivers'!R283</f>
        <v>0</v>
      </c>
      <c r="S1090">
        <f>'Revenue drivers'!S283</f>
        <v>0</v>
      </c>
      <c r="T1090">
        <f>'Revenue drivers'!T283</f>
        <v>0</v>
      </c>
      <c r="U1090">
        <f>'Revenue drivers'!U283</f>
        <v>0</v>
      </c>
      <c r="V1090">
        <f>'Revenue drivers'!V283</f>
        <v>0</v>
      </c>
      <c r="W1090">
        <f>'Revenue drivers'!W283</f>
        <v>0</v>
      </c>
      <c r="X1090">
        <f>'Revenue drivers'!X283</f>
        <v>0</v>
      </c>
      <c r="Y1090">
        <f>'Revenue drivers'!Y283</f>
        <v>0</v>
      </c>
      <c r="Z1090">
        <f>'Revenue drivers'!Z283</f>
        <v>0</v>
      </c>
      <c r="AA1090">
        <f>'Revenue drivers'!AA283</f>
        <v>0</v>
      </c>
      <c r="AB1090">
        <f>'Revenue drivers'!AB283</f>
        <v>0</v>
      </c>
      <c r="AC1090">
        <f>'Revenue drivers'!AC283</f>
        <v>0</v>
      </c>
      <c r="AD1090">
        <f>'Revenue drivers'!AD283</f>
        <v>0</v>
      </c>
      <c r="AE1090">
        <f>'Revenue drivers'!AE283</f>
        <v>0</v>
      </c>
      <c r="AF1090">
        <f>'Revenue drivers'!AF283</f>
        <v>0</v>
      </c>
      <c r="AG1090">
        <f>'Revenue drivers'!AG283</f>
        <v>0</v>
      </c>
      <c r="AH1090">
        <f>'Revenue drivers'!AH283</f>
        <v>0</v>
      </c>
      <c r="AI1090">
        <f>'Revenue drivers'!AI283</f>
        <v>0</v>
      </c>
      <c r="AJ1090">
        <f>'Revenue drivers'!AJ283</f>
        <v>0</v>
      </c>
      <c r="AK1090">
        <f>'Revenue drivers'!AK283</f>
        <v>0</v>
      </c>
      <c r="AL1090">
        <f>'Revenue drivers'!AL283</f>
        <v>0</v>
      </c>
      <c r="AM1090">
        <f>'Revenue drivers'!AM283</f>
        <v>0</v>
      </c>
      <c r="AN1090">
        <f>'Revenue drivers'!AN283</f>
        <v>0</v>
      </c>
      <c r="AO1090">
        <f>'Revenue drivers'!AO283</f>
        <v>0</v>
      </c>
      <c r="AP1090">
        <f>'Revenue drivers'!AP283</f>
        <v>0</v>
      </c>
      <c r="AQ1090">
        <f>'Revenue drivers'!AQ283</f>
        <v>0</v>
      </c>
      <c r="AR1090">
        <f>'Revenue drivers'!AR283</f>
        <v>0</v>
      </c>
      <c r="AS1090">
        <f>'Revenue drivers'!AS283</f>
        <v>0</v>
      </c>
      <c r="AT1090">
        <f>'Revenue drivers'!AT283</f>
        <v>0</v>
      </c>
      <c r="AU1090">
        <f>'Revenue drivers'!AU283</f>
        <v>0</v>
      </c>
      <c r="AV1090">
        <f>'Revenue drivers'!AV283</f>
        <v>0</v>
      </c>
      <c r="AW1090">
        <f>'Revenue drivers'!AW283</f>
        <v>0</v>
      </c>
      <c r="AX1090">
        <f>'Revenue drivers'!AX283</f>
        <v>0</v>
      </c>
      <c r="AY1090">
        <f>'Revenue drivers'!AY283</f>
        <v>0</v>
      </c>
      <c r="AZ1090">
        <f>'Revenue drivers'!AZ283</f>
        <v>0</v>
      </c>
      <c r="BA1090">
        <f>'Revenue drivers'!BA283</f>
        <v>0</v>
      </c>
      <c r="BB1090">
        <f>'Revenue drivers'!BB283</f>
        <v>0</v>
      </c>
      <c r="BC1090">
        <f>'Revenue drivers'!BC283</f>
        <v>0</v>
      </c>
      <c r="BD1090">
        <f>'Revenue drivers'!BD283</f>
        <v>0</v>
      </c>
      <c r="BE1090">
        <f>'Revenue drivers'!BE283</f>
        <v>0</v>
      </c>
      <c r="BF1090">
        <f>'Revenue drivers'!BF283</f>
        <v>0</v>
      </c>
      <c r="BG1090">
        <f>'Revenue drivers'!BG283</f>
        <v>0</v>
      </c>
      <c r="BH1090">
        <f>'Revenue drivers'!BH283</f>
        <v>0</v>
      </c>
      <c r="BI1090">
        <f>'Revenue drivers'!BI283</f>
        <v>0</v>
      </c>
      <c r="BJ1090">
        <f>'Revenue drivers'!BJ283</f>
        <v>0</v>
      </c>
      <c r="BK1090">
        <f>'Revenue drivers'!BK283</f>
        <v>0</v>
      </c>
      <c r="BL1090">
        <f>'Revenue drivers'!BL283</f>
        <v>0</v>
      </c>
      <c r="BM1090">
        <f>'Revenue drivers'!BM283</f>
        <v>0</v>
      </c>
      <c r="BN1090">
        <f>'Revenue drivers'!BN283</f>
        <v>0.62530668884742124</v>
      </c>
      <c r="BO1090">
        <f>'Revenue drivers'!BO283</f>
        <v>0.37254896149344852</v>
      </c>
      <c r="BP1090">
        <f>'Revenue drivers'!BP283</f>
        <v>9.0383090394192234E-2</v>
      </c>
      <c r="BQ1090">
        <f>'Revenue drivers'!BQ283</f>
        <v>0</v>
      </c>
      <c r="BR1090">
        <f>'Revenue drivers'!BR283</f>
        <v>0</v>
      </c>
      <c r="BS1090">
        <f>'Revenue drivers'!BS283</f>
        <v>0</v>
      </c>
      <c r="BT1090">
        <f>'Revenue drivers'!BT283</f>
        <v>0</v>
      </c>
      <c r="BU1090">
        <f>'Revenue drivers'!BU283</f>
        <v>0</v>
      </c>
      <c r="BV1090">
        <f>'Revenue drivers'!BV283</f>
        <v>0</v>
      </c>
      <c r="BW1090">
        <f>'Revenue drivers'!BW283</f>
        <v>0</v>
      </c>
      <c r="BX1090">
        <f>'Revenue drivers'!BX283</f>
        <v>0</v>
      </c>
      <c r="BY1090">
        <f>'Revenue drivers'!BY283</f>
        <v>0</v>
      </c>
    </row>
    <row r="1091" spans="9:77" ht="11.25" customHeight="1">
      <c r="I1091">
        <f>'Revenue drivers'!I284</f>
        <v>0</v>
      </c>
      <c r="J1091">
        <f>'Revenue drivers'!J284</f>
        <v>0</v>
      </c>
      <c r="K1091">
        <f>'Revenue drivers'!K284</f>
        <v>0</v>
      </c>
      <c r="L1091">
        <f>'Revenue drivers'!L284</f>
        <v>0</v>
      </c>
      <c r="M1091">
        <f>'Revenue drivers'!M284</f>
        <v>0</v>
      </c>
      <c r="N1091">
        <f>'Revenue drivers'!N284</f>
        <v>0</v>
      </c>
      <c r="O1091">
        <f>'Revenue drivers'!O284</f>
        <v>0</v>
      </c>
      <c r="P1091">
        <f>'Revenue drivers'!P284</f>
        <v>0</v>
      </c>
      <c r="Q1091">
        <f>'Revenue drivers'!Q284</f>
        <v>0</v>
      </c>
      <c r="R1091">
        <f>'Revenue drivers'!R284</f>
        <v>0</v>
      </c>
      <c r="S1091">
        <f>'Revenue drivers'!S284</f>
        <v>0</v>
      </c>
      <c r="T1091">
        <f>'Revenue drivers'!T284</f>
        <v>0</v>
      </c>
      <c r="U1091">
        <f>'Revenue drivers'!U284</f>
        <v>0</v>
      </c>
      <c r="V1091">
        <f>'Revenue drivers'!V284</f>
        <v>0</v>
      </c>
      <c r="W1091">
        <f>'Revenue drivers'!W284</f>
        <v>0</v>
      </c>
      <c r="X1091">
        <f>'Revenue drivers'!X284</f>
        <v>0</v>
      </c>
      <c r="Y1091">
        <f>'Revenue drivers'!Y284</f>
        <v>0</v>
      </c>
      <c r="Z1091">
        <f>'Revenue drivers'!Z284</f>
        <v>0</v>
      </c>
      <c r="AA1091">
        <f>'Revenue drivers'!AA284</f>
        <v>0</v>
      </c>
      <c r="AB1091">
        <f>'Revenue drivers'!AB284</f>
        <v>0</v>
      </c>
      <c r="AC1091">
        <f>'Revenue drivers'!AC284</f>
        <v>0</v>
      </c>
      <c r="AD1091">
        <f>'Revenue drivers'!AD284</f>
        <v>0</v>
      </c>
      <c r="AE1091">
        <f>'Revenue drivers'!AE284</f>
        <v>0</v>
      </c>
      <c r="AF1091">
        <f>'Revenue drivers'!AF284</f>
        <v>0</v>
      </c>
      <c r="AG1091">
        <f>'Revenue drivers'!AG284</f>
        <v>0</v>
      </c>
      <c r="AH1091">
        <f>'Revenue drivers'!AH284</f>
        <v>0</v>
      </c>
      <c r="AI1091">
        <f>'Revenue drivers'!AI284</f>
        <v>0</v>
      </c>
      <c r="AJ1091">
        <f>'Revenue drivers'!AJ284</f>
        <v>0</v>
      </c>
      <c r="AK1091">
        <f>'Revenue drivers'!AK284</f>
        <v>0</v>
      </c>
      <c r="AL1091">
        <f>'Revenue drivers'!AL284</f>
        <v>0</v>
      </c>
      <c r="AM1091">
        <f>'Revenue drivers'!AM284</f>
        <v>0</v>
      </c>
      <c r="AN1091">
        <f>'Revenue drivers'!AN284</f>
        <v>0</v>
      </c>
      <c r="AO1091">
        <f>'Revenue drivers'!AO284</f>
        <v>0</v>
      </c>
      <c r="AP1091">
        <f>'Revenue drivers'!AP284</f>
        <v>0</v>
      </c>
      <c r="AQ1091">
        <f>'Revenue drivers'!AQ284</f>
        <v>0</v>
      </c>
      <c r="AR1091">
        <f>'Revenue drivers'!AR284</f>
        <v>0</v>
      </c>
      <c r="AS1091">
        <f>'Revenue drivers'!AS284</f>
        <v>0</v>
      </c>
      <c r="AT1091">
        <f>'Revenue drivers'!AT284</f>
        <v>0</v>
      </c>
      <c r="AU1091">
        <f>'Revenue drivers'!AU284</f>
        <v>0</v>
      </c>
      <c r="AV1091">
        <f>'Revenue drivers'!AV284</f>
        <v>0</v>
      </c>
      <c r="AW1091">
        <f>'Revenue drivers'!AW284</f>
        <v>0</v>
      </c>
      <c r="AX1091">
        <f>'Revenue drivers'!AX284</f>
        <v>0</v>
      </c>
      <c r="AY1091">
        <f>'Revenue drivers'!AY284</f>
        <v>0</v>
      </c>
      <c r="AZ1091">
        <f>'Revenue drivers'!AZ284</f>
        <v>0</v>
      </c>
      <c r="BA1091">
        <f>'Revenue drivers'!BA284</f>
        <v>0</v>
      </c>
      <c r="BB1091">
        <f>'Revenue drivers'!BB284</f>
        <v>0</v>
      </c>
      <c r="BC1091">
        <f>'Revenue drivers'!BC284</f>
        <v>0</v>
      </c>
      <c r="BD1091">
        <f>'Revenue drivers'!BD284</f>
        <v>0</v>
      </c>
      <c r="BE1091">
        <f>'Revenue drivers'!BE284</f>
        <v>0</v>
      </c>
      <c r="BF1091">
        <f>'Revenue drivers'!BF284</f>
        <v>0</v>
      </c>
      <c r="BG1091">
        <f>'Revenue drivers'!BG284</f>
        <v>0</v>
      </c>
      <c r="BH1091">
        <f>'Revenue drivers'!BH284</f>
        <v>0</v>
      </c>
      <c r="BI1091">
        <f>'Revenue drivers'!BI284</f>
        <v>0</v>
      </c>
      <c r="BJ1091">
        <f>'Revenue drivers'!BJ284</f>
        <v>0</v>
      </c>
      <c r="BK1091">
        <f>'Revenue drivers'!BK284</f>
        <v>0</v>
      </c>
      <c r="BL1091">
        <f>'Revenue drivers'!BL284</f>
        <v>0</v>
      </c>
      <c r="BM1091">
        <f>'Revenue drivers'!BM284</f>
        <v>0</v>
      </c>
      <c r="BN1091">
        <f>'Revenue drivers'!BN284</f>
        <v>0</v>
      </c>
      <c r="BO1091">
        <f>'Revenue drivers'!BO284</f>
        <v>0</v>
      </c>
      <c r="BP1091">
        <f>'Revenue drivers'!BP284</f>
        <v>0</v>
      </c>
      <c r="BQ1091">
        <f>'Revenue drivers'!BQ284</f>
        <v>0</v>
      </c>
      <c r="BR1091">
        <f>'Revenue drivers'!BR284</f>
        <v>0</v>
      </c>
      <c r="BS1091">
        <f>'Revenue drivers'!BS284</f>
        <v>0</v>
      </c>
      <c r="BT1091">
        <f>'Revenue drivers'!BT284</f>
        <v>0</v>
      </c>
      <c r="BU1091">
        <f>'Revenue drivers'!BU284</f>
        <v>0</v>
      </c>
      <c r="BV1091">
        <f>'Revenue drivers'!BV284</f>
        <v>0</v>
      </c>
      <c r="BW1091">
        <f>'Revenue drivers'!BW284</f>
        <v>0</v>
      </c>
      <c r="BX1091">
        <f>'Revenue drivers'!BX284</f>
        <v>0</v>
      </c>
      <c r="BY1091">
        <f>'Revenue drivers'!BY284</f>
        <v>0</v>
      </c>
    </row>
    <row r="1092" spans="9:77" ht="11.25" customHeight="1">
      <c r="I1092" t="str">
        <f>'Revenue drivers'!I285</f>
        <v>Revenue Abs YoY Growth</v>
      </c>
      <c r="J1092">
        <f>'Revenue drivers'!J285</f>
        <v>0</v>
      </c>
      <c r="K1092">
        <f>'Revenue drivers'!K285</f>
        <v>0</v>
      </c>
      <c r="L1092">
        <f>'Revenue drivers'!L285</f>
        <v>0</v>
      </c>
      <c r="M1092">
        <f>'Revenue drivers'!M285</f>
        <v>0</v>
      </c>
      <c r="N1092">
        <f>'Revenue drivers'!N285</f>
        <v>0</v>
      </c>
      <c r="O1092">
        <f>'Revenue drivers'!O285</f>
        <v>0</v>
      </c>
      <c r="P1092">
        <f>'Revenue drivers'!P285</f>
        <v>0</v>
      </c>
      <c r="Q1092">
        <f>'Revenue drivers'!Q285</f>
        <v>0</v>
      </c>
      <c r="R1092">
        <f>'Revenue drivers'!R285</f>
        <v>0</v>
      </c>
      <c r="S1092">
        <f>'Revenue drivers'!S285</f>
        <v>0</v>
      </c>
      <c r="T1092">
        <f>'Revenue drivers'!T285</f>
        <v>0</v>
      </c>
      <c r="U1092">
        <f>'Revenue drivers'!U285</f>
        <v>0</v>
      </c>
      <c r="V1092">
        <f>'Revenue drivers'!V285</f>
        <v>0</v>
      </c>
      <c r="W1092">
        <f>'Revenue drivers'!W285</f>
        <v>0</v>
      </c>
      <c r="X1092">
        <f>'Revenue drivers'!X285</f>
        <v>0</v>
      </c>
      <c r="Y1092">
        <f>'Revenue drivers'!Y285</f>
        <v>0</v>
      </c>
      <c r="Z1092">
        <f>'Revenue drivers'!Z285</f>
        <v>0</v>
      </c>
      <c r="AA1092">
        <f>'Revenue drivers'!AA285</f>
        <v>0</v>
      </c>
      <c r="AB1092">
        <f>'Revenue drivers'!AB285</f>
        <v>0</v>
      </c>
      <c r="AC1092">
        <f>'Revenue drivers'!AC285</f>
        <v>0</v>
      </c>
      <c r="AD1092">
        <f>'Revenue drivers'!AD285</f>
        <v>0</v>
      </c>
      <c r="AE1092">
        <f>'Revenue drivers'!AE285</f>
        <v>0</v>
      </c>
      <c r="AF1092">
        <f>'Revenue drivers'!AF285</f>
        <v>0</v>
      </c>
      <c r="AG1092">
        <f>'Revenue drivers'!AG285</f>
        <v>0</v>
      </c>
      <c r="AH1092">
        <f>'Revenue drivers'!AH285</f>
        <v>0</v>
      </c>
      <c r="AI1092">
        <f>'Revenue drivers'!AI285</f>
        <v>0</v>
      </c>
      <c r="AJ1092">
        <f>'Revenue drivers'!AJ285</f>
        <v>0</v>
      </c>
      <c r="AK1092">
        <f>'Revenue drivers'!AK285</f>
        <v>0</v>
      </c>
      <c r="AL1092">
        <f>'Revenue drivers'!AL285</f>
        <v>0</v>
      </c>
      <c r="AM1092">
        <f>'Revenue drivers'!AM285</f>
        <v>0</v>
      </c>
      <c r="AN1092">
        <f>'Revenue drivers'!AN285</f>
        <v>0</v>
      </c>
      <c r="AO1092">
        <f>'Revenue drivers'!AO285</f>
        <v>0</v>
      </c>
      <c r="AP1092">
        <f>'Revenue drivers'!AP285</f>
        <v>0</v>
      </c>
      <c r="AQ1092">
        <f>'Revenue drivers'!AQ285</f>
        <v>0</v>
      </c>
      <c r="AR1092">
        <f>'Revenue drivers'!AR285</f>
        <v>0</v>
      </c>
      <c r="AS1092">
        <f>'Revenue drivers'!AS285</f>
        <v>0</v>
      </c>
      <c r="AT1092">
        <f>'Revenue drivers'!AT285</f>
        <v>0</v>
      </c>
      <c r="AU1092">
        <f>'Revenue drivers'!AU285</f>
        <v>0</v>
      </c>
      <c r="AV1092">
        <f>'Revenue drivers'!AV285</f>
        <v>0</v>
      </c>
      <c r="AW1092">
        <f>'Revenue drivers'!AW285</f>
        <v>0</v>
      </c>
      <c r="AX1092">
        <f>'Revenue drivers'!AX285</f>
        <v>0</v>
      </c>
      <c r="AY1092">
        <f>'Revenue drivers'!AY285</f>
        <v>0</v>
      </c>
      <c r="AZ1092">
        <f>'Revenue drivers'!AZ285</f>
        <v>0</v>
      </c>
      <c r="BA1092">
        <f>'Revenue drivers'!BA285</f>
        <v>0</v>
      </c>
      <c r="BB1092">
        <f>'Revenue drivers'!BB285</f>
        <v>0</v>
      </c>
      <c r="BC1092">
        <f>'Revenue drivers'!BC285</f>
        <v>0</v>
      </c>
      <c r="BD1092">
        <f>'Revenue drivers'!BD285</f>
        <v>0</v>
      </c>
      <c r="BE1092">
        <f>'Revenue drivers'!BE285</f>
        <v>0</v>
      </c>
      <c r="BF1092">
        <f>'Revenue drivers'!BF285</f>
        <v>0</v>
      </c>
      <c r="BG1092">
        <f>'Revenue drivers'!BG285</f>
        <v>0</v>
      </c>
      <c r="BH1092">
        <f>'Revenue drivers'!BH285</f>
        <v>0</v>
      </c>
      <c r="BI1092">
        <f>'Revenue drivers'!BI285</f>
        <v>0</v>
      </c>
      <c r="BJ1092">
        <f>'Revenue drivers'!BJ285</f>
        <v>0</v>
      </c>
      <c r="BK1092">
        <f>'Revenue drivers'!BK285</f>
        <v>0</v>
      </c>
      <c r="BL1092">
        <f>'Revenue drivers'!BL285</f>
        <v>0</v>
      </c>
      <c r="BM1092">
        <f>'Revenue drivers'!BM285</f>
        <v>0</v>
      </c>
      <c r="BN1092">
        <f>'Revenue drivers'!BN285</f>
        <v>0</v>
      </c>
      <c r="BO1092">
        <f>'Revenue drivers'!BO285</f>
        <v>0</v>
      </c>
      <c r="BP1092">
        <f>'Revenue drivers'!BP285</f>
        <v>0</v>
      </c>
      <c r="BQ1092">
        <f>'Revenue drivers'!BQ285</f>
        <v>0</v>
      </c>
      <c r="BR1092">
        <f>'Revenue drivers'!BR285</f>
        <v>0</v>
      </c>
      <c r="BS1092">
        <f>'Revenue drivers'!BS285</f>
        <v>0</v>
      </c>
      <c r="BT1092">
        <f>'Revenue drivers'!BT285</f>
        <v>0</v>
      </c>
      <c r="BU1092">
        <f>'Revenue drivers'!BU285</f>
        <v>0</v>
      </c>
      <c r="BV1092">
        <f>'Revenue drivers'!BV285</f>
        <v>0</v>
      </c>
      <c r="BW1092">
        <f>'Revenue drivers'!BW285</f>
        <v>0</v>
      </c>
      <c r="BX1092">
        <f>'Revenue drivers'!BX285</f>
        <v>0</v>
      </c>
      <c r="BY1092">
        <f>'Revenue drivers'!BY285</f>
        <v>0</v>
      </c>
    </row>
    <row r="1093" spans="9:77" ht="11.25" customHeight="1">
      <c r="I1093" t="str">
        <f>'Revenue drivers'!I286</f>
        <v>Home &amp; Local</v>
      </c>
      <c r="J1093">
        <f>'Revenue drivers'!J286</f>
        <v>0</v>
      </c>
      <c r="K1093">
        <f>'Revenue drivers'!K286</f>
        <v>0</v>
      </c>
      <c r="L1093">
        <f>'Revenue drivers'!L286</f>
        <v>0</v>
      </c>
      <c r="M1093">
        <f>'Revenue drivers'!M286</f>
        <v>0</v>
      </c>
      <c r="N1093">
        <f>'Revenue drivers'!N286</f>
        <v>0</v>
      </c>
      <c r="O1093">
        <f>'Revenue drivers'!O286</f>
        <v>0</v>
      </c>
      <c r="P1093">
        <f>'Revenue drivers'!P286</f>
        <v>0</v>
      </c>
      <c r="Q1093">
        <f>'Revenue drivers'!Q286</f>
        <v>0</v>
      </c>
      <c r="R1093">
        <f>'Revenue drivers'!R286</f>
        <v>0</v>
      </c>
      <c r="S1093">
        <f>'Revenue drivers'!S286</f>
        <v>0</v>
      </c>
      <c r="T1093">
        <f>'Revenue drivers'!T286</f>
        <v>0</v>
      </c>
      <c r="U1093">
        <f>'Revenue drivers'!U286</f>
        <v>0</v>
      </c>
      <c r="V1093">
        <f>'Revenue drivers'!V286</f>
        <v>0</v>
      </c>
      <c r="W1093">
        <f>'Revenue drivers'!W286</f>
        <v>0</v>
      </c>
      <c r="X1093">
        <f>'Revenue drivers'!X286</f>
        <v>0</v>
      </c>
      <c r="Y1093">
        <f>'Revenue drivers'!Y286</f>
        <v>0</v>
      </c>
      <c r="Z1093">
        <f>'Revenue drivers'!Z286</f>
        <v>0</v>
      </c>
      <c r="AA1093">
        <f>'Revenue drivers'!AA286</f>
        <v>0</v>
      </c>
      <c r="AB1093">
        <f>'Revenue drivers'!AB286</f>
        <v>0</v>
      </c>
      <c r="AC1093">
        <f>'Revenue drivers'!AC286</f>
        <v>8.9524899999999992</v>
      </c>
      <c r="AD1093">
        <f>'Revenue drivers'!AD286</f>
        <v>9.8791000000000011</v>
      </c>
      <c r="AE1093">
        <f>'Revenue drivers'!AE286</f>
        <v>11.954860000000002</v>
      </c>
      <c r="AF1093">
        <f>'Revenue drivers'!AF286</f>
        <v>11.614380000000004</v>
      </c>
      <c r="AG1093">
        <f>'Revenue drivers'!AG286</f>
        <v>9.9662500000000023</v>
      </c>
      <c r="AH1093">
        <f>'Revenue drivers'!AH286</f>
        <v>12.083379999999998</v>
      </c>
      <c r="AI1093">
        <f>'Revenue drivers'!AI286</f>
        <v>11.049700000000001</v>
      </c>
      <c r="AJ1093">
        <f>'Revenue drivers'!AJ286</f>
        <v>12.505379999999999</v>
      </c>
      <c r="AK1093">
        <f>'Revenue drivers'!AK286</f>
        <v>16.929769999999994</v>
      </c>
      <c r="AL1093">
        <f>'Revenue drivers'!AL286</f>
        <v>16.860399999999998</v>
      </c>
      <c r="AM1093">
        <f>'Revenue drivers'!AM286</f>
        <v>18.181599999999996</v>
      </c>
      <c r="AN1093">
        <f>'Revenue drivers'!AN286</f>
        <v>16.875809999999994</v>
      </c>
      <c r="AO1093">
        <f>'Revenue drivers'!AO286</f>
        <v>13.199130000000004</v>
      </c>
      <c r="AP1093">
        <f>'Revenue drivers'!AP286</f>
        <v>12.719439999999999</v>
      </c>
      <c r="AQ1093">
        <f>'Revenue drivers'!AQ286</f>
        <v>13.068199999999997</v>
      </c>
      <c r="AR1093">
        <f>'Revenue drivers'!AR286</f>
        <v>9.7044500000000085</v>
      </c>
      <c r="AS1093">
        <f>'Revenue drivers'!AS286</f>
        <v>0</v>
      </c>
      <c r="AT1093">
        <f>'Revenue drivers'!AT286</f>
        <v>0</v>
      </c>
      <c r="AU1093">
        <f>'Revenue drivers'!AU286</f>
        <v>0</v>
      </c>
      <c r="AV1093">
        <f>'Revenue drivers'!AV286</f>
        <v>0</v>
      </c>
      <c r="AW1093">
        <f>'Revenue drivers'!AW286</f>
        <v>0</v>
      </c>
      <c r="AX1093">
        <f>'Revenue drivers'!AX286</f>
        <v>0</v>
      </c>
      <c r="AY1093">
        <f>'Revenue drivers'!AY286</f>
        <v>0</v>
      </c>
      <c r="AZ1093">
        <f>'Revenue drivers'!AZ286</f>
        <v>0</v>
      </c>
      <c r="BA1093">
        <f>'Revenue drivers'!BA286</f>
        <v>0</v>
      </c>
      <c r="BB1093">
        <f>'Revenue drivers'!BB286</f>
        <v>0</v>
      </c>
      <c r="BC1093">
        <f>'Revenue drivers'!BC286</f>
        <v>0</v>
      </c>
      <c r="BD1093">
        <f>'Revenue drivers'!BD286</f>
        <v>0</v>
      </c>
      <c r="BE1093">
        <f>'Revenue drivers'!BE286</f>
        <v>0</v>
      </c>
      <c r="BF1093">
        <f>'Revenue drivers'!BF286</f>
        <v>0</v>
      </c>
      <c r="BG1093">
        <f>'Revenue drivers'!BG286</f>
        <v>0</v>
      </c>
      <c r="BH1093">
        <f>'Revenue drivers'!BH286</f>
        <v>0</v>
      </c>
      <c r="BI1093">
        <f>'Revenue drivers'!BI286</f>
        <v>0</v>
      </c>
      <c r="BJ1093">
        <f>'Revenue drivers'!BJ286</f>
        <v>0</v>
      </c>
      <c r="BK1093">
        <f>'Revenue drivers'!BK286</f>
        <v>0</v>
      </c>
      <c r="BL1093">
        <f>'Revenue drivers'!BL286</f>
        <v>0</v>
      </c>
      <c r="BM1093">
        <f>'Revenue drivers'!BM286</f>
        <v>0</v>
      </c>
      <c r="BN1093">
        <f>'Revenue drivers'!BN286</f>
        <v>42.400830000000013</v>
      </c>
      <c r="BO1093">
        <f>'Revenue drivers'!BO286</f>
        <v>45.604709999999997</v>
      </c>
      <c r="BP1093">
        <f>'Revenue drivers'!BP286</f>
        <v>16.929769999999991</v>
      </c>
      <c r="BQ1093">
        <f>'Revenue drivers'!BQ286</f>
        <v>0</v>
      </c>
      <c r="BR1093">
        <f>'Revenue drivers'!BR286</f>
        <v>0</v>
      </c>
      <c r="BS1093">
        <f>'Revenue drivers'!BS286</f>
        <v>0</v>
      </c>
      <c r="BT1093">
        <f>'Revenue drivers'!BT286</f>
        <v>0</v>
      </c>
      <c r="BU1093">
        <f>'Revenue drivers'!BU286</f>
        <v>0</v>
      </c>
      <c r="BV1093">
        <f>'Revenue drivers'!BV286</f>
        <v>0</v>
      </c>
      <c r="BW1093">
        <f>'Revenue drivers'!BW286</f>
        <v>0</v>
      </c>
      <c r="BX1093">
        <f>'Revenue drivers'!BX286</f>
        <v>0</v>
      </c>
      <c r="BY1093">
        <f>'Revenue drivers'!BY286</f>
        <v>0</v>
      </c>
    </row>
    <row r="1094" spans="9:77" ht="11.25" customHeight="1">
      <c r="I1094" t="str">
        <f>'Revenue drivers'!I287</f>
        <v>Restaurants</v>
      </c>
      <c r="J1094">
        <f>'Revenue drivers'!J287</f>
        <v>0</v>
      </c>
      <c r="K1094">
        <f>'Revenue drivers'!K287</f>
        <v>0</v>
      </c>
      <c r="L1094">
        <f>'Revenue drivers'!L287</f>
        <v>0</v>
      </c>
      <c r="M1094">
        <f>'Revenue drivers'!M287</f>
        <v>0</v>
      </c>
      <c r="N1094">
        <f>'Revenue drivers'!N287</f>
        <v>0</v>
      </c>
      <c r="O1094">
        <f>'Revenue drivers'!O287</f>
        <v>0</v>
      </c>
      <c r="P1094">
        <f>'Revenue drivers'!P287</f>
        <v>0</v>
      </c>
      <c r="Q1094">
        <f>'Revenue drivers'!Q287</f>
        <v>0</v>
      </c>
      <c r="R1094">
        <f>'Revenue drivers'!R287</f>
        <v>0</v>
      </c>
      <c r="S1094">
        <f>'Revenue drivers'!S287</f>
        <v>0</v>
      </c>
      <c r="T1094">
        <f>'Revenue drivers'!T287</f>
        <v>0</v>
      </c>
      <c r="U1094">
        <f>'Revenue drivers'!U287</f>
        <v>0</v>
      </c>
      <c r="V1094">
        <f>'Revenue drivers'!V287</f>
        <v>0</v>
      </c>
      <c r="W1094">
        <f>'Revenue drivers'!W287</f>
        <v>0</v>
      </c>
      <c r="X1094">
        <f>'Revenue drivers'!X287</f>
        <v>0</v>
      </c>
      <c r="Y1094">
        <f>'Revenue drivers'!Y287</f>
        <v>0</v>
      </c>
      <c r="Z1094">
        <f>'Revenue drivers'!Z287</f>
        <v>0</v>
      </c>
      <c r="AA1094">
        <f>'Revenue drivers'!AA287</f>
        <v>0</v>
      </c>
      <c r="AB1094">
        <f>'Revenue drivers'!AB287</f>
        <v>0</v>
      </c>
      <c r="AC1094">
        <f>'Revenue drivers'!AC287</f>
        <v>4.8438400000000001</v>
      </c>
      <c r="AD1094">
        <f>'Revenue drivers'!AD287</f>
        <v>4.5143700000000013</v>
      </c>
      <c r="AE1094">
        <f>'Revenue drivers'!AE287</f>
        <v>5.5792900000000003</v>
      </c>
      <c r="AF1094">
        <f>'Revenue drivers'!AF287</f>
        <v>5.1788899999999991</v>
      </c>
      <c r="AG1094">
        <f>'Revenue drivers'!AG287</f>
        <v>4.5448799999999991</v>
      </c>
      <c r="AH1094">
        <f>'Revenue drivers'!AH287</f>
        <v>5.5219499999999986</v>
      </c>
      <c r="AI1094">
        <f>'Revenue drivers'!AI287</f>
        <v>4.821749999999998</v>
      </c>
      <c r="AJ1094">
        <f>'Revenue drivers'!AJ287</f>
        <v>4.0549500000000016</v>
      </c>
      <c r="AK1094">
        <f>'Revenue drivers'!AK287</f>
        <v>5.4358200000000032</v>
      </c>
      <c r="AL1094">
        <f>'Revenue drivers'!AL287</f>
        <v>5.4399200000000008</v>
      </c>
      <c r="AM1094">
        <f>'Revenue drivers'!AM287</f>
        <v>7.7448000000000015</v>
      </c>
      <c r="AN1094">
        <f>'Revenue drivers'!AN287</f>
        <v>8.1944099999999978</v>
      </c>
      <c r="AO1094">
        <f>'Revenue drivers'!AO287</f>
        <v>5.4193999999999996</v>
      </c>
      <c r="AP1094">
        <f>'Revenue drivers'!AP287</f>
        <v>4.9610400000000041</v>
      </c>
      <c r="AQ1094">
        <f>'Revenue drivers'!AQ287</f>
        <v>5.4222000000000001</v>
      </c>
      <c r="AR1094">
        <f>'Revenue drivers'!AR287</f>
        <v>1.8220300000000051</v>
      </c>
      <c r="AS1094">
        <f>'Revenue drivers'!AS287</f>
        <v>0</v>
      </c>
      <c r="AT1094">
        <f>'Revenue drivers'!AT287</f>
        <v>0</v>
      </c>
      <c r="AU1094">
        <f>'Revenue drivers'!AU287</f>
        <v>0</v>
      </c>
      <c r="AV1094">
        <f>'Revenue drivers'!AV287</f>
        <v>0</v>
      </c>
      <c r="AW1094">
        <f>'Revenue drivers'!AW287</f>
        <v>0</v>
      </c>
      <c r="AX1094">
        <f>'Revenue drivers'!AX287</f>
        <v>0</v>
      </c>
      <c r="AY1094">
        <f>'Revenue drivers'!AY287</f>
        <v>0</v>
      </c>
      <c r="AZ1094">
        <f>'Revenue drivers'!AZ287</f>
        <v>0</v>
      </c>
      <c r="BA1094">
        <f>'Revenue drivers'!BA287</f>
        <v>0</v>
      </c>
      <c r="BB1094">
        <f>'Revenue drivers'!BB287</f>
        <v>0</v>
      </c>
      <c r="BC1094">
        <f>'Revenue drivers'!BC287</f>
        <v>0</v>
      </c>
      <c r="BD1094">
        <f>'Revenue drivers'!BD287</f>
        <v>0</v>
      </c>
      <c r="BE1094">
        <f>'Revenue drivers'!BE287</f>
        <v>0</v>
      </c>
      <c r="BF1094">
        <f>'Revenue drivers'!BF287</f>
        <v>0</v>
      </c>
      <c r="BG1094">
        <f>'Revenue drivers'!BG287</f>
        <v>0</v>
      </c>
      <c r="BH1094">
        <f>'Revenue drivers'!BH287</f>
        <v>0</v>
      </c>
      <c r="BI1094">
        <f>'Revenue drivers'!BI287</f>
        <v>0</v>
      </c>
      <c r="BJ1094">
        <f>'Revenue drivers'!BJ287</f>
        <v>0</v>
      </c>
      <c r="BK1094">
        <f>'Revenue drivers'!BK287</f>
        <v>0</v>
      </c>
      <c r="BL1094">
        <f>'Revenue drivers'!BL287</f>
        <v>0</v>
      </c>
      <c r="BM1094">
        <f>'Revenue drivers'!BM287</f>
        <v>0</v>
      </c>
      <c r="BN1094">
        <f>'Revenue drivers'!BN287</f>
        <v>20.116390000000003</v>
      </c>
      <c r="BO1094">
        <f>'Revenue drivers'!BO287</f>
        <v>18.943529999999988</v>
      </c>
      <c r="BP1094">
        <f>'Revenue drivers'!BP287</f>
        <v>5.4358200000000068</v>
      </c>
      <c r="BQ1094">
        <f>'Revenue drivers'!BQ287</f>
        <v>0</v>
      </c>
      <c r="BR1094">
        <f>'Revenue drivers'!BR287</f>
        <v>0</v>
      </c>
      <c r="BS1094">
        <f>'Revenue drivers'!BS287</f>
        <v>0</v>
      </c>
      <c r="BT1094">
        <f>'Revenue drivers'!BT287</f>
        <v>0</v>
      </c>
      <c r="BU1094">
        <f>'Revenue drivers'!BU287</f>
        <v>0</v>
      </c>
      <c r="BV1094">
        <f>'Revenue drivers'!BV287</f>
        <v>0</v>
      </c>
      <c r="BW1094">
        <f>'Revenue drivers'!BW287</f>
        <v>0</v>
      </c>
      <c r="BX1094">
        <f>'Revenue drivers'!BX287</f>
        <v>0</v>
      </c>
      <c r="BY1094">
        <f>'Revenue drivers'!BY287</f>
        <v>0</v>
      </c>
    </row>
    <row r="1095" spans="9:77" ht="11.25" customHeight="1">
      <c r="I1095" t="str">
        <f>'Revenue drivers'!I288</f>
        <v>Beauty &amp; Fitness</v>
      </c>
      <c r="J1095">
        <f>'Revenue drivers'!J288</f>
        <v>0</v>
      </c>
      <c r="K1095">
        <f>'Revenue drivers'!K288</f>
        <v>0</v>
      </c>
      <c r="L1095">
        <f>'Revenue drivers'!L288</f>
        <v>0</v>
      </c>
      <c r="M1095">
        <f>'Revenue drivers'!M288</f>
        <v>0</v>
      </c>
      <c r="N1095">
        <f>'Revenue drivers'!N288</f>
        <v>0</v>
      </c>
      <c r="O1095">
        <f>'Revenue drivers'!O288</f>
        <v>0</v>
      </c>
      <c r="P1095">
        <f>'Revenue drivers'!P288</f>
        <v>0</v>
      </c>
      <c r="Q1095">
        <f>'Revenue drivers'!Q288</f>
        <v>0</v>
      </c>
      <c r="R1095">
        <f>'Revenue drivers'!R288</f>
        <v>0</v>
      </c>
      <c r="S1095">
        <f>'Revenue drivers'!S288</f>
        <v>0</v>
      </c>
      <c r="T1095">
        <f>'Revenue drivers'!T288</f>
        <v>0</v>
      </c>
      <c r="U1095">
        <f>'Revenue drivers'!U288</f>
        <v>0</v>
      </c>
      <c r="V1095">
        <f>'Revenue drivers'!V288</f>
        <v>0</v>
      </c>
      <c r="W1095">
        <f>'Revenue drivers'!W288</f>
        <v>0</v>
      </c>
      <c r="X1095">
        <f>'Revenue drivers'!X288</f>
        <v>0</v>
      </c>
      <c r="Y1095">
        <f>'Revenue drivers'!Y288</f>
        <v>0</v>
      </c>
      <c r="Z1095">
        <f>'Revenue drivers'!Z288</f>
        <v>0</v>
      </c>
      <c r="AA1095">
        <f>'Revenue drivers'!AA288</f>
        <v>0</v>
      </c>
      <c r="AB1095">
        <f>'Revenue drivers'!AB288</f>
        <v>0</v>
      </c>
      <c r="AC1095">
        <f>'Revenue drivers'!AC288</f>
        <v>3.474289999999999</v>
      </c>
      <c r="AD1095">
        <f>'Revenue drivers'!AD288</f>
        <v>3.8390899999999997</v>
      </c>
      <c r="AE1095">
        <f>'Revenue drivers'!AE288</f>
        <v>4.3410699999999993</v>
      </c>
      <c r="AF1095">
        <f>'Revenue drivers'!AF288</f>
        <v>4.3941700000000008</v>
      </c>
      <c r="AG1095">
        <f>'Revenue drivers'!AG288</f>
        <v>4.601090000000001</v>
      </c>
      <c r="AH1095">
        <f>'Revenue drivers'!AH288</f>
        <v>3.5296899999999987</v>
      </c>
      <c r="AI1095">
        <f>'Revenue drivers'!AI288</f>
        <v>3.8573999999999984</v>
      </c>
      <c r="AJ1095">
        <f>'Revenue drivers'!AJ288</f>
        <v>2.9519399999999951</v>
      </c>
      <c r="AK1095">
        <f>'Revenue drivers'!AK288</f>
        <v>4.4995599999999971</v>
      </c>
      <c r="AL1095">
        <f>'Revenue drivers'!AL288</f>
        <v>5.7393600000000013</v>
      </c>
      <c r="AM1095">
        <f>'Revenue drivers'!AM288</f>
        <v>6.1958400000000005</v>
      </c>
      <c r="AN1095">
        <f>'Revenue drivers'!AN288</f>
        <v>5.6512800000000034</v>
      </c>
      <c r="AO1095">
        <f>'Revenue drivers'!AO288</f>
        <v>6.6184300000000036</v>
      </c>
      <c r="AP1095">
        <f>'Revenue drivers'!AP288</f>
        <v>6.3409600000000026</v>
      </c>
      <c r="AQ1095">
        <f>'Revenue drivers'!AQ288</f>
        <v>4.3377599999999994</v>
      </c>
      <c r="AR1095">
        <f>'Revenue drivers'!AR288</f>
        <v>3.3009900000000023</v>
      </c>
      <c r="AS1095">
        <f>'Revenue drivers'!AS288</f>
        <v>0</v>
      </c>
      <c r="AT1095">
        <f>'Revenue drivers'!AT288</f>
        <v>0</v>
      </c>
      <c r="AU1095">
        <f>'Revenue drivers'!AU288</f>
        <v>0</v>
      </c>
      <c r="AV1095">
        <f>'Revenue drivers'!AV288</f>
        <v>0</v>
      </c>
      <c r="AW1095">
        <f>'Revenue drivers'!AW288</f>
        <v>0</v>
      </c>
      <c r="AX1095">
        <f>'Revenue drivers'!AX288</f>
        <v>0</v>
      </c>
      <c r="AY1095">
        <f>'Revenue drivers'!AY288</f>
        <v>0</v>
      </c>
      <c r="AZ1095">
        <f>'Revenue drivers'!AZ288</f>
        <v>0</v>
      </c>
      <c r="BA1095">
        <f>'Revenue drivers'!BA288</f>
        <v>0</v>
      </c>
      <c r="BB1095">
        <f>'Revenue drivers'!BB288</f>
        <v>0</v>
      </c>
      <c r="BC1095">
        <f>'Revenue drivers'!BC288</f>
        <v>0</v>
      </c>
      <c r="BD1095">
        <f>'Revenue drivers'!BD288</f>
        <v>0</v>
      </c>
      <c r="BE1095">
        <f>'Revenue drivers'!BE288</f>
        <v>0</v>
      </c>
      <c r="BF1095">
        <f>'Revenue drivers'!BF288</f>
        <v>0</v>
      </c>
      <c r="BG1095">
        <f>'Revenue drivers'!BG288</f>
        <v>0</v>
      </c>
      <c r="BH1095">
        <f>'Revenue drivers'!BH288</f>
        <v>0</v>
      </c>
      <c r="BI1095">
        <f>'Revenue drivers'!BI288</f>
        <v>0</v>
      </c>
      <c r="BJ1095">
        <f>'Revenue drivers'!BJ288</f>
        <v>0</v>
      </c>
      <c r="BK1095">
        <f>'Revenue drivers'!BK288</f>
        <v>0</v>
      </c>
      <c r="BL1095">
        <f>'Revenue drivers'!BL288</f>
        <v>0</v>
      </c>
      <c r="BM1095">
        <f>'Revenue drivers'!BM288</f>
        <v>0</v>
      </c>
      <c r="BN1095">
        <f>'Revenue drivers'!BN288</f>
        <v>16.048619999999993</v>
      </c>
      <c r="BO1095">
        <f>'Revenue drivers'!BO288</f>
        <v>14.940119999999993</v>
      </c>
      <c r="BP1095">
        <f>'Revenue drivers'!BP288</f>
        <v>4.4995599999999953</v>
      </c>
      <c r="BQ1095">
        <f>'Revenue drivers'!BQ288</f>
        <v>0</v>
      </c>
      <c r="BR1095">
        <f>'Revenue drivers'!BR288</f>
        <v>0</v>
      </c>
      <c r="BS1095">
        <f>'Revenue drivers'!BS288</f>
        <v>0</v>
      </c>
      <c r="BT1095">
        <f>'Revenue drivers'!BT288</f>
        <v>0</v>
      </c>
      <c r="BU1095">
        <f>'Revenue drivers'!BU288</f>
        <v>0</v>
      </c>
      <c r="BV1095">
        <f>'Revenue drivers'!BV288</f>
        <v>0</v>
      </c>
      <c r="BW1095">
        <f>'Revenue drivers'!BW288</f>
        <v>0</v>
      </c>
      <c r="BX1095">
        <f>'Revenue drivers'!BX288</f>
        <v>0</v>
      </c>
      <c r="BY1095">
        <f>'Revenue drivers'!BY288</f>
        <v>0</v>
      </c>
    </row>
    <row r="1096" spans="9:77" ht="11.25" customHeight="1">
      <c r="I1096" t="str">
        <f>'Revenue drivers'!I289</f>
        <v>Shopping</v>
      </c>
      <c r="J1096">
        <f>'Revenue drivers'!J289</f>
        <v>0</v>
      </c>
      <c r="K1096">
        <f>'Revenue drivers'!K289</f>
        <v>0</v>
      </c>
      <c r="L1096">
        <f>'Revenue drivers'!L289</f>
        <v>0</v>
      </c>
      <c r="M1096">
        <f>'Revenue drivers'!M289</f>
        <v>0</v>
      </c>
      <c r="N1096">
        <f>'Revenue drivers'!N289</f>
        <v>0</v>
      </c>
      <c r="O1096">
        <f>'Revenue drivers'!O289</f>
        <v>0</v>
      </c>
      <c r="P1096">
        <f>'Revenue drivers'!P289</f>
        <v>0</v>
      </c>
      <c r="Q1096">
        <f>'Revenue drivers'!Q289</f>
        <v>0</v>
      </c>
      <c r="R1096">
        <f>'Revenue drivers'!R289</f>
        <v>0</v>
      </c>
      <c r="S1096">
        <f>'Revenue drivers'!S289</f>
        <v>0</v>
      </c>
      <c r="T1096">
        <f>'Revenue drivers'!T289</f>
        <v>0</v>
      </c>
      <c r="U1096">
        <f>'Revenue drivers'!U289</f>
        <v>0</v>
      </c>
      <c r="V1096">
        <f>'Revenue drivers'!V289</f>
        <v>0</v>
      </c>
      <c r="W1096">
        <f>'Revenue drivers'!W289</f>
        <v>0</v>
      </c>
      <c r="X1096">
        <f>'Revenue drivers'!X289</f>
        <v>0</v>
      </c>
      <c r="Y1096">
        <f>'Revenue drivers'!Y289</f>
        <v>0</v>
      </c>
      <c r="Z1096">
        <f>'Revenue drivers'!Z289</f>
        <v>0</v>
      </c>
      <c r="AA1096">
        <f>'Revenue drivers'!AA289</f>
        <v>0</v>
      </c>
      <c r="AB1096">
        <f>'Revenue drivers'!AB289</f>
        <v>0</v>
      </c>
      <c r="AC1096">
        <f>'Revenue drivers'!AC289</f>
        <v>2.868809999999999</v>
      </c>
      <c r="AD1096">
        <f>'Revenue drivers'!AD289</f>
        <v>3.7140400000000016</v>
      </c>
      <c r="AE1096">
        <f>'Revenue drivers'!AE289</f>
        <v>4.5401400000000001</v>
      </c>
      <c r="AF1096">
        <f>'Revenue drivers'!AF289</f>
        <v>5.0224699999999993</v>
      </c>
      <c r="AG1096">
        <f>'Revenue drivers'!AG289</f>
        <v>3.8932300000000009</v>
      </c>
      <c r="AH1096">
        <f>'Revenue drivers'!AH289</f>
        <v>4.0494299999999974</v>
      </c>
      <c r="AI1096">
        <f>'Revenue drivers'!AI289</f>
        <v>2.1899500000000014</v>
      </c>
      <c r="AJ1096">
        <f>'Revenue drivers'!AJ289</f>
        <v>2.5824300000000004</v>
      </c>
      <c r="AK1096">
        <f>'Revenue drivers'!AK289</f>
        <v>3.5632999999999999</v>
      </c>
      <c r="AL1096">
        <f>'Revenue drivers'!AL289</f>
        <v>1.7925199999999997</v>
      </c>
      <c r="AM1096">
        <f>'Revenue drivers'!AM289</f>
        <v>5.1631999999999998</v>
      </c>
      <c r="AN1096">
        <f>'Revenue drivers'!AN289</f>
        <v>2.8616399999999995</v>
      </c>
      <c r="AO1096">
        <f>'Revenue drivers'!AO289</f>
        <v>1.8977700000000013</v>
      </c>
      <c r="AP1096">
        <f>'Revenue drivers'!AP289</f>
        <v>3.1892400000000016</v>
      </c>
      <c r="AQ1096">
        <f>'Revenue drivers'!AQ289</f>
        <v>1.3909999999999982</v>
      </c>
      <c r="AR1096">
        <f>'Revenue drivers'!AR289</f>
        <v>2.1105000000000018</v>
      </c>
      <c r="AS1096">
        <f>'Revenue drivers'!AS289</f>
        <v>0</v>
      </c>
      <c r="AT1096">
        <f>'Revenue drivers'!AT289</f>
        <v>0</v>
      </c>
      <c r="AU1096">
        <f>'Revenue drivers'!AU289</f>
        <v>0</v>
      </c>
      <c r="AV1096">
        <f>'Revenue drivers'!AV289</f>
        <v>0</v>
      </c>
      <c r="AW1096">
        <f>'Revenue drivers'!AW289</f>
        <v>0</v>
      </c>
      <c r="AX1096">
        <f>'Revenue drivers'!AX289</f>
        <v>0</v>
      </c>
      <c r="AY1096">
        <f>'Revenue drivers'!AY289</f>
        <v>0</v>
      </c>
      <c r="AZ1096">
        <f>'Revenue drivers'!AZ289</f>
        <v>0</v>
      </c>
      <c r="BA1096">
        <f>'Revenue drivers'!BA289</f>
        <v>0</v>
      </c>
      <c r="BB1096">
        <f>'Revenue drivers'!BB289</f>
        <v>0</v>
      </c>
      <c r="BC1096">
        <f>'Revenue drivers'!BC289</f>
        <v>0</v>
      </c>
      <c r="BD1096">
        <f>'Revenue drivers'!BD289</f>
        <v>0</v>
      </c>
      <c r="BE1096">
        <f>'Revenue drivers'!BE289</f>
        <v>0</v>
      </c>
      <c r="BF1096">
        <f>'Revenue drivers'!BF289</f>
        <v>0</v>
      </c>
      <c r="BG1096">
        <f>'Revenue drivers'!BG289</f>
        <v>0</v>
      </c>
      <c r="BH1096">
        <f>'Revenue drivers'!BH289</f>
        <v>0</v>
      </c>
      <c r="BI1096">
        <f>'Revenue drivers'!BI289</f>
        <v>0</v>
      </c>
      <c r="BJ1096">
        <f>'Revenue drivers'!BJ289</f>
        <v>0</v>
      </c>
      <c r="BK1096">
        <f>'Revenue drivers'!BK289</f>
        <v>0</v>
      </c>
      <c r="BL1096">
        <f>'Revenue drivers'!BL289</f>
        <v>0</v>
      </c>
      <c r="BM1096">
        <f>'Revenue drivers'!BM289</f>
        <v>0</v>
      </c>
      <c r="BN1096">
        <f>'Revenue drivers'!BN289</f>
        <v>16.145459999999996</v>
      </c>
      <c r="BO1096">
        <f>'Revenue drivers'!BO289</f>
        <v>12.715040000000002</v>
      </c>
      <c r="BP1096">
        <f>'Revenue drivers'!BP289</f>
        <v>3.5632999999999981</v>
      </c>
      <c r="BQ1096">
        <f>'Revenue drivers'!BQ289</f>
        <v>0</v>
      </c>
      <c r="BR1096">
        <f>'Revenue drivers'!BR289</f>
        <v>0</v>
      </c>
      <c r="BS1096">
        <f>'Revenue drivers'!BS289</f>
        <v>0</v>
      </c>
      <c r="BT1096">
        <f>'Revenue drivers'!BT289</f>
        <v>0</v>
      </c>
      <c r="BU1096">
        <f>'Revenue drivers'!BU289</f>
        <v>0</v>
      </c>
      <c r="BV1096">
        <f>'Revenue drivers'!BV289</f>
        <v>0</v>
      </c>
      <c r="BW1096">
        <f>'Revenue drivers'!BW289</f>
        <v>0</v>
      </c>
      <c r="BX1096">
        <f>'Revenue drivers'!BX289</f>
        <v>0</v>
      </c>
      <c r="BY1096">
        <f>'Revenue drivers'!BY289</f>
        <v>0</v>
      </c>
    </row>
    <row r="1097" spans="9:77" ht="11.25" customHeight="1">
      <c r="I1097" t="str">
        <f>'Revenue drivers'!I290</f>
        <v>Health</v>
      </c>
      <c r="J1097">
        <f>'Revenue drivers'!J290</f>
        <v>0</v>
      </c>
      <c r="K1097">
        <f>'Revenue drivers'!K290</f>
        <v>0</v>
      </c>
      <c r="L1097">
        <f>'Revenue drivers'!L290</f>
        <v>0</v>
      </c>
      <c r="M1097">
        <f>'Revenue drivers'!M290</f>
        <v>0</v>
      </c>
      <c r="N1097">
        <f>'Revenue drivers'!N290</f>
        <v>0</v>
      </c>
      <c r="O1097">
        <f>'Revenue drivers'!O290</f>
        <v>0</v>
      </c>
      <c r="P1097">
        <f>'Revenue drivers'!P290</f>
        <v>0</v>
      </c>
      <c r="Q1097">
        <f>'Revenue drivers'!Q290</f>
        <v>0</v>
      </c>
      <c r="R1097">
        <f>'Revenue drivers'!R290</f>
        <v>0</v>
      </c>
      <c r="S1097">
        <f>'Revenue drivers'!S290</f>
        <v>0</v>
      </c>
      <c r="T1097">
        <f>'Revenue drivers'!T290</f>
        <v>0</v>
      </c>
      <c r="U1097">
        <f>'Revenue drivers'!U290</f>
        <v>0</v>
      </c>
      <c r="V1097">
        <f>'Revenue drivers'!V290</f>
        <v>0</v>
      </c>
      <c r="W1097">
        <f>'Revenue drivers'!W290</f>
        <v>0</v>
      </c>
      <c r="X1097">
        <f>'Revenue drivers'!X290</f>
        <v>0</v>
      </c>
      <c r="Y1097">
        <f>'Revenue drivers'!Y290</f>
        <v>0</v>
      </c>
      <c r="Z1097">
        <f>'Revenue drivers'!Z290</f>
        <v>0</v>
      </c>
      <c r="AA1097">
        <f>'Revenue drivers'!AA290</f>
        <v>0</v>
      </c>
      <c r="AB1097">
        <f>'Revenue drivers'!AB290</f>
        <v>0</v>
      </c>
      <c r="AC1097">
        <f>'Revenue drivers'!AC290</f>
        <v>3.3301399999999992</v>
      </c>
      <c r="AD1097">
        <f>'Revenue drivers'!AD290</f>
        <v>4.0516800000000011</v>
      </c>
      <c r="AE1097">
        <f>'Revenue drivers'!AE290</f>
        <v>3.9283299999999999</v>
      </c>
      <c r="AF1097">
        <f>'Revenue drivers'!AF290</f>
        <v>4.3159599999999996</v>
      </c>
      <c r="AG1097">
        <f>'Revenue drivers'!AG290</f>
        <v>3.8932300000000009</v>
      </c>
      <c r="AH1097">
        <f>'Revenue drivers'!AH290</f>
        <v>3.1615599999999979</v>
      </c>
      <c r="AI1097">
        <f>'Revenue drivers'!AI290</f>
        <v>3.5359499999999997</v>
      </c>
      <c r="AJ1097">
        <f>'Revenue drivers'!AJ290</f>
        <v>4.049430000000001</v>
      </c>
      <c r="AK1097">
        <f>'Revenue drivers'!AK290</f>
        <v>5.1494300000000006</v>
      </c>
      <c r="AL1097">
        <f>'Revenue drivers'!AL290</f>
        <v>5.2610799999999998</v>
      </c>
      <c r="AM1097">
        <f>'Revenue drivers'!AM290</f>
        <v>3.8172000000000015</v>
      </c>
      <c r="AN1097">
        <f>'Revenue drivers'!AN290</f>
        <v>5.2905599999999993</v>
      </c>
      <c r="AO1097">
        <f>'Revenue drivers'!AO290</f>
        <v>4.2580999999999989</v>
      </c>
      <c r="AP1097">
        <f>'Revenue drivers'!AP290</f>
        <v>3.8979600000000012</v>
      </c>
      <c r="AQ1097">
        <f>'Revenue drivers'!AQ290</f>
        <v>5.8385999999999996</v>
      </c>
      <c r="AR1097">
        <f>'Revenue drivers'!AR290</f>
        <v>2.579500000000003</v>
      </c>
      <c r="AS1097">
        <f>'Revenue drivers'!AS290</f>
        <v>0</v>
      </c>
      <c r="AT1097">
        <f>'Revenue drivers'!AT290</f>
        <v>0</v>
      </c>
      <c r="AU1097">
        <f>'Revenue drivers'!AU290</f>
        <v>0</v>
      </c>
      <c r="AV1097">
        <f>'Revenue drivers'!AV290</f>
        <v>0</v>
      </c>
      <c r="AW1097">
        <f>'Revenue drivers'!AW290</f>
        <v>0</v>
      </c>
      <c r="AX1097">
        <f>'Revenue drivers'!AX290</f>
        <v>0</v>
      </c>
      <c r="AY1097">
        <f>'Revenue drivers'!AY290</f>
        <v>0</v>
      </c>
      <c r="AZ1097">
        <f>'Revenue drivers'!AZ290</f>
        <v>0</v>
      </c>
      <c r="BA1097">
        <f>'Revenue drivers'!BA290</f>
        <v>0</v>
      </c>
      <c r="BB1097">
        <f>'Revenue drivers'!BB290</f>
        <v>0</v>
      </c>
      <c r="BC1097">
        <f>'Revenue drivers'!BC290</f>
        <v>0</v>
      </c>
      <c r="BD1097">
        <f>'Revenue drivers'!BD290</f>
        <v>0</v>
      </c>
      <c r="BE1097">
        <f>'Revenue drivers'!BE290</f>
        <v>0</v>
      </c>
      <c r="BF1097">
        <f>'Revenue drivers'!BF290</f>
        <v>0</v>
      </c>
      <c r="BG1097">
        <f>'Revenue drivers'!BG290</f>
        <v>0</v>
      </c>
      <c r="BH1097">
        <f>'Revenue drivers'!BH290</f>
        <v>0</v>
      </c>
      <c r="BI1097">
        <f>'Revenue drivers'!BI290</f>
        <v>0</v>
      </c>
      <c r="BJ1097">
        <f>'Revenue drivers'!BJ290</f>
        <v>0</v>
      </c>
      <c r="BK1097">
        <f>'Revenue drivers'!BK290</f>
        <v>0</v>
      </c>
      <c r="BL1097">
        <f>'Revenue drivers'!BL290</f>
        <v>0</v>
      </c>
      <c r="BM1097">
        <f>'Revenue drivers'!BM290</f>
        <v>0</v>
      </c>
      <c r="BN1097">
        <f>'Revenue drivers'!BN290</f>
        <v>15.626110000000001</v>
      </c>
      <c r="BO1097">
        <f>'Revenue drivers'!BO290</f>
        <v>14.640169999999998</v>
      </c>
      <c r="BP1097">
        <f>'Revenue drivers'!BP290</f>
        <v>5.1494300000000024</v>
      </c>
      <c r="BQ1097">
        <f>'Revenue drivers'!BQ290</f>
        <v>0</v>
      </c>
      <c r="BR1097">
        <f>'Revenue drivers'!BR290</f>
        <v>0</v>
      </c>
      <c r="BS1097">
        <f>'Revenue drivers'!BS290</f>
        <v>0</v>
      </c>
      <c r="BT1097">
        <f>'Revenue drivers'!BT290</f>
        <v>0</v>
      </c>
      <c r="BU1097">
        <f>'Revenue drivers'!BU290</f>
        <v>0</v>
      </c>
      <c r="BV1097">
        <f>'Revenue drivers'!BV290</f>
        <v>0</v>
      </c>
      <c r="BW1097">
        <f>'Revenue drivers'!BW290</f>
        <v>0</v>
      </c>
      <c r="BX1097">
        <f>'Revenue drivers'!BX290</f>
        <v>0</v>
      </c>
      <c r="BY1097">
        <f>'Revenue drivers'!BY290</f>
        <v>0</v>
      </c>
    </row>
    <row r="1098" spans="9:77" ht="11.25" customHeight="1">
      <c r="I1098" t="str">
        <f>'Revenue drivers'!I291</f>
        <v>Other</v>
      </c>
      <c r="J1098">
        <f>'Revenue drivers'!J291</f>
        <v>0</v>
      </c>
      <c r="K1098">
        <f>'Revenue drivers'!K291</f>
        <v>0</v>
      </c>
      <c r="L1098">
        <f>'Revenue drivers'!L291</f>
        <v>0</v>
      </c>
      <c r="M1098">
        <f>'Revenue drivers'!M291</f>
        <v>0</v>
      </c>
      <c r="N1098">
        <f>'Revenue drivers'!N291</f>
        <v>0</v>
      </c>
      <c r="O1098">
        <f>'Revenue drivers'!O291</f>
        <v>0</v>
      </c>
      <c r="P1098">
        <f>'Revenue drivers'!P291</f>
        <v>0</v>
      </c>
      <c r="Q1098">
        <f>'Revenue drivers'!Q291</f>
        <v>0</v>
      </c>
      <c r="R1098">
        <f>'Revenue drivers'!R291</f>
        <v>0</v>
      </c>
      <c r="S1098">
        <f>'Revenue drivers'!S291</f>
        <v>0</v>
      </c>
      <c r="T1098">
        <f>'Revenue drivers'!T291</f>
        <v>0</v>
      </c>
      <c r="U1098">
        <f>'Revenue drivers'!U291</f>
        <v>0</v>
      </c>
      <c r="V1098">
        <f>'Revenue drivers'!V291</f>
        <v>0</v>
      </c>
      <c r="W1098">
        <f>'Revenue drivers'!W291</f>
        <v>0</v>
      </c>
      <c r="X1098">
        <f>'Revenue drivers'!X291</f>
        <v>0</v>
      </c>
      <c r="Y1098">
        <f>'Revenue drivers'!Y291</f>
        <v>0</v>
      </c>
      <c r="Z1098">
        <f>'Revenue drivers'!Z291</f>
        <v>0</v>
      </c>
      <c r="AA1098">
        <f>'Revenue drivers'!AA291</f>
        <v>0</v>
      </c>
      <c r="AB1098">
        <f>'Revenue drivers'!AB291</f>
        <v>0</v>
      </c>
      <c r="AC1098">
        <f>'Revenue drivers'!AC291</f>
        <v>6.8044299999999982</v>
      </c>
      <c r="AD1098">
        <f>'Revenue drivers'!AD291</f>
        <v>7.7657200000000017</v>
      </c>
      <c r="AE1098">
        <f>'Revenue drivers'!AE291</f>
        <v>10.93031</v>
      </c>
      <c r="AF1098">
        <f>'Revenue drivers'!AF291</f>
        <v>8.7101299999999995</v>
      </c>
      <c r="AG1098">
        <f>'Revenue drivers'!AG291</f>
        <v>8.4943199999999983</v>
      </c>
      <c r="AH1098">
        <f>'Revenue drivers'!AH291</f>
        <v>8.4669899999999991</v>
      </c>
      <c r="AI1098">
        <f>'Revenue drivers'!AI291</f>
        <v>6.6902499999999954</v>
      </c>
      <c r="AJ1098">
        <f>'Revenue drivers'!AJ291</f>
        <v>10.302119999999999</v>
      </c>
      <c r="AK1098">
        <f>'Revenue drivers'!AK291</f>
        <v>11.235119999999998</v>
      </c>
      <c r="AL1098">
        <f>'Revenue drivers'!AL291</f>
        <v>12.734719999999999</v>
      </c>
      <c r="AM1098">
        <f>'Revenue drivers'!AM291</f>
        <v>10.529360000000004</v>
      </c>
      <c r="AN1098">
        <f>'Revenue drivers'!AN291</f>
        <v>10.076039999999999</v>
      </c>
      <c r="AO1098">
        <f>'Revenue drivers'!AO291</f>
        <v>7.3171700000000115</v>
      </c>
      <c r="AP1098">
        <f>'Revenue drivers'!AP291</f>
        <v>4.3273599999999988</v>
      </c>
      <c r="AQ1098">
        <f>'Revenue drivers'!AQ291</f>
        <v>6.0902400000000014</v>
      </c>
      <c r="AR1098">
        <f>'Revenue drivers'!AR291</f>
        <v>3.4455400000000083</v>
      </c>
      <c r="AS1098" t="e">
        <f>'Revenue drivers'!AS291</f>
        <v>#REF!</v>
      </c>
      <c r="AT1098" t="e">
        <f>'Revenue drivers'!AT291</f>
        <v>#REF!</v>
      </c>
      <c r="AU1098" t="e">
        <f>'Revenue drivers'!AU291</f>
        <v>#REF!</v>
      </c>
      <c r="AV1098" t="e">
        <f>'Revenue drivers'!AV291</f>
        <v>#REF!</v>
      </c>
      <c r="AW1098" t="e">
        <f>'Revenue drivers'!AW291</f>
        <v>#REF!</v>
      </c>
      <c r="AX1098" t="e">
        <f>'Revenue drivers'!AX291</f>
        <v>#REF!</v>
      </c>
      <c r="AY1098" t="e">
        <f>'Revenue drivers'!AY291</f>
        <v>#REF!</v>
      </c>
      <c r="AZ1098" t="e">
        <f>'Revenue drivers'!AZ291</f>
        <v>#REF!</v>
      </c>
      <c r="BA1098" t="e">
        <f>'Revenue drivers'!BA291</f>
        <v>#REF!</v>
      </c>
      <c r="BB1098" t="e">
        <f>'Revenue drivers'!BB291</f>
        <v>#REF!</v>
      </c>
      <c r="BC1098" t="e">
        <f>'Revenue drivers'!BC291</f>
        <v>#REF!</v>
      </c>
      <c r="BD1098" t="e">
        <f>'Revenue drivers'!BD291</f>
        <v>#REF!</v>
      </c>
      <c r="BE1098">
        <f>'Revenue drivers'!BE291</f>
        <v>0</v>
      </c>
      <c r="BF1098">
        <f>'Revenue drivers'!BF291</f>
        <v>0</v>
      </c>
      <c r="BG1098">
        <f>'Revenue drivers'!BG291</f>
        <v>0</v>
      </c>
      <c r="BH1098">
        <f>'Revenue drivers'!BH291</f>
        <v>0</v>
      </c>
      <c r="BI1098">
        <f>'Revenue drivers'!BI291</f>
        <v>0</v>
      </c>
      <c r="BJ1098">
        <f>'Revenue drivers'!BJ291</f>
        <v>0</v>
      </c>
      <c r="BK1098">
        <f>'Revenue drivers'!BK291</f>
        <v>0</v>
      </c>
      <c r="BL1098">
        <f>'Revenue drivers'!BL291</f>
        <v>0</v>
      </c>
      <c r="BM1098">
        <f>'Revenue drivers'!BM291</f>
        <v>0</v>
      </c>
      <c r="BN1098">
        <f>'Revenue drivers'!BN291</f>
        <v>34.210589999999996</v>
      </c>
      <c r="BO1098">
        <f>'Revenue drivers'!BO291</f>
        <v>33.953680000000006</v>
      </c>
      <c r="BP1098">
        <f>'Revenue drivers'!BP291</f>
        <v>11.235119999999981</v>
      </c>
      <c r="BQ1098">
        <f>'Revenue drivers'!BQ291</f>
        <v>0</v>
      </c>
      <c r="BR1098">
        <f>'Revenue drivers'!BR291</f>
        <v>0</v>
      </c>
      <c r="BS1098">
        <f>'Revenue drivers'!BS291</f>
        <v>0</v>
      </c>
      <c r="BT1098">
        <f>'Revenue drivers'!BT291</f>
        <v>0</v>
      </c>
      <c r="BU1098">
        <f>'Revenue drivers'!BU291</f>
        <v>0</v>
      </c>
      <c r="BV1098">
        <f>'Revenue drivers'!BV291</f>
        <v>0</v>
      </c>
      <c r="BW1098">
        <f>'Revenue drivers'!BW291</f>
        <v>0</v>
      </c>
      <c r="BX1098">
        <f>'Revenue drivers'!BX291</f>
        <v>0</v>
      </c>
      <c r="BY1098">
        <f>'Revenue drivers'!BY291</f>
        <v>0</v>
      </c>
    </row>
    <row r="1099" spans="9:77" ht="11.25" customHeight="1">
      <c r="I1099" t="str">
        <f>'Revenue drivers'!I292</f>
        <v>Total</v>
      </c>
      <c r="J1099">
        <f>'Revenue drivers'!J292</f>
        <v>0</v>
      </c>
      <c r="K1099">
        <f>'Revenue drivers'!K292</f>
        <v>0</v>
      </c>
      <c r="L1099">
        <f>'Revenue drivers'!L292</f>
        <v>0</v>
      </c>
      <c r="M1099">
        <f>'Revenue drivers'!M292</f>
        <v>0</v>
      </c>
      <c r="N1099">
        <f>'Revenue drivers'!N292</f>
        <v>0</v>
      </c>
      <c r="O1099">
        <f>'Revenue drivers'!O292</f>
        <v>0</v>
      </c>
      <c r="P1099">
        <f>'Revenue drivers'!P292</f>
        <v>0</v>
      </c>
      <c r="Q1099">
        <f>'Revenue drivers'!Q292</f>
        <v>0</v>
      </c>
      <c r="R1099">
        <f>'Revenue drivers'!R292</f>
        <v>0</v>
      </c>
      <c r="S1099">
        <f>'Revenue drivers'!S292</f>
        <v>0</v>
      </c>
      <c r="T1099">
        <f>'Revenue drivers'!T292</f>
        <v>0</v>
      </c>
      <c r="U1099">
        <f>'Revenue drivers'!U292</f>
        <v>0</v>
      </c>
      <c r="V1099">
        <f>'Revenue drivers'!V292</f>
        <v>0</v>
      </c>
      <c r="W1099">
        <f>'Revenue drivers'!W292</f>
        <v>0</v>
      </c>
      <c r="X1099">
        <f>'Revenue drivers'!X292</f>
        <v>0</v>
      </c>
      <c r="Y1099">
        <f>'Revenue drivers'!Y292</f>
        <v>0</v>
      </c>
      <c r="Z1099">
        <f>'Revenue drivers'!Z292</f>
        <v>0</v>
      </c>
      <c r="AA1099">
        <f>'Revenue drivers'!AA292</f>
        <v>0</v>
      </c>
      <c r="AB1099">
        <f>'Revenue drivers'!AB292</f>
        <v>0</v>
      </c>
      <c r="AC1099">
        <f>'Revenue drivers'!AC292</f>
        <v>30.273999999999994</v>
      </c>
      <c r="AD1099">
        <f>'Revenue drivers'!AD292</f>
        <v>33.764000000000003</v>
      </c>
      <c r="AE1099">
        <f>'Revenue drivers'!AE292</f>
        <v>41.274000000000001</v>
      </c>
      <c r="AF1099">
        <f>'Revenue drivers'!AF292</f>
        <v>39.23599999999999</v>
      </c>
      <c r="AG1099">
        <f>'Revenue drivers'!AG292</f>
        <v>35.393000000000001</v>
      </c>
      <c r="AH1099">
        <f>'Revenue drivers'!AH292</f>
        <v>36.813000000000002</v>
      </c>
      <c r="AI1099">
        <f>'Revenue drivers'!AI292</f>
        <v>32.144999999999996</v>
      </c>
      <c r="AJ1099" t="e">
        <f>'Revenue drivers'!AJ292</f>
        <v>#REF!</v>
      </c>
      <c r="AK1099" t="e">
        <f>'Revenue drivers'!AK292</f>
        <v>#REF!</v>
      </c>
      <c r="AL1099" t="e">
        <f>'Revenue drivers'!AL292</f>
        <v>#REF!</v>
      </c>
      <c r="AM1099" t="e">
        <f>'Revenue drivers'!AM292</f>
        <v>#REF!</v>
      </c>
      <c r="AN1099" t="e">
        <f>'Revenue drivers'!AN292</f>
        <v>#REF!</v>
      </c>
      <c r="AO1099" t="e">
        <f>'Revenue drivers'!AO292</f>
        <v>#REF!</v>
      </c>
      <c r="AP1099" t="e">
        <f>'Revenue drivers'!AP292</f>
        <v>#REF!</v>
      </c>
      <c r="AQ1099" t="e">
        <f>'Revenue drivers'!AQ292</f>
        <v>#REF!</v>
      </c>
      <c r="AR1099" t="e">
        <f>'Revenue drivers'!AR292</f>
        <v>#REF!</v>
      </c>
      <c r="AS1099" t="e">
        <f>'Revenue drivers'!AS292</f>
        <v>#REF!</v>
      </c>
      <c r="AT1099" t="e">
        <f>'Revenue drivers'!AT292</f>
        <v>#REF!</v>
      </c>
      <c r="AU1099" t="e">
        <f>'Revenue drivers'!AU292</f>
        <v>#REF!</v>
      </c>
      <c r="AV1099" t="e">
        <f>'Revenue drivers'!AV292</f>
        <v>#REF!</v>
      </c>
      <c r="AW1099" t="e">
        <f>'Revenue drivers'!AW292</f>
        <v>#REF!</v>
      </c>
      <c r="AX1099" t="e">
        <f>'Revenue drivers'!AX292</f>
        <v>#REF!</v>
      </c>
      <c r="AY1099" t="e">
        <f>'Revenue drivers'!AY292</f>
        <v>#REF!</v>
      </c>
      <c r="AZ1099" t="e">
        <f>'Revenue drivers'!AZ292</f>
        <v>#REF!</v>
      </c>
      <c r="BA1099" t="e">
        <f>'Revenue drivers'!BA292</f>
        <v>#REF!</v>
      </c>
      <c r="BB1099" t="e">
        <f>'Revenue drivers'!BB292</f>
        <v>#REF!</v>
      </c>
      <c r="BC1099" t="e">
        <f>'Revenue drivers'!BC292</f>
        <v>#REF!</v>
      </c>
      <c r="BD1099" t="e">
        <f>'Revenue drivers'!BD292</f>
        <v>#REF!</v>
      </c>
      <c r="BE1099">
        <f>'Revenue drivers'!BE292</f>
        <v>0</v>
      </c>
      <c r="BF1099">
        <f>'Revenue drivers'!BF292</f>
        <v>0</v>
      </c>
      <c r="BG1099">
        <f>'Revenue drivers'!BG292</f>
        <v>0</v>
      </c>
      <c r="BH1099">
        <f>'Revenue drivers'!BH292</f>
        <v>0</v>
      </c>
      <c r="BI1099">
        <f>'Revenue drivers'!BI292</f>
        <v>0</v>
      </c>
      <c r="BJ1099">
        <f>'Revenue drivers'!BJ292</f>
        <v>0</v>
      </c>
      <c r="BK1099">
        <f>'Revenue drivers'!BK292</f>
        <v>0</v>
      </c>
      <c r="BL1099">
        <f>'Revenue drivers'!BL292</f>
        <v>0</v>
      </c>
      <c r="BM1099">
        <f>'Revenue drivers'!BM292</f>
        <v>0</v>
      </c>
      <c r="BN1099">
        <f>'Revenue drivers'!BN292</f>
        <v>144.548</v>
      </c>
      <c r="BO1099">
        <f>'Revenue drivers'!BO292</f>
        <v>140.79724999999991</v>
      </c>
      <c r="BP1099">
        <f>'Revenue drivers'!BP292</f>
        <v>46.813000000000102</v>
      </c>
      <c r="BQ1099">
        <f>'Revenue drivers'!BQ292</f>
        <v>0</v>
      </c>
      <c r="BR1099">
        <f>'Revenue drivers'!BR292</f>
        <v>0</v>
      </c>
      <c r="BS1099">
        <f>'Revenue drivers'!BS292</f>
        <v>0</v>
      </c>
      <c r="BT1099">
        <f>'Revenue drivers'!BT292</f>
        <v>0</v>
      </c>
      <c r="BU1099">
        <f>'Revenue drivers'!BU292</f>
        <v>0</v>
      </c>
      <c r="BV1099">
        <f>'Revenue drivers'!BV292</f>
        <v>0</v>
      </c>
      <c r="BW1099">
        <f>'Revenue drivers'!BW292</f>
        <v>0</v>
      </c>
      <c r="BX1099">
        <f>'Revenue drivers'!BX292</f>
        <v>0</v>
      </c>
      <c r="BY1099">
        <f>'Revenue drivers'!BY292</f>
        <v>0</v>
      </c>
    </row>
    <row r="1100" spans="9:77" ht="11.25" customHeight="1">
      <c r="I1100">
        <f>'Revenue drivers'!I293</f>
        <v>0</v>
      </c>
      <c r="J1100">
        <f>'Revenue drivers'!J293</f>
        <v>0</v>
      </c>
      <c r="K1100">
        <f>'Revenue drivers'!K293</f>
        <v>0</v>
      </c>
      <c r="L1100">
        <f>'Revenue drivers'!L293</f>
        <v>0</v>
      </c>
      <c r="M1100">
        <f>'Revenue drivers'!M293</f>
        <v>0</v>
      </c>
      <c r="N1100">
        <f>'Revenue drivers'!N293</f>
        <v>0</v>
      </c>
      <c r="O1100">
        <f>'Revenue drivers'!O293</f>
        <v>0</v>
      </c>
      <c r="P1100">
        <f>'Revenue drivers'!P293</f>
        <v>0</v>
      </c>
      <c r="Q1100">
        <f>'Revenue drivers'!Q293</f>
        <v>0</v>
      </c>
      <c r="R1100">
        <f>'Revenue drivers'!R293</f>
        <v>0</v>
      </c>
      <c r="S1100">
        <f>'Revenue drivers'!S293</f>
        <v>0</v>
      </c>
      <c r="T1100">
        <f>'Revenue drivers'!T293</f>
        <v>0</v>
      </c>
      <c r="U1100">
        <f>'Revenue drivers'!U293</f>
        <v>0</v>
      </c>
      <c r="V1100">
        <f>'Revenue drivers'!V293</f>
        <v>0</v>
      </c>
      <c r="W1100">
        <f>'Revenue drivers'!W293</f>
        <v>0</v>
      </c>
      <c r="X1100">
        <f>'Revenue drivers'!X293</f>
        <v>0</v>
      </c>
      <c r="Y1100">
        <f>'Revenue drivers'!Y293</f>
        <v>0</v>
      </c>
      <c r="Z1100">
        <f>'Revenue drivers'!Z293</f>
        <v>0</v>
      </c>
      <c r="AA1100">
        <f>'Revenue drivers'!AA293</f>
        <v>0</v>
      </c>
      <c r="AB1100">
        <f>'Revenue drivers'!AB293</f>
        <v>0</v>
      </c>
      <c r="AC1100">
        <f>'Revenue drivers'!AC293</f>
        <v>0</v>
      </c>
      <c r="AD1100">
        <f>'Revenue drivers'!AD293</f>
        <v>0</v>
      </c>
      <c r="AE1100">
        <f>'Revenue drivers'!AE293</f>
        <v>0</v>
      </c>
      <c r="AF1100">
        <f>'Revenue drivers'!AF293</f>
        <v>0</v>
      </c>
      <c r="AG1100">
        <f>'Revenue drivers'!AG293</f>
        <v>0</v>
      </c>
      <c r="AH1100">
        <f>'Revenue drivers'!AH293</f>
        <v>0</v>
      </c>
      <c r="AI1100">
        <f>'Revenue drivers'!AI293</f>
        <v>0</v>
      </c>
      <c r="AJ1100">
        <f>'Revenue drivers'!AJ293</f>
        <v>0</v>
      </c>
      <c r="AK1100">
        <f>'Revenue drivers'!AK293</f>
        <v>0</v>
      </c>
      <c r="AL1100">
        <f>'Revenue drivers'!AL293</f>
        <v>0</v>
      </c>
      <c r="AM1100">
        <f>'Revenue drivers'!AM293</f>
        <v>0</v>
      </c>
      <c r="AN1100">
        <f>'Revenue drivers'!AN293</f>
        <v>0</v>
      </c>
      <c r="AO1100">
        <f>'Revenue drivers'!AO293</f>
        <v>0</v>
      </c>
      <c r="AP1100">
        <f>'Revenue drivers'!AP293</f>
        <v>0</v>
      </c>
      <c r="AQ1100">
        <f>'Revenue drivers'!AQ293</f>
        <v>0</v>
      </c>
      <c r="AR1100">
        <f>'Revenue drivers'!AR293</f>
        <v>0</v>
      </c>
      <c r="AS1100">
        <f>'Revenue drivers'!AS293</f>
        <v>0</v>
      </c>
      <c r="AT1100">
        <f>'Revenue drivers'!AT293</f>
        <v>0</v>
      </c>
      <c r="AU1100">
        <f>'Revenue drivers'!AU293</f>
        <v>0</v>
      </c>
      <c r="AV1100">
        <f>'Revenue drivers'!AV293</f>
        <v>0</v>
      </c>
      <c r="AW1100">
        <f>'Revenue drivers'!AW293</f>
        <v>0</v>
      </c>
      <c r="AX1100">
        <f>'Revenue drivers'!AX293</f>
        <v>0</v>
      </c>
      <c r="AY1100">
        <f>'Revenue drivers'!AY293</f>
        <v>0</v>
      </c>
      <c r="AZ1100">
        <f>'Revenue drivers'!AZ293</f>
        <v>0</v>
      </c>
      <c r="BA1100">
        <f>'Revenue drivers'!BA293</f>
        <v>0</v>
      </c>
      <c r="BB1100">
        <f>'Revenue drivers'!BB293</f>
        <v>0</v>
      </c>
      <c r="BC1100">
        <f>'Revenue drivers'!BC293</f>
        <v>0</v>
      </c>
      <c r="BD1100">
        <f>'Revenue drivers'!BD293</f>
        <v>0</v>
      </c>
      <c r="BE1100">
        <f>'Revenue drivers'!BE293</f>
        <v>0</v>
      </c>
      <c r="BF1100">
        <f>'Revenue drivers'!BF293</f>
        <v>0</v>
      </c>
      <c r="BG1100">
        <f>'Revenue drivers'!BG293</f>
        <v>0</v>
      </c>
      <c r="BH1100">
        <f>'Revenue drivers'!BH293</f>
        <v>0</v>
      </c>
      <c r="BI1100">
        <f>'Revenue drivers'!BI293</f>
        <v>0</v>
      </c>
      <c r="BJ1100">
        <f>'Revenue drivers'!BJ293</f>
        <v>0</v>
      </c>
      <c r="BK1100">
        <f>'Revenue drivers'!BK293</f>
        <v>0</v>
      </c>
      <c r="BL1100">
        <f>'Revenue drivers'!BL293</f>
        <v>0</v>
      </c>
      <c r="BM1100">
        <f>'Revenue drivers'!BM293</f>
        <v>0</v>
      </c>
      <c r="BN1100">
        <f>'Revenue drivers'!BN293</f>
        <v>0</v>
      </c>
      <c r="BO1100">
        <f>'Revenue drivers'!BO293</f>
        <v>0</v>
      </c>
      <c r="BP1100">
        <f>'Revenue drivers'!BP293</f>
        <v>0</v>
      </c>
      <c r="BQ1100">
        <f>'Revenue drivers'!BQ293</f>
        <v>0</v>
      </c>
      <c r="BR1100">
        <f>'Revenue drivers'!BR293</f>
        <v>0</v>
      </c>
      <c r="BS1100">
        <f>'Revenue drivers'!BS293</f>
        <v>0</v>
      </c>
      <c r="BT1100">
        <f>'Revenue drivers'!BT293</f>
        <v>0</v>
      </c>
      <c r="BU1100">
        <f>'Revenue drivers'!BU293</f>
        <v>0</v>
      </c>
      <c r="BV1100">
        <f>'Revenue drivers'!BV293</f>
        <v>0</v>
      </c>
      <c r="BW1100">
        <f>'Revenue drivers'!BW293</f>
        <v>0</v>
      </c>
      <c r="BX1100">
        <f>'Revenue drivers'!BX293</f>
        <v>0</v>
      </c>
      <c r="BY1100">
        <f>'Revenue drivers'!BY293</f>
        <v>0</v>
      </c>
    </row>
    <row r="1102" spans="9:77" ht="11.25" customHeight="1">
      <c r="I1102">
        <f>'Revenue drivers'!I442</f>
        <v>0</v>
      </c>
      <c r="J1102">
        <f>'Revenue drivers'!J442</f>
        <v>0</v>
      </c>
      <c r="K1102">
        <f>'Revenue drivers'!K442</f>
        <v>0</v>
      </c>
      <c r="L1102">
        <f>'Revenue drivers'!L442</f>
        <v>0</v>
      </c>
      <c r="M1102">
        <f>'Revenue drivers'!M442</f>
        <v>0</v>
      </c>
      <c r="N1102">
        <f>'Revenue drivers'!N442</f>
        <v>0</v>
      </c>
      <c r="O1102">
        <f>'Revenue drivers'!O442</f>
        <v>0</v>
      </c>
      <c r="P1102">
        <f>'Revenue drivers'!P442</f>
        <v>0</v>
      </c>
      <c r="Q1102">
        <f>'Revenue drivers'!Q442</f>
        <v>0</v>
      </c>
      <c r="R1102">
        <f>'Revenue drivers'!R442</f>
        <v>0</v>
      </c>
      <c r="S1102">
        <f>'Revenue drivers'!S442</f>
        <v>0</v>
      </c>
      <c r="T1102">
        <f>'Revenue drivers'!T442</f>
        <v>0</v>
      </c>
      <c r="U1102">
        <f>'Revenue drivers'!U442</f>
        <v>0</v>
      </c>
      <c r="V1102">
        <f>'Revenue drivers'!V442</f>
        <v>0</v>
      </c>
      <c r="W1102">
        <f>'Revenue drivers'!W442</f>
        <v>0</v>
      </c>
      <c r="X1102">
        <f>'Revenue drivers'!X442</f>
        <v>0</v>
      </c>
      <c r="Y1102">
        <f>'Revenue drivers'!Y442</f>
        <v>0</v>
      </c>
      <c r="Z1102">
        <f>'Revenue drivers'!Z442</f>
        <v>0</v>
      </c>
      <c r="AA1102">
        <f>'Revenue drivers'!AA442</f>
        <v>0</v>
      </c>
      <c r="AB1102">
        <f>'Revenue drivers'!AB442</f>
        <v>0</v>
      </c>
      <c r="AC1102">
        <f>'Revenue drivers'!AC442</f>
        <v>0</v>
      </c>
      <c r="AD1102">
        <f>'Revenue drivers'!AD442</f>
        <v>0</v>
      </c>
      <c r="AE1102">
        <f>'Revenue drivers'!AE442</f>
        <v>0</v>
      </c>
      <c r="AF1102">
        <f>'Revenue drivers'!AF442</f>
        <v>0</v>
      </c>
      <c r="AG1102">
        <f>'Revenue drivers'!AG442</f>
        <v>0</v>
      </c>
      <c r="AH1102">
        <f>'Revenue drivers'!AH442</f>
        <v>0</v>
      </c>
      <c r="AI1102">
        <f>'Revenue drivers'!AI442</f>
        <v>0</v>
      </c>
      <c r="AJ1102">
        <f>'Revenue drivers'!AJ442</f>
        <v>0</v>
      </c>
      <c r="AK1102">
        <f>'Revenue drivers'!AK442</f>
        <v>0</v>
      </c>
      <c r="AL1102">
        <f>'Revenue drivers'!AL442</f>
        <v>0</v>
      </c>
      <c r="AM1102">
        <f>'Revenue drivers'!AM442</f>
        <v>0</v>
      </c>
      <c r="AN1102">
        <f>'Revenue drivers'!AN442</f>
        <v>0</v>
      </c>
      <c r="AO1102">
        <f>'Revenue drivers'!AO442</f>
        <v>0</v>
      </c>
      <c r="AP1102">
        <f>'Revenue drivers'!AP442</f>
        <v>0</v>
      </c>
      <c r="AQ1102">
        <f>'Revenue drivers'!AQ442</f>
        <v>0</v>
      </c>
      <c r="AR1102">
        <f>'Revenue drivers'!AR442</f>
        <v>0</v>
      </c>
      <c r="AS1102">
        <f>'Revenue drivers'!AS442</f>
        <v>0</v>
      </c>
      <c r="AT1102">
        <f>'Revenue drivers'!AT442</f>
        <v>0</v>
      </c>
      <c r="AU1102">
        <f>'Revenue drivers'!AU442</f>
        <v>0</v>
      </c>
      <c r="AV1102">
        <f>'Revenue drivers'!AV442</f>
        <v>0</v>
      </c>
      <c r="AW1102">
        <f>'Revenue drivers'!AW442</f>
        <v>0</v>
      </c>
      <c r="AX1102">
        <f>'Revenue drivers'!AX442</f>
        <v>0</v>
      </c>
      <c r="AY1102">
        <f>'Revenue drivers'!AY442</f>
        <v>0</v>
      </c>
      <c r="AZ1102">
        <f>'Revenue drivers'!AZ442</f>
        <v>0</v>
      </c>
      <c r="BA1102">
        <f>'Revenue drivers'!BA442</f>
        <v>0</v>
      </c>
      <c r="BB1102">
        <f>'Revenue drivers'!BB442</f>
        <v>0</v>
      </c>
      <c r="BC1102">
        <f>'Revenue drivers'!BC442</f>
        <v>0</v>
      </c>
      <c r="BD1102">
        <f>'Revenue drivers'!BD442</f>
        <v>0</v>
      </c>
      <c r="BE1102">
        <f>'Revenue drivers'!BE442</f>
        <v>0</v>
      </c>
      <c r="BF1102">
        <f>'Revenue drivers'!BF442</f>
        <v>0</v>
      </c>
      <c r="BG1102">
        <f>'Revenue drivers'!BG442</f>
        <v>0</v>
      </c>
      <c r="BH1102">
        <f>'Revenue drivers'!BH442</f>
        <v>0</v>
      </c>
      <c r="BI1102">
        <f>'Revenue drivers'!BI442</f>
        <v>0</v>
      </c>
      <c r="BJ1102">
        <f>'Revenue drivers'!BJ442</f>
        <v>0</v>
      </c>
      <c r="BK1102">
        <f>'Revenue drivers'!BK442</f>
        <v>0</v>
      </c>
      <c r="BL1102">
        <f>'Revenue drivers'!BL442</f>
        <v>0</v>
      </c>
      <c r="BM1102">
        <f>'Revenue drivers'!BM442</f>
        <v>0</v>
      </c>
      <c r="BN1102">
        <f>'Revenue drivers'!BN442</f>
        <v>0</v>
      </c>
      <c r="BO1102">
        <f>'Revenue drivers'!BO442</f>
        <v>0</v>
      </c>
      <c r="BP1102">
        <f>'Revenue drivers'!BP442</f>
        <v>0</v>
      </c>
      <c r="BQ1102">
        <f>'Revenue drivers'!BQ442</f>
        <v>0</v>
      </c>
      <c r="BR1102">
        <f>'Revenue drivers'!BR442</f>
        <v>0</v>
      </c>
      <c r="BS1102">
        <f>'Revenue drivers'!BS442</f>
        <v>0</v>
      </c>
      <c r="BT1102">
        <f>'Revenue drivers'!BT442</f>
        <v>0</v>
      </c>
      <c r="BU1102">
        <f>'Revenue drivers'!BU442</f>
        <v>0</v>
      </c>
      <c r="BV1102">
        <f>'Revenue drivers'!BV442</f>
        <v>0</v>
      </c>
      <c r="BW1102">
        <f>'Revenue drivers'!BW442</f>
        <v>0</v>
      </c>
      <c r="BX1102">
        <f>'Revenue drivers'!BX442</f>
        <v>0</v>
      </c>
      <c r="BY1102">
        <f>'Revenue drivers'!BY442</f>
        <v>0</v>
      </c>
    </row>
    <row r="1103" spans="9:77" ht="11.25" customHeight="1">
      <c r="I1103">
        <f>'Revenue drivers'!I443</f>
        <v>0</v>
      </c>
      <c r="J1103">
        <f>'Revenue drivers'!J443</f>
        <v>0</v>
      </c>
      <c r="K1103">
        <f>'Revenue drivers'!K443</f>
        <v>0</v>
      </c>
      <c r="L1103">
        <f>'Revenue drivers'!L443</f>
        <v>0</v>
      </c>
      <c r="M1103">
        <f>'Revenue drivers'!M443</f>
        <v>0</v>
      </c>
      <c r="N1103">
        <f>'Revenue drivers'!N443</f>
        <v>0</v>
      </c>
      <c r="O1103">
        <f>'Revenue drivers'!O443</f>
        <v>0</v>
      </c>
      <c r="P1103">
        <f>'Revenue drivers'!P443</f>
        <v>0</v>
      </c>
      <c r="Q1103">
        <f>'Revenue drivers'!Q443</f>
        <v>0</v>
      </c>
      <c r="R1103">
        <f>'Revenue drivers'!R443</f>
        <v>0</v>
      </c>
      <c r="S1103">
        <f>'Revenue drivers'!S443</f>
        <v>0</v>
      </c>
      <c r="T1103">
        <f>'Revenue drivers'!T443</f>
        <v>0</v>
      </c>
      <c r="U1103">
        <f>'Revenue drivers'!U443</f>
        <v>0</v>
      </c>
      <c r="V1103">
        <f>'Revenue drivers'!V443</f>
        <v>0</v>
      </c>
      <c r="W1103">
        <f>'Revenue drivers'!W443</f>
        <v>0</v>
      </c>
      <c r="X1103">
        <f>'Revenue drivers'!X443</f>
        <v>0</v>
      </c>
      <c r="Y1103">
        <f>'Revenue drivers'!Y443</f>
        <v>0</v>
      </c>
      <c r="Z1103">
        <f>'Revenue drivers'!Z443</f>
        <v>0</v>
      </c>
      <c r="AA1103">
        <f>'Revenue drivers'!AA443</f>
        <v>0</v>
      </c>
      <c r="AB1103">
        <f>'Revenue drivers'!AB443</f>
        <v>0</v>
      </c>
      <c r="AC1103">
        <f>'Revenue drivers'!AC443</f>
        <v>0</v>
      </c>
      <c r="AD1103">
        <f>'Revenue drivers'!AD443</f>
        <v>0</v>
      </c>
      <c r="AE1103">
        <f>'Revenue drivers'!AE443</f>
        <v>0</v>
      </c>
      <c r="AF1103">
        <f>'Revenue drivers'!AF443</f>
        <v>0</v>
      </c>
      <c r="AG1103">
        <f>'Revenue drivers'!AG443</f>
        <v>0</v>
      </c>
      <c r="AH1103">
        <f>'Revenue drivers'!AH443</f>
        <v>0</v>
      </c>
      <c r="AI1103">
        <f>'Revenue drivers'!AI443</f>
        <v>0</v>
      </c>
      <c r="AJ1103">
        <f>'Revenue drivers'!AJ443</f>
        <v>0</v>
      </c>
      <c r="AK1103">
        <f>'Revenue drivers'!AK443</f>
        <v>0</v>
      </c>
      <c r="AL1103">
        <f>'Revenue drivers'!AL443</f>
        <v>0</v>
      </c>
      <c r="AM1103">
        <f>'Revenue drivers'!AM443</f>
        <v>0</v>
      </c>
      <c r="AN1103">
        <f>'Revenue drivers'!AN443</f>
        <v>0</v>
      </c>
      <c r="AO1103">
        <f>'Revenue drivers'!AO443</f>
        <v>0</v>
      </c>
      <c r="AP1103">
        <f>'Revenue drivers'!AP443</f>
        <v>0</v>
      </c>
      <c r="AQ1103">
        <f>'Revenue drivers'!AQ443</f>
        <v>0</v>
      </c>
      <c r="AR1103">
        <f>'Revenue drivers'!AR443</f>
        <v>0</v>
      </c>
      <c r="AS1103">
        <f>'Revenue drivers'!AS443</f>
        <v>0</v>
      </c>
      <c r="AT1103">
        <f>'Revenue drivers'!AT443</f>
        <v>0</v>
      </c>
      <c r="AU1103">
        <f>'Revenue drivers'!AU443</f>
        <v>0</v>
      </c>
      <c r="AV1103">
        <f>'Revenue drivers'!AV443</f>
        <v>0</v>
      </c>
      <c r="AW1103">
        <f>'Revenue drivers'!AW443</f>
        <v>0</v>
      </c>
      <c r="AX1103">
        <f>'Revenue drivers'!AX443</f>
        <v>0</v>
      </c>
      <c r="AY1103">
        <f>'Revenue drivers'!AY443</f>
        <v>0</v>
      </c>
      <c r="AZ1103">
        <f>'Revenue drivers'!AZ443</f>
        <v>0</v>
      </c>
      <c r="BA1103">
        <f>'Revenue drivers'!BA443</f>
        <v>0</v>
      </c>
      <c r="BB1103">
        <f>'Revenue drivers'!BB443</f>
        <v>0</v>
      </c>
      <c r="BC1103">
        <f>'Revenue drivers'!BC443</f>
        <v>0</v>
      </c>
      <c r="BD1103">
        <f>'Revenue drivers'!BD443</f>
        <v>0</v>
      </c>
      <c r="BE1103">
        <f>'Revenue drivers'!BE443</f>
        <v>0</v>
      </c>
      <c r="BF1103">
        <f>'Revenue drivers'!BF443</f>
        <v>0</v>
      </c>
      <c r="BG1103">
        <f>'Revenue drivers'!BG443</f>
        <v>0</v>
      </c>
      <c r="BH1103">
        <f>'Revenue drivers'!BH443</f>
        <v>0</v>
      </c>
      <c r="BI1103">
        <f>'Revenue drivers'!BI443</f>
        <v>0</v>
      </c>
      <c r="BJ1103">
        <f>'Revenue drivers'!BJ443</f>
        <v>0</v>
      </c>
      <c r="BK1103">
        <f>'Revenue drivers'!BK443</f>
        <v>0</v>
      </c>
      <c r="BL1103">
        <f>'Revenue drivers'!BL443</f>
        <v>0</v>
      </c>
      <c r="BM1103">
        <f>'Revenue drivers'!BM443</f>
        <v>0</v>
      </c>
      <c r="BN1103">
        <f>'Revenue drivers'!BN443</f>
        <v>0</v>
      </c>
      <c r="BO1103">
        <f>'Revenue drivers'!BO443</f>
        <v>0</v>
      </c>
      <c r="BP1103">
        <f>'Revenue drivers'!BP443</f>
        <v>0</v>
      </c>
      <c r="BQ1103">
        <f>'Revenue drivers'!BQ443</f>
        <v>0</v>
      </c>
      <c r="BR1103">
        <f>'Revenue drivers'!BR443</f>
        <v>0</v>
      </c>
      <c r="BS1103">
        <f>'Revenue drivers'!BS443</f>
        <v>0</v>
      </c>
      <c r="BT1103">
        <f>'Revenue drivers'!BT443</f>
        <v>0</v>
      </c>
      <c r="BU1103">
        <f>'Revenue drivers'!BU443</f>
        <v>0</v>
      </c>
      <c r="BV1103">
        <f>'Revenue drivers'!BV443</f>
        <v>0</v>
      </c>
      <c r="BW1103">
        <f>'Revenue drivers'!BW443</f>
        <v>0</v>
      </c>
      <c r="BX1103">
        <f>'Revenue drivers'!BX443</f>
        <v>0</v>
      </c>
      <c r="BY1103">
        <f>'Revenue drivers'!BY443</f>
        <v>0</v>
      </c>
    </row>
    <row r="1104" spans="9:77" ht="11.25" customHeight="1">
      <c r="I1104" t="str">
        <f>'Revenue drivers'!I444</f>
        <v>Active Yelp markets (# of markets)</v>
      </c>
      <c r="J1104">
        <f>'Revenue drivers'!J444</f>
        <v>0</v>
      </c>
      <c r="K1104">
        <f>'Revenue drivers'!K444</f>
        <v>0</v>
      </c>
      <c r="L1104">
        <f>'Revenue drivers'!L444</f>
        <v>0</v>
      </c>
      <c r="M1104">
        <f>'Revenue drivers'!M444</f>
        <v>0</v>
      </c>
      <c r="N1104">
        <f>'Revenue drivers'!N444</f>
        <v>0</v>
      </c>
      <c r="O1104">
        <f>'Revenue drivers'!O444</f>
        <v>0</v>
      </c>
      <c r="P1104">
        <f>'Revenue drivers'!P444</f>
        <v>0</v>
      </c>
      <c r="Q1104">
        <f>'Revenue drivers'!Q444</f>
        <v>0</v>
      </c>
      <c r="R1104">
        <f>'Revenue drivers'!R444</f>
        <v>0</v>
      </c>
      <c r="S1104">
        <f>'Revenue drivers'!S444</f>
        <v>0</v>
      </c>
      <c r="T1104">
        <f>'Revenue drivers'!T444</f>
        <v>0</v>
      </c>
      <c r="U1104">
        <f>'Revenue drivers'!U444</f>
        <v>0</v>
      </c>
      <c r="V1104">
        <f>'Revenue drivers'!V444</f>
        <v>0</v>
      </c>
      <c r="W1104">
        <f>'Revenue drivers'!W444</f>
        <v>0</v>
      </c>
      <c r="X1104">
        <f>'Revenue drivers'!X444</f>
        <v>0</v>
      </c>
      <c r="Y1104">
        <f>'Revenue drivers'!Y444</f>
        <v>0</v>
      </c>
      <c r="Z1104">
        <f>'Revenue drivers'!Z444</f>
        <v>0</v>
      </c>
      <c r="AA1104">
        <f>'Revenue drivers'!AA444</f>
        <v>0</v>
      </c>
      <c r="AB1104">
        <f>'Revenue drivers'!AB444</f>
        <v>0</v>
      </c>
      <c r="AC1104">
        <f>'Revenue drivers'!AC444</f>
        <v>0</v>
      </c>
      <c r="AD1104">
        <f>'Revenue drivers'!AD444</f>
        <v>0</v>
      </c>
      <c r="AE1104">
        <f>'Revenue drivers'!AE444</f>
        <v>0</v>
      </c>
      <c r="AF1104">
        <f>'Revenue drivers'!AF444</f>
        <v>0</v>
      </c>
      <c r="AG1104">
        <f>'Revenue drivers'!AG444</f>
        <v>0</v>
      </c>
      <c r="AH1104">
        <f>'Revenue drivers'!AH444</f>
        <v>0</v>
      </c>
      <c r="AI1104">
        <f>'Revenue drivers'!AI444</f>
        <v>0</v>
      </c>
      <c r="AJ1104">
        <f>'Revenue drivers'!AJ444</f>
        <v>0</v>
      </c>
      <c r="AK1104">
        <f>'Revenue drivers'!AK444</f>
        <v>0</v>
      </c>
      <c r="AL1104">
        <f>'Revenue drivers'!AL444</f>
        <v>0</v>
      </c>
      <c r="AM1104">
        <f>'Revenue drivers'!AM444</f>
        <v>0</v>
      </c>
      <c r="AN1104">
        <f>'Revenue drivers'!AN444</f>
        <v>0</v>
      </c>
      <c r="AO1104">
        <f>'Revenue drivers'!AO444</f>
        <v>0</v>
      </c>
      <c r="AP1104">
        <f>'Revenue drivers'!AP444</f>
        <v>0</v>
      </c>
      <c r="AQ1104">
        <f>'Revenue drivers'!AQ444</f>
        <v>0</v>
      </c>
      <c r="AR1104">
        <f>'Revenue drivers'!AR444</f>
        <v>0</v>
      </c>
      <c r="AS1104">
        <f>'Revenue drivers'!AS444</f>
        <v>0</v>
      </c>
      <c r="AT1104">
        <f>'Revenue drivers'!AT444</f>
        <v>0</v>
      </c>
      <c r="AU1104">
        <f>'Revenue drivers'!AU444</f>
        <v>0</v>
      </c>
      <c r="AV1104">
        <f>'Revenue drivers'!AV444</f>
        <v>0</v>
      </c>
      <c r="AW1104">
        <f>'Revenue drivers'!AW444</f>
        <v>0</v>
      </c>
      <c r="AX1104">
        <f>'Revenue drivers'!AX444</f>
        <v>0</v>
      </c>
      <c r="AY1104">
        <f>'Revenue drivers'!AY444</f>
        <v>0</v>
      </c>
      <c r="AZ1104">
        <f>'Revenue drivers'!AZ444</f>
        <v>0</v>
      </c>
      <c r="BA1104">
        <f>'Revenue drivers'!BA444</f>
        <v>0</v>
      </c>
      <c r="BB1104">
        <f>'Revenue drivers'!BB444</f>
        <v>0</v>
      </c>
      <c r="BC1104">
        <f>'Revenue drivers'!BC444</f>
        <v>0</v>
      </c>
      <c r="BD1104">
        <f>'Revenue drivers'!BD444</f>
        <v>0</v>
      </c>
      <c r="BE1104">
        <f>'Revenue drivers'!BE444</f>
        <v>0</v>
      </c>
      <c r="BF1104">
        <f>'Revenue drivers'!BF444</f>
        <v>0</v>
      </c>
      <c r="BG1104">
        <f>'Revenue drivers'!BG444</f>
        <v>0</v>
      </c>
      <c r="BH1104">
        <f>'Revenue drivers'!BH444</f>
        <v>0</v>
      </c>
      <c r="BI1104">
        <f>'Revenue drivers'!BI444</f>
        <v>0</v>
      </c>
      <c r="BJ1104">
        <f>'Revenue drivers'!BJ444</f>
        <v>0</v>
      </c>
      <c r="BK1104">
        <f>'Revenue drivers'!BK444</f>
        <v>0</v>
      </c>
      <c r="BL1104">
        <f>'Revenue drivers'!BL444</f>
        <v>0</v>
      </c>
      <c r="BM1104">
        <f>'Revenue drivers'!BM444</f>
        <v>0</v>
      </c>
      <c r="BN1104">
        <f>'Revenue drivers'!BN444</f>
        <v>0</v>
      </c>
      <c r="BO1104">
        <f>'Revenue drivers'!BO444</f>
        <v>0</v>
      </c>
      <c r="BP1104">
        <f>'Revenue drivers'!BP444</f>
        <v>0</v>
      </c>
      <c r="BQ1104">
        <f>'Revenue drivers'!BQ444</f>
        <v>0</v>
      </c>
      <c r="BR1104">
        <f>'Revenue drivers'!BR444</f>
        <v>0</v>
      </c>
      <c r="BS1104">
        <f>'Revenue drivers'!BS444</f>
        <v>0</v>
      </c>
      <c r="BT1104">
        <f>'Revenue drivers'!BT444</f>
        <v>0</v>
      </c>
      <c r="BU1104">
        <f>'Revenue drivers'!BU444</f>
        <v>0</v>
      </c>
      <c r="BV1104">
        <f>'Revenue drivers'!BV444</f>
        <v>0</v>
      </c>
      <c r="BW1104">
        <f>'Revenue drivers'!BW444</f>
        <v>0</v>
      </c>
      <c r="BX1104">
        <f>'Revenue drivers'!BX444</f>
        <v>0</v>
      </c>
      <c r="BY1104">
        <f>'Revenue drivers'!BY444</f>
        <v>0</v>
      </c>
    </row>
    <row r="1105" spans="9:77" ht="11.25" customHeight="1">
      <c r="I1105">
        <f>'Revenue drivers'!I445</f>
        <v>0</v>
      </c>
      <c r="J1105">
        <f>'Revenue drivers'!J445</f>
        <v>0</v>
      </c>
      <c r="K1105">
        <f>'Revenue drivers'!K445</f>
        <v>0</v>
      </c>
      <c r="L1105">
        <f>'Revenue drivers'!L445</f>
        <v>0</v>
      </c>
      <c r="M1105">
        <f>'Revenue drivers'!M445</f>
        <v>0</v>
      </c>
      <c r="N1105">
        <f>'Revenue drivers'!N445</f>
        <v>0</v>
      </c>
      <c r="O1105">
        <f>'Revenue drivers'!O445</f>
        <v>0</v>
      </c>
      <c r="P1105">
        <f>'Revenue drivers'!P445</f>
        <v>0</v>
      </c>
      <c r="Q1105">
        <f>'Revenue drivers'!Q445</f>
        <v>0</v>
      </c>
      <c r="R1105">
        <f>'Revenue drivers'!R445</f>
        <v>0</v>
      </c>
      <c r="S1105">
        <f>'Revenue drivers'!S445</f>
        <v>0</v>
      </c>
      <c r="T1105">
        <f>'Revenue drivers'!T445</f>
        <v>0</v>
      </c>
      <c r="U1105">
        <f>'Revenue drivers'!U445</f>
        <v>0</v>
      </c>
      <c r="V1105">
        <f>'Revenue drivers'!V445</f>
        <v>0</v>
      </c>
      <c r="W1105">
        <f>'Revenue drivers'!W445</f>
        <v>0</v>
      </c>
      <c r="X1105">
        <f>'Revenue drivers'!X445</f>
        <v>0</v>
      </c>
      <c r="Y1105">
        <f>'Revenue drivers'!Y445</f>
        <v>0</v>
      </c>
      <c r="Z1105">
        <f>'Revenue drivers'!Z445</f>
        <v>0</v>
      </c>
      <c r="AA1105">
        <f>'Revenue drivers'!AA445</f>
        <v>0</v>
      </c>
      <c r="AB1105">
        <f>'Revenue drivers'!AB445</f>
        <v>0</v>
      </c>
      <c r="AC1105">
        <f>'Revenue drivers'!AC445</f>
        <v>0</v>
      </c>
      <c r="AD1105">
        <f>'Revenue drivers'!AD445</f>
        <v>0</v>
      </c>
      <c r="AE1105">
        <f>'Revenue drivers'!AE445</f>
        <v>0</v>
      </c>
      <c r="AF1105">
        <f>'Revenue drivers'!AF445</f>
        <v>0</v>
      </c>
      <c r="AG1105">
        <f>'Revenue drivers'!AG445</f>
        <v>0</v>
      </c>
      <c r="AH1105">
        <f>'Revenue drivers'!AH445</f>
        <v>0</v>
      </c>
      <c r="AI1105">
        <f>'Revenue drivers'!AI445</f>
        <v>0</v>
      </c>
      <c r="AJ1105">
        <f>'Revenue drivers'!AJ445</f>
        <v>0</v>
      </c>
      <c r="AK1105">
        <f>'Revenue drivers'!AK445</f>
        <v>0</v>
      </c>
      <c r="AL1105">
        <f>'Revenue drivers'!AL445</f>
        <v>0</v>
      </c>
      <c r="AM1105">
        <f>'Revenue drivers'!AM445</f>
        <v>0</v>
      </c>
      <c r="AN1105">
        <f>'Revenue drivers'!AN445</f>
        <v>0</v>
      </c>
      <c r="AO1105">
        <f>'Revenue drivers'!AO445</f>
        <v>0</v>
      </c>
      <c r="AP1105">
        <f>'Revenue drivers'!AP445</f>
        <v>0</v>
      </c>
      <c r="AQ1105">
        <f>'Revenue drivers'!AQ445</f>
        <v>0</v>
      </c>
      <c r="AR1105">
        <f>'Revenue drivers'!AR445</f>
        <v>0</v>
      </c>
      <c r="AS1105">
        <f>'Revenue drivers'!AS445</f>
        <v>0</v>
      </c>
      <c r="AT1105">
        <f>'Revenue drivers'!AT445</f>
        <v>0</v>
      </c>
      <c r="AU1105">
        <f>'Revenue drivers'!AU445</f>
        <v>0</v>
      </c>
      <c r="AV1105">
        <f>'Revenue drivers'!AV445</f>
        <v>0</v>
      </c>
      <c r="AW1105">
        <f>'Revenue drivers'!AW445</f>
        <v>0</v>
      </c>
      <c r="AX1105">
        <f>'Revenue drivers'!AX445</f>
        <v>0</v>
      </c>
      <c r="AY1105">
        <f>'Revenue drivers'!AY445</f>
        <v>0</v>
      </c>
      <c r="AZ1105">
        <f>'Revenue drivers'!AZ445</f>
        <v>0</v>
      </c>
      <c r="BA1105">
        <f>'Revenue drivers'!BA445</f>
        <v>0</v>
      </c>
      <c r="BB1105">
        <f>'Revenue drivers'!BB445</f>
        <v>0</v>
      </c>
      <c r="BC1105">
        <f>'Revenue drivers'!BC445</f>
        <v>0</v>
      </c>
      <c r="BD1105">
        <f>'Revenue drivers'!BD445</f>
        <v>0</v>
      </c>
      <c r="BE1105">
        <f>'Revenue drivers'!BE445</f>
        <v>0</v>
      </c>
      <c r="BF1105">
        <f>'Revenue drivers'!BF445</f>
        <v>0</v>
      </c>
      <c r="BG1105">
        <f>'Revenue drivers'!BG445</f>
        <v>0</v>
      </c>
      <c r="BH1105">
        <f>'Revenue drivers'!BH445</f>
        <v>0</v>
      </c>
      <c r="BI1105">
        <f>'Revenue drivers'!BI445</f>
        <v>0</v>
      </c>
      <c r="BJ1105">
        <f>'Revenue drivers'!BJ445</f>
        <v>0</v>
      </c>
      <c r="BK1105">
        <f>'Revenue drivers'!BK445</f>
        <v>0</v>
      </c>
      <c r="BL1105">
        <f>'Revenue drivers'!BL445</f>
        <v>0</v>
      </c>
      <c r="BM1105">
        <f>'Revenue drivers'!BM445</f>
        <v>0</v>
      </c>
      <c r="BN1105">
        <f>'Revenue drivers'!BN445</f>
        <v>0</v>
      </c>
      <c r="BO1105">
        <f>'Revenue drivers'!BO445</f>
        <v>0</v>
      </c>
      <c r="BP1105">
        <f>'Revenue drivers'!BP445</f>
        <v>0</v>
      </c>
      <c r="BQ1105">
        <f>'Revenue drivers'!BQ445</f>
        <v>0</v>
      </c>
      <c r="BR1105">
        <f>'Revenue drivers'!BR445</f>
        <v>0</v>
      </c>
      <c r="BS1105">
        <f>'Revenue drivers'!BS445</f>
        <v>0</v>
      </c>
      <c r="BT1105">
        <f>'Revenue drivers'!BT445</f>
        <v>0</v>
      </c>
      <c r="BU1105">
        <f>'Revenue drivers'!BU445</f>
        <v>0</v>
      </c>
      <c r="BV1105">
        <f>'Revenue drivers'!BV445</f>
        <v>0</v>
      </c>
      <c r="BW1105">
        <f>'Revenue drivers'!BW445</f>
        <v>0</v>
      </c>
      <c r="BX1105">
        <f>'Revenue drivers'!BX445</f>
        <v>0</v>
      </c>
      <c r="BY1105">
        <f>'Revenue drivers'!BY445</f>
        <v>0</v>
      </c>
    </row>
    <row r="1106" spans="9:77" ht="11.25" customHeight="1">
      <c r="I1106" t="str">
        <f>'Revenue drivers'!I446</f>
        <v>Active WW Yelp markets</v>
      </c>
      <c r="J1106">
        <f>'Revenue drivers'!J446</f>
        <v>0</v>
      </c>
      <c r="K1106">
        <f>'Revenue drivers'!K446</f>
        <v>0</v>
      </c>
      <c r="L1106">
        <f>'Revenue drivers'!L446</f>
        <v>0</v>
      </c>
      <c r="M1106">
        <f>'Revenue drivers'!M446</f>
        <v>0</v>
      </c>
      <c r="N1106">
        <f>'Revenue drivers'!N446</f>
        <v>0</v>
      </c>
      <c r="O1106">
        <f>'Revenue drivers'!O446</f>
        <v>0</v>
      </c>
      <c r="P1106">
        <f>'Revenue drivers'!P446</f>
        <v>49</v>
      </c>
      <c r="Q1106">
        <f>'Revenue drivers'!Q446</f>
        <v>0</v>
      </c>
      <c r="R1106">
        <f>'Revenue drivers'!R446</f>
        <v>0</v>
      </c>
      <c r="S1106">
        <f>'Revenue drivers'!S446</f>
        <v>0</v>
      </c>
      <c r="T1106">
        <f>'Revenue drivers'!T446</f>
        <v>71</v>
      </c>
      <c r="U1106">
        <f>'Revenue drivers'!U446</f>
        <v>82</v>
      </c>
      <c r="V1106">
        <f>'Revenue drivers'!V446</f>
        <v>90</v>
      </c>
      <c r="W1106">
        <f>'Revenue drivers'!W446</f>
        <v>96</v>
      </c>
      <c r="X1106">
        <f>'Revenue drivers'!X446</f>
        <v>97</v>
      </c>
      <c r="Y1106">
        <f>'Revenue drivers'!Y446</f>
        <v>100</v>
      </c>
      <c r="Z1106">
        <f>'Revenue drivers'!Z446</f>
        <v>106</v>
      </c>
      <c r="AA1106">
        <f>'Revenue drivers'!AA446</f>
        <v>111</v>
      </c>
      <c r="AB1106">
        <f>'Revenue drivers'!AB446</f>
        <v>117</v>
      </c>
      <c r="AC1106">
        <f>'Revenue drivers'!AC446</f>
        <v>120</v>
      </c>
      <c r="AD1106">
        <f>'Revenue drivers'!AD446</f>
        <v>124</v>
      </c>
      <c r="AE1106">
        <f>'Revenue drivers'!AE446</f>
        <v>127</v>
      </c>
      <c r="AF1106">
        <f>'Revenue drivers'!AF446</f>
        <v>132</v>
      </c>
      <c r="AG1106">
        <f>'Revenue drivers'!AG446</f>
        <v>137</v>
      </c>
      <c r="AH1106">
        <f>'Revenue drivers'!AH446</f>
        <v>142</v>
      </c>
      <c r="AI1106">
        <f>'Revenue drivers'!AI446</f>
        <v>147</v>
      </c>
      <c r="AJ1106">
        <f>'Revenue drivers'!AJ446</f>
        <v>152</v>
      </c>
      <c r="AK1106">
        <f>'Revenue drivers'!AK446</f>
        <v>157</v>
      </c>
      <c r="AL1106">
        <f>'Revenue drivers'!AL446</f>
        <v>162</v>
      </c>
      <c r="AM1106">
        <f>'Revenue drivers'!AM446</f>
        <v>167</v>
      </c>
      <c r="AN1106">
        <f>'Revenue drivers'!AN446</f>
        <v>172</v>
      </c>
      <c r="AO1106">
        <f>'Revenue drivers'!AO446</f>
        <v>177</v>
      </c>
      <c r="AP1106">
        <f>'Revenue drivers'!AP446</f>
        <v>182</v>
      </c>
      <c r="AQ1106">
        <f>'Revenue drivers'!AQ446</f>
        <v>187</v>
      </c>
      <c r="AR1106">
        <f>'Revenue drivers'!AR446</f>
        <v>192</v>
      </c>
      <c r="AS1106">
        <f>'Revenue drivers'!AS446</f>
        <v>197</v>
      </c>
      <c r="AT1106">
        <f>'Revenue drivers'!AT446</f>
        <v>202</v>
      </c>
      <c r="AU1106">
        <f>'Revenue drivers'!AU446</f>
        <v>207</v>
      </c>
      <c r="AV1106">
        <f>'Revenue drivers'!AV446</f>
        <v>212</v>
      </c>
      <c r="AW1106">
        <f>'Revenue drivers'!AW446</f>
        <v>217</v>
      </c>
      <c r="AX1106">
        <f>'Revenue drivers'!AX446</f>
        <v>222</v>
      </c>
      <c r="AY1106">
        <f>'Revenue drivers'!AY446</f>
        <v>227</v>
      </c>
      <c r="AZ1106">
        <f>'Revenue drivers'!AZ446</f>
        <v>232</v>
      </c>
      <c r="BA1106">
        <f>'Revenue drivers'!BA446</f>
        <v>237</v>
      </c>
      <c r="BB1106">
        <f>'Revenue drivers'!BB446</f>
        <v>242</v>
      </c>
      <c r="BC1106">
        <f>'Revenue drivers'!BC446</f>
        <v>247</v>
      </c>
      <c r="BD1106">
        <f>'Revenue drivers'!BD446</f>
        <v>252</v>
      </c>
      <c r="BE1106">
        <f>'Revenue drivers'!BE446</f>
        <v>0</v>
      </c>
      <c r="BF1106">
        <f>'Revenue drivers'!BF446</f>
        <v>6</v>
      </c>
      <c r="BG1106">
        <f>'Revenue drivers'!BG446</f>
        <v>14</v>
      </c>
      <c r="BH1106">
        <f>'Revenue drivers'!BH446</f>
        <v>20</v>
      </c>
      <c r="BI1106">
        <f>'Revenue drivers'!BI446</f>
        <v>27</v>
      </c>
      <c r="BJ1106">
        <f>'Revenue drivers'!BJ446</f>
        <v>49</v>
      </c>
      <c r="BK1106">
        <f>'Revenue drivers'!BK446</f>
        <v>71</v>
      </c>
      <c r="BL1106">
        <f>'Revenue drivers'!BL446</f>
        <v>97</v>
      </c>
      <c r="BM1106">
        <f>'Revenue drivers'!BM446</f>
        <v>117</v>
      </c>
      <c r="BN1106">
        <f>'Revenue drivers'!BN446</f>
        <v>132</v>
      </c>
      <c r="BO1106">
        <f>'Revenue drivers'!BO446</f>
        <v>152</v>
      </c>
      <c r="BP1106">
        <f>'Revenue drivers'!BP446</f>
        <v>172</v>
      </c>
      <c r="BQ1106">
        <f>'Revenue drivers'!BQ446</f>
        <v>192</v>
      </c>
      <c r="BR1106">
        <f>'Revenue drivers'!BR446</f>
        <v>212</v>
      </c>
      <c r="BS1106">
        <f>'Revenue drivers'!BS446</f>
        <v>232</v>
      </c>
      <c r="BT1106">
        <f>'Revenue drivers'!BT446</f>
        <v>252</v>
      </c>
      <c r="BU1106">
        <f>'Revenue drivers'!BU446</f>
        <v>272</v>
      </c>
      <c r="BV1106">
        <f>'Revenue drivers'!BV446</f>
        <v>292</v>
      </c>
      <c r="BW1106">
        <f>'Revenue drivers'!BW446</f>
        <v>312</v>
      </c>
      <c r="BX1106">
        <f>'Revenue drivers'!BX446</f>
        <v>332</v>
      </c>
      <c r="BY1106">
        <f>'Revenue drivers'!BY446</f>
        <v>352</v>
      </c>
    </row>
    <row r="1107" spans="9:77" ht="11.25" customHeight="1">
      <c r="I1107" t="str">
        <f>'Revenue drivers'!I447</f>
        <v>DRIVER: Base case - period-to-period addition Q/Q</v>
      </c>
      <c r="J1107">
        <f>'Revenue drivers'!J447</f>
        <v>0</v>
      </c>
      <c r="K1107">
        <f>'Revenue drivers'!K447</f>
        <v>0</v>
      </c>
      <c r="L1107">
        <f>'Revenue drivers'!L447</f>
        <v>0</v>
      </c>
      <c r="M1107">
        <f>'Revenue drivers'!M447</f>
        <v>0</v>
      </c>
      <c r="N1107">
        <f>'Revenue drivers'!N447</f>
        <v>0</v>
      </c>
      <c r="O1107">
        <f>'Revenue drivers'!O447</f>
        <v>0</v>
      </c>
      <c r="P1107">
        <f>'Revenue drivers'!P447</f>
        <v>0</v>
      </c>
      <c r="Q1107">
        <f>'Revenue drivers'!Q447</f>
        <v>0</v>
      </c>
      <c r="R1107">
        <f>'Revenue drivers'!R447</f>
        <v>0</v>
      </c>
      <c r="S1107">
        <f>'Revenue drivers'!S447</f>
        <v>0</v>
      </c>
      <c r="T1107">
        <f>'Revenue drivers'!T447</f>
        <v>0</v>
      </c>
      <c r="U1107">
        <f>'Revenue drivers'!U447</f>
        <v>11</v>
      </c>
      <c r="V1107">
        <f>'Revenue drivers'!V447</f>
        <v>8</v>
      </c>
      <c r="W1107">
        <f>'Revenue drivers'!W447</f>
        <v>6</v>
      </c>
      <c r="X1107">
        <f>'Revenue drivers'!X447</f>
        <v>1</v>
      </c>
      <c r="Y1107">
        <f>'Revenue drivers'!Y447</f>
        <v>3</v>
      </c>
      <c r="Z1107">
        <f>'Revenue drivers'!Z447</f>
        <v>6</v>
      </c>
      <c r="AA1107">
        <f>'Revenue drivers'!AA447</f>
        <v>5</v>
      </c>
      <c r="AB1107">
        <f>'Revenue drivers'!AB447</f>
        <v>6</v>
      </c>
      <c r="AC1107">
        <f>'Revenue drivers'!AC447</f>
        <v>3</v>
      </c>
      <c r="AD1107">
        <f>'Revenue drivers'!AD447</f>
        <v>4</v>
      </c>
      <c r="AE1107">
        <f>'Revenue drivers'!AE447</f>
        <v>3</v>
      </c>
      <c r="AF1107">
        <f>'Revenue drivers'!AF447</f>
        <v>5</v>
      </c>
      <c r="AG1107">
        <f>'Revenue drivers'!AG447</f>
        <v>5</v>
      </c>
      <c r="AH1107">
        <f>'Revenue drivers'!AH447</f>
        <v>5</v>
      </c>
      <c r="AI1107">
        <f>'Revenue drivers'!AI447</f>
        <v>5</v>
      </c>
      <c r="AJ1107">
        <f>'Revenue drivers'!AJ447</f>
        <v>5</v>
      </c>
      <c r="AK1107">
        <f>'Revenue drivers'!AK447</f>
        <v>5</v>
      </c>
      <c r="AL1107">
        <f>'Revenue drivers'!AL447</f>
        <v>5</v>
      </c>
      <c r="AM1107">
        <f>'Revenue drivers'!AM447</f>
        <v>5</v>
      </c>
      <c r="AN1107">
        <f>'Revenue drivers'!AN447</f>
        <v>5</v>
      </c>
      <c r="AO1107">
        <f>'Revenue drivers'!AO447</f>
        <v>5</v>
      </c>
      <c r="AP1107">
        <f>'Revenue drivers'!AP447</f>
        <v>5</v>
      </c>
      <c r="AQ1107">
        <f>'Revenue drivers'!AQ447</f>
        <v>5</v>
      </c>
      <c r="AR1107">
        <f>'Revenue drivers'!AR447</f>
        <v>5</v>
      </c>
      <c r="AS1107">
        <f>'Revenue drivers'!AS447</f>
        <v>5</v>
      </c>
      <c r="AT1107">
        <f>'Revenue drivers'!AT447</f>
        <v>5</v>
      </c>
      <c r="AU1107">
        <f>'Revenue drivers'!AU447</f>
        <v>5</v>
      </c>
      <c r="AV1107">
        <f>'Revenue drivers'!AV447</f>
        <v>5</v>
      </c>
      <c r="AW1107">
        <f>'Revenue drivers'!AW447</f>
        <v>5</v>
      </c>
      <c r="AX1107">
        <f>'Revenue drivers'!AX447</f>
        <v>5</v>
      </c>
      <c r="AY1107">
        <f>'Revenue drivers'!AY447</f>
        <v>5</v>
      </c>
      <c r="AZ1107">
        <f>'Revenue drivers'!AZ447</f>
        <v>5</v>
      </c>
      <c r="BA1107">
        <f>'Revenue drivers'!BA447</f>
        <v>5</v>
      </c>
      <c r="BB1107">
        <f>'Revenue drivers'!BB447</f>
        <v>5</v>
      </c>
      <c r="BC1107">
        <f>'Revenue drivers'!BC447</f>
        <v>5</v>
      </c>
      <c r="BD1107">
        <f>'Revenue drivers'!BD447</f>
        <v>5</v>
      </c>
      <c r="BE1107">
        <f>'Revenue drivers'!BE447</f>
        <v>0</v>
      </c>
      <c r="BF1107">
        <f>'Revenue drivers'!BF447</f>
        <v>0</v>
      </c>
      <c r="BG1107">
        <f>'Revenue drivers'!BG447</f>
        <v>0</v>
      </c>
      <c r="BH1107">
        <f>'Revenue drivers'!BH447</f>
        <v>0</v>
      </c>
      <c r="BI1107">
        <f>'Revenue drivers'!BI447</f>
        <v>0</v>
      </c>
      <c r="BJ1107">
        <f>'Revenue drivers'!BJ447</f>
        <v>0</v>
      </c>
      <c r="BK1107">
        <f>'Revenue drivers'!BK447</f>
        <v>0</v>
      </c>
      <c r="BL1107">
        <f>'Revenue drivers'!BL447</f>
        <v>0</v>
      </c>
      <c r="BM1107">
        <f>'Revenue drivers'!BM447</f>
        <v>0</v>
      </c>
      <c r="BN1107">
        <f>'Revenue drivers'!BN447</f>
        <v>0</v>
      </c>
      <c r="BO1107">
        <f>'Revenue drivers'!BO447</f>
        <v>0</v>
      </c>
      <c r="BP1107">
        <f>'Revenue drivers'!BP447</f>
        <v>0</v>
      </c>
      <c r="BQ1107">
        <f>'Revenue drivers'!BQ447</f>
        <v>0</v>
      </c>
      <c r="BR1107">
        <f>'Revenue drivers'!BR447</f>
        <v>0</v>
      </c>
      <c r="BS1107">
        <f>'Revenue drivers'!BS447</f>
        <v>0</v>
      </c>
      <c r="BT1107">
        <f>'Revenue drivers'!BT447</f>
        <v>0</v>
      </c>
      <c r="BU1107">
        <f>'Revenue drivers'!BU447</f>
        <v>0</v>
      </c>
      <c r="BV1107">
        <f>'Revenue drivers'!BV447</f>
        <v>0</v>
      </c>
      <c r="BW1107">
        <f>'Revenue drivers'!BW447</f>
        <v>0</v>
      </c>
      <c r="BX1107">
        <f>'Revenue drivers'!BX447</f>
        <v>0</v>
      </c>
      <c r="BY1107">
        <f>'Revenue drivers'!BY447</f>
        <v>0</v>
      </c>
    </row>
    <row r="1108" spans="9:77" ht="11.25" customHeight="1">
      <c r="I1108" t="str">
        <f>'Revenue drivers'!I448</f>
        <v>Period-to-period addition Y/Y</v>
      </c>
      <c r="J1108">
        <f>'Revenue drivers'!J448</f>
        <v>0</v>
      </c>
      <c r="K1108">
        <f>'Revenue drivers'!K448</f>
        <v>0</v>
      </c>
      <c r="L1108">
        <f>'Revenue drivers'!L448</f>
        <v>0</v>
      </c>
      <c r="M1108">
        <f>'Revenue drivers'!M448</f>
        <v>0</v>
      </c>
      <c r="N1108">
        <f>'Revenue drivers'!N448</f>
        <v>0</v>
      </c>
      <c r="O1108">
        <f>'Revenue drivers'!O448</f>
        <v>0</v>
      </c>
      <c r="P1108">
        <f>'Revenue drivers'!P448</f>
        <v>0</v>
      </c>
      <c r="Q1108">
        <f>'Revenue drivers'!Q448</f>
        <v>0</v>
      </c>
      <c r="R1108">
        <f>'Revenue drivers'!R448</f>
        <v>0</v>
      </c>
      <c r="S1108">
        <f>'Revenue drivers'!S448</f>
        <v>0</v>
      </c>
      <c r="T1108">
        <f>'Revenue drivers'!T448</f>
        <v>0</v>
      </c>
      <c r="U1108">
        <f>'Revenue drivers'!U448</f>
        <v>0</v>
      </c>
      <c r="V1108">
        <f>'Revenue drivers'!V448</f>
        <v>0</v>
      </c>
      <c r="W1108">
        <f>'Revenue drivers'!W448</f>
        <v>-2</v>
      </c>
      <c r="X1108">
        <f>'Revenue drivers'!X448</f>
        <v>0</v>
      </c>
      <c r="Y1108">
        <f>'Revenue drivers'!Y448</f>
        <v>0</v>
      </c>
      <c r="Z1108">
        <f>'Revenue drivers'!Z448</f>
        <v>0</v>
      </c>
      <c r="AA1108">
        <f>'Revenue drivers'!AA448</f>
        <v>-1</v>
      </c>
      <c r="AB1108">
        <f>'Revenue drivers'!AB448</f>
        <v>1</v>
      </c>
      <c r="AC1108">
        <f>'Revenue drivers'!AC448</f>
        <v>-3</v>
      </c>
      <c r="AD1108">
        <f>'Revenue drivers'!AD448</f>
        <v>1</v>
      </c>
      <c r="AE1108">
        <f>'Revenue drivers'!AE448</f>
        <v>-1</v>
      </c>
      <c r="AF1108">
        <f>'Revenue drivers'!AF448</f>
        <v>2</v>
      </c>
      <c r="AG1108">
        <f>'Revenue drivers'!AG448</f>
        <v>0</v>
      </c>
      <c r="AH1108">
        <f>'Revenue drivers'!AH448</f>
        <v>0</v>
      </c>
      <c r="AI1108">
        <f>'Revenue drivers'!AI448</f>
        <v>0</v>
      </c>
      <c r="AJ1108">
        <f>'Revenue drivers'!AJ448</f>
        <v>0</v>
      </c>
      <c r="AK1108">
        <f>'Revenue drivers'!AK448</f>
        <v>0</v>
      </c>
      <c r="AL1108">
        <f>'Revenue drivers'!AL448</f>
        <v>0</v>
      </c>
      <c r="AM1108">
        <f>'Revenue drivers'!AM448</f>
        <v>0</v>
      </c>
      <c r="AN1108">
        <f>'Revenue drivers'!AN448</f>
        <v>0</v>
      </c>
      <c r="AO1108">
        <f>'Revenue drivers'!AO448</f>
        <v>0</v>
      </c>
      <c r="AP1108">
        <f>'Revenue drivers'!AP448</f>
        <v>0</v>
      </c>
      <c r="AQ1108">
        <f>'Revenue drivers'!AQ448</f>
        <v>0</v>
      </c>
      <c r="AR1108">
        <f>'Revenue drivers'!AR448</f>
        <v>0</v>
      </c>
      <c r="AS1108">
        <f>'Revenue drivers'!AS448</f>
        <v>0</v>
      </c>
      <c r="AT1108">
        <f>'Revenue drivers'!AT448</f>
        <v>0</v>
      </c>
      <c r="AU1108">
        <f>'Revenue drivers'!AU448</f>
        <v>0</v>
      </c>
      <c r="AV1108">
        <f>'Revenue drivers'!AV448</f>
        <v>0</v>
      </c>
      <c r="AW1108">
        <f>'Revenue drivers'!AW448</f>
        <v>0</v>
      </c>
      <c r="AX1108">
        <f>'Revenue drivers'!AX448</f>
        <v>0</v>
      </c>
      <c r="AY1108">
        <f>'Revenue drivers'!AY448</f>
        <v>0</v>
      </c>
      <c r="AZ1108">
        <f>'Revenue drivers'!AZ448</f>
        <v>0</v>
      </c>
      <c r="BA1108">
        <f>'Revenue drivers'!BA448</f>
        <v>0</v>
      </c>
      <c r="BB1108">
        <f>'Revenue drivers'!BB448</f>
        <v>0</v>
      </c>
      <c r="BC1108">
        <f>'Revenue drivers'!BC448</f>
        <v>0</v>
      </c>
      <c r="BD1108">
        <f>'Revenue drivers'!BD448</f>
        <v>0</v>
      </c>
      <c r="BE1108">
        <f>'Revenue drivers'!BE448</f>
        <v>0</v>
      </c>
      <c r="BF1108">
        <f>'Revenue drivers'!BF448</f>
        <v>0</v>
      </c>
      <c r="BG1108">
        <f>'Revenue drivers'!BG448</f>
        <v>8</v>
      </c>
      <c r="BH1108">
        <f>'Revenue drivers'!BH448</f>
        <v>6</v>
      </c>
      <c r="BI1108">
        <f>'Revenue drivers'!BI448</f>
        <v>7</v>
      </c>
      <c r="BJ1108">
        <f>'Revenue drivers'!BJ448</f>
        <v>22</v>
      </c>
      <c r="BK1108">
        <f>'Revenue drivers'!BK448</f>
        <v>22</v>
      </c>
      <c r="BL1108">
        <f>'Revenue drivers'!BL448</f>
        <v>26</v>
      </c>
      <c r="BM1108">
        <f>'Revenue drivers'!BM448</f>
        <v>20</v>
      </c>
      <c r="BN1108">
        <f>'Revenue drivers'!BN448</f>
        <v>15</v>
      </c>
      <c r="BO1108">
        <f>'Revenue drivers'!BO448</f>
        <v>20</v>
      </c>
      <c r="BP1108">
        <f>'Revenue drivers'!BP448</f>
        <v>20</v>
      </c>
      <c r="BQ1108">
        <f>'Revenue drivers'!BQ448</f>
        <v>20</v>
      </c>
      <c r="BR1108">
        <f>'Revenue drivers'!BR448</f>
        <v>20</v>
      </c>
      <c r="BS1108">
        <f>'Revenue drivers'!BS448</f>
        <v>20</v>
      </c>
      <c r="BT1108">
        <f>'Revenue drivers'!BT448</f>
        <v>20</v>
      </c>
      <c r="BU1108">
        <f>'Revenue drivers'!BU448</f>
        <v>20</v>
      </c>
      <c r="BV1108">
        <f>'Revenue drivers'!BV448</f>
        <v>20</v>
      </c>
      <c r="BW1108">
        <f>'Revenue drivers'!BW448</f>
        <v>20</v>
      </c>
      <c r="BX1108">
        <f>'Revenue drivers'!BX448</f>
        <v>20</v>
      </c>
      <c r="BY1108">
        <f>'Revenue drivers'!BY448</f>
        <v>20</v>
      </c>
    </row>
    <row r="1109" spans="9:77" ht="11.25" customHeight="1">
      <c r="I1109" t="str">
        <f>'Revenue drivers'!I449</f>
        <v>% change Y/Y</v>
      </c>
      <c r="J1109">
        <f>'Revenue drivers'!J449</f>
        <v>0</v>
      </c>
      <c r="K1109">
        <f>'Revenue drivers'!K449</f>
        <v>0</v>
      </c>
      <c r="L1109">
        <f>'Revenue drivers'!L449</f>
        <v>0</v>
      </c>
      <c r="M1109">
        <f>'Revenue drivers'!M449</f>
        <v>0</v>
      </c>
      <c r="N1109">
        <f>'Revenue drivers'!N449</f>
        <v>0</v>
      </c>
      <c r="O1109">
        <f>'Revenue drivers'!O449</f>
        <v>0</v>
      </c>
      <c r="P1109">
        <f>'Revenue drivers'!P449</f>
        <v>0</v>
      </c>
      <c r="Q1109">
        <f>'Revenue drivers'!Q449</f>
        <v>0</v>
      </c>
      <c r="R1109">
        <f>'Revenue drivers'!R449</f>
        <v>0</v>
      </c>
      <c r="S1109">
        <f>'Revenue drivers'!S449</f>
        <v>0</v>
      </c>
      <c r="T1109">
        <f>'Revenue drivers'!T449</f>
        <v>0.44897959183673475</v>
      </c>
      <c r="U1109" t="str">
        <f>'Revenue drivers'!U449</f>
        <v>NA</v>
      </c>
      <c r="V1109" t="str">
        <f>'Revenue drivers'!V449</f>
        <v>NA</v>
      </c>
      <c r="W1109" t="str">
        <f>'Revenue drivers'!W449</f>
        <v>NA</v>
      </c>
      <c r="X1109">
        <f>'Revenue drivers'!X449</f>
        <v>0.36619718309859151</v>
      </c>
      <c r="Y1109">
        <f>'Revenue drivers'!Y449</f>
        <v>0.21951219512195119</v>
      </c>
      <c r="Z1109">
        <f>'Revenue drivers'!Z449</f>
        <v>0.17777777777777781</v>
      </c>
      <c r="AA1109">
        <f>'Revenue drivers'!AA449</f>
        <v>0.15625</v>
      </c>
      <c r="AB1109">
        <f>'Revenue drivers'!AB449</f>
        <v>0.20618556701030921</v>
      </c>
      <c r="AC1109">
        <f>'Revenue drivers'!AC449</f>
        <v>0.19999999999999996</v>
      </c>
      <c r="AD1109">
        <f>'Revenue drivers'!AD449</f>
        <v>0.16981132075471694</v>
      </c>
      <c r="AE1109">
        <f>'Revenue drivers'!AE449</f>
        <v>0.14414414414414423</v>
      </c>
      <c r="AF1109">
        <f>'Revenue drivers'!AF449</f>
        <v>0.12820512820512819</v>
      </c>
      <c r="AG1109">
        <f>'Revenue drivers'!AG449</f>
        <v>0.14166666666666661</v>
      </c>
      <c r="AH1109">
        <f>'Revenue drivers'!AH449</f>
        <v>0.14516129032258074</v>
      </c>
      <c r="AI1109">
        <f>'Revenue drivers'!AI449</f>
        <v>0.15748031496062986</v>
      </c>
      <c r="AJ1109">
        <f>'Revenue drivers'!AJ449</f>
        <v>0.1515151515151516</v>
      </c>
      <c r="AK1109">
        <f>'Revenue drivers'!AK449</f>
        <v>0.14598540145985406</v>
      </c>
      <c r="AL1109">
        <f>'Revenue drivers'!AL449</f>
        <v>0.14084507042253525</v>
      </c>
      <c r="AM1109">
        <f>'Revenue drivers'!AM449</f>
        <v>0.13605442176870741</v>
      </c>
      <c r="AN1109">
        <f>'Revenue drivers'!AN449</f>
        <v>0.13157894736842102</v>
      </c>
      <c r="AO1109">
        <f>'Revenue drivers'!AO449</f>
        <v>0.12738853503184711</v>
      </c>
      <c r="AP1109">
        <f>'Revenue drivers'!AP449</f>
        <v>0.12345679012345689</v>
      </c>
      <c r="AQ1109">
        <f>'Revenue drivers'!AQ449</f>
        <v>0.11976047904191622</v>
      </c>
      <c r="AR1109">
        <f>'Revenue drivers'!AR449</f>
        <v>0.11627906976744184</v>
      </c>
      <c r="AS1109">
        <f>'Revenue drivers'!AS449</f>
        <v>0.11299435028248594</v>
      </c>
      <c r="AT1109">
        <f>'Revenue drivers'!AT449</f>
        <v>0.10989010989010994</v>
      </c>
      <c r="AU1109">
        <f>'Revenue drivers'!AU449</f>
        <v>0.10695187165775399</v>
      </c>
      <c r="AV1109">
        <f>'Revenue drivers'!AV449</f>
        <v>0.10416666666666674</v>
      </c>
      <c r="AW1109">
        <f>'Revenue drivers'!AW449</f>
        <v>0.10152284263959399</v>
      </c>
      <c r="AX1109">
        <f>'Revenue drivers'!AX449</f>
        <v>9.9009900990099098E-2</v>
      </c>
      <c r="AY1109">
        <f>'Revenue drivers'!AY449</f>
        <v>9.661835748792269E-2</v>
      </c>
      <c r="AZ1109">
        <f>'Revenue drivers'!AZ449</f>
        <v>9.4339622641509413E-2</v>
      </c>
      <c r="BA1109">
        <f>'Revenue drivers'!BA449</f>
        <v>9.2165898617511566E-2</v>
      </c>
      <c r="BB1109">
        <f>'Revenue drivers'!BB449</f>
        <v>9.0090090090090058E-2</v>
      </c>
      <c r="BC1109">
        <f>'Revenue drivers'!BC449</f>
        <v>8.8105726872246715E-2</v>
      </c>
      <c r="BD1109">
        <f>'Revenue drivers'!BD449</f>
        <v>8.6206896551724199E-2</v>
      </c>
      <c r="BE1109">
        <f>'Revenue drivers'!BE449</f>
        <v>0</v>
      </c>
      <c r="BF1109" t="str">
        <f>'Revenue drivers'!BF449</f>
        <v>NA</v>
      </c>
      <c r="BG1109">
        <f>'Revenue drivers'!BG449</f>
        <v>1.3333333333333335</v>
      </c>
      <c r="BH1109">
        <f>'Revenue drivers'!BH449</f>
        <v>0.4285714285714286</v>
      </c>
      <c r="BI1109">
        <f>'Revenue drivers'!BI449</f>
        <v>0.35000000000000009</v>
      </c>
      <c r="BJ1109">
        <f>'Revenue drivers'!BJ449</f>
        <v>0.81481481481481488</v>
      </c>
      <c r="BK1109">
        <f>'Revenue drivers'!BK449</f>
        <v>0.44897959183673475</v>
      </c>
      <c r="BL1109">
        <f>'Revenue drivers'!BL449</f>
        <v>0.36619718309859151</v>
      </c>
      <c r="BM1109">
        <f>'Revenue drivers'!BM449</f>
        <v>0.20618556701030921</v>
      </c>
      <c r="BN1109">
        <f>'Revenue drivers'!BN449</f>
        <v>0.12820512820512819</v>
      </c>
      <c r="BO1109">
        <f>'Revenue drivers'!BO449</f>
        <v>0.1515151515151516</v>
      </c>
      <c r="BP1109">
        <f>'Revenue drivers'!BP449</f>
        <v>0.13157894736842102</v>
      </c>
      <c r="BQ1109">
        <f>'Revenue drivers'!BQ449</f>
        <v>0.11627906976744184</v>
      </c>
      <c r="BR1109">
        <f>'Revenue drivers'!BR449</f>
        <v>0.10416666666666674</v>
      </c>
      <c r="BS1109">
        <f>'Revenue drivers'!BS449</f>
        <v>9.4339622641509413E-2</v>
      </c>
      <c r="BT1109">
        <f>'Revenue drivers'!BT449</f>
        <v>8.6206896551724199E-2</v>
      </c>
      <c r="BU1109">
        <f>'Revenue drivers'!BU449</f>
        <v>7.9365079365079305E-2</v>
      </c>
      <c r="BV1109">
        <f>'Revenue drivers'!BV449</f>
        <v>7.3529411764705843E-2</v>
      </c>
      <c r="BW1109">
        <f>'Revenue drivers'!BW449</f>
        <v>6.8493150684931559E-2</v>
      </c>
      <c r="BX1109">
        <f>'Revenue drivers'!BX449</f>
        <v>6.4102564102564097E-2</v>
      </c>
      <c r="BY1109">
        <f>'Revenue drivers'!BY449</f>
        <v>6.024096385542177E-2</v>
      </c>
    </row>
    <row r="1110" spans="9:77" ht="11.25" customHeight="1">
      <c r="I1110" t="str">
        <f>'Revenue drivers'!I450</f>
        <v>% change Q/Q</v>
      </c>
      <c r="J1110">
        <f>'Revenue drivers'!J450</f>
        <v>0</v>
      </c>
      <c r="K1110">
        <f>'Revenue drivers'!K450</f>
        <v>0</v>
      </c>
      <c r="L1110">
        <f>'Revenue drivers'!L450</f>
        <v>0</v>
      </c>
      <c r="M1110">
        <f>'Revenue drivers'!M450</f>
        <v>0</v>
      </c>
      <c r="N1110">
        <f>'Revenue drivers'!N450</f>
        <v>0</v>
      </c>
      <c r="O1110">
        <f>'Revenue drivers'!O450</f>
        <v>0</v>
      </c>
      <c r="P1110">
        <f>'Revenue drivers'!P450</f>
        <v>0</v>
      </c>
      <c r="Q1110">
        <f>'Revenue drivers'!Q450</f>
        <v>0</v>
      </c>
      <c r="R1110">
        <f>'Revenue drivers'!R450</f>
        <v>0</v>
      </c>
      <c r="S1110">
        <f>'Revenue drivers'!S450</f>
        <v>0</v>
      </c>
      <c r="T1110" t="str">
        <f>'Revenue drivers'!T450</f>
        <v>NA</v>
      </c>
      <c r="U1110">
        <f>'Revenue drivers'!U450</f>
        <v>0.15492957746478875</v>
      </c>
      <c r="V1110">
        <f>'Revenue drivers'!V450</f>
        <v>9.7560975609756184E-2</v>
      </c>
      <c r="W1110">
        <f>'Revenue drivers'!W450</f>
        <v>6.6666666666666652E-2</v>
      </c>
      <c r="X1110">
        <f>'Revenue drivers'!X450</f>
        <v>1.0416666666666741E-2</v>
      </c>
      <c r="Y1110">
        <f>'Revenue drivers'!Y450</f>
        <v>3.0927835051546282E-2</v>
      </c>
      <c r="Z1110">
        <f>'Revenue drivers'!Z450</f>
        <v>6.0000000000000053E-2</v>
      </c>
      <c r="AA1110">
        <f>'Revenue drivers'!AA450</f>
        <v>4.7169811320754818E-2</v>
      </c>
      <c r="AB1110">
        <f>'Revenue drivers'!AB450</f>
        <v>5.4054054054053946E-2</v>
      </c>
      <c r="AC1110">
        <f>'Revenue drivers'!AC450</f>
        <v>2.564102564102555E-2</v>
      </c>
      <c r="AD1110">
        <f>'Revenue drivers'!AD450</f>
        <v>3.3333333333333437E-2</v>
      </c>
      <c r="AE1110">
        <f>'Revenue drivers'!AE450</f>
        <v>2.4193548387096753E-2</v>
      </c>
      <c r="AF1110">
        <f>'Revenue drivers'!AF450</f>
        <v>3.937007874015741E-2</v>
      </c>
      <c r="AG1110">
        <f>'Revenue drivers'!AG450</f>
        <v>3.7878787878787845E-2</v>
      </c>
      <c r="AH1110">
        <f>'Revenue drivers'!AH450</f>
        <v>3.649635036496357E-2</v>
      </c>
      <c r="AI1110">
        <f>'Revenue drivers'!AI450</f>
        <v>3.5211267605633756E-2</v>
      </c>
      <c r="AJ1110">
        <f>'Revenue drivers'!AJ450</f>
        <v>3.4013605442176909E-2</v>
      </c>
      <c r="AK1110">
        <f>'Revenue drivers'!AK450</f>
        <v>3.289473684210531E-2</v>
      </c>
      <c r="AL1110">
        <f>'Revenue drivers'!AL450</f>
        <v>3.1847133757961776E-2</v>
      </c>
      <c r="AM1110">
        <f>'Revenue drivers'!AM450</f>
        <v>3.0864197530864113E-2</v>
      </c>
      <c r="AN1110">
        <f>'Revenue drivers'!AN450</f>
        <v>2.9940119760478945E-2</v>
      </c>
      <c r="AO1110">
        <f>'Revenue drivers'!AO450</f>
        <v>2.9069767441860517E-2</v>
      </c>
      <c r="AP1110">
        <f>'Revenue drivers'!AP450</f>
        <v>2.8248587570621542E-2</v>
      </c>
      <c r="AQ1110">
        <f>'Revenue drivers'!AQ450</f>
        <v>2.7472527472527375E-2</v>
      </c>
      <c r="AR1110">
        <f>'Revenue drivers'!AR450</f>
        <v>2.673796791443861E-2</v>
      </c>
      <c r="AS1110">
        <f>'Revenue drivers'!AS450</f>
        <v>2.6041666666666741E-2</v>
      </c>
      <c r="AT1110">
        <f>'Revenue drivers'!AT450</f>
        <v>2.5380710659898442E-2</v>
      </c>
      <c r="AU1110">
        <f>'Revenue drivers'!AU450</f>
        <v>2.4752475247524774E-2</v>
      </c>
      <c r="AV1110">
        <f>'Revenue drivers'!AV450</f>
        <v>2.4154589371980784E-2</v>
      </c>
      <c r="AW1110">
        <f>'Revenue drivers'!AW450</f>
        <v>2.3584905660377409E-2</v>
      </c>
      <c r="AX1110">
        <f>'Revenue drivers'!AX450</f>
        <v>2.3041474654377891E-2</v>
      </c>
      <c r="AY1110">
        <f>'Revenue drivers'!AY450</f>
        <v>2.2522522522522515E-2</v>
      </c>
      <c r="AZ1110">
        <f>'Revenue drivers'!AZ450</f>
        <v>2.2026431718061623E-2</v>
      </c>
      <c r="BA1110">
        <f>'Revenue drivers'!BA450</f>
        <v>2.155172413793105E-2</v>
      </c>
      <c r="BB1110">
        <f>'Revenue drivers'!BB450</f>
        <v>2.1097046413502074E-2</v>
      </c>
      <c r="BC1110">
        <f>'Revenue drivers'!BC450</f>
        <v>2.0661157024793431E-2</v>
      </c>
      <c r="BD1110">
        <f>'Revenue drivers'!BD450</f>
        <v>2.0242914979757165E-2</v>
      </c>
      <c r="BE1110">
        <f>'Revenue drivers'!BE450</f>
        <v>0</v>
      </c>
      <c r="BF1110">
        <f>'Revenue drivers'!BF450</f>
        <v>0</v>
      </c>
      <c r="BG1110">
        <f>'Revenue drivers'!BG450</f>
        <v>0</v>
      </c>
      <c r="BH1110">
        <f>'Revenue drivers'!BH450</f>
        <v>0</v>
      </c>
      <c r="BI1110">
        <f>'Revenue drivers'!BI450</f>
        <v>0</v>
      </c>
      <c r="BJ1110">
        <f>'Revenue drivers'!BJ450</f>
        <v>0</v>
      </c>
      <c r="BK1110">
        <f>'Revenue drivers'!BK450</f>
        <v>0</v>
      </c>
      <c r="BL1110">
        <f>'Revenue drivers'!BL450</f>
        <v>0</v>
      </c>
      <c r="BM1110">
        <f>'Revenue drivers'!BM450</f>
        <v>0</v>
      </c>
      <c r="BN1110">
        <f>'Revenue drivers'!BN450</f>
        <v>0</v>
      </c>
      <c r="BO1110">
        <f>'Revenue drivers'!BO450</f>
        <v>0</v>
      </c>
      <c r="BP1110">
        <f>'Revenue drivers'!BP450</f>
        <v>0</v>
      </c>
      <c r="BQ1110">
        <f>'Revenue drivers'!BQ450</f>
        <v>0</v>
      </c>
      <c r="BR1110">
        <f>'Revenue drivers'!BR450</f>
        <v>0</v>
      </c>
      <c r="BS1110">
        <f>'Revenue drivers'!BS450</f>
        <v>0</v>
      </c>
      <c r="BT1110">
        <f>'Revenue drivers'!BT450</f>
        <v>0</v>
      </c>
      <c r="BU1110">
        <f>'Revenue drivers'!BU450</f>
        <v>0</v>
      </c>
      <c r="BV1110">
        <f>'Revenue drivers'!BV450</f>
        <v>0</v>
      </c>
      <c r="BW1110">
        <f>'Revenue drivers'!BW450</f>
        <v>0</v>
      </c>
      <c r="BX1110">
        <f>'Revenue drivers'!BX450</f>
        <v>0</v>
      </c>
      <c r="BY1110">
        <f>'Revenue drivers'!BY450</f>
        <v>0</v>
      </c>
    </row>
    <row r="1111" spans="9:77" ht="11.25" customHeight="1">
      <c r="I1111">
        <f>'Revenue drivers'!I451</f>
        <v>0</v>
      </c>
      <c r="J1111">
        <f>'Revenue drivers'!J451</f>
        <v>0</v>
      </c>
      <c r="K1111">
        <f>'Revenue drivers'!K451</f>
        <v>0</v>
      </c>
      <c r="L1111">
        <f>'Revenue drivers'!L451</f>
        <v>0</v>
      </c>
      <c r="M1111">
        <f>'Revenue drivers'!M451</f>
        <v>0</v>
      </c>
      <c r="N1111">
        <f>'Revenue drivers'!N451</f>
        <v>0</v>
      </c>
      <c r="O1111">
        <f>'Revenue drivers'!O451</f>
        <v>0</v>
      </c>
      <c r="P1111">
        <f>'Revenue drivers'!P451</f>
        <v>0</v>
      </c>
      <c r="Q1111">
        <f>'Revenue drivers'!Q451</f>
        <v>0</v>
      </c>
      <c r="R1111">
        <f>'Revenue drivers'!R451</f>
        <v>0</v>
      </c>
      <c r="S1111">
        <f>'Revenue drivers'!S451</f>
        <v>0</v>
      </c>
      <c r="T1111">
        <f>'Revenue drivers'!T451</f>
        <v>0</v>
      </c>
      <c r="U1111">
        <f>'Revenue drivers'!U451</f>
        <v>0</v>
      </c>
      <c r="V1111">
        <f>'Revenue drivers'!V451</f>
        <v>0</v>
      </c>
      <c r="W1111">
        <f>'Revenue drivers'!W451</f>
        <v>0</v>
      </c>
      <c r="X1111">
        <f>'Revenue drivers'!X451</f>
        <v>0</v>
      </c>
      <c r="Y1111">
        <f>'Revenue drivers'!Y451</f>
        <v>0</v>
      </c>
      <c r="Z1111">
        <f>'Revenue drivers'!Z451</f>
        <v>0</v>
      </c>
      <c r="AA1111">
        <f>'Revenue drivers'!AA451</f>
        <v>0</v>
      </c>
      <c r="AB1111">
        <f>'Revenue drivers'!AB451</f>
        <v>0</v>
      </c>
      <c r="AC1111">
        <f>'Revenue drivers'!AC451</f>
        <v>0</v>
      </c>
      <c r="AD1111">
        <f>'Revenue drivers'!AD451</f>
        <v>0</v>
      </c>
      <c r="AE1111">
        <f>'Revenue drivers'!AE451</f>
        <v>0</v>
      </c>
      <c r="AF1111">
        <f>'Revenue drivers'!AF451</f>
        <v>0</v>
      </c>
      <c r="AG1111">
        <f>'Revenue drivers'!AG451</f>
        <v>0</v>
      </c>
      <c r="AH1111">
        <f>'Revenue drivers'!AH451</f>
        <v>0</v>
      </c>
      <c r="AI1111">
        <f>'Revenue drivers'!AI451</f>
        <v>0</v>
      </c>
      <c r="AJ1111">
        <f>'Revenue drivers'!AJ451</f>
        <v>0</v>
      </c>
      <c r="AK1111">
        <f>'Revenue drivers'!AK451</f>
        <v>0</v>
      </c>
      <c r="AL1111">
        <f>'Revenue drivers'!AL451</f>
        <v>0</v>
      </c>
      <c r="AM1111">
        <f>'Revenue drivers'!AM451</f>
        <v>0</v>
      </c>
      <c r="AN1111">
        <f>'Revenue drivers'!AN451</f>
        <v>0</v>
      </c>
      <c r="AO1111">
        <f>'Revenue drivers'!AO451</f>
        <v>0</v>
      </c>
      <c r="AP1111">
        <f>'Revenue drivers'!AP451</f>
        <v>0</v>
      </c>
      <c r="AQ1111">
        <f>'Revenue drivers'!AQ451</f>
        <v>0</v>
      </c>
      <c r="AR1111">
        <f>'Revenue drivers'!AR451</f>
        <v>0</v>
      </c>
      <c r="AS1111">
        <f>'Revenue drivers'!AS451</f>
        <v>0</v>
      </c>
      <c r="AT1111">
        <f>'Revenue drivers'!AT451</f>
        <v>0</v>
      </c>
      <c r="AU1111">
        <f>'Revenue drivers'!AU451</f>
        <v>0</v>
      </c>
      <c r="AV1111">
        <f>'Revenue drivers'!AV451</f>
        <v>0</v>
      </c>
      <c r="AW1111">
        <f>'Revenue drivers'!AW451</f>
        <v>0</v>
      </c>
      <c r="AX1111">
        <f>'Revenue drivers'!AX451</f>
        <v>0</v>
      </c>
      <c r="AY1111">
        <f>'Revenue drivers'!AY451</f>
        <v>0</v>
      </c>
      <c r="AZ1111">
        <f>'Revenue drivers'!AZ451</f>
        <v>0</v>
      </c>
      <c r="BA1111">
        <f>'Revenue drivers'!BA451</f>
        <v>0</v>
      </c>
      <c r="BB1111">
        <f>'Revenue drivers'!BB451</f>
        <v>0</v>
      </c>
      <c r="BC1111">
        <f>'Revenue drivers'!BC451</f>
        <v>0</v>
      </c>
      <c r="BD1111">
        <f>'Revenue drivers'!BD451</f>
        <v>0</v>
      </c>
      <c r="BE1111">
        <f>'Revenue drivers'!BE451</f>
        <v>0</v>
      </c>
      <c r="BF1111">
        <f>'Revenue drivers'!BF451</f>
        <v>0</v>
      </c>
      <c r="BG1111">
        <f>'Revenue drivers'!BG451</f>
        <v>0</v>
      </c>
      <c r="BH1111">
        <f>'Revenue drivers'!BH451</f>
        <v>0</v>
      </c>
      <c r="BI1111">
        <f>'Revenue drivers'!BI451</f>
        <v>0</v>
      </c>
      <c r="BJ1111">
        <f>'Revenue drivers'!BJ451</f>
        <v>0</v>
      </c>
      <c r="BK1111">
        <f>'Revenue drivers'!BK451</f>
        <v>0</v>
      </c>
      <c r="BL1111">
        <f>'Revenue drivers'!BL451</f>
        <v>0</v>
      </c>
      <c r="BM1111">
        <f>'Revenue drivers'!BM451</f>
        <v>0</v>
      </c>
      <c r="BN1111">
        <f>'Revenue drivers'!BN451</f>
        <v>0</v>
      </c>
      <c r="BO1111">
        <f>'Revenue drivers'!BO451</f>
        <v>0</v>
      </c>
      <c r="BP1111">
        <f>'Revenue drivers'!BP451</f>
        <v>0</v>
      </c>
      <c r="BQ1111">
        <f>'Revenue drivers'!BQ451</f>
        <v>0</v>
      </c>
      <c r="BR1111">
        <f>'Revenue drivers'!BR451</f>
        <v>0</v>
      </c>
      <c r="BS1111">
        <f>'Revenue drivers'!BS451</f>
        <v>0</v>
      </c>
      <c r="BT1111">
        <f>'Revenue drivers'!BT451</f>
        <v>0</v>
      </c>
      <c r="BU1111">
        <f>'Revenue drivers'!BU451</f>
        <v>0</v>
      </c>
      <c r="BV1111">
        <f>'Revenue drivers'!BV451</f>
        <v>0</v>
      </c>
      <c r="BW1111">
        <f>'Revenue drivers'!BW451</f>
        <v>0</v>
      </c>
      <c r="BX1111">
        <f>'Revenue drivers'!BX451</f>
        <v>0</v>
      </c>
      <c r="BY1111">
        <f>'Revenue drivers'!BY451</f>
        <v>0</v>
      </c>
    </row>
    <row r="1112" spans="9:77" ht="11.25" customHeight="1">
      <c r="I1112" t="str">
        <f>'Revenue drivers'!I452</f>
        <v>Active US markets</v>
      </c>
      <c r="J1112">
        <f>'Revenue drivers'!J452</f>
        <v>0</v>
      </c>
      <c r="K1112">
        <f>'Revenue drivers'!K452</f>
        <v>0</v>
      </c>
      <c r="L1112">
        <f>'Revenue drivers'!L452</f>
        <v>0</v>
      </c>
      <c r="M1112">
        <f>'Revenue drivers'!M452</f>
        <v>0</v>
      </c>
      <c r="N1112">
        <f>'Revenue drivers'!N452</f>
        <v>0</v>
      </c>
      <c r="O1112">
        <f>'Revenue drivers'!O452</f>
        <v>0</v>
      </c>
      <c r="P1112">
        <f>'Revenue drivers'!P452</f>
        <v>38</v>
      </c>
      <c r="Q1112">
        <f>'Revenue drivers'!Q452</f>
        <v>0</v>
      </c>
      <c r="R1112">
        <f>'Revenue drivers'!R452</f>
        <v>0</v>
      </c>
      <c r="S1112">
        <f>'Revenue drivers'!S452</f>
        <v>0</v>
      </c>
      <c r="T1112">
        <f>'Revenue drivers'!T452</f>
        <v>46</v>
      </c>
      <c r="U1112">
        <f>'Revenue drivers'!U452</f>
        <v>49</v>
      </c>
      <c r="V1112">
        <f>'Revenue drivers'!V452</f>
        <v>51</v>
      </c>
      <c r="W1112">
        <f>'Revenue drivers'!W452</f>
        <v>53</v>
      </c>
      <c r="X1112">
        <f>'Revenue drivers'!X452</f>
        <v>53</v>
      </c>
      <c r="Y1112">
        <f>'Revenue drivers'!Y452</f>
        <v>54</v>
      </c>
      <c r="Z1112">
        <f>'Revenue drivers'!Z452</f>
        <v>56</v>
      </c>
      <c r="AA1112">
        <f>'Revenue drivers'!AA452</f>
        <v>60</v>
      </c>
      <c r="AB1112">
        <f>'Revenue drivers'!AB452</f>
        <v>61</v>
      </c>
      <c r="AC1112">
        <f>'Revenue drivers'!AC452</f>
        <v>61</v>
      </c>
      <c r="AD1112">
        <f>'Revenue drivers'!AD452</f>
        <v>61</v>
      </c>
      <c r="AE1112">
        <f>'Revenue drivers'!AE452</f>
        <v>61</v>
      </c>
      <c r="AF1112">
        <f>'Revenue drivers'!AF452</f>
        <v>61</v>
      </c>
      <c r="AG1112">
        <f>'Revenue drivers'!AG452</f>
        <v>61</v>
      </c>
      <c r="AH1112">
        <f>'Revenue drivers'!AH452</f>
        <v>61</v>
      </c>
      <c r="AI1112">
        <f>'Revenue drivers'!AI452</f>
        <v>61</v>
      </c>
      <c r="AJ1112">
        <f>'Revenue drivers'!AJ452</f>
        <v>61</v>
      </c>
      <c r="AK1112">
        <f>'Revenue drivers'!AK452</f>
        <v>61</v>
      </c>
      <c r="AL1112">
        <f>'Revenue drivers'!AL452</f>
        <v>61</v>
      </c>
      <c r="AM1112">
        <f>'Revenue drivers'!AM452</f>
        <v>61</v>
      </c>
      <c r="AN1112">
        <f>'Revenue drivers'!AN452</f>
        <v>61</v>
      </c>
      <c r="AO1112">
        <f>'Revenue drivers'!AO452</f>
        <v>61</v>
      </c>
      <c r="AP1112">
        <f>'Revenue drivers'!AP452</f>
        <v>61</v>
      </c>
      <c r="AQ1112">
        <f>'Revenue drivers'!AQ452</f>
        <v>61</v>
      </c>
      <c r="AR1112">
        <f>'Revenue drivers'!AR452</f>
        <v>61</v>
      </c>
      <c r="AS1112">
        <f>'Revenue drivers'!AS452</f>
        <v>61</v>
      </c>
      <c r="AT1112">
        <f>'Revenue drivers'!AT452</f>
        <v>61</v>
      </c>
      <c r="AU1112">
        <f>'Revenue drivers'!AU452</f>
        <v>61</v>
      </c>
      <c r="AV1112">
        <f>'Revenue drivers'!AV452</f>
        <v>61</v>
      </c>
      <c r="AW1112">
        <f>'Revenue drivers'!AW452</f>
        <v>61</v>
      </c>
      <c r="AX1112">
        <f>'Revenue drivers'!AX452</f>
        <v>61</v>
      </c>
      <c r="AY1112">
        <f>'Revenue drivers'!AY452</f>
        <v>61</v>
      </c>
      <c r="AZ1112">
        <f>'Revenue drivers'!AZ452</f>
        <v>61</v>
      </c>
      <c r="BA1112">
        <f>'Revenue drivers'!BA452</f>
        <v>61</v>
      </c>
      <c r="BB1112">
        <f>'Revenue drivers'!BB452</f>
        <v>61</v>
      </c>
      <c r="BC1112">
        <f>'Revenue drivers'!BC452</f>
        <v>61</v>
      </c>
      <c r="BD1112">
        <f>'Revenue drivers'!BD452</f>
        <v>61</v>
      </c>
      <c r="BE1112">
        <f>'Revenue drivers'!BE452</f>
        <v>0</v>
      </c>
      <c r="BF1112">
        <f>'Revenue drivers'!BF452</f>
        <v>6</v>
      </c>
      <c r="BG1112">
        <f>'Revenue drivers'!BG452</f>
        <v>14</v>
      </c>
      <c r="BH1112">
        <f>'Revenue drivers'!BH452</f>
        <v>20</v>
      </c>
      <c r="BI1112">
        <f>'Revenue drivers'!BI452</f>
        <v>24</v>
      </c>
      <c r="BJ1112">
        <f>'Revenue drivers'!BJ452</f>
        <v>38</v>
      </c>
      <c r="BK1112">
        <f>'Revenue drivers'!BK452</f>
        <v>46</v>
      </c>
      <c r="BL1112">
        <f>'Revenue drivers'!BL452</f>
        <v>53</v>
      </c>
      <c r="BM1112">
        <f>'Revenue drivers'!BM452</f>
        <v>61</v>
      </c>
      <c r="BN1112">
        <f>'Revenue drivers'!BN452</f>
        <v>61</v>
      </c>
      <c r="BO1112">
        <f>'Revenue drivers'!BO452</f>
        <v>61</v>
      </c>
      <c r="BP1112">
        <f>'Revenue drivers'!BP452</f>
        <v>61</v>
      </c>
      <c r="BQ1112">
        <f>'Revenue drivers'!BQ452</f>
        <v>61</v>
      </c>
      <c r="BR1112">
        <f>'Revenue drivers'!BR452</f>
        <v>61</v>
      </c>
      <c r="BS1112">
        <f>'Revenue drivers'!BS452</f>
        <v>61</v>
      </c>
      <c r="BT1112">
        <f>'Revenue drivers'!BT452</f>
        <v>61</v>
      </c>
      <c r="BU1112">
        <f>'Revenue drivers'!BU452</f>
        <v>61</v>
      </c>
      <c r="BV1112">
        <f>'Revenue drivers'!BV452</f>
        <v>61</v>
      </c>
      <c r="BW1112">
        <f>'Revenue drivers'!BW452</f>
        <v>61</v>
      </c>
      <c r="BX1112">
        <f>'Revenue drivers'!BX452</f>
        <v>61</v>
      </c>
      <c r="BY1112">
        <f>'Revenue drivers'!BY452</f>
        <v>61</v>
      </c>
    </row>
    <row r="1113" spans="9:77" ht="11.25" customHeight="1">
      <c r="I1113" t="str">
        <f>'Revenue drivers'!I453</f>
        <v>DRIVER: Base case - period-to-period addition Q/Q</v>
      </c>
      <c r="J1113">
        <f>'Revenue drivers'!J453</f>
        <v>0</v>
      </c>
      <c r="K1113">
        <f>'Revenue drivers'!K453</f>
        <v>0</v>
      </c>
      <c r="L1113">
        <f>'Revenue drivers'!L453</f>
        <v>0</v>
      </c>
      <c r="M1113">
        <f>'Revenue drivers'!M453</f>
        <v>0</v>
      </c>
      <c r="N1113">
        <f>'Revenue drivers'!N453</f>
        <v>0</v>
      </c>
      <c r="O1113">
        <f>'Revenue drivers'!O453</f>
        <v>0</v>
      </c>
      <c r="P1113">
        <f>'Revenue drivers'!P453</f>
        <v>0</v>
      </c>
      <c r="Q1113">
        <f>'Revenue drivers'!Q453</f>
        <v>0</v>
      </c>
      <c r="R1113">
        <f>'Revenue drivers'!R453</f>
        <v>0</v>
      </c>
      <c r="S1113">
        <f>'Revenue drivers'!S453</f>
        <v>0</v>
      </c>
      <c r="T1113">
        <f>'Revenue drivers'!T453</f>
        <v>0</v>
      </c>
      <c r="U1113">
        <f>'Revenue drivers'!U453</f>
        <v>3</v>
      </c>
      <c r="V1113">
        <f>'Revenue drivers'!V453</f>
        <v>2</v>
      </c>
      <c r="W1113">
        <f>'Revenue drivers'!W453</f>
        <v>2</v>
      </c>
      <c r="X1113">
        <f>'Revenue drivers'!X453</f>
        <v>0</v>
      </c>
      <c r="Y1113">
        <f>'Revenue drivers'!Y453</f>
        <v>1</v>
      </c>
      <c r="Z1113">
        <f>'Revenue drivers'!Z453</f>
        <v>2</v>
      </c>
      <c r="AA1113">
        <f>'Revenue drivers'!AA453</f>
        <v>4</v>
      </c>
      <c r="AB1113">
        <f>'Revenue drivers'!AB453</f>
        <v>1</v>
      </c>
      <c r="AC1113">
        <f>'Revenue drivers'!AC453</f>
        <v>0</v>
      </c>
      <c r="AD1113">
        <f>'Revenue drivers'!AD453</f>
        <v>0</v>
      </c>
      <c r="AE1113">
        <f>'Revenue drivers'!AE453</f>
        <v>0</v>
      </c>
      <c r="AF1113">
        <f>'Revenue drivers'!AF453</f>
        <v>0</v>
      </c>
      <c r="AG1113">
        <f>'Revenue drivers'!AG453</f>
        <v>0</v>
      </c>
      <c r="AH1113">
        <f>'Revenue drivers'!AH453</f>
        <v>0</v>
      </c>
      <c r="AI1113">
        <f>'Revenue drivers'!AI453</f>
        <v>0</v>
      </c>
      <c r="AJ1113">
        <f>'Revenue drivers'!AJ453</f>
        <v>0</v>
      </c>
      <c r="AK1113">
        <f>'Revenue drivers'!AK453</f>
        <v>0</v>
      </c>
      <c r="AL1113">
        <f>'Revenue drivers'!AL453</f>
        <v>0</v>
      </c>
      <c r="AM1113">
        <f>'Revenue drivers'!AM453</f>
        <v>0</v>
      </c>
      <c r="AN1113">
        <f>'Revenue drivers'!AN453</f>
        <v>0</v>
      </c>
      <c r="AO1113">
        <f>'Revenue drivers'!AO453</f>
        <v>0</v>
      </c>
      <c r="AP1113">
        <f>'Revenue drivers'!AP453</f>
        <v>0</v>
      </c>
      <c r="AQ1113">
        <f>'Revenue drivers'!AQ453</f>
        <v>0</v>
      </c>
      <c r="AR1113">
        <f>'Revenue drivers'!AR453</f>
        <v>0</v>
      </c>
      <c r="AS1113">
        <f>'Revenue drivers'!AS453</f>
        <v>0</v>
      </c>
      <c r="AT1113">
        <f>'Revenue drivers'!AT453</f>
        <v>0</v>
      </c>
      <c r="AU1113">
        <f>'Revenue drivers'!AU453</f>
        <v>0</v>
      </c>
      <c r="AV1113">
        <f>'Revenue drivers'!AV453</f>
        <v>0</v>
      </c>
      <c r="AW1113">
        <f>'Revenue drivers'!AW453</f>
        <v>0</v>
      </c>
      <c r="AX1113">
        <f>'Revenue drivers'!AX453</f>
        <v>0</v>
      </c>
      <c r="AY1113">
        <f>'Revenue drivers'!AY453</f>
        <v>0</v>
      </c>
      <c r="AZ1113">
        <f>'Revenue drivers'!AZ453</f>
        <v>0</v>
      </c>
      <c r="BA1113">
        <f>'Revenue drivers'!BA453</f>
        <v>0</v>
      </c>
      <c r="BB1113">
        <f>'Revenue drivers'!BB453</f>
        <v>0</v>
      </c>
      <c r="BC1113">
        <f>'Revenue drivers'!BC453</f>
        <v>0</v>
      </c>
      <c r="BD1113">
        <f>'Revenue drivers'!BD453</f>
        <v>0</v>
      </c>
      <c r="BE1113">
        <f>'Revenue drivers'!BE453</f>
        <v>0</v>
      </c>
      <c r="BF1113">
        <f>'Revenue drivers'!BF453</f>
        <v>0</v>
      </c>
      <c r="BG1113">
        <f>'Revenue drivers'!BG453</f>
        <v>0</v>
      </c>
      <c r="BH1113">
        <f>'Revenue drivers'!BH453</f>
        <v>0</v>
      </c>
      <c r="BI1113">
        <f>'Revenue drivers'!BI453</f>
        <v>0</v>
      </c>
      <c r="BJ1113">
        <f>'Revenue drivers'!BJ453</f>
        <v>0</v>
      </c>
      <c r="BK1113">
        <f>'Revenue drivers'!BK453</f>
        <v>0</v>
      </c>
      <c r="BL1113">
        <f>'Revenue drivers'!BL453</f>
        <v>0</v>
      </c>
      <c r="BM1113">
        <f>'Revenue drivers'!BM453</f>
        <v>0</v>
      </c>
      <c r="BN1113">
        <f>'Revenue drivers'!BN453</f>
        <v>0</v>
      </c>
      <c r="BO1113">
        <f>'Revenue drivers'!BO453</f>
        <v>0</v>
      </c>
      <c r="BP1113">
        <f>'Revenue drivers'!BP453</f>
        <v>0</v>
      </c>
      <c r="BQ1113">
        <f>'Revenue drivers'!BQ453</f>
        <v>0</v>
      </c>
      <c r="BR1113">
        <f>'Revenue drivers'!BR453</f>
        <v>0</v>
      </c>
      <c r="BS1113">
        <f>'Revenue drivers'!BS453</f>
        <v>0</v>
      </c>
      <c r="BT1113">
        <f>'Revenue drivers'!BT453</f>
        <v>0</v>
      </c>
      <c r="BU1113">
        <f>'Revenue drivers'!BU453</f>
        <v>0</v>
      </c>
      <c r="BV1113">
        <f>'Revenue drivers'!BV453</f>
        <v>0</v>
      </c>
      <c r="BW1113">
        <f>'Revenue drivers'!BW453</f>
        <v>0</v>
      </c>
      <c r="BX1113">
        <f>'Revenue drivers'!BX453</f>
        <v>0</v>
      </c>
      <c r="BY1113">
        <f>'Revenue drivers'!BY453</f>
        <v>0</v>
      </c>
    </row>
    <row r="1114" spans="9:77" ht="11.25" customHeight="1">
      <c r="I1114" t="str">
        <f>'Revenue drivers'!I454</f>
        <v>Period-to-period addition Y/Y</v>
      </c>
      <c r="J1114">
        <f>'Revenue drivers'!J454</f>
        <v>0</v>
      </c>
      <c r="K1114">
        <f>'Revenue drivers'!K454</f>
        <v>0</v>
      </c>
      <c r="L1114">
        <f>'Revenue drivers'!L454</f>
        <v>0</v>
      </c>
      <c r="M1114">
        <f>'Revenue drivers'!M454</f>
        <v>0</v>
      </c>
      <c r="N1114">
        <f>'Revenue drivers'!N454</f>
        <v>0</v>
      </c>
      <c r="O1114">
        <f>'Revenue drivers'!O454</f>
        <v>0</v>
      </c>
      <c r="P1114">
        <f>'Revenue drivers'!P454</f>
        <v>0</v>
      </c>
      <c r="Q1114">
        <f>'Revenue drivers'!Q454</f>
        <v>0</v>
      </c>
      <c r="R1114">
        <f>'Revenue drivers'!R454</f>
        <v>0</v>
      </c>
      <c r="S1114">
        <f>'Revenue drivers'!S454</f>
        <v>0</v>
      </c>
      <c r="T1114">
        <f>'Revenue drivers'!T454</f>
        <v>0</v>
      </c>
      <c r="U1114">
        <f>'Revenue drivers'!U454</f>
        <v>0</v>
      </c>
      <c r="V1114">
        <f>'Revenue drivers'!V454</f>
        <v>0</v>
      </c>
      <c r="W1114">
        <f>'Revenue drivers'!W454</f>
        <v>0</v>
      </c>
      <c r="X1114">
        <f>'Revenue drivers'!X454</f>
        <v>0</v>
      </c>
      <c r="Y1114">
        <f>'Revenue drivers'!Y454</f>
        <v>0</v>
      </c>
      <c r="Z1114">
        <f>'Revenue drivers'!Z454</f>
        <v>0</v>
      </c>
      <c r="AA1114">
        <f>'Revenue drivers'!AA454</f>
        <v>0</v>
      </c>
      <c r="AB1114">
        <f>'Revenue drivers'!AB454</f>
        <v>0</v>
      </c>
      <c r="AC1114">
        <f>'Revenue drivers'!AC454</f>
        <v>0</v>
      </c>
      <c r="AD1114">
        <f>'Revenue drivers'!AD454</f>
        <v>0</v>
      </c>
      <c r="AE1114">
        <f>'Revenue drivers'!AE454</f>
        <v>0</v>
      </c>
      <c r="AF1114">
        <f>'Revenue drivers'!AF454</f>
        <v>0</v>
      </c>
      <c r="AG1114">
        <f>'Revenue drivers'!AG454</f>
        <v>0</v>
      </c>
      <c r="AH1114">
        <f>'Revenue drivers'!AH454</f>
        <v>0</v>
      </c>
      <c r="AI1114">
        <f>'Revenue drivers'!AI454</f>
        <v>0</v>
      </c>
      <c r="AJ1114">
        <f>'Revenue drivers'!AJ454</f>
        <v>0</v>
      </c>
      <c r="AK1114">
        <f>'Revenue drivers'!AK454</f>
        <v>0</v>
      </c>
      <c r="AL1114">
        <f>'Revenue drivers'!AL454</f>
        <v>0</v>
      </c>
      <c r="AM1114">
        <f>'Revenue drivers'!AM454</f>
        <v>0</v>
      </c>
      <c r="AN1114">
        <f>'Revenue drivers'!AN454</f>
        <v>0</v>
      </c>
      <c r="AO1114">
        <f>'Revenue drivers'!AO454</f>
        <v>0</v>
      </c>
      <c r="AP1114">
        <f>'Revenue drivers'!AP454</f>
        <v>0</v>
      </c>
      <c r="AQ1114">
        <f>'Revenue drivers'!AQ454</f>
        <v>0</v>
      </c>
      <c r="AR1114">
        <f>'Revenue drivers'!AR454</f>
        <v>0</v>
      </c>
      <c r="AS1114">
        <f>'Revenue drivers'!AS454</f>
        <v>0</v>
      </c>
      <c r="AT1114">
        <f>'Revenue drivers'!AT454</f>
        <v>0</v>
      </c>
      <c r="AU1114">
        <f>'Revenue drivers'!AU454</f>
        <v>0</v>
      </c>
      <c r="AV1114">
        <f>'Revenue drivers'!AV454</f>
        <v>0</v>
      </c>
      <c r="AW1114">
        <f>'Revenue drivers'!AW454</f>
        <v>0</v>
      </c>
      <c r="AX1114">
        <f>'Revenue drivers'!AX454</f>
        <v>0</v>
      </c>
      <c r="AY1114">
        <f>'Revenue drivers'!AY454</f>
        <v>0</v>
      </c>
      <c r="AZ1114">
        <f>'Revenue drivers'!AZ454</f>
        <v>0</v>
      </c>
      <c r="BA1114">
        <f>'Revenue drivers'!BA454</f>
        <v>0</v>
      </c>
      <c r="BB1114">
        <f>'Revenue drivers'!BB454</f>
        <v>0</v>
      </c>
      <c r="BC1114">
        <f>'Revenue drivers'!BC454</f>
        <v>0</v>
      </c>
      <c r="BD1114">
        <f>'Revenue drivers'!BD454</f>
        <v>0</v>
      </c>
      <c r="BE1114">
        <f>'Revenue drivers'!BE454</f>
        <v>0</v>
      </c>
      <c r="BF1114">
        <f>'Revenue drivers'!BF454</f>
        <v>0</v>
      </c>
      <c r="BG1114">
        <f>'Revenue drivers'!BG454</f>
        <v>8</v>
      </c>
      <c r="BH1114">
        <f>'Revenue drivers'!BH454</f>
        <v>6</v>
      </c>
      <c r="BI1114">
        <f>'Revenue drivers'!BI454</f>
        <v>4</v>
      </c>
      <c r="BJ1114">
        <f>'Revenue drivers'!BJ454</f>
        <v>14</v>
      </c>
      <c r="BK1114">
        <f>'Revenue drivers'!BK454</f>
        <v>8</v>
      </c>
      <c r="BL1114">
        <f>'Revenue drivers'!BL454</f>
        <v>7</v>
      </c>
      <c r="BM1114">
        <f>'Revenue drivers'!BM454</f>
        <v>8</v>
      </c>
      <c r="BN1114">
        <f>'Revenue drivers'!BN454</f>
        <v>0</v>
      </c>
      <c r="BO1114">
        <f>'Revenue drivers'!BO454</f>
        <v>0</v>
      </c>
      <c r="BP1114">
        <f>'Revenue drivers'!BP454</f>
        <v>0</v>
      </c>
      <c r="BQ1114">
        <f>'Revenue drivers'!BQ454</f>
        <v>0</v>
      </c>
      <c r="BR1114">
        <f>'Revenue drivers'!BR454</f>
        <v>0</v>
      </c>
      <c r="BS1114">
        <f>'Revenue drivers'!BS454</f>
        <v>0</v>
      </c>
      <c r="BT1114">
        <f>'Revenue drivers'!BT454</f>
        <v>0</v>
      </c>
      <c r="BU1114">
        <f>'Revenue drivers'!BU454</f>
        <v>0</v>
      </c>
      <c r="BV1114">
        <f>'Revenue drivers'!BV454</f>
        <v>0</v>
      </c>
      <c r="BW1114">
        <f>'Revenue drivers'!BW454</f>
        <v>0</v>
      </c>
      <c r="BX1114">
        <f>'Revenue drivers'!BX454</f>
        <v>0</v>
      </c>
      <c r="BY1114">
        <f>'Revenue drivers'!BY454</f>
        <v>0</v>
      </c>
    </row>
    <row r="1115" spans="9:77" ht="11.25" customHeight="1">
      <c r="I1115" t="str">
        <f>'Revenue drivers'!I455</f>
        <v>% change Y/Y</v>
      </c>
      <c r="J1115">
        <f>'Revenue drivers'!J455</f>
        <v>0</v>
      </c>
      <c r="K1115">
        <f>'Revenue drivers'!K455</f>
        <v>0</v>
      </c>
      <c r="L1115">
        <f>'Revenue drivers'!L455</f>
        <v>0</v>
      </c>
      <c r="M1115">
        <f>'Revenue drivers'!M455</f>
        <v>0</v>
      </c>
      <c r="N1115">
        <f>'Revenue drivers'!N455</f>
        <v>0</v>
      </c>
      <c r="O1115">
        <f>'Revenue drivers'!O455</f>
        <v>0</v>
      </c>
      <c r="P1115">
        <f>'Revenue drivers'!P455</f>
        <v>0</v>
      </c>
      <c r="Q1115">
        <f>'Revenue drivers'!Q455</f>
        <v>0</v>
      </c>
      <c r="R1115">
        <f>'Revenue drivers'!R455</f>
        <v>0</v>
      </c>
      <c r="S1115">
        <f>'Revenue drivers'!S455</f>
        <v>0</v>
      </c>
      <c r="T1115">
        <f>'Revenue drivers'!T455</f>
        <v>0.21052631578947367</v>
      </c>
      <c r="U1115" t="str">
        <f>'Revenue drivers'!U455</f>
        <v>NA</v>
      </c>
      <c r="V1115" t="str">
        <f>'Revenue drivers'!V455</f>
        <v>NA</v>
      </c>
      <c r="W1115" t="str">
        <f>'Revenue drivers'!W455</f>
        <v>NA</v>
      </c>
      <c r="X1115">
        <f>'Revenue drivers'!X455</f>
        <v>0.15217391304347827</v>
      </c>
      <c r="Y1115">
        <f>'Revenue drivers'!Y455</f>
        <v>0.1020408163265305</v>
      </c>
      <c r="Z1115">
        <f>'Revenue drivers'!Z455</f>
        <v>9.8039215686274606E-2</v>
      </c>
      <c r="AA1115">
        <f>'Revenue drivers'!AA455</f>
        <v>0.13207547169811318</v>
      </c>
      <c r="AB1115">
        <f>'Revenue drivers'!AB455</f>
        <v>0.15094339622641506</v>
      </c>
      <c r="AC1115">
        <f>'Revenue drivers'!AC455</f>
        <v>0.12962962962962954</v>
      </c>
      <c r="AD1115">
        <f>'Revenue drivers'!AD455</f>
        <v>8.9285714285714191E-2</v>
      </c>
      <c r="AE1115">
        <f>'Revenue drivers'!AE455</f>
        <v>1.6666666666666607E-2</v>
      </c>
      <c r="AF1115">
        <f>'Revenue drivers'!AF455</f>
        <v>0</v>
      </c>
      <c r="AG1115">
        <f>'Revenue drivers'!AG455</f>
        <v>0</v>
      </c>
      <c r="AH1115">
        <f>'Revenue drivers'!AH455</f>
        <v>0</v>
      </c>
      <c r="AI1115">
        <f>'Revenue drivers'!AI455</f>
        <v>0</v>
      </c>
      <c r="AJ1115">
        <f>'Revenue drivers'!AJ455</f>
        <v>0</v>
      </c>
      <c r="AK1115">
        <f>'Revenue drivers'!AK455</f>
        <v>0</v>
      </c>
      <c r="AL1115">
        <f>'Revenue drivers'!AL455</f>
        <v>0</v>
      </c>
      <c r="AM1115">
        <f>'Revenue drivers'!AM455</f>
        <v>0</v>
      </c>
      <c r="AN1115">
        <f>'Revenue drivers'!AN455</f>
        <v>0</v>
      </c>
      <c r="AO1115">
        <f>'Revenue drivers'!AO455</f>
        <v>0</v>
      </c>
      <c r="AP1115">
        <f>'Revenue drivers'!AP455</f>
        <v>0</v>
      </c>
      <c r="AQ1115">
        <f>'Revenue drivers'!AQ455</f>
        <v>0</v>
      </c>
      <c r="AR1115">
        <f>'Revenue drivers'!AR455</f>
        <v>0</v>
      </c>
      <c r="AS1115">
        <f>'Revenue drivers'!AS455</f>
        <v>0</v>
      </c>
      <c r="AT1115">
        <f>'Revenue drivers'!AT455</f>
        <v>0</v>
      </c>
      <c r="AU1115">
        <f>'Revenue drivers'!AU455</f>
        <v>0</v>
      </c>
      <c r="AV1115">
        <f>'Revenue drivers'!AV455</f>
        <v>0</v>
      </c>
      <c r="AW1115">
        <f>'Revenue drivers'!AW455</f>
        <v>0</v>
      </c>
      <c r="AX1115">
        <f>'Revenue drivers'!AX455</f>
        <v>0</v>
      </c>
      <c r="AY1115">
        <f>'Revenue drivers'!AY455</f>
        <v>0</v>
      </c>
      <c r="AZ1115">
        <f>'Revenue drivers'!AZ455</f>
        <v>0</v>
      </c>
      <c r="BA1115">
        <f>'Revenue drivers'!BA455</f>
        <v>0</v>
      </c>
      <c r="BB1115">
        <f>'Revenue drivers'!BB455</f>
        <v>0</v>
      </c>
      <c r="BC1115">
        <f>'Revenue drivers'!BC455</f>
        <v>0</v>
      </c>
      <c r="BD1115">
        <f>'Revenue drivers'!BD455</f>
        <v>0</v>
      </c>
      <c r="BE1115">
        <f>'Revenue drivers'!BE455</f>
        <v>0</v>
      </c>
      <c r="BF1115" t="str">
        <f>'Revenue drivers'!BF455</f>
        <v>NA</v>
      </c>
      <c r="BG1115">
        <f>'Revenue drivers'!BG455</f>
        <v>1.3333333333333335</v>
      </c>
      <c r="BH1115">
        <f>'Revenue drivers'!BH455</f>
        <v>0.4285714285714286</v>
      </c>
      <c r="BI1115">
        <f>'Revenue drivers'!BI455</f>
        <v>0.19999999999999996</v>
      </c>
      <c r="BJ1115">
        <f>'Revenue drivers'!BJ455</f>
        <v>0.58333333333333326</v>
      </c>
      <c r="BK1115">
        <f>'Revenue drivers'!BK455</f>
        <v>0.21052631578947367</v>
      </c>
      <c r="BL1115">
        <f>'Revenue drivers'!BL455</f>
        <v>0.15217391304347827</v>
      </c>
      <c r="BM1115">
        <f>'Revenue drivers'!BM455</f>
        <v>0.15094339622641506</v>
      </c>
      <c r="BN1115">
        <f>'Revenue drivers'!BN455</f>
        <v>0</v>
      </c>
      <c r="BO1115">
        <f>'Revenue drivers'!BO455</f>
        <v>0</v>
      </c>
      <c r="BP1115">
        <f>'Revenue drivers'!BP455</f>
        <v>0</v>
      </c>
      <c r="BQ1115">
        <f>'Revenue drivers'!BQ455</f>
        <v>0</v>
      </c>
      <c r="BR1115">
        <f>'Revenue drivers'!BR455</f>
        <v>0</v>
      </c>
      <c r="BS1115">
        <f>'Revenue drivers'!BS455</f>
        <v>0</v>
      </c>
      <c r="BT1115">
        <f>'Revenue drivers'!BT455</f>
        <v>0</v>
      </c>
      <c r="BU1115">
        <f>'Revenue drivers'!BU455</f>
        <v>0</v>
      </c>
      <c r="BV1115">
        <f>'Revenue drivers'!BV455</f>
        <v>0</v>
      </c>
      <c r="BW1115">
        <f>'Revenue drivers'!BW455</f>
        <v>0</v>
      </c>
      <c r="BX1115">
        <f>'Revenue drivers'!BX455</f>
        <v>0</v>
      </c>
      <c r="BY1115">
        <f>'Revenue drivers'!BY455</f>
        <v>0</v>
      </c>
    </row>
    <row r="1116" spans="9:77" ht="11.25" customHeight="1">
      <c r="I1116" t="str">
        <f>'Revenue drivers'!I456</f>
        <v>% change Q/Q</v>
      </c>
      <c r="J1116">
        <f>'Revenue drivers'!J456</f>
        <v>0</v>
      </c>
      <c r="K1116">
        <f>'Revenue drivers'!K456</f>
        <v>0</v>
      </c>
      <c r="L1116">
        <f>'Revenue drivers'!L456</f>
        <v>0</v>
      </c>
      <c r="M1116">
        <f>'Revenue drivers'!M456</f>
        <v>0</v>
      </c>
      <c r="N1116">
        <f>'Revenue drivers'!N456</f>
        <v>0</v>
      </c>
      <c r="O1116">
        <f>'Revenue drivers'!O456</f>
        <v>0</v>
      </c>
      <c r="P1116">
        <f>'Revenue drivers'!P456</f>
        <v>0</v>
      </c>
      <c r="Q1116">
        <f>'Revenue drivers'!Q456</f>
        <v>0</v>
      </c>
      <c r="R1116">
        <f>'Revenue drivers'!R456</f>
        <v>0</v>
      </c>
      <c r="S1116">
        <f>'Revenue drivers'!S456</f>
        <v>0</v>
      </c>
      <c r="T1116" t="str">
        <f>'Revenue drivers'!T456</f>
        <v>NA</v>
      </c>
      <c r="U1116">
        <f>'Revenue drivers'!U456</f>
        <v>6.5217391304347894E-2</v>
      </c>
      <c r="V1116">
        <f>'Revenue drivers'!V456</f>
        <v>4.081632653061229E-2</v>
      </c>
      <c r="W1116">
        <f>'Revenue drivers'!W456</f>
        <v>3.9215686274509887E-2</v>
      </c>
      <c r="X1116">
        <f>'Revenue drivers'!X456</f>
        <v>0</v>
      </c>
      <c r="Y1116">
        <f>'Revenue drivers'!Y456</f>
        <v>1.8867924528301883E-2</v>
      </c>
      <c r="Z1116">
        <f>'Revenue drivers'!Z456</f>
        <v>3.7037037037036979E-2</v>
      </c>
      <c r="AA1116">
        <f>'Revenue drivers'!AA456</f>
        <v>7.1428571428571397E-2</v>
      </c>
      <c r="AB1116">
        <f>'Revenue drivers'!AB456</f>
        <v>1.6666666666666607E-2</v>
      </c>
      <c r="AC1116">
        <f>'Revenue drivers'!AC456</f>
        <v>0</v>
      </c>
      <c r="AD1116">
        <f>'Revenue drivers'!AD456</f>
        <v>0</v>
      </c>
      <c r="AE1116">
        <f>'Revenue drivers'!AE456</f>
        <v>0</v>
      </c>
      <c r="AF1116">
        <f>'Revenue drivers'!AF456</f>
        <v>0</v>
      </c>
      <c r="AG1116">
        <f>'Revenue drivers'!AG456</f>
        <v>0</v>
      </c>
      <c r="AH1116">
        <f>'Revenue drivers'!AH456</f>
        <v>0</v>
      </c>
      <c r="AI1116">
        <f>'Revenue drivers'!AI456</f>
        <v>0</v>
      </c>
      <c r="AJ1116">
        <f>'Revenue drivers'!AJ456</f>
        <v>0</v>
      </c>
      <c r="AK1116">
        <f>'Revenue drivers'!AK456</f>
        <v>0</v>
      </c>
      <c r="AL1116">
        <f>'Revenue drivers'!AL456</f>
        <v>0</v>
      </c>
      <c r="AM1116">
        <f>'Revenue drivers'!AM456</f>
        <v>0</v>
      </c>
      <c r="AN1116">
        <f>'Revenue drivers'!AN456</f>
        <v>0</v>
      </c>
      <c r="AO1116">
        <f>'Revenue drivers'!AO456</f>
        <v>0</v>
      </c>
      <c r="AP1116">
        <f>'Revenue drivers'!AP456</f>
        <v>0</v>
      </c>
      <c r="AQ1116">
        <f>'Revenue drivers'!AQ456</f>
        <v>0</v>
      </c>
      <c r="AR1116">
        <f>'Revenue drivers'!AR456</f>
        <v>0</v>
      </c>
      <c r="AS1116">
        <f>'Revenue drivers'!AS456</f>
        <v>0</v>
      </c>
      <c r="AT1116">
        <f>'Revenue drivers'!AT456</f>
        <v>0</v>
      </c>
      <c r="AU1116">
        <f>'Revenue drivers'!AU456</f>
        <v>0</v>
      </c>
      <c r="AV1116">
        <f>'Revenue drivers'!AV456</f>
        <v>0</v>
      </c>
      <c r="AW1116">
        <f>'Revenue drivers'!AW456</f>
        <v>0</v>
      </c>
      <c r="AX1116">
        <f>'Revenue drivers'!AX456</f>
        <v>0</v>
      </c>
      <c r="AY1116">
        <f>'Revenue drivers'!AY456</f>
        <v>0</v>
      </c>
      <c r="AZ1116">
        <f>'Revenue drivers'!AZ456</f>
        <v>0</v>
      </c>
      <c r="BA1116">
        <f>'Revenue drivers'!BA456</f>
        <v>0</v>
      </c>
      <c r="BB1116">
        <f>'Revenue drivers'!BB456</f>
        <v>0</v>
      </c>
      <c r="BC1116">
        <f>'Revenue drivers'!BC456</f>
        <v>0</v>
      </c>
      <c r="BD1116">
        <f>'Revenue drivers'!BD456</f>
        <v>0</v>
      </c>
      <c r="BE1116">
        <f>'Revenue drivers'!BE456</f>
        <v>0</v>
      </c>
      <c r="BF1116">
        <f>'Revenue drivers'!BF456</f>
        <v>0</v>
      </c>
      <c r="BG1116">
        <f>'Revenue drivers'!BG456</f>
        <v>0</v>
      </c>
      <c r="BH1116">
        <f>'Revenue drivers'!BH456</f>
        <v>0</v>
      </c>
      <c r="BI1116">
        <f>'Revenue drivers'!BI456</f>
        <v>0</v>
      </c>
      <c r="BJ1116">
        <f>'Revenue drivers'!BJ456</f>
        <v>0</v>
      </c>
      <c r="BK1116">
        <f>'Revenue drivers'!BK456</f>
        <v>0</v>
      </c>
      <c r="BL1116">
        <f>'Revenue drivers'!BL456</f>
        <v>0</v>
      </c>
      <c r="BM1116">
        <f>'Revenue drivers'!BM456</f>
        <v>0</v>
      </c>
      <c r="BN1116">
        <f>'Revenue drivers'!BN456</f>
        <v>0</v>
      </c>
      <c r="BO1116">
        <f>'Revenue drivers'!BO456</f>
        <v>0</v>
      </c>
      <c r="BP1116">
        <f>'Revenue drivers'!BP456</f>
        <v>0</v>
      </c>
      <c r="BQ1116">
        <f>'Revenue drivers'!BQ456</f>
        <v>0</v>
      </c>
      <c r="BR1116">
        <f>'Revenue drivers'!BR456</f>
        <v>0</v>
      </c>
      <c r="BS1116">
        <f>'Revenue drivers'!BS456</f>
        <v>0</v>
      </c>
      <c r="BT1116">
        <f>'Revenue drivers'!BT456</f>
        <v>0</v>
      </c>
      <c r="BU1116">
        <f>'Revenue drivers'!BU456</f>
        <v>0</v>
      </c>
      <c r="BV1116">
        <f>'Revenue drivers'!BV456</f>
        <v>0</v>
      </c>
      <c r="BW1116">
        <f>'Revenue drivers'!BW456</f>
        <v>0</v>
      </c>
      <c r="BX1116">
        <f>'Revenue drivers'!BX456</f>
        <v>0</v>
      </c>
      <c r="BY1116">
        <f>'Revenue drivers'!BY456</f>
        <v>0</v>
      </c>
    </row>
    <row r="1117" spans="9:77" ht="11.25" customHeight="1">
      <c r="I1117" t="str">
        <f>'Revenue drivers'!I457</f>
        <v>% of total active markets</v>
      </c>
      <c r="J1117">
        <f>'Revenue drivers'!J457</f>
        <v>0</v>
      </c>
      <c r="K1117">
        <f>'Revenue drivers'!K457</f>
        <v>0</v>
      </c>
      <c r="L1117">
        <f>'Revenue drivers'!L457</f>
        <v>0</v>
      </c>
      <c r="M1117">
        <f>'Revenue drivers'!M457</f>
        <v>0</v>
      </c>
      <c r="N1117">
        <f>'Revenue drivers'!N457</f>
        <v>0</v>
      </c>
      <c r="O1117">
        <f>'Revenue drivers'!O457</f>
        <v>0</v>
      </c>
      <c r="P1117">
        <f>'Revenue drivers'!P457</f>
        <v>0.77551020408163263</v>
      </c>
      <c r="Q1117">
        <f>'Revenue drivers'!Q457</f>
        <v>0</v>
      </c>
      <c r="R1117">
        <f>'Revenue drivers'!R457</f>
        <v>0</v>
      </c>
      <c r="S1117">
        <f>'Revenue drivers'!S457</f>
        <v>0</v>
      </c>
      <c r="T1117">
        <f>'Revenue drivers'!T457</f>
        <v>0.647887323943662</v>
      </c>
      <c r="U1117">
        <f>'Revenue drivers'!U457</f>
        <v>0.59756097560975607</v>
      </c>
      <c r="V1117">
        <f>'Revenue drivers'!V457</f>
        <v>0.56666666666666665</v>
      </c>
      <c r="W1117">
        <f>'Revenue drivers'!W457</f>
        <v>0.55208333333333337</v>
      </c>
      <c r="X1117">
        <f>'Revenue drivers'!X457</f>
        <v>0.54639175257731953</v>
      </c>
      <c r="Y1117">
        <f>'Revenue drivers'!Y457</f>
        <v>0.54</v>
      </c>
      <c r="Z1117">
        <f>'Revenue drivers'!Z457</f>
        <v>0.52830188679245282</v>
      </c>
      <c r="AA1117">
        <f>'Revenue drivers'!AA457</f>
        <v>0.54054054054054057</v>
      </c>
      <c r="AB1117">
        <f>'Revenue drivers'!AB457</f>
        <v>0.5213675213675214</v>
      </c>
      <c r="AC1117">
        <f>'Revenue drivers'!AC457</f>
        <v>0.5083333333333333</v>
      </c>
      <c r="AD1117">
        <f>'Revenue drivers'!AD457</f>
        <v>0.49193548387096775</v>
      </c>
      <c r="AE1117">
        <f>'Revenue drivers'!AE457</f>
        <v>0.48031496062992124</v>
      </c>
      <c r="AF1117">
        <f>'Revenue drivers'!AF457</f>
        <v>0.4621212121212121</v>
      </c>
      <c r="AG1117">
        <f>'Revenue drivers'!AG457</f>
        <v>0.44525547445255476</v>
      </c>
      <c r="AH1117">
        <f>'Revenue drivers'!AH457</f>
        <v>0.42957746478873238</v>
      </c>
      <c r="AI1117">
        <f>'Revenue drivers'!AI457</f>
        <v>0.41496598639455784</v>
      </c>
      <c r="AJ1117">
        <f>'Revenue drivers'!AJ457</f>
        <v>0.40131578947368424</v>
      </c>
      <c r="AK1117">
        <f>'Revenue drivers'!AK457</f>
        <v>0.38853503184713378</v>
      </c>
      <c r="AL1117">
        <f>'Revenue drivers'!AL457</f>
        <v>0.37654320987654322</v>
      </c>
      <c r="AM1117">
        <f>'Revenue drivers'!AM457</f>
        <v>0.3652694610778443</v>
      </c>
      <c r="AN1117">
        <f>'Revenue drivers'!AN457</f>
        <v>0.35465116279069769</v>
      </c>
      <c r="AO1117">
        <f>'Revenue drivers'!AO457</f>
        <v>0.34463276836158191</v>
      </c>
      <c r="AP1117">
        <f>'Revenue drivers'!AP457</f>
        <v>0.33516483516483514</v>
      </c>
      <c r="AQ1117">
        <f>'Revenue drivers'!AQ457</f>
        <v>0.32620320855614976</v>
      </c>
      <c r="AR1117">
        <f>'Revenue drivers'!AR457</f>
        <v>0.31770833333333331</v>
      </c>
      <c r="AS1117">
        <f>'Revenue drivers'!AS457</f>
        <v>0.30964467005076141</v>
      </c>
      <c r="AT1117">
        <f>'Revenue drivers'!AT457</f>
        <v>0.30198019801980197</v>
      </c>
      <c r="AU1117">
        <f>'Revenue drivers'!AU457</f>
        <v>0.29468599033816423</v>
      </c>
      <c r="AV1117">
        <f>'Revenue drivers'!AV457</f>
        <v>0.28773584905660377</v>
      </c>
      <c r="AW1117">
        <f>'Revenue drivers'!AW457</f>
        <v>0.28110599078341014</v>
      </c>
      <c r="AX1117">
        <f>'Revenue drivers'!AX457</f>
        <v>0.2747747747747748</v>
      </c>
      <c r="AY1117">
        <f>'Revenue drivers'!AY457</f>
        <v>0.2687224669603524</v>
      </c>
      <c r="AZ1117">
        <f>'Revenue drivers'!AZ457</f>
        <v>0.26293103448275862</v>
      </c>
      <c r="BA1117">
        <f>'Revenue drivers'!BA457</f>
        <v>0.25738396624472576</v>
      </c>
      <c r="BB1117">
        <f>'Revenue drivers'!BB457</f>
        <v>0.25206611570247933</v>
      </c>
      <c r="BC1117">
        <f>'Revenue drivers'!BC457</f>
        <v>0.24696356275303644</v>
      </c>
      <c r="BD1117">
        <f>'Revenue drivers'!BD457</f>
        <v>0.24206349206349206</v>
      </c>
      <c r="BE1117">
        <f>'Revenue drivers'!BE457</f>
        <v>0</v>
      </c>
      <c r="BF1117">
        <f>'Revenue drivers'!BF457</f>
        <v>1</v>
      </c>
      <c r="BG1117">
        <f>'Revenue drivers'!BG457</f>
        <v>1</v>
      </c>
      <c r="BH1117">
        <f>'Revenue drivers'!BH457</f>
        <v>1</v>
      </c>
      <c r="BI1117">
        <f>'Revenue drivers'!BI457</f>
        <v>0.88888888888888884</v>
      </c>
      <c r="BJ1117">
        <f>'Revenue drivers'!BJ457</f>
        <v>0.77551020408163263</v>
      </c>
      <c r="BK1117">
        <f>'Revenue drivers'!BK457</f>
        <v>0.647887323943662</v>
      </c>
      <c r="BL1117">
        <f>'Revenue drivers'!BL457</f>
        <v>0.54639175257731953</v>
      </c>
      <c r="BM1117">
        <f>'Revenue drivers'!BM457</f>
        <v>0.5213675213675214</v>
      </c>
      <c r="BN1117">
        <f>'Revenue drivers'!BN457</f>
        <v>0.4621212121212121</v>
      </c>
      <c r="BO1117">
        <f>'Revenue drivers'!BO457</f>
        <v>0.40131578947368424</v>
      </c>
      <c r="BP1117">
        <f>'Revenue drivers'!BP457</f>
        <v>0.35465116279069769</v>
      </c>
      <c r="BQ1117">
        <f>'Revenue drivers'!BQ457</f>
        <v>0.31770833333333331</v>
      </c>
      <c r="BR1117">
        <f>'Revenue drivers'!BR457</f>
        <v>0.28773584905660377</v>
      </c>
      <c r="BS1117">
        <f>'Revenue drivers'!BS457</f>
        <v>0.26293103448275862</v>
      </c>
      <c r="BT1117">
        <f>'Revenue drivers'!BT457</f>
        <v>0.24206349206349206</v>
      </c>
      <c r="BU1117">
        <f>'Revenue drivers'!BU457</f>
        <v>0.22426470588235295</v>
      </c>
      <c r="BV1117">
        <f>'Revenue drivers'!BV457</f>
        <v>0.2089041095890411</v>
      </c>
      <c r="BW1117">
        <f>'Revenue drivers'!BW457</f>
        <v>0.19551282051282051</v>
      </c>
      <c r="BX1117">
        <f>'Revenue drivers'!BX457</f>
        <v>0.18373493975903615</v>
      </c>
      <c r="BY1117">
        <f>'Revenue drivers'!BY457</f>
        <v>0.17329545454545456</v>
      </c>
    </row>
    <row r="1118" spans="9:77" ht="11.25" customHeight="1">
      <c r="I1118">
        <f>'Revenue drivers'!I458</f>
        <v>0</v>
      </c>
      <c r="J1118">
        <f>'Revenue drivers'!J458</f>
        <v>0</v>
      </c>
      <c r="K1118">
        <f>'Revenue drivers'!K458</f>
        <v>0</v>
      </c>
      <c r="L1118">
        <f>'Revenue drivers'!L458</f>
        <v>0</v>
      </c>
      <c r="M1118">
        <f>'Revenue drivers'!M458</f>
        <v>0</v>
      </c>
      <c r="N1118">
        <f>'Revenue drivers'!N458</f>
        <v>0</v>
      </c>
      <c r="O1118">
        <f>'Revenue drivers'!O458</f>
        <v>0</v>
      </c>
      <c r="P1118">
        <f>'Revenue drivers'!P458</f>
        <v>0</v>
      </c>
      <c r="Q1118">
        <f>'Revenue drivers'!Q458</f>
        <v>0</v>
      </c>
      <c r="R1118">
        <f>'Revenue drivers'!R458</f>
        <v>0</v>
      </c>
      <c r="S1118">
        <f>'Revenue drivers'!S458</f>
        <v>0</v>
      </c>
      <c r="T1118">
        <f>'Revenue drivers'!T458</f>
        <v>0</v>
      </c>
      <c r="U1118">
        <f>'Revenue drivers'!U458</f>
        <v>0</v>
      </c>
      <c r="V1118">
        <f>'Revenue drivers'!V458</f>
        <v>0</v>
      </c>
      <c r="W1118">
        <f>'Revenue drivers'!W458</f>
        <v>0</v>
      </c>
      <c r="X1118">
        <f>'Revenue drivers'!X458</f>
        <v>0</v>
      </c>
      <c r="Y1118">
        <f>'Revenue drivers'!Y458</f>
        <v>0</v>
      </c>
      <c r="Z1118">
        <f>'Revenue drivers'!Z458</f>
        <v>0</v>
      </c>
      <c r="AA1118">
        <f>'Revenue drivers'!AA458</f>
        <v>0</v>
      </c>
      <c r="AB1118">
        <f>'Revenue drivers'!AB458</f>
        <v>0</v>
      </c>
      <c r="AC1118">
        <f>'Revenue drivers'!AC458</f>
        <v>0</v>
      </c>
      <c r="AD1118">
        <f>'Revenue drivers'!AD458</f>
        <v>0</v>
      </c>
      <c r="AE1118">
        <f>'Revenue drivers'!AE458</f>
        <v>0</v>
      </c>
      <c r="AF1118">
        <f>'Revenue drivers'!AF458</f>
        <v>0</v>
      </c>
      <c r="AG1118">
        <f>'Revenue drivers'!AG458</f>
        <v>0</v>
      </c>
      <c r="AH1118">
        <f>'Revenue drivers'!AH458</f>
        <v>0</v>
      </c>
      <c r="AI1118">
        <f>'Revenue drivers'!AI458</f>
        <v>0</v>
      </c>
      <c r="AJ1118">
        <f>'Revenue drivers'!AJ458</f>
        <v>0</v>
      </c>
      <c r="AK1118">
        <f>'Revenue drivers'!AK458</f>
        <v>0</v>
      </c>
      <c r="AL1118">
        <f>'Revenue drivers'!AL458</f>
        <v>0</v>
      </c>
      <c r="AM1118">
        <f>'Revenue drivers'!AM458</f>
        <v>0</v>
      </c>
      <c r="AN1118">
        <f>'Revenue drivers'!AN458</f>
        <v>0</v>
      </c>
      <c r="AO1118">
        <f>'Revenue drivers'!AO458</f>
        <v>0</v>
      </c>
      <c r="AP1118">
        <f>'Revenue drivers'!AP458</f>
        <v>0</v>
      </c>
      <c r="AQ1118">
        <f>'Revenue drivers'!AQ458</f>
        <v>0</v>
      </c>
      <c r="AR1118">
        <f>'Revenue drivers'!AR458</f>
        <v>0</v>
      </c>
      <c r="AS1118">
        <f>'Revenue drivers'!AS458</f>
        <v>0</v>
      </c>
      <c r="AT1118">
        <f>'Revenue drivers'!AT458</f>
        <v>0</v>
      </c>
      <c r="AU1118">
        <f>'Revenue drivers'!AU458</f>
        <v>0</v>
      </c>
      <c r="AV1118">
        <f>'Revenue drivers'!AV458</f>
        <v>0</v>
      </c>
      <c r="AW1118">
        <f>'Revenue drivers'!AW458</f>
        <v>0</v>
      </c>
      <c r="AX1118">
        <f>'Revenue drivers'!AX458</f>
        <v>0</v>
      </c>
      <c r="AY1118">
        <f>'Revenue drivers'!AY458</f>
        <v>0</v>
      </c>
      <c r="AZ1118">
        <f>'Revenue drivers'!AZ458</f>
        <v>0</v>
      </c>
      <c r="BA1118">
        <f>'Revenue drivers'!BA458</f>
        <v>0</v>
      </c>
      <c r="BB1118">
        <f>'Revenue drivers'!BB458</f>
        <v>0</v>
      </c>
      <c r="BC1118">
        <f>'Revenue drivers'!BC458</f>
        <v>0</v>
      </c>
      <c r="BD1118">
        <f>'Revenue drivers'!BD458</f>
        <v>0</v>
      </c>
      <c r="BE1118">
        <f>'Revenue drivers'!BE458</f>
        <v>0</v>
      </c>
      <c r="BF1118">
        <f>'Revenue drivers'!BF458</f>
        <v>0</v>
      </c>
      <c r="BG1118">
        <f>'Revenue drivers'!BG458</f>
        <v>0</v>
      </c>
      <c r="BH1118">
        <f>'Revenue drivers'!BH458</f>
        <v>0</v>
      </c>
      <c r="BI1118">
        <f>'Revenue drivers'!BI458</f>
        <v>0</v>
      </c>
      <c r="BJ1118">
        <f>'Revenue drivers'!BJ458</f>
        <v>0</v>
      </c>
      <c r="BK1118">
        <f>'Revenue drivers'!BK458</f>
        <v>0</v>
      </c>
      <c r="BL1118">
        <f>'Revenue drivers'!BL458</f>
        <v>0</v>
      </c>
      <c r="BM1118">
        <f>'Revenue drivers'!BM458</f>
        <v>0</v>
      </c>
      <c r="BN1118">
        <f>'Revenue drivers'!BN458</f>
        <v>0</v>
      </c>
      <c r="BO1118">
        <f>'Revenue drivers'!BO458</f>
        <v>0</v>
      </c>
      <c r="BP1118">
        <f>'Revenue drivers'!BP458</f>
        <v>0</v>
      </c>
      <c r="BQ1118">
        <f>'Revenue drivers'!BQ458</f>
        <v>0</v>
      </c>
      <c r="BR1118">
        <f>'Revenue drivers'!BR458</f>
        <v>0</v>
      </c>
      <c r="BS1118">
        <f>'Revenue drivers'!BS458</f>
        <v>0</v>
      </c>
      <c r="BT1118">
        <f>'Revenue drivers'!BT458</f>
        <v>0</v>
      </c>
      <c r="BU1118">
        <f>'Revenue drivers'!BU458</f>
        <v>0</v>
      </c>
      <c r="BV1118">
        <f>'Revenue drivers'!BV458</f>
        <v>0</v>
      </c>
      <c r="BW1118">
        <f>'Revenue drivers'!BW458</f>
        <v>0</v>
      </c>
      <c r="BX1118">
        <f>'Revenue drivers'!BX458</f>
        <v>0</v>
      </c>
      <c r="BY1118">
        <f>'Revenue drivers'!BY458</f>
        <v>0</v>
      </c>
    </row>
    <row r="1119" spans="9:77" ht="11.25" customHeight="1">
      <c r="I1119" t="str">
        <f>'Revenue drivers'!I459</f>
        <v>Active international markets</v>
      </c>
      <c r="J1119">
        <f>'Revenue drivers'!J459</f>
        <v>0</v>
      </c>
      <c r="K1119">
        <f>'Revenue drivers'!K459</f>
        <v>0</v>
      </c>
      <c r="L1119">
        <f>'Revenue drivers'!L459</f>
        <v>0</v>
      </c>
      <c r="M1119">
        <f>'Revenue drivers'!M459</f>
        <v>0</v>
      </c>
      <c r="N1119">
        <f>'Revenue drivers'!N459</f>
        <v>0</v>
      </c>
      <c r="O1119">
        <f>'Revenue drivers'!O459</f>
        <v>0</v>
      </c>
      <c r="P1119">
        <f>'Revenue drivers'!P459</f>
        <v>11</v>
      </c>
      <c r="Q1119">
        <f>'Revenue drivers'!Q459</f>
        <v>0</v>
      </c>
      <c r="R1119">
        <f>'Revenue drivers'!R459</f>
        <v>0</v>
      </c>
      <c r="S1119">
        <f>'Revenue drivers'!S459</f>
        <v>0</v>
      </c>
      <c r="T1119">
        <f>'Revenue drivers'!T459</f>
        <v>25</v>
      </c>
      <c r="U1119">
        <f>'Revenue drivers'!U459</f>
        <v>33</v>
      </c>
      <c r="V1119">
        <f>'Revenue drivers'!V459</f>
        <v>39</v>
      </c>
      <c r="W1119">
        <f>'Revenue drivers'!W459</f>
        <v>43</v>
      </c>
      <c r="X1119">
        <f>'Revenue drivers'!X459</f>
        <v>44</v>
      </c>
      <c r="Y1119">
        <f>'Revenue drivers'!Y459</f>
        <v>46</v>
      </c>
      <c r="Z1119">
        <f>'Revenue drivers'!Z459</f>
        <v>50</v>
      </c>
      <c r="AA1119">
        <f>'Revenue drivers'!AA459</f>
        <v>51</v>
      </c>
      <c r="AB1119">
        <f>'Revenue drivers'!AB459</f>
        <v>56</v>
      </c>
      <c r="AC1119">
        <f>'Revenue drivers'!AC459</f>
        <v>59</v>
      </c>
      <c r="AD1119">
        <f>'Revenue drivers'!AD459</f>
        <v>63</v>
      </c>
      <c r="AE1119">
        <f>'Revenue drivers'!AE459</f>
        <v>66</v>
      </c>
      <c r="AF1119">
        <f>'Revenue drivers'!AF459</f>
        <v>71</v>
      </c>
      <c r="AG1119">
        <f>'Revenue drivers'!AG459</f>
        <v>76</v>
      </c>
      <c r="AH1119">
        <f>'Revenue drivers'!AH459</f>
        <v>81</v>
      </c>
      <c r="AI1119">
        <f>'Revenue drivers'!AI459</f>
        <v>86</v>
      </c>
      <c r="AJ1119">
        <f>'Revenue drivers'!AJ459</f>
        <v>91</v>
      </c>
      <c r="AK1119">
        <f>'Revenue drivers'!AK459</f>
        <v>96</v>
      </c>
      <c r="AL1119">
        <f>'Revenue drivers'!AL459</f>
        <v>101</v>
      </c>
      <c r="AM1119">
        <f>'Revenue drivers'!AM459</f>
        <v>106</v>
      </c>
      <c r="AN1119">
        <f>'Revenue drivers'!AN459</f>
        <v>111</v>
      </c>
      <c r="AO1119">
        <f>'Revenue drivers'!AO459</f>
        <v>116</v>
      </c>
      <c r="AP1119">
        <f>'Revenue drivers'!AP459</f>
        <v>121</v>
      </c>
      <c r="AQ1119">
        <f>'Revenue drivers'!AQ459</f>
        <v>126</v>
      </c>
      <c r="AR1119">
        <f>'Revenue drivers'!AR459</f>
        <v>131</v>
      </c>
      <c r="AS1119">
        <f>'Revenue drivers'!AS459</f>
        <v>136</v>
      </c>
      <c r="AT1119">
        <f>'Revenue drivers'!AT459</f>
        <v>141</v>
      </c>
      <c r="AU1119">
        <f>'Revenue drivers'!AU459</f>
        <v>146</v>
      </c>
      <c r="AV1119">
        <f>'Revenue drivers'!AV459</f>
        <v>151</v>
      </c>
      <c r="AW1119">
        <f>'Revenue drivers'!AW459</f>
        <v>156</v>
      </c>
      <c r="AX1119">
        <f>'Revenue drivers'!AX459</f>
        <v>161</v>
      </c>
      <c r="AY1119">
        <f>'Revenue drivers'!AY459</f>
        <v>166</v>
      </c>
      <c r="AZ1119">
        <f>'Revenue drivers'!AZ459</f>
        <v>171</v>
      </c>
      <c r="BA1119">
        <f>'Revenue drivers'!BA459</f>
        <v>176</v>
      </c>
      <c r="BB1119">
        <f>'Revenue drivers'!BB459</f>
        <v>181</v>
      </c>
      <c r="BC1119">
        <f>'Revenue drivers'!BC459</f>
        <v>186</v>
      </c>
      <c r="BD1119">
        <f>'Revenue drivers'!BD459</f>
        <v>191</v>
      </c>
      <c r="BE1119">
        <f>'Revenue drivers'!BE459</f>
        <v>0</v>
      </c>
      <c r="BF1119">
        <f>'Revenue drivers'!BF459</f>
        <v>0</v>
      </c>
      <c r="BG1119">
        <f>'Revenue drivers'!BG459</f>
        <v>0</v>
      </c>
      <c r="BH1119">
        <f>'Revenue drivers'!BH459</f>
        <v>0</v>
      </c>
      <c r="BI1119">
        <f>'Revenue drivers'!BI459</f>
        <v>3</v>
      </c>
      <c r="BJ1119">
        <f>'Revenue drivers'!BJ459</f>
        <v>11</v>
      </c>
      <c r="BK1119">
        <f>'Revenue drivers'!BK459</f>
        <v>25</v>
      </c>
      <c r="BL1119">
        <f>'Revenue drivers'!BL459</f>
        <v>44</v>
      </c>
      <c r="BM1119">
        <f>'Revenue drivers'!BM459</f>
        <v>56</v>
      </c>
      <c r="BN1119">
        <f>'Revenue drivers'!BN459</f>
        <v>71</v>
      </c>
      <c r="BO1119">
        <f>'Revenue drivers'!BO459</f>
        <v>91</v>
      </c>
      <c r="BP1119">
        <f>'Revenue drivers'!BP459</f>
        <v>111</v>
      </c>
      <c r="BQ1119">
        <f>'Revenue drivers'!BQ459</f>
        <v>131</v>
      </c>
      <c r="BR1119">
        <f>'Revenue drivers'!BR459</f>
        <v>151</v>
      </c>
      <c r="BS1119">
        <f>'Revenue drivers'!BS459</f>
        <v>171</v>
      </c>
      <c r="BT1119">
        <f>'Revenue drivers'!BT459</f>
        <v>191</v>
      </c>
      <c r="BU1119">
        <f>'Revenue drivers'!BU459</f>
        <v>211</v>
      </c>
      <c r="BV1119">
        <f>'Revenue drivers'!BV459</f>
        <v>231</v>
      </c>
      <c r="BW1119">
        <f>'Revenue drivers'!BW459</f>
        <v>251</v>
      </c>
      <c r="BX1119">
        <f>'Revenue drivers'!BX459</f>
        <v>271</v>
      </c>
      <c r="BY1119">
        <f>'Revenue drivers'!BY459</f>
        <v>291</v>
      </c>
    </row>
    <row r="1120" spans="9:77" ht="11.25" customHeight="1">
      <c r="I1120" t="str">
        <f>'Revenue drivers'!I460</f>
        <v>% change Y/Y</v>
      </c>
      <c r="J1120">
        <f>'Revenue drivers'!J460</f>
        <v>0</v>
      </c>
      <c r="K1120">
        <f>'Revenue drivers'!K460</f>
        <v>0</v>
      </c>
      <c r="L1120">
        <f>'Revenue drivers'!L460</f>
        <v>0</v>
      </c>
      <c r="M1120">
        <f>'Revenue drivers'!M460</f>
        <v>0</v>
      </c>
      <c r="N1120">
        <f>'Revenue drivers'!N460</f>
        <v>0</v>
      </c>
      <c r="O1120">
        <f>'Revenue drivers'!O460</f>
        <v>0</v>
      </c>
      <c r="P1120">
        <f>'Revenue drivers'!P460</f>
        <v>0</v>
      </c>
      <c r="Q1120">
        <f>'Revenue drivers'!Q460</f>
        <v>0</v>
      </c>
      <c r="R1120">
        <f>'Revenue drivers'!R460</f>
        <v>0</v>
      </c>
      <c r="S1120">
        <f>'Revenue drivers'!S460</f>
        <v>0</v>
      </c>
      <c r="T1120">
        <f>'Revenue drivers'!T460</f>
        <v>1.2727272727272729</v>
      </c>
      <c r="U1120" t="str">
        <f>'Revenue drivers'!U460</f>
        <v>NA</v>
      </c>
      <c r="V1120" t="str">
        <f>'Revenue drivers'!V460</f>
        <v>NA</v>
      </c>
      <c r="W1120" t="str">
        <f>'Revenue drivers'!W460</f>
        <v>NA</v>
      </c>
      <c r="X1120">
        <f>'Revenue drivers'!X460</f>
        <v>0.76</v>
      </c>
      <c r="Y1120">
        <f>'Revenue drivers'!Y460</f>
        <v>0.39393939393939403</v>
      </c>
      <c r="Z1120">
        <f>'Revenue drivers'!Z460</f>
        <v>0.28205128205128216</v>
      </c>
      <c r="AA1120">
        <f>'Revenue drivers'!AA460</f>
        <v>0.18604651162790709</v>
      </c>
      <c r="AB1120">
        <f>'Revenue drivers'!AB460</f>
        <v>0.27272727272727271</v>
      </c>
      <c r="AC1120">
        <f>'Revenue drivers'!AC460</f>
        <v>0.28260869565217384</v>
      </c>
      <c r="AD1120">
        <f>'Revenue drivers'!AD460</f>
        <v>0.26</v>
      </c>
      <c r="AE1120">
        <f>'Revenue drivers'!AE460</f>
        <v>0.29411764705882359</v>
      </c>
      <c r="AF1120">
        <f>'Revenue drivers'!AF460</f>
        <v>0.26785714285714279</v>
      </c>
      <c r="AG1120">
        <f>'Revenue drivers'!AG460</f>
        <v>0.28813559322033888</v>
      </c>
      <c r="AH1120">
        <f>'Revenue drivers'!AH460</f>
        <v>0.28571428571428581</v>
      </c>
      <c r="AI1120">
        <f>'Revenue drivers'!AI460</f>
        <v>0.30303030303030298</v>
      </c>
      <c r="AJ1120">
        <f>'Revenue drivers'!AJ460</f>
        <v>0.28169014084507049</v>
      </c>
      <c r="AK1120">
        <f>'Revenue drivers'!AK460</f>
        <v>0.26315789473684204</v>
      </c>
      <c r="AL1120">
        <f>'Revenue drivers'!AL460</f>
        <v>0.24691358024691357</v>
      </c>
      <c r="AM1120">
        <f>'Revenue drivers'!AM460</f>
        <v>0.23255813953488369</v>
      </c>
      <c r="AN1120">
        <f>'Revenue drivers'!AN460</f>
        <v>0.21978021978021989</v>
      </c>
      <c r="AO1120">
        <f>'Revenue drivers'!AO460</f>
        <v>0.20833333333333326</v>
      </c>
      <c r="AP1120">
        <f>'Revenue drivers'!AP460</f>
        <v>0.19801980198019797</v>
      </c>
      <c r="AQ1120">
        <f>'Revenue drivers'!AQ460</f>
        <v>0.18867924528301883</v>
      </c>
      <c r="AR1120">
        <f>'Revenue drivers'!AR460</f>
        <v>0.18018018018018012</v>
      </c>
      <c r="AS1120">
        <f>'Revenue drivers'!AS460</f>
        <v>0.17241379310344818</v>
      </c>
      <c r="AT1120">
        <f>'Revenue drivers'!AT460</f>
        <v>0.165289256198347</v>
      </c>
      <c r="AU1120">
        <f>'Revenue drivers'!AU460</f>
        <v>0.15873015873015883</v>
      </c>
      <c r="AV1120">
        <f>'Revenue drivers'!AV460</f>
        <v>0.15267175572519087</v>
      </c>
      <c r="AW1120">
        <f>'Revenue drivers'!AW460</f>
        <v>0.14705882352941169</v>
      </c>
      <c r="AX1120">
        <f>'Revenue drivers'!AX460</f>
        <v>0.14184397163120566</v>
      </c>
      <c r="AY1120">
        <f>'Revenue drivers'!AY460</f>
        <v>0.13698630136986312</v>
      </c>
      <c r="AZ1120">
        <f>'Revenue drivers'!AZ460</f>
        <v>0.13245033112582782</v>
      </c>
      <c r="BA1120">
        <f>'Revenue drivers'!BA460</f>
        <v>0.12820512820512819</v>
      </c>
      <c r="BB1120">
        <f>'Revenue drivers'!BB460</f>
        <v>0.12422360248447206</v>
      </c>
      <c r="BC1120">
        <f>'Revenue drivers'!BC460</f>
        <v>0.12048192771084332</v>
      </c>
      <c r="BD1120">
        <f>'Revenue drivers'!BD460</f>
        <v>0.11695906432748537</v>
      </c>
      <c r="BE1120">
        <f>'Revenue drivers'!BE460</f>
        <v>0</v>
      </c>
      <c r="BF1120" t="str">
        <f>'Revenue drivers'!BF460</f>
        <v>NA</v>
      </c>
      <c r="BG1120" t="str">
        <f>'Revenue drivers'!BG460</f>
        <v>NA</v>
      </c>
      <c r="BH1120" t="str">
        <f>'Revenue drivers'!BH460</f>
        <v>NA</v>
      </c>
      <c r="BI1120" t="str">
        <f>'Revenue drivers'!BI460</f>
        <v>NA</v>
      </c>
      <c r="BJ1120">
        <f>'Revenue drivers'!BJ460</f>
        <v>2.6666666666666665</v>
      </c>
      <c r="BK1120">
        <f>'Revenue drivers'!BK460</f>
        <v>1.2727272727272729</v>
      </c>
      <c r="BL1120">
        <f>'Revenue drivers'!BL460</f>
        <v>0.76</v>
      </c>
      <c r="BM1120">
        <f>'Revenue drivers'!BM460</f>
        <v>0.27272727272727271</v>
      </c>
      <c r="BN1120">
        <f>'Revenue drivers'!BN460</f>
        <v>0.26785714285714279</v>
      </c>
      <c r="BO1120">
        <f>'Revenue drivers'!BO460</f>
        <v>0.28169014084507049</v>
      </c>
      <c r="BP1120">
        <f>'Revenue drivers'!BP460</f>
        <v>0.21978021978021989</v>
      </c>
      <c r="BQ1120">
        <f>'Revenue drivers'!BQ460</f>
        <v>0.18018018018018012</v>
      </c>
      <c r="BR1120">
        <f>'Revenue drivers'!BR460</f>
        <v>0.15267175572519087</v>
      </c>
      <c r="BS1120">
        <f>'Revenue drivers'!BS460</f>
        <v>0.13245033112582782</v>
      </c>
      <c r="BT1120">
        <f>'Revenue drivers'!BT460</f>
        <v>0.11695906432748537</v>
      </c>
      <c r="BU1120">
        <f>'Revenue drivers'!BU460</f>
        <v>0.10471204188481686</v>
      </c>
      <c r="BV1120">
        <f>'Revenue drivers'!BV460</f>
        <v>9.4786729857819996E-2</v>
      </c>
      <c r="BW1120">
        <f>'Revenue drivers'!BW460</f>
        <v>8.6580086580086535E-2</v>
      </c>
      <c r="BX1120">
        <f>'Revenue drivers'!BX460</f>
        <v>7.9681274900398336E-2</v>
      </c>
      <c r="BY1120">
        <f>'Revenue drivers'!BY460</f>
        <v>7.3800738007380184E-2</v>
      </c>
    </row>
    <row r="1121" spans="9:77" ht="11.25" customHeight="1">
      <c r="I1121" t="str">
        <f>'Revenue drivers'!I461</f>
        <v>% change Q/Q</v>
      </c>
      <c r="J1121">
        <f>'Revenue drivers'!J461</f>
        <v>0</v>
      </c>
      <c r="K1121">
        <f>'Revenue drivers'!K461</f>
        <v>0</v>
      </c>
      <c r="L1121">
        <f>'Revenue drivers'!L461</f>
        <v>0</v>
      </c>
      <c r="M1121">
        <f>'Revenue drivers'!M461</f>
        <v>0</v>
      </c>
      <c r="N1121">
        <f>'Revenue drivers'!N461</f>
        <v>0</v>
      </c>
      <c r="O1121">
        <f>'Revenue drivers'!O461</f>
        <v>0</v>
      </c>
      <c r="P1121">
        <f>'Revenue drivers'!P461</f>
        <v>0</v>
      </c>
      <c r="Q1121">
        <f>'Revenue drivers'!Q461</f>
        <v>0</v>
      </c>
      <c r="R1121">
        <f>'Revenue drivers'!R461</f>
        <v>0</v>
      </c>
      <c r="S1121">
        <f>'Revenue drivers'!S461</f>
        <v>0</v>
      </c>
      <c r="T1121" t="str">
        <f>'Revenue drivers'!T461</f>
        <v>NA</v>
      </c>
      <c r="U1121">
        <f>'Revenue drivers'!U461</f>
        <v>0.32000000000000006</v>
      </c>
      <c r="V1121">
        <f>'Revenue drivers'!V461</f>
        <v>0.18181818181818188</v>
      </c>
      <c r="W1121">
        <f>'Revenue drivers'!W461</f>
        <v>0.10256410256410264</v>
      </c>
      <c r="X1121">
        <f>'Revenue drivers'!X461</f>
        <v>2.3255813953488413E-2</v>
      </c>
      <c r="Y1121">
        <f>'Revenue drivers'!Y461</f>
        <v>4.5454545454545414E-2</v>
      </c>
      <c r="Z1121">
        <f>'Revenue drivers'!Z461</f>
        <v>8.6956521739130377E-2</v>
      </c>
      <c r="AA1121">
        <f>'Revenue drivers'!AA461</f>
        <v>2.0000000000000018E-2</v>
      </c>
      <c r="AB1121">
        <f>'Revenue drivers'!AB461</f>
        <v>9.8039215686274606E-2</v>
      </c>
      <c r="AC1121">
        <f>'Revenue drivers'!AC461</f>
        <v>5.3571428571428603E-2</v>
      </c>
      <c r="AD1121">
        <f>'Revenue drivers'!AD461</f>
        <v>6.7796610169491567E-2</v>
      </c>
      <c r="AE1121">
        <f>'Revenue drivers'!AE461</f>
        <v>4.7619047619047672E-2</v>
      </c>
      <c r="AF1121">
        <f>'Revenue drivers'!AF461</f>
        <v>7.575757575757569E-2</v>
      </c>
      <c r="AG1121">
        <f>'Revenue drivers'!AG461</f>
        <v>7.0422535211267512E-2</v>
      </c>
      <c r="AH1121">
        <f>'Revenue drivers'!AH461</f>
        <v>6.578947368421062E-2</v>
      </c>
      <c r="AI1121">
        <f>'Revenue drivers'!AI461</f>
        <v>6.1728395061728447E-2</v>
      </c>
      <c r="AJ1121">
        <f>'Revenue drivers'!AJ461</f>
        <v>5.8139534883721034E-2</v>
      </c>
      <c r="AK1121">
        <f>'Revenue drivers'!AK461</f>
        <v>5.4945054945054972E-2</v>
      </c>
      <c r="AL1121">
        <f>'Revenue drivers'!AL461</f>
        <v>5.2083333333333259E-2</v>
      </c>
      <c r="AM1121">
        <f>'Revenue drivers'!AM461</f>
        <v>4.9504950495049549E-2</v>
      </c>
      <c r="AN1121">
        <f>'Revenue drivers'!AN461</f>
        <v>4.7169811320754818E-2</v>
      </c>
      <c r="AO1121">
        <f>'Revenue drivers'!AO461</f>
        <v>4.5045045045045029E-2</v>
      </c>
      <c r="AP1121">
        <f>'Revenue drivers'!AP461</f>
        <v>4.31034482758621E-2</v>
      </c>
      <c r="AQ1121">
        <f>'Revenue drivers'!AQ461</f>
        <v>4.1322314049586861E-2</v>
      </c>
      <c r="AR1121">
        <f>'Revenue drivers'!AR461</f>
        <v>3.9682539682539764E-2</v>
      </c>
      <c r="AS1121">
        <f>'Revenue drivers'!AS461</f>
        <v>3.8167938931297662E-2</v>
      </c>
      <c r="AT1121">
        <f>'Revenue drivers'!AT461</f>
        <v>3.6764705882353033E-2</v>
      </c>
      <c r="AU1121">
        <f>'Revenue drivers'!AU461</f>
        <v>3.5460992907801359E-2</v>
      </c>
      <c r="AV1121">
        <f>'Revenue drivers'!AV461</f>
        <v>3.4246575342465668E-2</v>
      </c>
      <c r="AW1121">
        <f>'Revenue drivers'!AW461</f>
        <v>3.3112582781456901E-2</v>
      </c>
      <c r="AX1121">
        <f>'Revenue drivers'!AX461</f>
        <v>3.2051282051282159E-2</v>
      </c>
      <c r="AY1121">
        <f>'Revenue drivers'!AY461</f>
        <v>3.105590062111796E-2</v>
      </c>
      <c r="AZ1121">
        <f>'Revenue drivers'!AZ461</f>
        <v>3.0120481927710774E-2</v>
      </c>
      <c r="BA1121">
        <f>'Revenue drivers'!BA461</f>
        <v>2.9239766081871288E-2</v>
      </c>
      <c r="BB1121">
        <f>'Revenue drivers'!BB461</f>
        <v>2.8409090909090828E-2</v>
      </c>
      <c r="BC1121">
        <f>'Revenue drivers'!BC461</f>
        <v>2.7624309392265234E-2</v>
      </c>
      <c r="BD1121">
        <f>'Revenue drivers'!BD461</f>
        <v>2.6881720430107503E-2</v>
      </c>
      <c r="BE1121">
        <f>'Revenue drivers'!BE461</f>
        <v>0</v>
      </c>
      <c r="BF1121">
        <f>'Revenue drivers'!BF461</f>
        <v>0</v>
      </c>
      <c r="BG1121">
        <f>'Revenue drivers'!BG461</f>
        <v>0</v>
      </c>
      <c r="BH1121">
        <f>'Revenue drivers'!BH461</f>
        <v>0</v>
      </c>
      <c r="BI1121">
        <f>'Revenue drivers'!BI461</f>
        <v>0</v>
      </c>
      <c r="BJ1121">
        <f>'Revenue drivers'!BJ461</f>
        <v>0</v>
      </c>
      <c r="BK1121">
        <f>'Revenue drivers'!BK461</f>
        <v>0</v>
      </c>
      <c r="BL1121">
        <f>'Revenue drivers'!BL461</f>
        <v>0</v>
      </c>
      <c r="BM1121">
        <f>'Revenue drivers'!BM461</f>
        <v>0</v>
      </c>
      <c r="BN1121">
        <f>'Revenue drivers'!BN461</f>
        <v>0</v>
      </c>
      <c r="BO1121">
        <f>'Revenue drivers'!BO461</f>
        <v>0</v>
      </c>
      <c r="BP1121">
        <f>'Revenue drivers'!BP461</f>
        <v>0</v>
      </c>
      <c r="BQ1121">
        <f>'Revenue drivers'!BQ461</f>
        <v>0</v>
      </c>
      <c r="BR1121">
        <f>'Revenue drivers'!BR461</f>
        <v>0</v>
      </c>
      <c r="BS1121">
        <f>'Revenue drivers'!BS461</f>
        <v>0</v>
      </c>
      <c r="BT1121">
        <f>'Revenue drivers'!BT461</f>
        <v>0</v>
      </c>
      <c r="BU1121">
        <f>'Revenue drivers'!BU461</f>
        <v>0</v>
      </c>
      <c r="BV1121">
        <f>'Revenue drivers'!BV461</f>
        <v>0</v>
      </c>
      <c r="BW1121">
        <f>'Revenue drivers'!BW461</f>
        <v>0</v>
      </c>
      <c r="BX1121">
        <f>'Revenue drivers'!BX461</f>
        <v>0</v>
      </c>
      <c r="BY1121">
        <f>'Revenue drivers'!BY461</f>
        <v>0</v>
      </c>
    </row>
    <row r="1122" spans="9:77" ht="11.25" customHeight="1">
      <c r="I1122" t="str">
        <f>'Revenue drivers'!I462</f>
        <v>% of total active markets</v>
      </c>
      <c r="J1122">
        <f>'Revenue drivers'!J462</f>
        <v>0</v>
      </c>
      <c r="K1122">
        <f>'Revenue drivers'!K462</f>
        <v>0</v>
      </c>
      <c r="L1122">
        <f>'Revenue drivers'!L462</f>
        <v>0</v>
      </c>
      <c r="M1122">
        <f>'Revenue drivers'!M462</f>
        <v>0</v>
      </c>
      <c r="N1122">
        <f>'Revenue drivers'!N462</f>
        <v>0</v>
      </c>
      <c r="O1122">
        <f>'Revenue drivers'!O462</f>
        <v>0</v>
      </c>
      <c r="P1122">
        <f>'Revenue drivers'!P462</f>
        <v>0.22448979591836735</v>
      </c>
      <c r="Q1122">
        <f>'Revenue drivers'!Q462</f>
        <v>0</v>
      </c>
      <c r="R1122">
        <f>'Revenue drivers'!R462</f>
        <v>0</v>
      </c>
      <c r="S1122">
        <f>'Revenue drivers'!S462</f>
        <v>0</v>
      </c>
      <c r="T1122">
        <f>'Revenue drivers'!T462</f>
        <v>0.352112676056338</v>
      </c>
      <c r="U1122">
        <f>'Revenue drivers'!U462</f>
        <v>0.40243902439024393</v>
      </c>
      <c r="V1122">
        <f>'Revenue drivers'!V462</f>
        <v>0.43333333333333335</v>
      </c>
      <c r="W1122">
        <f>'Revenue drivers'!W462</f>
        <v>0.44791666666666669</v>
      </c>
      <c r="X1122">
        <f>'Revenue drivers'!X462</f>
        <v>0.45360824742268041</v>
      </c>
      <c r="Y1122">
        <f>'Revenue drivers'!Y462</f>
        <v>0.46</v>
      </c>
      <c r="Z1122">
        <f>'Revenue drivers'!Z462</f>
        <v>0.47169811320754718</v>
      </c>
      <c r="AA1122">
        <f>'Revenue drivers'!AA462</f>
        <v>0.45945945945945948</v>
      </c>
      <c r="AB1122">
        <f>'Revenue drivers'!AB462</f>
        <v>0.47863247863247865</v>
      </c>
      <c r="AC1122">
        <f>'Revenue drivers'!AC462</f>
        <v>0.49166666666666664</v>
      </c>
      <c r="AD1122">
        <f>'Revenue drivers'!AD462</f>
        <v>0.50806451612903225</v>
      </c>
      <c r="AE1122">
        <f>'Revenue drivers'!AE462</f>
        <v>0.51968503937007871</v>
      </c>
      <c r="AF1122">
        <f>'Revenue drivers'!AF462</f>
        <v>0.53787878787878785</v>
      </c>
      <c r="AG1122">
        <f>'Revenue drivers'!AG462</f>
        <v>0.55474452554744524</v>
      </c>
      <c r="AH1122">
        <f>'Revenue drivers'!AH462</f>
        <v>0.57042253521126762</v>
      </c>
      <c r="AI1122">
        <f>'Revenue drivers'!AI462</f>
        <v>0.58503401360544216</v>
      </c>
      <c r="AJ1122">
        <f>'Revenue drivers'!AJ462</f>
        <v>0.59868421052631582</v>
      </c>
      <c r="AK1122">
        <f>'Revenue drivers'!AK462</f>
        <v>0.61146496815286622</v>
      </c>
      <c r="AL1122">
        <f>'Revenue drivers'!AL462</f>
        <v>0.62345679012345678</v>
      </c>
      <c r="AM1122">
        <f>'Revenue drivers'!AM462</f>
        <v>0.6347305389221557</v>
      </c>
      <c r="AN1122">
        <f>'Revenue drivers'!AN462</f>
        <v>0.64534883720930236</v>
      </c>
      <c r="AO1122">
        <f>'Revenue drivers'!AO462</f>
        <v>0.65536723163841804</v>
      </c>
      <c r="AP1122">
        <f>'Revenue drivers'!AP462</f>
        <v>0.6648351648351648</v>
      </c>
      <c r="AQ1122">
        <f>'Revenue drivers'!AQ462</f>
        <v>0.6737967914438503</v>
      </c>
      <c r="AR1122">
        <f>'Revenue drivers'!AR462</f>
        <v>0.68229166666666663</v>
      </c>
      <c r="AS1122">
        <f>'Revenue drivers'!AS462</f>
        <v>0.69035532994923854</v>
      </c>
      <c r="AT1122">
        <f>'Revenue drivers'!AT462</f>
        <v>0.69801980198019797</v>
      </c>
      <c r="AU1122">
        <f>'Revenue drivers'!AU462</f>
        <v>0.70531400966183577</v>
      </c>
      <c r="AV1122">
        <f>'Revenue drivers'!AV462</f>
        <v>0.71226415094339623</v>
      </c>
      <c r="AW1122">
        <f>'Revenue drivers'!AW462</f>
        <v>0.71889400921658986</v>
      </c>
      <c r="AX1122">
        <f>'Revenue drivers'!AX462</f>
        <v>0.72522522522522526</v>
      </c>
      <c r="AY1122">
        <f>'Revenue drivers'!AY462</f>
        <v>0.7312775330396476</v>
      </c>
      <c r="AZ1122">
        <f>'Revenue drivers'!AZ462</f>
        <v>0.73706896551724133</v>
      </c>
      <c r="BA1122">
        <f>'Revenue drivers'!BA462</f>
        <v>0.7426160337552743</v>
      </c>
      <c r="BB1122">
        <f>'Revenue drivers'!BB462</f>
        <v>0.74793388429752061</v>
      </c>
      <c r="BC1122">
        <f>'Revenue drivers'!BC462</f>
        <v>0.75303643724696356</v>
      </c>
      <c r="BD1122">
        <f>'Revenue drivers'!BD462</f>
        <v>0.75793650793650791</v>
      </c>
      <c r="BE1122">
        <f>'Revenue drivers'!BE462</f>
        <v>0</v>
      </c>
      <c r="BF1122">
        <f>'Revenue drivers'!BF462</f>
        <v>0</v>
      </c>
      <c r="BG1122">
        <f>'Revenue drivers'!BG462</f>
        <v>0</v>
      </c>
      <c r="BH1122">
        <f>'Revenue drivers'!BH462</f>
        <v>0</v>
      </c>
      <c r="BI1122">
        <f>'Revenue drivers'!BI462</f>
        <v>0.1111111111111111</v>
      </c>
      <c r="BJ1122">
        <f>'Revenue drivers'!BJ462</f>
        <v>0.22448979591836735</v>
      </c>
      <c r="BK1122">
        <f>'Revenue drivers'!BK462</f>
        <v>0.352112676056338</v>
      </c>
      <c r="BL1122">
        <f>'Revenue drivers'!BL462</f>
        <v>0.45360824742268041</v>
      </c>
      <c r="BM1122">
        <f>'Revenue drivers'!BM462</f>
        <v>0.47863247863247865</v>
      </c>
      <c r="BN1122">
        <f>'Revenue drivers'!BN462</f>
        <v>0.53787878787878785</v>
      </c>
      <c r="BO1122">
        <f>'Revenue drivers'!BO462</f>
        <v>0.59868421052631582</v>
      </c>
      <c r="BP1122">
        <f>'Revenue drivers'!BP462</f>
        <v>0.64534883720930236</v>
      </c>
      <c r="BQ1122">
        <f>'Revenue drivers'!BQ462</f>
        <v>0.68229166666666663</v>
      </c>
      <c r="BR1122">
        <f>'Revenue drivers'!BR462</f>
        <v>0.71226415094339623</v>
      </c>
      <c r="BS1122">
        <f>'Revenue drivers'!BS462</f>
        <v>0.73706896551724133</v>
      </c>
      <c r="BT1122">
        <f>'Revenue drivers'!BT462</f>
        <v>0.75793650793650791</v>
      </c>
      <c r="BU1122">
        <f>'Revenue drivers'!BU462</f>
        <v>0.77573529411764708</v>
      </c>
      <c r="BV1122">
        <f>'Revenue drivers'!BV462</f>
        <v>0.79109589041095896</v>
      </c>
      <c r="BW1122">
        <f>'Revenue drivers'!BW462</f>
        <v>0.80448717948717952</v>
      </c>
      <c r="BX1122">
        <f>'Revenue drivers'!BX462</f>
        <v>0.8162650602409639</v>
      </c>
      <c r="BY1122">
        <f>'Revenue drivers'!BY462</f>
        <v>0.82670454545454541</v>
      </c>
    </row>
    <row r="1124" spans="9:77" ht="11.25" customHeight="1">
      <c r="I1124">
        <f>'Revenue drivers'!I463</f>
        <v>0</v>
      </c>
      <c r="J1124">
        <f>'Revenue drivers'!J463</f>
        <v>0</v>
      </c>
      <c r="K1124">
        <f>'Revenue drivers'!K463</f>
        <v>0</v>
      </c>
      <c r="L1124">
        <f>'Revenue drivers'!L463</f>
        <v>0</v>
      </c>
      <c r="M1124">
        <f>'Revenue drivers'!M463</f>
        <v>0</v>
      </c>
      <c r="N1124">
        <f>'Revenue drivers'!N463</f>
        <v>0</v>
      </c>
      <c r="O1124">
        <f>'Revenue drivers'!O463</f>
        <v>0</v>
      </c>
      <c r="P1124">
        <f>'Revenue drivers'!P463</f>
        <v>0</v>
      </c>
      <c r="Q1124">
        <f>'Revenue drivers'!Q463</f>
        <v>0</v>
      </c>
      <c r="R1124">
        <f>'Revenue drivers'!R463</f>
        <v>0</v>
      </c>
      <c r="S1124">
        <f>'Revenue drivers'!S463</f>
        <v>0</v>
      </c>
      <c r="T1124">
        <f>'Revenue drivers'!T463</f>
        <v>0</v>
      </c>
      <c r="U1124">
        <f>'Revenue drivers'!U463</f>
        <v>0</v>
      </c>
      <c r="V1124">
        <f>'Revenue drivers'!V463</f>
        <v>0</v>
      </c>
      <c r="W1124">
        <f>'Revenue drivers'!W463</f>
        <v>0</v>
      </c>
      <c r="X1124">
        <f>'Revenue drivers'!X463</f>
        <v>0</v>
      </c>
      <c r="Y1124">
        <f>'Revenue drivers'!Y463</f>
        <v>0</v>
      </c>
      <c r="Z1124">
        <f>'Revenue drivers'!Z463</f>
        <v>0</v>
      </c>
      <c r="AA1124">
        <f>'Revenue drivers'!AA463</f>
        <v>0</v>
      </c>
      <c r="AB1124">
        <f>'Revenue drivers'!AB463</f>
        <v>0</v>
      </c>
      <c r="AC1124">
        <f>'Revenue drivers'!AC463</f>
        <v>0</v>
      </c>
      <c r="AD1124">
        <f>'Revenue drivers'!AD463</f>
        <v>0</v>
      </c>
      <c r="AE1124">
        <f>'Revenue drivers'!AE463</f>
        <v>0</v>
      </c>
      <c r="AF1124">
        <f>'Revenue drivers'!AF463</f>
        <v>0</v>
      </c>
      <c r="AG1124">
        <f>'Revenue drivers'!AG463</f>
        <v>0</v>
      </c>
      <c r="AH1124">
        <f>'Revenue drivers'!AH463</f>
        <v>0</v>
      </c>
      <c r="AI1124">
        <f>'Revenue drivers'!AI463</f>
        <v>0</v>
      </c>
      <c r="AJ1124">
        <f>'Revenue drivers'!AJ463</f>
        <v>0</v>
      </c>
      <c r="AK1124">
        <f>'Revenue drivers'!AK463</f>
        <v>0</v>
      </c>
      <c r="AL1124">
        <f>'Revenue drivers'!AL463</f>
        <v>0</v>
      </c>
      <c r="AM1124">
        <f>'Revenue drivers'!AM463</f>
        <v>0</v>
      </c>
      <c r="AN1124">
        <f>'Revenue drivers'!AN463</f>
        <v>0</v>
      </c>
      <c r="AO1124">
        <f>'Revenue drivers'!AO463</f>
        <v>0</v>
      </c>
      <c r="AP1124">
        <f>'Revenue drivers'!AP463</f>
        <v>0</v>
      </c>
      <c r="AQ1124">
        <f>'Revenue drivers'!AQ463</f>
        <v>0</v>
      </c>
      <c r="AR1124">
        <f>'Revenue drivers'!AR463</f>
        <v>0</v>
      </c>
      <c r="AS1124">
        <f>'Revenue drivers'!AS463</f>
        <v>0</v>
      </c>
      <c r="AT1124">
        <f>'Revenue drivers'!AT463</f>
        <v>0</v>
      </c>
      <c r="AU1124">
        <f>'Revenue drivers'!AU463</f>
        <v>0</v>
      </c>
      <c r="AV1124">
        <f>'Revenue drivers'!AV463</f>
        <v>0</v>
      </c>
      <c r="AW1124">
        <f>'Revenue drivers'!AW463</f>
        <v>0</v>
      </c>
      <c r="AX1124">
        <f>'Revenue drivers'!AX463</f>
        <v>0</v>
      </c>
      <c r="AY1124">
        <f>'Revenue drivers'!AY463</f>
        <v>0</v>
      </c>
      <c r="AZ1124">
        <f>'Revenue drivers'!AZ463</f>
        <v>0</v>
      </c>
      <c r="BA1124">
        <f>'Revenue drivers'!BA463</f>
        <v>0</v>
      </c>
      <c r="BB1124">
        <f>'Revenue drivers'!BB463</f>
        <v>0</v>
      </c>
      <c r="BC1124">
        <f>'Revenue drivers'!BC463</f>
        <v>0</v>
      </c>
      <c r="BD1124">
        <f>'Revenue drivers'!BD463</f>
        <v>0</v>
      </c>
      <c r="BE1124">
        <f>'Revenue drivers'!BE463</f>
        <v>0</v>
      </c>
      <c r="BF1124">
        <f>'Revenue drivers'!BF463</f>
        <v>0</v>
      </c>
      <c r="BG1124">
        <f>'Revenue drivers'!BG463</f>
        <v>0</v>
      </c>
      <c r="BH1124">
        <f>'Revenue drivers'!BH463</f>
        <v>0</v>
      </c>
      <c r="BI1124">
        <f>'Revenue drivers'!BI463</f>
        <v>0</v>
      </c>
      <c r="BJ1124">
        <f>'Revenue drivers'!BJ463</f>
        <v>0</v>
      </c>
      <c r="BK1124">
        <f>'Revenue drivers'!BK463</f>
        <v>0</v>
      </c>
      <c r="BL1124">
        <f>'Revenue drivers'!BL463</f>
        <v>0</v>
      </c>
      <c r="BM1124">
        <f>'Revenue drivers'!BM463</f>
        <v>0</v>
      </c>
      <c r="BN1124">
        <f>'Revenue drivers'!BN463</f>
        <v>0</v>
      </c>
      <c r="BO1124">
        <f>'Revenue drivers'!BO463</f>
        <v>0</v>
      </c>
      <c r="BP1124">
        <f>'Revenue drivers'!BP463</f>
        <v>0</v>
      </c>
      <c r="BQ1124">
        <f>'Revenue drivers'!BQ463</f>
        <v>0</v>
      </c>
      <c r="BR1124">
        <f>'Revenue drivers'!BR463</f>
        <v>0</v>
      </c>
      <c r="BS1124">
        <f>'Revenue drivers'!BS463</f>
        <v>0</v>
      </c>
      <c r="BT1124">
        <f>'Revenue drivers'!BT463</f>
        <v>0</v>
      </c>
      <c r="BU1124">
        <f>'Revenue drivers'!BU463</f>
        <v>0</v>
      </c>
      <c r="BV1124">
        <f>'Revenue drivers'!BV463</f>
        <v>0</v>
      </c>
      <c r="BW1124">
        <f>'Revenue drivers'!BW463</f>
        <v>0</v>
      </c>
      <c r="BX1124">
        <f>'Revenue drivers'!BX463</f>
        <v>0</v>
      </c>
      <c r="BY1124">
        <f>'Revenue drivers'!BY463</f>
        <v>0</v>
      </c>
    </row>
    <row r="1125" spans="9:77" ht="11.25" customHeight="1">
      <c r="I1125">
        <f>'Revenue drivers'!I464</f>
        <v>0</v>
      </c>
      <c r="J1125">
        <f>'Revenue drivers'!J464</f>
        <v>0</v>
      </c>
      <c r="K1125">
        <f>'Revenue drivers'!K464</f>
        <v>0</v>
      </c>
      <c r="L1125">
        <f>'Revenue drivers'!L464</f>
        <v>0</v>
      </c>
      <c r="M1125">
        <f>'Revenue drivers'!M464</f>
        <v>0</v>
      </c>
      <c r="N1125">
        <f>'Revenue drivers'!N464</f>
        <v>0</v>
      </c>
      <c r="O1125">
        <f>'Revenue drivers'!O464</f>
        <v>0</v>
      </c>
      <c r="P1125">
        <f>'Revenue drivers'!P464</f>
        <v>0</v>
      </c>
      <c r="Q1125">
        <f>'Revenue drivers'!Q464</f>
        <v>0</v>
      </c>
      <c r="R1125">
        <f>'Revenue drivers'!R464</f>
        <v>0</v>
      </c>
      <c r="S1125">
        <f>'Revenue drivers'!S464</f>
        <v>0</v>
      </c>
      <c r="T1125">
        <f>'Revenue drivers'!T464</f>
        <v>0</v>
      </c>
      <c r="U1125">
        <f>'Revenue drivers'!U464</f>
        <v>0</v>
      </c>
      <c r="V1125">
        <f>'Revenue drivers'!V464</f>
        <v>0</v>
      </c>
      <c r="W1125">
        <f>'Revenue drivers'!W464</f>
        <v>0</v>
      </c>
      <c r="X1125">
        <f>'Revenue drivers'!X464</f>
        <v>0</v>
      </c>
      <c r="Y1125">
        <f>'Revenue drivers'!Y464</f>
        <v>0</v>
      </c>
      <c r="Z1125">
        <f>'Revenue drivers'!Z464</f>
        <v>0</v>
      </c>
      <c r="AA1125">
        <f>'Revenue drivers'!AA464</f>
        <v>0</v>
      </c>
      <c r="AB1125">
        <f>'Revenue drivers'!AB464</f>
        <v>0</v>
      </c>
      <c r="AC1125">
        <f>'Revenue drivers'!AC464</f>
        <v>0</v>
      </c>
      <c r="AD1125">
        <f>'Revenue drivers'!AD464</f>
        <v>0</v>
      </c>
      <c r="AE1125">
        <f>'Revenue drivers'!AE464</f>
        <v>0</v>
      </c>
      <c r="AF1125">
        <f>'Revenue drivers'!AF464</f>
        <v>0</v>
      </c>
      <c r="AG1125">
        <f>'Revenue drivers'!AG464</f>
        <v>0</v>
      </c>
      <c r="AH1125">
        <f>'Revenue drivers'!AH464</f>
        <v>0</v>
      </c>
      <c r="AI1125">
        <f>'Revenue drivers'!AI464</f>
        <v>0</v>
      </c>
      <c r="AJ1125">
        <f>'Revenue drivers'!AJ464</f>
        <v>0</v>
      </c>
      <c r="AK1125">
        <f>'Revenue drivers'!AK464</f>
        <v>0</v>
      </c>
      <c r="AL1125">
        <f>'Revenue drivers'!AL464</f>
        <v>0</v>
      </c>
      <c r="AM1125">
        <f>'Revenue drivers'!AM464</f>
        <v>0</v>
      </c>
      <c r="AN1125">
        <f>'Revenue drivers'!AN464</f>
        <v>0</v>
      </c>
      <c r="AO1125">
        <f>'Revenue drivers'!AO464</f>
        <v>0</v>
      </c>
      <c r="AP1125">
        <f>'Revenue drivers'!AP464</f>
        <v>0</v>
      </c>
      <c r="AQ1125">
        <f>'Revenue drivers'!AQ464</f>
        <v>0</v>
      </c>
      <c r="AR1125">
        <f>'Revenue drivers'!AR464</f>
        <v>0</v>
      </c>
      <c r="AS1125">
        <f>'Revenue drivers'!AS464</f>
        <v>0</v>
      </c>
      <c r="AT1125">
        <f>'Revenue drivers'!AT464</f>
        <v>0</v>
      </c>
      <c r="AU1125">
        <f>'Revenue drivers'!AU464</f>
        <v>0</v>
      </c>
      <c r="AV1125">
        <f>'Revenue drivers'!AV464</f>
        <v>0</v>
      </c>
      <c r="AW1125">
        <f>'Revenue drivers'!AW464</f>
        <v>0</v>
      </c>
      <c r="AX1125">
        <f>'Revenue drivers'!AX464</f>
        <v>0</v>
      </c>
      <c r="AY1125">
        <f>'Revenue drivers'!AY464</f>
        <v>0</v>
      </c>
      <c r="AZ1125">
        <f>'Revenue drivers'!AZ464</f>
        <v>0</v>
      </c>
      <c r="BA1125">
        <f>'Revenue drivers'!BA464</f>
        <v>0</v>
      </c>
      <c r="BB1125">
        <f>'Revenue drivers'!BB464</f>
        <v>0</v>
      </c>
      <c r="BC1125">
        <f>'Revenue drivers'!BC464</f>
        <v>0</v>
      </c>
      <c r="BD1125">
        <f>'Revenue drivers'!BD464</f>
        <v>0</v>
      </c>
      <c r="BE1125">
        <f>'Revenue drivers'!BE464</f>
        <v>0</v>
      </c>
      <c r="BF1125">
        <f>'Revenue drivers'!BF464</f>
        <v>0</v>
      </c>
      <c r="BG1125">
        <f>'Revenue drivers'!BG464</f>
        <v>0</v>
      </c>
      <c r="BH1125">
        <f>'Revenue drivers'!BH464</f>
        <v>0</v>
      </c>
      <c r="BI1125">
        <f>'Revenue drivers'!BI464</f>
        <v>0</v>
      </c>
      <c r="BJ1125">
        <f>'Revenue drivers'!BJ464</f>
        <v>0</v>
      </c>
      <c r="BK1125">
        <f>'Revenue drivers'!BK464</f>
        <v>0</v>
      </c>
      <c r="BL1125">
        <f>'Revenue drivers'!BL464</f>
        <v>0</v>
      </c>
      <c r="BM1125">
        <f>'Revenue drivers'!BM464</f>
        <v>0</v>
      </c>
      <c r="BN1125">
        <f>'Revenue drivers'!BN464</f>
        <v>0</v>
      </c>
      <c r="BO1125">
        <f>'Revenue drivers'!BO464</f>
        <v>0</v>
      </c>
      <c r="BP1125">
        <f>'Revenue drivers'!BP464</f>
        <v>0</v>
      </c>
      <c r="BQ1125">
        <f>'Revenue drivers'!BQ464</f>
        <v>0</v>
      </c>
      <c r="BR1125">
        <f>'Revenue drivers'!BR464</f>
        <v>0</v>
      </c>
      <c r="BS1125">
        <f>'Revenue drivers'!BS464</f>
        <v>0</v>
      </c>
      <c r="BT1125">
        <f>'Revenue drivers'!BT464</f>
        <v>0</v>
      </c>
      <c r="BU1125">
        <f>'Revenue drivers'!BU464</f>
        <v>0</v>
      </c>
      <c r="BV1125">
        <f>'Revenue drivers'!BV464</f>
        <v>0</v>
      </c>
      <c r="BW1125">
        <f>'Revenue drivers'!BW464</f>
        <v>0</v>
      </c>
      <c r="BX1125">
        <f>'Revenue drivers'!BX464</f>
        <v>0</v>
      </c>
      <c r="BY1125">
        <f>'Revenue drivers'!BY464</f>
        <v>0</v>
      </c>
    </row>
    <row r="1126" spans="9:77" ht="11.25" customHeight="1">
      <c r="I1126" t="s">
        <v>716</v>
      </c>
      <c r="J1126">
        <v>0</v>
      </c>
      <c r="K1126" t="s">
        <v>585</v>
      </c>
      <c r="L1126">
        <v>0</v>
      </c>
      <c r="M1126">
        <v>2015</v>
      </c>
      <c r="N1126">
        <v>0</v>
      </c>
      <c r="O1126">
        <v>0</v>
      </c>
      <c r="P1126">
        <v>0</v>
      </c>
      <c r="Q1126" t="s">
        <v>201</v>
      </c>
      <c r="R1126">
        <v>0</v>
      </c>
      <c r="S1126">
        <v>0</v>
      </c>
      <c r="T1126">
        <v>0</v>
      </c>
      <c r="U1126" t="s">
        <v>202</v>
      </c>
      <c r="V1126">
        <v>0</v>
      </c>
      <c r="W1126">
        <v>0</v>
      </c>
      <c r="X1126">
        <v>0</v>
      </c>
      <c r="Y1126" t="s">
        <v>203</v>
      </c>
      <c r="Z1126">
        <v>0</v>
      </c>
      <c r="AA1126">
        <v>0</v>
      </c>
      <c r="AB1126">
        <v>0</v>
      </c>
      <c r="AC1126">
        <v>0</v>
      </c>
      <c r="AD1126">
        <v>0</v>
      </c>
      <c r="AE1126">
        <v>0</v>
      </c>
      <c r="AF1126">
        <v>0</v>
      </c>
      <c r="AG1126">
        <v>0</v>
      </c>
      <c r="AH1126">
        <v>0</v>
      </c>
      <c r="AI1126">
        <v>0</v>
      </c>
      <c r="AJ1126">
        <v>0</v>
      </c>
    </row>
    <row r="1127" spans="9:77" ht="11.25" customHeight="1">
      <c r="I1127">
        <v>0</v>
      </c>
      <c r="J1127">
        <v>0</v>
      </c>
      <c r="K1127" t="s">
        <v>586</v>
      </c>
      <c r="L1127">
        <v>0</v>
      </c>
      <c r="M1127">
        <v>1</v>
      </c>
      <c r="N1127">
        <v>2</v>
      </c>
      <c r="O1127">
        <v>3</v>
      </c>
      <c r="P1127">
        <v>4</v>
      </c>
      <c r="Q1127">
        <v>1</v>
      </c>
      <c r="R1127">
        <v>2</v>
      </c>
      <c r="S1127">
        <v>3</v>
      </c>
      <c r="T1127" t="s">
        <v>583</v>
      </c>
      <c r="U1127" t="s">
        <v>580</v>
      </c>
      <c r="V1127" t="s">
        <v>581</v>
      </c>
      <c r="W1127" t="s">
        <v>582</v>
      </c>
      <c r="X1127" t="s">
        <v>583</v>
      </c>
      <c r="Y1127" t="s">
        <v>580</v>
      </c>
      <c r="Z1127" t="s">
        <v>581</v>
      </c>
      <c r="AA1127" t="s">
        <v>582</v>
      </c>
      <c r="AB1127" t="s">
        <v>583</v>
      </c>
      <c r="AC1127">
        <v>0</v>
      </c>
      <c r="AD1127">
        <v>0</v>
      </c>
      <c r="AE1127">
        <v>41274</v>
      </c>
      <c r="AF1127">
        <v>41639</v>
      </c>
      <c r="AG1127">
        <v>42004</v>
      </c>
      <c r="AH1127">
        <v>42369</v>
      </c>
      <c r="AI1127">
        <v>42734</v>
      </c>
      <c r="AJ1127">
        <v>43100</v>
      </c>
    </row>
    <row r="1128" spans="9:77" ht="11.25" customHeight="1">
      <c r="I1128" t="s">
        <v>252</v>
      </c>
      <c r="J1128">
        <v>0</v>
      </c>
      <c r="K1128">
        <v>0</v>
      </c>
      <c r="L1128">
        <v>0</v>
      </c>
      <c r="M1128">
        <v>98.57</v>
      </c>
      <c r="N1128">
        <v>107.88200000000001</v>
      </c>
      <c r="O1128">
        <v>115.932</v>
      </c>
      <c r="P1128">
        <v>125.851</v>
      </c>
      <c r="Q1128">
        <v>138.11600000000001</v>
      </c>
      <c r="R1128">
        <v>151.87899999999999</v>
      </c>
      <c r="S1128">
        <v>163.6</v>
      </c>
      <c r="T1128">
        <v>171.10000000000002</v>
      </c>
      <c r="U1128">
        <v>177.00000000000003</v>
      </c>
      <c r="V1128">
        <v>187.87899999999996</v>
      </c>
      <c r="W1128">
        <v>197.59999999999997</v>
      </c>
      <c r="X1128">
        <v>209.1</v>
      </c>
      <c r="Y1128">
        <v>213</v>
      </c>
      <c r="Z1128">
        <v>224.87899999999996</v>
      </c>
      <c r="AA1128">
        <v>234.59999999999994</v>
      </c>
      <c r="AB1128">
        <v>245.10000000000005</v>
      </c>
      <c r="AC1128">
        <v>0</v>
      </c>
      <c r="AD1128">
        <v>0</v>
      </c>
      <c r="AE1128">
        <v>0</v>
      </c>
      <c r="AF1128">
        <v>0</v>
      </c>
      <c r="AG1128">
        <v>0</v>
      </c>
      <c r="AH1128">
        <v>448.23500000000001</v>
      </c>
      <c r="AI1128">
        <v>624.69500000000005</v>
      </c>
      <c r="AJ1128">
        <v>771.57900000000006</v>
      </c>
    </row>
    <row r="1129" spans="9:77" ht="11.25" customHeight="1">
      <c r="I1129" t="s">
        <v>132</v>
      </c>
      <c r="J1129">
        <v>0</v>
      </c>
      <c r="K1129">
        <v>0</v>
      </c>
      <c r="L1129">
        <v>0</v>
      </c>
      <c r="M1129">
        <v>0.51180981595092012</v>
      </c>
      <c r="N1129">
        <v>0.42540794080729349</v>
      </c>
      <c r="O1129">
        <v>0.36179110087863542</v>
      </c>
      <c r="P1129">
        <v>0.35178302900107417</v>
      </c>
      <c r="Q1129">
        <v>0.40119711879882347</v>
      </c>
      <c r="R1129">
        <v>0.40782521644018455</v>
      </c>
      <c r="S1129">
        <v>0.41117206638374215</v>
      </c>
      <c r="T1129">
        <v>0.35954422293029076</v>
      </c>
      <c r="U1129">
        <v>0.28153146630368675</v>
      </c>
      <c r="V1129">
        <v>0.23703079425068618</v>
      </c>
      <c r="W1129">
        <v>0.2078239608801955</v>
      </c>
      <c r="X1129">
        <v>0.22209234365867903</v>
      </c>
      <c r="Y1129">
        <v>0.20338983050847448</v>
      </c>
      <c r="Z1129">
        <v>0.19693526152470486</v>
      </c>
      <c r="AA1129">
        <v>0.18724696356275294</v>
      </c>
      <c r="AB1129">
        <v>0.17216642754662859</v>
      </c>
      <c r="AC1129">
        <v>0</v>
      </c>
      <c r="AD1129">
        <v>0</v>
      </c>
      <c r="AE1129">
        <v>0</v>
      </c>
      <c r="AF1129">
        <v>0</v>
      </c>
      <c r="AG1129">
        <v>0</v>
      </c>
      <c r="AH1129">
        <v>0</v>
      </c>
      <c r="AI1129">
        <v>0.39367742367285019</v>
      </c>
      <c r="AJ1129">
        <v>0.23512914302179455</v>
      </c>
    </row>
    <row r="1130" spans="9:77" ht="11.25" customHeight="1">
      <c r="I1130">
        <v>0</v>
      </c>
      <c r="J1130">
        <v>0</v>
      </c>
      <c r="K1130">
        <v>0</v>
      </c>
      <c r="L1130">
        <v>0</v>
      </c>
      <c r="M1130">
        <v>0</v>
      </c>
      <c r="N1130">
        <v>0</v>
      </c>
      <c r="O1130">
        <v>0</v>
      </c>
      <c r="P1130">
        <v>0</v>
      </c>
      <c r="Q1130">
        <v>0</v>
      </c>
      <c r="R1130">
        <v>0</v>
      </c>
      <c r="S1130">
        <v>0</v>
      </c>
      <c r="T1130">
        <v>0</v>
      </c>
      <c r="U1130">
        <v>0</v>
      </c>
      <c r="V1130">
        <v>0</v>
      </c>
      <c r="W1130">
        <v>0</v>
      </c>
      <c r="X1130">
        <v>0</v>
      </c>
      <c r="Y1130">
        <v>0</v>
      </c>
      <c r="Z1130">
        <v>0</v>
      </c>
      <c r="AA1130">
        <v>0</v>
      </c>
      <c r="AB1130">
        <v>0</v>
      </c>
      <c r="AC1130">
        <v>0</v>
      </c>
      <c r="AD1130">
        <v>0</v>
      </c>
      <c r="AE1130">
        <v>0</v>
      </c>
      <c r="AF1130">
        <v>0</v>
      </c>
      <c r="AG1130">
        <v>0</v>
      </c>
      <c r="AH1130">
        <v>0</v>
      </c>
      <c r="AI1130">
        <v>0</v>
      </c>
      <c r="AJ1130">
        <v>0</v>
      </c>
    </row>
    <row r="1131" spans="9:77" ht="11.25" customHeight="1">
      <c r="I1131" t="s">
        <v>579</v>
      </c>
      <c r="J1131">
        <v>0</v>
      </c>
      <c r="K1131">
        <v>0</v>
      </c>
      <c r="L1131">
        <v>0</v>
      </c>
      <c r="M1131">
        <v>377.22923842326827</v>
      </c>
      <c r="N1131">
        <v>383.99003381384586</v>
      </c>
      <c r="O1131">
        <v>383.9443616492797</v>
      </c>
      <c r="P1131">
        <v>389.87298636926897</v>
      </c>
      <c r="Q1131">
        <v>396.88505747126442</v>
      </c>
      <c r="R1131">
        <v>405.98503074044373</v>
      </c>
      <c r="S1131">
        <v>414.07238673753477</v>
      </c>
      <c r="T1131">
        <v>418.13294232649076</v>
      </c>
      <c r="U1131">
        <v>420.22792022792027</v>
      </c>
      <c r="V1131">
        <v>428.9474885844748</v>
      </c>
      <c r="W1131">
        <v>433.33333333333331</v>
      </c>
      <c r="X1131">
        <v>441.13924050632909</v>
      </c>
      <c r="Y1131">
        <v>434.25076452599387</v>
      </c>
      <c r="Z1131">
        <v>444.86449060336298</v>
      </c>
      <c r="AA1131">
        <v>450.7204610951008</v>
      </c>
      <c r="AB1131">
        <v>457.70308123249305</v>
      </c>
      <c r="AC1131">
        <v>0</v>
      </c>
      <c r="AD1131">
        <v>0</v>
      </c>
      <c r="AE1131">
        <v>0</v>
      </c>
      <c r="AF1131">
        <v>0</v>
      </c>
      <c r="AG1131">
        <v>0</v>
      </c>
      <c r="AH1131">
        <v>384.29311175337176</v>
      </c>
      <c r="AI1131">
        <v>418.47199892818867</v>
      </c>
      <c r="AJ1131">
        <v>430.37650602409644</v>
      </c>
    </row>
    <row r="1132" spans="9:77" ht="11.25" customHeight="1">
      <c r="I1132" t="s">
        <v>132</v>
      </c>
      <c r="J1132">
        <v>0</v>
      </c>
      <c r="K1132">
        <v>0</v>
      </c>
      <c r="L1132">
        <v>0</v>
      </c>
      <c r="M1132">
        <v>2.3205380600537007E-2</v>
      </c>
      <c r="N1132">
        <v>1.1407983626744667E-2</v>
      </c>
      <c r="O1132">
        <v>-1.028297039968018E-2</v>
      </c>
      <c r="P1132">
        <v>1.0696511925059715E-2</v>
      </c>
      <c r="Q1132">
        <v>5.2105767649806234E-2</v>
      </c>
      <c r="R1132">
        <v>5.7280124455679982E-2</v>
      </c>
      <c r="S1132">
        <v>7.8469768272768636E-2</v>
      </c>
      <c r="T1132">
        <v>7.2485032164950614E-2</v>
      </c>
      <c r="U1132">
        <v>5.881517158994054E-2</v>
      </c>
      <c r="V1132">
        <v>5.655986330863394E-2</v>
      </c>
      <c r="W1132">
        <v>4.6515892420537996E-2</v>
      </c>
      <c r="X1132">
        <v>5.5021491614201334E-2</v>
      </c>
      <c r="Y1132">
        <v>3.3369615922873574E-2</v>
      </c>
      <c r="Z1132">
        <v>3.7107110876005489E-2</v>
      </c>
      <c r="AA1132">
        <v>4.0124140988694101E-2</v>
      </c>
      <c r="AB1132">
        <v>3.7547874242954249E-2</v>
      </c>
      <c r="AC1132">
        <v>0</v>
      </c>
      <c r="AD1132">
        <v>0</v>
      </c>
      <c r="AE1132">
        <v>0</v>
      </c>
      <c r="AF1132">
        <v>0</v>
      </c>
      <c r="AG1132">
        <v>0</v>
      </c>
      <c r="AH1132">
        <v>0</v>
      </c>
      <c r="AI1132">
        <v>8.8939630010209214E-2</v>
      </c>
      <c r="AJ1132">
        <v>2.8447559517478238E-2</v>
      </c>
    </row>
    <row r="1133" spans="9:77" ht="11.25" customHeight="1">
      <c r="I1133">
        <v>0</v>
      </c>
      <c r="J1133">
        <v>0</v>
      </c>
      <c r="K1133">
        <v>0</v>
      </c>
      <c r="L1133">
        <v>0</v>
      </c>
      <c r="M1133">
        <v>0</v>
      </c>
      <c r="N1133">
        <v>0</v>
      </c>
      <c r="O1133">
        <v>0</v>
      </c>
      <c r="P1133">
        <v>0</v>
      </c>
      <c r="Q1133">
        <v>0</v>
      </c>
      <c r="R1133">
        <v>0</v>
      </c>
      <c r="S1133">
        <v>0</v>
      </c>
      <c r="T1133">
        <v>0</v>
      </c>
      <c r="U1133">
        <v>0</v>
      </c>
      <c r="V1133">
        <v>0</v>
      </c>
      <c r="W1133">
        <v>0</v>
      </c>
      <c r="X1133">
        <v>0</v>
      </c>
      <c r="Y1133">
        <v>0</v>
      </c>
      <c r="Z1133">
        <v>0</v>
      </c>
      <c r="AA1133">
        <v>0</v>
      </c>
      <c r="AB1133">
        <v>0</v>
      </c>
      <c r="AC1133">
        <v>0</v>
      </c>
      <c r="AD1133">
        <v>0</v>
      </c>
      <c r="AE1133">
        <v>0</v>
      </c>
      <c r="AF1133">
        <v>0</v>
      </c>
      <c r="AG1133">
        <v>0</v>
      </c>
      <c r="AH1133">
        <v>0</v>
      </c>
      <c r="AI1133">
        <v>0</v>
      </c>
      <c r="AJ1133">
        <v>0</v>
      </c>
    </row>
    <row r="1134" spans="9:77" ht="11.25" customHeight="1">
      <c r="I1134" t="s">
        <v>465</v>
      </c>
      <c r="J1134">
        <v>0</v>
      </c>
      <c r="K1134">
        <v>0</v>
      </c>
      <c r="L1134">
        <v>0</v>
      </c>
      <c r="M1134">
        <v>1600</v>
      </c>
      <c r="N1134">
        <v>1750</v>
      </c>
      <c r="O1134">
        <v>2100</v>
      </c>
      <c r="P1134">
        <v>2200</v>
      </c>
      <c r="Q1134">
        <v>2300</v>
      </c>
      <c r="R1134">
        <v>2400</v>
      </c>
      <c r="S1134">
        <v>2500</v>
      </c>
      <c r="T1134">
        <v>2450</v>
      </c>
      <c r="U1134">
        <v>2550</v>
      </c>
      <c r="V1134">
        <v>2650</v>
      </c>
      <c r="W1134">
        <v>2750</v>
      </c>
      <c r="X1134">
        <v>2850</v>
      </c>
      <c r="Y1134">
        <v>2950</v>
      </c>
      <c r="Z1134">
        <v>3050</v>
      </c>
      <c r="AA1134">
        <v>3125</v>
      </c>
      <c r="AB1134">
        <v>3200</v>
      </c>
      <c r="AC1134">
        <v>0</v>
      </c>
      <c r="AD1134">
        <v>0</v>
      </c>
      <c r="AE1134">
        <v>769.23076923076928</v>
      </c>
      <c r="AF1134">
        <v>1100</v>
      </c>
      <c r="AG1134">
        <v>1550</v>
      </c>
      <c r="AH1134">
        <v>2200</v>
      </c>
      <c r="AI1134">
        <v>2450</v>
      </c>
      <c r="AJ1134">
        <v>2850</v>
      </c>
    </row>
    <row r="1135" spans="9:77" ht="11.25" customHeight="1">
      <c r="I1135" t="s">
        <v>584</v>
      </c>
      <c r="J1135">
        <v>0</v>
      </c>
      <c r="K1135">
        <v>0</v>
      </c>
      <c r="L1135">
        <v>0</v>
      </c>
      <c r="M1135">
        <v>50</v>
      </c>
      <c r="N1135">
        <v>150</v>
      </c>
      <c r="O1135">
        <v>350</v>
      </c>
      <c r="P1135">
        <v>100</v>
      </c>
      <c r="Q1135">
        <v>100</v>
      </c>
      <c r="R1135">
        <v>100</v>
      </c>
      <c r="S1135">
        <v>100</v>
      </c>
      <c r="T1135">
        <v>-50</v>
      </c>
      <c r="U1135">
        <v>100</v>
      </c>
      <c r="V1135">
        <v>100</v>
      </c>
      <c r="W1135">
        <v>100</v>
      </c>
      <c r="X1135">
        <v>100</v>
      </c>
      <c r="Y1135">
        <v>100</v>
      </c>
      <c r="Z1135">
        <v>100</v>
      </c>
      <c r="AA1135">
        <v>75</v>
      </c>
      <c r="AB1135">
        <v>75</v>
      </c>
      <c r="AC1135">
        <v>0</v>
      </c>
      <c r="AD1135">
        <v>0</v>
      </c>
      <c r="AE1135">
        <v>0</v>
      </c>
      <c r="AF1135">
        <v>330.76923076923072</v>
      </c>
      <c r="AG1135">
        <v>450</v>
      </c>
      <c r="AH1135">
        <v>650</v>
      </c>
      <c r="AI1135">
        <v>250</v>
      </c>
      <c r="AJ1135">
        <v>400</v>
      </c>
    </row>
    <row r="1136" spans="9:77" ht="11.25" customHeight="1">
      <c r="I1136" t="s">
        <v>597</v>
      </c>
      <c r="J1136">
        <v>0</v>
      </c>
      <c r="K1136">
        <v>0</v>
      </c>
      <c r="L1136">
        <v>0</v>
      </c>
      <c r="M1136">
        <v>0</v>
      </c>
      <c r="N1136">
        <v>0</v>
      </c>
      <c r="O1136">
        <v>0</v>
      </c>
      <c r="P1136">
        <v>0</v>
      </c>
      <c r="Q1136">
        <v>100</v>
      </c>
      <c r="R1136">
        <v>100</v>
      </c>
      <c r="S1136">
        <v>100</v>
      </c>
      <c r="T1136">
        <v>-50</v>
      </c>
      <c r="U1136">
        <v>100</v>
      </c>
      <c r="V1136">
        <v>100</v>
      </c>
      <c r="W1136">
        <v>100</v>
      </c>
      <c r="X1136">
        <v>100</v>
      </c>
      <c r="Y1136">
        <v>100</v>
      </c>
      <c r="Z1136">
        <v>100</v>
      </c>
      <c r="AA1136">
        <v>75</v>
      </c>
      <c r="AB1136">
        <v>75</v>
      </c>
      <c r="AC1136">
        <v>0</v>
      </c>
      <c r="AD1136">
        <v>0</v>
      </c>
      <c r="AE1136">
        <v>0</v>
      </c>
      <c r="AF1136">
        <v>0</v>
      </c>
      <c r="AG1136">
        <v>0</v>
      </c>
      <c r="AH1136">
        <v>0</v>
      </c>
      <c r="AI1136">
        <v>0</v>
      </c>
      <c r="AJ1136">
        <v>0</v>
      </c>
    </row>
    <row r="1137" spans="9:36" ht="11.25" customHeight="1">
      <c r="I1137" t="s">
        <v>599</v>
      </c>
      <c r="J1137">
        <v>0</v>
      </c>
      <c r="K1137">
        <v>0</v>
      </c>
      <c r="L1137">
        <v>0</v>
      </c>
      <c r="M1137">
        <v>0</v>
      </c>
      <c r="N1137">
        <v>0</v>
      </c>
      <c r="O1137">
        <v>0</v>
      </c>
      <c r="P1137">
        <v>0</v>
      </c>
      <c r="Q1137">
        <v>100</v>
      </c>
      <c r="R1137">
        <v>100</v>
      </c>
      <c r="S1137">
        <v>100</v>
      </c>
      <c r="T1137">
        <v>-50</v>
      </c>
      <c r="U1137">
        <v>100</v>
      </c>
      <c r="V1137">
        <v>100</v>
      </c>
      <c r="W1137">
        <v>100</v>
      </c>
      <c r="X1137">
        <v>100</v>
      </c>
      <c r="Y1137">
        <v>100</v>
      </c>
      <c r="Z1137">
        <v>100</v>
      </c>
      <c r="AA1137">
        <v>75</v>
      </c>
      <c r="AB1137">
        <v>75</v>
      </c>
      <c r="AC1137">
        <v>0</v>
      </c>
      <c r="AD1137">
        <v>0</v>
      </c>
      <c r="AE1137">
        <v>0</v>
      </c>
      <c r="AF1137">
        <v>0</v>
      </c>
      <c r="AG1137">
        <v>0</v>
      </c>
      <c r="AH1137">
        <v>0</v>
      </c>
      <c r="AI1137">
        <v>0</v>
      </c>
      <c r="AJ1137">
        <v>0</v>
      </c>
    </row>
    <row r="1138" spans="9:36" ht="11.25" customHeight="1">
      <c r="I1138" t="s">
        <v>600</v>
      </c>
      <c r="J1138">
        <v>0</v>
      </c>
      <c r="K1138">
        <v>0</v>
      </c>
      <c r="L1138">
        <v>0</v>
      </c>
      <c r="M1138">
        <v>0</v>
      </c>
      <c r="N1138">
        <v>0</v>
      </c>
      <c r="O1138">
        <v>0</v>
      </c>
      <c r="P1138">
        <v>0</v>
      </c>
      <c r="Q1138">
        <v>100</v>
      </c>
      <c r="R1138">
        <v>100</v>
      </c>
      <c r="S1138">
        <v>100</v>
      </c>
      <c r="T1138">
        <v>-100</v>
      </c>
      <c r="U1138">
        <v>50</v>
      </c>
      <c r="V1138">
        <v>50</v>
      </c>
      <c r="W1138">
        <v>50</v>
      </c>
      <c r="X1138">
        <v>50</v>
      </c>
      <c r="Y1138">
        <v>50</v>
      </c>
      <c r="Z1138">
        <v>50</v>
      </c>
      <c r="AA1138">
        <v>25</v>
      </c>
      <c r="AB1138">
        <v>25</v>
      </c>
      <c r="AC1138">
        <v>0</v>
      </c>
      <c r="AD1138">
        <v>0</v>
      </c>
      <c r="AE1138">
        <v>0</v>
      </c>
      <c r="AF1138">
        <v>0</v>
      </c>
      <c r="AG1138">
        <v>0</v>
      </c>
      <c r="AH1138">
        <v>0</v>
      </c>
      <c r="AI1138">
        <v>0</v>
      </c>
      <c r="AJ1138">
        <v>0</v>
      </c>
    </row>
    <row r="1139" spans="9:36" ht="11.25" customHeight="1">
      <c r="I1139">
        <v>0</v>
      </c>
      <c r="J1139">
        <v>0</v>
      </c>
      <c r="K1139">
        <v>0</v>
      </c>
      <c r="L1139">
        <v>0</v>
      </c>
      <c r="M1139">
        <v>0</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row>
    <row r="1140" spans="9:36" ht="11.25" customHeight="1">
      <c r="I1140">
        <v>0</v>
      </c>
      <c r="J1140">
        <v>0</v>
      </c>
      <c r="K1140">
        <v>0</v>
      </c>
      <c r="L1140">
        <v>0</v>
      </c>
      <c r="M1140">
        <v>0</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row>
    <row r="1141" spans="9:36" ht="11.25" customHeight="1">
      <c r="I1141" t="s">
        <v>545</v>
      </c>
      <c r="J1141">
        <v>0</v>
      </c>
      <c r="K1141">
        <v>0</v>
      </c>
      <c r="L1141">
        <v>0</v>
      </c>
      <c r="M1141">
        <v>4.0000000000000018</v>
      </c>
      <c r="N1141">
        <v>4.4516129032258016</v>
      </c>
      <c r="O1141">
        <v>4.4375000000000053</v>
      </c>
      <c r="P1141">
        <v>3.8857142857142843</v>
      </c>
      <c r="Q1141">
        <v>4.7619047619047619</v>
      </c>
      <c r="R1141">
        <v>3.363636363636366</v>
      </c>
      <c r="S1141">
        <v>2.869565217391302</v>
      </c>
      <c r="T1141">
        <v>1.1666666666666716</v>
      </c>
      <c r="U1141">
        <v>2.0799999999999956</v>
      </c>
      <c r="V1141">
        <v>2.4489795918367347</v>
      </c>
      <c r="W1141">
        <v>2.3529411764705883</v>
      </c>
      <c r="X1141">
        <v>2.2641509433962268</v>
      </c>
      <c r="Y1141">
        <v>1.8181818181818181</v>
      </c>
      <c r="Z1141">
        <v>1.7543859649122806</v>
      </c>
      <c r="AA1141">
        <v>1.6949152542372881</v>
      </c>
      <c r="AB1141">
        <v>1.6393442622950822</v>
      </c>
      <c r="AC1141">
        <v>0</v>
      </c>
      <c r="AD1141">
        <v>0</v>
      </c>
      <c r="AE1141">
        <v>0</v>
      </c>
      <c r="AF1141">
        <v>0</v>
      </c>
      <c r="AG1141">
        <v>0</v>
      </c>
      <c r="AH1141" t="s">
        <v>140</v>
      </c>
      <c r="AI1141" t="s">
        <v>140</v>
      </c>
      <c r="AJ1141" t="s">
        <v>140</v>
      </c>
    </row>
    <row r="1142" spans="9:36" ht="11.25" customHeight="1">
      <c r="I1142" t="s">
        <v>543</v>
      </c>
      <c r="J1142">
        <v>0</v>
      </c>
      <c r="K1142">
        <v>0</v>
      </c>
      <c r="L1142">
        <v>0</v>
      </c>
      <c r="M1142">
        <v>-0.53846153846153832</v>
      </c>
      <c r="N1142">
        <v>-0.17003827227993606</v>
      </c>
      <c r="O1142">
        <v>-0.26041666666666441</v>
      </c>
      <c r="P1142">
        <v>-0.26116700201207366</v>
      </c>
      <c r="Q1142">
        <v>0.19047619047619002</v>
      </c>
      <c r="R1142">
        <v>-0.24440052700922132</v>
      </c>
      <c r="S1142">
        <v>-0.35333741579914402</v>
      </c>
      <c r="T1142">
        <v>-0.69975490196078294</v>
      </c>
      <c r="U1142">
        <v>-0.56320000000000092</v>
      </c>
      <c r="V1142">
        <v>-0.27192498621070094</v>
      </c>
      <c r="W1142">
        <v>-0.18003565062388527</v>
      </c>
      <c r="X1142">
        <v>0.94070080862532901</v>
      </c>
      <c r="Y1142">
        <v>-0.12587412587412405</v>
      </c>
      <c r="Z1142">
        <v>-0.28362573099415211</v>
      </c>
      <c r="AA1142">
        <v>-0.27966101694915257</v>
      </c>
      <c r="AB1142">
        <v>-0.27595628415300544</v>
      </c>
      <c r="AC1142">
        <v>0</v>
      </c>
      <c r="AD1142">
        <v>0</v>
      </c>
      <c r="AE1142">
        <v>0</v>
      </c>
      <c r="AF1142">
        <v>0</v>
      </c>
      <c r="AG1142">
        <v>0</v>
      </c>
      <c r="AH1142">
        <v>0</v>
      </c>
      <c r="AI1142">
        <v>0</v>
      </c>
      <c r="AJ1142">
        <v>0</v>
      </c>
    </row>
    <row r="1143" spans="9:36" ht="11.25" customHeight="1">
      <c r="I1143" t="s">
        <v>597</v>
      </c>
      <c r="J1143">
        <v>0</v>
      </c>
      <c r="K1143">
        <v>0</v>
      </c>
      <c r="L1143">
        <v>0</v>
      </c>
      <c r="M1143">
        <v>0</v>
      </c>
      <c r="N1143">
        <v>0</v>
      </c>
      <c r="O1143">
        <v>0</v>
      </c>
      <c r="P1143">
        <v>0</v>
      </c>
      <c r="Q1143">
        <v>0.19047619047619002</v>
      </c>
      <c r="R1143">
        <v>-0.24440052700922132</v>
      </c>
      <c r="S1143">
        <v>-0.35333741579914402</v>
      </c>
      <c r="T1143">
        <v>-0.69975490196078294</v>
      </c>
      <c r="U1143">
        <v>-0.56320000000000092</v>
      </c>
      <c r="V1143">
        <v>-0.27192498621070094</v>
      </c>
      <c r="W1143">
        <v>-0.18003565062388527</v>
      </c>
      <c r="X1143">
        <v>0.94070080862532901</v>
      </c>
      <c r="Y1143">
        <v>-0.12587412587412405</v>
      </c>
      <c r="Z1143">
        <v>-0.28362573099415211</v>
      </c>
      <c r="AA1143">
        <v>-0.27966101694915257</v>
      </c>
      <c r="AB1143">
        <v>-0.27595628415300544</v>
      </c>
      <c r="AC1143">
        <v>0</v>
      </c>
      <c r="AD1143">
        <v>0</v>
      </c>
      <c r="AE1143">
        <v>0</v>
      </c>
      <c r="AF1143">
        <v>0</v>
      </c>
      <c r="AG1143">
        <v>0</v>
      </c>
      <c r="AH1143">
        <v>0</v>
      </c>
      <c r="AI1143">
        <v>0</v>
      </c>
      <c r="AJ1143">
        <v>0</v>
      </c>
    </row>
    <row r="1144" spans="9:36" ht="11.25" customHeight="1">
      <c r="I1144" t="s">
        <v>599</v>
      </c>
      <c r="J1144">
        <v>0</v>
      </c>
      <c r="K1144">
        <v>0</v>
      </c>
      <c r="L1144">
        <v>0</v>
      </c>
      <c r="M1144">
        <v>0</v>
      </c>
      <c r="N1144">
        <v>0</v>
      </c>
      <c r="O1144">
        <v>0</v>
      </c>
      <c r="P1144">
        <v>0</v>
      </c>
      <c r="Q1144">
        <v>0.19047619047619002</v>
      </c>
      <c r="R1144">
        <v>-0.24440052700922132</v>
      </c>
      <c r="S1144">
        <v>-0.35333741579914402</v>
      </c>
      <c r="T1144">
        <v>-0.35333741579914402</v>
      </c>
      <c r="U1144">
        <v>0</v>
      </c>
      <c r="V1144">
        <v>0</v>
      </c>
      <c r="W1144">
        <v>0</v>
      </c>
      <c r="X1144">
        <v>0</v>
      </c>
      <c r="Y1144">
        <v>0</v>
      </c>
      <c r="Z1144">
        <v>0</v>
      </c>
      <c r="AA1144">
        <v>0</v>
      </c>
      <c r="AB1144">
        <v>0</v>
      </c>
      <c r="AC1144">
        <v>0</v>
      </c>
      <c r="AD1144">
        <v>0</v>
      </c>
      <c r="AE1144">
        <v>0</v>
      </c>
      <c r="AF1144">
        <v>0</v>
      </c>
      <c r="AG1144">
        <v>0</v>
      </c>
      <c r="AH1144">
        <v>0</v>
      </c>
      <c r="AI1144">
        <v>0</v>
      </c>
      <c r="AJ1144">
        <v>0</v>
      </c>
    </row>
    <row r="1145" spans="9:36" ht="11.25" customHeight="1">
      <c r="I1145" t="s">
        <v>600</v>
      </c>
      <c r="J1145">
        <v>0</v>
      </c>
      <c r="K1145">
        <v>0</v>
      </c>
      <c r="L1145">
        <v>0</v>
      </c>
      <c r="M1145">
        <v>0</v>
      </c>
      <c r="N1145">
        <v>0</v>
      </c>
      <c r="O1145">
        <v>0</v>
      </c>
      <c r="P1145">
        <v>0</v>
      </c>
      <c r="Q1145">
        <v>0.19047619047619002</v>
      </c>
      <c r="R1145">
        <v>-0.24440052700922132</v>
      </c>
      <c r="S1145">
        <v>-0.35333741579914402</v>
      </c>
      <c r="T1145">
        <v>-0.35333741579914402</v>
      </c>
      <c r="U1145">
        <v>-0.3</v>
      </c>
      <c r="V1145">
        <v>-0.3</v>
      </c>
      <c r="W1145">
        <v>-0.3</v>
      </c>
      <c r="X1145">
        <v>-0.3</v>
      </c>
      <c r="Y1145">
        <v>-0.3</v>
      </c>
      <c r="Z1145">
        <v>-0.3</v>
      </c>
      <c r="AA1145">
        <v>-0.3</v>
      </c>
      <c r="AB1145">
        <v>-0.3</v>
      </c>
      <c r="AC1145">
        <v>0</v>
      </c>
      <c r="AD1145">
        <v>0</v>
      </c>
      <c r="AE1145">
        <v>0</v>
      </c>
      <c r="AF1145">
        <v>0</v>
      </c>
      <c r="AG1145">
        <v>0</v>
      </c>
      <c r="AH1145">
        <v>0</v>
      </c>
      <c r="AI1145">
        <v>0</v>
      </c>
      <c r="AJ1145">
        <v>0</v>
      </c>
    </row>
    <row r="1146" spans="9:36" ht="11.25" customHeight="1">
      <c r="I1146">
        <v>0</v>
      </c>
      <c r="J1146">
        <v>0</v>
      </c>
      <c r="K1146">
        <v>0</v>
      </c>
      <c r="L1146">
        <v>0</v>
      </c>
      <c r="M1146">
        <v>0</v>
      </c>
      <c r="N1146">
        <v>0</v>
      </c>
      <c r="O1146">
        <v>0</v>
      </c>
      <c r="P1146">
        <v>0</v>
      </c>
      <c r="Q1146">
        <v>0</v>
      </c>
      <c r="R1146">
        <v>0</v>
      </c>
      <c r="S1146">
        <v>0</v>
      </c>
      <c r="T1146">
        <v>0</v>
      </c>
      <c r="U1146">
        <v>0</v>
      </c>
      <c r="V1146">
        <v>0</v>
      </c>
      <c r="W1146">
        <v>0</v>
      </c>
      <c r="X1146">
        <v>0</v>
      </c>
      <c r="Y1146">
        <v>0</v>
      </c>
      <c r="Z1146">
        <v>0</v>
      </c>
      <c r="AA1146">
        <v>0</v>
      </c>
      <c r="AB1146">
        <v>0</v>
      </c>
      <c r="AC1146">
        <v>0</v>
      </c>
      <c r="AD1146">
        <v>0</v>
      </c>
      <c r="AE1146">
        <v>0</v>
      </c>
      <c r="AF1146">
        <v>0</v>
      </c>
      <c r="AG1146">
        <v>0</v>
      </c>
      <c r="AH1146">
        <v>0</v>
      </c>
      <c r="AI1146">
        <v>0</v>
      </c>
      <c r="AJ1146">
        <v>0</v>
      </c>
    </row>
    <row r="1147" spans="9:36" ht="11.25" customHeight="1">
      <c r="I1147">
        <v>0</v>
      </c>
      <c r="J1147">
        <v>0</v>
      </c>
      <c r="K1147">
        <v>0</v>
      </c>
      <c r="L1147">
        <v>0</v>
      </c>
      <c r="M1147">
        <v>0</v>
      </c>
      <c r="N1147">
        <v>0</v>
      </c>
      <c r="O1147">
        <v>0</v>
      </c>
      <c r="P1147">
        <v>0</v>
      </c>
      <c r="Q1147">
        <v>0</v>
      </c>
      <c r="R1147">
        <v>0</v>
      </c>
      <c r="S1147">
        <v>0</v>
      </c>
      <c r="T1147">
        <v>0</v>
      </c>
      <c r="U1147">
        <v>0</v>
      </c>
      <c r="V1147">
        <v>0</v>
      </c>
      <c r="W1147">
        <v>0</v>
      </c>
      <c r="X1147">
        <v>0</v>
      </c>
      <c r="Y1147">
        <v>0</v>
      </c>
      <c r="Z1147">
        <v>0</v>
      </c>
      <c r="AA1147">
        <v>0</v>
      </c>
      <c r="AB1147">
        <v>0</v>
      </c>
      <c r="AC1147">
        <v>0</v>
      </c>
      <c r="AD1147">
        <v>0</v>
      </c>
      <c r="AE1147">
        <v>0</v>
      </c>
      <c r="AF1147">
        <v>0</v>
      </c>
      <c r="AG1147">
        <v>0</v>
      </c>
      <c r="AH1147">
        <v>0</v>
      </c>
      <c r="AI1147">
        <v>0</v>
      </c>
      <c r="AJ1147">
        <v>0</v>
      </c>
    </row>
    <row r="1148" spans="9:36" ht="11.25" customHeight="1">
      <c r="I1148" t="s">
        <v>449</v>
      </c>
      <c r="J1148">
        <v>0</v>
      </c>
      <c r="K1148">
        <v>0</v>
      </c>
      <c r="L1148">
        <v>0</v>
      </c>
      <c r="M1148">
        <v>90.2</v>
      </c>
      <c r="N1148">
        <v>97.1</v>
      </c>
      <c r="O1148">
        <v>104.2</v>
      </c>
      <c r="P1148">
        <v>111</v>
      </c>
      <c r="Q1148">
        <v>121</v>
      </c>
      <c r="R1148">
        <v>128.4</v>
      </c>
      <c r="S1148">
        <v>135</v>
      </c>
      <c r="T1148">
        <v>137.80000000000001</v>
      </c>
      <c r="U1148">
        <v>143</v>
      </c>
      <c r="V1148">
        <v>149</v>
      </c>
      <c r="W1148">
        <v>155</v>
      </c>
      <c r="X1148">
        <v>161</v>
      </c>
      <c r="Y1148">
        <v>166</v>
      </c>
      <c r="Z1148">
        <v>171</v>
      </c>
      <c r="AA1148">
        <v>176</v>
      </c>
      <c r="AB1148">
        <v>181</v>
      </c>
      <c r="AC1148">
        <v>0</v>
      </c>
      <c r="AD1148">
        <v>0</v>
      </c>
      <c r="AE1148">
        <v>32.219047619047615</v>
      </c>
      <c r="AF1148">
        <v>54.4</v>
      </c>
      <c r="AG1148">
        <v>84</v>
      </c>
      <c r="AH1148">
        <v>111</v>
      </c>
      <c r="AI1148">
        <v>137.80000000000001</v>
      </c>
      <c r="AJ1148">
        <v>161</v>
      </c>
    </row>
    <row r="1149" spans="9:36" ht="11.25" customHeight="1">
      <c r="I1149" t="s">
        <v>584</v>
      </c>
      <c r="J1149">
        <v>0</v>
      </c>
      <c r="K1149">
        <v>0</v>
      </c>
      <c r="L1149">
        <v>0</v>
      </c>
      <c r="M1149">
        <v>6.2000000000000028</v>
      </c>
      <c r="N1149">
        <v>6.8999999999999915</v>
      </c>
      <c r="O1149">
        <v>7.1000000000000085</v>
      </c>
      <c r="P1149">
        <v>6.7999999999999972</v>
      </c>
      <c r="Q1149">
        <v>10</v>
      </c>
      <c r="R1149">
        <v>7.4000000000000057</v>
      </c>
      <c r="S1149">
        <v>6.5999999999999943</v>
      </c>
      <c r="T1149">
        <v>2.8000000000000118</v>
      </c>
      <c r="U1149">
        <v>5.1999999999999895</v>
      </c>
      <c r="V1149">
        <v>6</v>
      </c>
      <c r="W1149">
        <v>6</v>
      </c>
      <c r="X1149">
        <v>6.0000000000000009</v>
      </c>
      <c r="Y1149">
        <v>5</v>
      </c>
      <c r="Z1149">
        <v>5</v>
      </c>
      <c r="AA1149">
        <v>5</v>
      </c>
      <c r="AB1149">
        <v>5.0000000000000009</v>
      </c>
      <c r="AC1149">
        <v>0</v>
      </c>
      <c r="AD1149">
        <v>0</v>
      </c>
      <c r="AE1149">
        <v>0</v>
      </c>
      <c r="AF1149">
        <v>22.180952380952384</v>
      </c>
      <c r="AG1149">
        <v>29.6</v>
      </c>
      <c r="AH1149">
        <v>27</v>
      </c>
      <c r="AI1149">
        <v>26.800000000000011</v>
      </c>
      <c r="AJ1149">
        <v>23.199999999999989</v>
      </c>
    </row>
    <row r="1150" spans="9:36" ht="11.25" customHeight="1">
      <c r="I1150">
        <v>0</v>
      </c>
      <c r="J1150">
        <v>0</v>
      </c>
      <c r="K1150">
        <v>0</v>
      </c>
      <c r="L1150">
        <v>0</v>
      </c>
      <c r="M1150">
        <v>0</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row>
    <row r="1151" spans="9:36" ht="11.25" customHeight="1">
      <c r="I1151">
        <v>0</v>
      </c>
      <c r="J1151">
        <v>0</v>
      </c>
      <c r="K1151">
        <v>0</v>
      </c>
      <c r="L1151">
        <v>0</v>
      </c>
      <c r="M1151">
        <v>0</v>
      </c>
      <c r="N1151">
        <v>0</v>
      </c>
      <c r="O1151">
        <v>0</v>
      </c>
      <c r="P1151">
        <v>0</v>
      </c>
      <c r="Q1151">
        <v>0</v>
      </c>
      <c r="R1151">
        <v>0</v>
      </c>
      <c r="S1151">
        <v>0</v>
      </c>
      <c r="T1151">
        <v>0</v>
      </c>
      <c r="U1151">
        <v>0</v>
      </c>
      <c r="V1151">
        <v>0</v>
      </c>
      <c r="W1151">
        <v>0</v>
      </c>
      <c r="X1151">
        <v>0</v>
      </c>
      <c r="Y1151">
        <v>0</v>
      </c>
      <c r="Z1151">
        <v>0</v>
      </c>
      <c r="AA1151">
        <v>0</v>
      </c>
      <c r="AB1151">
        <v>0</v>
      </c>
      <c r="AC1151">
        <v>0</v>
      </c>
      <c r="AD1151">
        <v>0</v>
      </c>
      <c r="AE1151">
        <v>0</v>
      </c>
      <c r="AF1151">
        <v>0</v>
      </c>
      <c r="AG1151">
        <v>0</v>
      </c>
      <c r="AH1151">
        <v>0</v>
      </c>
      <c r="AI1151">
        <v>0</v>
      </c>
      <c r="AJ1151">
        <v>0</v>
      </c>
    </row>
    <row r="1152" spans="9:36" ht="11.25" customHeight="1">
      <c r="I1152" t="s">
        <v>603</v>
      </c>
      <c r="J1152">
        <v>0</v>
      </c>
      <c r="K1152">
        <v>0</v>
      </c>
      <c r="L1152">
        <v>0</v>
      </c>
      <c r="M1152">
        <v>0</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26.90909090909091</v>
      </c>
      <c r="AH1152">
        <v>17.419354838709676</v>
      </c>
      <c r="AI1152">
        <v>12.181818181818187</v>
      </c>
      <c r="AJ1152">
        <v>9.4693877551020371</v>
      </c>
    </row>
    <row r="1153" spans="9:36" ht="11.25" customHeight="1">
      <c r="I1153" t="s">
        <v>547</v>
      </c>
      <c r="J1153">
        <v>0</v>
      </c>
      <c r="K1153">
        <v>0</v>
      </c>
      <c r="L1153">
        <v>0</v>
      </c>
      <c r="M1153">
        <v>0</v>
      </c>
      <c r="N1153">
        <v>0</v>
      </c>
      <c r="O1153">
        <v>0</v>
      </c>
      <c r="P1153">
        <v>0</v>
      </c>
      <c r="Q1153">
        <v>0</v>
      </c>
      <c r="R1153">
        <v>0</v>
      </c>
      <c r="S1153">
        <v>0</v>
      </c>
      <c r="T1153">
        <v>0</v>
      </c>
      <c r="U1153">
        <v>0</v>
      </c>
      <c r="V1153">
        <v>0</v>
      </c>
      <c r="W1153">
        <v>0</v>
      </c>
      <c r="X1153">
        <v>0</v>
      </c>
      <c r="Y1153">
        <v>0</v>
      </c>
      <c r="Z1153">
        <v>0</v>
      </c>
      <c r="AA1153">
        <v>0</v>
      </c>
      <c r="AB1153">
        <v>0</v>
      </c>
      <c r="AC1153">
        <v>0</v>
      </c>
      <c r="AD1153">
        <v>0</v>
      </c>
      <c r="AE1153">
        <v>0</v>
      </c>
      <c r="AF1153">
        <v>0</v>
      </c>
      <c r="AG1153">
        <v>0</v>
      </c>
      <c r="AH1153">
        <v>-9.4897360703812339</v>
      </c>
      <c r="AI1153">
        <v>-5.2375366568914892</v>
      </c>
      <c r="AJ1153">
        <v>-2.7124304267161499</v>
      </c>
    </row>
    <row r="1154" spans="9:36" ht="11.25" customHeight="1">
      <c r="I1154" t="s">
        <v>514</v>
      </c>
      <c r="J1154">
        <v>0</v>
      </c>
      <c r="K1154">
        <v>0</v>
      </c>
      <c r="L1154">
        <v>0</v>
      </c>
      <c r="M1154">
        <v>0</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-0.35265911072362688</v>
      </c>
      <c r="AI1154">
        <v>-0.30067340067340032</v>
      </c>
      <c r="AJ1154">
        <v>-0.22266219920804209</v>
      </c>
    </row>
    <row r="1155" spans="9:36" ht="11.25" customHeight="1">
      <c r="I1155">
        <v>0</v>
      </c>
      <c r="J1155">
        <v>0</v>
      </c>
      <c r="K1155">
        <v>0</v>
      </c>
      <c r="L1155">
        <v>0</v>
      </c>
      <c r="M1155">
        <v>0</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-14.599593954432667</v>
      </c>
      <c r="AI1155">
        <v>-20.950146627565957</v>
      </c>
      <c r="AJ1155">
        <v>-6.7810760667903738</v>
      </c>
    </row>
    <row r="1156" spans="9:36" ht="11.25" customHeight="1">
      <c r="I1156">
        <v>0</v>
      </c>
      <c r="J1156">
        <v>0</v>
      </c>
      <c r="K1156">
        <v>0</v>
      </c>
      <c r="L1156">
        <v>0</v>
      </c>
      <c r="M1156">
        <v>0</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row>
    <row r="1157" spans="9:36" ht="11.25" customHeight="1">
      <c r="I1157" t="s">
        <v>560</v>
      </c>
      <c r="J1157">
        <v>0</v>
      </c>
      <c r="K1157">
        <v>0</v>
      </c>
      <c r="L1157">
        <v>0</v>
      </c>
      <c r="M1157">
        <v>0</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108512.82051282052</v>
      </c>
      <c r="AI1157">
        <v>102399.99999999999</v>
      </c>
      <c r="AJ1157">
        <v>112640</v>
      </c>
    </row>
    <row r="1158" spans="9:36" ht="11.25" customHeight="1">
      <c r="I1158" t="s">
        <v>543</v>
      </c>
      <c r="J1158">
        <v>0</v>
      </c>
      <c r="K1158">
        <v>0</v>
      </c>
      <c r="L1158">
        <v>0</v>
      </c>
      <c r="M1158">
        <v>0</v>
      </c>
      <c r="N1158">
        <v>0</v>
      </c>
      <c r="O1158">
        <v>0</v>
      </c>
      <c r="P1158">
        <v>0</v>
      </c>
      <c r="Q1158">
        <v>0</v>
      </c>
      <c r="R1158">
        <v>0</v>
      </c>
      <c r="S1158">
        <v>0</v>
      </c>
      <c r="T1158">
        <v>0</v>
      </c>
      <c r="U1158">
        <v>0</v>
      </c>
      <c r="V1158">
        <v>0</v>
      </c>
      <c r="W1158">
        <v>0</v>
      </c>
      <c r="X1158">
        <v>0</v>
      </c>
      <c r="Y1158">
        <v>0</v>
      </c>
      <c r="Z1158">
        <v>0</v>
      </c>
      <c r="AA1158">
        <v>0</v>
      </c>
      <c r="AB1158">
        <v>0</v>
      </c>
      <c r="AC1158">
        <v>0</v>
      </c>
      <c r="AD1158">
        <v>0</v>
      </c>
      <c r="AE1158">
        <v>0</v>
      </c>
      <c r="AF1158">
        <v>0</v>
      </c>
      <c r="AG1158">
        <v>0</v>
      </c>
      <c r="AH1158">
        <v>-0.18174787316318619</v>
      </c>
      <c r="AI1158">
        <v>-5.6332703213610724E-2</v>
      </c>
      <c r="AJ1158">
        <v>0.1</v>
      </c>
    </row>
    <row r="1159" spans="9:36" ht="11.25" customHeight="1">
      <c r="I1159" t="s">
        <v>597</v>
      </c>
      <c r="J1159">
        <v>0</v>
      </c>
      <c r="K1159">
        <v>0</v>
      </c>
      <c r="L1159">
        <v>0</v>
      </c>
      <c r="M1159">
        <v>0</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-5.6332703213610724E-2</v>
      </c>
      <c r="AJ1159">
        <v>0.1</v>
      </c>
    </row>
    <row r="1160" spans="9:36" ht="11.25" customHeight="1">
      <c r="I1160" t="s">
        <v>599</v>
      </c>
      <c r="J1160">
        <v>0</v>
      </c>
      <c r="K1160">
        <v>0</v>
      </c>
      <c r="L1160">
        <v>0</v>
      </c>
      <c r="M1160">
        <v>0</v>
      </c>
      <c r="N1160">
        <v>0</v>
      </c>
      <c r="O1160">
        <v>0</v>
      </c>
      <c r="P1160">
        <v>0</v>
      </c>
      <c r="Q1160">
        <v>0</v>
      </c>
      <c r="R1160">
        <v>0</v>
      </c>
      <c r="S1160">
        <v>0</v>
      </c>
      <c r="T1160">
        <v>0</v>
      </c>
      <c r="U1160">
        <v>0</v>
      </c>
      <c r="V1160">
        <v>0</v>
      </c>
      <c r="W1160">
        <v>0</v>
      </c>
      <c r="X1160">
        <v>0</v>
      </c>
      <c r="Y1160">
        <v>0</v>
      </c>
      <c r="Z1160">
        <v>0</v>
      </c>
      <c r="AA1160">
        <v>0</v>
      </c>
      <c r="AB1160">
        <v>0</v>
      </c>
      <c r="AC1160">
        <v>0</v>
      </c>
      <c r="AD1160">
        <v>0</v>
      </c>
      <c r="AE1160">
        <v>0</v>
      </c>
      <c r="AF1160">
        <v>0</v>
      </c>
      <c r="AG1160">
        <v>0</v>
      </c>
      <c r="AH1160">
        <v>0</v>
      </c>
      <c r="AI1160">
        <v>-0.15633270321361073</v>
      </c>
      <c r="AJ1160">
        <v>0.05</v>
      </c>
    </row>
    <row r="1161" spans="9:36" ht="11.25" customHeight="1">
      <c r="I1161" t="s">
        <v>600</v>
      </c>
      <c r="J1161">
        <v>0</v>
      </c>
      <c r="K1161">
        <v>0</v>
      </c>
      <c r="L1161">
        <v>0</v>
      </c>
      <c r="M1161">
        <v>0</v>
      </c>
      <c r="N1161">
        <v>0</v>
      </c>
      <c r="O1161">
        <v>0</v>
      </c>
      <c r="P1161">
        <v>0</v>
      </c>
      <c r="Q1161">
        <v>0</v>
      </c>
      <c r="R1161">
        <v>0</v>
      </c>
      <c r="S1161">
        <v>0</v>
      </c>
      <c r="T1161">
        <v>0</v>
      </c>
      <c r="U1161">
        <v>0</v>
      </c>
      <c r="V1161">
        <v>0</v>
      </c>
      <c r="W1161">
        <v>0</v>
      </c>
      <c r="X1161">
        <v>0</v>
      </c>
      <c r="Y1161">
        <v>0</v>
      </c>
      <c r="Z1161">
        <v>0</v>
      </c>
      <c r="AA1161">
        <v>0</v>
      </c>
      <c r="AB1161">
        <v>0</v>
      </c>
      <c r="AC1161">
        <v>0</v>
      </c>
      <c r="AD1161">
        <v>0</v>
      </c>
      <c r="AE1161">
        <v>0</v>
      </c>
      <c r="AF1161">
        <v>0</v>
      </c>
      <c r="AG1161">
        <v>0</v>
      </c>
      <c r="AH1161">
        <v>0</v>
      </c>
      <c r="AI1161">
        <v>-6.3327032136107214E-3</v>
      </c>
      <c r="AJ1161">
        <v>0.15000000000000002</v>
      </c>
    </row>
    <row r="1162" spans="9:36" ht="11.25" customHeight="1">
      <c r="I1162">
        <v>0</v>
      </c>
      <c r="J1162">
        <v>0</v>
      </c>
      <c r="K1162">
        <v>0</v>
      </c>
      <c r="L1162">
        <v>0</v>
      </c>
      <c r="M1162">
        <v>0</v>
      </c>
      <c r="N1162">
        <v>0</v>
      </c>
      <c r="O1162">
        <v>0</v>
      </c>
      <c r="P1162">
        <v>0</v>
      </c>
      <c r="Q1162">
        <v>0</v>
      </c>
      <c r="R1162">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row>
    <row r="1163" spans="9:36" ht="11.25" customHeight="1">
      <c r="I1163">
        <v>0</v>
      </c>
      <c r="J1163">
        <v>0</v>
      </c>
      <c r="K1163">
        <v>0</v>
      </c>
      <c r="L1163">
        <v>0</v>
      </c>
      <c r="M1163">
        <v>0</v>
      </c>
      <c r="N1163">
        <v>0</v>
      </c>
      <c r="O1163">
        <v>0</v>
      </c>
      <c r="P1163">
        <v>0</v>
      </c>
      <c r="Q1163">
        <v>0</v>
      </c>
      <c r="R1163">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row>
    <row r="1164" spans="9:36" ht="11.25" customHeight="1">
      <c r="I1164" t="s">
        <v>593</v>
      </c>
      <c r="J1164">
        <v>0</v>
      </c>
      <c r="K1164">
        <v>0</v>
      </c>
      <c r="L1164">
        <v>0</v>
      </c>
      <c r="M1164">
        <v>0</v>
      </c>
      <c r="N1164">
        <v>0</v>
      </c>
      <c r="O1164">
        <v>0</v>
      </c>
      <c r="P1164">
        <v>0</v>
      </c>
      <c r="Q1164">
        <v>11.263999999999999</v>
      </c>
      <c r="R1164">
        <v>11.263999999999999</v>
      </c>
      <c r="S1164">
        <v>11.263999999999999</v>
      </c>
      <c r="T1164">
        <v>-5.6319999999999997</v>
      </c>
      <c r="U1164">
        <v>11.263999999999999</v>
      </c>
      <c r="V1164">
        <v>11.263999999999999</v>
      </c>
      <c r="W1164">
        <v>11.263999999999999</v>
      </c>
      <c r="X1164">
        <v>11.263999999999999</v>
      </c>
      <c r="Y1164">
        <v>11.263999999999999</v>
      </c>
      <c r="Z1164">
        <v>11.263999999999999</v>
      </c>
      <c r="AA1164">
        <v>8.4480000000000004</v>
      </c>
      <c r="AB1164">
        <v>8.4480000000000004</v>
      </c>
      <c r="AC1164">
        <v>0</v>
      </c>
      <c r="AD1164">
        <v>0</v>
      </c>
      <c r="AE1164">
        <v>0</v>
      </c>
      <c r="AF1164">
        <v>0</v>
      </c>
      <c r="AG1164">
        <v>0</v>
      </c>
      <c r="AH1164">
        <v>0</v>
      </c>
      <c r="AI1164">
        <v>25.599999999999998</v>
      </c>
      <c r="AJ1164">
        <v>45.055999999999997</v>
      </c>
    </row>
    <row r="1165" spans="9:36" ht="11.25" customHeight="1">
      <c r="I1165" t="s">
        <v>590</v>
      </c>
      <c r="J1165">
        <v>0</v>
      </c>
      <c r="K1165">
        <v>0</v>
      </c>
      <c r="L1165">
        <v>0</v>
      </c>
      <c r="M1165">
        <v>0</v>
      </c>
      <c r="N1165">
        <v>0</v>
      </c>
      <c r="O1165">
        <v>0</v>
      </c>
      <c r="P1165">
        <v>0</v>
      </c>
      <c r="Q1165">
        <v>2.0061600000000004</v>
      </c>
      <c r="R1165">
        <v>2.0061600000000004</v>
      </c>
      <c r="S1165">
        <v>2.0061600000000004</v>
      </c>
      <c r="T1165">
        <v>2.0061600000000004</v>
      </c>
      <c r="U1165">
        <v>2.0061600000000004</v>
      </c>
      <c r="V1165">
        <v>2.0061600000000004</v>
      </c>
      <c r="W1165">
        <v>2.0061600000000004</v>
      </c>
      <c r="X1165">
        <v>2.0061600000000004</v>
      </c>
      <c r="Y1165">
        <v>2.0061600000000004</v>
      </c>
      <c r="Z1165">
        <v>2.0061600000000004</v>
      </c>
      <c r="AA1165">
        <v>2.0061600000000004</v>
      </c>
      <c r="AB1165">
        <v>2.0061600000000004</v>
      </c>
      <c r="AC1165">
        <v>0</v>
      </c>
      <c r="AD1165">
        <v>0</v>
      </c>
      <c r="AE1165">
        <v>0</v>
      </c>
      <c r="AF1165">
        <v>0</v>
      </c>
      <c r="AG1165">
        <v>0</v>
      </c>
      <c r="AH1165">
        <v>0</v>
      </c>
      <c r="AI1165">
        <v>10</v>
      </c>
      <c r="AJ1165">
        <v>8.0246400000000015</v>
      </c>
    </row>
    <row r="1166" spans="9:36" ht="11.25" customHeight="1">
      <c r="I1166" t="s">
        <v>591</v>
      </c>
      <c r="J1166">
        <v>0</v>
      </c>
      <c r="K1166">
        <v>0</v>
      </c>
      <c r="L1166">
        <v>0</v>
      </c>
      <c r="M1166">
        <v>0</v>
      </c>
      <c r="N1166">
        <v>0</v>
      </c>
      <c r="O1166">
        <v>0</v>
      </c>
      <c r="P1166">
        <v>0</v>
      </c>
      <c r="Q1166">
        <v>0.65000000000000036</v>
      </c>
      <c r="R1166">
        <v>0.65000000000000036</v>
      </c>
      <c r="S1166">
        <v>0.65000000000000036</v>
      </c>
      <c r="T1166">
        <v>0.65000000000000036</v>
      </c>
      <c r="U1166">
        <v>0.65000000000000036</v>
      </c>
      <c r="V1166">
        <v>0.65000000000000036</v>
      </c>
      <c r="W1166">
        <v>0.65000000000000036</v>
      </c>
      <c r="X1166">
        <v>0.65000000000000036</v>
      </c>
      <c r="Y1166">
        <v>0.65000000000000036</v>
      </c>
      <c r="Z1166">
        <v>0.65000000000000036</v>
      </c>
      <c r="AA1166">
        <v>0.65000000000000036</v>
      </c>
      <c r="AB1166">
        <v>0.65000000000000036</v>
      </c>
      <c r="AC1166">
        <v>0</v>
      </c>
      <c r="AD1166">
        <v>0</v>
      </c>
      <c r="AE1166">
        <v>0</v>
      </c>
      <c r="AF1166">
        <v>0</v>
      </c>
      <c r="AG1166">
        <v>0</v>
      </c>
      <c r="AH1166">
        <v>0</v>
      </c>
      <c r="AI1166">
        <v>14.8</v>
      </c>
      <c r="AJ1166">
        <v>2.6000000000000014</v>
      </c>
    </row>
    <row r="1167" spans="9:36" ht="11.25" customHeight="1">
      <c r="I1167" t="s">
        <v>592</v>
      </c>
      <c r="J1167">
        <v>0</v>
      </c>
      <c r="K1167">
        <v>0</v>
      </c>
      <c r="L1167">
        <v>0</v>
      </c>
      <c r="M1167">
        <v>0</v>
      </c>
      <c r="N1167">
        <v>0</v>
      </c>
      <c r="O1167">
        <v>0</v>
      </c>
      <c r="P1167">
        <v>0</v>
      </c>
      <c r="Q1167">
        <v>2.9445899999999954</v>
      </c>
      <c r="R1167">
        <v>2.9445899999999954</v>
      </c>
      <c r="S1167">
        <v>2.9445899999999954</v>
      </c>
      <c r="T1167">
        <v>2.9445899999999954</v>
      </c>
      <c r="U1167">
        <v>2.9445899999999954</v>
      </c>
      <c r="V1167">
        <v>2.9445899999999954</v>
      </c>
      <c r="W1167">
        <v>2.9445899999999954</v>
      </c>
      <c r="X1167">
        <v>2.9445899999999954</v>
      </c>
      <c r="Y1167">
        <v>2.9445899999999954</v>
      </c>
      <c r="Z1167">
        <v>2.9445899999999954</v>
      </c>
      <c r="AA1167">
        <v>2.9445899999999954</v>
      </c>
      <c r="AB1167">
        <v>2.9445899999999954</v>
      </c>
      <c r="AC1167">
        <v>0</v>
      </c>
      <c r="AD1167">
        <v>0</v>
      </c>
      <c r="AE1167">
        <v>0</v>
      </c>
      <c r="AF1167">
        <v>0</v>
      </c>
      <c r="AG1167">
        <v>0</v>
      </c>
      <c r="AH1167">
        <v>0</v>
      </c>
      <c r="AI1167">
        <v>-1.0000000000022879E-2</v>
      </c>
      <c r="AJ1167">
        <v>11.778359999999982</v>
      </c>
    </row>
    <row r="1168" spans="9:36" ht="11.25" customHeight="1">
      <c r="I1168">
        <v>0</v>
      </c>
      <c r="J1168">
        <v>0</v>
      </c>
      <c r="K1168">
        <v>0</v>
      </c>
      <c r="L1168">
        <v>0</v>
      </c>
      <c r="M1168">
        <v>0</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row>
    <row r="1169" spans="9:36" ht="11.25" customHeight="1">
      <c r="I1169" t="s">
        <v>598</v>
      </c>
      <c r="J1169">
        <v>0</v>
      </c>
      <c r="K1169">
        <v>0</v>
      </c>
      <c r="L1169">
        <v>0</v>
      </c>
      <c r="M1169">
        <v>0</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548.36900000000003</v>
      </c>
      <c r="AJ1169">
        <v>712.84500000000003</v>
      </c>
    </row>
    <row r="1170" spans="9:36" ht="11.25" customHeight="1">
      <c r="I1170">
        <v>0</v>
      </c>
      <c r="J1170">
        <v>0</v>
      </c>
      <c r="K1170">
        <v>0</v>
      </c>
      <c r="L1170">
        <v>0</v>
      </c>
      <c r="M1170">
        <v>0</v>
      </c>
      <c r="N1170">
        <v>0</v>
      </c>
      <c r="O1170">
        <v>0</v>
      </c>
      <c r="P1170">
        <v>0</v>
      </c>
      <c r="Q1170">
        <v>0</v>
      </c>
      <c r="R1170">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row>
    <row r="1171" spans="9:36" ht="11.25" customHeight="1">
      <c r="I1171" t="s">
        <v>252</v>
      </c>
      <c r="J1171">
        <v>0</v>
      </c>
      <c r="K1171">
        <v>0</v>
      </c>
      <c r="L1171">
        <v>0</v>
      </c>
      <c r="M1171">
        <v>0</v>
      </c>
      <c r="N1171">
        <v>0</v>
      </c>
      <c r="O1171">
        <v>0</v>
      </c>
      <c r="P1171">
        <v>0</v>
      </c>
      <c r="Q1171">
        <v>138.11600000000001</v>
      </c>
      <c r="R1171">
        <v>151.87899999999999</v>
      </c>
      <c r="S1171">
        <v>163.6</v>
      </c>
      <c r="T1171">
        <v>171.10000000000002</v>
      </c>
      <c r="U1171">
        <v>177.00000000000003</v>
      </c>
      <c r="V1171">
        <v>187.87899999999996</v>
      </c>
      <c r="W1171">
        <v>197.59999999999997</v>
      </c>
      <c r="X1171">
        <v>209.1</v>
      </c>
      <c r="Y1171">
        <v>213</v>
      </c>
      <c r="Z1171">
        <v>224.87899999999996</v>
      </c>
      <c r="AA1171">
        <v>234.59999999999994</v>
      </c>
      <c r="AB1171">
        <v>245.10000000000005</v>
      </c>
      <c r="AC1171">
        <v>0</v>
      </c>
      <c r="AD1171">
        <v>0</v>
      </c>
      <c r="AE1171">
        <v>0</v>
      </c>
      <c r="AF1171">
        <v>0</v>
      </c>
      <c r="AG1171">
        <v>0</v>
      </c>
      <c r="AH1171">
        <v>448.23500000000001</v>
      </c>
      <c r="AI1171">
        <v>624.69500000000005</v>
      </c>
      <c r="AJ1171">
        <v>771.57900000000006</v>
      </c>
    </row>
    <row r="1172" spans="9:36" ht="11.25" customHeight="1">
      <c r="I1172" t="s">
        <v>244</v>
      </c>
      <c r="J1172">
        <v>0</v>
      </c>
      <c r="K1172">
        <v>0</v>
      </c>
      <c r="L1172">
        <v>0</v>
      </c>
      <c r="M1172">
        <v>0</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31.013000000000002</v>
      </c>
      <c r="AI1172">
        <v>0</v>
      </c>
      <c r="AJ1172">
        <v>0</v>
      </c>
    </row>
    <row r="1173" spans="9:36" ht="11.25" customHeight="1">
      <c r="I1173" t="s">
        <v>587</v>
      </c>
      <c r="J1173">
        <v>0</v>
      </c>
      <c r="K1173">
        <v>0</v>
      </c>
      <c r="L1173">
        <v>0</v>
      </c>
      <c r="M1173">
        <v>0</v>
      </c>
      <c r="N1173">
        <v>0</v>
      </c>
      <c r="O1173">
        <v>0</v>
      </c>
      <c r="P1173">
        <v>0</v>
      </c>
      <c r="Q1173">
        <v>20.497</v>
      </c>
      <c r="R1173">
        <v>21.548999999999999</v>
      </c>
      <c r="S1173">
        <v>22.7</v>
      </c>
      <c r="T1173">
        <v>23.700000000000003</v>
      </c>
      <c r="U1173">
        <v>20.3</v>
      </c>
      <c r="V1173">
        <v>22.664999999999999</v>
      </c>
      <c r="W1173">
        <v>24.706</v>
      </c>
      <c r="X1173">
        <v>27.435000000000002</v>
      </c>
      <c r="Y1173">
        <v>26.253599999999999</v>
      </c>
      <c r="Z1173">
        <v>27.936999999999998</v>
      </c>
      <c r="AA1173">
        <v>29.042149999999999</v>
      </c>
      <c r="AB1173">
        <v>30.471400000000003</v>
      </c>
      <c r="AC1173">
        <v>0</v>
      </c>
      <c r="AD1173">
        <v>0</v>
      </c>
      <c r="AE1173">
        <v>0</v>
      </c>
      <c r="AF1173">
        <v>0</v>
      </c>
      <c r="AG1173">
        <v>0</v>
      </c>
      <c r="AH1173">
        <v>70.463000000000008</v>
      </c>
      <c r="AI1173">
        <v>88.445999999999998</v>
      </c>
      <c r="AJ1173">
        <v>95.106000000000009</v>
      </c>
    </row>
    <row r="1174" spans="9:36" ht="11.25" customHeight="1">
      <c r="I1174" t="s">
        <v>460</v>
      </c>
      <c r="J1174">
        <v>0</v>
      </c>
      <c r="K1174">
        <v>0</v>
      </c>
      <c r="L1174">
        <v>0</v>
      </c>
      <c r="M1174">
        <v>0</v>
      </c>
      <c r="N1174">
        <v>0</v>
      </c>
      <c r="O1174">
        <v>0</v>
      </c>
      <c r="P1174">
        <v>0</v>
      </c>
      <c r="Q1174">
        <v>158.613</v>
      </c>
      <c r="R1174">
        <v>173.428</v>
      </c>
      <c r="S1174">
        <v>186.29999999999998</v>
      </c>
      <c r="T1174">
        <v>194.8</v>
      </c>
      <c r="U1174">
        <v>197.30000000000004</v>
      </c>
      <c r="V1174">
        <v>210.54399999999995</v>
      </c>
      <c r="W1174">
        <v>222.30599999999995</v>
      </c>
      <c r="X1174">
        <v>236.535</v>
      </c>
      <c r="Y1174">
        <v>239.25360000000001</v>
      </c>
      <c r="Z1174">
        <v>252.81599999999997</v>
      </c>
      <c r="AA1174">
        <v>263.64214999999996</v>
      </c>
      <c r="AB1174">
        <v>275.57140000000004</v>
      </c>
      <c r="AC1174">
        <v>0</v>
      </c>
      <c r="AD1174">
        <v>1031.28315</v>
      </c>
      <c r="AE1174">
        <v>0</v>
      </c>
      <c r="AF1174">
        <v>0</v>
      </c>
      <c r="AG1174">
        <v>0</v>
      </c>
      <c r="AH1174">
        <v>549.71100000000001</v>
      </c>
      <c r="AI1174">
        <v>713.14100000000008</v>
      </c>
      <c r="AJ1174">
        <v>866.68500000000006</v>
      </c>
    </row>
    <row r="1175" spans="9:36" ht="11.25" customHeight="1">
      <c r="I1175" t="s">
        <v>589</v>
      </c>
      <c r="J1175">
        <v>0</v>
      </c>
      <c r="K1175">
        <v>0</v>
      </c>
      <c r="L1175">
        <v>0</v>
      </c>
      <c r="M1175">
        <v>0</v>
      </c>
      <c r="N1175">
        <v>0</v>
      </c>
      <c r="O1175">
        <v>0</v>
      </c>
      <c r="P1175">
        <v>0</v>
      </c>
      <c r="Q1175">
        <v>143.93600000000001</v>
      </c>
      <c r="R1175">
        <v>158.74799999999999</v>
      </c>
      <c r="S1175">
        <v>172.4649501696808</v>
      </c>
      <c r="T1175">
        <v>180.06969752972344</v>
      </c>
      <c r="U1175">
        <v>181.36885715299286</v>
      </c>
      <c r="V1175">
        <v>193.30746399571009</v>
      </c>
      <c r="W1175">
        <v>203.99309589891172</v>
      </c>
      <c r="X1175">
        <v>220.10784442784748</v>
      </c>
      <c r="Y1175">
        <v>220.652641700858</v>
      </c>
      <c r="Z1175">
        <v>233.1300601544354</v>
      </c>
      <c r="AA1175">
        <v>243.2423081110486</v>
      </c>
      <c r="AB1175">
        <v>257.25991368406847</v>
      </c>
      <c r="AC1175">
        <v>0</v>
      </c>
      <c r="AD1175">
        <v>0</v>
      </c>
      <c r="AE1175">
        <v>0</v>
      </c>
      <c r="AF1175">
        <v>0</v>
      </c>
      <c r="AG1175">
        <v>0</v>
      </c>
      <c r="AH1175">
        <v>496.82979799884328</v>
      </c>
      <c r="AI1175">
        <v>655.21815200492517</v>
      </c>
      <c r="AJ1175">
        <v>798.61626938296888</v>
      </c>
    </row>
    <row r="1176" spans="9:36" ht="11.25" customHeight="1">
      <c r="I1176" t="s">
        <v>588</v>
      </c>
      <c r="J1176">
        <v>0</v>
      </c>
      <c r="K1176">
        <v>0</v>
      </c>
      <c r="L1176">
        <v>0</v>
      </c>
      <c r="M1176">
        <v>0</v>
      </c>
      <c r="N1176">
        <v>0</v>
      </c>
      <c r="O1176">
        <v>0</v>
      </c>
      <c r="P1176">
        <v>0</v>
      </c>
      <c r="Q1176">
        <v>0.90746660109827071</v>
      </c>
      <c r="R1176">
        <v>0.91535392208870536</v>
      </c>
      <c r="S1176">
        <v>0.92573778942394425</v>
      </c>
      <c r="T1176">
        <v>0.92438243085073624</v>
      </c>
      <c r="U1176">
        <v>0.91925421770396765</v>
      </c>
      <c r="V1176">
        <v>0.91813333077983761</v>
      </c>
      <c r="W1176">
        <v>0.91762298767874806</v>
      </c>
      <c r="X1176">
        <v>0.93055084629271556</v>
      </c>
      <c r="Y1176">
        <v>0.92225421770396765</v>
      </c>
      <c r="Z1176">
        <v>0.92213333077983761</v>
      </c>
      <c r="AA1176">
        <v>0.92262298767874806</v>
      </c>
      <c r="AB1176">
        <v>0.93355084629271556</v>
      </c>
      <c r="AC1176">
        <v>0</v>
      </c>
      <c r="AD1176">
        <v>0</v>
      </c>
      <c r="AE1176">
        <v>0</v>
      </c>
      <c r="AF1176">
        <v>0</v>
      </c>
      <c r="AG1176">
        <v>0</v>
      </c>
      <c r="AH1176">
        <v>0.90380181222286482</v>
      </c>
      <c r="AI1176">
        <v>0.91877784618318836</v>
      </c>
      <c r="AJ1176">
        <v>0.92146081838611349</v>
      </c>
    </row>
    <row r="1177" spans="9:36" ht="11.25" customHeight="1">
      <c r="I1177">
        <v>0</v>
      </c>
      <c r="J1177">
        <v>0</v>
      </c>
      <c r="K1177">
        <v>0</v>
      </c>
      <c r="L1177">
        <v>0</v>
      </c>
      <c r="M1177">
        <v>0</v>
      </c>
      <c r="N1177">
        <v>0</v>
      </c>
      <c r="O1177">
        <v>0</v>
      </c>
      <c r="P1177">
        <v>0</v>
      </c>
      <c r="Q1177">
        <v>0</v>
      </c>
      <c r="R1177">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row>
    <row r="1178" spans="9:36" ht="11.25" customHeight="1">
      <c r="I1178" t="s">
        <v>58</v>
      </c>
      <c r="J1178">
        <v>0</v>
      </c>
      <c r="K1178">
        <v>0</v>
      </c>
      <c r="L1178">
        <v>0</v>
      </c>
      <c r="M1178">
        <v>0</v>
      </c>
      <c r="N1178">
        <v>0</v>
      </c>
      <c r="O1178">
        <v>0</v>
      </c>
      <c r="P1178">
        <v>0</v>
      </c>
      <c r="Q1178">
        <v>0</v>
      </c>
      <c r="R1178">
        <v>0</v>
      </c>
      <c r="S1178">
        <v>0</v>
      </c>
      <c r="T1178">
        <v>0</v>
      </c>
      <c r="U1178">
        <v>0</v>
      </c>
      <c r="V1178">
        <v>0</v>
      </c>
      <c r="W1178">
        <v>866.68499999999995</v>
      </c>
      <c r="X1178">
        <v>0</v>
      </c>
      <c r="Y1178">
        <v>0</v>
      </c>
      <c r="Z1178">
        <v>0</v>
      </c>
      <c r="AB1178">
        <v>0</v>
      </c>
      <c r="AC1178">
        <v>0</v>
      </c>
      <c r="AD1178">
        <v>0</v>
      </c>
      <c r="AE1178">
        <v>0</v>
      </c>
      <c r="AF1178">
        <v>0</v>
      </c>
      <c r="AG1178">
        <v>0</v>
      </c>
      <c r="AH1178">
        <v>279.80200000000002</v>
      </c>
      <c r="AI1178">
        <v>330.19200000000001</v>
      </c>
      <c r="AJ1178">
        <v>397.65100000000001</v>
      </c>
    </row>
    <row r="1179" spans="9:36" ht="11.25" customHeight="1">
      <c r="I1179" t="s">
        <v>245</v>
      </c>
      <c r="J1179">
        <v>0</v>
      </c>
      <c r="K1179">
        <v>0</v>
      </c>
      <c r="L1179">
        <v>0</v>
      </c>
      <c r="M1179">
        <v>0</v>
      </c>
      <c r="N1179">
        <v>0</v>
      </c>
      <c r="O1179">
        <v>0</v>
      </c>
      <c r="P1179">
        <v>0</v>
      </c>
      <c r="Q1179">
        <v>0</v>
      </c>
      <c r="R1179">
        <v>0</v>
      </c>
      <c r="S1179">
        <v>0</v>
      </c>
      <c r="T1179">
        <v>0</v>
      </c>
      <c r="U1179">
        <v>0</v>
      </c>
      <c r="V1179">
        <v>0</v>
      </c>
      <c r="W1179">
        <v>0</v>
      </c>
      <c r="X1179">
        <v>0</v>
      </c>
      <c r="Y1179">
        <v>0</v>
      </c>
      <c r="Z1179">
        <v>0</v>
      </c>
      <c r="AA1179">
        <v>0</v>
      </c>
      <c r="AB1179">
        <v>0</v>
      </c>
      <c r="AC1179">
        <v>0</v>
      </c>
      <c r="AD1179">
        <v>0</v>
      </c>
      <c r="AE1179">
        <v>0</v>
      </c>
      <c r="AF1179">
        <v>0</v>
      </c>
      <c r="AG1179">
        <v>0</v>
      </c>
      <c r="AH1179">
        <v>84.35499999999999</v>
      </c>
      <c r="AI1179">
        <v>102.22699999999999</v>
      </c>
      <c r="AJ1179">
        <v>128.50700000000001</v>
      </c>
    </row>
    <row r="1180" spans="9:36" ht="11.25" customHeight="1">
      <c r="I1180" t="s">
        <v>105</v>
      </c>
      <c r="J1180">
        <v>0</v>
      </c>
      <c r="K1180">
        <v>0</v>
      </c>
      <c r="L1180">
        <v>0</v>
      </c>
      <c r="M1180">
        <v>0</v>
      </c>
      <c r="N1180">
        <v>0</v>
      </c>
      <c r="O1180">
        <v>0</v>
      </c>
      <c r="P1180">
        <v>0</v>
      </c>
      <c r="Q1180">
        <v>0</v>
      </c>
      <c r="R1180">
        <v>0</v>
      </c>
      <c r="S1180">
        <v>0</v>
      </c>
      <c r="T1180">
        <v>0</v>
      </c>
      <c r="U1180">
        <v>0</v>
      </c>
      <c r="V1180">
        <v>0</v>
      </c>
      <c r="W1180">
        <v>0</v>
      </c>
      <c r="X1180">
        <v>0</v>
      </c>
      <c r="Y1180">
        <v>0</v>
      </c>
      <c r="Z1180">
        <v>0</v>
      </c>
      <c r="AA1180">
        <v>0</v>
      </c>
      <c r="AB1180">
        <v>0</v>
      </c>
      <c r="AC1180">
        <v>0</v>
      </c>
      <c r="AD1180">
        <v>0</v>
      </c>
      <c r="AE1180">
        <v>0</v>
      </c>
      <c r="AF1180">
        <v>0</v>
      </c>
      <c r="AG1180">
        <v>0</v>
      </c>
      <c r="AH1180">
        <v>66.533999999999992</v>
      </c>
      <c r="AI1180">
        <v>77.086999999999989</v>
      </c>
      <c r="AJ1180">
        <v>84.647999999999996</v>
      </c>
    </row>
    <row r="1181" spans="9:36" ht="11.25" customHeight="1">
      <c r="I1181" t="s">
        <v>300</v>
      </c>
      <c r="J1181">
        <v>0</v>
      </c>
      <c r="K1181">
        <v>0</v>
      </c>
      <c r="L1181">
        <v>0</v>
      </c>
      <c r="M1181">
        <v>0</v>
      </c>
      <c r="N1181">
        <v>0</v>
      </c>
      <c r="O1181">
        <v>0</v>
      </c>
      <c r="P1181">
        <v>0</v>
      </c>
      <c r="Q1181">
        <v>0</v>
      </c>
      <c r="R1181">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-164.72199999999998</v>
      </c>
    </row>
    <row r="1182" spans="9:36" ht="11.25" customHeight="1">
      <c r="I1182" t="s">
        <v>260</v>
      </c>
      <c r="J1182">
        <v>0</v>
      </c>
      <c r="K1182">
        <v>0</v>
      </c>
      <c r="L1182">
        <v>0</v>
      </c>
      <c r="M1182">
        <v>0</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60.842000000000006</v>
      </c>
      <c r="AI1182">
        <v>86.26</v>
      </c>
      <c r="AJ1182">
        <v>100.41500000000001</v>
      </c>
    </row>
    <row r="1183" spans="9:36" ht="11.25" customHeight="1">
      <c r="I1183" t="s">
        <v>36</v>
      </c>
      <c r="J1183">
        <v>0</v>
      </c>
      <c r="K1183">
        <v>0</v>
      </c>
      <c r="L1183">
        <v>0</v>
      </c>
      <c r="M1183">
        <v>0</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29.603999999999999</v>
      </c>
      <c r="AI1183">
        <v>38.801000000000002</v>
      </c>
      <c r="AJ1183">
        <v>41.429000000000002</v>
      </c>
    </row>
    <row r="1184" spans="9:36" ht="11.25" customHeight="1">
      <c r="I1184" t="s">
        <v>594</v>
      </c>
      <c r="J1184">
        <v>0</v>
      </c>
      <c r="K1184">
        <v>0</v>
      </c>
      <c r="L1184">
        <v>0</v>
      </c>
      <c r="M1184">
        <v>0</v>
      </c>
      <c r="N1184">
        <v>0</v>
      </c>
      <c r="O1184">
        <v>0</v>
      </c>
      <c r="P1184">
        <v>0</v>
      </c>
      <c r="Q1184">
        <v>0</v>
      </c>
      <c r="R1184">
        <v>0</v>
      </c>
      <c r="S1184">
        <v>0</v>
      </c>
      <c r="T1184">
        <v>0</v>
      </c>
      <c r="U1184">
        <v>0</v>
      </c>
      <c r="V1184">
        <v>0</v>
      </c>
      <c r="W1184">
        <v>0</v>
      </c>
      <c r="X1184">
        <v>0</v>
      </c>
      <c r="Y1184">
        <v>0</v>
      </c>
      <c r="Z1184">
        <v>0</v>
      </c>
      <c r="AA1184">
        <v>0</v>
      </c>
      <c r="AB1184">
        <v>0</v>
      </c>
      <c r="AC1184">
        <v>0</v>
      </c>
      <c r="AD1184">
        <v>0</v>
      </c>
      <c r="AE1184">
        <v>0</v>
      </c>
      <c r="AF1184">
        <v>0</v>
      </c>
      <c r="AG1184">
        <v>0</v>
      </c>
      <c r="AH1184">
        <v>460.29500000000002</v>
      </c>
      <c r="AI1184">
        <v>548.30700000000002</v>
      </c>
      <c r="AJ1184">
        <v>652.23500000000001</v>
      </c>
    </row>
    <row r="1185" spans="9:36" ht="11.25" customHeight="1">
      <c r="I1185">
        <v>0</v>
      </c>
      <c r="J1185">
        <v>0</v>
      </c>
      <c r="K1185">
        <v>0</v>
      </c>
      <c r="L1185">
        <v>0</v>
      </c>
      <c r="M1185">
        <v>0</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row>
    <row r="1186" spans="9:36" ht="11.25" customHeight="1">
      <c r="I1186" t="s">
        <v>595</v>
      </c>
      <c r="J1186">
        <v>0</v>
      </c>
      <c r="K1186">
        <v>0</v>
      </c>
      <c r="L1186">
        <v>0</v>
      </c>
      <c r="M1186">
        <v>0</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36.53479799884326</v>
      </c>
      <c r="AI1186">
        <v>106.91115200492516</v>
      </c>
      <c r="AJ1186">
        <v>146.38126938296887</v>
      </c>
    </row>
    <row r="1187" spans="9:36" ht="11.25" customHeight="1">
      <c r="I1187" t="s">
        <v>596</v>
      </c>
      <c r="J1187">
        <v>0</v>
      </c>
      <c r="K1187">
        <v>0</v>
      </c>
      <c r="L1187">
        <v>0</v>
      </c>
      <c r="M1187">
        <v>0</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7.3535842950644276E-2</v>
      </c>
      <c r="AI1187">
        <v>0.16316878840701216</v>
      </c>
      <c r="AJ1187">
        <v>0.18329362297623455</v>
      </c>
    </row>
    <row r="1188" spans="9:36" ht="11.25" customHeight="1">
      <c r="I1188">
        <v>0</v>
      </c>
      <c r="J1188">
        <v>0</v>
      </c>
      <c r="K1188">
        <v>0</v>
      </c>
      <c r="L1188">
        <v>0</v>
      </c>
      <c r="M1188">
        <v>0</v>
      </c>
      <c r="N1188">
        <v>0</v>
      </c>
      <c r="O1188">
        <v>0</v>
      </c>
      <c r="P1188">
        <v>0</v>
      </c>
      <c r="Q1188">
        <v>0</v>
      </c>
      <c r="R1188">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row>
    <row r="1189" spans="9:36" ht="11.25" customHeight="1">
      <c r="I1189" t="s">
        <v>133</v>
      </c>
      <c r="J1189">
        <v>0</v>
      </c>
      <c r="K1189">
        <v>0</v>
      </c>
      <c r="L1189">
        <v>0</v>
      </c>
      <c r="M1189">
        <v>0</v>
      </c>
      <c r="N1189">
        <v>0</v>
      </c>
      <c r="O1189">
        <v>0</v>
      </c>
      <c r="P1189">
        <v>0</v>
      </c>
      <c r="Q1189">
        <v>0</v>
      </c>
      <c r="R1189">
        <v>0</v>
      </c>
      <c r="S1189">
        <v>0</v>
      </c>
      <c r="T1189">
        <v>0</v>
      </c>
      <c r="U1189">
        <v>0</v>
      </c>
      <c r="V1189">
        <v>0</v>
      </c>
      <c r="W1189">
        <v>0</v>
      </c>
      <c r="X1189">
        <v>0</v>
      </c>
      <c r="Y1189">
        <v>0</v>
      </c>
      <c r="Z1189">
        <v>0</v>
      </c>
      <c r="AA1189">
        <v>0</v>
      </c>
      <c r="AB1189">
        <v>0</v>
      </c>
      <c r="AC1189">
        <v>0</v>
      </c>
      <c r="AD1189">
        <v>0</v>
      </c>
      <c r="AE1189">
        <v>0</v>
      </c>
      <c r="AF1189">
        <v>0</v>
      </c>
      <c r="AG1189">
        <v>0</v>
      </c>
      <c r="AH1189">
        <v>66.138797998843259</v>
      </c>
      <c r="AI1189">
        <v>145.71215200492514</v>
      </c>
      <c r="AJ1189">
        <v>187.81026938296887</v>
      </c>
    </row>
    <row r="1190" spans="9:36" ht="11.25" customHeight="1">
      <c r="I1190" t="s">
        <v>513</v>
      </c>
      <c r="J1190">
        <v>0</v>
      </c>
      <c r="K1190">
        <v>0</v>
      </c>
      <c r="L1190">
        <v>0</v>
      </c>
      <c r="M1190">
        <v>0</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0.13312164098296947</v>
      </c>
      <c r="AI1190">
        <v>0.22238723325819865</v>
      </c>
      <c r="AJ1190">
        <v>0.23516960094999798</v>
      </c>
    </row>
    <row r="1191" spans="9:36" ht="11.25" customHeight="1">
      <c r="I1191">
        <v>0</v>
      </c>
      <c r="J1191">
        <v>0</v>
      </c>
      <c r="K1191">
        <v>0</v>
      </c>
      <c r="L1191">
        <v>0</v>
      </c>
      <c r="M1191">
        <v>0</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row>
    <row r="1192" spans="9:36" ht="11.25" customHeight="1">
      <c r="I1192">
        <v>0</v>
      </c>
      <c r="J1192">
        <v>0</v>
      </c>
      <c r="K1192">
        <v>0</v>
      </c>
      <c r="L1192">
        <v>0</v>
      </c>
      <c r="M1192">
        <v>0</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row>
    <row r="1193" spans="9:36" ht="11.25" customHeight="1">
      <c r="I1193">
        <v>0</v>
      </c>
      <c r="J1193">
        <v>0</v>
      </c>
      <c r="K1193">
        <v>0</v>
      </c>
      <c r="L1193">
        <v>0</v>
      </c>
      <c r="M1193">
        <v>0</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row>
    <row r="1194" spans="9:36" ht="11.25" customHeight="1">
      <c r="I1194">
        <v>0</v>
      </c>
      <c r="J1194">
        <v>0</v>
      </c>
      <c r="K1194">
        <v>0</v>
      </c>
      <c r="L1194">
        <v>0</v>
      </c>
      <c r="M1194">
        <v>0</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row>
    <row r="1195" spans="9:36" ht="11.25" customHeight="1">
      <c r="I1195">
        <v>0</v>
      </c>
      <c r="J1195">
        <v>0</v>
      </c>
      <c r="K1195">
        <v>0</v>
      </c>
      <c r="L1195">
        <v>0</v>
      </c>
      <c r="M1195">
        <v>0</v>
      </c>
      <c r="N1195">
        <v>0</v>
      </c>
      <c r="O1195">
        <v>0</v>
      </c>
      <c r="P1195">
        <v>0</v>
      </c>
      <c r="Q1195">
        <v>0</v>
      </c>
      <c r="R119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row>
    <row r="1196" spans="9:36" ht="11.25" customHeight="1">
      <c r="I1196">
        <v>0</v>
      </c>
      <c r="J1196">
        <v>0</v>
      </c>
      <c r="K1196">
        <v>0</v>
      </c>
      <c r="L1196">
        <v>0</v>
      </c>
      <c r="M1196">
        <v>0</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row>
    <row r="1197" spans="9:36" ht="11.25" customHeight="1">
      <c r="I1197">
        <v>0</v>
      </c>
      <c r="J1197">
        <v>0</v>
      </c>
      <c r="K1197">
        <v>0</v>
      </c>
      <c r="L1197">
        <v>0</v>
      </c>
      <c r="M1197">
        <v>0</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row>
    <row r="1198" spans="9:36" ht="11.25" customHeight="1">
      <c r="I1198">
        <v>0</v>
      </c>
      <c r="J1198">
        <v>0</v>
      </c>
      <c r="K1198">
        <v>0</v>
      </c>
      <c r="L1198">
        <v>0</v>
      </c>
      <c r="M1198">
        <v>0</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row>
    <row r="1199" spans="9:36" ht="11.25" customHeight="1">
      <c r="I1199">
        <v>0</v>
      </c>
      <c r="J1199">
        <v>0</v>
      </c>
      <c r="K1199">
        <v>0</v>
      </c>
      <c r="L1199">
        <v>0</v>
      </c>
      <c r="M1199">
        <v>0</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row>
    <row r="1200" spans="9:36" ht="11.25" customHeight="1">
      <c r="I1200" t="str">
        <f>'MS v Con'!B19</f>
        <v>(In millions USD)</v>
      </c>
      <c r="J1200" t="str">
        <f>'MS v Con'!C19</f>
        <v>1Q2015</v>
      </c>
      <c r="K1200" t="str">
        <f>'MS v Con'!D19</f>
        <v>2Q2015</v>
      </c>
      <c r="L1200" t="str">
        <f>'MS v Con'!E19</f>
        <v>3Q2015</v>
      </c>
      <c r="M1200" t="str">
        <f>'MS v Con'!F19</f>
        <v>4Q2015</v>
      </c>
      <c r="N1200">
        <f>'MS v Con'!G19</f>
        <v>0</v>
      </c>
      <c r="O1200">
        <f>'MS v Con'!AA19</f>
        <v>2015</v>
      </c>
      <c r="P1200">
        <f>'MS v Con'!AB19</f>
        <v>2016</v>
      </c>
      <c r="Q1200">
        <f>'MS v Con'!AC19</f>
        <v>2017</v>
      </c>
    </row>
    <row r="1201" spans="9:56" ht="11.25" customHeight="1">
      <c r="I1201" t="str">
        <f>'MS v Con'!B20</f>
        <v>Consensus</v>
      </c>
      <c r="J1201">
        <f>'MS v Con'!C20</f>
        <v>0</v>
      </c>
      <c r="K1201">
        <f>'MS v Con'!D20</f>
        <v>0</v>
      </c>
      <c r="L1201">
        <f>'MS v Con'!E20</f>
        <v>0</v>
      </c>
      <c r="M1201">
        <f>'MS v Con'!F20</f>
        <v>0</v>
      </c>
      <c r="N1201">
        <f>'MS v Con'!G20</f>
        <v>0</v>
      </c>
      <c r="O1201">
        <f>'MS v Con'!AA20</f>
        <v>0</v>
      </c>
      <c r="P1201">
        <f>'MS v Con'!AB20</f>
        <v>0</v>
      </c>
      <c r="Q1201">
        <f>'MS v Con'!AC20</f>
        <v>0</v>
      </c>
    </row>
    <row r="1202" spans="9:56" ht="11.25" customHeight="1">
      <c r="I1202" t="str">
        <f>'MS v Con'!B21</f>
        <v>Revenue</v>
      </c>
      <c r="J1202">
        <f>'MS v Con'!C21</f>
        <v>119.96</v>
      </c>
      <c r="K1202">
        <f>'MS v Con'!D21</f>
        <v>133.482</v>
      </c>
      <c r="L1202">
        <f>'MS v Con'!E21</f>
        <v>141.42099999999999</v>
      </c>
      <c r="M1202">
        <f>'MS v Con'!F21</f>
        <v>152.351</v>
      </c>
      <c r="N1202">
        <f>'MS v Con'!G21</f>
        <v>0</v>
      </c>
      <c r="O1202">
        <f>'MS v Con'!AA21</f>
        <v>548.36900000000003</v>
      </c>
      <c r="P1202">
        <f>'MS v Con'!AB21</f>
        <v>712.84500000000003</v>
      </c>
      <c r="Q1202">
        <f>'MS v Con'!AC21</f>
        <v>843.55700000000002</v>
      </c>
    </row>
    <row r="1203" spans="9:56" ht="11.25" customHeight="1">
      <c r="I1203" t="str">
        <f>'MS v Con'!B24</f>
        <v>Adj. EBITDA</v>
      </c>
      <c r="J1203">
        <f>'MS v Con'!C24</f>
        <v>20.5609</v>
      </c>
      <c r="K1203">
        <f>'MS v Con'!D24</f>
        <v>23.181799999999999</v>
      </c>
      <c r="L1203">
        <f>'MS v Con'!E24</f>
        <v>14.4779</v>
      </c>
      <c r="M1203">
        <f>'MS v Con'!F24</f>
        <v>21.919</v>
      </c>
      <c r="N1203">
        <f>'MS v Con'!G24</f>
        <v>0</v>
      </c>
      <c r="O1203">
        <f>'MS v Con'!AA24</f>
        <v>73.4375</v>
      </c>
      <c r="P1203">
        <f>'MS v Con'!AB24</f>
        <v>113.413</v>
      </c>
      <c r="Q1203">
        <f>'MS v Con'!AC24</f>
        <v>153.048</v>
      </c>
    </row>
    <row r="1204" spans="9:56" ht="11.25" customHeight="1">
      <c r="I1204" t="str">
        <f>'MS v Con'!B25</f>
        <v>EBITDA Margin</v>
      </c>
      <c r="K1204">
        <f>'MS v Con'!D25</f>
        <v>0.17366985810820934</v>
      </c>
      <c r="L1204">
        <f>'MS v Con'!E25</f>
        <v>0.10237447055246393</v>
      </c>
      <c r="M1204">
        <f>'MS v Con'!F25</f>
        <v>0.14387171728442871</v>
      </c>
      <c r="N1204">
        <f>'MS v Con'!G25</f>
        <v>0</v>
      </c>
      <c r="O1204">
        <f>'MS v Con'!AA25</f>
        <v>0.13391986053186813</v>
      </c>
      <c r="P1204">
        <f>'MS v Con'!AB25</f>
        <v>0.1590991028905302</v>
      </c>
      <c r="Q1204">
        <f>'MS v Con'!AC25</f>
        <v>0.18143172304894631</v>
      </c>
    </row>
    <row r="1205" spans="9:56" ht="11.25" customHeight="1">
      <c r="I1205" t="str">
        <f>Model!I7</f>
        <v>Morgan Stanley | Yelp model</v>
      </c>
      <c r="J1205">
        <f>Model!J7</f>
        <v>0</v>
      </c>
      <c r="K1205">
        <f>Model!K7</f>
        <v>0</v>
      </c>
      <c r="L1205">
        <f>Model!L7</f>
        <v>0</v>
      </c>
      <c r="M1205">
        <f>Model!M7</f>
        <v>2010</v>
      </c>
      <c r="N1205">
        <f>Model!N7</f>
        <v>0</v>
      </c>
      <c r="O1205">
        <f>Model!O7</f>
        <v>0</v>
      </c>
      <c r="P1205">
        <f>Model!P7</f>
        <v>0</v>
      </c>
      <c r="Q1205">
        <f>Model!Q7</f>
        <v>2011</v>
      </c>
      <c r="R1205">
        <f>Model!R7</f>
        <v>0</v>
      </c>
      <c r="S1205">
        <f>Model!S7</f>
        <v>0</v>
      </c>
      <c r="T1205">
        <f>Model!T7</f>
        <v>0</v>
      </c>
      <c r="U1205">
        <f>Model!U7</f>
        <v>2012</v>
      </c>
      <c r="V1205">
        <f>Model!V7</f>
        <v>0</v>
      </c>
      <c r="W1205">
        <f>Model!W7</f>
        <v>0</v>
      </c>
      <c r="X1205">
        <f>Model!X7</f>
        <v>0</v>
      </c>
      <c r="Y1205">
        <f>Model!Y7</f>
        <v>2013</v>
      </c>
      <c r="Z1205">
        <f>Model!Z7</f>
        <v>0</v>
      </c>
      <c r="AA1205">
        <f>Model!AA7</f>
        <v>0</v>
      </c>
      <c r="AB1205">
        <f>Model!AB7</f>
        <v>0</v>
      </c>
      <c r="AC1205" t="str">
        <f>Model!AC7</f>
        <v>2014</v>
      </c>
      <c r="AD1205">
        <f>Model!AD7</f>
        <v>0</v>
      </c>
      <c r="AE1205">
        <f>Model!AE7</f>
        <v>0</v>
      </c>
      <c r="AF1205">
        <f>Model!AF7</f>
        <v>0</v>
      </c>
      <c r="AG1205" t="str">
        <f>Model!AG7</f>
        <v>2015</v>
      </c>
      <c r="AH1205">
        <f>Model!AH7</f>
        <v>0</v>
      </c>
      <c r="AI1205">
        <f>Model!AI7</f>
        <v>0</v>
      </c>
      <c r="AJ1205">
        <f>Model!AJ7</f>
        <v>0</v>
      </c>
      <c r="AK1205" t="str">
        <f>Model!AK7</f>
        <v>2016</v>
      </c>
      <c r="AL1205">
        <f>Model!AL7</f>
        <v>0</v>
      </c>
      <c r="AM1205">
        <f>Model!AM7</f>
        <v>0</v>
      </c>
      <c r="AN1205">
        <f>Model!AN7</f>
        <v>0</v>
      </c>
      <c r="AO1205" t="str">
        <f>Model!AO7</f>
        <v>2017</v>
      </c>
      <c r="AP1205">
        <f>Model!AP7</f>
        <v>0</v>
      </c>
      <c r="AQ1205">
        <f>Model!AQ7</f>
        <v>0</v>
      </c>
      <c r="AR1205">
        <f>Model!AR7</f>
        <v>0</v>
      </c>
      <c r="AS1205" t="str">
        <f>Model!AS7</f>
        <v>2018E</v>
      </c>
      <c r="AT1205">
        <f>Model!AT7</f>
        <v>0</v>
      </c>
      <c r="AU1205">
        <f>Model!AU7</f>
        <v>0</v>
      </c>
      <c r="AV1205">
        <f>Model!AV7</f>
        <v>0</v>
      </c>
      <c r="AW1205" t="str">
        <f>Model!AW7</f>
        <v>2019E</v>
      </c>
      <c r="AX1205">
        <f>Model!AX7</f>
        <v>0</v>
      </c>
      <c r="AY1205">
        <f>Model!AY7</f>
        <v>0</v>
      </c>
      <c r="AZ1205">
        <f>Model!AZ7</f>
        <v>0</v>
      </c>
      <c r="BA1205" t="str">
        <f>Model!BA7</f>
        <v>2020E</v>
      </c>
      <c r="BB1205">
        <f>Model!BB7</f>
        <v>0</v>
      </c>
      <c r="BC1205">
        <f>Model!BC7</f>
        <v>0</v>
      </c>
      <c r="BD1205">
        <f>Model!BD7</f>
        <v>0</v>
      </c>
    </row>
    <row r="1206" spans="9:56" ht="11.25" customHeight="1">
      <c r="I1206" t="str">
        <f>Model!I8</f>
        <v>(USD millions)</v>
      </c>
      <c r="J1206">
        <f>Model!J8</f>
        <v>0</v>
      </c>
      <c r="K1206">
        <f>Model!K8</f>
        <v>0</v>
      </c>
      <c r="L1206">
        <f>Model!L8</f>
        <v>0</v>
      </c>
      <c r="M1206">
        <f>Model!M8</f>
        <v>1</v>
      </c>
      <c r="N1206">
        <f>Model!N8</f>
        <v>2</v>
      </c>
      <c r="O1206">
        <f>Model!O8</f>
        <v>3</v>
      </c>
      <c r="P1206">
        <f>Model!P8</f>
        <v>4</v>
      </c>
      <c r="Q1206">
        <f>Model!Q8</f>
        <v>1</v>
      </c>
      <c r="R1206">
        <f>Model!R8</f>
        <v>2</v>
      </c>
      <c r="S1206">
        <f>Model!S8</f>
        <v>3</v>
      </c>
      <c r="T1206">
        <f>Model!T8</f>
        <v>4</v>
      </c>
      <c r="U1206">
        <f>Model!U8</f>
        <v>1</v>
      </c>
      <c r="V1206">
        <f>Model!V8</f>
        <v>2</v>
      </c>
      <c r="W1206">
        <f>Model!W8</f>
        <v>3</v>
      </c>
      <c r="X1206">
        <f>Model!X8</f>
        <v>4</v>
      </c>
      <c r="Y1206">
        <f>Model!Y8</f>
        <v>1</v>
      </c>
      <c r="Z1206">
        <f>Model!Z8</f>
        <v>2</v>
      </c>
      <c r="AA1206">
        <f>Model!AA8</f>
        <v>3</v>
      </c>
      <c r="AB1206">
        <f>Model!AB8</f>
        <v>4</v>
      </c>
      <c r="AC1206">
        <f>Model!AC8</f>
        <v>1</v>
      </c>
      <c r="AD1206">
        <f>Model!AD8</f>
        <v>2</v>
      </c>
      <c r="AE1206">
        <f>Model!AE8</f>
        <v>3</v>
      </c>
      <c r="AF1206">
        <f>Model!AF8</f>
        <v>4</v>
      </c>
      <c r="AG1206">
        <f>Model!AG8</f>
        <v>1</v>
      </c>
      <c r="AH1206">
        <f>Model!AH8</f>
        <v>2</v>
      </c>
      <c r="AI1206">
        <f>Model!AI8</f>
        <v>3</v>
      </c>
      <c r="AJ1206">
        <f>Model!AJ8</f>
        <v>4</v>
      </c>
      <c r="AK1206">
        <f>Model!AK8</f>
        <v>1</v>
      </c>
      <c r="AL1206">
        <f>Model!AL8</f>
        <v>2</v>
      </c>
      <c r="AM1206">
        <f>Model!AM8</f>
        <v>3</v>
      </c>
      <c r="AN1206">
        <f>Model!AN8</f>
        <v>4</v>
      </c>
      <c r="AO1206">
        <f>Model!AO8</f>
        <v>1</v>
      </c>
      <c r="AP1206">
        <f>Model!AP8</f>
        <v>2</v>
      </c>
      <c r="AQ1206">
        <f>Model!AQ8</f>
        <v>3</v>
      </c>
      <c r="AR1206">
        <f>Model!AR8</f>
        <v>4</v>
      </c>
      <c r="AS1206">
        <f>Model!AS8</f>
        <v>1</v>
      </c>
      <c r="AT1206">
        <f>Model!AT8</f>
        <v>2</v>
      </c>
      <c r="AU1206">
        <f>Model!AU8</f>
        <v>3</v>
      </c>
      <c r="AV1206">
        <f>Model!AV8</f>
        <v>4</v>
      </c>
      <c r="AW1206">
        <f>Model!AW8</f>
        <v>1</v>
      </c>
      <c r="AX1206">
        <f>Model!AX8</f>
        <v>2</v>
      </c>
      <c r="AY1206">
        <f>Model!AY8</f>
        <v>3</v>
      </c>
      <c r="AZ1206">
        <f>Model!AZ8</f>
        <v>4</v>
      </c>
      <c r="BA1206">
        <f>Model!BA8</f>
        <v>1</v>
      </c>
      <c r="BB1206">
        <f>Model!BB8</f>
        <v>2</v>
      </c>
      <c r="BC1206">
        <f>Model!BC8</f>
        <v>3</v>
      </c>
      <c r="BD1206">
        <f>Model!BD8</f>
        <v>4</v>
      </c>
    </row>
    <row r="1207" spans="9:56" ht="11.25" customHeight="1">
      <c r="I1207">
        <f>Model!I9</f>
        <v>0</v>
      </c>
      <c r="J1207">
        <f>Model!J9</f>
        <v>0</v>
      </c>
      <c r="K1207">
        <f>Model!K9</f>
        <v>0</v>
      </c>
      <c r="L1207">
        <f>Model!L9</f>
        <v>0</v>
      </c>
      <c r="M1207">
        <f>Model!M9</f>
        <v>0</v>
      </c>
      <c r="N1207">
        <f>Model!N9</f>
        <v>0</v>
      </c>
      <c r="O1207">
        <f>Model!O9</f>
        <v>0</v>
      </c>
      <c r="P1207">
        <f>Model!P9</f>
        <v>0</v>
      </c>
      <c r="Q1207">
        <f>Model!Q9</f>
        <v>0</v>
      </c>
      <c r="R1207">
        <f>Model!R9</f>
        <v>0</v>
      </c>
      <c r="S1207">
        <f>Model!S9</f>
        <v>0</v>
      </c>
      <c r="T1207">
        <f>Model!T9</f>
        <v>0</v>
      </c>
      <c r="U1207">
        <f>Model!U9</f>
        <v>0</v>
      </c>
      <c r="V1207">
        <f>Model!V9</f>
        <v>0</v>
      </c>
      <c r="W1207">
        <f>Model!W9</f>
        <v>0</v>
      </c>
      <c r="X1207">
        <f>Model!X9</f>
        <v>0</v>
      </c>
      <c r="Y1207">
        <f>Model!Y9</f>
        <v>0</v>
      </c>
      <c r="Z1207">
        <f>Model!Z9</f>
        <v>0</v>
      </c>
      <c r="AA1207">
        <f>Model!AA9</f>
        <v>0</v>
      </c>
      <c r="AB1207">
        <f>Model!AB9</f>
        <v>0</v>
      </c>
      <c r="AC1207">
        <f>Model!AC9</f>
        <v>0</v>
      </c>
      <c r="AD1207">
        <f>Model!AD9</f>
        <v>0</v>
      </c>
      <c r="AE1207">
        <f>Model!AE9</f>
        <v>0</v>
      </c>
      <c r="AF1207">
        <f>Model!AF9</f>
        <v>0</v>
      </c>
      <c r="AG1207">
        <f>Model!AG9</f>
        <v>0</v>
      </c>
      <c r="AH1207">
        <f>Model!AH9</f>
        <v>0</v>
      </c>
      <c r="AI1207">
        <f>Model!AI9</f>
        <v>0</v>
      </c>
      <c r="AJ1207">
        <f>Model!AJ9</f>
        <v>0</v>
      </c>
      <c r="AK1207">
        <f>Model!AK9</f>
        <v>0</v>
      </c>
      <c r="AL1207">
        <f>Model!AL9</f>
        <v>0</v>
      </c>
      <c r="AM1207">
        <f>Model!AM9</f>
        <v>0</v>
      </c>
      <c r="AN1207">
        <f>Model!AN9</f>
        <v>0</v>
      </c>
      <c r="AO1207">
        <f>Model!AO9</f>
        <v>0</v>
      </c>
      <c r="AP1207">
        <f>Model!AP9</f>
        <v>0</v>
      </c>
      <c r="AQ1207">
        <f>Model!AQ9</f>
        <v>0</v>
      </c>
      <c r="AR1207">
        <f>Model!AR9</f>
        <v>0</v>
      </c>
      <c r="AS1207">
        <f>Model!AS9</f>
        <v>0</v>
      </c>
      <c r="AT1207">
        <f>Model!AT9</f>
        <v>0</v>
      </c>
      <c r="AU1207">
        <f>Model!AU9</f>
        <v>0</v>
      </c>
      <c r="AV1207">
        <f>Model!AV9</f>
        <v>0</v>
      </c>
      <c r="AW1207">
        <f>Model!AW9</f>
        <v>0</v>
      </c>
      <c r="AX1207">
        <f>Model!AX9</f>
        <v>0</v>
      </c>
      <c r="AY1207">
        <f>Model!AY9</f>
        <v>0</v>
      </c>
      <c r="AZ1207">
        <f>Model!AZ9</f>
        <v>0</v>
      </c>
      <c r="BA1207">
        <f>Model!BA9</f>
        <v>0</v>
      </c>
      <c r="BB1207">
        <f>Model!BB9</f>
        <v>0</v>
      </c>
      <c r="BC1207">
        <f>Model!BC9</f>
        <v>0</v>
      </c>
      <c r="BD1207">
        <f>Model!BD9</f>
        <v>0</v>
      </c>
    </row>
    <row r="1208" spans="9:56" ht="11.25" customHeight="1">
      <c r="I1208" t="str">
        <f>Model!I10</f>
        <v>Income Statement</v>
      </c>
      <c r="J1208">
        <f>Model!J10</f>
        <v>0</v>
      </c>
      <c r="K1208">
        <f>Model!K10</f>
        <v>0</v>
      </c>
      <c r="L1208">
        <f>Model!L10</f>
        <v>0</v>
      </c>
      <c r="M1208">
        <f>Model!M10</f>
        <v>0</v>
      </c>
      <c r="N1208">
        <f>Model!N10</f>
        <v>0</v>
      </c>
      <c r="O1208">
        <f>Model!O10</f>
        <v>0</v>
      </c>
      <c r="P1208">
        <f>Model!P10</f>
        <v>0</v>
      </c>
      <c r="Q1208">
        <f>Model!Q10</f>
        <v>0</v>
      </c>
      <c r="R1208">
        <f>Model!R10</f>
        <v>0</v>
      </c>
      <c r="S1208">
        <f>Model!S10</f>
        <v>0</v>
      </c>
      <c r="T1208">
        <f>Model!T10</f>
        <v>0</v>
      </c>
      <c r="U1208">
        <f>Model!U10</f>
        <v>0</v>
      </c>
      <c r="V1208">
        <f>Model!V10</f>
        <v>0</v>
      </c>
      <c r="W1208">
        <f>Model!W10</f>
        <v>0</v>
      </c>
      <c r="X1208">
        <f>Model!X10</f>
        <v>0</v>
      </c>
      <c r="Y1208">
        <f>Model!Y10</f>
        <v>0</v>
      </c>
      <c r="Z1208">
        <f>Model!Z10</f>
        <v>0</v>
      </c>
      <c r="AA1208">
        <f>Model!AA10</f>
        <v>0</v>
      </c>
      <c r="AB1208">
        <f>Model!AB10</f>
        <v>0</v>
      </c>
      <c r="AC1208">
        <f>Model!AC10</f>
        <v>0</v>
      </c>
      <c r="AD1208">
        <f>Model!AD10</f>
        <v>0</v>
      </c>
      <c r="AE1208">
        <f>Model!AE10</f>
        <v>0</v>
      </c>
      <c r="AF1208">
        <f>Model!AF10</f>
        <v>0</v>
      </c>
      <c r="AG1208">
        <f>Model!AG10</f>
        <v>0</v>
      </c>
      <c r="AH1208">
        <f>Model!AH10</f>
        <v>0</v>
      </c>
      <c r="AI1208">
        <f>Model!AI10</f>
        <v>0</v>
      </c>
      <c r="AJ1208">
        <f>Model!AJ10</f>
        <v>0</v>
      </c>
      <c r="AK1208">
        <f>Model!AK10</f>
        <v>0</v>
      </c>
      <c r="AL1208">
        <f>Model!AL10</f>
        <v>0</v>
      </c>
      <c r="AM1208">
        <f>Model!AM10</f>
        <v>0</v>
      </c>
      <c r="AN1208">
        <f>Model!AN10</f>
        <v>0</v>
      </c>
      <c r="AO1208">
        <f>Model!AO10</f>
        <v>0</v>
      </c>
      <c r="AP1208">
        <f>Model!AP10</f>
        <v>0</v>
      </c>
      <c r="AQ1208">
        <f>Model!AQ10</f>
        <v>0</v>
      </c>
      <c r="AR1208">
        <f>Model!AR10</f>
        <v>0</v>
      </c>
      <c r="AS1208">
        <f>Model!AS10</f>
        <v>0</v>
      </c>
      <c r="AT1208">
        <f>Model!AT10</f>
        <v>0</v>
      </c>
      <c r="AU1208">
        <f>Model!AU10</f>
        <v>0</v>
      </c>
      <c r="AV1208">
        <f>Model!AV10</f>
        <v>0</v>
      </c>
      <c r="AW1208">
        <f>Model!AW10</f>
        <v>0</v>
      </c>
      <c r="AX1208">
        <f>Model!AX10</f>
        <v>0</v>
      </c>
      <c r="AY1208">
        <f>Model!AY10</f>
        <v>0</v>
      </c>
      <c r="AZ1208">
        <f>Model!AZ10</f>
        <v>0</v>
      </c>
      <c r="BA1208">
        <f>Model!BA10</f>
        <v>0</v>
      </c>
      <c r="BB1208">
        <f>Model!BB10</f>
        <v>0</v>
      </c>
      <c r="BC1208">
        <f>Model!BC10</f>
        <v>0</v>
      </c>
      <c r="BD1208">
        <f>Model!BD10</f>
        <v>0</v>
      </c>
    </row>
    <row r="1209" spans="9:56" ht="11.25" customHeight="1">
      <c r="I1209">
        <f>Model!I11</f>
        <v>0</v>
      </c>
      <c r="J1209">
        <f>Model!J11</f>
        <v>0</v>
      </c>
      <c r="K1209">
        <f>Model!K11</f>
        <v>0</v>
      </c>
      <c r="L1209">
        <f>Model!L11</f>
        <v>0</v>
      </c>
      <c r="M1209">
        <f>Model!M11</f>
        <v>0</v>
      </c>
      <c r="N1209">
        <f>Model!N11</f>
        <v>0</v>
      </c>
      <c r="O1209">
        <f>Model!O11</f>
        <v>0</v>
      </c>
      <c r="P1209">
        <f>Model!P11</f>
        <v>0</v>
      </c>
      <c r="Q1209">
        <f>Model!Q11</f>
        <v>0</v>
      </c>
      <c r="R1209">
        <f>Model!R11</f>
        <v>0</v>
      </c>
      <c r="S1209">
        <f>Model!S11</f>
        <v>0</v>
      </c>
      <c r="T1209">
        <f>Model!T11</f>
        <v>0</v>
      </c>
      <c r="U1209">
        <f>Model!U11</f>
        <v>0</v>
      </c>
      <c r="V1209">
        <f>Model!V11</f>
        <v>0</v>
      </c>
      <c r="W1209">
        <f>Model!W11</f>
        <v>0</v>
      </c>
      <c r="X1209">
        <f>Model!X11</f>
        <v>0</v>
      </c>
      <c r="Y1209">
        <f>Model!Y11</f>
        <v>0</v>
      </c>
      <c r="Z1209">
        <f>Model!Z11</f>
        <v>0</v>
      </c>
      <c r="AA1209">
        <f>Model!AA11</f>
        <v>0</v>
      </c>
      <c r="AB1209">
        <f>Model!AB11</f>
        <v>0</v>
      </c>
      <c r="AC1209">
        <f>Model!AC11</f>
        <v>0</v>
      </c>
      <c r="AD1209">
        <f>Model!AD11</f>
        <v>0</v>
      </c>
      <c r="AE1209">
        <f>Model!AE11</f>
        <v>0</v>
      </c>
      <c r="AF1209">
        <f>Model!AF11</f>
        <v>0</v>
      </c>
      <c r="AG1209">
        <f>Model!AG11</f>
        <v>0</v>
      </c>
      <c r="AH1209">
        <f>Model!AH11</f>
        <v>0</v>
      </c>
      <c r="AI1209">
        <f>Model!AI11</f>
        <v>0</v>
      </c>
      <c r="AJ1209">
        <f>Model!AJ11</f>
        <v>0</v>
      </c>
      <c r="AK1209">
        <f>Model!AK11</f>
        <v>0</v>
      </c>
      <c r="AL1209">
        <f>Model!AL11</f>
        <v>0</v>
      </c>
      <c r="AM1209">
        <f>Model!AM11</f>
        <v>0</v>
      </c>
      <c r="AN1209">
        <f>Model!AN11</f>
        <v>0</v>
      </c>
      <c r="AO1209">
        <f>Model!AO11</f>
        <v>0</v>
      </c>
      <c r="AP1209">
        <f>Model!AP11</f>
        <v>0</v>
      </c>
      <c r="AQ1209">
        <f>Model!AQ11</f>
        <v>0</v>
      </c>
      <c r="AR1209">
        <f>Model!AR11</f>
        <v>0</v>
      </c>
      <c r="AS1209">
        <f>Model!AS11</f>
        <v>0</v>
      </c>
      <c r="AT1209">
        <f>Model!AT11</f>
        <v>0</v>
      </c>
      <c r="AU1209">
        <f>Model!AU11</f>
        <v>0</v>
      </c>
      <c r="AV1209">
        <f>Model!AV11</f>
        <v>0</v>
      </c>
      <c r="AW1209">
        <f>Model!AW11</f>
        <v>0</v>
      </c>
      <c r="AX1209">
        <f>Model!AX11</f>
        <v>0</v>
      </c>
      <c r="AY1209">
        <f>Model!AY11</f>
        <v>0</v>
      </c>
      <c r="AZ1209">
        <f>Model!AZ11</f>
        <v>0</v>
      </c>
      <c r="BA1209">
        <f>Model!BA11</f>
        <v>0</v>
      </c>
      <c r="BB1209">
        <f>Model!BB11</f>
        <v>0</v>
      </c>
      <c r="BC1209">
        <f>Model!BC11</f>
        <v>0</v>
      </c>
      <c r="BD1209">
        <f>Model!BD11</f>
        <v>0</v>
      </c>
    </row>
    <row r="1210" spans="9:56" ht="11.25" customHeight="1">
      <c r="I1210">
        <f>Model!I12</f>
        <v>0</v>
      </c>
      <c r="J1210">
        <f>Model!J12</f>
        <v>0</v>
      </c>
      <c r="K1210">
        <f>Model!K12</f>
        <v>0</v>
      </c>
      <c r="L1210">
        <f>Model!L12</f>
        <v>0</v>
      </c>
      <c r="M1210">
        <f>Model!M12</f>
        <v>0</v>
      </c>
      <c r="N1210">
        <f>Model!N12</f>
        <v>0</v>
      </c>
      <c r="O1210">
        <f>Model!O12</f>
        <v>0</v>
      </c>
      <c r="P1210">
        <f>Model!P12</f>
        <v>0</v>
      </c>
      <c r="Q1210">
        <f>Model!Q12</f>
        <v>0</v>
      </c>
      <c r="R1210">
        <f>Model!R12</f>
        <v>0</v>
      </c>
      <c r="S1210">
        <f>Model!S12</f>
        <v>0</v>
      </c>
      <c r="T1210">
        <f>Model!T12</f>
        <v>0</v>
      </c>
      <c r="U1210">
        <f>Model!U12</f>
        <v>0</v>
      </c>
      <c r="V1210">
        <f>Model!V12</f>
        <v>0</v>
      </c>
      <c r="W1210">
        <f>Model!W12</f>
        <v>0</v>
      </c>
      <c r="X1210">
        <f>Model!X12</f>
        <v>0</v>
      </c>
      <c r="Y1210">
        <f>Model!Y12</f>
        <v>0</v>
      </c>
      <c r="Z1210">
        <f>Model!Z12</f>
        <v>0</v>
      </c>
      <c r="AA1210">
        <f>Model!AA12</f>
        <v>0</v>
      </c>
      <c r="AB1210">
        <f>Model!AB12</f>
        <v>0</v>
      </c>
      <c r="AC1210">
        <f>Model!AC12</f>
        <v>0</v>
      </c>
      <c r="AD1210">
        <f>Model!AD12</f>
        <v>0</v>
      </c>
      <c r="AE1210">
        <f>Model!AE12</f>
        <v>0</v>
      </c>
      <c r="AF1210">
        <f>Model!AF12</f>
        <v>0</v>
      </c>
      <c r="AG1210">
        <f>Model!AG12</f>
        <v>0</v>
      </c>
      <c r="AH1210">
        <f>Model!AH12</f>
        <v>0</v>
      </c>
      <c r="AI1210">
        <f>Model!AI12</f>
        <v>0</v>
      </c>
      <c r="AJ1210">
        <f>Model!AJ12</f>
        <v>0</v>
      </c>
      <c r="AK1210">
        <f>Model!AK12</f>
        <v>0</v>
      </c>
      <c r="AL1210">
        <f>Model!AL12</f>
        <v>0</v>
      </c>
      <c r="AM1210">
        <f>Model!AM12</f>
        <v>0</v>
      </c>
      <c r="AN1210">
        <f>Model!AN12</f>
        <v>0</v>
      </c>
      <c r="AO1210">
        <f>Model!AO12</f>
        <v>0</v>
      </c>
      <c r="AP1210">
        <f>Model!AP12</f>
        <v>0</v>
      </c>
      <c r="AQ1210">
        <f>Model!AQ12</f>
        <v>0</v>
      </c>
      <c r="AR1210">
        <f>Model!AR12</f>
        <v>0</v>
      </c>
      <c r="AS1210">
        <f>Model!AS12</f>
        <v>0</v>
      </c>
      <c r="AT1210">
        <f>Model!AT12</f>
        <v>0</v>
      </c>
      <c r="AU1210">
        <f>Model!AU12</f>
        <v>0</v>
      </c>
      <c r="AV1210">
        <f>Model!AV12</f>
        <v>0</v>
      </c>
      <c r="AW1210">
        <f>Model!AW12</f>
        <v>0</v>
      </c>
      <c r="AX1210">
        <f>Model!AX12</f>
        <v>0</v>
      </c>
      <c r="AY1210">
        <f>Model!AY12</f>
        <v>0</v>
      </c>
      <c r="AZ1210">
        <f>Model!AZ12</f>
        <v>0</v>
      </c>
      <c r="BA1210">
        <f>Model!BA12</f>
        <v>0</v>
      </c>
      <c r="BB1210">
        <f>Model!BB12</f>
        <v>0</v>
      </c>
      <c r="BC1210">
        <f>Model!BC12</f>
        <v>0</v>
      </c>
      <c r="BD1210">
        <f>Model!BD12</f>
        <v>0</v>
      </c>
    </row>
    <row r="1211" spans="9:56" ht="11.25" customHeight="1">
      <c r="I1211" t="str">
        <f>Model!I13</f>
        <v>Eat24</v>
      </c>
      <c r="J1211">
        <f>Model!J13</f>
        <v>0</v>
      </c>
      <c r="K1211">
        <f>Model!K13</f>
        <v>0</v>
      </c>
      <c r="L1211">
        <f>Model!L13</f>
        <v>0</v>
      </c>
      <c r="M1211">
        <f>Model!M13</f>
        <v>0</v>
      </c>
      <c r="N1211">
        <f>Model!N13</f>
        <v>0</v>
      </c>
      <c r="O1211">
        <f>Model!O13</f>
        <v>0</v>
      </c>
      <c r="P1211">
        <f>Model!P13</f>
        <v>0</v>
      </c>
      <c r="Q1211">
        <f>Model!Q13</f>
        <v>0</v>
      </c>
      <c r="R1211">
        <f>Model!R13</f>
        <v>0</v>
      </c>
      <c r="S1211">
        <f>Model!S13</f>
        <v>0</v>
      </c>
      <c r="T1211">
        <f>Model!T13</f>
        <v>0</v>
      </c>
      <c r="U1211">
        <f>Model!U13</f>
        <v>0</v>
      </c>
      <c r="V1211">
        <f>Model!V13</f>
        <v>0</v>
      </c>
      <c r="W1211">
        <f>Model!W13</f>
        <v>0</v>
      </c>
      <c r="X1211">
        <f>Model!X13</f>
        <v>0</v>
      </c>
      <c r="Y1211">
        <f>Model!Y13</f>
        <v>0</v>
      </c>
      <c r="Z1211">
        <f>Model!Z13</f>
        <v>0</v>
      </c>
      <c r="AA1211">
        <f>Model!AA13</f>
        <v>0</v>
      </c>
      <c r="AB1211">
        <f>Model!AB13</f>
        <v>0</v>
      </c>
      <c r="AC1211">
        <f>Model!AC13</f>
        <v>0</v>
      </c>
      <c r="AD1211">
        <f>Model!AD13</f>
        <v>0</v>
      </c>
      <c r="AE1211">
        <f>Model!AE13</f>
        <v>0</v>
      </c>
      <c r="AF1211">
        <f>Model!AF13</f>
        <v>0</v>
      </c>
      <c r="AG1211" t="e">
        <f>Model!AG13</f>
        <v>#REF!</v>
      </c>
      <c r="AH1211" t="e">
        <f>Model!AH13</f>
        <v>#REF!</v>
      </c>
      <c r="AI1211" t="e">
        <f>Model!AI13</f>
        <v>#REF!</v>
      </c>
      <c r="AJ1211" t="e">
        <f>Model!AJ13</f>
        <v>#REF!</v>
      </c>
      <c r="AK1211" t="e">
        <f>Model!AK13</f>
        <v>#REF!</v>
      </c>
      <c r="AL1211" t="e">
        <f>Model!AL13</f>
        <v>#REF!</v>
      </c>
      <c r="AM1211" t="e">
        <f>Model!AM13</f>
        <v>#REF!</v>
      </c>
      <c r="AN1211" t="e">
        <f>Model!AN13</f>
        <v>#REF!</v>
      </c>
      <c r="AO1211" t="e">
        <f>Model!AO13</f>
        <v>#REF!</v>
      </c>
      <c r="AP1211" t="e">
        <f>Model!AP13</f>
        <v>#REF!</v>
      </c>
      <c r="AQ1211" t="e">
        <f>Model!AQ13</f>
        <v>#REF!</v>
      </c>
      <c r="AR1211" t="e">
        <f>Model!AR13</f>
        <v>#REF!</v>
      </c>
      <c r="AS1211" t="e">
        <f>Model!AS13</f>
        <v>#REF!</v>
      </c>
      <c r="AT1211" t="e">
        <f>Model!AT13</f>
        <v>#REF!</v>
      </c>
      <c r="AU1211" t="e">
        <f>Model!AU13</f>
        <v>#REF!</v>
      </c>
      <c r="AV1211" t="e">
        <f>Model!AV13</f>
        <v>#REF!</v>
      </c>
      <c r="AW1211" t="e">
        <f>Model!AW13</f>
        <v>#REF!</v>
      </c>
      <c r="AX1211" t="e">
        <f>Model!AX13</f>
        <v>#REF!</v>
      </c>
      <c r="AY1211" t="e">
        <f>Model!AY13</f>
        <v>#REF!</v>
      </c>
      <c r="AZ1211" t="e">
        <f>Model!AZ13</f>
        <v>#REF!</v>
      </c>
      <c r="BA1211" t="e">
        <f>Model!BA13</f>
        <v>#REF!</v>
      </c>
      <c r="BB1211" t="e">
        <f>Model!BB13</f>
        <v>#REF!</v>
      </c>
      <c r="BC1211" t="e">
        <f>Model!BC13</f>
        <v>#REF!</v>
      </c>
      <c r="BD1211" t="e">
        <f>Model!BD13</f>
        <v>#REF!</v>
      </c>
    </row>
    <row r="1212" spans="9:56" ht="11.25" customHeight="1">
      <c r="I1212" t="str">
        <f>Model!I14</f>
        <v>Organic YELP (ex-Eat24)</v>
      </c>
      <c r="J1212">
        <f>Model!J14</f>
        <v>0</v>
      </c>
      <c r="K1212">
        <f>Model!K14</f>
        <v>0</v>
      </c>
      <c r="L1212">
        <f>Model!L14</f>
        <v>0</v>
      </c>
      <c r="M1212">
        <f>Model!M14</f>
        <v>0</v>
      </c>
      <c r="N1212">
        <f>Model!N14</f>
        <v>0</v>
      </c>
      <c r="O1212">
        <f>Model!O14</f>
        <v>0</v>
      </c>
      <c r="P1212">
        <f>Model!P14</f>
        <v>0</v>
      </c>
      <c r="Q1212">
        <f>Model!Q14</f>
        <v>0</v>
      </c>
      <c r="R1212">
        <f>Model!R14</f>
        <v>0</v>
      </c>
      <c r="S1212">
        <f>Model!S14</f>
        <v>0</v>
      </c>
      <c r="T1212">
        <f>Model!T14</f>
        <v>0</v>
      </c>
      <c r="U1212">
        <f>Model!U14</f>
        <v>0</v>
      </c>
      <c r="V1212">
        <f>Model!V14</f>
        <v>0</v>
      </c>
      <c r="W1212">
        <f>Model!W14</f>
        <v>0</v>
      </c>
      <c r="X1212">
        <f>Model!X14</f>
        <v>0</v>
      </c>
      <c r="Y1212">
        <f>Model!Y14</f>
        <v>0</v>
      </c>
      <c r="Z1212">
        <f>Model!Z14</f>
        <v>0</v>
      </c>
      <c r="AA1212">
        <f>Model!AA14</f>
        <v>0</v>
      </c>
      <c r="AB1212">
        <f>Model!AB14</f>
        <v>0</v>
      </c>
      <c r="AC1212">
        <f>Model!AC14</f>
        <v>0</v>
      </c>
      <c r="AD1212">
        <f>Model!AD14</f>
        <v>0</v>
      </c>
      <c r="AE1212">
        <f>Model!AE14</f>
        <v>0</v>
      </c>
      <c r="AF1212">
        <f>Model!AF14</f>
        <v>0</v>
      </c>
      <c r="AG1212" t="e">
        <f>Model!AG14</f>
        <v>#REF!</v>
      </c>
      <c r="AH1212" t="e">
        <f>Model!AH14</f>
        <v>#REF!</v>
      </c>
      <c r="AI1212" t="e">
        <f>Model!AI14</f>
        <v>#REF!</v>
      </c>
      <c r="AJ1212" t="e">
        <f>Model!AJ14</f>
        <v>#REF!</v>
      </c>
      <c r="AK1212" t="e">
        <f>Model!AK14</f>
        <v>#REF!</v>
      </c>
      <c r="AL1212" t="e">
        <f>Model!AL14</f>
        <v>#REF!</v>
      </c>
      <c r="AM1212" t="e">
        <f>Model!AM14</f>
        <v>#REF!</v>
      </c>
      <c r="AN1212" t="e">
        <f>Model!AN14</f>
        <v>#REF!</v>
      </c>
      <c r="AO1212" t="e">
        <f>Model!AO14</f>
        <v>#REF!</v>
      </c>
      <c r="AP1212" t="e">
        <f>Model!AP14</f>
        <v>#REF!</v>
      </c>
      <c r="AQ1212" t="e">
        <f>Model!AQ14</f>
        <v>#REF!</v>
      </c>
      <c r="AR1212" t="e">
        <f>Model!AR14</f>
        <v>#REF!</v>
      </c>
      <c r="AS1212" t="e">
        <f>Model!AS14</f>
        <v>#REF!</v>
      </c>
      <c r="AT1212" t="e">
        <f>Model!AT14</f>
        <v>#REF!</v>
      </c>
      <c r="AU1212" t="e">
        <f>Model!AU14</f>
        <v>#REF!</v>
      </c>
      <c r="AV1212" t="e">
        <f>Model!AV14</f>
        <v>#REF!</v>
      </c>
      <c r="AW1212" t="e">
        <f>Model!AW14</f>
        <v>#REF!</v>
      </c>
      <c r="AX1212" t="e">
        <f>Model!AX14</f>
        <v>#REF!</v>
      </c>
      <c r="AY1212" t="e">
        <f>Model!AY14</f>
        <v>#REF!</v>
      </c>
      <c r="AZ1212" t="e">
        <f>Model!AZ14</f>
        <v>#REF!</v>
      </c>
      <c r="BA1212" t="e">
        <f>Model!BA14</f>
        <v>#REF!</v>
      </c>
      <c r="BB1212" t="e">
        <f>Model!BB14</f>
        <v>#REF!</v>
      </c>
      <c r="BC1212" t="e">
        <f>Model!BC14</f>
        <v>#REF!</v>
      </c>
      <c r="BD1212" t="e">
        <f>Model!BD14</f>
        <v>#REF!</v>
      </c>
    </row>
    <row r="1213" spans="9:56" ht="11.25" customHeight="1">
      <c r="I1213" t="str">
        <f>Model!I15</f>
        <v>Y/Y % Growth</v>
      </c>
      <c r="J1213">
        <f>Model!J15</f>
        <v>0</v>
      </c>
      <c r="K1213">
        <f>Model!K15</f>
        <v>0</v>
      </c>
      <c r="L1213">
        <f>Model!L15</f>
        <v>0</v>
      </c>
      <c r="M1213">
        <f>Model!M15</f>
        <v>0</v>
      </c>
      <c r="N1213">
        <f>Model!N15</f>
        <v>0</v>
      </c>
      <c r="O1213">
        <f>Model!O15</f>
        <v>0</v>
      </c>
      <c r="P1213">
        <f>Model!P15</f>
        <v>0</v>
      </c>
      <c r="Q1213">
        <f>Model!Q15</f>
        <v>0</v>
      </c>
      <c r="R1213">
        <f>Model!R15</f>
        <v>0</v>
      </c>
      <c r="S1213">
        <f>Model!S15</f>
        <v>0</v>
      </c>
      <c r="T1213">
        <f>Model!T15</f>
        <v>0</v>
      </c>
      <c r="U1213">
        <f>Model!U15</f>
        <v>0</v>
      </c>
      <c r="V1213">
        <f>Model!V15</f>
        <v>0</v>
      </c>
      <c r="W1213">
        <f>Model!W15</f>
        <v>0</v>
      </c>
      <c r="X1213">
        <f>Model!X15</f>
        <v>0</v>
      </c>
      <c r="Y1213">
        <f>Model!Y15</f>
        <v>0</v>
      </c>
      <c r="Z1213">
        <f>Model!Z15</f>
        <v>0</v>
      </c>
      <c r="AA1213">
        <f>Model!AA15</f>
        <v>0</v>
      </c>
      <c r="AB1213">
        <f>Model!AB15</f>
        <v>0</v>
      </c>
      <c r="AC1213">
        <f>Model!AC15</f>
        <v>0</v>
      </c>
      <c r="AD1213">
        <f>Model!AD15</f>
        <v>0</v>
      </c>
      <c r="AE1213">
        <f>Model!AE15</f>
        <v>0</v>
      </c>
      <c r="AF1213">
        <f>Model!AF15</f>
        <v>0</v>
      </c>
      <c r="AG1213" t="e">
        <f>Model!AG15</f>
        <v>#REF!</v>
      </c>
      <c r="AH1213" t="e">
        <f>Model!AH15</f>
        <v>#REF!</v>
      </c>
      <c r="AI1213" t="e">
        <f>Model!AI15</f>
        <v>#REF!</v>
      </c>
      <c r="AJ1213" t="e">
        <f>Model!AJ15</f>
        <v>#REF!</v>
      </c>
      <c r="AK1213" t="e">
        <f>Model!AK15</f>
        <v>#REF!</v>
      </c>
      <c r="AL1213" t="e">
        <f>Model!AL15</f>
        <v>#REF!</v>
      </c>
      <c r="AM1213" t="e">
        <f>Model!AM15</f>
        <v>#REF!</v>
      </c>
      <c r="AN1213" t="e">
        <f>Model!AN15</f>
        <v>#REF!</v>
      </c>
      <c r="AO1213" t="e">
        <f>Model!AO15</f>
        <v>#REF!</v>
      </c>
      <c r="AP1213" t="e">
        <f>Model!AP15</f>
        <v>#REF!</v>
      </c>
      <c r="AQ1213" t="e">
        <f>Model!AQ15</f>
        <v>#REF!</v>
      </c>
      <c r="AR1213" t="e">
        <f>Model!AR15</f>
        <v>#REF!</v>
      </c>
      <c r="AS1213" t="e">
        <f>Model!AS15</f>
        <v>#REF!</v>
      </c>
      <c r="AT1213" t="e">
        <f>Model!AT15</f>
        <v>#REF!</v>
      </c>
      <c r="AU1213" t="e">
        <f>Model!AU15</f>
        <v>#REF!</v>
      </c>
      <c r="AV1213" t="e">
        <f>Model!AV15</f>
        <v>#REF!</v>
      </c>
      <c r="AW1213" t="e">
        <f>Model!AW15</f>
        <v>#REF!</v>
      </c>
      <c r="AX1213" t="e">
        <f>Model!AX15</f>
        <v>#REF!</v>
      </c>
      <c r="AY1213" t="e">
        <f>Model!AY15</f>
        <v>#REF!</v>
      </c>
      <c r="AZ1213" t="e">
        <f>Model!AZ15</f>
        <v>#REF!</v>
      </c>
      <c r="BA1213" t="e">
        <f>Model!BA15</f>
        <v>#REF!</v>
      </c>
      <c r="BB1213" t="e">
        <f>Model!BB15</f>
        <v>#REF!</v>
      </c>
      <c r="BC1213" t="e">
        <f>Model!BC15</f>
        <v>#REF!</v>
      </c>
      <c r="BD1213" t="e">
        <f>Model!BD15</f>
        <v>#REF!</v>
      </c>
    </row>
    <row r="1214" spans="9:56" ht="11.25" customHeight="1">
      <c r="I1214">
        <f>Model!I16</f>
        <v>0</v>
      </c>
      <c r="J1214">
        <f>Model!J16</f>
        <v>0</v>
      </c>
      <c r="K1214">
        <f>Model!K16</f>
        <v>0</v>
      </c>
      <c r="L1214">
        <f>Model!L16</f>
        <v>0</v>
      </c>
      <c r="M1214">
        <f>Model!M16</f>
        <v>0</v>
      </c>
      <c r="N1214">
        <f>Model!N16</f>
        <v>0</v>
      </c>
      <c r="O1214">
        <f>Model!O16</f>
        <v>0</v>
      </c>
      <c r="P1214">
        <f>Model!P16</f>
        <v>0</v>
      </c>
      <c r="Q1214">
        <f>Model!Q16</f>
        <v>0</v>
      </c>
      <c r="R1214">
        <f>Model!R16</f>
        <v>0</v>
      </c>
      <c r="S1214">
        <f>Model!S16</f>
        <v>0</v>
      </c>
      <c r="T1214">
        <f>Model!T16</f>
        <v>0</v>
      </c>
      <c r="U1214">
        <f>Model!U16</f>
        <v>0</v>
      </c>
      <c r="V1214">
        <f>Model!V16</f>
        <v>0</v>
      </c>
      <c r="W1214">
        <f>Model!W16</f>
        <v>0</v>
      </c>
      <c r="X1214">
        <f>Model!X16</f>
        <v>0</v>
      </c>
      <c r="Y1214">
        <f>Model!Y16</f>
        <v>0</v>
      </c>
      <c r="Z1214">
        <f>Model!Z16</f>
        <v>0</v>
      </c>
      <c r="AA1214">
        <f>Model!AA16</f>
        <v>0</v>
      </c>
      <c r="AB1214">
        <f>Model!AB16</f>
        <v>0</v>
      </c>
      <c r="AC1214">
        <f>Model!AC16</f>
        <v>0</v>
      </c>
      <c r="AD1214">
        <f>Model!AD16</f>
        <v>0</v>
      </c>
      <c r="AE1214">
        <f>Model!AE16</f>
        <v>0</v>
      </c>
      <c r="AF1214">
        <f>Model!AF16</f>
        <v>0</v>
      </c>
      <c r="AG1214">
        <f>Model!AG16</f>
        <v>0</v>
      </c>
      <c r="AH1214">
        <f>Model!AH16</f>
        <v>0</v>
      </c>
      <c r="AI1214">
        <f>Model!AI16</f>
        <v>0</v>
      </c>
      <c r="AJ1214">
        <f>Model!AJ16</f>
        <v>0</v>
      </c>
      <c r="AK1214">
        <f>Model!AK16</f>
        <v>0</v>
      </c>
      <c r="AL1214">
        <f>Model!AL16</f>
        <v>0</v>
      </c>
      <c r="AM1214">
        <f>Model!AM16</f>
        <v>0</v>
      </c>
      <c r="AN1214">
        <f>Model!AN16</f>
        <v>0</v>
      </c>
      <c r="AO1214">
        <f>Model!AO16</f>
        <v>0</v>
      </c>
      <c r="AP1214">
        <f>Model!AP16</f>
        <v>0</v>
      </c>
      <c r="AQ1214">
        <f>Model!AQ16</f>
        <v>0</v>
      </c>
      <c r="AR1214">
        <f>Model!AR16</f>
        <v>0</v>
      </c>
      <c r="AS1214">
        <f>Model!AS16</f>
        <v>0</v>
      </c>
      <c r="AT1214">
        <f>Model!AT16</f>
        <v>0</v>
      </c>
      <c r="AU1214">
        <f>Model!AU16</f>
        <v>0</v>
      </c>
      <c r="AV1214">
        <f>Model!AV16</f>
        <v>0</v>
      </c>
      <c r="AW1214">
        <f>Model!AW16</f>
        <v>0</v>
      </c>
      <c r="AX1214">
        <f>Model!AX16</f>
        <v>0</v>
      </c>
      <c r="AY1214">
        <f>Model!AY16</f>
        <v>0</v>
      </c>
      <c r="AZ1214">
        <f>Model!AZ16</f>
        <v>0</v>
      </c>
      <c r="BA1214">
        <f>Model!BA16</f>
        <v>0</v>
      </c>
      <c r="BB1214">
        <f>Model!BB16</f>
        <v>0</v>
      </c>
      <c r="BC1214">
        <f>Model!BC16</f>
        <v>0</v>
      </c>
      <c r="BD1214">
        <f>Model!BD16</f>
        <v>0</v>
      </c>
    </row>
    <row r="1215" spans="9:56" ht="11.25" customHeight="1">
      <c r="I1215">
        <f>Model!I17</f>
        <v>0</v>
      </c>
      <c r="J1215">
        <f>Model!J17</f>
        <v>0</v>
      </c>
      <c r="K1215">
        <f>Model!K17</f>
        <v>0</v>
      </c>
      <c r="L1215">
        <f>Model!L17</f>
        <v>0</v>
      </c>
      <c r="M1215">
        <f>Model!M17</f>
        <v>0</v>
      </c>
      <c r="N1215">
        <f>Model!N17</f>
        <v>0</v>
      </c>
      <c r="O1215">
        <f>Model!O17</f>
        <v>0</v>
      </c>
      <c r="P1215">
        <f>Model!P17</f>
        <v>0</v>
      </c>
      <c r="Q1215">
        <f>Model!Q17</f>
        <v>0</v>
      </c>
      <c r="R1215">
        <f>Model!R17</f>
        <v>0</v>
      </c>
      <c r="S1215">
        <f>Model!S17</f>
        <v>0</v>
      </c>
      <c r="T1215">
        <f>Model!T17</f>
        <v>0</v>
      </c>
      <c r="U1215">
        <f>Model!U17</f>
        <v>0</v>
      </c>
      <c r="V1215">
        <f>Model!V17</f>
        <v>0</v>
      </c>
      <c r="W1215">
        <f>Model!W17</f>
        <v>0</v>
      </c>
      <c r="X1215">
        <f>Model!X17</f>
        <v>0</v>
      </c>
      <c r="Y1215">
        <f>Model!Y17</f>
        <v>0</v>
      </c>
      <c r="Z1215">
        <f>Model!Z17</f>
        <v>0</v>
      </c>
      <c r="AA1215">
        <f>Model!AA17</f>
        <v>0</v>
      </c>
      <c r="AB1215">
        <f>Model!AB17</f>
        <v>0</v>
      </c>
      <c r="AC1215">
        <f>Model!AC17</f>
        <v>0</v>
      </c>
      <c r="AD1215">
        <f>Model!AD17</f>
        <v>0</v>
      </c>
      <c r="AE1215">
        <f>Model!AE17</f>
        <v>0</v>
      </c>
      <c r="AF1215">
        <f>Model!AF17</f>
        <v>0</v>
      </c>
      <c r="AG1215">
        <f>Model!AG17</f>
        <v>0</v>
      </c>
      <c r="AH1215">
        <f>Model!AH17</f>
        <v>0</v>
      </c>
      <c r="AI1215">
        <f>Model!AI17</f>
        <v>0</v>
      </c>
      <c r="AJ1215">
        <f>Model!AJ17</f>
        <v>0</v>
      </c>
      <c r="AK1215">
        <f>Model!AK17</f>
        <v>0</v>
      </c>
      <c r="AL1215">
        <f>Model!AL17</f>
        <v>0</v>
      </c>
      <c r="AM1215">
        <f>Model!AM17</f>
        <v>0</v>
      </c>
      <c r="AN1215">
        <f>Model!AN17</f>
        <v>0</v>
      </c>
      <c r="AO1215">
        <f>Model!AO17</f>
        <v>0</v>
      </c>
      <c r="AP1215">
        <f>Model!AP17</f>
        <v>0</v>
      </c>
      <c r="AQ1215">
        <f>Model!AQ17</f>
        <v>0</v>
      </c>
      <c r="AR1215">
        <f>Model!AR17</f>
        <v>0</v>
      </c>
      <c r="AS1215">
        <f>Model!AS17</f>
        <v>0</v>
      </c>
      <c r="AT1215">
        <f>Model!AT17</f>
        <v>0</v>
      </c>
      <c r="AU1215">
        <f>Model!AU17</f>
        <v>0</v>
      </c>
      <c r="AV1215">
        <f>Model!AV17</f>
        <v>0</v>
      </c>
      <c r="AW1215">
        <f>Model!AW17</f>
        <v>0</v>
      </c>
      <c r="AX1215">
        <f>Model!AX17</f>
        <v>0</v>
      </c>
      <c r="AY1215">
        <f>Model!AY17</f>
        <v>0</v>
      </c>
      <c r="AZ1215">
        <f>Model!AZ17</f>
        <v>0</v>
      </c>
      <c r="BA1215">
        <f>Model!BA17</f>
        <v>0</v>
      </c>
      <c r="BB1215">
        <f>Model!BB17</f>
        <v>0</v>
      </c>
      <c r="BC1215">
        <f>Model!BC17</f>
        <v>0</v>
      </c>
      <c r="BD1215">
        <f>Model!BD17</f>
        <v>0</v>
      </c>
    </row>
    <row r="1216" spans="9:56" ht="11.25" customHeight="1">
      <c r="I1216" t="str">
        <f>Model!I23</f>
        <v>Total net revenue</v>
      </c>
      <c r="J1216">
        <f>Model!J23</f>
        <v>0</v>
      </c>
      <c r="K1216">
        <f>Model!K23</f>
        <v>0</v>
      </c>
      <c r="L1216">
        <f>Model!L23</f>
        <v>0</v>
      </c>
      <c r="M1216">
        <f>Model!M23</f>
        <v>9.1359999999999992</v>
      </c>
      <c r="N1216">
        <f>Model!N23</f>
        <v>10.726999999999999</v>
      </c>
      <c r="O1216">
        <f>Model!O23</f>
        <v>12.594000000000001</v>
      </c>
      <c r="P1216">
        <f>Model!P23</f>
        <v>15.274000000000001</v>
      </c>
      <c r="Q1216">
        <f>Model!Q23</f>
        <v>16.5</v>
      </c>
      <c r="R1216">
        <f>Model!R23</f>
        <v>19.577999999999999</v>
      </c>
      <c r="S1216">
        <f>Model!S23</f>
        <v>22.302</v>
      </c>
      <c r="T1216">
        <f>Model!T23</f>
        <v>24.905000000000001</v>
      </c>
      <c r="U1216">
        <f>Model!U23</f>
        <v>27.384999999999998</v>
      </c>
      <c r="V1216">
        <f>Model!V23</f>
        <v>32.652999999999999</v>
      </c>
      <c r="W1216">
        <f>Model!W23</f>
        <v>36.371000000000002</v>
      </c>
      <c r="X1216">
        <f>Model!X23</f>
        <v>41.156999999999996</v>
      </c>
      <c r="Y1216">
        <f>Model!Y23</f>
        <v>46.133000000000003</v>
      </c>
      <c r="Z1216">
        <f>Model!Z23</f>
        <v>55.023000000000003</v>
      </c>
      <c r="AA1216">
        <f>Model!AA23</f>
        <v>61.180999999999997</v>
      </c>
      <c r="AB1216">
        <f>Model!AB23</f>
        <v>70.650999999999996</v>
      </c>
      <c r="AC1216">
        <f>Model!AC23</f>
        <v>76.406999999999996</v>
      </c>
      <c r="AD1216">
        <f>Model!AD23</f>
        <v>88.787000000000006</v>
      </c>
      <c r="AE1216">
        <f>Model!AE23</f>
        <v>102.455</v>
      </c>
      <c r="AF1216">
        <f>Model!AF23</f>
        <v>109.887</v>
      </c>
      <c r="AG1216">
        <f>Model!AG23</f>
        <v>111.8</v>
      </c>
      <c r="AH1216">
        <f>Model!AH23</f>
        <v>125.6</v>
      </c>
      <c r="AI1216">
        <f>Model!AI23</f>
        <v>134.6</v>
      </c>
      <c r="AJ1216">
        <f>Model!AJ23</f>
        <v>146.69999999999999</v>
      </c>
      <c r="AK1216">
        <f>Model!AK23</f>
        <v>158.613</v>
      </c>
      <c r="AL1216">
        <f>Model!AL23</f>
        <v>173.428</v>
      </c>
      <c r="AM1216">
        <f>Model!AM23</f>
        <v>186.232</v>
      </c>
      <c r="AN1216">
        <f>Model!AN23</f>
        <v>194.79599999999999</v>
      </c>
      <c r="AO1216">
        <f>Model!AO23</f>
        <v>197.32300000000001</v>
      </c>
      <c r="AP1216">
        <f>Model!AP23</f>
        <v>208.864</v>
      </c>
      <c r="AQ1216">
        <f>Model!AQ23</f>
        <v>222.38</v>
      </c>
      <c r="AR1216">
        <f>Model!AR23</f>
        <v>218.24600000000001</v>
      </c>
      <c r="AS1216">
        <f>Model!AS23</f>
        <v>221.2</v>
      </c>
      <c r="AT1216">
        <f>Model!AT23</f>
        <v>231.4</v>
      </c>
      <c r="AU1216">
        <f>Model!AU23</f>
        <v>248</v>
      </c>
      <c r="AV1216">
        <f>Model!AV23</f>
        <v>259.39999999999998</v>
      </c>
      <c r="AW1216">
        <f>Model!AW23</f>
        <v>262.2</v>
      </c>
      <c r="AX1216">
        <f>Model!AX23</f>
        <v>271</v>
      </c>
      <c r="AY1216">
        <f>Model!AY23</f>
        <v>286.8</v>
      </c>
      <c r="AZ1216">
        <f>Model!AZ23</f>
        <v>296.39999999999998</v>
      </c>
      <c r="BA1216">
        <f>Model!BA23</f>
        <v>298.39999999999998</v>
      </c>
      <c r="BB1216">
        <f>Model!BB23</f>
        <v>307.40000000000003</v>
      </c>
      <c r="BC1216">
        <f>Model!BC23</f>
        <v>322.8</v>
      </c>
      <c r="BD1216">
        <f>Model!BD23</f>
        <v>332</v>
      </c>
    </row>
    <row r="1217" spans="9:56" ht="11.25" customHeight="1">
      <c r="I1217" t="str">
        <f>Model!I24</f>
        <v>Advertising (Direct and resellers)</v>
      </c>
      <c r="J1217">
        <f>Model!J24</f>
        <v>0</v>
      </c>
      <c r="K1217">
        <f>Model!K24</f>
        <v>0</v>
      </c>
      <c r="L1217">
        <f>Model!L24</f>
        <v>0</v>
      </c>
      <c r="M1217">
        <f>Model!M24</f>
        <v>0</v>
      </c>
      <c r="N1217">
        <f>Model!N24</f>
        <v>0</v>
      </c>
      <c r="O1217">
        <f>Model!O24</f>
        <v>0</v>
      </c>
      <c r="P1217">
        <f>Model!P24</f>
        <v>0</v>
      </c>
      <c r="Q1217">
        <f>Model!Q24</f>
        <v>0</v>
      </c>
      <c r="R1217">
        <f>Model!R24</f>
        <v>0</v>
      </c>
      <c r="S1217">
        <f>Model!S24</f>
        <v>0</v>
      </c>
      <c r="T1217">
        <f>Model!T24</f>
        <v>0</v>
      </c>
      <c r="U1217">
        <f>Model!U24</f>
        <v>0</v>
      </c>
      <c r="V1217">
        <f>Model!V24</f>
        <v>0</v>
      </c>
      <c r="W1217">
        <f>Model!W24</f>
        <v>0</v>
      </c>
      <c r="X1217">
        <f>Model!X24</f>
        <v>0</v>
      </c>
      <c r="Y1217">
        <f>Model!Y24</f>
        <v>0</v>
      </c>
      <c r="Z1217">
        <f>Model!Z24</f>
        <v>0</v>
      </c>
      <c r="AA1217">
        <f>Model!AA24</f>
        <v>0</v>
      </c>
      <c r="AB1217">
        <f>Model!AB24</f>
        <v>0</v>
      </c>
      <c r="AC1217">
        <f>Model!AC24</f>
        <v>0</v>
      </c>
      <c r="AD1217">
        <f>Model!AD24</f>
        <v>0</v>
      </c>
      <c r="AE1217">
        <f>Model!AE24</f>
        <v>0</v>
      </c>
      <c r="AF1217">
        <f>Model!AF24</f>
        <v>0</v>
      </c>
      <c r="AG1217">
        <f>Model!AG24</f>
        <v>104.3</v>
      </c>
      <c r="AH1217">
        <f>Model!AH24</f>
        <v>113.5</v>
      </c>
      <c r="AI1217">
        <f>Model!AI24</f>
        <v>121.9</v>
      </c>
      <c r="AJ1217">
        <f>Model!AJ24</f>
        <v>131.69999999999999</v>
      </c>
      <c r="AK1217">
        <f>Model!AK24</f>
        <v>143</v>
      </c>
      <c r="AL1217">
        <f>Model!AL24</f>
        <v>156.69999999999999</v>
      </c>
      <c r="AM1217">
        <f>Model!AM24</f>
        <v>169</v>
      </c>
      <c r="AN1217">
        <f>Model!AN24</f>
        <v>176.5</v>
      </c>
      <c r="AO1217">
        <f>Model!AO24</f>
        <v>177</v>
      </c>
      <c r="AP1217">
        <f>Model!AP24</f>
        <v>186.6</v>
      </c>
      <c r="AQ1217">
        <f>Model!AQ24</f>
        <v>199.6</v>
      </c>
      <c r="AR1217">
        <f>Model!AR24</f>
        <v>208.4</v>
      </c>
      <c r="AS1217">
        <f>Model!AS24</f>
        <v>212</v>
      </c>
      <c r="AT1217">
        <f>Model!AT24</f>
        <v>219.6</v>
      </c>
      <c r="AU1217">
        <f>Model!AU24</f>
        <v>233.6</v>
      </c>
      <c r="AV1217">
        <f>Model!AV24</f>
        <v>242.4</v>
      </c>
      <c r="AW1217">
        <f>Model!AW24</f>
        <v>244</v>
      </c>
      <c r="AX1217">
        <f>Model!AX24</f>
        <v>251.6</v>
      </c>
      <c r="AY1217">
        <f>Model!AY24</f>
        <v>266.10000000000002</v>
      </c>
      <c r="AZ1217">
        <f>Model!AZ24</f>
        <v>274.39999999999998</v>
      </c>
      <c r="BA1217">
        <f>Model!BA24</f>
        <v>275</v>
      </c>
      <c r="BB1217">
        <f>Model!BB24</f>
        <v>282.60000000000002</v>
      </c>
      <c r="BC1217">
        <f>Model!BC24</f>
        <v>296.60000000000002</v>
      </c>
      <c r="BD1217">
        <f>Model!BD24</f>
        <v>304.39999999999998</v>
      </c>
    </row>
    <row r="1218" spans="9:56" ht="11.25" customHeight="1">
      <c r="I1218" t="str">
        <f>Model!I25</f>
        <v>Transactions (EAT24)</v>
      </c>
      <c r="J1218">
        <f>Model!J25</f>
        <v>0</v>
      </c>
      <c r="K1218">
        <f>Model!K25</f>
        <v>0</v>
      </c>
      <c r="L1218">
        <f>Model!L25</f>
        <v>0</v>
      </c>
      <c r="M1218">
        <f>Model!M25</f>
        <v>0</v>
      </c>
      <c r="N1218">
        <f>Model!N25</f>
        <v>0</v>
      </c>
      <c r="O1218">
        <f>Model!O25</f>
        <v>0</v>
      </c>
      <c r="P1218">
        <f>Model!P25</f>
        <v>0</v>
      </c>
      <c r="Q1218">
        <f>Model!Q25</f>
        <v>0</v>
      </c>
      <c r="R1218">
        <f>Model!R25</f>
        <v>0</v>
      </c>
      <c r="S1218">
        <f>Model!S25</f>
        <v>0</v>
      </c>
      <c r="T1218">
        <f>Model!T25</f>
        <v>0</v>
      </c>
      <c r="U1218">
        <f>Model!U25</f>
        <v>0</v>
      </c>
      <c r="V1218">
        <f>Model!V25</f>
        <v>0</v>
      </c>
      <c r="W1218">
        <f>Model!W25</f>
        <v>0</v>
      </c>
      <c r="X1218">
        <f>Model!X25</f>
        <v>0</v>
      </c>
      <c r="Y1218">
        <f>Model!Y25</f>
        <v>0</v>
      </c>
      <c r="Z1218">
        <f>Model!Z25</f>
        <v>0</v>
      </c>
      <c r="AA1218">
        <f>Model!AA25</f>
        <v>0</v>
      </c>
      <c r="AB1218">
        <f>Model!AB25</f>
        <v>0</v>
      </c>
      <c r="AC1218">
        <f>Model!AC25</f>
        <v>0</v>
      </c>
      <c r="AD1218">
        <f>Model!AD25</f>
        <v>0</v>
      </c>
      <c r="AE1218">
        <f>Model!AE25</f>
        <v>0</v>
      </c>
      <c r="AF1218">
        <f>Model!AF25</f>
        <v>0</v>
      </c>
      <c r="AG1218">
        <f>Model!AG25</f>
        <v>6.6</v>
      </c>
      <c r="AH1218">
        <f>Model!AH25</f>
        <v>11.3</v>
      </c>
      <c r="AI1218">
        <f>Model!AI25</f>
        <v>12</v>
      </c>
      <c r="AJ1218">
        <f>Model!AJ25</f>
        <v>14</v>
      </c>
      <c r="AK1218">
        <f>Model!AK25</f>
        <v>14.5</v>
      </c>
      <c r="AL1218">
        <f>Model!AL25</f>
        <v>15.5</v>
      </c>
      <c r="AM1218">
        <f>Model!AM25</f>
        <v>15.9</v>
      </c>
      <c r="AN1218">
        <f>Model!AN25</f>
        <v>16.600000000000001</v>
      </c>
      <c r="AO1218">
        <f>Model!AO25</f>
        <v>18.100000000000001</v>
      </c>
      <c r="AP1218">
        <f>Model!AP25</f>
        <v>18.399999999999999</v>
      </c>
      <c r="AQ1218">
        <f>Model!AQ25</f>
        <v>18.5</v>
      </c>
      <c r="AR1218">
        <f>Model!AR25</f>
        <v>5.2</v>
      </c>
      <c r="AS1218">
        <f>Model!AS25</f>
        <v>4</v>
      </c>
      <c r="AT1218">
        <f>Model!AT25</f>
        <v>6</v>
      </c>
      <c r="AU1218">
        <f>Model!AU25</f>
        <v>8</v>
      </c>
      <c r="AV1218">
        <f>Model!AV25</f>
        <v>10</v>
      </c>
      <c r="AW1218">
        <f>Model!AW25</f>
        <v>10.6</v>
      </c>
      <c r="AX1218">
        <f>Model!AX25</f>
        <v>11.2</v>
      </c>
      <c r="AY1218">
        <f>Model!AY25</f>
        <v>11.899999999999999</v>
      </c>
      <c r="AZ1218">
        <f>Model!AZ25</f>
        <v>12.599999999999998</v>
      </c>
      <c r="BA1218">
        <f>Model!BA25</f>
        <v>13.399999999999999</v>
      </c>
      <c r="BB1218">
        <f>Model!BB25</f>
        <v>14.2</v>
      </c>
      <c r="BC1218">
        <f>Model!BC25</f>
        <v>15</v>
      </c>
      <c r="BD1218">
        <f>Model!BD25</f>
        <v>15.8</v>
      </c>
    </row>
    <row r="1219" spans="9:56" ht="11.25" customHeight="1">
      <c r="I1219" t="str">
        <f>Model!I26</f>
        <v>Other Services (Reservations, Nowait)</v>
      </c>
      <c r="J1219">
        <f>Model!J26</f>
        <v>0</v>
      </c>
      <c r="K1219">
        <f>Model!K26</f>
        <v>0</v>
      </c>
      <c r="L1219">
        <f>Model!L26</f>
        <v>0</v>
      </c>
      <c r="M1219">
        <f>Model!M26</f>
        <v>0</v>
      </c>
      <c r="N1219">
        <f>Model!N26</f>
        <v>0</v>
      </c>
      <c r="O1219">
        <f>Model!O26</f>
        <v>0</v>
      </c>
      <c r="P1219">
        <f>Model!P26</f>
        <v>0</v>
      </c>
      <c r="Q1219">
        <f>Model!Q26</f>
        <v>0</v>
      </c>
      <c r="R1219">
        <f>Model!R26</f>
        <v>0</v>
      </c>
      <c r="S1219">
        <f>Model!S26</f>
        <v>0</v>
      </c>
      <c r="T1219">
        <f>Model!T26</f>
        <v>0</v>
      </c>
      <c r="U1219">
        <f>Model!U26</f>
        <v>0</v>
      </c>
      <c r="V1219">
        <f>Model!V26</f>
        <v>0</v>
      </c>
      <c r="W1219">
        <f>Model!W26</f>
        <v>0</v>
      </c>
      <c r="X1219">
        <f>Model!X26</f>
        <v>0</v>
      </c>
      <c r="Y1219">
        <f>Model!Y26</f>
        <v>0</v>
      </c>
      <c r="Z1219">
        <f>Model!Z26</f>
        <v>0</v>
      </c>
      <c r="AA1219">
        <f>Model!AA26</f>
        <v>0</v>
      </c>
      <c r="AB1219">
        <f>Model!AB26</f>
        <v>0</v>
      </c>
      <c r="AC1219">
        <f>Model!AC26</f>
        <v>0</v>
      </c>
      <c r="AD1219">
        <f>Model!AD26</f>
        <v>0</v>
      </c>
      <c r="AE1219">
        <f>Model!AE26</f>
        <v>0</v>
      </c>
      <c r="AF1219">
        <f>Model!AF26</f>
        <v>0</v>
      </c>
      <c r="AG1219">
        <f>Model!AG26</f>
        <v>0.9</v>
      </c>
      <c r="AH1219">
        <f>Model!AH26</f>
        <v>0.8</v>
      </c>
      <c r="AI1219">
        <f>Model!AI26</f>
        <v>0.7</v>
      </c>
      <c r="AJ1219">
        <f>Model!AJ26</f>
        <v>1</v>
      </c>
      <c r="AK1219">
        <f>Model!AK26</f>
        <v>1.1000000000000001</v>
      </c>
      <c r="AL1219">
        <f>Model!AL26</f>
        <v>1.2</v>
      </c>
      <c r="AM1219">
        <f>Model!AM26</f>
        <v>1.4</v>
      </c>
      <c r="AN1219">
        <f>Model!AN26</f>
        <v>1.7</v>
      </c>
      <c r="AO1219">
        <f>Model!AO26</f>
        <v>2.2000000000000002</v>
      </c>
      <c r="AP1219">
        <f>Model!AP26</f>
        <v>3.8</v>
      </c>
      <c r="AQ1219">
        <f>Model!AQ26</f>
        <v>4.3</v>
      </c>
      <c r="AR1219">
        <f>Model!AR26</f>
        <v>4.5999999999999996</v>
      </c>
      <c r="AS1219">
        <f>Model!AS26</f>
        <v>5.1999999999999993</v>
      </c>
      <c r="AT1219">
        <f>Model!AT26</f>
        <v>5.7999999999999989</v>
      </c>
      <c r="AU1219">
        <f>Model!AU26</f>
        <v>6.3999999999999986</v>
      </c>
      <c r="AV1219">
        <f>Model!AV26</f>
        <v>6.9999999999999982</v>
      </c>
      <c r="AW1219">
        <f>Model!AW26</f>
        <v>7.5999999999999979</v>
      </c>
      <c r="AX1219">
        <f>Model!AX26</f>
        <v>8.1999999999999975</v>
      </c>
      <c r="AY1219">
        <f>Model!AY26</f>
        <v>8.7999999999999972</v>
      </c>
      <c r="AZ1219">
        <f>Model!AZ26</f>
        <v>9.3999999999999968</v>
      </c>
      <c r="BA1219">
        <f>Model!BA26</f>
        <v>9.9999999999999964</v>
      </c>
      <c r="BB1219">
        <f>Model!BB26</f>
        <v>10.599999999999996</v>
      </c>
      <c r="BC1219">
        <f>Model!BC26</f>
        <v>11.199999999999996</v>
      </c>
      <c r="BD1219">
        <f>Model!BD26</f>
        <v>11.799999999999995</v>
      </c>
    </row>
    <row r="1220" spans="9:56" ht="11.25" customHeight="1">
      <c r="I1220">
        <f>Model!I27</f>
        <v>0</v>
      </c>
      <c r="J1220">
        <f>Model!J27</f>
        <v>0</v>
      </c>
      <c r="K1220">
        <f>Model!K27</f>
        <v>0</v>
      </c>
      <c r="L1220">
        <f>Model!L27</f>
        <v>0</v>
      </c>
      <c r="M1220">
        <f>Model!M27</f>
        <v>0</v>
      </c>
      <c r="N1220">
        <f>Model!N27</f>
        <v>0</v>
      </c>
      <c r="O1220">
        <f>Model!O27</f>
        <v>0</v>
      </c>
      <c r="P1220">
        <f>Model!P27</f>
        <v>0</v>
      </c>
      <c r="Q1220">
        <f>Model!Q27</f>
        <v>0</v>
      </c>
      <c r="R1220">
        <f>Model!R27</f>
        <v>0</v>
      </c>
      <c r="S1220">
        <f>Model!S27</f>
        <v>0</v>
      </c>
      <c r="T1220">
        <f>Model!T27</f>
        <v>0</v>
      </c>
      <c r="U1220">
        <f>Model!U27</f>
        <v>0</v>
      </c>
      <c r="V1220">
        <f>Model!V27</f>
        <v>0</v>
      </c>
      <c r="W1220">
        <f>Model!W27</f>
        <v>0</v>
      </c>
      <c r="X1220">
        <f>Model!X27</f>
        <v>0</v>
      </c>
      <c r="Y1220">
        <f>Model!Y27</f>
        <v>0</v>
      </c>
      <c r="Z1220">
        <f>Model!Z27</f>
        <v>0</v>
      </c>
      <c r="AA1220">
        <f>Model!AA27</f>
        <v>0</v>
      </c>
      <c r="AB1220">
        <f>Model!AB27</f>
        <v>0</v>
      </c>
      <c r="AC1220">
        <f>Model!AC27</f>
        <v>0</v>
      </c>
      <c r="AD1220">
        <f>Model!AD27</f>
        <v>0</v>
      </c>
      <c r="AE1220">
        <f>Model!AE27</f>
        <v>0</v>
      </c>
      <c r="AF1220">
        <f>Model!AF27</f>
        <v>0</v>
      </c>
      <c r="AG1220">
        <f>Model!AG27</f>
        <v>0</v>
      </c>
      <c r="AH1220">
        <f>Model!AH27</f>
        <v>0</v>
      </c>
      <c r="AI1220">
        <f>Model!AI27</f>
        <v>0</v>
      </c>
      <c r="AJ1220">
        <f>Model!AJ27</f>
        <v>0</v>
      </c>
      <c r="AK1220">
        <f>Model!AK27</f>
        <v>0</v>
      </c>
      <c r="AL1220">
        <f>Model!AL27</f>
        <v>0</v>
      </c>
      <c r="AM1220">
        <f>Model!AM27</f>
        <v>0</v>
      </c>
      <c r="AN1220">
        <f>Model!AN27</f>
        <v>0</v>
      </c>
      <c r="AO1220">
        <f>Model!AO27</f>
        <v>0</v>
      </c>
      <c r="AP1220">
        <f>Model!AP27</f>
        <v>0</v>
      </c>
      <c r="AQ1220">
        <f>Model!AQ27</f>
        <v>0</v>
      </c>
      <c r="AR1220">
        <f>Model!AR27</f>
        <v>0</v>
      </c>
      <c r="AS1220">
        <f>Model!AS27</f>
        <v>0</v>
      </c>
      <c r="AT1220">
        <f>Model!AT27</f>
        <v>0</v>
      </c>
      <c r="AU1220">
        <f>Model!AU27</f>
        <v>0</v>
      </c>
      <c r="AV1220">
        <f>Model!AV27</f>
        <v>0</v>
      </c>
      <c r="AW1220">
        <f>Model!AW27</f>
        <v>0</v>
      </c>
      <c r="AX1220">
        <f>Model!AX27</f>
        <v>0</v>
      </c>
      <c r="AY1220">
        <f>Model!AY27</f>
        <v>0</v>
      </c>
      <c r="AZ1220">
        <f>Model!AZ27</f>
        <v>0</v>
      </c>
      <c r="BA1220">
        <f>Model!BA27</f>
        <v>0</v>
      </c>
      <c r="BB1220">
        <f>Model!BB27</f>
        <v>0</v>
      </c>
      <c r="BC1220">
        <f>Model!BC27</f>
        <v>0</v>
      </c>
      <c r="BD1220">
        <f>Model!BD27</f>
        <v>0</v>
      </c>
    </row>
    <row r="1221" spans="9:56" ht="11.25" customHeight="1">
      <c r="I1221" t="str">
        <f>Model!I28</f>
        <v>Cost of revenue (ex-SBC/D&amp;A)</v>
      </c>
      <c r="J1221">
        <f>Model!J28</f>
        <v>0</v>
      </c>
      <c r="K1221">
        <f>Model!K28</f>
        <v>0</v>
      </c>
      <c r="L1221">
        <f>Model!L28</f>
        <v>0</v>
      </c>
      <c r="M1221">
        <f>Model!M28</f>
        <v>0.56699999999999995</v>
      </c>
      <c r="N1221">
        <f>Model!N28</f>
        <v>0.71299999999999997</v>
      </c>
      <c r="O1221">
        <f>Model!O28</f>
        <v>0.87</v>
      </c>
      <c r="P1221">
        <f>Model!P28</f>
        <v>0.96099999999999997</v>
      </c>
      <c r="Q1221">
        <f>Model!Q28</f>
        <v>1.2670000000000001</v>
      </c>
      <c r="R1221">
        <f>Model!R28</f>
        <v>1.274</v>
      </c>
      <c r="S1221">
        <f>Model!S28</f>
        <v>1.524</v>
      </c>
      <c r="T1221">
        <f>Model!T28</f>
        <v>1.8160000000000001</v>
      </c>
      <c r="U1221">
        <f>Model!U28</f>
        <v>2.1029999999999998</v>
      </c>
      <c r="V1221">
        <f>Model!V28</f>
        <v>2.2629999999999999</v>
      </c>
      <c r="W1221">
        <f>Model!W28</f>
        <v>2.4739999999999998</v>
      </c>
      <c r="X1221">
        <f>Model!X28</f>
        <v>2.9650000000000003</v>
      </c>
      <c r="Y1221">
        <f>Model!Y28</f>
        <v>3.2679999999999998</v>
      </c>
      <c r="Z1221">
        <f>Model!Z28</f>
        <v>3.9129999999999998</v>
      </c>
      <c r="AA1221">
        <f>Model!AA28</f>
        <v>4.173</v>
      </c>
      <c r="AB1221">
        <f>Model!AB28</f>
        <v>4.7860000000000005</v>
      </c>
      <c r="AC1221">
        <f>Model!AC28</f>
        <v>4.9269999999999996</v>
      </c>
      <c r="AD1221">
        <f>Model!AD28</f>
        <v>5.726</v>
      </c>
      <c r="AE1221">
        <f>Model!AE28</f>
        <v>5.9210000000000003</v>
      </c>
      <c r="AF1221">
        <f>Model!AF28</f>
        <v>7.0789999999999997</v>
      </c>
      <c r="AG1221">
        <f>Model!AG28</f>
        <v>8.5749999999999993</v>
      </c>
      <c r="AH1221">
        <f>Model!AH28</f>
        <v>12.835000000000001</v>
      </c>
      <c r="AI1221">
        <f>Model!AI28</f>
        <v>13.824</v>
      </c>
      <c r="AJ1221">
        <f>Model!AJ28</f>
        <v>14.664</v>
      </c>
      <c r="AK1221">
        <f>Model!AK28</f>
        <v>14.677</v>
      </c>
      <c r="AL1221">
        <f>Model!AL28</f>
        <v>14.68</v>
      </c>
      <c r="AM1221">
        <f>Model!AM28</f>
        <v>13.83</v>
      </c>
      <c r="AN1221">
        <f>Model!AN28</f>
        <v>14.729999999999999</v>
      </c>
      <c r="AO1221">
        <f>Model!AO28</f>
        <v>15.933000000000002</v>
      </c>
      <c r="AP1221">
        <f>Model!AP28</f>
        <v>17.099</v>
      </c>
      <c r="AQ1221">
        <f>Model!AQ28</f>
        <v>18.319000000000003</v>
      </c>
      <c r="AR1221">
        <f>Model!AR28</f>
        <v>15.157</v>
      </c>
      <c r="AS1221">
        <f>Model!AS28</f>
        <v>17.197367043882355</v>
      </c>
      <c r="AT1221">
        <f>Model!AT28</f>
        <v>18.018347257545578</v>
      </c>
      <c r="AU1221">
        <f>Model!AU28</f>
        <v>19.189499055670481</v>
      </c>
      <c r="AV1221">
        <f>Model!AV28</f>
        <v>17.236910471669582</v>
      </c>
      <c r="AW1221">
        <f>Model!AW28</f>
        <v>19.860544118019682</v>
      </c>
      <c r="AX1221">
        <f>Model!AX28</f>
        <v>20.559867358664007</v>
      </c>
      <c r="AY1221">
        <f>Model!AY28</f>
        <v>21.618127133735054</v>
      </c>
      <c r="AZ1221">
        <f>Model!AZ28</f>
        <v>19.102729158839104</v>
      </c>
      <c r="BA1221">
        <f>Model!BA28</f>
        <v>22.005741437136052</v>
      </c>
      <c r="BB1221">
        <f>Model!BB28</f>
        <v>22.706614118277919</v>
      </c>
      <c r="BC1221">
        <f>Model!BC28</f>
        <v>23.686099577300126</v>
      </c>
      <c r="BD1221">
        <f>Model!BD28</f>
        <v>20.733119030818433</v>
      </c>
    </row>
    <row r="1222" spans="9:56" ht="11.25" customHeight="1">
      <c r="I1222" t="str">
        <f>Model!I29</f>
        <v>Gross profit</v>
      </c>
      <c r="J1222">
        <f>Model!J29</f>
        <v>0</v>
      </c>
      <c r="K1222">
        <f>Model!K29</f>
        <v>0</v>
      </c>
      <c r="L1222">
        <f>Model!L29</f>
        <v>0</v>
      </c>
      <c r="M1222">
        <f>Model!M29</f>
        <v>8.5689999999999991</v>
      </c>
      <c r="N1222">
        <f>Model!N29</f>
        <v>10.013999999999999</v>
      </c>
      <c r="O1222">
        <f>Model!O29</f>
        <v>11.724000000000002</v>
      </c>
      <c r="P1222">
        <f>Model!P29</f>
        <v>14.313000000000001</v>
      </c>
      <c r="Q1222">
        <f>Model!Q29</f>
        <v>15.233000000000001</v>
      </c>
      <c r="R1222">
        <f>Model!R29</f>
        <v>18.303999999999998</v>
      </c>
      <c r="S1222">
        <f>Model!S29</f>
        <v>20.777999999999999</v>
      </c>
      <c r="T1222">
        <f>Model!T29</f>
        <v>23.089000000000002</v>
      </c>
      <c r="U1222">
        <f>Model!U29</f>
        <v>25.281999999999996</v>
      </c>
      <c r="V1222">
        <f>Model!V29</f>
        <v>30.39</v>
      </c>
      <c r="W1222">
        <f>Model!W29</f>
        <v>33.897000000000006</v>
      </c>
      <c r="X1222">
        <f>Model!X29</f>
        <v>38.191999999999993</v>
      </c>
      <c r="Y1222">
        <f>Model!Y29</f>
        <v>42.865000000000002</v>
      </c>
      <c r="Z1222">
        <f>Model!Z29</f>
        <v>51.110000000000007</v>
      </c>
      <c r="AA1222">
        <f>Model!AA29</f>
        <v>57.007999999999996</v>
      </c>
      <c r="AB1222">
        <f>Model!AB29</f>
        <v>65.864999999999995</v>
      </c>
      <c r="AC1222">
        <f>Model!AC29</f>
        <v>71.47999999999999</v>
      </c>
      <c r="AD1222">
        <f>Model!AD29</f>
        <v>83.061000000000007</v>
      </c>
      <c r="AE1222">
        <f>Model!AE29</f>
        <v>96.533999999999992</v>
      </c>
      <c r="AF1222">
        <f>Model!AF29</f>
        <v>102.80800000000001</v>
      </c>
      <c r="AG1222">
        <f>Model!AG29</f>
        <v>103.22499999999999</v>
      </c>
      <c r="AH1222">
        <f>Model!AH29</f>
        <v>112.76499999999999</v>
      </c>
      <c r="AI1222">
        <f>Model!AI29</f>
        <v>120.776</v>
      </c>
      <c r="AJ1222">
        <f>Model!AJ29</f>
        <v>132.036</v>
      </c>
      <c r="AK1222">
        <f>Model!AK29</f>
        <v>143.93600000000001</v>
      </c>
      <c r="AL1222">
        <f>Model!AL29</f>
        <v>158.74799999999999</v>
      </c>
      <c r="AM1222">
        <f>Model!AM29</f>
        <v>172.40199999999999</v>
      </c>
      <c r="AN1222">
        <f>Model!AN29</f>
        <v>180.066</v>
      </c>
      <c r="AO1222">
        <f>Model!AO29</f>
        <v>181.39000000000001</v>
      </c>
      <c r="AP1222">
        <f>Model!AP29</f>
        <v>191.76500000000001</v>
      </c>
      <c r="AQ1222">
        <f>Model!AQ29</f>
        <v>204.06099999999998</v>
      </c>
      <c r="AR1222">
        <f>Model!AR29</f>
        <v>203.089</v>
      </c>
      <c r="AS1222">
        <f>Model!AS29</f>
        <v>204.00263295611762</v>
      </c>
      <c r="AT1222">
        <f>Model!AT29</f>
        <v>213.38165274245443</v>
      </c>
      <c r="AU1222">
        <f>Model!AU29</f>
        <v>228.81050094432953</v>
      </c>
      <c r="AV1222">
        <f>Model!AV29</f>
        <v>242.1630895283304</v>
      </c>
      <c r="AW1222">
        <f>Model!AW29</f>
        <v>242.33945588198031</v>
      </c>
      <c r="AX1222">
        <f>Model!AX29</f>
        <v>250.44013264133599</v>
      </c>
      <c r="AY1222">
        <f>Model!AY29</f>
        <v>265.18187286626494</v>
      </c>
      <c r="AZ1222">
        <f>Model!AZ29</f>
        <v>277.29727084116087</v>
      </c>
      <c r="BA1222">
        <f>Model!BA29</f>
        <v>276.39425856286391</v>
      </c>
      <c r="BB1222">
        <f>Model!BB29</f>
        <v>284.69338588172212</v>
      </c>
      <c r="BC1222">
        <f>Model!BC29</f>
        <v>299.11390042269988</v>
      </c>
      <c r="BD1222">
        <f>Model!BD29</f>
        <v>311.26688096918156</v>
      </c>
    </row>
    <row r="1223" spans="9:56" ht="11.25" customHeight="1">
      <c r="I1223" t="str">
        <f>Model!I30</f>
        <v>Gross margin</v>
      </c>
      <c r="J1223">
        <f>Model!J30</f>
        <v>0</v>
      </c>
      <c r="K1223">
        <f>Model!K30</f>
        <v>0</v>
      </c>
      <c r="L1223">
        <f>Model!L30</f>
        <v>0</v>
      </c>
      <c r="M1223">
        <f>Model!M30</f>
        <v>0.93793782837127848</v>
      </c>
      <c r="N1223">
        <f>Model!N30</f>
        <v>0.93353220844597751</v>
      </c>
      <c r="O1223">
        <f>Model!O30</f>
        <v>0.93091948546927117</v>
      </c>
      <c r="P1223">
        <f>Model!P30</f>
        <v>0.93708262406704201</v>
      </c>
      <c r="Q1223">
        <f>Model!Q30</f>
        <v>0.92321212121212126</v>
      </c>
      <c r="R1223">
        <f>Model!R30</f>
        <v>0.93492695883134125</v>
      </c>
      <c r="S1223">
        <f>Model!S30</f>
        <v>0.93166532149582992</v>
      </c>
      <c r="T1223">
        <f>Model!T30</f>
        <v>0.92708291507729379</v>
      </c>
      <c r="U1223">
        <f>Model!U30</f>
        <v>0.92320613474529845</v>
      </c>
      <c r="V1223">
        <f>Model!V30</f>
        <v>0.93069549505405325</v>
      </c>
      <c r="W1223">
        <f>Model!W30</f>
        <v>0.93197877429820475</v>
      </c>
      <c r="X1223">
        <f>Model!X30</f>
        <v>0.92795879194304731</v>
      </c>
      <c r="Y1223">
        <f>Model!Y30</f>
        <v>0.92916133787093835</v>
      </c>
      <c r="Z1223">
        <f>Model!Z30</f>
        <v>0.92888428475364859</v>
      </c>
      <c r="AA1223">
        <f>Model!AA30</f>
        <v>0.93179254997466532</v>
      </c>
      <c r="AB1223">
        <f>Model!AB30</f>
        <v>0.93225856675772456</v>
      </c>
      <c r="AC1223">
        <f>Model!AC30</f>
        <v>0.93551637938932286</v>
      </c>
      <c r="AD1223">
        <f>Model!AD30</f>
        <v>0.93550857670604937</v>
      </c>
      <c r="AE1223">
        <f>Model!AE30</f>
        <v>0.94220877458396368</v>
      </c>
      <c r="AF1223">
        <f>Model!AF30</f>
        <v>0.93557927689353615</v>
      </c>
      <c r="AG1223">
        <f>Model!AG30</f>
        <v>0.92330053667262968</v>
      </c>
      <c r="AH1223">
        <f>Model!AH30</f>
        <v>0.8978105095541401</v>
      </c>
      <c r="AI1223">
        <f>Model!AI30</f>
        <v>0.89729569093610695</v>
      </c>
      <c r="AJ1223">
        <f>Model!AJ30</f>
        <v>0.90004089979550106</v>
      </c>
      <c r="AK1223">
        <f>Model!AK30</f>
        <v>0.90746660109827071</v>
      </c>
      <c r="AL1223">
        <f>Model!AL30</f>
        <v>0.91535392208870536</v>
      </c>
      <c r="AM1223">
        <f>Model!AM30</f>
        <v>0.92573778942394425</v>
      </c>
      <c r="AN1223">
        <f>Model!AN30</f>
        <v>0.92438243085073624</v>
      </c>
      <c r="AO1223">
        <f>Model!AO30</f>
        <v>0.91925421770396765</v>
      </c>
      <c r="AP1223">
        <f>Model!AP30</f>
        <v>0.91813333077983761</v>
      </c>
      <c r="AQ1223">
        <f>Model!AQ30</f>
        <v>0.91762298767874806</v>
      </c>
      <c r="AR1223">
        <f>Model!AR30</f>
        <v>0.93055084629271556</v>
      </c>
      <c r="AS1223">
        <f>Model!AS30</f>
        <v>0.92225421770396765</v>
      </c>
      <c r="AT1223">
        <f>Model!AT30</f>
        <v>0.92213333077983761</v>
      </c>
      <c r="AU1223">
        <f>Model!AU30</f>
        <v>0.92262298767874806</v>
      </c>
      <c r="AV1223">
        <f>Model!AV30</f>
        <v>0.93355084629271556</v>
      </c>
      <c r="AW1223">
        <f>Model!AW30</f>
        <v>0.92425421770396765</v>
      </c>
      <c r="AX1223">
        <f>Model!AX30</f>
        <v>0.92413333077983761</v>
      </c>
      <c r="AY1223">
        <f>Model!AY30</f>
        <v>0.92462298767874795</v>
      </c>
      <c r="AZ1223">
        <f>Model!AZ30</f>
        <v>0.93555084629271557</v>
      </c>
      <c r="BA1223">
        <f>Model!BA30</f>
        <v>0.92625421770396765</v>
      </c>
      <c r="BB1223">
        <f>Model!BB30</f>
        <v>0.92613333077983762</v>
      </c>
      <c r="BC1223">
        <f>Model!BC30</f>
        <v>0.92662298767874807</v>
      </c>
      <c r="BD1223">
        <f>Model!BD30</f>
        <v>0.93755084629271557</v>
      </c>
    </row>
    <row r="1224" spans="9:56" ht="11.25" customHeight="1">
      <c r="I1224">
        <f>Model!I31</f>
        <v>0</v>
      </c>
      <c r="J1224">
        <f>Model!J31</f>
        <v>0</v>
      </c>
      <c r="K1224">
        <f>Model!K31</f>
        <v>0</v>
      </c>
      <c r="L1224">
        <f>Model!L31</f>
        <v>0</v>
      </c>
      <c r="M1224">
        <f>Model!M31</f>
        <v>0</v>
      </c>
      <c r="N1224">
        <f>Model!N31</f>
        <v>0</v>
      </c>
      <c r="O1224">
        <f>Model!O31</f>
        <v>0</v>
      </c>
      <c r="P1224">
        <f>Model!P31</f>
        <v>0</v>
      </c>
      <c r="Q1224">
        <f>Model!Q31</f>
        <v>0</v>
      </c>
      <c r="R1224">
        <f>Model!R31</f>
        <v>0</v>
      </c>
      <c r="S1224">
        <f>Model!S31</f>
        <v>0</v>
      </c>
      <c r="T1224">
        <f>Model!T31</f>
        <v>0</v>
      </c>
      <c r="U1224">
        <f>Model!U31</f>
        <v>0</v>
      </c>
      <c r="V1224">
        <f>Model!V31</f>
        <v>0</v>
      </c>
      <c r="W1224">
        <f>Model!W31</f>
        <v>0</v>
      </c>
      <c r="X1224">
        <f>Model!X31</f>
        <v>0</v>
      </c>
      <c r="Y1224">
        <f>Model!Y31</f>
        <v>0</v>
      </c>
      <c r="Z1224">
        <f>Model!Z31</f>
        <v>0</v>
      </c>
      <c r="AA1224">
        <f>Model!AA31</f>
        <v>0</v>
      </c>
      <c r="AB1224">
        <f>Model!AB31</f>
        <v>0</v>
      </c>
      <c r="AC1224">
        <f>Model!AC31</f>
        <v>0</v>
      </c>
      <c r="AD1224">
        <f>Model!AD31</f>
        <v>0</v>
      </c>
      <c r="AE1224">
        <f>Model!AE31</f>
        <v>0</v>
      </c>
      <c r="AF1224">
        <f>Model!AF31</f>
        <v>0</v>
      </c>
      <c r="AG1224">
        <f>Model!AG31</f>
        <v>0</v>
      </c>
      <c r="AH1224">
        <f>Model!AH31</f>
        <v>0</v>
      </c>
      <c r="AI1224">
        <f>Model!AI31</f>
        <v>0</v>
      </c>
      <c r="AJ1224">
        <f>Model!AJ31</f>
        <v>0</v>
      </c>
      <c r="AK1224">
        <f>Model!AK31</f>
        <v>0</v>
      </c>
      <c r="AL1224">
        <f>Model!AL31</f>
        <v>0</v>
      </c>
      <c r="AM1224">
        <f>Model!AM31</f>
        <v>0</v>
      </c>
      <c r="AN1224">
        <f>Model!AN31</f>
        <v>0</v>
      </c>
      <c r="AO1224">
        <f>Model!AO31</f>
        <v>0</v>
      </c>
      <c r="AP1224">
        <f>Model!AP31</f>
        <v>0</v>
      </c>
      <c r="AQ1224">
        <f>Model!AQ31</f>
        <v>0</v>
      </c>
      <c r="AR1224">
        <f>Model!AR31</f>
        <v>0</v>
      </c>
      <c r="AS1224">
        <f>Model!AS31</f>
        <v>0</v>
      </c>
      <c r="AT1224">
        <f>Model!AT31</f>
        <v>0</v>
      </c>
      <c r="AU1224">
        <f>Model!AU31</f>
        <v>0</v>
      </c>
      <c r="AV1224">
        <f>Model!AV31</f>
        <v>0</v>
      </c>
      <c r="AW1224">
        <f>Model!AW31</f>
        <v>0</v>
      </c>
      <c r="AX1224">
        <f>Model!AX31</f>
        <v>0</v>
      </c>
      <c r="AY1224">
        <f>Model!AY31</f>
        <v>0</v>
      </c>
      <c r="AZ1224">
        <f>Model!AZ31</f>
        <v>0</v>
      </c>
      <c r="BA1224">
        <f>Model!BA31</f>
        <v>0</v>
      </c>
      <c r="BB1224">
        <f>Model!BB31</f>
        <v>0</v>
      </c>
      <c r="BC1224">
        <f>Model!BC31</f>
        <v>0</v>
      </c>
      <c r="BD1224">
        <f>Model!BD31</f>
        <v>0</v>
      </c>
    </row>
    <row r="1225" spans="9:56" ht="11.25" customHeight="1">
      <c r="I1225" t="str">
        <f>Model!I32</f>
        <v>Sales and marketing (ex-SBC)</v>
      </c>
      <c r="J1225">
        <f>Model!J32</f>
        <v>0</v>
      </c>
      <c r="K1225">
        <f>Model!K32</f>
        <v>0</v>
      </c>
      <c r="L1225">
        <f>Model!L32</f>
        <v>0</v>
      </c>
      <c r="M1225">
        <f>Model!M32</f>
        <v>6.5660000000000007</v>
      </c>
      <c r="N1225">
        <f>Model!N32</f>
        <v>7.7779999999999996</v>
      </c>
      <c r="O1225">
        <f>Model!O32</f>
        <v>9.3360000000000003</v>
      </c>
      <c r="P1225">
        <f>Model!P32</f>
        <v>9.577</v>
      </c>
      <c r="Q1225">
        <f>Model!Q32</f>
        <v>11</v>
      </c>
      <c r="R1225">
        <f>Model!R32</f>
        <v>12.065999999999999</v>
      </c>
      <c r="S1225">
        <f>Model!S32</f>
        <v>14.338000000000001</v>
      </c>
      <c r="T1225">
        <f>Model!T32</f>
        <v>15.528</v>
      </c>
      <c r="U1225">
        <f>Model!U32</f>
        <v>17.646000000000001</v>
      </c>
      <c r="V1225">
        <f>Model!V32</f>
        <v>19.437999999999999</v>
      </c>
      <c r="W1225">
        <f>Model!W32</f>
        <v>20.149999999999999</v>
      </c>
      <c r="X1225">
        <f>Model!X32</f>
        <v>23.765000000000001</v>
      </c>
      <c r="Y1225">
        <f>Model!Y32</f>
        <v>26.206</v>
      </c>
      <c r="Z1225">
        <f>Model!Z32</f>
        <v>28.521000000000001</v>
      </c>
      <c r="AA1225">
        <f>Model!AA32</f>
        <v>31.465999999999998</v>
      </c>
      <c r="AB1225">
        <f>Model!AB32</f>
        <v>35.646000000000001</v>
      </c>
      <c r="AC1225">
        <f>Model!AC32</f>
        <v>41.724000000000004</v>
      </c>
      <c r="AD1225">
        <f>Model!AD32</f>
        <v>44.07</v>
      </c>
      <c r="AE1225">
        <f>Model!AE32</f>
        <v>50.667999999999999</v>
      </c>
      <c r="AF1225">
        <f>Model!AF32</f>
        <v>49.585000000000001</v>
      </c>
      <c r="AG1225">
        <f>Model!AG32</f>
        <v>58.329000000000001</v>
      </c>
      <c r="AH1225">
        <f>Model!AH32</f>
        <v>62.36</v>
      </c>
      <c r="AI1225">
        <f>Model!AI32</f>
        <v>77.381</v>
      </c>
      <c r="AJ1225">
        <f>Model!AJ32</f>
        <v>81.731999999999999</v>
      </c>
      <c r="AK1225">
        <f>Model!AK32</f>
        <v>89.286000000000001</v>
      </c>
      <c r="AL1225">
        <f>Model!AL32</f>
        <v>87.558999999999997</v>
      </c>
      <c r="AM1225">
        <f>Model!AM32</f>
        <v>92.082999999999998</v>
      </c>
      <c r="AN1225">
        <f>Model!AN32</f>
        <v>86.828000000000003</v>
      </c>
      <c r="AO1225">
        <f>Model!AO32</f>
        <v>102.41800000000001</v>
      </c>
      <c r="AP1225">
        <f>Model!AP32</f>
        <v>97.971000000000004</v>
      </c>
      <c r="AQ1225">
        <f>Model!AQ32</f>
        <v>105.73599999999999</v>
      </c>
      <c r="AR1225">
        <f>Model!AR32</f>
        <v>104.41800000000001</v>
      </c>
      <c r="AS1225">
        <f>Model!AS32</f>
        <v>117.02305395721736</v>
      </c>
      <c r="AT1225">
        <f>Model!AT32</f>
        <v>110.6244712655125</v>
      </c>
      <c r="AU1225">
        <f>Model!AU32</f>
        <v>119.1576544653296</v>
      </c>
      <c r="AV1225">
        <f>Model!AV32</f>
        <v>122.81079212448338</v>
      </c>
      <c r="AW1225">
        <f>Model!AW32</f>
        <v>137.40258384982999</v>
      </c>
      <c r="AX1225">
        <f>Model!AX32</f>
        <v>128.20088467136509</v>
      </c>
      <c r="AY1225">
        <f>Model!AY32</f>
        <v>136.36606169619569</v>
      </c>
      <c r="AZ1225">
        <f>Model!AZ32</f>
        <v>138.84613718464485</v>
      </c>
      <c r="BA1225">
        <f>Model!BA32</f>
        <v>154.88073463306355</v>
      </c>
      <c r="BB1225">
        <f>Model!BB32</f>
        <v>143.8834868929064</v>
      </c>
      <c r="BC1225">
        <f>Model!BC32</f>
        <v>151.86914057019516</v>
      </c>
      <c r="BD1225">
        <f>Model!BD32</f>
        <v>153.86266378307047</v>
      </c>
    </row>
    <row r="1226" spans="9:56" ht="11.25" customHeight="1">
      <c r="I1226" t="str">
        <f>Model!I33</f>
        <v>Product development (ex-SBC)</v>
      </c>
      <c r="J1226">
        <f>Model!J33</f>
        <v>0</v>
      </c>
      <c r="K1226">
        <f>Model!K33</f>
        <v>0</v>
      </c>
      <c r="L1226">
        <f>Model!L33</f>
        <v>0</v>
      </c>
      <c r="M1226">
        <f>Model!M33</f>
        <v>1.1520000000000001</v>
      </c>
      <c r="N1226">
        <f>Model!N33</f>
        <v>1.484</v>
      </c>
      <c r="O1226">
        <f>Model!O33</f>
        <v>1.847</v>
      </c>
      <c r="P1226">
        <f>Model!P33</f>
        <v>1.8169999999999999</v>
      </c>
      <c r="Q1226">
        <f>Model!Q33</f>
        <v>2.1720000000000002</v>
      </c>
      <c r="R1226">
        <f>Model!R33</f>
        <v>2.488</v>
      </c>
      <c r="S1226">
        <f>Model!S33</f>
        <v>3.2069999999999999</v>
      </c>
      <c r="T1226">
        <f>Model!T33</f>
        <v>2.9979999999999998</v>
      </c>
      <c r="U1226">
        <f>Model!U33</f>
        <v>3.8969999999999998</v>
      </c>
      <c r="V1226">
        <f>Model!V33</f>
        <v>4.0360000000000005</v>
      </c>
      <c r="W1226">
        <f>Model!W33</f>
        <v>5.2869999999999999</v>
      </c>
      <c r="X1226">
        <f>Model!X33</f>
        <v>5.548</v>
      </c>
      <c r="Y1226">
        <f>Model!Y33</f>
        <v>6.42</v>
      </c>
      <c r="Z1226">
        <f>Model!Z33</f>
        <v>6.9569999999999999</v>
      </c>
      <c r="AA1226">
        <f>Model!AA33</f>
        <v>9.4990000000000006</v>
      </c>
      <c r="AB1226">
        <f>Model!AB33</f>
        <v>9.0969999999999995</v>
      </c>
      <c r="AC1226">
        <f>Model!AC33</f>
        <v>10.94</v>
      </c>
      <c r="AD1226">
        <f>Model!AD33</f>
        <v>11.270000000000001</v>
      </c>
      <c r="AE1226">
        <f>Model!AE33</f>
        <v>13.561999999999998</v>
      </c>
      <c r="AF1226">
        <f>Model!AF33</f>
        <v>14.525</v>
      </c>
      <c r="AG1226">
        <f>Model!AG33</f>
        <v>18.855</v>
      </c>
      <c r="AH1226">
        <f>Model!AH33</f>
        <v>20.279999999999998</v>
      </c>
      <c r="AI1226">
        <f>Model!AI33</f>
        <v>22.564</v>
      </c>
      <c r="AJ1226">
        <f>Model!AJ33</f>
        <v>22.655999999999999</v>
      </c>
      <c r="AK1226">
        <f>Model!AK33</f>
        <v>24.192</v>
      </c>
      <c r="AL1226">
        <f>Model!AL33</f>
        <v>24.684999999999999</v>
      </c>
      <c r="AM1226">
        <f>Model!AM33</f>
        <v>27.085000000000001</v>
      </c>
      <c r="AN1226">
        <f>Model!AN33</f>
        <v>26.265000000000001</v>
      </c>
      <c r="AO1226">
        <f>Model!AO33</f>
        <v>28.663000000000004</v>
      </c>
      <c r="AP1226">
        <f>Model!AP33</f>
        <v>30.843000000000004</v>
      </c>
      <c r="AQ1226">
        <f>Model!AQ33</f>
        <v>33.858000000000004</v>
      </c>
      <c r="AR1226">
        <f>Model!AR33</f>
        <v>35.143000000000001</v>
      </c>
      <c r="AS1226">
        <f>Model!AS33</f>
        <v>31.663000000000004</v>
      </c>
      <c r="AT1226">
        <f>Model!AT33</f>
        <v>33.843000000000004</v>
      </c>
      <c r="AU1226">
        <f>Model!AU33</f>
        <v>36.858000000000004</v>
      </c>
      <c r="AV1226">
        <f>Model!AV33</f>
        <v>38.143000000000001</v>
      </c>
      <c r="AW1226">
        <f>Model!AW33</f>
        <v>35.163000000000004</v>
      </c>
      <c r="AX1226">
        <f>Model!AX33</f>
        <v>37.843000000000004</v>
      </c>
      <c r="AY1226">
        <f>Model!AY33</f>
        <v>40.858000000000004</v>
      </c>
      <c r="AZ1226">
        <f>Model!AZ33</f>
        <v>42.143000000000001</v>
      </c>
      <c r="BA1226">
        <f>Model!BA33</f>
        <v>38.163000000000004</v>
      </c>
      <c r="BB1226">
        <f>Model!BB33</f>
        <v>40.843000000000004</v>
      </c>
      <c r="BC1226">
        <f>Model!BC33</f>
        <v>43.858000000000004</v>
      </c>
      <c r="BD1226">
        <f>Model!BD33</f>
        <v>45.143000000000001</v>
      </c>
    </row>
    <row r="1227" spans="9:56" ht="11.25" customHeight="1">
      <c r="I1227" t="str">
        <f>Model!I34</f>
        <v>General and administrative (ex-SBC)</v>
      </c>
      <c r="J1227">
        <f>Model!J34</f>
        <v>0</v>
      </c>
      <c r="K1227">
        <f>Model!K34</f>
        <v>0</v>
      </c>
      <c r="L1227">
        <f>Model!L34</f>
        <v>0</v>
      </c>
      <c r="M1227">
        <f>Model!M34</f>
        <v>1.72</v>
      </c>
      <c r="N1227">
        <f>Model!N34</f>
        <v>2.718</v>
      </c>
      <c r="O1227">
        <f>Model!O34</f>
        <v>2.5350000000000001</v>
      </c>
      <c r="P1227">
        <f>Model!P34</f>
        <v>2.5310000000000001</v>
      </c>
      <c r="Q1227">
        <f>Model!Q34</f>
        <v>2.9409999999999998</v>
      </c>
      <c r="R1227">
        <f>Model!R34</f>
        <v>3.101</v>
      </c>
      <c r="S1227">
        <f>Model!S34</f>
        <v>4.1150000000000002</v>
      </c>
      <c r="T1227">
        <f>Model!T34</f>
        <v>4.5780000000000003</v>
      </c>
      <c r="U1227">
        <f>Model!U34</f>
        <v>4.6899999999999995</v>
      </c>
      <c r="V1227">
        <f>Model!V34</f>
        <v>5.335</v>
      </c>
      <c r="W1227">
        <f>Model!W34</f>
        <v>6.298</v>
      </c>
      <c r="X1227">
        <f>Model!X34</f>
        <v>7.0739999999999998</v>
      </c>
      <c r="Y1227">
        <f>Model!Y34</f>
        <v>7.0349999999999993</v>
      </c>
      <c r="Z1227">
        <f>Model!Z34</f>
        <v>7.8620000000000001</v>
      </c>
      <c r="AA1227">
        <f>Model!AA34</f>
        <v>7.9930000000000003</v>
      </c>
      <c r="AB1227">
        <f>Model!AB34</f>
        <v>10.717000000000001</v>
      </c>
      <c r="AC1227">
        <f>Model!AC34</f>
        <v>10.303000000000001</v>
      </c>
      <c r="AD1227">
        <f>Model!AD34</f>
        <v>10.477</v>
      </c>
      <c r="AE1227">
        <f>Model!AE34</f>
        <v>12.238</v>
      </c>
      <c r="AF1227">
        <f>Model!AF34</f>
        <v>13.598999999999998</v>
      </c>
      <c r="AG1227">
        <f>Model!AG34</f>
        <v>16.432000000000002</v>
      </c>
      <c r="AH1227">
        <f>Model!AH34</f>
        <v>15.705000000000002</v>
      </c>
      <c r="AI1227">
        <f>Model!AI34</f>
        <v>17.256999999999998</v>
      </c>
      <c r="AJ1227">
        <f>Model!AJ34</f>
        <v>17.14</v>
      </c>
      <c r="AK1227">
        <f>Model!AK34</f>
        <v>17.431999999999999</v>
      </c>
      <c r="AL1227">
        <f>Model!AL34</f>
        <v>18.401</v>
      </c>
      <c r="AM1227">
        <f>Model!AM34</f>
        <v>19.555</v>
      </c>
      <c r="AN1227">
        <f>Model!AN34</f>
        <v>21.698999999999998</v>
      </c>
      <c r="AO1227">
        <f>Model!AO34</f>
        <v>21.038</v>
      </c>
      <c r="AP1227">
        <f>Model!AP34</f>
        <v>20.058999999999997</v>
      </c>
      <c r="AQ1227">
        <f>Model!AQ34</f>
        <v>21.658999999999999</v>
      </c>
      <c r="AR1227">
        <f>Model!AR34</f>
        <v>21.891999999999999</v>
      </c>
      <c r="AS1227">
        <f>Model!AS34</f>
        <v>22.538</v>
      </c>
      <c r="AT1227">
        <f>Model!AT34</f>
        <v>21.558999999999997</v>
      </c>
      <c r="AU1227">
        <f>Model!AU34</f>
        <v>23.158999999999999</v>
      </c>
      <c r="AV1227">
        <f>Model!AV34</f>
        <v>24.391999999999999</v>
      </c>
      <c r="AW1227">
        <f>Model!AW34</f>
        <v>25.538</v>
      </c>
      <c r="AX1227">
        <f>Model!AX34</f>
        <v>24.558999999999997</v>
      </c>
      <c r="AY1227">
        <f>Model!AY34</f>
        <v>26.158999999999999</v>
      </c>
      <c r="AZ1227">
        <f>Model!AZ34</f>
        <v>27.391999999999999</v>
      </c>
      <c r="BA1227">
        <f>Model!BA34</f>
        <v>28.538</v>
      </c>
      <c r="BB1227">
        <f>Model!BB34</f>
        <v>27.558999999999997</v>
      </c>
      <c r="BC1227">
        <f>Model!BC34</f>
        <v>29.158999999999999</v>
      </c>
      <c r="BD1227">
        <f>Model!BD34</f>
        <v>30.391999999999999</v>
      </c>
    </row>
    <row r="1228" spans="9:56" ht="11.25" customHeight="1">
      <c r="I1228" t="str">
        <f>Model!I35</f>
        <v>Non-recurring items</v>
      </c>
      <c r="J1228">
        <f>Model!J35</f>
        <v>0</v>
      </c>
      <c r="K1228">
        <f>Model!K35</f>
        <v>0</v>
      </c>
      <c r="L1228">
        <f>Model!L35</f>
        <v>0</v>
      </c>
      <c r="M1228">
        <f>Model!M35</f>
        <v>1.3</v>
      </c>
      <c r="N1228">
        <f>Model!N35</f>
        <v>0</v>
      </c>
      <c r="O1228">
        <f>Model!O35</f>
        <v>0</v>
      </c>
      <c r="P1228">
        <f>Model!P35</f>
        <v>0</v>
      </c>
      <c r="Q1228">
        <f>Model!Q35</f>
        <v>0</v>
      </c>
      <c r="R1228">
        <f>Model!R35</f>
        <v>0</v>
      </c>
      <c r="S1228">
        <f>Model!S35</f>
        <v>0</v>
      </c>
      <c r="T1228">
        <f>Model!T35</f>
        <v>5.9279999999999999</v>
      </c>
      <c r="U1228">
        <f>Model!U35</f>
        <v>0</v>
      </c>
      <c r="V1228">
        <f>Model!V35</f>
        <v>0</v>
      </c>
      <c r="W1228">
        <f>Model!W35</f>
        <v>0</v>
      </c>
      <c r="X1228">
        <f>Model!X35</f>
        <v>1.262</v>
      </c>
      <c r="Y1228">
        <f>Model!Y35</f>
        <v>0.12</v>
      </c>
      <c r="Z1228">
        <f>Model!Z35</f>
        <v>0</v>
      </c>
      <c r="AA1228">
        <f>Model!AA35</f>
        <v>0</v>
      </c>
      <c r="AB1228">
        <f>Model!AB35</f>
        <v>0</v>
      </c>
      <c r="AC1228">
        <f>Model!AC35</f>
        <v>0</v>
      </c>
      <c r="AD1228">
        <f>Model!AD35</f>
        <v>0</v>
      </c>
      <c r="AE1228">
        <f>Model!AE35</f>
        <v>0</v>
      </c>
      <c r="AF1228">
        <f>Model!AF35</f>
        <v>0</v>
      </c>
      <c r="AG1228">
        <f>Model!AG35</f>
        <v>0</v>
      </c>
      <c r="AH1228">
        <f>Model!AH35</f>
        <v>0</v>
      </c>
      <c r="AI1228">
        <f>Model!AI35</f>
        <v>0</v>
      </c>
      <c r="AJ1228">
        <f>Model!AJ35</f>
        <v>0</v>
      </c>
      <c r="AK1228">
        <f>Model!AK35</f>
        <v>0</v>
      </c>
      <c r="AL1228">
        <f>Model!AL35</f>
        <v>0</v>
      </c>
      <c r="AM1228">
        <f>Model!AM35</f>
        <v>0</v>
      </c>
      <c r="AN1228">
        <f>Model!AN35</f>
        <v>0</v>
      </c>
      <c r="AO1228">
        <f>Model!AO35</f>
        <v>0</v>
      </c>
      <c r="AP1228">
        <f>Model!AP35</f>
        <v>2.1000000000000001E-2</v>
      </c>
      <c r="AQ1228">
        <f>Model!AQ35</f>
        <v>3.5000000000000003E-2</v>
      </c>
      <c r="AR1228">
        <f>Model!AR35</f>
        <v>-164.77799999999999</v>
      </c>
      <c r="AS1228">
        <f>Model!AS35</f>
        <v>0</v>
      </c>
      <c r="AT1228">
        <f>Model!AT35</f>
        <v>0</v>
      </c>
      <c r="AU1228">
        <f>Model!AU35</f>
        <v>0</v>
      </c>
      <c r="AV1228">
        <f>Model!AV35</f>
        <v>0</v>
      </c>
      <c r="AW1228">
        <f>Model!AW35</f>
        <v>0</v>
      </c>
      <c r="AX1228">
        <f>Model!AX35</f>
        <v>0</v>
      </c>
      <c r="AY1228">
        <f>Model!AY35</f>
        <v>0</v>
      </c>
      <c r="AZ1228">
        <f>Model!AZ35</f>
        <v>0</v>
      </c>
      <c r="BA1228">
        <f>Model!BA35</f>
        <v>0</v>
      </c>
      <c r="BB1228">
        <f>Model!BB35</f>
        <v>0</v>
      </c>
      <c r="BC1228">
        <f>Model!BC35</f>
        <v>0</v>
      </c>
      <c r="BD1228">
        <f>Model!BD35</f>
        <v>0</v>
      </c>
    </row>
    <row r="1229" spans="9:56" ht="11.25" customHeight="1">
      <c r="I1229" t="str">
        <f>Model!I36</f>
        <v>Stock based compensation</v>
      </c>
      <c r="J1229">
        <f>Model!J36</f>
        <v>0</v>
      </c>
      <c r="K1229">
        <f>Model!K36</f>
        <v>0</v>
      </c>
      <c r="L1229">
        <f>Model!L36</f>
        <v>0</v>
      </c>
      <c r="M1229">
        <f>Model!M36</f>
        <v>0.253</v>
      </c>
      <c r="N1229">
        <f>Model!N36</f>
        <v>0.25700000000000001</v>
      </c>
      <c r="O1229">
        <f>Model!O36</f>
        <v>0.36699999999999999</v>
      </c>
      <c r="P1229">
        <f>Model!P36</f>
        <v>0.55400000000000005</v>
      </c>
      <c r="Q1229">
        <f>Model!Q36</f>
        <v>1.1030000000000002</v>
      </c>
      <c r="R1229">
        <f>Model!R36</f>
        <v>0.94799999999999995</v>
      </c>
      <c r="S1229">
        <f>Model!S36</f>
        <v>1.46</v>
      </c>
      <c r="T1229">
        <f>Model!T36</f>
        <v>1.3660000000000001</v>
      </c>
      <c r="U1229">
        <f>Model!U36</f>
        <v>7.4290000000000003</v>
      </c>
      <c r="V1229">
        <f>Model!V36</f>
        <v>1.8580000000000001</v>
      </c>
      <c r="W1229">
        <f>Model!W36</f>
        <v>2.3339999999999996</v>
      </c>
      <c r="X1229">
        <f>Model!X36</f>
        <v>3.258</v>
      </c>
      <c r="Y1229">
        <f>Model!Y36</f>
        <v>5.16</v>
      </c>
      <c r="Z1229">
        <f>Model!Z36</f>
        <v>5.7130000000000001</v>
      </c>
      <c r="AA1229">
        <f>Model!AA36</f>
        <v>7.0150000000000006</v>
      </c>
      <c r="AB1229">
        <f>Model!AB36</f>
        <v>8.7889999999999997</v>
      </c>
      <c r="AC1229">
        <f>Model!AC36</f>
        <v>9.4559999999999995</v>
      </c>
      <c r="AD1229">
        <f>Model!AD36</f>
        <v>10.083</v>
      </c>
      <c r="AE1229">
        <f>Model!AE36</f>
        <v>10.917999999999999</v>
      </c>
      <c r="AF1229">
        <f>Model!AF36</f>
        <v>11.816000000000001</v>
      </c>
      <c r="AG1229">
        <f>Model!AG36</f>
        <v>13.670999999999999</v>
      </c>
      <c r="AH1229">
        <f>Model!AH36</f>
        <v>15.516000000000002</v>
      </c>
      <c r="AI1229">
        <f>Model!AI36</f>
        <v>15.683</v>
      </c>
      <c r="AJ1229">
        <f>Model!AJ36</f>
        <v>15.972</v>
      </c>
      <c r="AK1229">
        <f>Model!AK36</f>
        <v>19.11</v>
      </c>
      <c r="AL1229">
        <f>Model!AL36</f>
        <v>20.725999999999999</v>
      </c>
      <c r="AM1229">
        <f>Model!AM36</f>
        <v>22.560000000000002</v>
      </c>
      <c r="AN1229">
        <f>Model!AN36</f>
        <v>23.864000000000004</v>
      </c>
      <c r="AO1229">
        <f>Model!AO36</f>
        <v>24.334000000000003</v>
      </c>
      <c r="AP1229">
        <f>Model!AP36</f>
        <v>25.365000000000002</v>
      </c>
      <c r="AQ1229">
        <f>Model!AQ36</f>
        <v>25.309000000000001</v>
      </c>
      <c r="AR1229">
        <f>Model!AR36</f>
        <v>25.407</v>
      </c>
      <c r="AS1229">
        <f>Model!AS36</f>
        <v>26.767400000000006</v>
      </c>
      <c r="AT1229">
        <f>Model!AT36</f>
        <v>27.901500000000006</v>
      </c>
      <c r="AU1229">
        <f>Model!AU36</f>
        <v>29.105349999999998</v>
      </c>
      <c r="AV1229">
        <f>Model!AV36</f>
        <v>30.488399999999999</v>
      </c>
      <c r="AW1229">
        <f>Model!AW36</f>
        <v>29.979488000000011</v>
      </c>
      <c r="AX1229">
        <f>Model!AX36</f>
        <v>31.249680000000009</v>
      </c>
      <c r="AY1229">
        <f>Model!AY36</f>
        <v>32.597991999999998</v>
      </c>
      <c r="AZ1229">
        <f>Model!AZ36</f>
        <v>34.147008</v>
      </c>
      <c r="BA1229">
        <f>Model!BA36</f>
        <v>32.977436800000014</v>
      </c>
      <c r="BB1229">
        <f>Model!BB36</f>
        <v>34.374648000000015</v>
      </c>
      <c r="BC1229">
        <f>Model!BC36</f>
        <v>35.857791200000001</v>
      </c>
      <c r="BD1229">
        <f>Model!BD36</f>
        <v>37.561708800000005</v>
      </c>
    </row>
    <row r="1230" spans="9:56" ht="11.25" customHeight="1">
      <c r="I1230" t="str">
        <f>Model!I37</f>
        <v>Depreciation and amortization</v>
      </c>
      <c r="J1230">
        <f>Model!J37</f>
        <v>0</v>
      </c>
      <c r="K1230">
        <f>Model!K37</f>
        <v>0</v>
      </c>
      <c r="L1230">
        <f>Model!L37</f>
        <v>0</v>
      </c>
      <c r="M1230">
        <f>Model!M37</f>
        <v>0.44400000000000001</v>
      </c>
      <c r="N1230">
        <f>Model!N37</f>
        <v>0.45300000000000001</v>
      </c>
      <c r="O1230">
        <f>Model!O37</f>
        <v>0.58599999999999997</v>
      </c>
      <c r="P1230">
        <f>Model!P37</f>
        <v>0.85099999999999998</v>
      </c>
      <c r="Q1230">
        <f>Model!Q37</f>
        <v>0.81899999999999995</v>
      </c>
      <c r="R1230">
        <f>Model!R37</f>
        <v>0.92400000000000004</v>
      </c>
      <c r="S1230">
        <f>Model!S37</f>
        <v>1.0469999999999999</v>
      </c>
      <c r="T1230">
        <f>Model!T37</f>
        <v>1.448</v>
      </c>
      <c r="U1230">
        <f>Model!U37</f>
        <v>1.361</v>
      </c>
      <c r="V1230">
        <f>Model!V37</f>
        <v>1.661</v>
      </c>
      <c r="W1230">
        <f>Model!W37</f>
        <v>1.78</v>
      </c>
      <c r="X1230">
        <f>Model!X37</f>
        <v>2.4209999999999998</v>
      </c>
      <c r="Y1230">
        <f>Model!Y37</f>
        <v>2.4780000000000002</v>
      </c>
      <c r="Z1230">
        <f>Model!Z37</f>
        <v>2.637</v>
      </c>
      <c r="AA1230">
        <f>Model!AA37</f>
        <v>2.8159999999999998</v>
      </c>
      <c r="AB1230">
        <f>Model!AB37</f>
        <v>3.524</v>
      </c>
      <c r="AC1230">
        <f>Model!AC37</f>
        <v>3.661</v>
      </c>
      <c r="AD1230">
        <f>Model!AD37</f>
        <v>4.0339999999999998</v>
      </c>
      <c r="AE1230">
        <f>Model!AE37</f>
        <v>4.6040000000000001</v>
      </c>
      <c r="AF1230">
        <f>Model!AF37</f>
        <v>5.2910000000000004</v>
      </c>
      <c r="AG1230">
        <f>Model!AG37</f>
        <v>6.8949999999999996</v>
      </c>
      <c r="AH1230">
        <f>Model!AH37</f>
        <v>7.1669999999999998</v>
      </c>
      <c r="AI1230">
        <f>Model!AI37</f>
        <v>7.5620000000000003</v>
      </c>
      <c r="AJ1230">
        <f>Model!AJ37</f>
        <v>7.98</v>
      </c>
      <c r="AK1230">
        <f>Model!AK37</f>
        <v>8.1890000000000001</v>
      </c>
      <c r="AL1230">
        <f>Model!AL37</f>
        <v>8.5640000000000001</v>
      </c>
      <c r="AM1230">
        <f>Model!AM37</f>
        <v>9.1590000000000007</v>
      </c>
      <c r="AN1230">
        <f>Model!AN37</f>
        <v>12.888999999999999</v>
      </c>
      <c r="AO1230">
        <f>Model!AO37</f>
        <v>10.382</v>
      </c>
      <c r="AP1230">
        <f>Model!AP37</f>
        <v>10.662000000000001</v>
      </c>
      <c r="AQ1230">
        <f>Model!AQ37</f>
        <v>10.656000000000001</v>
      </c>
      <c r="AR1230">
        <f>Model!AR37</f>
        <v>9.7289999999999992</v>
      </c>
      <c r="AS1230">
        <f>Model!AS37</f>
        <v>10.507</v>
      </c>
      <c r="AT1230">
        <f>Model!AT37</f>
        <v>10.9915</v>
      </c>
      <c r="AU1230">
        <f>Model!AU37</f>
        <v>11.78</v>
      </c>
      <c r="AV1230">
        <f>Model!AV37</f>
        <v>12.321499999999999</v>
      </c>
      <c r="AW1230">
        <f>Model!AW37</f>
        <v>7.6903817599424471</v>
      </c>
      <c r="AX1230">
        <f>Model!AX37</f>
        <v>8.0100684262184867</v>
      </c>
      <c r="AY1230">
        <f>Model!AY37</f>
        <v>8.3505940209007985</v>
      </c>
      <c r="AZ1230">
        <f>Model!AZ37</f>
        <v>8.6215700530094619</v>
      </c>
      <c r="BA1230">
        <f>Model!BA37</f>
        <v>8.7823240376417804</v>
      </c>
      <c r="BB1230">
        <f>Model!BB37</f>
        <v>9.1135613901937784</v>
      </c>
      <c r="BC1230">
        <f>Model!BC37</f>
        <v>9.4384435538660227</v>
      </c>
      <c r="BD1230">
        <f>Model!BD37</f>
        <v>9.6734759684153673</v>
      </c>
    </row>
    <row r="1231" spans="9:56" ht="11.25" customHeight="1">
      <c r="I1231">
        <f>Model!I38</f>
        <v>0</v>
      </c>
      <c r="J1231">
        <f>Model!J38</f>
        <v>0</v>
      </c>
      <c r="K1231">
        <f>Model!K38</f>
        <v>0</v>
      </c>
      <c r="L1231">
        <f>Model!L38</f>
        <v>0</v>
      </c>
      <c r="M1231">
        <f>Model!M38</f>
        <v>0</v>
      </c>
      <c r="N1231">
        <f>Model!N38</f>
        <v>0</v>
      </c>
      <c r="O1231">
        <f>Model!O38</f>
        <v>0</v>
      </c>
      <c r="P1231">
        <f>Model!P38</f>
        <v>0</v>
      </c>
      <c r="Q1231">
        <f>Model!Q38</f>
        <v>0</v>
      </c>
      <c r="R1231">
        <f>Model!R38</f>
        <v>0</v>
      </c>
      <c r="S1231">
        <f>Model!S38</f>
        <v>0</v>
      </c>
      <c r="T1231">
        <f>Model!T38</f>
        <v>0</v>
      </c>
      <c r="U1231">
        <f>Model!U38</f>
        <v>0</v>
      </c>
      <c r="V1231">
        <f>Model!V38</f>
        <v>0</v>
      </c>
      <c r="W1231">
        <f>Model!W38</f>
        <v>0</v>
      </c>
      <c r="X1231">
        <f>Model!X38</f>
        <v>0</v>
      </c>
      <c r="Y1231">
        <f>Model!Y38</f>
        <v>0</v>
      </c>
      <c r="Z1231">
        <f>Model!Z38</f>
        <v>0</v>
      </c>
      <c r="AA1231">
        <f>Model!AA38</f>
        <v>0</v>
      </c>
      <c r="AB1231">
        <f>Model!AB38</f>
        <v>0</v>
      </c>
      <c r="AC1231">
        <f>Model!AC38</f>
        <v>0</v>
      </c>
      <c r="AD1231">
        <f>Model!AD38</f>
        <v>0</v>
      </c>
      <c r="AE1231">
        <f>Model!AE38</f>
        <v>0</v>
      </c>
      <c r="AF1231">
        <f>Model!AF38</f>
        <v>0</v>
      </c>
      <c r="AG1231">
        <f>Model!AG38</f>
        <v>0</v>
      </c>
      <c r="AH1231">
        <f>Model!AH38</f>
        <v>0</v>
      </c>
      <c r="AI1231">
        <f>Model!AI38</f>
        <v>0</v>
      </c>
      <c r="AJ1231">
        <f>Model!AJ38</f>
        <v>0</v>
      </c>
      <c r="AK1231">
        <f>Model!AK38</f>
        <v>0</v>
      </c>
      <c r="AL1231">
        <f>Model!AL38</f>
        <v>0</v>
      </c>
      <c r="AM1231">
        <f>Model!AM38</f>
        <v>0</v>
      </c>
      <c r="AN1231">
        <f>Model!AN38</f>
        <v>0</v>
      </c>
      <c r="AO1231">
        <f>Model!AO38</f>
        <v>0</v>
      </c>
      <c r="AP1231">
        <f>Model!AP38</f>
        <v>0</v>
      </c>
      <c r="AQ1231">
        <f>Model!AQ38</f>
        <v>0</v>
      </c>
      <c r="AR1231">
        <f>Model!AR38</f>
        <v>0</v>
      </c>
      <c r="AS1231">
        <f>Model!AS38</f>
        <v>0</v>
      </c>
      <c r="AT1231">
        <f>Model!AT38</f>
        <v>0</v>
      </c>
      <c r="AU1231">
        <f>Model!AU38</f>
        <v>0</v>
      </c>
      <c r="AV1231">
        <f>Model!AV38</f>
        <v>0</v>
      </c>
      <c r="AW1231">
        <f>Model!AW38</f>
        <v>0</v>
      </c>
      <c r="AX1231">
        <f>Model!AX38</f>
        <v>0</v>
      </c>
      <c r="AY1231">
        <f>Model!AY38</f>
        <v>0</v>
      </c>
      <c r="AZ1231">
        <f>Model!AZ38</f>
        <v>0</v>
      </c>
      <c r="BA1231">
        <f>Model!BA38</f>
        <v>0</v>
      </c>
      <c r="BB1231">
        <f>Model!BB38</f>
        <v>0</v>
      </c>
      <c r="BC1231">
        <f>Model!BC38</f>
        <v>0</v>
      </c>
      <c r="BD1231">
        <f>Model!BD38</f>
        <v>0</v>
      </c>
    </row>
    <row r="1232" spans="9:56" ht="11.25" customHeight="1">
      <c r="I1232" t="str">
        <f>Model!I39</f>
        <v>Total operating expenses (adjusted)</v>
      </c>
      <c r="J1232">
        <f>Model!J39</f>
        <v>0</v>
      </c>
      <c r="K1232">
        <f>Model!K39</f>
        <v>0</v>
      </c>
      <c r="L1232">
        <f>Model!L39</f>
        <v>0</v>
      </c>
      <c r="M1232">
        <f>Model!M39</f>
        <v>9.8820000000000014</v>
      </c>
      <c r="N1232">
        <f>Model!N39</f>
        <v>12.433</v>
      </c>
      <c r="O1232">
        <f>Model!O39</f>
        <v>14.304</v>
      </c>
      <c r="P1232">
        <f>Model!P39</f>
        <v>14.776</v>
      </c>
      <c r="Q1232">
        <f>Model!Q39</f>
        <v>16.931999999999999</v>
      </c>
      <c r="R1232">
        <f>Model!R39</f>
        <v>18.578999999999997</v>
      </c>
      <c r="S1232">
        <f>Model!S39</f>
        <v>22.707000000000004</v>
      </c>
      <c r="T1232">
        <f>Model!T39</f>
        <v>24.552</v>
      </c>
      <c r="U1232">
        <f>Model!U39</f>
        <v>27.593999999999998</v>
      </c>
      <c r="V1232">
        <f>Model!V39</f>
        <v>30.470000000000002</v>
      </c>
      <c r="W1232">
        <f>Model!W39</f>
        <v>33.515000000000001</v>
      </c>
      <c r="X1232">
        <f>Model!X39</f>
        <v>38.808</v>
      </c>
      <c r="Y1232">
        <f>Model!Y39</f>
        <v>42.138999999999996</v>
      </c>
      <c r="Z1232">
        <f>Model!Z39</f>
        <v>45.977000000000004</v>
      </c>
      <c r="AA1232">
        <f>Model!AA39</f>
        <v>51.774000000000001</v>
      </c>
      <c r="AB1232">
        <f>Model!AB39</f>
        <v>58.984000000000002</v>
      </c>
      <c r="AC1232">
        <f>Model!AC39</f>
        <v>66.628</v>
      </c>
      <c r="AD1232">
        <f>Model!AD39</f>
        <v>69.851000000000013</v>
      </c>
      <c r="AE1232">
        <f>Model!AE39</f>
        <v>81.071999999999989</v>
      </c>
      <c r="AF1232">
        <f>Model!AF39</f>
        <v>83</v>
      </c>
      <c r="AG1232">
        <f>Model!AG39</f>
        <v>100.511</v>
      </c>
      <c r="AH1232">
        <f>Model!AH39</f>
        <v>105.512</v>
      </c>
      <c r="AI1232">
        <f>Model!AI39</f>
        <v>124.764</v>
      </c>
      <c r="AJ1232">
        <f>Model!AJ39</f>
        <v>129.50800000000001</v>
      </c>
      <c r="AK1232">
        <f>Model!AK39</f>
        <v>139.09899999999999</v>
      </c>
      <c r="AL1232">
        <f>Model!AL39</f>
        <v>139.209</v>
      </c>
      <c r="AM1232">
        <f>Model!AM39</f>
        <v>147.88200000000001</v>
      </c>
      <c r="AN1232">
        <f>Model!AN39</f>
        <v>147.68100000000001</v>
      </c>
      <c r="AO1232">
        <f>Model!AO39</f>
        <v>162.50100000000003</v>
      </c>
      <c r="AP1232">
        <f>Model!AP39</f>
        <v>159.53500000000003</v>
      </c>
      <c r="AQ1232">
        <f>Model!AQ39</f>
        <v>171.90899999999999</v>
      </c>
      <c r="AR1232">
        <f>Model!AR39</f>
        <v>171.18200000000002</v>
      </c>
      <c r="AS1232">
        <f>Model!AS39</f>
        <v>181.73105395721737</v>
      </c>
      <c r="AT1232">
        <f>Model!AT39</f>
        <v>177.0179712655125</v>
      </c>
      <c r="AU1232">
        <f>Model!AU39</f>
        <v>190.95465446532958</v>
      </c>
      <c r="AV1232">
        <f>Model!AV39</f>
        <v>197.66729212448337</v>
      </c>
      <c r="AW1232">
        <f>Model!AW39</f>
        <v>205.79396560977247</v>
      </c>
      <c r="AX1232">
        <f>Model!AX39</f>
        <v>198.61295309758358</v>
      </c>
      <c r="AY1232">
        <f>Model!AY39</f>
        <v>211.73365571709647</v>
      </c>
      <c r="AZ1232">
        <f>Model!AZ39</f>
        <v>217.00270723765431</v>
      </c>
      <c r="BA1232">
        <f>Model!BA39</f>
        <v>230.36405867070536</v>
      </c>
      <c r="BB1232">
        <f>Model!BB39</f>
        <v>221.39904828310017</v>
      </c>
      <c r="BC1232">
        <f>Model!BC39</f>
        <v>234.32458412406118</v>
      </c>
      <c r="BD1232">
        <f>Model!BD39</f>
        <v>239.07113975148584</v>
      </c>
    </row>
    <row r="1233" spans="9:56" ht="11.25" customHeight="1">
      <c r="I1233">
        <f>Model!I40</f>
        <v>0</v>
      </c>
      <c r="J1233">
        <f>Model!J40</f>
        <v>0</v>
      </c>
      <c r="K1233">
        <f>Model!K40</f>
        <v>0</v>
      </c>
      <c r="L1233">
        <f>Model!L40</f>
        <v>0</v>
      </c>
      <c r="M1233">
        <f>Model!M40</f>
        <v>0</v>
      </c>
      <c r="N1233">
        <f>Model!N40</f>
        <v>0</v>
      </c>
      <c r="O1233">
        <f>Model!O40</f>
        <v>0</v>
      </c>
      <c r="P1233">
        <f>Model!P40</f>
        <v>0</v>
      </c>
      <c r="Q1233">
        <f>Model!Q40</f>
        <v>0</v>
      </c>
      <c r="R1233">
        <f>Model!R40</f>
        <v>0</v>
      </c>
      <c r="S1233">
        <f>Model!S40</f>
        <v>0</v>
      </c>
      <c r="T1233">
        <f>Model!T40</f>
        <v>0</v>
      </c>
      <c r="U1233">
        <f>Model!U40</f>
        <v>0</v>
      </c>
      <c r="V1233">
        <f>Model!V40</f>
        <v>0</v>
      </c>
      <c r="W1233">
        <f>Model!W40</f>
        <v>0</v>
      </c>
      <c r="X1233">
        <f>Model!X40</f>
        <v>0</v>
      </c>
      <c r="Y1233">
        <f>Model!Y40</f>
        <v>0</v>
      </c>
      <c r="Z1233">
        <f>Model!Z40</f>
        <v>0</v>
      </c>
      <c r="AA1233">
        <f>Model!AA40</f>
        <v>0</v>
      </c>
      <c r="AB1233">
        <f>Model!AB40</f>
        <v>0</v>
      </c>
      <c r="AC1233">
        <f>Model!AC40</f>
        <v>0</v>
      </c>
      <c r="AD1233">
        <f>Model!AD40</f>
        <v>0</v>
      </c>
      <c r="AE1233">
        <f>Model!AE40</f>
        <v>0</v>
      </c>
      <c r="AF1233">
        <f>Model!AF40</f>
        <v>0</v>
      </c>
      <c r="AG1233">
        <f>Model!AG40</f>
        <v>0</v>
      </c>
      <c r="AH1233">
        <f>Model!AH40</f>
        <v>0</v>
      </c>
      <c r="AI1233">
        <f>Model!AI40</f>
        <v>0</v>
      </c>
      <c r="AJ1233">
        <f>Model!AJ40</f>
        <v>0</v>
      </c>
      <c r="AK1233">
        <f>Model!AK40</f>
        <v>0</v>
      </c>
      <c r="AL1233">
        <f>Model!AL40</f>
        <v>0</v>
      </c>
      <c r="AM1233">
        <f>Model!AM40</f>
        <v>0</v>
      </c>
      <c r="AN1233">
        <f>Model!AN40</f>
        <v>0</v>
      </c>
      <c r="AO1233">
        <f>Model!AO40</f>
        <v>0</v>
      </c>
      <c r="AP1233">
        <f>Model!AP40</f>
        <v>0</v>
      </c>
      <c r="AQ1233">
        <f>Model!AQ40</f>
        <v>0</v>
      </c>
      <c r="AR1233">
        <f>Model!AR40</f>
        <v>0</v>
      </c>
      <c r="AS1233">
        <f>Model!AS40</f>
        <v>0</v>
      </c>
      <c r="AT1233">
        <f>Model!AT40</f>
        <v>0</v>
      </c>
      <c r="AU1233">
        <f>Model!AU40</f>
        <v>0</v>
      </c>
      <c r="AV1233">
        <f>Model!AV40</f>
        <v>0</v>
      </c>
      <c r="AW1233">
        <f>Model!AW40</f>
        <v>0</v>
      </c>
      <c r="AX1233">
        <f>Model!AX40</f>
        <v>0</v>
      </c>
      <c r="AY1233">
        <f>Model!AY40</f>
        <v>0</v>
      </c>
      <c r="AZ1233">
        <f>Model!AZ40</f>
        <v>0</v>
      </c>
      <c r="BA1233">
        <f>Model!BA40</f>
        <v>0</v>
      </c>
      <c r="BB1233">
        <f>Model!BB40</f>
        <v>0</v>
      </c>
      <c r="BC1233">
        <f>Model!BC40</f>
        <v>0</v>
      </c>
      <c r="BD1233">
        <f>Model!BD40</f>
        <v>0</v>
      </c>
    </row>
    <row r="1234" spans="9:56" ht="11.25" customHeight="1">
      <c r="I1234" t="str">
        <f>Model!I41</f>
        <v>Total operating expenses (GAAP)</v>
      </c>
      <c r="J1234">
        <f>Model!J41</f>
        <v>0</v>
      </c>
      <c r="K1234">
        <f>Model!K41</f>
        <v>0</v>
      </c>
      <c r="L1234">
        <f>Model!L41</f>
        <v>0</v>
      </c>
      <c r="M1234">
        <f>Model!M41</f>
        <v>11.435000000000002</v>
      </c>
      <c r="N1234">
        <f>Model!N41</f>
        <v>12.69</v>
      </c>
      <c r="O1234">
        <f>Model!O41</f>
        <v>14.671000000000001</v>
      </c>
      <c r="P1234">
        <f>Model!P41</f>
        <v>15.330000000000002</v>
      </c>
      <c r="Q1234">
        <f>Model!Q41</f>
        <v>18.035</v>
      </c>
      <c r="R1234">
        <f>Model!R41</f>
        <v>19.526999999999997</v>
      </c>
      <c r="S1234">
        <f>Model!S41</f>
        <v>24.167000000000005</v>
      </c>
      <c r="T1234">
        <f>Model!T41</f>
        <v>31.846</v>
      </c>
      <c r="U1234">
        <f>Model!U41</f>
        <v>35.022999999999996</v>
      </c>
      <c r="V1234">
        <f>Model!V41</f>
        <v>32.328000000000003</v>
      </c>
      <c r="W1234">
        <f>Model!W41</f>
        <v>35.849000000000004</v>
      </c>
      <c r="X1234">
        <f>Model!X41</f>
        <v>43.328000000000003</v>
      </c>
      <c r="Y1234">
        <f>Model!Y41</f>
        <v>47.41899999999999</v>
      </c>
      <c r="Z1234">
        <f>Model!Z41</f>
        <v>51.690000000000005</v>
      </c>
      <c r="AA1234">
        <f>Model!AA41</f>
        <v>58.789000000000001</v>
      </c>
      <c r="AB1234">
        <f>Model!AB41</f>
        <v>67.772999999999996</v>
      </c>
      <c r="AC1234">
        <f>Model!AC41</f>
        <v>76.084000000000003</v>
      </c>
      <c r="AD1234">
        <f>Model!AD41</f>
        <v>79.934000000000012</v>
      </c>
      <c r="AE1234">
        <f>Model!AE41</f>
        <v>91.99</v>
      </c>
      <c r="AF1234">
        <f>Model!AF41</f>
        <v>94.816000000000003</v>
      </c>
      <c r="AG1234">
        <f>Model!AG41</f>
        <v>114.182</v>
      </c>
      <c r="AH1234">
        <f>Model!AH41</f>
        <v>121.02800000000001</v>
      </c>
      <c r="AI1234">
        <f>Model!AI41</f>
        <v>140.447</v>
      </c>
      <c r="AJ1234">
        <f>Model!AJ41</f>
        <v>145.47999999999999</v>
      </c>
      <c r="AK1234">
        <f>Model!AK41</f>
        <v>158.20899999999997</v>
      </c>
      <c r="AL1234">
        <f>Model!AL41</f>
        <v>159.935</v>
      </c>
      <c r="AM1234">
        <f>Model!AM41</f>
        <v>170.44200000000001</v>
      </c>
      <c r="AN1234">
        <f>Model!AN41</f>
        <v>171.54500000000002</v>
      </c>
      <c r="AO1234">
        <f>Model!AO41</f>
        <v>186.83500000000004</v>
      </c>
      <c r="AP1234">
        <f>Model!AP41</f>
        <v>184.92100000000002</v>
      </c>
      <c r="AQ1234">
        <f>Model!AQ41</f>
        <v>197.25299999999999</v>
      </c>
      <c r="AR1234">
        <f>Model!AR41</f>
        <v>31.811000000000011</v>
      </c>
      <c r="AS1234">
        <f>Model!AS41</f>
        <v>208.49845395721738</v>
      </c>
      <c r="AT1234">
        <f>Model!AT41</f>
        <v>204.9194712655125</v>
      </c>
      <c r="AU1234">
        <f>Model!AU41</f>
        <v>220.06000446532957</v>
      </c>
      <c r="AV1234">
        <f>Model!AV41</f>
        <v>228.15569212448335</v>
      </c>
      <c r="AW1234">
        <f>Model!AW41</f>
        <v>235.77345360977247</v>
      </c>
      <c r="AX1234">
        <f>Model!AX41</f>
        <v>229.8626330975836</v>
      </c>
      <c r="AY1234">
        <f>Model!AY41</f>
        <v>244.33164771709647</v>
      </c>
      <c r="AZ1234">
        <f>Model!AZ41</f>
        <v>251.14971523765431</v>
      </c>
      <c r="BA1234">
        <f>Model!BA41</f>
        <v>263.34149547070535</v>
      </c>
      <c r="BB1234">
        <f>Model!BB41</f>
        <v>255.77369628310018</v>
      </c>
      <c r="BC1234">
        <f>Model!BC41</f>
        <v>270.18237532406118</v>
      </c>
      <c r="BD1234">
        <f>Model!BD41</f>
        <v>276.63284855148584</v>
      </c>
    </row>
    <row r="1235" spans="9:56" ht="11.25" customHeight="1">
      <c r="I1235">
        <f>Model!I42</f>
        <v>0</v>
      </c>
      <c r="J1235">
        <f>Model!J42</f>
        <v>0</v>
      </c>
      <c r="K1235">
        <f>Model!K42</f>
        <v>0</v>
      </c>
      <c r="L1235">
        <f>Model!L42</f>
        <v>0</v>
      </c>
      <c r="M1235">
        <f>Model!M42</f>
        <v>0</v>
      </c>
      <c r="N1235">
        <f>Model!N42</f>
        <v>0</v>
      </c>
      <c r="O1235">
        <f>Model!O42</f>
        <v>0</v>
      </c>
      <c r="P1235">
        <f>Model!P42</f>
        <v>0</v>
      </c>
      <c r="Q1235">
        <f>Model!Q42</f>
        <v>0</v>
      </c>
      <c r="R1235">
        <f>Model!R42</f>
        <v>0</v>
      </c>
      <c r="S1235">
        <f>Model!S42</f>
        <v>0</v>
      </c>
      <c r="T1235">
        <f>Model!T42</f>
        <v>0</v>
      </c>
      <c r="U1235">
        <f>Model!U42</f>
        <v>0</v>
      </c>
      <c r="V1235">
        <f>Model!V42</f>
        <v>0</v>
      </c>
      <c r="W1235">
        <f>Model!W42</f>
        <v>0</v>
      </c>
      <c r="X1235">
        <f>Model!X42</f>
        <v>0</v>
      </c>
      <c r="Y1235">
        <f>Model!Y42</f>
        <v>0</v>
      </c>
      <c r="Z1235">
        <f>Model!Z42</f>
        <v>0</v>
      </c>
      <c r="AA1235">
        <f>Model!AA42</f>
        <v>0</v>
      </c>
      <c r="AB1235">
        <f>Model!AB42</f>
        <v>0</v>
      </c>
      <c r="AC1235">
        <f>Model!AC42</f>
        <v>0</v>
      </c>
      <c r="AD1235">
        <f>Model!AD42</f>
        <v>0</v>
      </c>
      <c r="AE1235">
        <f>Model!AE42</f>
        <v>0</v>
      </c>
      <c r="AF1235">
        <f>Model!AF42</f>
        <v>0</v>
      </c>
      <c r="AG1235">
        <f>Model!AG42</f>
        <v>0</v>
      </c>
      <c r="AH1235">
        <f>Model!AH42</f>
        <v>0</v>
      </c>
      <c r="AI1235">
        <f>Model!AI42</f>
        <v>0</v>
      </c>
      <c r="AJ1235">
        <f>Model!AJ42</f>
        <v>0</v>
      </c>
      <c r="AK1235">
        <f>Model!AK42</f>
        <v>0</v>
      </c>
      <c r="AL1235">
        <f>Model!AL42</f>
        <v>0</v>
      </c>
      <c r="AM1235">
        <f>Model!AM42</f>
        <v>0</v>
      </c>
      <c r="AN1235">
        <f>Model!AN42</f>
        <v>0</v>
      </c>
      <c r="AO1235">
        <f>Model!AO42</f>
        <v>0</v>
      </c>
      <c r="AP1235">
        <f>Model!AP42</f>
        <v>0</v>
      </c>
      <c r="AQ1235">
        <f>Model!AQ42</f>
        <v>0</v>
      </c>
      <c r="AR1235">
        <f>Model!AR42</f>
        <v>0</v>
      </c>
      <c r="AS1235">
        <f>Model!AS42</f>
        <v>0</v>
      </c>
      <c r="AT1235">
        <f>Model!AT42</f>
        <v>0</v>
      </c>
      <c r="AU1235">
        <f>Model!AU42</f>
        <v>0</v>
      </c>
      <c r="AV1235">
        <f>Model!AV42</f>
        <v>0</v>
      </c>
      <c r="AW1235">
        <f>Model!AW42</f>
        <v>0</v>
      </c>
      <c r="AX1235">
        <f>Model!AX42</f>
        <v>0</v>
      </c>
      <c r="AY1235">
        <f>Model!AY42</f>
        <v>0</v>
      </c>
      <c r="AZ1235">
        <f>Model!AZ42</f>
        <v>0</v>
      </c>
      <c r="BA1235">
        <f>Model!BA42</f>
        <v>0</v>
      </c>
      <c r="BB1235">
        <f>Model!BB42</f>
        <v>0</v>
      </c>
      <c r="BC1235">
        <f>Model!BC42</f>
        <v>0</v>
      </c>
      <c r="BD1235">
        <f>Model!BD42</f>
        <v>0</v>
      </c>
    </row>
    <row r="1236" spans="9:56" ht="11.25" customHeight="1">
      <c r="I1236" t="str">
        <f>Model!I43</f>
        <v>Operating income (adjusted)</v>
      </c>
      <c r="J1236">
        <f>Model!J43</f>
        <v>0</v>
      </c>
      <c r="K1236">
        <f>Model!K43</f>
        <v>0</v>
      </c>
      <c r="L1236">
        <f>Model!L43</f>
        <v>0</v>
      </c>
      <c r="M1236">
        <f>Model!M43</f>
        <v>-1.3130000000000024</v>
      </c>
      <c r="N1236">
        <f>Model!N43</f>
        <v>-2.4190000000000005</v>
      </c>
      <c r="O1236">
        <f>Model!O43</f>
        <v>-2.5799999999999983</v>
      </c>
      <c r="P1236">
        <f>Model!P43</f>
        <v>-0.46299999999999919</v>
      </c>
      <c r="Q1236">
        <f>Model!Q43</f>
        <v>-1.6989999999999981</v>
      </c>
      <c r="R1236">
        <f>Model!R43</f>
        <v>-0.27499999999999858</v>
      </c>
      <c r="S1236">
        <f>Model!S43</f>
        <v>-1.9290000000000056</v>
      </c>
      <c r="T1236">
        <f>Model!T43</f>
        <v>-1.4629999999999974</v>
      </c>
      <c r="U1236">
        <f>Model!U43</f>
        <v>-2.3120000000000012</v>
      </c>
      <c r="V1236">
        <f>Model!V43</f>
        <v>-8.0000000000001847E-2</v>
      </c>
      <c r="W1236">
        <f>Model!W43</f>
        <v>0.382000000000005</v>
      </c>
      <c r="X1236">
        <f>Model!X43</f>
        <v>-0.61600000000000676</v>
      </c>
      <c r="Y1236">
        <f>Model!Y43</f>
        <v>0.7260000000000062</v>
      </c>
      <c r="Z1236">
        <f>Model!Z43</f>
        <v>5.1330000000000027</v>
      </c>
      <c r="AA1236">
        <f>Model!AA43</f>
        <v>5.2339999999999947</v>
      </c>
      <c r="AB1236">
        <f>Model!AB43</f>
        <v>6.8809999999999931</v>
      </c>
      <c r="AC1236">
        <f>Model!AC43</f>
        <v>4.8519999999999897</v>
      </c>
      <c r="AD1236">
        <f>Model!AD43</f>
        <v>13.209999999999994</v>
      </c>
      <c r="AE1236">
        <f>Model!AE43</f>
        <v>15.462000000000003</v>
      </c>
      <c r="AF1236">
        <f>Model!AF43</f>
        <v>19.808000000000007</v>
      </c>
      <c r="AG1236">
        <f>Model!AG43</f>
        <v>2.7139999999999986</v>
      </c>
      <c r="AH1236">
        <f>Model!AH43</f>
        <v>7.2529999999999859</v>
      </c>
      <c r="AI1236">
        <f>Model!AI43</f>
        <v>-3.9879999999999995</v>
      </c>
      <c r="AJ1236">
        <f>Model!AJ43</f>
        <v>2.5279999999999916</v>
      </c>
      <c r="AK1236">
        <f>Model!AK43</f>
        <v>4.8370000000000175</v>
      </c>
      <c r="AL1236">
        <f>Model!AL43</f>
        <v>19.538999999999987</v>
      </c>
      <c r="AM1236">
        <f>Model!AM43</f>
        <v>24.519999999999982</v>
      </c>
      <c r="AN1236">
        <f>Model!AN43</f>
        <v>32.384999999999991</v>
      </c>
      <c r="AO1236">
        <f>Model!AO43</f>
        <v>18.888999999999982</v>
      </c>
      <c r="AP1236">
        <f>Model!AP43</f>
        <v>32.22999999999999</v>
      </c>
      <c r="AQ1236">
        <f>Model!AQ43</f>
        <v>32.151999999999987</v>
      </c>
      <c r="AR1236">
        <f>Model!AR43</f>
        <v>31.906999999999982</v>
      </c>
      <c r="AS1236">
        <f>Model!AS43</f>
        <v>22.271578998900253</v>
      </c>
      <c r="AT1236">
        <f>Model!AT43</f>
        <v>36.363681476941935</v>
      </c>
      <c r="AU1236">
        <f>Model!AU43</f>
        <v>37.85584647899995</v>
      </c>
      <c r="AV1236">
        <f>Model!AV43</f>
        <v>44.495797403847035</v>
      </c>
      <c r="AW1236">
        <f>Model!AW43</f>
        <v>36.545490272207843</v>
      </c>
      <c r="AX1236">
        <f>Model!AX43</f>
        <v>51.827179543752408</v>
      </c>
      <c r="AY1236">
        <f>Model!AY43</f>
        <v>53.448217149168471</v>
      </c>
      <c r="AZ1236">
        <f>Model!AZ43</f>
        <v>60.29456360350656</v>
      </c>
      <c r="BA1236">
        <f>Model!BA43</f>
        <v>46.030199892158549</v>
      </c>
      <c r="BB1236">
        <f>Model!BB43</f>
        <v>63.294337598621951</v>
      </c>
      <c r="BC1236">
        <f>Model!BC43</f>
        <v>64.78931629863871</v>
      </c>
      <c r="BD1236">
        <f>Model!BD43</f>
        <v>72.195741217695712</v>
      </c>
    </row>
    <row r="1237" spans="9:56" ht="11.25" customHeight="1">
      <c r="I1237" t="str">
        <f>Model!I44</f>
        <v>Adjusted operating margin</v>
      </c>
      <c r="J1237">
        <f>Model!J44</f>
        <v>0</v>
      </c>
      <c r="K1237">
        <f>Model!K44</f>
        <v>0</v>
      </c>
      <c r="L1237">
        <f>Model!L44</f>
        <v>0</v>
      </c>
      <c r="M1237" t="str">
        <f>Model!M44</f>
        <v>NM</v>
      </c>
      <c r="N1237" t="str">
        <f>Model!N44</f>
        <v>NM</v>
      </c>
      <c r="O1237" t="str">
        <f>Model!O44</f>
        <v>NM</v>
      </c>
      <c r="P1237" t="str">
        <f>Model!P44</f>
        <v>NM</v>
      </c>
      <c r="Q1237" t="str">
        <f>Model!Q44</f>
        <v>NM</v>
      </c>
      <c r="R1237" t="str">
        <f>Model!R44</f>
        <v>NM</v>
      </c>
      <c r="S1237" t="str">
        <f>Model!S44</f>
        <v>NM</v>
      </c>
      <c r="T1237" t="str">
        <f>Model!T44</f>
        <v>NM</v>
      </c>
      <c r="U1237" t="str">
        <f>Model!U44</f>
        <v>NM</v>
      </c>
      <c r="V1237" t="str">
        <f>Model!V44</f>
        <v>NM</v>
      </c>
      <c r="W1237">
        <f>Model!W44</f>
        <v>1.0502873168183579E-2</v>
      </c>
      <c r="X1237" t="str">
        <f>Model!X44</f>
        <v>NM</v>
      </c>
      <c r="Y1237">
        <f>Model!Y44</f>
        <v>1.5737107927080531E-2</v>
      </c>
      <c r="Z1237">
        <f>Model!Z44</f>
        <v>9.3288261272558792E-2</v>
      </c>
      <c r="AA1237">
        <f>Model!AA44</f>
        <v>8.5549435282195371E-2</v>
      </c>
      <c r="AB1237">
        <f>Model!AB44</f>
        <v>9.7394233627266333E-2</v>
      </c>
      <c r="AC1237">
        <f>Model!AC44</f>
        <v>6.3502035153847031E-2</v>
      </c>
      <c r="AD1237">
        <f>Model!AD44</f>
        <v>0.14878304256253722</v>
      </c>
      <c r="AE1237">
        <f>Model!AE44</f>
        <v>0.15091503586940611</v>
      </c>
      <c r="AF1237">
        <f>Model!AF44</f>
        <v>0.1802579012986068</v>
      </c>
      <c r="AG1237">
        <f>Model!AG44</f>
        <v>2.4275491949910542E-2</v>
      </c>
      <c r="AH1237">
        <f>Model!AH44</f>
        <v>5.7746815286624092E-2</v>
      </c>
      <c r="AI1237" t="str">
        <f>Model!AI44</f>
        <v>NM</v>
      </c>
      <c r="AJ1237">
        <f>Model!AJ44</f>
        <v>1.7232447171097422E-2</v>
      </c>
      <c r="AK1237">
        <f>Model!AK44</f>
        <v>3.0495608808861933E-2</v>
      </c>
      <c r="AL1237">
        <f>Model!AL44</f>
        <v>0.11266346841340491</v>
      </c>
      <c r="AM1237">
        <f>Model!AM44</f>
        <v>0.13166373125993375</v>
      </c>
      <c r="AN1237">
        <f>Model!AN44</f>
        <v>0.16625084703998025</v>
      </c>
      <c r="AO1237">
        <f>Model!AO44</f>
        <v>9.5726296478362796E-2</v>
      </c>
      <c r="AP1237">
        <f>Model!AP44</f>
        <v>0.15431093917573152</v>
      </c>
      <c r="AQ1237">
        <f>Model!AQ44</f>
        <v>0.14458134724345709</v>
      </c>
      <c r="AR1237">
        <f>Model!AR44</f>
        <v>0.14619741026181457</v>
      </c>
      <c r="AS1237">
        <f>Model!AS44</f>
        <v>0.10068525768038089</v>
      </c>
      <c r="AT1237">
        <f>Model!AT44</f>
        <v>0.15714641952006023</v>
      </c>
      <c r="AU1237">
        <f>Model!AU44</f>
        <v>0.15264454225403207</v>
      </c>
      <c r="AV1237">
        <f>Model!AV44</f>
        <v>0.1715335289277064</v>
      </c>
      <c r="AW1237">
        <f>Model!AW44</f>
        <v>0.13938020698782549</v>
      </c>
      <c r="AX1237">
        <f>Model!AX44</f>
        <v>0.19124420495849598</v>
      </c>
      <c r="AY1237">
        <f>Model!AY44</f>
        <v>0.18636058978092213</v>
      </c>
      <c r="AZ1237">
        <f>Model!AZ44</f>
        <v>0.20342295412788988</v>
      </c>
      <c r="BA1237">
        <f>Model!BA44</f>
        <v>0.15425670205146969</v>
      </c>
      <c r="BB1237">
        <f>Model!BB44</f>
        <v>0.20590220428959644</v>
      </c>
      <c r="BC1237">
        <f>Model!BC44</f>
        <v>0.20071039745551025</v>
      </c>
      <c r="BD1237">
        <f>Model!BD44</f>
        <v>0.21745705186052924</v>
      </c>
    </row>
    <row r="1238" spans="9:56" ht="11.25" customHeight="1">
      <c r="I1238">
        <f>Model!I45</f>
        <v>0</v>
      </c>
      <c r="J1238">
        <f>Model!J45</f>
        <v>0</v>
      </c>
      <c r="K1238">
        <f>Model!K45</f>
        <v>0</v>
      </c>
      <c r="L1238">
        <f>Model!L45</f>
        <v>0</v>
      </c>
      <c r="M1238">
        <f>Model!M45</f>
        <v>0</v>
      </c>
      <c r="N1238">
        <f>Model!N45</f>
        <v>0</v>
      </c>
      <c r="O1238">
        <f>Model!O45</f>
        <v>0</v>
      </c>
      <c r="P1238">
        <f>Model!P45</f>
        <v>0</v>
      </c>
      <c r="Q1238">
        <f>Model!Q45</f>
        <v>0</v>
      </c>
      <c r="R1238">
        <f>Model!R45</f>
        <v>0</v>
      </c>
      <c r="S1238">
        <f>Model!S45</f>
        <v>0</v>
      </c>
      <c r="T1238">
        <f>Model!T45</f>
        <v>0</v>
      </c>
      <c r="U1238">
        <f>Model!U45</f>
        <v>0</v>
      </c>
      <c r="V1238">
        <f>Model!V45</f>
        <v>0</v>
      </c>
      <c r="W1238">
        <f>Model!W45</f>
        <v>0</v>
      </c>
      <c r="X1238">
        <f>Model!X45</f>
        <v>0</v>
      </c>
      <c r="Y1238">
        <f>Model!Y45</f>
        <v>0</v>
      </c>
      <c r="Z1238">
        <f>Model!Z45</f>
        <v>0</v>
      </c>
      <c r="AA1238">
        <f>Model!AA45</f>
        <v>0</v>
      </c>
      <c r="AB1238">
        <f>Model!AB45</f>
        <v>0</v>
      </c>
      <c r="AC1238">
        <f>Model!AC45</f>
        <v>0</v>
      </c>
      <c r="AD1238">
        <f>Model!AD45</f>
        <v>0</v>
      </c>
      <c r="AE1238">
        <f>Model!AE45</f>
        <v>0</v>
      </c>
      <c r="AF1238">
        <f>Model!AF45</f>
        <v>0</v>
      </c>
      <c r="AG1238">
        <f>Model!AG45</f>
        <v>0</v>
      </c>
      <c r="AH1238">
        <f>Model!AH45</f>
        <v>0</v>
      </c>
      <c r="AI1238">
        <f>Model!AI45</f>
        <v>0</v>
      </c>
      <c r="AJ1238">
        <f>Model!AJ45</f>
        <v>0</v>
      </c>
      <c r="AK1238">
        <f>Model!AK45</f>
        <v>0</v>
      </c>
      <c r="AL1238">
        <f>Model!AL45</f>
        <v>0</v>
      </c>
      <c r="AM1238">
        <f>Model!AM45</f>
        <v>0</v>
      </c>
      <c r="AN1238">
        <f>Model!AN45</f>
        <v>0</v>
      </c>
      <c r="AO1238">
        <f>Model!AO45</f>
        <v>0</v>
      </c>
      <c r="AP1238">
        <f>Model!AP45</f>
        <v>0</v>
      </c>
      <c r="AQ1238">
        <f>Model!AQ45</f>
        <v>0</v>
      </c>
      <c r="AR1238">
        <f>Model!AR45</f>
        <v>0</v>
      </c>
      <c r="AS1238">
        <f>Model!AS45</f>
        <v>0</v>
      </c>
      <c r="AT1238">
        <f>Model!AT45</f>
        <v>0</v>
      </c>
      <c r="AU1238">
        <f>Model!AU45</f>
        <v>0</v>
      </c>
      <c r="AV1238">
        <f>Model!AV45</f>
        <v>0</v>
      </c>
      <c r="AW1238">
        <f>Model!AW45</f>
        <v>0</v>
      </c>
      <c r="AX1238">
        <f>Model!AX45</f>
        <v>0</v>
      </c>
      <c r="AY1238">
        <f>Model!AY45</f>
        <v>0</v>
      </c>
      <c r="AZ1238">
        <f>Model!AZ45</f>
        <v>0</v>
      </c>
      <c r="BA1238">
        <f>Model!BA45</f>
        <v>0</v>
      </c>
      <c r="BB1238">
        <f>Model!BB45</f>
        <v>0</v>
      </c>
      <c r="BC1238">
        <f>Model!BC45</f>
        <v>0</v>
      </c>
      <c r="BD1238">
        <f>Model!BD45</f>
        <v>0</v>
      </c>
    </row>
    <row r="1239" spans="9:56" ht="11.25" customHeight="1">
      <c r="I1239" t="str">
        <f>Model!I46</f>
        <v>Operating income (GAAP)</v>
      </c>
      <c r="J1239">
        <f>Model!J46</f>
        <v>0</v>
      </c>
      <c r="K1239">
        <f>Model!K46</f>
        <v>0</v>
      </c>
      <c r="L1239">
        <f>Model!L46</f>
        <v>0</v>
      </c>
      <c r="M1239">
        <f>Model!M46</f>
        <v>-2.8660000000000032</v>
      </c>
      <c r="N1239">
        <f>Model!N46</f>
        <v>-2.6760000000000002</v>
      </c>
      <c r="O1239">
        <f>Model!O46</f>
        <v>-2.9469999999999992</v>
      </c>
      <c r="P1239">
        <f>Model!P46</f>
        <v>-1.0170000000000012</v>
      </c>
      <c r="Q1239">
        <f>Model!Q46</f>
        <v>-2.8019999999999996</v>
      </c>
      <c r="R1239">
        <f>Model!R46</f>
        <v>-1.222999999999999</v>
      </c>
      <c r="S1239">
        <f>Model!S46</f>
        <v>-3.3890000000000065</v>
      </c>
      <c r="T1239">
        <f>Model!T46</f>
        <v>-8.7569999999999979</v>
      </c>
      <c r="U1239">
        <f>Model!U46</f>
        <v>-9.7409999999999997</v>
      </c>
      <c r="V1239">
        <f>Model!V46</f>
        <v>-1.9380000000000024</v>
      </c>
      <c r="W1239">
        <f>Model!W46</f>
        <v>-1.9519999999999982</v>
      </c>
      <c r="X1239">
        <f>Model!X46</f>
        <v>-5.1360000000000099</v>
      </c>
      <c r="Y1239">
        <f>Model!Y46</f>
        <v>-4.5539999999999878</v>
      </c>
      <c r="Z1239">
        <f>Model!Z46</f>
        <v>-0.57999999999999829</v>
      </c>
      <c r="AA1239">
        <f>Model!AA46</f>
        <v>-1.7810000000000059</v>
      </c>
      <c r="AB1239">
        <f>Model!AB46</f>
        <v>-1.9080000000000013</v>
      </c>
      <c r="AC1239">
        <f>Model!AC46</f>
        <v>-4.6040000000000134</v>
      </c>
      <c r="AD1239">
        <f>Model!AD46</f>
        <v>3.1269999999999953</v>
      </c>
      <c r="AE1239">
        <f>Model!AE46</f>
        <v>4.5439999999999969</v>
      </c>
      <c r="AF1239">
        <f>Model!AF46</f>
        <v>7.9920000000000044</v>
      </c>
      <c r="AG1239">
        <f>Model!AG46</f>
        <v>-10.957000000000008</v>
      </c>
      <c r="AH1239">
        <f>Model!AH46</f>
        <v>-8.2630000000000194</v>
      </c>
      <c r="AI1239">
        <f>Model!AI46</f>
        <v>-19.671000000000006</v>
      </c>
      <c r="AJ1239">
        <f>Model!AJ46</f>
        <v>-13.443999999999988</v>
      </c>
      <c r="AK1239">
        <f>Model!AK46</f>
        <v>-14.272999999999968</v>
      </c>
      <c r="AL1239">
        <f>Model!AL46</f>
        <v>-1.1870000000000118</v>
      </c>
      <c r="AM1239">
        <f>Model!AM46</f>
        <v>1.9599999999999795</v>
      </c>
      <c r="AN1239">
        <f>Model!AN46</f>
        <v>8.5209999999999866</v>
      </c>
      <c r="AO1239">
        <f>Model!AO46</f>
        <v>-5.4450000000000216</v>
      </c>
      <c r="AP1239">
        <f>Model!AP46</f>
        <v>6.8439999999999941</v>
      </c>
      <c r="AQ1239">
        <f>Model!AQ46</f>
        <v>6.8079999999999927</v>
      </c>
      <c r="AR1239">
        <f>Model!AR46</f>
        <v>171.27799999999999</v>
      </c>
      <c r="AS1239">
        <f>Model!AS46</f>
        <v>-4.4958210010997561</v>
      </c>
      <c r="AT1239">
        <f>Model!AT46</f>
        <v>8.4621814769419359</v>
      </c>
      <c r="AU1239">
        <f>Model!AU46</f>
        <v>8.7504964789999633</v>
      </c>
      <c r="AV1239">
        <f>Model!AV46</f>
        <v>14.007397403847051</v>
      </c>
      <c r="AW1239">
        <f>Model!AW46</f>
        <v>6.5660022722078395</v>
      </c>
      <c r="AX1239">
        <f>Model!AX46</f>
        <v>20.577499543752396</v>
      </c>
      <c r="AY1239">
        <f>Model!AY46</f>
        <v>20.850225149168466</v>
      </c>
      <c r="AZ1239">
        <f>Model!AZ46</f>
        <v>26.147555603506561</v>
      </c>
      <c r="BA1239">
        <f>Model!BA46</f>
        <v>13.052763092158557</v>
      </c>
      <c r="BB1239">
        <f>Model!BB46</f>
        <v>28.919689598621943</v>
      </c>
      <c r="BC1239">
        <f>Model!BC46</f>
        <v>28.931525098638701</v>
      </c>
      <c r="BD1239">
        <f>Model!BD46</f>
        <v>34.634032417695721</v>
      </c>
    </row>
    <row r="1240" spans="9:56" ht="11.25" customHeight="1">
      <c r="I1240" t="str">
        <f>Model!I47</f>
        <v>GAAP operating margin</v>
      </c>
      <c r="J1240">
        <f>Model!J47</f>
        <v>0</v>
      </c>
      <c r="K1240">
        <f>Model!K47</f>
        <v>0</v>
      </c>
      <c r="L1240">
        <f>Model!L47</f>
        <v>0</v>
      </c>
      <c r="M1240" t="str">
        <f>Model!M47</f>
        <v>NM</v>
      </c>
      <c r="N1240" t="str">
        <f>Model!N47</f>
        <v>NM</v>
      </c>
      <c r="O1240" t="str">
        <f>Model!O47</f>
        <v>NM</v>
      </c>
      <c r="P1240" t="str">
        <f>Model!P47</f>
        <v>NM</v>
      </c>
      <c r="Q1240" t="str">
        <f>Model!Q47</f>
        <v>NM</v>
      </c>
      <c r="R1240" t="str">
        <f>Model!R47</f>
        <v>NM</v>
      </c>
      <c r="S1240" t="str">
        <f>Model!S47</f>
        <v>NM</v>
      </c>
      <c r="T1240" t="str">
        <f>Model!T47</f>
        <v>NM</v>
      </c>
      <c r="U1240" t="str">
        <f>Model!U47</f>
        <v>NM</v>
      </c>
      <c r="V1240" t="str">
        <f>Model!V47</f>
        <v>NM</v>
      </c>
      <c r="W1240" t="str">
        <f>Model!W47</f>
        <v>NM</v>
      </c>
      <c r="X1240" t="str">
        <f>Model!X47</f>
        <v>NM</v>
      </c>
      <c r="Y1240" t="str">
        <f>Model!Y47</f>
        <v>NM</v>
      </c>
      <c r="Z1240" t="str">
        <f>Model!Z47</f>
        <v>NM</v>
      </c>
      <c r="AA1240" t="str">
        <f>Model!AA47</f>
        <v>NM</v>
      </c>
      <c r="AB1240" t="str">
        <f>Model!AB47</f>
        <v>NM</v>
      </c>
      <c r="AC1240" t="str">
        <f>Model!AC47</f>
        <v>NM</v>
      </c>
      <c r="AD1240">
        <f>Model!AD47</f>
        <v>3.5219119916203891E-2</v>
      </c>
      <c r="AE1240">
        <f>Model!AE47</f>
        <v>4.4351178566199766E-2</v>
      </c>
      <c r="AF1240">
        <f>Model!AF47</f>
        <v>7.2729258238008174E-2</v>
      </c>
      <c r="AG1240" t="str">
        <f>Model!AG47</f>
        <v>NM</v>
      </c>
      <c r="AH1240" t="str">
        <f>Model!AH47</f>
        <v>NM</v>
      </c>
      <c r="AI1240" t="str">
        <f>Model!AI47</f>
        <v>NM</v>
      </c>
      <c r="AJ1240" t="str">
        <f>Model!AJ47</f>
        <v>NM</v>
      </c>
      <c r="AK1240" t="str">
        <f>Model!AK47</f>
        <v>NM</v>
      </c>
      <c r="AL1240" t="str">
        <f>Model!AL47</f>
        <v>NM</v>
      </c>
      <c r="AM1240">
        <f>Model!AM47</f>
        <v>1.0524507066454634E-2</v>
      </c>
      <c r="AN1240">
        <f>Model!AN47</f>
        <v>4.3743198012279445E-2</v>
      </c>
      <c r="AO1240" t="str">
        <f>Model!AO47</f>
        <v>NM</v>
      </c>
      <c r="AP1240">
        <f>Model!AP47</f>
        <v>3.2767734027884146E-2</v>
      </c>
      <c r="AQ1240">
        <f>Model!AQ47</f>
        <v>3.0614263872650385E-2</v>
      </c>
      <c r="AR1240">
        <f>Model!AR47</f>
        <v>0.78479330663563129</v>
      </c>
      <c r="AS1240" t="str">
        <f>Model!AS47</f>
        <v>NM</v>
      </c>
      <c r="AT1240">
        <f>Model!AT47</f>
        <v>3.6569496443137145E-2</v>
      </c>
      <c r="AU1240">
        <f>Model!AU47</f>
        <v>3.5284259995967591E-2</v>
      </c>
      <c r="AV1240">
        <f>Model!AV47</f>
        <v>5.3999218981677151E-2</v>
      </c>
      <c r="AW1240">
        <f>Model!AW47</f>
        <v>2.5041961373790389E-2</v>
      </c>
      <c r="AX1240">
        <f>Model!AX47</f>
        <v>7.5931732633772675E-2</v>
      </c>
      <c r="AY1240">
        <f>Model!AY47</f>
        <v>7.2699529808816124E-2</v>
      </c>
      <c r="AZ1240">
        <f>Model!AZ47</f>
        <v>8.8217124168375724E-2</v>
      </c>
      <c r="BA1240">
        <f>Model!BA47</f>
        <v>4.3742503660048788E-2</v>
      </c>
      <c r="BB1240">
        <f>Model!BB47</f>
        <v>9.4078365642882036E-2</v>
      </c>
      <c r="BC1240">
        <f>Model!BC47</f>
        <v>8.9626781594295851E-2</v>
      </c>
      <c r="BD1240">
        <f>Model!BD47</f>
        <v>0.10431937475209555</v>
      </c>
    </row>
    <row r="1241" spans="9:56" ht="11.25" customHeight="1">
      <c r="I1241">
        <f>Model!I48</f>
        <v>0</v>
      </c>
      <c r="J1241">
        <f>Model!J48</f>
        <v>0</v>
      </c>
      <c r="K1241">
        <f>Model!K48</f>
        <v>0</v>
      </c>
      <c r="L1241">
        <f>Model!L48</f>
        <v>0</v>
      </c>
      <c r="M1241">
        <f>Model!M48</f>
        <v>0</v>
      </c>
      <c r="N1241">
        <f>Model!N48</f>
        <v>0</v>
      </c>
      <c r="O1241">
        <f>Model!O48</f>
        <v>0</v>
      </c>
      <c r="P1241">
        <f>Model!P48</f>
        <v>0</v>
      </c>
      <c r="Q1241">
        <f>Model!Q48</f>
        <v>0</v>
      </c>
      <c r="R1241">
        <f>Model!R48</f>
        <v>0</v>
      </c>
      <c r="S1241">
        <f>Model!S48</f>
        <v>0</v>
      </c>
      <c r="T1241">
        <f>Model!T48</f>
        <v>0</v>
      </c>
      <c r="U1241">
        <f>Model!U48</f>
        <v>0</v>
      </c>
      <c r="V1241">
        <f>Model!V48</f>
        <v>0</v>
      </c>
      <c r="W1241">
        <f>Model!W48</f>
        <v>0</v>
      </c>
      <c r="X1241">
        <f>Model!X48</f>
        <v>0</v>
      </c>
      <c r="Y1241">
        <f>Model!Y48</f>
        <v>0</v>
      </c>
      <c r="Z1241">
        <f>Model!Z48</f>
        <v>0</v>
      </c>
      <c r="AA1241">
        <f>Model!AA48</f>
        <v>0</v>
      </c>
      <c r="AB1241">
        <f>Model!AB48</f>
        <v>0</v>
      </c>
      <c r="AC1241">
        <f>Model!AC48</f>
        <v>0</v>
      </c>
      <c r="AD1241">
        <f>Model!AD48</f>
        <v>0</v>
      </c>
      <c r="AE1241">
        <f>Model!AE48</f>
        <v>0</v>
      </c>
      <c r="AF1241">
        <f>Model!AF48</f>
        <v>0</v>
      </c>
      <c r="AG1241">
        <f>Model!AG48</f>
        <v>0</v>
      </c>
      <c r="AH1241">
        <f>Model!AH48</f>
        <v>0</v>
      </c>
      <c r="AI1241">
        <f>Model!AI48</f>
        <v>0</v>
      </c>
      <c r="AJ1241">
        <f>Model!AJ48</f>
        <v>0</v>
      </c>
      <c r="AK1241">
        <f>Model!AK48</f>
        <v>0</v>
      </c>
      <c r="AL1241">
        <f>Model!AL48</f>
        <v>0</v>
      </c>
      <c r="AM1241">
        <f>Model!AM48</f>
        <v>0</v>
      </c>
      <c r="AN1241">
        <f>Model!AN48</f>
        <v>0</v>
      </c>
      <c r="AO1241">
        <f>Model!AO48</f>
        <v>0</v>
      </c>
      <c r="AP1241">
        <f>Model!AP48</f>
        <v>0</v>
      </c>
      <c r="AQ1241">
        <f>Model!AQ48</f>
        <v>0</v>
      </c>
      <c r="AR1241">
        <f>Model!AR48</f>
        <v>0</v>
      </c>
      <c r="AS1241">
        <f>Model!AS48</f>
        <v>0</v>
      </c>
      <c r="AT1241">
        <f>Model!AT48</f>
        <v>0</v>
      </c>
      <c r="AU1241">
        <f>Model!AU48</f>
        <v>0</v>
      </c>
      <c r="AV1241">
        <f>Model!AV48</f>
        <v>0</v>
      </c>
      <c r="AW1241">
        <f>Model!AW48</f>
        <v>0</v>
      </c>
      <c r="AX1241">
        <f>Model!AX48</f>
        <v>0</v>
      </c>
      <c r="AY1241">
        <f>Model!AY48</f>
        <v>0</v>
      </c>
      <c r="AZ1241">
        <f>Model!AZ48</f>
        <v>0</v>
      </c>
      <c r="BA1241">
        <f>Model!BA48</f>
        <v>0</v>
      </c>
      <c r="BB1241">
        <f>Model!BB48</f>
        <v>0</v>
      </c>
      <c r="BC1241">
        <f>Model!BC48</f>
        <v>0</v>
      </c>
      <c r="BD1241">
        <f>Model!BD48</f>
        <v>0</v>
      </c>
    </row>
    <row r="1242" spans="9:56" ht="11.25" customHeight="1">
      <c r="I1242" t="str">
        <f>Model!I49</f>
        <v>Adjusted EBITDA</v>
      </c>
      <c r="J1242">
        <f>Model!J49</f>
        <v>0</v>
      </c>
      <c r="K1242">
        <f>Model!K49</f>
        <v>0</v>
      </c>
      <c r="L1242">
        <f>Model!L49</f>
        <v>0</v>
      </c>
      <c r="M1242">
        <f>Model!M49</f>
        <v>-0.86900000000000244</v>
      </c>
      <c r="N1242">
        <f>Model!N49</f>
        <v>-1.9660000000000004</v>
      </c>
      <c r="O1242">
        <f>Model!O49</f>
        <v>-1.9939999999999984</v>
      </c>
      <c r="P1242">
        <f>Model!P49</f>
        <v>0.38800000000000079</v>
      </c>
      <c r="Q1242">
        <f>Model!Q49</f>
        <v>-0.87999999999999812</v>
      </c>
      <c r="R1242">
        <f>Model!R49</f>
        <v>0.64900000000000146</v>
      </c>
      <c r="S1242">
        <f>Model!S49</f>
        <v>-0.88200000000000567</v>
      </c>
      <c r="T1242">
        <f>Model!T49</f>
        <v>-1.499999999999746E-2</v>
      </c>
      <c r="U1242">
        <f>Model!U49</f>
        <v>-0.95100000000000118</v>
      </c>
      <c r="V1242">
        <f>Model!V49</f>
        <v>1.5809999999999982</v>
      </c>
      <c r="W1242">
        <f>Model!W49</f>
        <v>2.1620000000000053</v>
      </c>
      <c r="X1242">
        <f>Model!X49</f>
        <v>1.8049999999999931</v>
      </c>
      <c r="Y1242">
        <f>Model!Y49</f>
        <v>3.2040000000000064</v>
      </c>
      <c r="Z1242">
        <f>Model!Z49</f>
        <v>7.7700000000000031</v>
      </c>
      <c r="AA1242">
        <f>Model!AA49</f>
        <v>8.0499999999999936</v>
      </c>
      <c r="AB1242">
        <f>Model!AB49</f>
        <v>10.404999999999994</v>
      </c>
      <c r="AC1242">
        <f>Model!AC49</f>
        <v>8.5129999999999892</v>
      </c>
      <c r="AD1242">
        <f>Model!AD49</f>
        <v>17.243999999999993</v>
      </c>
      <c r="AE1242">
        <f>Model!AE49</f>
        <v>20.066000000000003</v>
      </c>
      <c r="AF1242">
        <f>Model!AF49</f>
        <v>25.099000000000007</v>
      </c>
      <c r="AG1242">
        <f>Model!AG49</f>
        <v>9.6089999999999982</v>
      </c>
      <c r="AH1242">
        <f>Model!AH49</f>
        <v>14.419999999999986</v>
      </c>
      <c r="AI1242">
        <f>Model!AI49</f>
        <v>3.5740000000000007</v>
      </c>
      <c r="AJ1242">
        <f>Model!AJ49</f>
        <v>10.507999999999992</v>
      </c>
      <c r="AK1242">
        <f>Model!AK49</f>
        <v>13.026000000000018</v>
      </c>
      <c r="AL1242">
        <f>Model!AL49</f>
        <v>28.102999999999987</v>
      </c>
      <c r="AM1242">
        <f>Model!AM49</f>
        <v>33.678999999999981</v>
      </c>
      <c r="AN1242">
        <f>Model!AN49</f>
        <v>45.273999999999987</v>
      </c>
      <c r="AO1242">
        <f>Model!AO49</f>
        <v>29.270999999999979</v>
      </c>
      <c r="AP1242">
        <f>Model!AP49</f>
        <v>42.891999999999989</v>
      </c>
      <c r="AQ1242">
        <f>Model!AQ49</f>
        <v>42.807999999999986</v>
      </c>
      <c r="AR1242">
        <f>Model!AR49</f>
        <v>41.635999999999981</v>
      </c>
      <c r="AS1242">
        <f>Model!AS49</f>
        <v>32.778578998900251</v>
      </c>
      <c r="AT1242">
        <f>Model!AT49</f>
        <v>47.355181476941937</v>
      </c>
      <c r="AU1242">
        <f>Model!AU49</f>
        <v>49.635846478999952</v>
      </c>
      <c r="AV1242">
        <f>Model!AV49</f>
        <v>56.817297403847036</v>
      </c>
      <c r="AW1242">
        <f>Model!AW49</f>
        <v>44.23587203215029</v>
      </c>
      <c r="AX1242">
        <f>Model!AX49</f>
        <v>59.837247969970896</v>
      </c>
      <c r="AY1242">
        <f>Model!AY49</f>
        <v>61.798811170069271</v>
      </c>
      <c r="AZ1242">
        <f>Model!AZ49</f>
        <v>68.916133656516024</v>
      </c>
      <c r="BA1242">
        <f>Model!BA49</f>
        <v>54.812523929800328</v>
      </c>
      <c r="BB1242">
        <f>Model!BB49</f>
        <v>72.407898988815731</v>
      </c>
      <c r="BC1242">
        <f>Model!BC49</f>
        <v>74.227759852504732</v>
      </c>
      <c r="BD1242">
        <f>Model!BD49</f>
        <v>81.869217186111086</v>
      </c>
    </row>
    <row r="1243" spans="9:56" ht="11.25" customHeight="1">
      <c r="I1243" t="str">
        <f>Model!I50</f>
        <v>Y/Y % Growth</v>
      </c>
      <c r="J1243">
        <f>Model!J50</f>
        <v>0</v>
      </c>
      <c r="K1243">
        <f>Model!K50</f>
        <v>0</v>
      </c>
      <c r="L1243">
        <f>Model!L50</f>
        <v>0</v>
      </c>
      <c r="M1243">
        <f>Model!M50</f>
        <v>0</v>
      </c>
      <c r="N1243">
        <f>Model!N50</f>
        <v>0</v>
      </c>
      <c r="O1243">
        <f>Model!O50</f>
        <v>0</v>
      </c>
      <c r="P1243">
        <f>Model!P50</f>
        <v>0</v>
      </c>
      <c r="Q1243">
        <f>Model!Q50</f>
        <v>1.2658227848096226E-2</v>
      </c>
      <c r="R1243">
        <f>Model!R50</f>
        <v>-1.3301119023397769</v>
      </c>
      <c r="S1243">
        <f>Model!S50</f>
        <v>-0.55767301905716837</v>
      </c>
      <c r="T1243">
        <f>Model!T50</f>
        <v>-1.0386597938144264</v>
      </c>
      <c r="U1243">
        <f>Model!U50</f>
        <v>8.0681818181821852E-2</v>
      </c>
      <c r="V1243">
        <f>Model!V50</f>
        <v>1.4360554699537667</v>
      </c>
      <c r="W1243">
        <f>Model!W50</f>
        <v>-3.45124716553287</v>
      </c>
      <c r="X1243">
        <f>Model!X50</f>
        <v>-121.33333333335325</v>
      </c>
      <c r="Y1243">
        <f>Model!Y50</f>
        <v>-4.3690851735015794</v>
      </c>
      <c r="Z1243">
        <f>Model!Z50</f>
        <v>3.9146110056926071</v>
      </c>
      <c r="AA1243">
        <f>Model!AA50</f>
        <v>2.7234042553191369</v>
      </c>
      <c r="AB1243">
        <f>Model!AB50</f>
        <v>4.7645429362881071</v>
      </c>
      <c r="AC1243">
        <f>Model!AC50</f>
        <v>1.6569912609238364</v>
      </c>
      <c r="AD1243">
        <f>Model!AD50</f>
        <v>1.2193050193050174</v>
      </c>
      <c r="AE1243">
        <f>Model!AE50</f>
        <v>1.4926708074534183</v>
      </c>
      <c r="AF1243">
        <f>Model!AF50</f>
        <v>1.412205670350795</v>
      </c>
      <c r="AG1243">
        <f>Model!AG50</f>
        <v>0.12874427346411488</v>
      </c>
      <c r="AH1243">
        <f>Model!AH50</f>
        <v>-0.1637671073996757</v>
      </c>
      <c r="AI1243">
        <f>Model!AI50</f>
        <v>-0.82188777035781913</v>
      </c>
      <c r="AJ1243">
        <f>Model!AJ50</f>
        <v>-0.58133790190844303</v>
      </c>
      <c r="AK1243">
        <f>Model!AK50</f>
        <v>0.35560412113643669</v>
      </c>
      <c r="AL1243">
        <f>Model!AL50</f>
        <v>0.94889042995839223</v>
      </c>
      <c r="AM1243">
        <f>Model!AM50</f>
        <v>8.4233351986569591</v>
      </c>
      <c r="AN1243">
        <f>Model!AN50</f>
        <v>3.3085268366958527</v>
      </c>
      <c r="AO1243">
        <f>Model!AO50</f>
        <v>1.2471211423307187</v>
      </c>
      <c r="AP1243">
        <f>Model!AP50</f>
        <v>0.52624274988435427</v>
      </c>
      <c r="AQ1243">
        <f>Model!AQ50</f>
        <v>0.27105911695715457</v>
      </c>
      <c r="AR1243">
        <f>Model!AR50</f>
        <v>-8.035517073817211E-2</v>
      </c>
      <c r="AS1243">
        <f>Model!AS50</f>
        <v>0.11983119807660403</v>
      </c>
      <c r="AT1243">
        <f>Model!AT50</f>
        <v>0.10405626869677209</v>
      </c>
      <c r="AU1243">
        <f>Model!AU50</f>
        <v>0.15949931038590837</v>
      </c>
      <c r="AV1243">
        <f>Model!AV50</f>
        <v>0.36461949764259449</v>
      </c>
      <c r="AW1243">
        <f>Model!AW50</f>
        <v>0.34953598914810913</v>
      </c>
      <c r="AX1243">
        <f>Model!AX50</f>
        <v>0.26358396491641978</v>
      </c>
      <c r="AY1243">
        <f>Model!AY50</f>
        <v>0.24504396628382796</v>
      </c>
      <c r="AZ1243">
        <f>Model!AZ50</f>
        <v>0.21294283264958302</v>
      </c>
      <c r="BA1243">
        <f>Model!BA50</f>
        <v>0.23909671973829316</v>
      </c>
      <c r="BB1243">
        <f>Model!BB50</f>
        <v>0.21008070132425494</v>
      </c>
      <c r="BC1243">
        <f>Model!BC50</f>
        <v>0.20111954335547333</v>
      </c>
      <c r="BD1243">
        <f>Model!BD50</f>
        <v>0.18795429810607711</v>
      </c>
    </row>
    <row r="1244" spans="9:56" ht="11.25" customHeight="1">
      <c r="I1244" t="str">
        <f>Model!I51</f>
        <v>Adjusted EBITDA margin</v>
      </c>
      <c r="J1244">
        <f>Model!J51</f>
        <v>0</v>
      </c>
      <c r="K1244">
        <f>Model!K51</f>
        <v>0</v>
      </c>
      <c r="L1244">
        <f>Model!L51</f>
        <v>0</v>
      </c>
      <c r="M1244">
        <f>Model!M51</f>
        <v>-9.5118213660245463E-2</v>
      </c>
      <c r="N1244">
        <f>Model!N51</f>
        <v>-0.18327584599608471</v>
      </c>
      <c r="O1244">
        <f>Model!O51</f>
        <v>-0.15832936318881993</v>
      </c>
      <c r="P1244">
        <f>Model!P51</f>
        <v>2.5402645017677149E-2</v>
      </c>
      <c r="Q1244">
        <f>Model!Q51</f>
        <v>-5.3333333333333219E-2</v>
      </c>
      <c r="R1244">
        <f>Model!R51</f>
        <v>3.3149453468178644E-2</v>
      </c>
      <c r="S1244">
        <f>Model!S51</f>
        <v>-3.954802259887031E-2</v>
      </c>
      <c r="T1244">
        <f>Model!T51</f>
        <v>-6.022886970486834E-4</v>
      </c>
      <c r="U1244">
        <f>Model!U51</f>
        <v>-3.4727040350556918E-2</v>
      </c>
      <c r="V1244">
        <f>Model!V51</f>
        <v>4.841821578415454E-2</v>
      </c>
      <c r="W1244">
        <f>Model!W51</f>
        <v>5.9442962800033132E-2</v>
      </c>
      <c r="X1244">
        <f>Model!X51</f>
        <v>4.3856452122360549E-2</v>
      </c>
      <c r="Y1244">
        <f>Model!Y51</f>
        <v>6.9451368868272301E-2</v>
      </c>
      <c r="Z1244">
        <f>Model!Z51</f>
        <v>0.14121367428166409</v>
      </c>
      <c r="AA1244">
        <f>Model!AA51</f>
        <v>0.13157679671793521</v>
      </c>
      <c r="AB1244">
        <f>Model!AB51</f>
        <v>0.1472732162319004</v>
      </c>
      <c r="AC1244">
        <f>Model!AC51</f>
        <v>0.11141649325323583</v>
      </c>
      <c r="AD1244">
        <f>Model!AD51</f>
        <v>0.19421762194915912</v>
      </c>
      <c r="AE1244">
        <f>Model!AE51</f>
        <v>0.1958518373920258</v>
      </c>
      <c r="AF1244">
        <f>Model!AF51</f>
        <v>0.22840736392839925</v>
      </c>
      <c r="AG1244">
        <f>Model!AG51</f>
        <v>8.5948121645796044E-2</v>
      </c>
      <c r="AH1244">
        <f>Model!AH51</f>
        <v>0.11480891719745212</v>
      </c>
      <c r="AI1244">
        <f>Model!AI51</f>
        <v>2.6552748885586931E-2</v>
      </c>
      <c r="AJ1244">
        <f>Model!AJ51</f>
        <v>7.1629175187457345E-2</v>
      </c>
      <c r="AK1244">
        <f>Model!AK51</f>
        <v>8.2124416031472941E-2</v>
      </c>
      <c r="AL1244">
        <f>Model!AL51</f>
        <v>0.16204419124939448</v>
      </c>
      <c r="AM1244">
        <f>Model!AM51</f>
        <v>0.18084432320975977</v>
      </c>
      <c r="AN1244">
        <f>Model!AN51</f>
        <v>0.23241750343949563</v>
      </c>
      <c r="AO1244">
        <f>Model!AO51</f>
        <v>0.14834053810250189</v>
      </c>
      <c r="AP1244">
        <f>Model!AP51</f>
        <v>0.20535851080128689</v>
      </c>
      <c r="AQ1244">
        <f>Model!AQ51</f>
        <v>0.19249932547890991</v>
      </c>
      <c r="AR1244">
        <f>Model!AR51</f>
        <v>0.19077554685996526</v>
      </c>
      <c r="AS1244">
        <f>Model!AS51</f>
        <v>0.14818525768038088</v>
      </c>
      <c r="AT1244">
        <f>Model!AT51</f>
        <v>0.20464641952006021</v>
      </c>
      <c r="AU1244">
        <f>Model!AU51</f>
        <v>0.20014454225403205</v>
      </c>
      <c r="AV1244">
        <f>Model!AV51</f>
        <v>0.21903352892770639</v>
      </c>
      <c r="AW1244">
        <f>Model!AW51</f>
        <v>0.16871041964969599</v>
      </c>
      <c r="AX1244">
        <f>Model!AX51</f>
        <v>0.22080165302572285</v>
      </c>
      <c r="AY1244">
        <f>Model!AY51</f>
        <v>0.21547702639494165</v>
      </c>
      <c r="AZ1244">
        <f>Model!AZ51</f>
        <v>0.23251057239040496</v>
      </c>
      <c r="BA1244">
        <f>Model!BA51</f>
        <v>0.18368808287466598</v>
      </c>
      <c r="BB1244">
        <f>Model!BB51</f>
        <v>0.23554944368515199</v>
      </c>
      <c r="BC1244">
        <f>Model!BC51</f>
        <v>0.22994968975373212</v>
      </c>
      <c r="BD1244">
        <f>Model!BD51</f>
        <v>0.24659402766900929</v>
      </c>
    </row>
    <row r="1245" spans="9:56" ht="11.25" customHeight="1">
      <c r="I1245" t="str">
        <f>Model!I52</f>
        <v>Y/Y Change in bp</v>
      </c>
      <c r="J1245">
        <f>Model!J52</f>
        <v>0</v>
      </c>
      <c r="K1245">
        <f>Model!K52</f>
        <v>0</v>
      </c>
      <c r="L1245">
        <f>Model!L52</f>
        <v>0</v>
      </c>
      <c r="M1245">
        <f>Model!M52</f>
        <v>0</v>
      </c>
      <c r="N1245">
        <f>Model!N52</f>
        <v>0</v>
      </c>
      <c r="O1245">
        <f>Model!O52</f>
        <v>0</v>
      </c>
      <c r="P1245">
        <f>Model!P52</f>
        <v>0</v>
      </c>
      <c r="Q1245">
        <f>Model!Q52</f>
        <v>417.84880326912241</v>
      </c>
      <c r="R1245">
        <f>Model!R52</f>
        <v>2164.2529946426334</v>
      </c>
      <c r="S1245">
        <f>Model!S52</f>
        <v>1187.8134058994963</v>
      </c>
      <c r="T1245">
        <f>Model!T52</f>
        <v>-260.04933714725831</v>
      </c>
      <c r="U1245">
        <f>Model!U52</f>
        <v>186.06292982776301</v>
      </c>
      <c r="V1245">
        <f>Model!V52</f>
        <v>152.68762315975897</v>
      </c>
      <c r="W1245">
        <f>Model!W52</f>
        <v>989.90985398903445</v>
      </c>
      <c r="X1245">
        <f>Model!X52</f>
        <v>444.58740819409229</v>
      </c>
      <c r="Y1245">
        <f>Model!Y52</f>
        <v>1041.7840921882921</v>
      </c>
      <c r="Z1245">
        <f>Model!Z52</f>
        <v>927.9545849750956</v>
      </c>
      <c r="AA1245">
        <f>Model!AA52</f>
        <v>721.33833917902064</v>
      </c>
      <c r="AB1245">
        <f>Model!AB52</f>
        <v>1034.1676410953985</v>
      </c>
      <c r="AC1245">
        <f>Model!AC52</f>
        <v>419.65124384963525</v>
      </c>
      <c r="AD1245">
        <f>Model!AD52</f>
        <v>530.03947667495027</v>
      </c>
      <c r="AE1245">
        <f>Model!AE52</f>
        <v>642.75040674090599</v>
      </c>
      <c r="AF1245">
        <f>Model!AF52</f>
        <v>811.34147696498849</v>
      </c>
      <c r="AG1245">
        <f>Model!AG52</f>
        <v>-254.68371607439784</v>
      </c>
      <c r="AH1245">
        <f>Model!AH52</f>
        <v>-794.08704751707</v>
      </c>
      <c r="AI1245">
        <f>Model!AI52</f>
        <v>-1692.9908850643887</v>
      </c>
      <c r="AJ1245">
        <f>Model!AJ52</f>
        <v>-1567.7818874094191</v>
      </c>
      <c r="AK1245">
        <f>Model!AK52</f>
        <v>-38.23705614323103</v>
      </c>
      <c r="AL1245">
        <f>Model!AL52</f>
        <v>472.35274051942361</v>
      </c>
      <c r="AM1245">
        <f>Model!AM52</f>
        <v>1542.9157432417285</v>
      </c>
      <c r="AN1245">
        <f>Model!AN52</f>
        <v>1607.8832825203829</v>
      </c>
      <c r="AO1245">
        <f>Model!AO52</f>
        <v>662.16122071028951</v>
      </c>
      <c r="AP1245">
        <f>Model!AP52</f>
        <v>433.14319551892413</v>
      </c>
      <c r="AQ1245">
        <f>Model!AQ52</f>
        <v>116.55002269150144</v>
      </c>
      <c r="AR1245">
        <f>Model!AR52</f>
        <v>-416.41956579530375</v>
      </c>
      <c r="AS1245">
        <f>Model!AS52</f>
        <v>-1.5528042212101245</v>
      </c>
      <c r="AT1245">
        <f>Model!AT52</f>
        <v>-7.1209128122667886</v>
      </c>
      <c r="AU1245">
        <f>Model!AU52</f>
        <v>76.452167751221438</v>
      </c>
      <c r="AV1245">
        <f>Model!AV52</f>
        <v>282.57982067741131</v>
      </c>
      <c r="AW1245">
        <f>Model!AW52</f>
        <v>205.25161969315116</v>
      </c>
      <c r="AX1245">
        <f>Model!AX52</f>
        <v>161.55233505662642</v>
      </c>
      <c r="AY1245">
        <f>Model!AY52</f>
        <v>153.32484140909597</v>
      </c>
      <c r="AZ1245">
        <f>Model!AZ52</f>
        <v>134.77043462698569</v>
      </c>
      <c r="BA1245">
        <f>Model!BA52</f>
        <v>149.7766322496999</v>
      </c>
      <c r="BB1245">
        <f>Model!BB52</f>
        <v>147.47790659429134</v>
      </c>
      <c r="BC1245">
        <f>Model!BC52</f>
        <v>144.72663358790467</v>
      </c>
      <c r="BD1245">
        <f>Model!BD52</f>
        <v>140.83455278604328</v>
      </c>
    </row>
    <row r="1246" spans="9:56" ht="11.25" customHeight="1">
      <c r="I1246" t="str">
        <f>Model!I53</f>
        <v>Incremental EBITDA margin</v>
      </c>
      <c r="J1246">
        <f>Model!J53</f>
        <v>0</v>
      </c>
      <c r="K1246">
        <f>Model!K53</f>
        <v>0</v>
      </c>
      <c r="L1246">
        <f>Model!L53</f>
        <v>0</v>
      </c>
      <c r="M1246">
        <f>Model!M53</f>
        <v>0</v>
      </c>
      <c r="N1246">
        <f>Model!N53</f>
        <v>0</v>
      </c>
      <c r="O1246">
        <f>Model!O53</f>
        <v>0</v>
      </c>
      <c r="P1246">
        <f>Model!P53</f>
        <v>0</v>
      </c>
      <c r="Q1246" t="str">
        <f>Model!Q53</f>
        <v>NM</v>
      </c>
      <c r="R1246" t="str">
        <f>Model!R53</f>
        <v>NM</v>
      </c>
      <c r="S1246" t="str">
        <f>Model!S53</f>
        <v>NM</v>
      </c>
      <c r="T1246" t="str">
        <f>Model!T53</f>
        <v>NM</v>
      </c>
      <c r="U1246" t="str">
        <f>Model!U53</f>
        <v>NM</v>
      </c>
      <c r="V1246">
        <f>Model!V53</f>
        <v>7.1281070745697644E-2</v>
      </c>
      <c r="W1246" t="str">
        <f>Model!W53</f>
        <v>NM</v>
      </c>
      <c r="X1246" t="str">
        <f>Model!X53</f>
        <v>NM</v>
      </c>
      <c r="Y1246" t="str">
        <f>Model!Y53</f>
        <v>NM</v>
      </c>
      <c r="Z1246">
        <f>Model!Z53</f>
        <v>0.27666517657577133</v>
      </c>
      <c r="AA1246">
        <f>Model!AA53</f>
        <v>0.23732365981459047</v>
      </c>
      <c r="AB1246">
        <f>Model!AB53</f>
        <v>0.2915847290974436</v>
      </c>
      <c r="AC1246">
        <f>Model!AC53</f>
        <v>0.17536499966968305</v>
      </c>
      <c r="AD1246">
        <f>Model!AD53</f>
        <v>0.28059471626584492</v>
      </c>
      <c r="AE1246">
        <f>Model!AE53</f>
        <v>0.29112758637398867</v>
      </c>
      <c r="AF1246">
        <f>Model!AF53</f>
        <v>0.37450300744214526</v>
      </c>
      <c r="AG1246">
        <f>Model!AG53</f>
        <v>3.0966575311502528E-2</v>
      </c>
      <c r="AH1246">
        <f>Model!AH53</f>
        <v>-7.6712031075978807E-2</v>
      </c>
      <c r="AI1246">
        <f>Model!AI53</f>
        <v>-0.51305024109503816</v>
      </c>
      <c r="AJ1246">
        <f>Model!AJ53</f>
        <v>-0.39635454866487435</v>
      </c>
      <c r="AK1246">
        <f>Model!AK53</f>
        <v>7.2992544805930384E-2</v>
      </c>
      <c r="AL1246">
        <f>Model!AL53</f>
        <v>0.28608764740319481</v>
      </c>
      <c r="AM1246">
        <f>Model!AM53</f>
        <v>0.58306863960334632</v>
      </c>
      <c r="AN1246">
        <f>Model!AN53</f>
        <v>0.722845974717232</v>
      </c>
      <c r="AO1246">
        <f>Model!AO53</f>
        <v>0.41965900284164193</v>
      </c>
      <c r="AP1246">
        <f>Model!AP53</f>
        <v>0.41734394401173941</v>
      </c>
      <c r="AQ1246">
        <f>Model!AQ53</f>
        <v>0.25254509239791983</v>
      </c>
      <c r="AR1246">
        <f>Model!AR53</f>
        <v>-0.15513859275053316</v>
      </c>
      <c r="AS1246">
        <f>Model!AS53</f>
        <v>0.1469019976923514</v>
      </c>
      <c r="AT1246">
        <f>Model!AT53</f>
        <v>0.19804674640317482</v>
      </c>
      <c r="AU1246">
        <f>Model!AU53</f>
        <v>0.26650454640905408</v>
      </c>
      <c r="AV1246">
        <f>Model!AV53</f>
        <v>0.36888995975718197</v>
      </c>
      <c r="AW1246">
        <f>Model!AW53</f>
        <v>0.27944617154268386</v>
      </c>
      <c r="AX1246">
        <f>Model!AX53</f>
        <v>0.31520369931891318</v>
      </c>
      <c r="AY1246">
        <f>Model!AY53</f>
        <v>0.31347847141931229</v>
      </c>
      <c r="AZ1246">
        <f>Model!AZ53</f>
        <v>0.32699557439645915</v>
      </c>
      <c r="BA1246">
        <f>Model!BA53</f>
        <v>0.2921727043549735</v>
      </c>
      <c r="BB1246">
        <f>Model!BB53</f>
        <v>0.34534755546276985</v>
      </c>
      <c r="BC1246">
        <f>Model!BC53</f>
        <v>0.34524857451209612</v>
      </c>
      <c r="BD1246">
        <f>Model!BD53</f>
        <v>0.36385066094368129</v>
      </c>
    </row>
    <row r="1247" spans="9:56" ht="11.25" customHeight="1">
      <c r="I1247">
        <f>Model!I54</f>
        <v>0</v>
      </c>
      <c r="J1247">
        <f>Model!J54</f>
        <v>0</v>
      </c>
      <c r="K1247">
        <f>Model!K54</f>
        <v>0</v>
      </c>
      <c r="L1247">
        <f>Model!L54</f>
        <v>0</v>
      </c>
      <c r="M1247">
        <f>Model!M54</f>
        <v>0</v>
      </c>
      <c r="N1247">
        <f>Model!N54</f>
        <v>0</v>
      </c>
      <c r="O1247">
        <f>Model!O54</f>
        <v>0</v>
      </c>
      <c r="P1247">
        <f>Model!P54</f>
        <v>0</v>
      </c>
      <c r="Q1247">
        <f>Model!Q54</f>
        <v>0</v>
      </c>
      <c r="R1247">
        <f>Model!R54</f>
        <v>0</v>
      </c>
      <c r="S1247">
        <f>Model!S54</f>
        <v>0</v>
      </c>
      <c r="T1247">
        <f>Model!T54</f>
        <v>0</v>
      </c>
      <c r="U1247">
        <f>Model!U54</f>
        <v>0</v>
      </c>
      <c r="V1247">
        <f>Model!V54</f>
        <v>0</v>
      </c>
      <c r="W1247">
        <f>Model!W54</f>
        <v>0</v>
      </c>
      <c r="X1247">
        <f>Model!X54</f>
        <v>0</v>
      </c>
      <c r="Y1247">
        <f>Model!Y54</f>
        <v>0</v>
      </c>
      <c r="Z1247">
        <f>Model!Z54</f>
        <v>0</v>
      </c>
      <c r="AA1247">
        <f>Model!AA54</f>
        <v>0</v>
      </c>
      <c r="AB1247">
        <f>Model!AB54</f>
        <v>0</v>
      </c>
      <c r="AC1247">
        <f>Model!AC54</f>
        <v>0</v>
      </c>
      <c r="AD1247">
        <f>Model!AD54</f>
        <v>0</v>
      </c>
      <c r="AE1247">
        <f>Model!AE54</f>
        <v>0</v>
      </c>
      <c r="AF1247">
        <f>Model!AF54</f>
        <v>0</v>
      </c>
      <c r="AG1247">
        <f>Model!AG54</f>
        <v>0</v>
      </c>
      <c r="AH1247">
        <f>Model!AH54</f>
        <v>0</v>
      </c>
      <c r="AI1247">
        <f>Model!AI54</f>
        <v>0</v>
      </c>
      <c r="AJ1247">
        <f>Model!AJ54</f>
        <v>0</v>
      </c>
      <c r="AK1247">
        <f>Model!AK54</f>
        <v>0</v>
      </c>
      <c r="AL1247">
        <f>Model!AL54</f>
        <v>0</v>
      </c>
      <c r="AM1247">
        <f>Model!AM54</f>
        <v>0</v>
      </c>
      <c r="AN1247">
        <f>Model!AN54</f>
        <v>0</v>
      </c>
      <c r="AO1247">
        <f>Model!AO54</f>
        <v>0</v>
      </c>
      <c r="AP1247">
        <f>Model!AP54</f>
        <v>0</v>
      </c>
      <c r="AQ1247">
        <f>Model!AQ54</f>
        <v>0</v>
      </c>
      <c r="AR1247">
        <f>Model!AR54</f>
        <v>0</v>
      </c>
      <c r="AS1247">
        <f>Model!AS54</f>
        <v>0</v>
      </c>
      <c r="AT1247">
        <f>Model!AT54</f>
        <v>0</v>
      </c>
      <c r="AU1247">
        <f>Model!AU54</f>
        <v>0</v>
      </c>
      <c r="AV1247">
        <f>Model!AV54</f>
        <v>0</v>
      </c>
      <c r="AW1247">
        <f>Model!AW54</f>
        <v>0</v>
      </c>
      <c r="AX1247">
        <f>Model!AX54</f>
        <v>0</v>
      </c>
      <c r="AY1247">
        <f>Model!AY54</f>
        <v>0</v>
      </c>
      <c r="AZ1247">
        <f>Model!AZ54</f>
        <v>0</v>
      </c>
      <c r="BA1247">
        <f>Model!BA54</f>
        <v>0</v>
      </c>
      <c r="BB1247">
        <f>Model!BB54</f>
        <v>0</v>
      </c>
      <c r="BC1247">
        <f>Model!BC54</f>
        <v>0</v>
      </c>
      <c r="BD1247">
        <f>Model!BD54</f>
        <v>0</v>
      </c>
    </row>
    <row r="1248" spans="9:56" ht="11.25" customHeight="1">
      <c r="I1248">
        <f>Model!I55</f>
        <v>0</v>
      </c>
      <c r="J1248">
        <f>Model!J55</f>
        <v>0</v>
      </c>
      <c r="K1248">
        <f>Model!K55</f>
        <v>0</v>
      </c>
      <c r="L1248">
        <f>Model!L55</f>
        <v>0</v>
      </c>
      <c r="M1248">
        <f>Model!M55</f>
        <v>0</v>
      </c>
      <c r="N1248">
        <f>Model!N55</f>
        <v>0</v>
      </c>
      <c r="O1248">
        <f>Model!O55</f>
        <v>0</v>
      </c>
      <c r="P1248">
        <f>Model!P55</f>
        <v>0</v>
      </c>
      <c r="Q1248">
        <f>Model!Q55</f>
        <v>0</v>
      </c>
      <c r="R1248">
        <f>Model!R55</f>
        <v>0</v>
      </c>
      <c r="S1248">
        <f>Model!S55</f>
        <v>0</v>
      </c>
      <c r="T1248">
        <f>Model!T55</f>
        <v>0</v>
      </c>
      <c r="U1248">
        <f>Model!U55</f>
        <v>0</v>
      </c>
      <c r="V1248">
        <f>Model!V55</f>
        <v>0</v>
      </c>
      <c r="W1248">
        <f>Model!W55</f>
        <v>0</v>
      </c>
      <c r="X1248">
        <f>Model!X55</f>
        <v>0</v>
      </c>
      <c r="Y1248">
        <f>Model!Y55</f>
        <v>0</v>
      </c>
      <c r="Z1248">
        <f>Model!Z55</f>
        <v>0</v>
      </c>
      <c r="AA1248">
        <f>Model!AA55</f>
        <v>0</v>
      </c>
      <c r="AB1248">
        <f>Model!AB55</f>
        <v>0</v>
      </c>
      <c r="AC1248">
        <f>Model!AC55</f>
        <v>0</v>
      </c>
      <c r="AD1248">
        <f>Model!AD55</f>
        <v>0</v>
      </c>
      <c r="AE1248">
        <f>Model!AE55</f>
        <v>0</v>
      </c>
      <c r="AF1248">
        <f>Model!AF55</f>
        <v>0</v>
      </c>
      <c r="AG1248">
        <f>Model!AG55</f>
        <v>0</v>
      </c>
      <c r="AH1248">
        <f>Model!AH55</f>
        <v>0</v>
      </c>
      <c r="AI1248">
        <f>Model!AI55</f>
        <v>0</v>
      </c>
      <c r="AJ1248">
        <f>Model!AJ55</f>
        <v>0</v>
      </c>
      <c r="AK1248">
        <f>Model!AK55</f>
        <v>0</v>
      </c>
      <c r="AL1248">
        <f>Model!AL55</f>
        <v>0</v>
      </c>
      <c r="AM1248">
        <f>Model!AM55</f>
        <v>0</v>
      </c>
      <c r="AN1248">
        <f>Model!AN55</f>
        <v>0</v>
      </c>
      <c r="AO1248">
        <f>Model!AO55</f>
        <v>0</v>
      </c>
      <c r="AP1248">
        <f>Model!AP55</f>
        <v>0</v>
      </c>
      <c r="AQ1248">
        <f>Model!AQ55</f>
        <v>0</v>
      </c>
      <c r="AR1248">
        <f>Model!AR55</f>
        <v>0</v>
      </c>
      <c r="AS1248">
        <f>Model!AS55</f>
        <v>0</v>
      </c>
      <c r="AT1248">
        <f>Model!AT55</f>
        <v>0</v>
      </c>
      <c r="AU1248">
        <f>Model!AU55</f>
        <v>0</v>
      </c>
      <c r="AV1248">
        <f>Model!AV55</f>
        <v>0</v>
      </c>
      <c r="AW1248">
        <f>Model!AW55</f>
        <v>0</v>
      </c>
      <c r="AX1248">
        <f>Model!AX55</f>
        <v>0</v>
      </c>
      <c r="AY1248">
        <f>Model!AY55</f>
        <v>0</v>
      </c>
      <c r="AZ1248">
        <f>Model!AZ55</f>
        <v>0</v>
      </c>
      <c r="BA1248">
        <f>Model!BA55</f>
        <v>0</v>
      </c>
      <c r="BB1248">
        <f>Model!BB55</f>
        <v>0</v>
      </c>
      <c r="BC1248">
        <f>Model!BC55</f>
        <v>0</v>
      </c>
      <c r="BD1248">
        <f>Model!BD55</f>
        <v>0</v>
      </c>
    </row>
    <row r="1249" spans="9:56" ht="11.25" customHeight="1">
      <c r="I1249" t="str">
        <f>Model!I56</f>
        <v>Interest &amp; other income / (expense), net (adjusted)</v>
      </c>
      <c r="J1249">
        <f>Model!J56</f>
        <v>0</v>
      </c>
      <c r="K1249">
        <f>Model!K56</f>
        <v>0</v>
      </c>
      <c r="L1249">
        <f>Model!L56</f>
        <v>0</v>
      </c>
      <c r="M1249">
        <f>Model!M56</f>
        <v>-3.9E-2</v>
      </c>
      <c r="N1249">
        <f>Model!N56</f>
        <v>1.4999999999999999E-2</v>
      </c>
      <c r="O1249">
        <f>Model!O56</f>
        <v>0.104</v>
      </c>
      <c r="P1249">
        <f>Model!P56</f>
        <v>-6.5000000000000002E-2</v>
      </c>
      <c r="Q1249">
        <f>Model!Q56</f>
        <v>0.108</v>
      </c>
      <c r="R1249">
        <f>Model!R56</f>
        <v>7.4999999999999997E-2</v>
      </c>
      <c r="S1249">
        <f>Model!S56</f>
        <v>-0.32600000000000001</v>
      </c>
      <c r="T1249">
        <f>Model!T56</f>
        <v>-0.252</v>
      </c>
      <c r="U1249">
        <f>Model!U56</f>
        <v>-0.03</v>
      </c>
      <c r="V1249">
        <f>Model!V56</f>
        <v>2.1999999999999999E-2</v>
      </c>
      <c r="W1249">
        <f>Model!W56</f>
        <v>-1.4E-2</v>
      </c>
      <c r="X1249">
        <f>Model!X56</f>
        <v>-0.20300000000000001</v>
      </c>
      <c r="Y1249">
        <f>Model!Y56</f>
        <v>-0.20100000000000001</v>
      </c>
      <c r="Z1249">
        <f>Model!Z56</f>
        <v>-6.6000000000000003E-2</v>
      </c>
      <c r="AA1249">
        <f>Model!AA56</f>
        <v>-3.1E-2</v>
      </c>
      <c r="AB1249">
        <f>Model!AB56</f>
        <v>-0.109</v>
      </c>
      <c r="AC1249">
        <f>Model!AC56</f>
        <v>-2E-3</v>
      </c>
      <c r="AD1249">
        <f>Model!AD56</f>
        <v>-1.4999999999999999E-2</v>
      </c>
      <c r="AE1249">
        <f>Model!AE56</f>
        <v>0.2</v>
      </c>
      <c r="AF1249">
        <f>Model!AF56</f>
        <v>3.7999999999999999E-2</v>
      </c>
      <c r="AG1249">
        <f>Model!AG56</f>
        <v>0.56200000000000006</v>
      </c>
      <c r="AH1249">
        <f>Model!AH56</f>
        <v>0.32900000000000001</v>
      </c>
      <c r="AI1249">
        <f>Model!AI56</f>
        <v>-0.54500000000000004</v>
      </c>
      <c r="AJ1249">
        <f>Model!AJ56</f>
        <v>0.04</v>
      </c>
      <c r="AK1249">
        <f>Model!AK56</f>
        <v>0.25800000000000001</v>
      </c>
      <c r="AL1249">
        <f>Model!AL56</f>
        <v>0.36699999999999999</v>
      </c>
      <c r="AM1249">
        <f>Model!AM56</f>
        <v>0.32700000000000001</v>
      </c>
      <c r="AN1249">
        <f>Model!AN56</f>
        <v>0.74199999999999999</v>
      </c>
      <c r="AO1249">
        <f>Model!AO56</f>
        <v>0.73199999999999998</v>
      </c>
      <c r="AP1249">
        <f>Model!AP56</f>
        <v>0.86399999999999999</v>
      </c>
      <c r="AQ1249">
        <f>Model!AQ56</f>
        <v>1.371</v>
      </c>
      <c r="AR1249">
        <f>Model!AR56</f>
        <v>1.897</v>
      </c>
      <c r="AS1249">
        <f>Model!AS56</f>
        <v>0.64619492701213921</v>
      </c>
      <c r="AT1249">
        <f>Model!AT56</f>
        <v>0.64641470714940685</v>
      </c>
      <c r="AU1249">
        <f>Model!AU56</f>
        <v>0.67047695259570128</v>
      </c>
      <c r="AV1249">
        <f>Model!AV56</f>
        <v>0.72214963615737993</v>
      </c>
      <c r="AW1249">
        <f>Model!AW56</f>
        <v>0.75706991096655607</v>
      </c>
      <c r="AX1249">
        <f>Model!AX56</f>
        <v>0.77927700481111895</v>
      </c>
      <c r="AY1249">
        <f>Model!AY56</f>
        <v>0.81158030463807318</v>
      </c>
      <c r="AZ1249">
        <f>Model!AZ56</f>
        <v>0.84273153159402669</v>
      </c>
      <c r="BA1249">
        <f>Model!BA56</f>
        <v>0.88156036233928714</v>
      </c>
      <c r="BB1249">
        <f>Model!BB56</f>
        <v>0.90929818944829244</v>
      </c>
      <c r="BC1249">
        <f>Model!BC56</f>
        <v>0.94770585634617033</v>
      </c>
      <c r="BD1249">
        <f>Model!BD56</f>
        <v>0.98377990480209088</v>
      </c>
    </row>
    <row r="1250" spans="9:56" ht="11.25" customHeight="1">
      <c r="I1250" t="str">
        <f>Model!I57</f>
        <v>One-time items</v>
      </c>
      <c r="J1250">
        <f>Model!J57</f>
        <v>0</v>
      </c>
      <c r="K1250">
        <f>Model!K57</f>
        <v>0</v>
      </c>
      <c r="L1250">
        <f>Model!L57</f>
        <v>0</v>
      </c>
      <c r="M1250">
        <f>Model!M57</f>
        <v>0</v>
      </c>
      <c r="N1250">
        <f>Model!N57</f>
        <v>0</v>
      </c>
      <c r="O1250">
        <f>Model!O57</f>
        <v>0</v>
      </c>
      <c r="P1250">
        <f>Model!P57</f>
        <v>0</v>
      </c>
      <c r="Q1250">
        <f>Model!Q57</f>
        <v>0</v>
      </c>
      <c r="R1250">
        <f>Model!R57</f>
        <v>0</v>
      </c>
      <c r="S1250">
        <f>Model!S57</f>
        <v>0</v>
      </c>
      <c r="T1250">
        <f>Model!T57</f>
        <v>0</v>
      </c>
      <c r="U1250">
        <f>Model!U57</f>
        <v>0</v>
      </c>
      <c r="V1250">
        <f>Model!V57</f>
        <v>0</v>
      </c>
      <c r="W1250">
        <f>Model!W57</f>
        <v>0</v>
      </c>
      <c r="X1250">
        <f>Model!X57</f>
        <v>0</v>
      </c>
      <c r="Y1250">
        <f>Model!Y57</f>
        <v>0</v>
      </c>
      <c r="Z1250">
        <f>Model!Z57</f>
        <v>0</v>
      </c>
      <c r="AA1250">
        <f>Model!AA57</f>
        <v>0</v>
      </c>
      <c r="AB1250">
        <f>Model!AB57</f>
        <v>0</v>
      </c>
      <c r="AC1250">
        <f>Model!AC57</f>
        <v>0</v>
      </c>
      <c r="AD1250">
        <f>Model!AD57</f>
        <v>0</v>
      </c>
      <c r="AE1250">
        <f>Model!AE57</f>
        <v>0</v>
      </c>
      <c r="AF1250">
        <f>Model!AF57</f>
        <v>0</v>
      </c>
      <c r="AG1250">
        <f>Model!AG57</f>
        <v>0</v>
      </c>
      <c r="AH1250">
        <f>Model!AH57</f>
        <v>0</v>
      </c>
      <c r="AI1250">
        <f>Model!AI57</f>
        <v>0</v>
      </c>
      <c r="AJ1250">
        <f>Model!AJ57</f>
        <v>0</v>
      </c>
      <c r="AK1250">
        <f>Model!AK57</f>
        <v>0</v>
      </c>
      <c r="AL1250">
        <f>Model!AL57</f>
        <v>0</v>
      </c>
      <c r="AM1250">
        <f>Model!AM57</f>
        <v>0</v>
      </c>
      <c r="AN1250">
        <f>Model!AN57</f>
        <v>0</v>
      </c>
      <c r="AO1250">
        <f>Model!AO57</f>
        <v>0</v>
      </c>
      <c r="AP1250">
        <f>Model!AP57</f>
        <v>0</v>
      </c>
      <c r="AQ1250">
        <f>Model!AQ57</f>
        <v>0</v>
      </c>
      <c r="AR1250">
        <f>Model!AR57</f>
        <v>0</v>
      </c>
      <c r="AS1250">
        <f>Model!AS57</f>
        <v>0</v>
      </c>
      <c r="AT1250">
        <f>Model!AT57</f>
        <v>0</v>
      </c>
      <c r="AU1250">
        <f>Model!AU57</f>
        <v>0</v>
      </c>
      <c r="AV1250">
        <f>Model!AV57</f>
        <v>0</v>
      </c>
      <c r="AW1250">
        <f>Model!AW57</f>
        <v>0</v>
      </c>
      <c r="AX1250">
        <f>Model!AX57</f>
        <v>0</v>
      </c>
      <c r="AY1250">
        <f>Model!AY57</f>
        <v>0</v>
      </c>
      <c r="AZ1250">
        <f>Model!AZ57</f>
        <v>0</v>
      </c>
      <c r="BA1250">
        <f>Model!BA57</f>
        <v>0</v>
      </c>
      <c r="BB1250">
        <f>Model!BB57</f>
        <v>0</v>
      </c>
      <c r="BC1250">
        <f>Model!BC57</f>
        <v>0</v>
      </c>
      <c r="BD1250">
        <f>Model!BD57</f>
        <v>0</v>
      </c>
    </row>
    <row r="1251" spans="9:56" ht="11.25" customHeight="1">
      <c r="I1251" t="str">
        <f>Model!I58</f>
        <v>Interest &amp; other income / (expense), net (GAAP)</v>
      </c>
      <c r="J1251">
        <f>Model!J58</f>
        <v>0</v>
      </c>
      <c r="K1251">
        <f>Model!K58</f>
        <v>0</v>
      </c>
      <c r="L1251">
        <f>Model!L58</f>
        <v>0</v>
      </c>
      <c r="M1251">
        <f>Model!M58</f>
        <v>-3.9E-2</v>
      </c>
      <c r="N1251">
        <f>Model!N58</f>
        <v>1.4999999999999999E-2</v>
      </c>
      <c r="O1251">
        <f>Model!O58</f>
        <v>0.104</v>
      </c>
      <c r="P1251">
        <f>Model!P58</f>
        <v>-6.5000000000000002E-2</v>
      </c>
      <c r="Q1251">
        <f>Model!Q58</f>
        <v>0.108</v>
      </c>
      <c r="R1251">
        <f>Model!R58</f>
        <v>7.4999999999999997E-2</v>
      </c>
      <c r="S1251">
        <f>Model!S58</f>
        <v>-0.32600000000000001</v>
      </c>
      <c r="T1251">
        <f>Model!T58</f>
        <v>-0.252</v>
      </c>
      <c r="U1251">
        <f>Model!U58</f>
        <v>-0.03</v>
      </c>
      <c r="V1251">
        <f>Model!V58</f>
        <v>2.1999999999999999E-2</v>
      </c>
      <c r="W1251">
        <f>Model!W58</f>
        <v>-1.4E-2</v>
      </c>
      <c r="X1251">
        <f>Model!X58</f>
        <v>-0.20300000000000001</v>
      </c>
      <c r="Y1251">
        <f>Model!Y58</f>
        <v>-0.20100000000000001</v>
      </c>
      <c r="Z1251">
        <f>Model!Z58</f>
        <v>-6.6000000000000003E-2</v>
      </c>
      <c r="AA1251">
        <f>Model!AA58</f>
        <v>-3.1E-2</v>
      </c>
      <c r="AB1251">
        <f>Model!AB58</f>
        <v>-0.109</v>
      </c>
      <c r="AC1251">
        <f>Model!AC58</f>
        <v>-2E-3</v>
      </c>
      <c r="AD1251">
        <f>Model!AD58</f>
        <v>-1.4999999999999999E-2</v>
      </c>
      <c r="AE1251">
        <f>Model!AE58</f>
        <v>0.2</v>
      </c>
      <c r="AF1251">
        <f>Model!AF58</f>
        <v>3.7999999999999999E-2</v>
      </c>
      <c r="AG1251">
        <f>Model!AG58</f>
        <v>0.56200000000000006</v>
      </c>
      <c r="AH1251">
        <f>Model!AH58</f>
        <v>0.32900000000000001</v>
      </c>
      <c r="AI1251">
        <f>Model!AI58</f>
        <v>-0.54500000000000004</v>
      </c>
      <c r="AJ1251">
        <f>Model!AJ58</f>
        <v>0.04</v>
      </c>
      <c r="AK1251">
        <f>Model!AK58</f>
        <v>0.25800000000000001</v>
      </c>
      <c r="AL1251">
        <f>Model!AL58</f>
        <v>0.36699999999999999</v>
      </c>
      <c r="AM1251">
        <f>Model!AM58</f>
        <v>0.32700000000000001</v>
      </c>
      <c r="AN1251">
        <f>Model!AN58</f>
        <v>0.74199999999999999</v>
      </c>
      <c r="AO1251">
        <f>Model!AO58</f>
        <v>0.73199999999999998</v>
      </c>
      <c r="AP1251">
        <f>Model!AP58</f>
        <v>0.86399999999999999</v>
      </c>
      <c r="AQ1251">
        <f>Model!AQ58</f>
        <v>1.371</v>
      </c>
      <c r="AR1251">
        <f>Model!AR58</f>
        <v>1.897</v>
      </c>
      <c r="AS1251">
        <f>Model!AS58</f>
        <v>0.64619492701213921</v>
      </c>
      <c r="AT1251">
        <f>Model!AT58</f>
        <v>0.64641470714940685</v>
      </c>
      <c r="AU1251">
        <f>Model!AU58</f>
        <v>0.67047695259570128</v>
      </c>
      <c r="AV1251">
        <f>Model!AV58</f>
        <v>0.72214963615737993</v>
      </c>
      <c r="AW1251">
        <f>Model!AW58</f>
        <v>0.75706991096655607</v>
      </c>
      <c r="AX1251">
        <f>Model!AX58</f>
        <v>0.77927700481111895</v>
      </c>
      <c r="AY1251">
        <f>Model!AY58</f>
        <v>0.81158030463807318</v>
      </c>
      <c r="AZ1251">
        <f>Model!AZ58</f>
        <v>0.84273153159402669</v>
      </c>
      <c r="BA1251">
        <f>Model!BA58</f>
        <v>0.88156036233928714</v>
      </c>
      <c r="BB1251">
        <f>Model!BB58</f>
        <v>0.90929818944829244</v>
      </c>
      <c r="BC1251">
        <f>Model!BC58</f>
        <v>0.94770585634617033</v>
      </c>
      <c r="BD1251">
        <f>Model!BD58</f>
        <v>0.98377990480209088</v>
      </c>
    </row>
    <row r="1252" spans="9:56" ht="11.25" customHeight="1">
      <c r="I1252">
        <f>Model!I59</f>
        <v>0</v>
      </c>
      <c r="J1252">
        <f>Model!J59</f>
        <v>0</v>
      </c>
      <c r="K1252">
        <f>Model!K59</f>
        <v>0</v>
      </c>
      <c r="L1252">
        <f>Model!L59</f>
        <v>0</v>
      </c>
      <c r="M1252">
        <f>Model!M59</f>
        <v>0</v>
      </c>
      <c r="N1252">
        <f>Model!N59</f>
        <v>0</v>
      </c>
      <c r="O1252">
        <f>Model!O59</f>
        <v>0</v>
      </c>
      <c r="P1252">
        <f>Model!P59</f>
        <v>0</v>
      </c>
      <c r="Q1252">
        <f>Model!Q59</f>
        <v>0</v>
      </c>
      <c r="R1252">
        <f>Model!R59</f>
        <v>0</v>
      </c>
      <c r="S1252">
        <f>Model!S59</f>
        <v>0</v>
      </c>
      <c r="T1252">
        <f>Model!T59</f>
        <v>0</v>
      </c>
      <c r="U1252">
        <f>Model!U59</f>
        <v>0</v>
      </c>
      <c r="V1252">
        <f>Model!V59</f>
        <v>0</v>
      </c>
      <c r="W1252">
        <f>Model!W59</f>
        <v>0</v>
      </c>
      <c r="X1252">
        <f>Model!X59</f>
        <v>0</v>
      </c>
      <c r="Y1252">
        <f>Model!Y59</f>
        <v>0</v>
      </c>
      <c r="Z1252">
        <f>Model!Z59</f>
        <v>0</v>
      </c>
      <c r="AA1252">
        <f>Model!AA59</f>
        <v>0</v>
      </c>
      <c r="AB1252">
        <f>Model!AB59</f>
        <v>0</v>
      </c>
      <c r="AC1252">
        <f>Model!AC59</f>
        <v>0</v>
      </c>
      <c r="AD1252">
        <f>Model!AD59</f>
        <v>0</v>
      </c>
      <c r="AE1252">
        <f>Model!AE59</f>
        <v>0</v>
      </c>
      <c r="AF1252">
        <f>Model!AF59</f>
        <v>0</v>
      </c>
      <c r="AG1252">
        <f>Model!AG59</f>
        <v>0</v>
      </c>
      <c r="AH1252">
        <f>Model!AH59</f>
        <v>0</v>
      </c>
      <c r="AI1252">
        <f>Model!AI59</f>
        <v>0</v>
      </c>
      <c r="AJ1252">
        <f>Model!AJ59</f>
        <v>0</v>
      </c>
      <c r="AK1252">
        <f>Model!AK59</f>
        <v>0</v>
      </c>
      <c r="AL1252">
        <f>Model!AL59</f>
        <v>0</v>
      </c>
      <c r="AM1252">
        <f>Model!AM59</f>
        <v>0</v>
      </c>
      <c r="AN1252">
        <f>Model!AN59</f>
        <v>0</v>
      </c>
      <c r="AO1252">
        <f>Model!AO59</f>
        <v>0</v>
      </c>
      <c r="AP1252">
        <f>Model!AP59</f>
        <v>0</v>
      </c>
      <c r="AQ1252">
        <f>Model!AQ59</f>
        <v>0</v>
      </c>
      <c r="AR1252">
        <f>Model!AR59</f>
        <v>0</v>
      </c>
      <c r="AS1252">
        <f>Model!AS59</f>
        <v>0</v>
      </c>
      <c r="AT1252">
        <f>Model!AT59</f>
        <v>0</v>
      </c>
      <c r="AU1252">
        <f>Model!AU59</f>
        <v>0</v>
      </c>
      <c r="AV1252">
        <f>Model!AV59</f>
        <v>0</v>
      </c>
      <c r="AW1252">
        <f>Model!AW59</f>
        <v>0</v>
      </c>
      <c r="AX1252">
        <f>Model!AX59</f>
        <v>0</v>
      </c>
      <c r="AY1252">
        <f>Model!AY59</f>
        <v>0</v>
      </c>
      <c r="AZ1252">
        <f>Model!AZ59</f>
        <v>0</v>
      </c>
      <c r="BA1252">
        <f>Model!BA59</f>
        <v>0</v>
      </c>
      <c r="BB1252">
        <f>Model!BB59</f>
        <v>0</v>
      </c>
      <c r="BC1252">
        <f>Model!BC59</f>
        <v>0</v>
      </c>
      <c r="BD1252">
        <f>Model!BD59</f>
        <v>0</v>
      </c>
    </row>
    <row r="1253" spans="9:56" ht="11.25" customHeight="1">
      <c r="I1253" t="str">
        <f>Model!I60</f>
        <v>Pre-tax income (adjusted)</v>
      </c>
      <c r="J1253">
        <f>Model!J60</f>
        <v>0</v>
      </c>
      <c r="K1253">
        <f>Model!K60</f>
        <v>0</v>
      </c>
      <c r="L1253">
        <f>Model!L60</f>
        <v>0</v>
      </c>
      <c r="M1253">
        <f>Model!M60</f>
        <v>-1.3520000000000023</v>
      </c>
      <c r="N1253">
        <f>Model!N60</f>
        <v>-2.4040000000000004</v>
      </c>
      <c r="O1253">
        <f>Model!O60</f>
        <v>-2.4759999999999982</v>
      </c>
      <c r="P1253">
        <f>Model!P60</f>
        <v>-0.52799999999999914</v>
      </c>
      <c r="Q1253">
        <f>Model!Q60</f>
        <v>-1.590999999999998</v>
      </c>
      <c r="R1253">
        <f>Model!R60</f>
        <v>-0.19999999999999857</v>
      </c>
      <c r="S1253">
        <f>Model!S60</f>
        <v>-2.2550000000000057</v>
      </c>
      <c r="T1253">
        <f>Model!T60</f>
        <v>-1.7149999999999974</v>
      </c>
      <c r="U1253">
        <f>Model!U60</f>
        <v>-2.342000000000001</v>
      </c>
      <c r="V1253">
        <f>Model!V60</f>
        <v>-5.8000000000001849E-2</v>
      </c>
      <c r="W1253">
        <f>Model!W60</f>
        <v>0.36800000000000499</v>
      </c>
      <c r="X1253">
        <f>Model!X60</f>
        <v>-0.81900000000000683</v>
      </c>
      <c r="Y1253">
        <f>Model!Y60</f>
        <v>0.52500000000000613</v>
      </c>
      <c r="Z1253">
        <f>Model!Z60</f>
        <v>5.0670000000000028</v>
      </c>
      <c r="AA1253">
        <f>Model!AA60</f>
        <v>5.202999999999995</v>
      </c>
      <c r="AB1253">
        <f>Model!AB60</f>
        <v>6.7719999999999931</v>
      </c>
      <c r="AC1253">
        <f>Model!AC60</f>
        <v>4.8499999999999899</v>
      </c>
      <c r="AD1253">
        <f>Model!AD60</f>
        <v>13.194999999999993</v>
      </c>
      <c r="AE1253">
        <f>Model!AE60</f>
        <v>15.662000000000003</v>
      </c>
      <c r="AF1253">
        <f>Model!AF60</f>
        <v>19.846000000000007</v>
      </c>
      <c r="AG1253">
        <f>Model!AG60</f>
        <v>3.2759999999999989</v>
      </c>
      <c r="AH1253">
        <f>Model!AH60</f>
        <v>7.5819999999999856</v>
      </c>
      <c r="AI1253">
        <f>Model!AI60</f>
        <v>-4.5329999999999995</v>
      </c>
      <c r="AJ1253">
        <f>Model!AJ60</f>
        <v>2.5679999999999916</v>
      </c>
      <c r="AK1253">
        <f>Model!AK60</f>
        <v>5.0950000000000175</v>
      </c>
      <c r="AL1253">
        <f>Model!AL60</f>
        <v>19.905999999999988</v>
      </c>
      <c r="AM1253">
        <f>Model!AM60</f>
        <v>24.846999999999984</v>
      </c>
      <c r="AN1253">
        <f>Model!AN60</f>
        <v>33.126999999999988</v>
      </c>
      <c r="AO1253">
        <f>Model!AO60</f>
        <v>19.620999999999981</v>
      </c>
      <c r="AP1253">
        <f>Model!AP60</f>
        <v>33.093999999999987</v>
      </c>
      <c r="AQ1253">
        <f>Model!AQ60</f>
        <v>33.522999999999989</v>
      </c>
      <c r="AR1253">
        <f>Model!AR60</f>
        <v>33.803999999999981</v>
      </c>
      <c r="AS1253">
        <f>Model!AS60</f>
        <v>22.917773925912392</v>
      </c>
      <c r="AT1253">
        <f>Model!AT60</f>
        <v>37.010096184091339</v>
      </c>
      <c r="AU1253">
        <f>Model!AU60</f>
        <v>38.52632343159565</v>
      </c>
      <c r="AV1253">
        <f>Model!AV60</f>
        <v>45.217947040004418</v>
      </c>
      <c r="AW1253">
        <f>Model!AW60</f>
        <v>37.3025601831744</v>
      </c>
      <c r="AX1253">
        <f>Model!AX60</f>
        <v>52.606456548563528</v>
      </c>
      <c r="AY1253">
        <f>Model!AY60</f>
        <v>54.259797453806542</v>
      </c>
      <c r="AZ1253">
        <f>Model!AZ60</f>
        <v>61.137295135100587</v>
      </c>
      <c r="BA1253">
        <f>Model!BA60</f>
        <v>46.911760254497835</v>
      </c>
      <c r="BB1253">
        <f>Model!BB60</f>
        <v>64.203635788070244</v>
      </c>
      <c r="BC1253">
        <f>Model!BC60</f>
        <v>65.737022154984885</v>
      </c>
      <c r="BD1253">
        <f>Model!BD60</f>
        <v>73.179521122497803</v>
      </c>
    </row>
    <row r="1254" spans="9:56" ht="11.25" customHeight="1">
      <c r="I1254">
        <f>Model!I61</f>
        <v>0</v>
      </c>
      <c r="J1254">
        <f>Model!J61</f>
        <v>0</v>
      </c>
      <c r="K1254">
        <f>Model!K61</f>
        <v>0</v>
      </c>
      <c r="L1254">
        <f>Model!L61</f>
        <v>0</v>
      </c>
      <c r="M1254">
        <f>Model!M61</f>
        <v>0</v>
      </c>
      <c r="N1254">
        <f>Model!N61</f>
        <v>0</v>
      </c>
      <c r="O1254">
        <f>Model!O61</f>
        <v>0</v>
      </c>
      <c r="P1254">
        <f>Model!P61</f>
        <v>0</v>
      </c>
      <c r="Q1254">
        <f>Model!Q61</f>
        <v>0</v>
      </c>
      <c r="R1254">
        <f>Model!R61</f>
        <v>0</v>
      </c>
      <c r="S1254">
        <f>Model!S61</f>
        <v>0</v>
      </c>
      <c r="T1254">
        <f>Model!T61</f>
        <v>0</v>
      </c>
      <c r="U1254">
        <f>Model!U61</f>
        <v>0</v>
      </c>
      <c r="V1254">
        <f>Model!V61</f>
        <v>0</v>
      </c>
      <c r="W1254">
        <f>Model!W61</f>
        <v>0</v>
      </c>
      <c r="X1254">
        <f>Model!X61</f>
        <v>0</v>
      </c>
      <c r="Y1254">
        <f>Model!Y61</f>
        <v>0</v>
      </c>
      <c r="Z1254">
        <f>Model!Z61</f>
        <v>0</v>
      </c>
      <c r="AA1254">
        <f>Model!AA61</f>
        <v>0</v>
      </c>
      <c r="AB1254">
        <f>Model!AB61</f>
        <v>0</v>
      </c>
      <c r="AC1254">
        <f>Model!AC61</f>
        <v>0</v>
      </c>
      <c r="AD1254">
        <f>Model!AD61</f>
        <v>0</v>
      </c>
      <c r="AE1254">
        <f>Model!AE61</f>
        <v>0</v>
      </c>
      <c r="AF1254">
        <f>Model!AF61</f>
        <v>0</v>
      </c>
      <c r="AG1254">
        <f>Model!AG61</f>
        <v>0</v>
      </c>
      <c r="AH1254">
        <f>Model!AH61</f>
        <v>0</v>
      </c>
      <c r="AI1254">
        <f>Model!AI61</f>
        <v>0</v>
      </c>
      <c r="AJ1254">
        <f>Model!AJ61</f>
        <v>0</v>
      </c>
      <c r="AK1254">
        <f>Model!AK61</f>
        <v>0</v>
      </c>
      <c r="AL1254">
        <f>Model!AL61</f>
        <v>0</v>
      </c>
      <c r="AM1254">
        <f>Model!AM61</f>
        <v>0</v>
      </c>
      <c r="AN1254">
        <f>Model!AN61</f>
        <v>0</v>
      </c>
      <c r="AO1254">
        <f>Model!AO61</f>
        <v>0</v>
      </c>
      <c r="AP1254">
        <f>Model!AP61</f>
        <v>0</v>
      </c>
      <c r="AQ1254">
        <f>Model!AQ61</f>
        <v>0</v>
      </c>
      <c r="AR1254">
        <f>Model!AR61</f>
        <v>0</v>
      </c>
      <c r="AS1254">
        <f>Model!AS61</f>
        <v>0</v>
      </c>
      <c r="AT1254">
        <f>Model!AT61</f>
        <v>0</v>
      </c>
      <c r="AU1254">
        <f>Model!AU61</f>
        <v>0</v>
      </c>
      <c r="AV1254">
        <f>Model!AV61</f>
        <v>0</v>
      </c>
      <c r="AW1254">
        <f>Model!AW61</f>
        <v>0</v>
      </c>
      <c r="AX1254">
        <f>Model!AX61</f>
        <v>0</v>
      </c>
      <c r="AY1254">
        <f>Model!AY61</f>
        <v>0</v>
      </c>
      <c r="AZ1254">
        <f>Model!AZ61</f>
        <v>0</v>
      </c>
      <c r="BA1254">
        <f>Model!BA61</f>
        <v>0</v>
      </c>
      <c r="BB1254">
        <f>Model!BB61</f>
        <v>0</v>
      </c>
      <c r="BC1254">
        <f>Model!BC61</f>
        <v>0</v>
      </c>
      <c r="BD1254">
        <f>Model!BD61</f>
        <v>0</v>
      </c>
    </row>
    <row r="1255" spans="9:56" ht="11.25" customHeight="1">
      <c r="I1255" t="str">
        <f>Model!I62</f>
        <v>Pre-tax income (GAAP)</v>
      </c>
      <c r="J1255">
        <f>Model!J62</f>
        <v>0</v>
      </c>
      <c r="K1255">
        <f>Model!K62</f>
        <v>0</v>
      </c>
      <c r="L1255">
        <f>Model!L62</f>
        <v>0</v>
      </c>
      <c r="M1255">
        <f>Model!M62</f>
        <v>-2.9050000000000034</v>
      </c>
      <c r="N1255">
        <f>Model!N62</f>
        <v>-2.661</v>
      </c>
      <c r="O1255">
        <f>Model!O62</f>
        <v>-2.8429999999999991</v>
      </c>
      <c r="P1255">
        <f>Model!P62</f>
        <v>-1.0820000000000012</v>
      </c>
      <c r="Q1255">
        <f>Model!Q62</f>
        <v>-2.6939999999999995</v>
      </c>
      <c r="R1255">
        <f>Model!R62</f>
        <v>-1.147999999999999</v>
      </c>
      <c r="S1255">
        <f>Model!S62</f>
        <v>-3.7150000000000065</v>
      </c>
      <c r="T1255">
        <f>Model!T62</f>
        <v>-9.0089999999999986</v>
      </c>
      <c r="U1255">
        <f>Model!U62</f>
        <v>-9.770999999999999</v>
      </c>
      <c r="V1255">
        <f>Model!V62</f>
        <v>-1.9160000000000024</v>
      </c>
      <c r="W1255">
        <f>Model!W62</f>
        <v>-1.9659999999999982</v>
      </c>
      <c r="X1255">
        <f>Model!X62</f>
        <v>-5.3390000000000102</v>
      </c>
      <c r="Y1255">
        <f>Model!Y62</f>
        <v>-4.7549999999999875</v>
      </c>
      <c r="Z1255">
        <f>Model!Z62</f>
        <v>-0.64599999999999835</v>
      </c>
      <c r="AA1255">
        <f>Model!AA62</f>
        <v>-1.8120000000000058</v>
      </c>
      <c r="AB1255">
        <f>Model!AB62</f>
        <v>-2.0170000000000012</v>
      </c>
      <c r="AC1255">
        <f>Model!AC62</f>
        <v>-4.6060000000000132</v>
      </c>
      <c r="AD1255">
        <f>Model!AD62</f>
        <v>3.1119999999999952</v>
      </c>
      <c r="AE1255">
        <f>Model!AE62</f>
        <v>4.7439999999999971</v>
      </c>
      <c r="AF1255">
        <f>Model!AF62</f>
        <v>8.0300000000000047</v>
      </c>
      <c r="AG1255">
        <f>Model!AG62</f>
        <v>-10.395000000000008</v>
      </c>
      <c r="AH1255">
        <f>Model!AH62</f>
        <v>-7.9340000000000197</v>
      </c>
      <c r="AI1255">
        <f>Model!AI62</f>
        <v>-20.216000000000008</v>
      </c>
      <c r="AJ1255">
        <f>Model!AJ62</f>
        <v>-13.403999999999989</v>
      </c>
      <c r="AK1255">
        <f>Model!AK62</f>
        <v>-14.014999999999969</v>
      </c>
      <c r="AL1255">
        <f>Model!AL62</f>
        <v>-0.82000000000001183</v>
      </c>
      <c r="AM1255">
        <f>Model!AM62</f>
        <v>2.2869999999999795</v>
      </c>
      <c r="AN1255">
        <f>Model!AN62</f>
        <v>9.2629999999999875</v>
      </c>
      <c r="AO1255">
        <f>Model!AO62</f>
        <v>-4.7130000000000214</v>
      </c>
      <c r="AP1255">
        <f>Model!AP62</f>
        <v>7.707999999999994</v>
      </c>
      <c r="AQ1255">
        <f>Model!AQ62</f>
        <v>8.1789999999999932</v>
      </c>
      <c r="AR1255">
        <f>Model!AR62</f>
        <v>173.17499999999998</v>
      </c>
      <c r="AS1255">
        <f>Model!AS62</f>
        <v>-3.8496260740876167</v>
      </c>
      <c r="AT1255">
        <f>Model!AT62</f>
        <v>9.1085961840913434</v>
      </c>
      <c r="AU1255">
        <f>Model!AU62</f>
        <v>9.4209734315956641</v>
      </c>
      <c r="AV1255">
        <f>Model!AV62</f>
        <v>14.72954704000443</v>
      </c>
      <c r="AW1255">
        <f>Model!AW62</f>
        <v>7.3230721831743955</v>
      </c>
      <c r="AX1255">
        <f>Model!AX62</f>
        <v>21.356776548563513</v>
      </c>
      <c r="AY1255">
        <f>Model!AY62</f>
        <v>21.66180545380654</v>
      </c>
      <c r="AZ1255">
        <f>Model!AZ62</f>
        <v>26.990287135100587</v>
      </c>
      <c r="BA1255">
        <f>Model!BA62</f>
        <v>13.934323454497845</v>
      </c>
      <c r="BB1255">
        <f>Model!BB62</f>
        <v>29.828987788070236</v>
      </c>
      <c r="BC1255">
        <f>Model!BC62</f>
        <v>29.879230954984873</v>
      </c>
      <c r="BD1255">
        <f>Model!BD62</f>
        <v>35.617812322497812</v>
      </c>
    </row>
    <row r="1256" spans="9:56" ht="11.25" customHeight="1">
      <c r="I1256">
        <f>Model!I63</f>
        <v>0</v>
      </c>
      <c r="J1256">
        <f>Model!J63</f>
        <v>0</v>
      </c>
      <c r="K1256">
        <f>Model!K63</f>
        <v>0</v>
      </c>
      <c r="L1256">
        <f>Model!L63</f>
        <v>0</v>
      </c>
      <c r="M1256">
        <f>Model!M63</f>
        <v>0</v>
      </c>
      <c r="N1256">
        <f>Model!N63</f>
        <v>0</v>
      </c>
      <c r="O1256">
        <f>Model!O63</f>
        <v>0</v>
      </c>
      <c r="P1256">
        <f>Model!P63</f>
        <v>0</v>
      </c>
      <c r="Q1256">
        <f>Model!Q63</f>
        <v>0</v>
      </c>
      <c r="R1256">
        <f>Model!R63</f>
        <v>0</v>
      </c>
      <c r="S1256">
        <f>Model!S63</f>
        <v>0</v>
      </c>
      <c r="T1256">
        <f>Model!T63</f>
        <v>0</v>
      </c>
      <c r="U1256">
        <f>Model!U63</f>
        <v>0</v>
      </c>
      <c r="V1256">
        <f>Model!V63</f>
        <v>0</v>
      </c>
      <c r="W1256">
        <f>Model!W63</f>
        <v>0</v>
      </c>
      <c r="X1256">
        <f>Model!X63</f>
        <v>0</v>
      </c>
      <c r="Y1256">
        <f>Model!Y63</f>
        <v>0</v>
      </c>
      <c r="Z1256">
        <f>Model!Z63</f>
        <v>0</v>
      </c>
      <c r="AA1256">
        <f>Model!AA63</f>
        <v>0</v>
      </c>
      <c r="AB1256">
        <f>Model!AB63</f>
        <v>0</v>
      </c>
      <c r="AC1256">
        <f>Model!AC63</f>
        <v>0</v>
      </c>
      <c r="AD1256">
        <f>Model!AD63</f>
        <v>0</v>
      </c>
      <c r="AE1256">
        <f>Model!AE63</f>
        <v>0</v>
      </c>
      <c r="AF1256">
        <f>Model!AF63</f>
        <v>0</v>
      </c>
      <c r="AG1256">
        <f>Model!AG63</f>
        <v>0</v>
      </c>
      <c r="AH1256">
        <f>Model!AH63</f>
        <v>0</v>
      </c>
      <c r="AI1256">
        <f>Model!AI63</f>
        <v>0</v>
      </c>
      <c r="AJ1256">
        <f>Model!AJ63</f>
        <v>0</v>
      </c>
      <c r="AK1256">
        <f>Model!AK63</f>
        <v>0</v>
      </c>
      <c r="AL1256">
        <f>Model!AL63</f>
        <v>0</v>
      </c>
      <c r="AM1256">
        <f>Model!AM63</f>
        <v>0</v>
      </c>
      <c r="AN1256">
        <f>Model!AN63</f>
        <v>0</v>
      </c>
      <c r="AO1256">
        <f>Model!AO63</f>
        <v>0</v>
      </c>
      <c r="AP1256">
        <f>Model!AP63</f>
        <v>0</v>
      </c>
      <c r="AQ1256">
        <f>Model!AQ63</f>
        <v>0</v>
      </c>
      <c r="AR1256">
        <f>Model!AR63</f>
        <v>0</v>
      </c>
      <c r="AS1256">
        <f>Model!AS63</f>
        <v>0</v>
      </c>
      <c r="AT1256">
        <f>Model!AT63</f>
        <v>0</v>
      </c>
      <c r="AU1256">
        <f>Model!AU63</f>
        <v>0</v>
      </c>
      <c r="AV1256">
        <f>Model!AV63</f>
        <v>0</v>
      </c>
      <c r="AW1256">
        <f>Model!AW63</f>
        <v>0</v>
      </c>
      <c r="AX1256">
        <f>Model!AX63</f>
        <v>0</v>
      </c>
      <c r="AY1256">
        <f>Model!AY63</f>
        <v>0</v>
      </c>
      <c r="AZ1256">
        <f>Model!AZ63</f>
        <v>0</v>
      </c>
      <c r="BA1256">
        <f>Model!BA63</f>
        <v>0</v>
      </c>
      <c r="BB1256">
        <f>Model!BB63</f>
        <v>0</v>
      </c>
      <c r="BC1256">
        <f>Model!BC63</f>
        <v>0</v>
      </c>
      <c r="BD1256">
        <f>Model!BD63</f>
        <v>0</v>
      </c>
    </row>
    <row r="1257" spans="9:56" ht="11.25" customHeight="1">
      <c r="I1257" t="str">
        <f>Model!I64</f>
        <v>Income tax provision/(benefit) (adjusted)</v>
      </c>
      <c r="J1257">
        <f>Model!J64</f>
        <v>0</v>
      </c>
      <c r="K1257">
        <f>Model!K64</f>
        <v>0</v>
      </c>
      <c r="L1257">
        <f>Model!L64</f>
        <v>0</v>
      </c>
      <c r="M1257">
        <f>Model!M64</f>
        <v>1.0999999999999999E-2</v>
      </c>
      <c r="N1257">
        <f>Model!N64</f>
        <v>0.01</v>
      </c>
      <c r="O1257">
        <f>Model!O64</f>
        <v>2.7E-2</v>
      </c>
      <c r="P1257">
        <f>Model!P64</f>
        <v>2.7E-2</v>
      </c>
      <c r="Q1257">
        <f>Model!Q64</f>
        <v>1.2E-2</v>
      </c>
      <c r="R1257">
        <f>Model!R64</f>
        <v>1.7000000000000001E-2</v>
      </c>
      <c r="S1257">
        <f>Model!S64</f>
        <v>3.5999999999999997E-2</v>
      </c>
      <c r="T1257">
        <f>Model!T64</f>
        <v>3.6999999999999998E-2</v>
      </c>
      <c r="U1257">
        <f>Model!U64</f>
        <v>3.1E-2</v>
      </c>
      <c r="V1257">
        <f>Model!V64</f>
        <v>6.6000000000000003E-2</v>
      </c>
      <c r="W1257">
        <f>Model!W64</f>
        <v>0.147200000000002</v>
      </c>
      <c r="X1257">
        <f>Model!X64</f>
        <v>-0.02</v>
      </c>
      <c r="Y1257">
        <f>Model!Y64</f>
        <v>0.21000000000000246</v>
      </c>
      <c r="Z1257">
        <f>Model!Z64</f>
        <v>2.026800000000001</v>
      </c>
      <c r="AA1257">
        <f>Model!AA64</f>
        <v>2.0811999999999982</v>
      </c>
      <c r="AB1257">
        <f>Model!AB64</f>
        <v>2.7087999999999974</v>
      </c>
      <c r="AC1257">
        <f>Model!AC64</f>
        <v>1.9399999999999959</v>
      </c>
      <c r="AD1257">
        <f>Model!AD64</f>
        <v>5.2779999999999978</v>
      </c>
      <c r="AE1257">
        <f>Model!AE64</f>
        <v>6.264800000000001</v>
      </c>
      <c r="AF1257">
        <f>Model!AF64</f>
        <v>7.9384000000000032</v>
      </c>
      <c r="AG1257">
        <f>Model!AG64</f>
        <v>1.3103999999999996</v>
      </c>
      <c r="AH1257">
        <f>Model!AH64</f>
        <v>3.0327999999999946</v>
      </c>
      <c r="AI1257">
        <f>Model!AI64</f>
        <v>-3.1749999999999998</v>
      </c>
      <c r="AJ1257">
        <f>Model!AJ64</f>
        <v>1.0271999999999968</v>
      </c>
      <c r="AK1257">
        <f>Model!AK64</f>
        <v>2.0380000000000069</v>
      </c>
      <c r="AL1257">
        <f>Model!AL64</f>
        <v>7.9623999999999953</v>
      </c>
      <c r="AM1257">
        <f>Model!AM64</f>
        <v>9.9387999999999934</v>
      </c>
      <c r="AN1257">
        <f>Model!AN64</f>
        <v>13.250799999999996</v>
      </c>
      <c r="AO1257">
        <f>Model!AO64</f>
        <v>7.8483999999999927</v>
      </c>
      <c r="AP1257">
        <f>Model!AP64</f>
        <v>13.237599999999995</v>
      </c>
      <c r="AQ1257">
        <f>Model!AQ64</f>
        <v>13.409199999999997</v>
      </c>
      <c r="AR1257">
        <f>Model!AR64</f>
        <v>13.521599999999992</v>
      </c>
      <c r="AS1257">
        <f>Model!AS64</f>
        <v>9.167109570364957</v>
      </c>
      <c r="AT1257">
        <f>Model!AT64</f>
        <v>14.804038473636536</v>
      </c>
      <c r="AU1257">
        <f>Model!AU64</f>
        <v>15.41052937263826</v>
      </c>
      <c r="AV1257">
        <f>Model!AV64</f>
        <v>18.087178816001767</v>
      </c>
      <c r="AW1257">
        <f>Model!AW64</f>
        <v>14.921024073269761</v>
      </c>
      <c r="AX1257">
        <f>Model!AX64</f>
        <v>21.042582619425414</v>
      </c>
      <c r="AY1257">
        <f>Model!AY64</f>
        <v>21.703918981522619</v>
      </c>
      <c r="AZ1257">
        <f>Model!AZ64</f>
        <v>24.454918054040235</v>
      </c>
      <c r="BA1257">
        <f>Model!BA64</f>
        <v>18.764704101799136</v>
      </c>
      <c r="BB1257">
        <f>Model!BB64</f>
        <v>25.681454315228098</v>
      </c>
      <c r="BC1257">
        <f>Model!BC64</f>
        <v>26.294808861993957</v>
      </c>
      <c r="BD1257">
        <f>Model!BD64</f>
        <v>29.271808448999124</v>
      </c>
    </row>
    <row r="1258" spans="9:56" ht="11.25" customHeight="1">
      <c r="I1258" t="str">
        <f>Model!I65</f>
        <v>Tax rate (adjusted)</v>
      </c>
      <c r="J1258">
        <f>Model!J65</f>
        <v>0</v>
      </c>
      <c r="K1258">
        <f>Model!K65</f>
        <v>0</v>
      </c>
      <c r="L1258">
        <f>Model!L65</f>
        <v>0</v>
      </c>
      <c r="M1258">
        <f>Model!M65</f>
        <v>0.4</v>
      </c>
      <c r="N1258">
        <f>Model!N65</f>
        <v>0.4</v>
      </c>
      <c r="O1258">
        <f>Model!O65</f>
        <v>0.4</v>
      </c>
      <c r="P1258">
        <f>Model!P65</f>
        <v>0.4</v>
      </c>
      <c r="Q1258">
        <f>Model!Q65</f>
        <v>0.4</v>
      </c>
      <c r="R1258">
        <f>Model!R65</f>
        <v>0.4</v>
      </c>
      <c r="S1258">
        <f>Model!S65</f>
        <v>0.4</v>
      </c>
      <c r="T1258">
        <f>Model!T65</f>
        <v>0.4</v>
      </c>
      <c r="U1258">
        <f>Model!U65</f>
        <v>0.4</v>
      </c>
      <c r="V1258">
        <f>Model!V65</f>
        <v>0.4</v>
      </c>
      <c r="W1258">
        <f>Model!W65</f>
        <v>0.4</v>
      </c>
      <c r="X1258">
        <f>Model!X65</f>
        <v>0.4</v>
      </c>
      <c r="Y1258">
        <f>Model!Y65</f>
        <v>0.4</v>
      </c>
      <c r="Z1258">
        <f>Model!Z65</f>
        <v>0.4</v>
      </c>
      <c r="AA1258">
        <f>Model!AA65</f>
        <v>0.4</v>
      </c>
      <c r="AB1258">
        <f>Model!AB65</f>
        <v>0.4</v>
      </c>
      <c r="AC1258">
        <f>Model!AC65</f>
        <v>0.4</v>
      </c>
      <c r="AD1258">
        <f>Model!AD65</f>
        <v>0.4</v>
      </c>
      <c r="AE1258">
        <f>Model!AE65</f>
        <v>0.4</v>
      </c>
      <c r="AF1258">
        <f>Model!AF65</f>
        <v>0.4</v>
      </c>
      <c r="AG1258">
        <f>Model!AG65</f>
        <v>0.4</v>
      </c>
      <c r="AH1258">
        <f>Model!AH65</f>
        <v>0.4</v>
      </c>
      <c r="AI1258">
        <f>Model!AI65</f>
        <v>0.4</v>
      </c>
      <c r="AJ1258">
        <f>Model!AJ65</f>
        <v>0.4</v>
      </c>
      <c r="AK1258">
        <f>Model!AK65</f>
        <v>0.4</v>
      </c>
      <c r="AL1258">
        <f>Model!AL65</f>
        <v>0.4</v>
      </c>
      <c r="AM1258">
        <f>Model!AM65</f>
        <v>0.4</v>
      </c>
      <c r="AN1258">
        <f>Model!AN65</f>
        <v>0.4</v>
      </c>
      <c r="AO1258">
        <f>Model!AO65</f>
        <v>0.4</v>
      </c>
      <c r="AP1258">
        <f>Model!AP65</f>
        <v>0.4</v>
      </c>
      <c r="AQ1258">
        <f>Model!AQ65</f>
        <v>0.4</v>
      </c>
      <c r="AR1258">
        <f>Model!AR65</f>
        <v>0.4</v>
      </c>
      <c r="AS1258">
        <f>Model!AS65</f>
        <v>0.4</v>
      </c>
      <c r="AT1258">
        <f>Model!AT65</f>
        <v>0.4</v>
      </c>
      <c r="AU1258">
        <f>Model!AU65</f>
        <v>0.4</v>
      </c>
      <c r="AV1258">
        <f>Model!AV65</f>
        <v>0.4</v>
      </c>
      <c r="AW1258">
        <f>Model!AW65</f>
        <v>0.4</v>
      </c>
      <c r="AX1258">
        <f>Model!AX65</f>
        <v>0.4</v>
      </c>
      <c r="AY1258">
        <f>Model!AY65</f>
        <v>0.4</v>
      </c>
      <c r="AZ1258">
        <f>Model!AZ65</f>
        <v>0.4</v>
      </c>
      <c r="BA1258">
        <f>Model!BA65</f>
        <v>0.4</v>
      </c>
      <c r="BB1258">
        <f>Model!BB65</f>
        <v>0.4</v>
      </c>
      <c r="BC1258">
        <f>Model!BC65</f>
        <v>0.4</v>
      </c>
      <c r="BD1258">
        <f>Model!BD65</f>
        <v>0.4</v>
      </c>
    </row>
    <row r="1259" spans="9:56" ht="11.25" customHeight="1">
      <c r="I1259" t="str">
        <f>Model!I66</f>
        <v>Income tax provision/(benefit) (GAAP)</v>
      </c>
      <c r="J1259">
        <f>Model!J66</f>
        <v>0</v>
      </c>
      <c r="K1259">
        <f>Model!K66</f>
        <v>0</v>
      </c>
      <c r="L1259">
        <f>Model!L66</f>
        <v>0</v>
      </c>
      <c r="M1259">
        <f>Model!M66</f>
        <v>1.0999999999999999E-2</v>
      </c>
      <c r="N1259">
        <f>Model!N66</f>
        <v>0.01</v>
      </c>
      <c r="O1259">
        <f>Model!O66</f>
        <v>2.7E-2</v>
      </c>
      <c r="P1259">
        <f>Model!P66</f>
        <v>2.7E-2</v>
      </c>
      <c r="Q1259">
        <f>Model!Q66</f>
        <v>1.2E-2</v>
      </c>
      <c r="R1259">
        <f>Model!R66</f>
        <v>1.7000000000000001E-2</v>
      </c>
      <c r="S1259">
        <f>Model!S66</f>
        <v>3.5999999999999997E-2</v>
      </c>
      <c r="T1259">
        <f>Model!T66</f>
        <v>3.6999999999999998E-2</v>
      </c>
      <c r="U1259">
        <f>Model!U66</f>
        <v>3.1E-2</v>
      </c>
      <c r="V1259">
        <f>Model!V66</f>
        <v>6.6000000000000003E-2</v>
      </c>
      <c r="W1259">
        <f>Model!W66</f>
        <v>4.4999999999999998E-2</v>
      </c>
      <c r="X1259">
        <f>Model!X66</f>
        <v>-0.02</v>
      </c>
      <c r="Y1259">
        <f>Model!Y66</f>
        <v>4.3999999999999997E-2</v>
      </c>
      <c r="Z1259">
        <f>Model!Z66</f>
        <v>0.23200000000000001</v>
      </c>
      <c r="AA1259">
        <f>Model!AA66</f>
        <v>0.51</v>
      </c>
      <c r="AB1259">
        <f>Model!AB66</f>
        <v>5.1999999999999998E-2</v>
      </c>
      <c r="AC1259">
        <f>Model!AC66</f>
        <v>-1.9710000000000001</v>
      </c>
      <c r="AD1259">
        <f>Model!AD66</f>
        <v>0.36899999999999999</v>
      </c>
      <c r="AE1259">
        <f>Model!AE66</f>
        <v>1.107</v>
      </c>
      <c r="AF1259">
        <f>Model!AF66</f>
        <v>-24.698</v>
      </c>
      <c r="AG1259">
        <f>Model!AG66</f>
        <v>-2.403</v>
      </c>
      <c r="AH1259">
        <f>Model!AH66</f>
        <v>1.6839999999999999</v>
      </c>
      <c r="AI1259">
        <f>Model!AI66</f>
        <v>-3.1749999999999998</v>
      </c>
      <c r="AJ1259">
        <f>Model!AJ66</f>
        <v>-15.856</v>
      </c>
      <c r="AK1259">
        <f>Model!AK66</f>
        <v>1.4370000000000001</v>
      </c>
      <c r="AL1259">
        <f>Model!AL66</f>
        <v>-1.2689999999999999</v>
      </c>
      <c r="AM1259">
        <f>Model!AM66</f>
        <v>0.217</v>
      </c>
      <c r="AN1259">
        <f>Model!AN66</f>
        <v>1</v>
      </c>
      <c r="AO1259">
        <f>Model!AO66</f>
        <v>6.7000000000000004E-2</v>
      </c>
      <c r="AP1259">
        <f>Model!AP66</f>
        <v>0.11799999999999999</v>
      </c>
      <c r="AQ1259">
        <f>Model!AQ66</f>
        <v>0.23200000000000001</v>
      </c>
      <c r="AR1259">
        <f>Model!AR66</f>
        <v>31.074000000000002</v>
      </c>
      <c r="AS1259">
        <f>Model!AS66</f>
        <v>7.6992521481752341E-2</v>
      </c>
      <c r="AT1259">
        <f>Model!AT66</f>
        <v>3.6434384736365377</v>
      </c>
      <c r="AU1259">
        <f>Model!AU66</f>
        <v>3.768389372638266</v>
      </c>
      <c r="AV1259">
        <f>Model!AV66</f>
        <v>5.8918188160017726</v>
      </c>
      <c r="AW1259">
        <f>Model!AW66</f>
        <v>2.9292288732697584</v>
      </c>
      <c r="AX1259">
        <f>Model!AX66</f>
        <v>8.5427106194254048</v>
      </c>
      <c r="AY1259">
        <f>Model!AY66</f>
        <v>8.6647221815226168</v>
      </c>
      <c r="AZ1259">
        <f>Model!AZ66</f>
        <v>10.796114854040235</v>
      </c>
      <c r="BA1259">
        <f>Model!BA66</f>
        <v>5.5737293817991382</v>
      </c>
      <c r="BB1259">
        <f>Model!BB66</f>
        <v>11.931595115228095</v>
      </c>
      <c r="BC1259">
        <f>Model!BC66</f>
        <v>11.951692381993951</v>
      </c>
      <c r="BD1259">
        <f>Model!BD66</f>
        <v>14.247124928999126</v>
      </c>
    </row>
    <row r="1260" spans="9:56" ht="11.25" customHeight="1">
      <c r="I1260" t="str">
        <f>Model!I67</f>
        <v>Tax rate (GAAP)</v>
      </c>
      <c r="J1260">
        <f>Model!J67</f>
        <v>0</v>
      </c>
      <c r="K1260">
        <f>Model!K67</f>
        <v>0</v>
      </c>
      <c r="L1260">
        <f>Model!L67</f>
        <v>0</v>
      </c>
      <c r="M1260">
        <f>Model!M67</f>
        <v>-3.7865748709122156E-3</v>
      </c>
      <c r="N1260">
        <f>Model!N67</f>
        <v>-3.7579857196542651E-3</v>
      </c>
      <c r="O1260">
        <f>Model!O67</f>
        <v>-9.4970102004924405E-3</v>
      </c>
      <c r="P1260">
        <f>Model!P67</f>
        <v>-2.4953789279112727E-2</v>
      </c>
      <c r="Q1260">
        <f>Model!Q67</f>
        <v>-4.4543429844098002E-3</v>
      </c>
      <c r="R1260">
        <f>Model!R67</f>
        <v>-1.4808362369337993E-2</v>
      </c>
      <c r="S1260">
        <f>Model!S67</f>
        <v>-9.6904441453566446E-3</v>
      </c>
      <c r="T1260">
        <f>Model!T67</f>
        <v>-4.1070041070041079E-3</v>
      </c>
      <c r="U1260">
        <f>Model!U67</f>
        <v>-3.1726537713642412E-3</v>
      </c>
      <c r="V1260">
        <f>Model!V67</f>
        <v>-3.4446764091857998E-2</v>
      </c>
      <c r="W1260">
        <f>Model!W67</f>
        <v>-2.288911495422179E-2</v>
      </c>
      <c r="X1260">
        <f>Model!X67</f>
        <v>3.7460198539052188E-3</v>
      </c>
      <c r="Y1260">
        <f>Model!Y67</f>
        <v>-9.2534174553102234E-3</v>
      </c>
      <c r="Z1260">
        <f>Model!Z67</f>
        <v>-0.35913312693498545</v>
      </c>
      <c r="AA1260">
        <f>Model!AA67</f>
        <v>-0.28145695364238321</v>
      </c>
      <c r="AB1260">
        <f>Model!AB67</f>
        <v>-2.5780862667327698E-2</v>
      </c>
      <c r="AC1260">
        <f>Model!AC67</f>
        <v>0.4279201042118963</v>
      </c>
      <c r="AD1260">
        <f>Model!AD67</f>
        <v>0.11857326478149119</v>
      </c>
      <c r="AE1260">
        <f>Model!AE67</f>
        <v>0.23334738617200687</v>
      </c>
      <c r="AF1260">
        <f>Model!AF67</f>
        <v>-3.0757160647571591</v>
      </c>
      <c r="AG1260">
        <f>Model!AG67</f>
        <v>0.231168831168831</v>
      </c>
      <c r="AH1260">
        <f>Model!AH67</f>
        <v>-0.21225107133854246</v>
      </c>
      <c r="AI1260">
        <f>Model!AI67</f>
        <v>-0.02</v>
      </c>
      <c r="AJ1260">
        <f>Model!AJ67</f>
        <v>-0.02</v>
      </c>
      <c r="AK1260">
        <f>Model!AK67</f>
        <v>-0.02</v>
      </c>
      <c r="AL1260">
        <f>Model!AL67</f>
        <v>-0.02</v>
      </c>
      <c r="AM1260">
        <f>Model!AM67</f>
        <v>0.4</v>
      </c>
      <c r="AN1260">
        <f>Model!AN67</f>
        <v>0.4</v>
      </c>
      <c r="AO1260">
        <f>Model!AO67</f>
        <v>-0.02</v>
      </c>
      <c r="AP1260">
        <f>Model!AP67</f>
        <v>0.4</v>
      </c>
      <c r="AQ1260">
        <f>Model!AQ67</f>
        <v>0.4</v>
      </c>
      <c r="AR1260">
        <f>Model!AR67</f>
        <v>0.4</v>
      </c>
      <c r="AS1260">
        <f>Model!AS67</f>
        <v>-0.02</v>
      </c>
      <c r="AT1260">
        <f>Model!AT67</f>
        <v>0.4</v>
      </c>
      <c r="AU1260">
        <f>Model!AU67</f>
        <v>0.4</v>
      </c>
      <c r="AV1260">
        <f>Model!AV67</f>
        <v>0.4</v>
      </c>
      <c r="AW1260">
        <f>Model!AW67</f>
        <v>0.4</v>
      </c>
      <c r="AX1260">
        <f>Model!AX67</f>
        <v>0.4</v>
      </c>
      <c r="AY1260">
        <f>Model!AY67</f>
        <v>0.4</v>
      </c>
      <c r="AZ1260">
        <f>Model!AZ67</f>
        <v>0.4</v>
      </c>
      <c r="BA1260">
        <f>Model!BA67</f>
        <v>0.4</v>
      </c>
      <c r="BB1260">
        <f>Model!BB67</f>
        <v>0.4</v>
      </c>
      <c r="BC1260">
        <f>Model!BC67</f>
        <v>0.4</v>
      </c>
      <c r="BD1260">
        <f>Model!BD67</f>
        <v>0.4</v>
      </c>
    </row>
    <row r="1261" spans="9:56" ht="11.25" customHeight="1">
      <c r="I1261" t="str">
        <f>Model!I68</f>
        <v>Accretion of redeemable convertible preferred stock/Other</v>
      </c>
      <c r="J1261">
        <f>Model!J68</f>
        <v>0</v>
      </c>
      <c r="K1261">
        <f>Model!K68</f>
        <v>0</v>
      </c>
      <c r="L1261">
        <f>Model!L68</f>
        <v>0</v>
      </c>
      <c r="M1261">
        <f>Model!M68</f>
        <v>3.3000000000000002E-2</v>
      </c>
      <c r="N1261">
        <f>Model!N68</f>
        <v>4.8000000000000001E-2</v>
      </c>
      <c r="O1261">
        <f>Model!O68</f>
        <v>4.7E-2</v>
      </c>
      <c r="P1261">
        <f>Model!P68</f>
        <v>4.7E-2</v>
      </c>
      <c r="Q1261">
        <f>Model!Q68</f>
        <v>4.7E-2</v>
      </c>
      <c r="R1261">
        <f>Model!R68</f>
        <v>4.7E-2</v>
      </c>
      <c r="S1261">
        <f>Model!S68</f>
        <v>4.7E-2</v>
      </c>
      <c r="T1261">
        <f>Model!T68</f>
        <v>4.8000000000000001E-2</v>
      </c>
      <c r="U1261">
        <f>Model!U68</f>
        <v>3.1E-2</v>
      </c>
      <c r="V1261">
        <f>Model!V68</f>
        <v>0</v>
      </c>
      <c r="W1261">
        <f>Model!W68</f>
        <v>0</v>
      </c>
      <c r="X1261">
        <f>Model!X68</f>
        <v>0</v>
      </c>
      <c r="Y1261">
        <f>Model!Y68</f>
        <v>0</v>
      </c>
      <c r="Z1261">
        <f>Model!Z68</f>
        <v>0</v>
      </c>
      <c r="AA1261">
        <f>Model!AA68</f>
        <v>0</v>
      </c>
      <c r="AB1261">
        <f>Model!AB68</f>
        <v>0</v>
      </c>
      <c r="AC1261">
        <f>Model!AC68</f>
        <v>0</v>
      </c>
      <c r="AD1261">
        <f>Model!AD68</f>
        <v>0</v>
      </c>
      <c r="AE1261">
        <f>Model!AE68</f>
        <v>0</v>
      </c>
      <c r="AF1261">
        <f>Model!AF68</f>
        <v>0</v>
      </c>
      <c r="AG1261">
        <f>Model!AG68</f>
        <v>0</v>
      </c>
      <c r="AH1261">
        <f>Model!AH68</f>
        <v>0</v>
      </c>
      <c r="AI1261">
        <f>Model!AI68</f>
        <v>0</v>
      </c>
      <c r="AJ1261">
        <f>Model!AJ68</f>
        <v>0</v>
      </c>
      <c r="AK1261">
        <f>Model!AK68</f>
        <v>0</v>
      </c>
      <c r="AL1261">
        <f>Model!AL68</f>
        <v>0</v>
      </c>
      <c r="AM1261">
        <f>Model!AM68</f>
        <v>0</v>
      </c>
      <c r="AN1261">
        <f>Model!AN68</f>
        <v>0</v>
      </c>
      <c r="AO1261">
        <f>Model!AO68</f>
        <v>0</v>
      </c>
      <c r="AP1261">
        <f>Model!AP68</f>
        <v>0</v>
      </c>
      <c r="AQ1261">
        <f>Model!AQ68</f>
        <v>0</v>
      </c>
      <c r="AR1261">
        <f>Model!AR68</f>
        <v>0</v>
      </c>
      <c r="AS1261">
        <f>Model!AS68</f>
        <v>0</v>
      </c>
      <c r="AT1261">
        <f>Model!AT68</f>
        <v>0</v>
      </c>
      <c r="AU1261">
        <f>Model!AU68</f>
        <v>0</v>
      </c>
      <c r="AV1261">
        <f>Model!AV68</f>
        <v>0</v>
      </c>
      <c r="AW1261">
        <f>Model!AW68</f>
        <v>0</v>
      </c>
      <c r="AX1261">
        <f>Model!AX68</f>
        <v>0</v>
      </c>
      <c r="AY1261">
        <f>Model!AY68</f>
        <v>0</v>
      </c>
      <c r="AZ1261">
        <f>Model!AZ68</f>
        <v>0</v>
      </c>
      <c r="BA1261">
        <f>Model!BA68</f>
        <v>0</v>
      </c>
      <c r="BB1261">
        <f>Model!BB68</f>
        <v>0</v>
      </c>
      <c r="BC1261">
        <f>Model!BC68</f>
        <v>0</v>
      </c>
      <c r="BD1261">
        <f>Model!BD68</f>
        <v>0</v>
      </c>
    </row>
    <row r="1262" spans="9:56" ht="11.25" customHeight="1">
      <c r="I1262" t="str">
        <f>Model!I69</f>
        <v>Other Adjustments</v>
      </c>
      <c r="J1262">
        <f>Model!J69</f>
        <v>0</v>
      </c>
      <c r="K1262">
        <f>Model!K69</f>
        <v>0</v>
      </c>
      <c r="L1262">
        <f>Model!L69</f>
        <v>0</v>
      </c>
      <c r="M1262">
        <f>Model!M69</f>
        <v>0</v>
      </c>
      <c r="N1262">
        <f>Model!N69</f>
        <v>0</v>
      </c>
      <c r="O1262">
        <f>Model!O69</f>
        <v>0</v>
      </c>
      <c r="P1262">
        <f>Model!P69</f>
        <v>0</v>
      </c>
      <c r="Q1262">
        <f>Model!Q69</f>
        <v>0</v>
      </c>
      <c r="R1262">
        <f>Model!R69</f>
        <v>0</v>
      </c>
      <c r="S1262">
        <f>Model!S69</f>
        <v>0</v>
      </c>
      <c r="T1262">
        <f>Model!T69</f>
        <v>0</v>
      </c>
      <c r="U1262">
        <f>Model!U69</f>
        <v>0</v>
      </c>
      <c r="V1262">
        <f>Model!V69</f>
        <v>0</v>
      </c>
      <c r="W1262">
        <f>Model!W69</f>
        <v>0</v>
      </c>
      <c r="X1262">
        <f>Model!X69</f>
        <v>0</v>
      </c>
      <c r="Y1262">
        <f>Model!Y69</f>
        <v>0</v>
      </c>
      <c r="Z1262">
        <f>Model!Z69</f>
        <v>0</v>
      </c>
      <c r="AA1262">
        <f>Model!AA69</f>
        <v>0</v>
      </c>
      <c r="AB1262">
        <f>Model!AB69</f>
        <v>0</v>
      </c>
      <c r="AC1262">
        <f>Model!AC69</f>
        <v>-2.6349999999999998</v>
      </c>
      <c r="AD1262">
        <f>Model!AD69</f>
        <v>-1.4990000000000001</v>
      </c>
      <c r="AE1262">
        <f>Model!AE69</f>
        <v>-1.468</v>
      </c>
      <c r="AF1262">
        <f>Model!AF69</f>
        <v>-2.5670000000000002</v>
      </c>
      <c r="AG1262">
        <f>Model!AG69</f>
        <v>-1.9119999999999999</v>
      </c>
      <c r="AH1262">
        <f>Model!AH69</f>
        <v>0.183</v>
      </c>
      <c r="AI1262">
        <f>Model!AI69</f>
        <v>-1.7999999999999999E-2</v>
      </c>
      <c r="AJ1262">
        <f>Model!AJ69</f>
        <v>-3.2160000000000002</v>
      </c>
      <c r="AK1262">
        <f>Model!AK69</f>
        <v>-2.9059999999999921</v>
      </c>
      <c r="AL1262">
        <f>Model!AL69</f>
        <v>-0.57240000000002311</v>
      </c>
      <c r="AM1262">
        <f>Model!AM69</f>
        <v>-3.5008000000000195</v>
      </c>
      <c r="AN1262">
        <f>Model!AN69</f>
        <v>-2.674800000000026</v>
      </c>
      <c r="AO1262">
        <f>Model!AO69</f>
        <v>-4.5013999999999914</v>
      </c>
      <c r="AP1262">
        <f>Model!AP69</f>
        <v>-1.7806000000000068</v>
      </c>
      <c r="AQ1262">
        <f>Model!AQ69</f>
        <v>-5.291200000000007</v>
      </c>
      <c r="AR1262">
        <f>Model!AR69</f>
        <v>3.4333999999999847</v>
      </c>
      <c r="AS1262">
        <f>Model!AS69</f>
        <v>0</v>
      </c>
      <c r="AT1262">
        <f>Model!AT69</f>
        <v>0</v>
      </c>
      <c r="AU1262">
        <f>Model!AU69</f>
        <v>0</v>
      </c>
      <c r="AV1262">
        <f>Model!AV69</f>
        <v>0</v>
      </c>
      <c r="AW1262">
        <f>Model!AW69</f>
        <v>0</v>
      </c>
      <c r="AX1262">
        <f>Model!AX69</f>
        <v>0</v>
      </c>
      <c r="AY1262">
        <f>Model!AY69</f>
        <v>0</v>
      </c>
      <c r="AZ1262">
        <f>Model!AZ69</f>
        <v>0</v>
      </c>
      <c r="BA1262">
        <f>Model!BA69</f>
        <v>0</v>
      </c>
      <c r="BB1262">
        <f>Model!BB69</f>
        <v>0</v>
      </c>
      <c r="BC1262">
        <f>Model!BC69</f>
        <v>0</v>
      </c>
      <c r="BD1262">
        <f>Model!BD69</f>
        <v>0</v>
      </c>
    </row>
    <row r="1263" spans="9:56" ht="11.25" customHeight="1">
      <c r="I1263">
        <f>Model!I70</f>
        <v>0</v>
      </c>
      <c r="J1263">
        <f>Model!J70</f>
        <v>0</v>
      </c>
      <c r="K1263">
        <f>Model!K70</f>
        <v>0</v>
      </c>
      <c r="L1263">
        <f>Model!L70</f>
        <v>0</v>
      </c>
      <c r="M1263">
        <f>Model!M70</f>
        <v>0</v>
      </c>
      <c r="N1263">
        <f>Model!N70</f>
        <v>0</v>
      </c>
      <c r="O1263">
        <f>Model!O70</f>
        <v>0</v>
      </c>
      <c r="P1263">
        <f>Model!P70</f>
        <v>0</v>
      </c>
      <c r="Q1263">
        <f>Model!Q70</f>
        <v>0</v>
      </c>
      <c r="R1263">
        <f>Model!R70</f>
        <v>0</v>
      </c>
      <c r="S1263">
        <f>Model!S70</f>
        <v>0</v>
      </c>
      <c r="T1263">
        <f>Model!T70</f>
        <v>0</v>
      </c>
      <c r="U1263">
        <f>Model!U70</f>
        <v>0</v>
      </c>
      <c r="V1263">
        <f>Model!V70</f>
        <v>0</v>
      </c>
      <c r="W1263">
        <f>Model!W70</f>
        <v>0</v>
      </c>
      <c r="X1263">
        <f>Model!X70</f>
        <v>0</v>
      </c>
      <c r="Y1263">
        <f>Model!Y70</f>
        <v>0</v>
      </c>
      <c r="Z1263">
        <f>Model!Z70</f>
        <v>0</v>
      </c>
      <c r="AA1263">
        <f>Model!AA70</f>
        <v>0</v>
      </c>
      <c r="AB1263">
        <f>Model!AB70</f>
        <v>0</v>
      </c>
      <c r="AC1263">
        <f>Model!AC70</f>
        <v>0</v>
      </c>
      <c r="AD1263">
        <f>Model!AD70</f>
        <v>0</v>
      </c>
      <c r="AE1263">
        <f>Model!AE70</f>
        <v>0</v>
      </c>
      <c r="AF1263">
        <f>Model!AF70</f>
        <v>0</v>
      </c>
      <c r="AG1263">
        <f>Model!AG70</f>
        <v>0</v>
      </c>
      <c r="AH1263">
        <f>Model!AH70</f>
        <v>0</v>
      </c>
      <c r="AI1263">
        <f>Model!AI70</f>
        <v>0</v>
      </c>
      <c r="AJ1263">
        <f>Model!AJ70</f>
        <v>0</v>
      </c>
      <c r="AK1263">
        <f>Model!AK70</f>
        <v>0</v>
      </c>
      <c r="AL1263">
        <f>Model!AL70</f>
        <v>0</v>
      </c>
      <c r="AM1263">
        <f>Model!AM70</f>
        <v>0</v>
      </c>
      <c r="AN1263">
        <f>Model!AN70</f>
        <v>0</v>
      </c>
      <c r="AO1263">
        <f>Model!AO70</f>
        <v>0</v>
      </c>
      <c r="AP1263">
        <f>Model!AP70</f>
        <v>0</v>
      </c>
      <c r="AQ1263">
        <f>Model!AQ70</f>
        <v>0</v>
      </c>
      <c r="AR1263">
        <f>Model!AR70</f>
        <v>0</v>
      </c>
      <c r="AS1263">
        <f>Model!AS70</f>
        <v>0</v>
      </c>
      <c r="AT1263">
        <f>Model!AT70</f>
        <v>0</v>
      </c>
      <c r="AU1263">
        <f>Model!AU70</f>
        <v>0</v>
      </c>
      <c r="AV1263">
        <f>Model!AV70</f>
        <v>0</v>
      </c>
      <c r="AW1263">
        <f>Model!AW70</f>
        <v>0</v>
      </c>
      <c r="AX1263">
        <f>Model!AX70</f>
        <v>0</v>
      </c>
      <c r="AY1263">
        <f>Model!AY70</f>
        <v>0</v>
      </c>
      <c r="AZ1263">
        <f>Model!AZ70</f>
        <v>0</v>
      </c>
      <c r="BA1263">
        <f>Model!BA70</f>
        <v>0</v>
      </c>
      <c r="BB1263">
        <f>Model!BB70</f>
        <v>0</v>
      </c>
      <c r="BC1263">
        <f>Model!BC70</f>
        <v>0</v>
      </c>
      <c r="BD1263">
        <f>Model!BD70</f>
        <v>0</v>
      </c>
    </row>
    <row r="1264" spans="9:56" ht="11.25" customHeight="1">
      <c r="I1264" t="str">
        <f>Model!I71</f>
        <v>Net income (adjusted)</v>
      </c>
      <c r="J1264">
        <f>Model!J71</f>
        <v>0</v>
      </c>
      <c r="K1264">
        <f>Model!K71</f>
        <v>0</v>
      </c>
      <c r="L1264">
        <f>Model!L71</f>
        <v>0</v>
      </c>
      <c r="M1264">
        <f>Model!M71</f>
        <v>-1.3630000000000022</v>
      </c>
      <c r="N1264">
        <f>Model!N71</f>
        <v>-2.4140000000000001</v>
      </c>
      <c r="O1264">
        <f>Model!O71</f>
        <v>-2.5029999999999983</v>
      </c>
      <c r="P1264">
        <f>Model!P71</f>
        <v>-0.55499999999999916</v>
      </c>
      <c r="Q1264">
        <f>Model!Q71</f>
        <v>-1.602999999999998</v>
      </c>
      <c r="R1264">
        <f>Model!R71</f>
        <v>-0.21699999999999858</v>
      </c>
      <c r="S1264">
        <f>Model!S71</f>
        <v>-2.2910000000000057</v>
      </c>
      <c r="T1264">
        <f>Model!T71</f>
        <v>-1.7519999999999973</v>
      </c>
      <c r="U1264">
        <f>Model!U71</f>
        <v>-2.3730000000000011</v>
      </c>
      <c r="V1264">
        <f>Model!V71</f>
        <v>-0.12400000000000186</v>
      </c>
      <c r="W1264">
        <f>Model!W71</f>
        <v>0.22080000000000299</v>
      </c>
      <c r="X1264">
        <f>Model!X71</f>
        <v>-0.79900000000000682</v>
      </c>
      <c r="Y1264">
        <f>Model!Y71</f>
        <v>0.31500000000000367</v>
      </c>
      <c r="Z1264">
        <f>Model!Z71</f>
        <v>3.0402000000000018</v>
      </c>
      <c r="AA1264">
        <f>Model!AA71</f>
        <v>3.1217999999999968</v>
      </c>
      <c r="AB1264">
        <f>Model!AB71</f>
        <v>4.0631999999999957</v>
      </c>
      <c r="AC1264">
        <f>Model!AC71</f>
        <v>5.5449999999999937</v>
      </c>
      <c r="AD1264">
        <f>Model!AD71</f>
        <v>9.415999999999995</v>
      </c>
      <c r="AE1264">
        <f>Model!AE71</f>
        <v>10.865200000000002</v>
      </c>
      <c r="AF1264">
        <f>Model!AF71</f>
        <v>14.474600000000004</v>
      </c>
      <c r="AG1264">
        <f>Model!AG71</f>
        <v>3.8775999999999993</v>
      </c>
      <c r="AH1264">
        <f>Model!AH71</f>
        <v>4.3661999999999912</v>
      </c>
      <c r="AI1264">
        <f>Model!AI71</f>
        <v>-1.3399999999999996</v>
      </c>
      <c r="AJ1264">
        <f>Model!AJ71</f>
        <v>4.7567999999999948</v>
      </c>
      <c r="AK1264">
        <f>Model!AK71</f>
        <v>5.9630000000000027</v>
      </c>
      <c r="AL1264">
        <f>Model!AL71</f>
        <v>12.516000000000016</v>
      </c>
      <c r="AM1264">
        <f>Model!AM71</f>
        <v>18.40900000000001</v>
      </c>
      <c r="AN1264">
        <f>Model!AN71</f>
        <v>22.551000000000016</v>
      </c>
      <c r="AO1264">
        <f>Model!AO71</f>
        <v>16.27399999999998</v>
      </c>
      <c r="AP1264">
        <f>Model!AP71</f>
        <v>21.637</v>
      </c>
      <c r="AQ1264">
        <f>Model!AQ71</f>
        <v>25.404999999999998</v>
      </c>
      <c r="AR1264">
        <f>Model!AR71</f>
        <v>16.849000000000004</v>
      </c>
      <c r="AS1264">
        <f>Model!AS71</f>
        <v>13.750664355547435</v>
      </c>
      <c r="AT1264">
        <f>Model!AT71</f>
        <v>22.2060577104548</v>
      </c>
      <c r="AU1264">
        <f>Model!AU71</f>
        <v>23.115794058957391</v>
      </c>
      <c r="AV1264">
        <f>Model!AV71</f>
        <v>27.130768224002651</v>
      </c>
      <c r="AW1264">
        <f>Model!AW71</f>
        <v>22.381536109904637</v>
      </c>
      <c r="AX1264">
        <f>Model!AX71</f>
        <v>31.563873929138115</v>
      </c>
      <c r="AY1264">
        <f>Model!AY71</f>
        <v>32.555878472283922</v>
      </c>
      <c r="AZ1264">
        <f>Model!AZ71</f>
        <v>36.682377081060352</v>
      </c>
      <c r="BA1264">
        <f>Model!BA71</f>
        <v>28.147056152698699</v>
      </c>
      <c r="BB1264">
        <f>Model!BB71</f>
        <v>38.522181472842149</v>
      </c>
      <c r="BC1264">
        <f>Model!BC71</f>
        <v>39.442213292990928</v>
      </c>
      <c r="BD1264">
        <f>Model!BD71</f>
        <v>43.907712673498679</v>
      </c>
    </row>
    <row r="1265" spans="9:56" ht="11.25" customHeight="1">
      <c r="I1265">
        <f>Model!I72</f>
        <v>0</v>
      </c>
      <c r="J1265">
        <f>Model!J72</f>
        <v>0</v>
      </c>
      <c r="K1265">
        <f>Model!K72</f>
        <v>0</v>
      </c>
      <c r="L1265">
        <f>Model!L72</f>
        <v>0</v>
      </c>
      <c r="M1265">
        <f>Model!M72</f>
        <v>0</v>
      </c>
      <c r="N1265">
        <f>Model!N72</f>
        <v>0</v>
      </c>
      <c r="O1265">
        <f>Model!O72</f>
        <v>0</v>
      </c>
      <c r="P1265">
        <f>Model!P72</f>
        <v>0</v>
      </c>
      <c r="Q1265">
        <f>Model!Q72</f>
        <v>0</v>
      </c>
      <c r="R1265">
        <f>Model!R72</f>
        <v>0</v>
      </c>
      <c r="S1265">
        <f>Model!S72</f>
        <v>0</v>
      </c>
      <c r="T1265">
        <f>Model!T72</f>
        <v>0</v>
      </c>
      <c r="U1265">
        <f>Model!U72</f>
        <v>0</v>
      </c>
      <c r="V1265">
        <f>Model!V72</f>
        <v>0</v>
      </c>
      <c r="W1265">
        <f>Model!W72</f>
        <v>0</v>
      </c>
      <c r="X1265">
        <f>Model!X72</f>
        <v>0</v>
      </c>
      <c r="Y1265">
        <f>Model!Y72</f>
        <v>0</v>
      </c>
      <c r="Z1265">
        <f>Model!Z72</f>
        <v>0</v>
      </c>
      <c r="AA1265">
        <f>Model!AA72</f>
        <v>0</v>
      </c>
      <c r="AB1265">
        <f>Model!AB72</f>
        <v>0</v>
      </c>
      <c r="AC1265">
        <f>Model!AC72</f>
        <v>0</v>
      </c>
      <c r="AD1265">
        <f>Model!AD72</f>
        <v>0</v>
      </c>
      <c r="AE1265">
        <f>Model!AE72</f>
        <v>0</v>
      </c>
      <c r="AF1265">
        <f>Model!AF72</f>
        <v>0</v>
      </c>
      <c r="AG1265">
        <f>Model!AG72</f>
        <v>0</v>
      </c>
      <c r="AH1265">
        <f>Model!AH72</f>
        <v>0</v>
      </c>
      <c r="AI1265">
        <f>Model!AI72</f>
        <v>0</v>
      </c>
      <c r="AJ1265">
        <f>Model!AJ72</f>
        <v>0</v>
      </c>
      <c r="AK1265">
        <f>Model!AK72</f>
        <v>0</v>
      </c>
      <c r="AL1265">
        <f>Model!AL72</f>
        <v>0</v>
      </c>
      <c r="AM1265">
        <f>Model!AM72</f>
        <v>0</v>
      </c>
      <c r="AN1265">
        <f>Model!AN72</f>
        <v>0</v>
      </c>
      <c r="AO1265">
        <f>Model!AO72</f>
        <v>0</v>
      </c>
      <c r="AP1265">
        <f>Model!AP72</f>
        <v>0</v>
      </c>
      <c r="AQ1265">
        <f>Model!AQ72</f>
        <v>0</v>
      </c>
      <c r="AR1265">
        <f>Model!AR72</f>
        <v>0</v>
      </c>
      <c r="AS1265">
        <f>Model!AS72</f>
        <v>0</v>
      </c>
      <c r="AT1265">
        <f>Model!AT72</f>
        <v>0</v>
      </c>
      <c r="AU1265">
        <f>Model!AU72</f>
        <v>0</v>
      </c>
      <c r="AV1265">
        <f>Model!AV72</f>
        <v>0</v>
      </c>
      <c r="AW1265">
        <f>Model!AW72</f>
        <v>0</v>
      </c>
      <c r="AX1265">
        <f>Model!AX72</f>
        <v>0</v>
      </c>
      <c r="AY1265">
        <f>Model!AY72</f>
        <v>0</v>
      </c>
      <c r="AZ1265">
        <f>Model!AZ72</f>
        <v>0</v>
      </c>
      <c r="BA1265">
        <f>Model!BA72</f>
        <v>0</v>
      </c>
      <c r="BB1265">
        <f>Model!BB72</f>
        <v>0</v>
      </c>
      <c r="BC1265">
        <f>Model!BC72</f>
        <v>0</v>
      </c>
      <c r="BD1265">
        <f>Model!BD72</f>
        <v>0</v>
      </c>
    </row>
    <row r="1266" spans="9:56" ht="11.25" customHeight="1">
      <c r="I1266" t="str">
        <f>Model!I73</f>
        <v>Net income (GAAP)</v>
      </c>
      <c r="J1266">
        <f>Model!J73</f>
        <v>0</v>
      </c>
      <c r="K1266">
        <f>Model!K73</f>
        <v>0</v>
      </c>
      <c r="L1266">
        <f>Model!L73</f>
        <v>0</v>
      </c>
      <c r="M1266">
        <f>Model!M73</f>
        <v>-2.9490000000000034</v>
      </c>
      <c r="N1266">
        <f>Model!N73</f>
        <v>-2.7189999999999999</v>
      </c>
      <c r="O1266">
        <f>Model!O73</f>
        <v>-2.9169999999999994</v>
      </c>
      <c r="P1266">
        <f>Model!P73</f>
        <v>-1.156000000000001</v>
      </c>
      <c r="Q1266">
        <f>Model!Q73</f>
        <v>-2.7529999999999997</v>
      </c>
      <c r="R1266">
        <f>Model!R73</f>
        <v>-1.2119999999999989</v>
      </c>
      <c r="S1266">
        <f>Model!S73</f>
        <v>-3.7980000000000067</v>
      </c>
      <c r="T1266">
        <f>Model!T73</f>
        <v>-9.0939999999999994</v>
      </c>
      <c r="U1266">
        <f>Model!U73</f>
        <v>-9.8330000000000002</v>
      </c>
      <c r="V1266">
        <f>Model!V73</f>
        <v>-1.9820000000000024</v>
      </c>
      <c r="W1266">
        <f>Model!W73</f>
        <v>-2.0109999999999983</v>
      </c>
      <c r="X1266">
        <f>Model!X73</f>
        <v>-5.3190000000000106</v>
      </c>
      <c r="Y1266">
        <f>Model!Y73</f>
        <v>-4.7989999999999871</v>
      </c>
      <c r="Z1266">
        <f>Model!Z73</f>
        <v>-0.87799999999999834</v>
      </c>
      <c r="AA1266">
        <f>Model!AA73</f>
        <v>-2.3220000000000058</v>
      </c>
      <c r="AB1266">
        <f>Model!AB73</f>
        <v>-2.0690000000000013</v>
      </c>
      <c r="AC1266">
        <f>Model!AC73</f>
        <v>-2.6350000000000131</v>
      </c>
      <c r="AD1266">
        <f>Model!AD73</f>
        <v>2.742999999999995</v>
      </c>
      <c r="AE1266">
        <f>Model!AE73</f>
        <v>3.6369999999999969</v>
      </c>
      <c r="AF1266">
        <f>Model!AF73</f>
        <v>32.728000000000009</v>
      </c>
      <c r="AG1266">
        <f>Model!AG73</f>
        <v>-7.992000000000008</v>
      </c>
      <c r="AH1266">
        <f>Model!AH73</f>
        <v>-9.6180000000000199</v>
      </c>
      <c r="AI1266">
        <f>Model!AI73</f>
        <v>-17.041000000000007</v>
      </c>
      <c r="AJ1266">
        <f>Model!AJ73</f>
        <v>2.4520000000000106</v>
      </c>
      <c r="AK1266">
        <f>Model!AK73</f>
        <v>-15.451999999999968</v>
      </c>
      <c r="AL1266">
        <f>Model!AL73</f>
        <v>0.44899999999998808</v>
      </c>
      <c r="AM1266">
        <f>Model!AM73</f>
        <v>2.0699999999999794</v>
      </c>
      <c r="AN1266">
        <f>Model!AN73</f>
        <v>8.2629999999999875</v>
      </c>
      <c r="AO1266">
        <f>Model!AO73</f>
        <v>-4.7800000000000216</v>
      </c>
      <c r="AP1266">
        <f>Model!AP73</f>
        <v>7.5899999999999936</v>
      </c>
      <c r="AQ1266">
        <f>Model!AQ73</f>
        <v>7.946999999999993</v>
      </c>
      <c r="AR1266">
        <f>Model!AR73</f>
        <v>142.10099999999997</v>
      </c>
      <c r="AS1266">
        <f>Model!AS73</f>
        <v>-3.9266185955693689</v>
      </c>
      <c r="AT1266">
        <f>Model!AT73</f>
        <v>5.4651577104548057</v>
      </c>
      <c r="AU1266">
        <f>Model!AU73</f>
        <v>5.6525840589573981</v>
      </c>
      <c r="AV1266">
        <f>Model!AV73</f>
        <v>8.8377282240026567</v>
      </c>
      <c r="AW1266">
        <f>Model!AW73</f>
        <v>4.3938433099046375</v>
      </c>
      <c r="AX1266">
        <f>Model!AX73</f>
        <v>12.814065929138108</v>
      </c>
      <c r="AY1266">
        <f>Model!AY73</f>
        <v>12.997083272283923</v>
      </c>
      <c r="AZ1266">
        <f>Model!AZ73</f>
        <v>16.194172281060354</v>
      </c>
      <c r="BA1266">
        <f>Model!BA73</f>
        <v>8.3605940726987065</v>
      </c>
      <c r="BB1266">
        <f>Model!BB73</f>
        <v>17.897392672842141</v>
      </c>
      <c r="BC1266">
        <f>Model!BC73</f>
        <v>17.927538572990922</v>
      </c>
      <c r="BD1266">
        <f>Model!BD73</f>
        <v>21.370687393498685</v>
      </c>
    </row>
    <row r="1267" spans="9:56" ht="11.25" customHeight="1">
      <c r="I1267">
        <f>Model!I74</f>
        <v>0</v>
      </c>
      <c r="J1267">
        <f>Model!J74</f>
        <v>0</v>
      </c>
      <c r="K1267">
        <f>Model!K74</f>
        <v>0</v>
      </c>
      <c r="L1267">
        <f>Model!L74</f>
        <v>0</v>
      </c>
      <c r="M1267">
        <f>Model!M74</f>
        <v>0</v>
      </c>
      <c r="N1267">
        <f>Model!N74</f>
        <v>0</v>
      </c>
      <c r="O1267">
        <f>Model!O74</f>
        <v>0</v>
      </c>
      <c r="P1267">
        <f>Model!P74</f>
        <v>0</v>
      </c>
      <c r="Q1267">
        <f>Model!Q74</f>
        <v>0</v>
      </c>
      <c r="R1267">
        <f>Model!R74</f>
        <v>0</v>
      </c>
      <c r="S1267">
        <f>Model!S74</f>
        <v>0</v>
      </c>
      <c r="T1267">
        <f>Model!T74</f>
        <v>0</v>
      </c>
      <c r="U1267">
        <f>Model!U74</f>
        <v>0</v>
      </c>
      <c r="V1267">
        <f>Model!V74</f>
        <v>0</v>
      </c>
      <c r="W1267">
        <f>Model!W74</f>
        <v>0</v>
      </c>
      <c r="X1267">
        <f>Model!X74</f>
        <v>0</v>
      </c>
      <c r="Y1267">
        <f>Model!Y74</f>
        <v>0</v>
      </c>
      <c r="Z1267">
        <f>Model!Z74</f>
        <v>0</v>
      </c>
      <c r="AA1267">
        <f>Model!AA74</f>
        <v>0</v>
      </c>
      <c r="AB1267">
        <f>Model!AB74</f>
        <v>0</v>
      </c>
      <c r="AC1267">
        <f>Model!AC74</f>
        <v>0</v>
      </c>
      <c r="AD1267">
        <f>Model!AD74</f>
        <v>0</v>
      </c>
      <c r="AE1267">
        <f>Model!AE74</f>
        <v>0</v>
      </c>
      <c r="AF1267">
        <f>Model!AF74</f>
        <v>0</v>
      </c>
      <c r="AG1267">
        <f>Model!AG74</f>
        <v>0</v>
      </c>
      <c r="AH1267">
        <f>Model!AH74</f>
        <v>0</v>
      </c>
      <c r="AI1267">
        <f>Model!AI74</f>
        <v>0</v>
      </c>
      <c r="AJ1267">
        <f>Model!AJ74</f>
        <v>0</v>
      </c>
      <c r="AK1267">
        <f>Model!AK74</f>
        <v>0</v>
      </c>
      <c r="AL1267">
        <f>Model!AL74</f>
        <v>0</v>
      </c>
      <c r="AM1267">
        <f>Model!AM74</f>
        <v>0</v>
      </c>
      <c r="AN1267">
        <f>Model!AN74</f>
        <v>0</v>
      </c>
      <c r="AO1267">
        <f>Model!AO74</f>
        <v>0</v>
      </c>
      <c r="AP1267">
        <f>Model!AP74</f>
        <v>0</v>
      </c>
      <c r="AQ1267">
        <f>Model!AQ74</f>
        <v>0</v>
      </c>
      <c r="AR1267">
        <f>Model!AR74</f>
        <v>0</v>
      </c>
      <c r="AS1267">
        <f>Model!AS74</f>
        <v>0</v>
      </c>
      <c r="AT1267">
        <f>Model!AT74</f>
        <v>0</v>
      </c>
      <c r="AU1267">
        <f>Model!AU74</f>
        <v>0</v>
      </c>
      <c r="AV1267">
        <f>Model!AV74</f>
        <v>0</v>
      </c>
      <c r="AW1267">
        <f>Model!AW74</f>
        <v>0</v>
      </c>
      <c r="AX1267">
        <f>Model!AX74</f>
        <v>0</v>
      </c>
      <c r="AY1267">
        <f>Model!AY74</f>
        <v>0</v>
      </c>
      <c r="AZ1267">
        <f>Model!AZ74</f>
        <v>0</v>
      </c>
      <c r="BA1267">
        <f>Model!BA74</f>
        <v>0</v>
      </c>
      <c r="BB1267">
        <f>Model!BB74</f>
        <v>0</v>
      </c>
      <c r="BC1267">
        <f>Model!BC74</f>
        <v>0</v>
      </c>
      <c r="BD1267">
        <f>Model!BD74</f>
        <v>0</v>
      </c>
    </row>
    <row r="1268" spans="9:56" ht="11.25" customHeight="1">
      <c r="I1268" t="str">
        <f>Model!I75</f>
        <v>EPS (adjusted non-GAAP) - diluted</v>
      </c>
      <c r="J1268">
        <f>Model!J75</f>
        <v>0</v>
      </c>
      <c r="K1268">
        <f>Model!K75</f>
        <v>0</v>
      </c>
      <c r="L1268">
        <f>Model!L75</f>
        <v>0</v>
      </c>
      <c r="M1268">
        <f>Model!M75</f>
        <v>-0.10425271531283481</v>
      </c>
      <c r="N1268">
        <f>Model!N75</f>
        <v>-0.17870891323660054</v>
      </c>
      <c r="O1268">
        <f>Model!O75</f>
        <v>-0.17687795915482993</v>
      </c>
      <c r="P1268">
        <f>Model!P75</f>
        <v>-3.868404544504072E-2</v>
      </c>
      <c r="Q1268">
        <f>Model!Q75</f>
        <v>-0.11014911014911001</v>
      </c>
      <c r="R1268">
        <f>Model!R75</f>
        <v>-1.4481147814481054E-2</v>
      </c>
      <c r="S1268">
        <f>Model!S75</f>
        <v>-0.14770163110050968</v>
      </c>
      <c r="T1268">
        <f>Model!T75</f>
        <v>-0.10884015655090994</v>
      </c>
      <c r="U1268">
        <f>Model!U75</f>
        <v>-7.5904423759715983E-2</v>
      </c>
      <c r="V1268">
        <f>Model!V75</f>
        <v>-2.0365595283065654E-3</v>
      </c>
      <c r="W1268">
        <f>Model!W75</f>
        <v>3.6038976937013889E-3</v>
      </c>
      <c r="X1268">
        <f>Model!X75</f>
        <v>-1.2681935780835941E-2</v>
      </c>
      <c r="Y1268">
        <f>Model!Y75</f>
        <v>4.9424712042213988E-3</v>
      </c>
      <c r="Z1268">
        <f>Model!Z75</f>
        <v>4.707941030723492E-2</v>
      </c>
      <c r="AA1268">
        <f>Model!AA75</f>
        <v>4.7639249198840175E-2</v>
      </c>
      <c r="AB1268">
        <f>Model!AB75</f>
        <v>5.9017822127325752E-2</v>
      </c>
      <c r="AC1268">
        <f>Model!AC75</f>
        <v>7.7910946874429093E-2</v>
      </c>
      <c r="AD1268">
        <f>Model!AD75</f>
        <v>0.12219684385382054</v>
      </c>
      <c r="AE1268">
        <f>Model!AE75</f>
        <v>0.14056613537569862</v>
      </c>
      <c r="AF1268">
        <f>Model!AF75</f>
        <v>0.18746810687596333</v>
      </c>
      <c r="AG1268">
        <f>Model!AG75</f>
        <v>4.9777275703154072E-2</v>
      </c>
      <c r="AH1268">
        <f>Model!AH75</f>
        <v>5.5444513581124732E-2</v>
      </c>
      <c r="AI1268">
        <f>Model!AI75</f>
        <v>-1.7244929475960052E-2</v>
      </c>
      <c r="AJ1268">
        <f>Model!AJ75</f>
        <v>6.0855103241818628E-2</v>
      </c>
      <c r="AK1268">
        <f>Model!AK75</f>
        <v>7.6565529461614545E-2</v>
      </c>
      <c r="AL1268">
        <f>Model!AL75</f>
        <v>0.15787083753784076</v>
      </c>
      <c r="AM1268">
        <f>Model!AM75</f>
        <v>0.22201719792081248</v>
      </c>
      <c r="AN1268">
        <f>Model!AN75</f>
        <v>0.26730595988810413</v>
      </c>
      <c r="AO1268">
        <f>Model!AO75</f>
        <v>0.19121137351662532</v>
      </c>
      <c r="AP1268">
        <f>Model!AP75</f>
        <v>0.25497289653547017</v>
      </c>
      <c r="AQ1268">
        <f>Model!AQ75</f>
        <v>0.29056534718012644</v>
      </c>
      <c r="AR1268">
        <f>Model!AR75</f>
        <v>0.18917856822060547</v>
      </c>
      <c r="AS1268">
        <f>Model!AS75</f>
        <v>0.15335769490037737</v>
      </c>
      <c r="AT1268">
        <f>Model!AT75</f>
        <v>0.24438785118919262</v>
      </c>
      <c r="AU1268">
        <f>Model!AU75</f>
        <v>0.25108396397025323</v>
      </c>
      <c r="AV1268">
        <f>Model!AV75</f>
        <v>0.29090290169843291</v>
      </c>
      <c r="AW1268">
        <f>Model!AW75</f>
        <v>0.23693191173256095</v>
      </c>
      <c r="AX1268">
        <f>Model!AX75</f>
        <v>0.32994516149375008</v>
      </c>
      <c r="AY1268">
        <f>Model!AY75</f>
        <v>0.33609884448591759</v>
      </c>
      <c r="AZ1268">
        <f>Model!AZ75</f>
        <v>0.37406568242229915</v>
      </c>
      <c r="BA1268">
        <f>Model!BA75</f>
        <v>0.28355754505861841</v>
      </c>
      <c r="BB1268">
        <f>Model!BB75</f>
        <v>0.38344264087476249</v>
      </c>
      <c r="BC1268">
        <f>Model!BC75</f>
        <v>0.38796637249164817</v>
      </c>
      <c r="BD1268">
        <f>Model!BD75</f>
        <v>0.42685208307569866</v>
      </c>
    </row>
    <row r="1269" spans="9:56" ht="11.25" customHeight="1">
      <c r="I1269">
        <f>Model!I76</f>
        <v>0</v>
      </c>
      <c r="J1269">
        <f>Model!J76</f>
        <v>0</v>
      </c>
      <c r="K1269">
        <f>Model!K76</f>
        <v>0</v>
      </c>
      <c r="L1269">
        <f>Model!L76</f>
        <v>0</v>
      </c>
      <c r="M1269">
        <f>Model!M76</f>
        <v>0</v>
      </c>
      <c r="N1269">
        <f>Model!N76</f>
        <v>0</v>
      </c>
      <c r="O1269">
        <f>Model!O76</f>
        <v>0</v>
      </c>
      <c r="P1269">
        <f>Model!P76</f>
        <v>0</v>
      </c>
      <c r="Q1269">
        <f>Model!Q76</f>
        <v>0</v>
      </c>
      <c r="R1269">
        <f>Model!R76</f>
        <v>0</v>
      </c>
      <c r="S1269">
        <f>Model!S76</f>
        <v>0</v>
      </c>
      <c r="T1269">
        <f>Model!T76</f>
        <v>0</v>
      </c>
      <c r="U1269">
        <f>Model!U76</f>
        <v>0</v>
      </c>
      <c r="V1269">
        <f>Model!V76</f>
        <v>0</v>
      </c>
      <c r="W1269">
        <f>Model!W76</f>
        <v>0</v>
      </c>
      <c r="X1269">
        <f>Model!X76</f>
        <v>0</v>
      </c>
      <c r="Y1269">
        <f>Model!Y76</f>
        <v>0</v>
      </c>
      <c r="Z1269">
        <f>Model!Z76</f>
        <v>0</v>
      </c>
      <c r="AA1269">
        <f>Model!AA76</f>
        <v>0</v>
      </c>
      <c r="AB1269">
        <f>Model!AB76</f>
        <v>0</v>
      </c>
      <c r="AC1269">
        <f>Model!AC76</f>
        <v>0</v>
      </c>
      <c r="AD1269">
        <f>Model!AD76</f>
        <v>0</v>
      </c>
      <c r="AE1269">
        <f>Model!AE76</f>
        <v>0</v>
      </c>
      <c r="AF1269">
        <f>Model!AF76</f>
        <v>0</v>
      </c>
      <c r="AG1269">
        <f>Model!AG76</f>
        <v>0</v>
      </c>
      <c r="AH1269">
        <f>Model!AH76</f>
        <v>0</v>
      </c>
      <c r="AI1269">
        <f>Model!AI76</f>
        <v>0</v>
      </c>
      <c r="AJ1269">
        <f>Model!AJ76</f>
        <v>0</v>
      </c>
      <c r="AK1269">
        <f>Model!AK76</f>
        <v>0</v>
      </c>
      <c r="AL1269">
        <f>Model!AL76</f>
        <v>0</v>
      </c>
      <c r="AM1269">
        <f>Model!AM76</f>
        <v>0</v>
      </c>
      <c r="AN1269">
        <f>Model!AN76</f>
        <v>0</v>
      </c>
      <c r="AO1269">
        <f>Model!AO76</f>
        <v>0</v>
      </c>
      <c r="AP1269">
        <f>Model!AP76</f>
        <v>0</v>
      </c>
      <c r="AQ1269">
        <f>Model!AQ76</f>
        <v>0</v>
      </c>
      <c r="AR1269">
        <f>Model!AR76</f>
        <v>0</v>
      </c>
      <c r="AS1269">
        <f>Model!AS76</f>
        <v>0</v>
      </c>
      <c r="AT1269">
        <f>Model!AT76</f>
        <v>0</v>
      </c>
      <c r="AU1269">
        <f>Model!AU76</f>
        <v>0</v>
      </c>
      <c r="AV1269">
        <f>Model!AV76</f>
        <v>0</v>
      </c>
      <c r="AW1269">
        <f>Model!AW76</f>
        <v>0</v>
      </c>
      <c r="AX1269">
        <f>Model!AX76</f>
        <v>0</v>
      </c>
      <c r="AY1269">
        <f>Model!AY76</f>
        <v>0</v>
      </c>
      <c r="AZ1269">
        <f>Model!AZ76</f>
        <v>0</v>
      </c>
      <c r="BA1269">
        <f>Model!BA76</f>
        <v>0</v>
      </c>
      <c r="BB1269">
        <f>Model!BB76</f>
        <v>0</v>
      </c>
      <c r="BC1269">
        <f>Model!BC76</f>
        <v>0</v>
      </c>
      <c r="BD1269">
        <f>Model!BD76</f>
        <v>0</v>
      </c>
    </row>
    <row r="1270" spans="9:56" ht="11.25" customHeight="1">
      <c r="I1270" t="str">
        <f>Model!I77</f>
        <v>EPS (GAAP) - basic</v>
      </c>
      <c r="J1270">
        <f>Model!J77</f>
        <v>0</v>
      </c>
      <c r="K1270">
        <f>Model!K77</f>
        <v>0</v>
      </c>
      <c r="L1270">
        <f>Model!L77</f>
        <v>0</v>
      </c>
      <c r="M1270">
        <f>Model!M77</f>
        <v>-0.22556218448829765</v>
      </c>
      <c r="N1270">
        <f>Model!N77</f>
        <v>-0.20128812555522654</v>
      </c>
      <c r="O1270">
        <f>Model!O77</f>
        <v>-0.2061338421312981</v>
      </c>
      <c r="P1270">
        <f>Model!P77</f>
        <v>-8.0574336098139063E-2</v>
      </c>
      <c r="Q1270">
        <f>Model!Q77</f>
        <v>-0.18917061774204627</v>
      </c>
      <c r="R1270">
        <f>Model!R77</f>
        <v>-8.0880880880880801E-2</v>
      </c>
      <c r="S1270">
        <f>Model!S77</f>
        <v>-0.24485848752498271</v>
      </c>
      <c r="T1270">
        <f>Model!T77</f>
        <v>-0.56494999068149332</v>
      </c>
      <c r="U1270">
        <f>Model!U77</f>
        <v>-0.31452515753446564</v>
      </c>
      <c r="V1270">
        <f>Model!V77</f>
        <v>-3.2552104718577078E-2</v>
      </c>
      <c r="W1270">
        <f>Model!W77</f>
        <v>-3.2823542853412088E-2</v>
      </c>
      <c r="X1270">
        <f>Model!X77</f>
        <v>-8.4424551211847221E-2</v>
      </c>
      <c r="Y1270">
        <f>Model!Y77</f>
        <v>-7.5298156536692543E-2</v>
      </c>
      <c r="Z1270">
        <f>Model!Z77</f>
        <v>-1.3596382556987091E-2</v>
      </c>
      <c r="AA1270">
        <f>Model!AA77</f>
        <v>-3.5434152296658104E-2</v>
      </c>
      <c r="AB1270">
        <f>Model!AB77</f>
        <v>-3.0052144610513188E-2</v>
      </c>
      <c r="AC1270">
        <f>Model!AC77</f>
        <v>-3.7023506765396196E-2</v>
      </c>
      <c r="AD1270">
        <f>Model!AD77</f>
        <v>3.8249156371140854E-2</v>
      </c>
      <c r="AE1270">
        <f>Model!AE77</f>
        <v>5.0377449961908682E-2</v>
      </c>
      <c r="AF1270">
        <f>Model!AF77</f>
        <v>0.45051965035446362</v>
      </c>
      <c r="AG1270">
        <f>Model!AG77</f>
        <v>-0.10846316703762023</v>
      </c>
      <c r="AH1270">
        <f>Model!AH77</f>
        <v>-0.12887406037705537</v>
      </c>
      <c r="AI1270">
        <f>Model!AI77</f>
        <v>-0.22715578720057594</v>
      </c>
      <c r="AJ1270">
        <f>Model!AJ77</f>
        <v>3.2531974738629871E-2</v>
      </c>
      <c r="AK1270">
        <f>Model!AK77</f>
        <v>-0.20362658795002858</v>
      </c>
      <c r="AL1270">
        <f>Model!AL77</f>
        <v>5.8718139851176073E-3</v>
      </c>
      <c r="AM1270">
        <f>Model!AM77</f>
        <v>2.6702441918963628E-2</v>
      </c>
      <c r="AN1270">
        <f>Model!AN77</f>
        <v>0.10479258348023472</v>
      </c>
      <c r="AO1270">
        <f>Model!AO77</f>
        <v>-5.9867489949025229E-2</v>
      </c>
      <c r="AP1270">
        <f>Model!AP77</f>
        <v>9.3708331275618478E-2</v>
      </c>
      <c r="AQ1270">
        <f>Model!AQ77</f>
        <v>9.6609489539138491E-2</v>
      </c>
      <c r="AR1270">
        <f>Model!AR77</f>
        <v>1.7066319177555724</v>
      </c>
      <c r="AS1270">
        <f>Model!AS77</f>
        <v>-4.6821265329215982E-2</v>
      </c>
      <c r="AT1270">
        <f>Model!AT77</f>
        <v>6.4247598401848086E-2</v>
      </c>
      <c r="AU1270">
        <f>Model!AU77</f>
        <v>6.5526570283749863E-2</v>
      </c>
      <c r="AV1270">
        <f>Model!AV77</f>
        <v>0.10104418073724795</v>
      </c>
      <c r="AW1270">
        <f>Model!AW77</f>
        <v>4.955611420536675E-2</v>
      </c>
      <c r="AX1270">
        <f>Model!AX77</f>
        <v>0.14259398567989523</v>
      </c>
      <c r="AY1270">
        <f>Model!AY77</f>
        <v>0.14272471308402795</v>
      </c>
      <c r="AZ1270">
        <f>Model!AZ77</f>
        <v>0.17551994581917485</v>
      </c>
      <c r="BA1270">
        <f>Model!BA77</f>
        <v>8.9452560051984778E-2</v>
      </c>
      <c r="BB1270">
        <f>Model!BB77</f>
        <v>0.18906229055229162</v>
      </c>
      <c r="BC1270">
        <f>Model!BC77</f>
        <v>0.18701012447833304</v>
      </c>
      <c r="BD1270">
        <f>Model!BD77</f>
        <v>0.22017109735327903</v>
      </c>
    </row>
    <row r="1271" spans="9:56" ht="11.25" customHeight="1">
      <c r="I1271" t="str">
        <f>Model!I78</f>
        <v>EPS (GAAP) - diluted</v>
      </c>
      <c r="J1271">
        <f>Model!J78</f>
        <v>0</v>
      </c>
      <c r="K1271">
        <f>Model!K78</f>
        <v>0</v>
      </c>
      <c r="L1271">
        <f>Model!L78</f>
        <v>0</v>
      </c>
      <c r="M1271">
        <f>Model!M78</f>
        <v>-0.22556218448829765</v>
      </c>
      <c r="N1271">
        <f>Model!N78</f>
        <v>-0.20128812555522654</v>
      </c>
      <c r="O1271">
        <f>Model!O78</f>
        <v>-0.2061338421312981</v>
      </c>
      <c r="P1271">
        <f>Model!P78</f>
        <v>-8.0574336098139063E-2</v>
      </c>
      <c r="Q1271">
        <f>Model!Q78</f>
        <v>-0.18917061774204627</v>
      </c>
      <c r="R1271">
        <f>Model!R78</f>
        <v>-8.0880880880880801E-2</v>
      </c>
      <c r="S1271">
        <f>Model!S78</f>
        <v>-0.24485848752498271</v>
      </c>
      <c r="T1271">
        <f>Model!T78</f>
        <v>-0.56494999068149332</v>
      </c>
      <c r="U1271">
        <f>Model!U78</f>
        <v>-0.31452515753446564</v>
      </c>
      <c r="V1271">
        <f>Model!V78</f>
        <v>-3.2552104718577078E-2</v>
      </c>
      <c r="W1271">
        <f>Model!W78</f>
        <v>-3.2823542853412088E-2</v>
      </c>
      <c r="X1271">
        <f>Model!X78</f>
        <v>-8.4424551211847221E-2</v>
      </c>
      <c r="Y1271">
        <f>Model!Y78</f>
        <v>-7.5298156536692543E-2</v>
      </c>
      <c r="Z1271">
        <f>Model!Z78</f>
        <v>-1.3596382556987091E-2</v>
      </c>
      <c r="AA1271">
        <f>Model!AA78</f>
        <v>-3.5434152296658104E-2</v>
      </c>
      <c r="AB1271">
        <f>Model!AB78</f>
        <v>-3.0052144610513188E-2</v>
      </c>
      <c r="AC1271">
        <f>Model!AC78</f>
        <v>-3.7023506765396196E-2</v>
      </c>
      <c r="AD1271">
        <f>Model!AD78</f>
        <v>3.5597487541528174E-2</v>
      </c>
      <c r="AE1271">
        <f>Model!AE78</f>
        <v>4.7052887600910739E-2</v>
      </c>
      <c r="AF1271">
        <f>Model!AF78</f>
        <v>0.42387742679151946</v>
      </c>
      <c r="AG1271">
        <f>Model!AG78</f>
        <v>-0.10846316703762023</v>
      </c>
      <c r="AH1271">
        <f>Model!AH78</f>
        <v>-0.1221348842524987</v>
      </c>
      <c r="AI1271">
        <f>Model!AI78</f>
        <v>-0.21930659940286226</v>
      </c>
      <c r="AJ1271">
        <f>Model!AJ78</f>
        <v>3.1369137476652389E-2</v>
      </c>
      <c r="AK1271">
        <f>Model!AK78</f>
        <v>-0.19840525930586367</v>
      </c>
      <c r="AL1271">
        <f>Model!AL78</f>
        <v>5.6634712411703847E-3</v>
      </c>
      <c r="AM1271">
        <f>Model!AM78</f>
        <v>2.4964723759904234E-2</v>
      </c>
      <c r="AN1271">
        <f>Model!AN78</f>
        <v>9.7944620928357914E-2</v>
      </c>
      <c r="AO1271">
        <f>Model!AO78</f>
        <v>-5.616261308894397E-2</v>
      </c>
      <c r="AP1271">
        <f>Model!AP78</f>
        <v>8.9441432948385496E-2</v>
      </c>
      <c r="AQ1271">
        <f>Model!AQ78</f>
        <v>9.0892454793956426E-2</v>
      </c>
      <c r="AR1271">
        <f>Model!AR78</f>
        <v>1.5954931285367824</v>
      </c>
      <c r="AS1271">
        <f>Model!AS78</f>
        <v>-4.3792587834240823E-2</v>
      </c>
      <c r="AT1271">
        <f>Model!AT78</f>
        <v>6.0146567512489056E-2</v>
      </c>
      <c r="AU1271">
        <f>Model!AU78</f>
        <v>6.1398419131879982E-2</v>
      </c>
      <c r="AV1271">
        <f>Model!AV78</f>
        <v>9.4760338651598219E-2</v>
      </c>
      <c r="AW1271">
        <f>Model!AW78</f>
        <v>4.6513415797601598E-2</v>
      </c>
      <c r="AX1271">
        <f>Model!AX78</f>
        <v>0.13394867378677566</v>
      </c>
      <c r="AY1271">
        <f>Model!AY78</f>
        <v>0.13417867600227043</v>
      </c>
      <c r="AZ1271">
        <f>Model!AZ78</f>
        <v>0.16513881017560317</v>
      </c>
      <c r="BA1271">
        <f>Model!BA78</f>
        <v>8.4225842930958916E-2</v>
      </c>
      <c r="BB1271">
        <f>Model!BB78</f>
        <v>0.17814732314900997</v>
      </c>
      <c r="BC1271">
        <f>Model!BC78</f>
        <v>0.17634107031978793</v>
      </c>
      <c r="BD1271">
        <f>Model!BD78</f>
        <v>0.20775672143314161</v>
      </c>
    </row>
    <row r="1272" spans="9:56" ht="11.25" customHeight="1">
      <c r="I1272">
        <f>Model!I79</f>
        <v>0</v>
      </c>
      <c r="J1272">
        <f>Model!J79</f>
        <v>0</v>
      </c>
      <c r="K1272">
        <f>Model!K79</f>
        <v>0</v>
      </c>
      <c r="L1272">
        <f>Model!L79</f>
        <v>0</v>
      </c>
      <c r="M1272">
        <f>Model!M79</f>
        <v>0</v>
      </c>
      <c r="N1272">
        <f>Model!N79</f>
        <v>0</v>
      </c>
      <c r="O1272">
        <f>Model!O79</f>
        <v>0</v>
      </c>
      <c r="P1272">
        <f>Model!P79</f>
        <v>0</v>
      </c>
      <c r="Q1272">
        <f>Model!Q79</f>
        <v>0</v>
      </c>
      <c r="R1272">
        <f>Model!R79</f>
        <v>0</v>
      </c>
      <c r="S1272">
        <f>Model!S79</f>
        <v>0</v>
      </c>
      <c r="T1272">
        <f>Model!T79</f>
        <v>0</v>
      </c>
      <c r="U1272">
        <f>Model!U79</f>
        <v>0</v>
      </c>
      <c r="V1272">
        <f>Model!V79</f>
        <v>0</v>
      </c>
      <c r="W1272">
        <f>Model!W79</f>
        <v>0</v>
      </c>
      <c r="X1272">
        <f>Model!X79</f>
        <v>0</v>
      </c>
      <c r="Y1272">
        <f>Model!Y79</f>
        <v>0</v>
      </c>
      <c r="Z1272">
        <f>Model!Z79</f>
        <v>0</v>
      </c>
      <c r="AA1272">
        <f>Model!AA79</f>
        <v>0</v>
      </c>
      <c r="AB1272">
        <f>Model!AB79</f>
        <v>0</v>
      </c>
      <c r="AC1272">
        <f>Model!AC79</f>
        <v>0</v>
      </c>
      <c r="AD1272">
        <f>Model!AD79</f>
        <v>0</v>
      </c>
      <c r="AE1272">
        <f>Model!AE79</f>
        <v>0</v>
      </c>
      <c r="AF1272">
        <f>Model!AF79</f>
        <v>0</v>
      </c>
      <c r="AG1272">
        <f>Model!AG79</f>
        <v>0</v>
      </c>
      <c r="AH1272">
        <f>Model!AH79</f>
        <v>0</v>
      </c>
      <c r="AI1272">
        <f>Model!AI79</f>
        <v>0</v>
      </c>
      <c r="AJ1272">
        <f>Model!AJ79</f>
        <v>0</v>
      </c>
      <c r="AK1272">
        <f>Model!AK79</f>
        <v>0</v>
      </c>
      <c r="AL1272">
        <f>Model!AL79</f>
        <v>0</v>
      </c>
      <c r="AM1272">
        <f>Model!AM79</f>
        <v>0</v>
      </c>
      <c r="AN1272">
        <f>Model!AN79</f>
        <v>0</v>
      </c>
      <c r="AO1272">
        <f>Model!AO79</f>
        <v>0</v>
      </c>
      <c r="AP1272">
        <f>Model!AP79</f>
        <v>0</v>
      </c>
      <c r="AQ1272">
        <f>Model!AQ79</f>
        <v>0</v>
      </c>
      <c r="AR1272">
        <f>Model!AR79</f>
        <v>0</v>
      </c>
      <c r="AS1272">
        <f>Model!AS79</f>
        <v>0</v>
      </c>
      <c r="AT1272">
        <f>Model!AT79</f>
        <v>0</v>
      </c>
      <c r="AU1272">
        <f>Model!AU79</f>
        <v>0</v>
      </c>
      <c r="AV1272">
        <f>Model!AV79</f>
        <v>0</v>
      </c>
      <c r="AW1272">
        <f>Model!AW79</f>
        <v>0</v>
      </c>
      <c r="AX1272">
        <f>Model!AX79</f>
        <v>0</v>
      </c>
      <c r="AY1272">
        <f>Model!AY79</f>
        <v>0</v>
      </c>
      <c r="AZ1272">
        <f>Model!AZ79</f>
        <v>0</v>
      </c>
      <c r="BA1272">
        <f>Model!BA79</f>
        <v>0</v>
      </c>
      <c r="BB1272">
        <f>Model!BB79</f>
        <v>0</v>
      </c>
      <c r="BC1272">
        <f>Model!BC79</f>
        <v>0</v>
      </c>
      <c r="BD1272">
        <f>Model!BD79</f>
        <v>0</v>
      </c>
    </row>
    <row r="1273" spans="9:56" ht="11.25" customHeight="1">
      <c r="I1273">
        <f>Model!I80</f>
        <v>0</v>
      </c>
      <c r="J1273">
        <f>Model!J80</f>
        <v>0</v>
      </c>
      <c r="K1273">
        <f>Model!K80</f>
        <v>0</v>
      </c>
      <c r="L1273">
        <f>Model!L80</f>
        <v>0</v>
      </c>
      <c r="M1273">
        <f>Model!M80</f>
        <v>0</v>
      </c>
      <c r="N1273">
        <f>Model!N80</f>
        <v>0</v>
      </c>
      <c r="O1273">
        <f>Model!O80</f>
        <v>0</v>
      </c>
      <c r="P1273">
        <f>Model!P80</f>
        <v>0</v>
      </c>
      <c r="Q1273">
        <f>Model!Q80</f>
        <v>0</v>
      </c>
      <c r="R1273">
        <f>Model!R80</f>
        <v>0</v>
      </c>
      <c r="S1273">
        <f>Model!S80</f>
        <v>0</v>
      </c>
      <c r="T1273">
        <f>Model!T80</f>
        <v>0</v>
      </c>
      <c r="U1273">
        <f>Model!U80</f>
        <v>0</v>
      </c>
      <c r="V1273">
        <f>Model!V80</f>
        <v>0</v>
      </c>
      <c r="W1273">
        <f>Model!W80</f>
        <v>0</v>
      </c>
      <c r="X1273">
        <f>Model!X80</f>
        <v>0</v>
      </c>
      <c r="Y1273">
        <f>Model!Y80</f>
        <v>0</v>
      </c>
      <c r="Z1273">
        <f>Model!Z80</f>
        <v>0</v>
      </c>
      <c r="AA1273">
        <f>Model!AA80</f>
        <v>0</v>
      </c>
      <c r="AB1273">
        <f>Model!AB80</f>
        <v>0</v>
      </c>
      <c r="AC1273">
        <f>Model!AC80</f>
        <v>0</v>
      </c>
      <c r="AD1273">
        <f>Model!AD80</f>
        <v>0</v>
      </c>
      <c r="AE1273">
        <f>Model!AE80</f>
        <v>0</v>
      </c>
      <c r="AF1273">
        <f>Model!AF80</f>
        <v>0</v>
      </c>
      <c r="AG1273">
        <f>Model!AG80</f>
        <v>0</v>
      </c>
      <c r="AH1273">
        <f>Model!AH80</f>
        <v>0</v>
      </c>
      <c r="AI1273">
        <f>Model!AI80</f>
        <v>0</v>
      </c>
      <c r="AJ1273">
        <f>Model!AJ80</f>
        <v>0</v>
      </c>
      <c r="AK1273">
        <f>Model!AK80</f>
        <v>0</v>
      </c>
      <c r="AL1273">
        <f>Model!AL80</f>
        <v>0</v>
      </c>
      <c r="AM1273">
        <f>Model!AM80</f>
        <v>0</v>
      </c>
      <c r="AN1273">
        <f>Model!AN80</f>
        <v>0</v>
      </c>
      <c r="AO1273">
        <f>Model!AO80</f>
        <v>0</v>
      </c>
      <c r="AP1273">
        <f>Model!AP80</f>
        <v>0</v>
      </c>
      <c r="AQ1273">
        <f>Model!AQ80</f>
        <v>0</v>
      </c>
      <c r="AR1273">
        <f>Model!AR80</f>
        <v>0</v>
      </c>
      <c r="AS1273">
        <f>Model!AS80</f>
        <v>0</v>
      </c>
      <c r="AT1273">
        <f>Model!AT80</f>
        <v>0</v>
      </c>
      <c r="AU1273">
        <f>Model!AU80</f>
        <v>0</v>
      </c>
      <c r="AV1273">
        <f>Model!AV80</f>
        <v>0</v>
      </c>
      <c r="AW1273">
        <f>Model!AW80</f>
        <v>0</v>
      </c>
      <c r="AX1273">
        <f>Model!AX80</f>
        <v>0</v>
      </c>
      <c r="AY1273">
        <f>Model!AY80</f>
        <v>0</v>
      </c>
      <c r="AZ1273">
        <f>Model!AZ80</f>
        <v>0</v>
      </c>
      <c r="BA1273">
        <f>Model!BA80</f>
        <v>0</v>
      </c>
      <c r="BB1273">
        <f>Model!BB80</f>
        <v>0</v>
      </c>
      <c r="BC1273">
        <f>Model!BC80</f>
        <v>0</v>
      </c>
      <c r="BD1273">
        <f>Model!BD80</f>
        <v>0</v>
      </c>
    </row>
    <row r="1274" spans="9:56" ht="11.25" customHeight="1">
      <c r="I1274" t="str">
        <f>Model!I81</f>
        <v>Average Shares Outstanding</v>
      </c>
      <c r="J1274">
        <f>Model!J81</f>
        <v>0</v>
      </c>
      <c r="K1274">
        <f>Model!K81</f>
        <v>0</v>
      </c>
      <c r="L1274">
        <f>Model!L81</f>
        <v>0</v>
      </c>
      <c r="M1274">
        <f>Model!M81</f>
        <v>0</v>
      </c>
      <c r="N1274">
        <f>Model!N81</f>
        <v>0</v>
      </c>
      <c r="O1274">
        <f>Model!O81</f>
        <v>0</v>
      </c>
      <c r="P1274">
        <f>Model!P81</f>
        <v>0</v>
      </c>
      <c r="Q1274">
        <f>Model!Q81</f>
        <v>0</v>
      </c>
      <c r="R1274">
        <f>Model!R81</f>
        <v>0</v>
      </c>
      <c r="S1274">
        <f>Model!S81</f>
        <v>0</v>
      </c>
      <c r="T1274">
        <f>Model!T81</f>
        <v>0</v>
      </c>
      <c r="U1274">
        <f>Model!U81</f>
        <v>0</v>
      </c>
      <c r="V1274">
        <f>Model!V81</f>
        <v>0</v>
      </c>
      <c r="W1274">
        <f>Model!W81</f>
        <v>0</v>
      </c>
      <c r="X1274">
        <f>Model!X81</f>
        <v>0</v>
      </c>
      <c r="Y1274">
        <f>Model!Y81</f>
        <v>0</v>
      </c>
      <c r="Z1274">
        <f>Model!Z81</f>
        <v>0</v>
      </c>
      <c r="AA1274">
        <f>Model!AA81</f>
        <v>0</v>
      </c>
      <c r="AB1274">
        <f>Model!AB81</f>
        <v>0</v>
      </c>
      <c r="AC1274">
        <f>Model!AC81</f>
        <v>0</v>
      </c>
      <c r="AD1274">
        <f>Model!AD81</f>
        <v>0</v>
      </c>
      <c r="AE1274">
        <f>Model!AE81</f>
        <v>0</v>
      </c>
      <c r="AF1274">
        <f>Model!AF81</f>
        <v>0</v>
      </c>
      <c r="AG1274">
        <f>Model!AG81</f>
        <v>0</v>
      </c>
      <c r="AH1274">
        <f>Model!AH81</f>
        <v>0</v>
      </c>
      <c r="AI1274">
        <f>Model!AI81</f>
        <v>0</v>
      </c>
      <c r="AJ1274">
        <f>Model!AJ81</f>
        <v>0</v>
      </c>
      <c r="AK1274">
        <f>Model!AK81</f>
        <v>0</v>
      </c>
      <c r="AL1274">
        <f>Model!AL81</f>
        <v>0</v>
      </c>
      <c r="AM1274">
        <f>Model!AM81</f>
        <v>0</v>
      </c>
      <c r="AN1274">
        <f>Model!AN81</f>
        <v>0</v>
      </c>
      <c r="AO1274">
        <f>Model!AO81</f>
        <v>0</v>
      </c>
      <c r="AP1274">
        <f>Model!AP81</f>
        <v>0</v>
      </c>
      <c r="AQ1274">
        <f>Model!AQ81</f>
        <v>0</v>
      </c>
      <c r="AR1274">
        <f>Model!AR81</f>
        <v>0</v>
      </c>
      <c r="AS1274">
        <f>Model!AS81</f>
        <v>0</v>
      </c>
      <c r="AT1274">
        <f>Model!AT81</f>
        <v>0</v>
      </c>
      <c r="AU1274">
        <f>Model!AU81</f>
        <v>0</v>
      </c>
      <c r="AV1274">
        <f>Model!AV81</f>
        <v>0</v>
      </c>
      <c r="AW1274">
        <f>Model!AW81</f>
        <v>0</v>
      </c>
      <c r="AX1274">
        <f>Model!AX81</f>
        <v>0</v>
      </c>
      <c r="AY1274">
        <f>Model!AY81</f>
        <v>0</v>
      </c>
      <c r="AZ1274">
        <f>Model!AZ81</f>
        <v>0</v>
      </c>
      <c r="BA1274">
        <f>Model!BA81</f>
        <v>0</v>
      </c>
      <c r="BB1274">
        <f>Model!BB81</f>
        <v>0</v>
      </c>
      <c r="BC1274">
        <f>Model!BC81</f>
        <v>0</v>
      </c>
      <c r="BD1274">
        <f>Model!BD81</f>
        <v>0</v>
      </c>
    </row>
    <row r="1275" spans="9:56" ht="11.25" customHeight="1">
      <c r="I1275">
        <f>Model!I82</f>
        <v>0</v>
      </c>
      <c r="J1275">
        <f>Model!J82</f>
        <v>0</v>
      </c>
      <c r="K1275">
        <f>Model!K82</f>
        <v>0</v>
      </c>
      <c r="L1275">
        <f>Model!L82</f>
        <v>0</v>
      </c>
      <c r="M1275">
        <f>Model!M82</f>
        <v>0</v>
      </c>
      <c r="N1275">
        <f>Model!N82</f>
        <v>0</v>
      </c>
      <c r="O1275">
        <f>Model!O82</f>
        <v>0</v>
      </c>
      <c r="P1275">
        <f>Model!P82</f>
        <v>0</v>
      </c>
      <c r="Q1275">
        <f>Model!Q82</f>
        <v>0</v>
      </c>
      <c r="R1275">
        <f>Model!R82</f>
        <v>0</v>
      </c>
      <c r="S1275">
        <f>Model!S82</f>
        <v>0</v>
      </c>
      <c r="T1275">
        <f>Model!T82</f>
        <v>0</v>
      </c>
      <c r="U1275">
        <f>Model!U82</f>
        <v>0</v>
      </c>
      <c r="V1275">
        <f>Model!V82</f>
        <v>0</v>
      </c>
      <c r="W1275">
        <f>Model!W82</f>
        <v>0</v>
      </c>
      <c r="X1275">
        <f>Model!X82</f>
        <v>0</v>
      </c>
      <c r="Y1275">
        <f>Model!Y82</f>
        <v>0</v>
      </c>
      <c r="Z1275">
        <f>Model!Z82</f>
        <v>0</v>
      </c>
      <c r="AA1275">
        <f>Model!AA82</f>
        <v>0</v>
      </c>
      <c r="AB1275">
        <f>Model!AB82</f>
        <v>0</v>
      </c>
      <c r="AC1275">
        <f>Model!AC82</f>
        <v>0</v>
      </c>
      <c r="AD1275">
        <f>Model!AD82</f>
        <v>0</v>
      </c>
      <c r="AE1275">
        <f>Model!AE82</f>
        <v>0</v>
      </c>
      <c r="AF1275">
        <f>Model!AF82</f>
        <v>0</v>
      </c>
      <c r="AG1275">
        <f>Model!AG82</f>
        <v>0</v>
      </c>
      <c r="AH1275">
        <f>Model!AH82</f>
        <v>0</v>
      </c>
      <c r="AI1275">
        <f>Model!AI82</f>
        <v>0</v>
      </c>
      <c r="AJ1275">
        <f>Model!AJ82</f>
        <v>0</v>
      </c>
      <c r="AK1275">
        <f>Model!AK82</f>
        <v>0</v>
      </c>
      <c r="AL1275">
        <f>Model!AL82</f>
        <v>0</v>
      </c>
      <c r="AM1275">
        <f>Model!AM82</f>
        <v>0</v>
      </c>
      <c r="AN1275">
        <f>Model!AN82</f>
        <v>0</v>
      </c>
      <c r="AO1275">
        <f>Model!AO82</f>
        <v>0</v>
      </c>
      <c r="AP1275">
        <f>Model!AP82</f>
        <v>0</v>
      </c>
      <c r="AQ1275">
        <f>Model!AQ82</f>
        <v>0</v>
      </c>
      <c r="AR1275">
        <f>Model!AR82</f>
        <v>0</v>
      </c>
      <c r="AS1275">
        <f>Model!AS82</f>
        <v>0</v>
      </c>
      <c r="AT1275">
        <f>Model!AT82</f>
        <v>0</v>
      </c>
      <c r="AU1275">
        <f>Model!AU82</f>
        <v>0</v>
      </c>
      <c r="AV1275">
        <f>Model!AV82</f>
        <v>0</v>
      </c>
      <c r="AW1275">
        <f>Model!AW82</f>
        <v>0</v>
      </c>
      <c r="AX1275">
        <f>Model!AX82</f>
        <v>0</v>
      </c>
      <c r="AY1275">
        <f>Model!AY82</f>
        <v>0</v>
      </c>
      <c r="AZ1275">
        <f>Model!AZ82</f>
        <v>0</v>
      </c>
      <c r="BA1275">
        <f>Model!BA82</f>
        <v>0</v>
      </c>
      <c r="BB1275">
        <f>Model!BB82</f>
        <v>0</v>
      </c>
      <c r="BC1275">
        <f>Model!BC82</f>
        <v>0</v>
      </c>
      <c r="BD1275">
        <f>Model!BD82</f>
        <v>0</v>
      </c>
    </row>
    <row r="1276" spans="9:56" ht="11.25" customHeight="1">
      <c r="I1276" t="str">
        <f>Model!I83</f>
        <v>Basic (GAAP)</v>
      </c>
      <c r="J1276">
        <f>Model!J83</f>
        <v>0</v>
      </c>
      <c r="K1276">
        <f>Model!K83</f>
        <v>0</v>
      </c>
      <c r="L1276">
        <f>Model!L83</f>
        <v>0</v>
      </c>
      <c r="M1276">
        <f>Model!M83</f>
        <v>13.074</v>
      </c>
      <c r="N1276">
        <f>Model!N83</f>
        <v>13.507999999999999</v>
      </c>
      <c r="O1276">
        <f>Model!O83</f>
        <v>14.151</v>
      </c>
      <c r="P1276">
        <f>Model!P83</f>
        <v>14.347</v>
      </c>
      <c r="Q1276">
        <f>Model!Q83</f>
        <v>14.553000000000001</v>
      </c>
      <c r="R1276">
        <f>Model!R83</f>
        <v>14.984999999999999</v>
      </c>
      <c r="S1276">
        <f>Model!S83</f>
        <v>15.510999999999999</v>
      </c>
      <c r="T1276">
        <f>Model!T83</f>
        <v>16.097000000000001</v>
      </c>
      <c r="U1276">
        <f>Model!U83</f>
        <v>31.263000000000002</v>
      </c>
      <c r="V1276">
        <f>Model!V83</f>
        <v>60.887</v>
      </c>
      <c r="W1276">
        <f>Model!W83</f>
        <v>61.267000000000003</v>
      </c>
      <c r="X1276">
        <f>Model!X83</f>
        <v>63.003</v>
      </c>
      <c r="Y1276">
        <f>Model!Y83</f>
        <v>63.7333</v>
      </c>
      <c r="Z1276">
        <f>Model!Z83</f>
        <v>64.575999999999993</v>
      </c>
      <c r="AA1276">
        <f>Model!AA83</f>
        <v>65.53</v>
      </c>
      <c r="AB1276">
        <f>Model!AB83</f>
        <v>68.846999999999994</v>
      </c>
      <c r="AC1276">
        <f>Model!AC83</f>
        <v>71.171000000000006</v>
      </c>
      <c r="AD1276">
        <f>Model!AD83</f>
        <v>71.713999999999999</v>
      </c>
      <c r="AE1276">
        <f>Model!AE83</f>
        <v>72.194999999999993</v>
      </c>
      <c r="AF1276">
        <f>Model!AF83</f>
        <v>72.644999999999996</v>
      </c>
      <c r="AG1276">
        <f>Model!AG83</f>
        <v>73.683999999999997</v>
      </c>
      <c r="AH1276">
        <f>Model!AH83</f>
        <v>74.631</v>
      </c>
      <c r="AI1276">
        <f>Model!AI83</f>
        <v>75.019000000000005</v>
      </c>
      <c r="AJ1276">
        <f>Model!AJ83</f>
        <v>75.372</v>
      </c>
      <c r="AK1276">
        <f>Model!AK83</f>
        <v>75.884</v>
      </c>
      <c r="AL1276">
        <f>Model!AL83</f>
        <v>76.466999999999999</v>
      </c>
      <c r="AM1276">
        <f>Model!AM83</f>
        <v>77.521000000000001</v>
      </c>
      <c r="AN1276">
        <f>Model!AN83</f>
        <v>78.850999999999999</v>
      </c>
      <c r="AO1276">
        <f>Model!AO83</f>
        <v>79.843000000000004</v>
      </c>
      <c r="AP1276">
        <f>Model!AP83</f>
        <v>80.995999999999995</v>
      </c>
      <c r="AQ1276">
        <f>Model!AQ83</f>
        <v>82.259</v>
      </c>
      <c r="AR1276">
        <f>Model!AR83</f>
        <v>83.263999999999996</v>
      </c>
      <c r="AS1276">
        <f>Model!AS83</f>
        <v>83.86399999999999</v>
      </c>
      <c r="AT1276">
        <f>Model!AT83</f>
        <v>85.064000000000007</v>
      </c>
      <c r="AU1276">
        <f>Model!AU83</f>
        <v>86.263999999999996</v>
      </c>
      <c r="AV1276">
        <f>Model!AV83</f>
        <v>87.464000000000013</v>
      </c>
      <c r="AW1276">
        <f>Model!AW83</f>
        <v>88.664000000000001</v>
      </c>
      <c r="AX1276">
        <f>Model!AX83</f>
        <v>89.864000000000019</v>
      </c>
      <c r="AY1276">
        <f>Model!AY83</f>
        <v>91.064000000000007</v>
      </c>
      <c r="AZ1276">
        <f>Model!AZ83</f>
        <v>92.264000000000024</v>
      </c>
      <c r="BA1276">
        <f>Model!BA83</f>
        <v>93.464000000000013</v>
      </c>
      <c r="BB1276">
        <f>Model!BB83</f>
        <v>94.66400000000003</v>
      </c>
      <c r="BC1276">
        <f>Model!BC83</f>
        <v>95.864000000000019</v>
      </c>
      <c r="BD1276">
        <f>Model!BD83</f>
        <v>97.064000000000036</v>
      </c>
    </row>
    <row r="1277" spans="9:56" ht="11.25" customHeight="1">
      <c r="I1277" t="str">
        <f>Model!I84</f>
        <v>Diluted (Non-GAAP)</v>
      </c>
      <c r="J1277">
        <f>Model!J84</f>
        <v>0</v>
      </c>
      <c r="K1277">
        <f>Model!K84</f>
        <v>0</v>
      </c>
      <c r="L1277">
        <f>Model!L84</f>
        <v>0</v>
      </c>
      <c r="M1277">
        <f>Model!M84</f>
        <v>13.074</v>
      </c>
      <c r="N1277">
        <f>Model!N84</f>
        <v>13.507999999999999</v>
      </c>
      <c r="O1277">
        <f>Model!O84</f>
        <v>14.151</v>
      </c>
      <c r="P1277">
        <f>Model!P84</f>
        <v>14.347</v>
      </c>
      <c r="Q1277">
        <f>Model!Q84</f>
        <v>14.553000000000001</v>
      </c>
      <c r="R1277">
        <f>Model!R84</f>
        <v>14.984999999999999</v>
      </c>
      <c r="S1277">
        <f>Model!S84</f>
        <v>15.510999999999999</v>
      </c>
      <c r="T1277">
        <f>Model!T84</f>
        <v>16.097000000000001</v>
      </c>
      <c r="U1277">
        <f>Model!U84</f>
        <v>31.263000000000002</v>
      </c>
      <c r="V1277">
        <f>Model!V84</f>
        <v>60.887</v>
      </c>
      <c r="W1277">
        <f>Model!W84</f>
        <v>61.267000000000003</v>
      </c>
      <c r="X1277">
        <f>Model!X84</f>
        <v>63.003</v>
      </c>
      <c r="Y1277">
        <f>Model!Y84</f>
        <v>63.7333</v>
      </c>
      <c r="Z1277">
        <f>Model!Z84</f>
        <v>64.575999999999993</v>
      </c>
      <c r="AA1277">
        <f>Model!AA84</f>
        <v>65.53</v>
      </c>
      <c r="AB1277">
        <f>Model!AB84</f>
        <v>68.846999999999994</v>
      </c>
      <c r="AC1277">
        <f>Model!AC84</f>
        <v>71.171000000000006</v>
      </c>
      <c r="AD1277">
        <f>Model!AD84</f>
        <v>77.055999999999997</v>
      </c>
      <c r="AE1277">
        <f>Model!AE84</f>
        <v>77.296000000000006</v>
      </c>
      <c r="AF1277">
        <f>Model!AF84</f>
        <v>77.210999999999999</v>
      </c>
      <c r="AG1277">
        <f>Model!AG84</f>
        <v>77.899000000000001</v>
      </c>
      <c r="AH1277">
        <f>Model!AH84</f>
        <v>78.748999999999995</v>
      </c>
      <c r="AI1277">
        <f>Model!AI84</f>
        <v>77.703999999999994</v>
      </c>
      <c r="AJ1277">
        <f>Model!AJ84</f>
        <v>78.165999999999997</v>
      </c>
      <c r="AK1277">
        <f>Model!AK84</f>
        <v>77.881</v>
      </c>
      <c r="AL1277">
        <f>Model!AL84</f>
        <v>79.28</v>
      </c>
      <c r="AM1277">
        <f>Model!AM84</f>
        <v>82.917000000000002</v>
      </c>
      <c r="AN1277">
        <f>Model!AN84</f>
        <v>84.364000000000004</v>
      </c>
      <c r="AO1277">
        <f>Model!AO84</f>
        <v>85.11</v>
      </c>
      <c r="AP1277">
        <f>Model!AP84</f>
        <v>84.86</v>
      </c>
      <c r="AQ1277">
        <f>Model!AQ84</f>
        <v>87.433000000000007</v>
      </c>
      <c r="AR1277">
        <f>Model!AR84</f>
        <v>89.063999999999993</v>
      </c>
      <c r="AS1277">
        <f>Model!AS84</f>
        <v>89.663999999999987</v>
      </c>
      <c r="AT1277">
        <f>Model!AT84</f>
        <v>90.864000000000004</v>
      </c>
      <c r="AU1277">
        <f>Model!AU84</f>
        <v>92.063999999999993</v>
      </c>
      <c r="AV1277">
        <f>Model!AV84</f>
        <v>93.26400000000001</v>
      </c>
      <c r="AW1277">
        <f>Model!AW84</f>
        <v>94.463999999999999</v>
      </c>
      <c r="AX1277">
        <f>Model!AX84</f>
        <v>95.664000000000016</v>
      </c>
      <c r="AY1277">
        <f>Model!AY84</f>
        <v>96.864000000000004</v>
      </c>
      <c r="AZ1277">
        <f>Model!AZ84</f>
        <v>98.064000000000021</v>
      </c>
      <c r="BA1277">
        <f>Model!BA84</f>
        <v>99.26400000000001</v>
      </c>
      <c r="BB1277">
        <f>Model!BB84</f>
        <v>100.46400000000003</v>
      </c>
      <c r="BC1277">
        <f>Model!BC84</f>
        <v>101.66400000000002</v>
      </c>
      <c r="BD1277">
        <f>Model!BD84</f>
        <v>102.86400000000003</v>
      </c>
    </row>
    <row r="1278" spans="9:56" ht="11.25" customHeight="1">
      <c r="I1278">
        <f>Model!I85</f>
        <v>0</v>
      </c>
      <c r="J1278">
        <f>Model!J85</f>
        <v>0</v>
      </c>
      <c r="K1278">
        <f>Model!K85</f>
        <v>0</v>
      </c>
      <c r="L1278">
        <f>Model!L85</f>
        <v>0</v>
      </c>
      <c r="M1278">
        <f>Model!M85</f>
        <v>0</v>
      </c>
      <c r="N1278">
        <f>Model!N85</f>
        <v>0</v>
      </c>
      <c r="O1278">
        <f>Model!O85</f>
        <v>0</v>
      </c>
      <c r="P1278">
        <f>Model!P85</f>
        <v>0</v>
      </c>
      <c r="Q1278">
        <f>Model!Q85</f>
        <v>0</v>
      </c>
      <c r="R1278">
        <f>Model!R85</f>
        <v>0</v>
      </c>
      <c r="S1278">
        <f>Model!S85</f>
        <v>0</v>
      </c>
      <c r="T1278">
        <f>Model!T85</f>
        <v>0</v>
      </c>
      <c r="U1278">
        <f>Model!U85</f>
        <v>0</v>
      </c>
      <c r="V1278">
        <f>Model!V85</f>
        <v>0</v>
      </c>
      <c r="W1278">
        <f>Model!W85</f>
        <v>0</v>
      </c>
      <c r="X1278">
        <f>Model!X85</f>
        <v>0</v>
      </c>
      <c r="Y1278">
        <f>Model!Y85</f>
        <v>0</v>
      </c>
      <c r="Z1278">
        <f>Model!Z85</f>
        <v>0</v>
      </c>
      <c r="AA1278">
        <f>Model!AA85</f>
        <v>0</v>
      </c>
      <c r="AB1278">
        <f>Model!AB85</f>
        <v>0</v>
      </c>
      <c r="AC1278">
        <f>Model!AC85</f>
        <v>0</v>
      </c>
      <c r="AD1278">
        <f>Model!AD85</f>
        <v>0</v>
      </c>
      <c r="AE1278">
        <f>Model!AE85</f>
        <v>0</v>
      </c>
      <c r="AF1278">
        <f>Model!AF85</f>
        <v>0</v>
      </c>
      <c r="AG1278">
        <f>Model!AG85</f>
        <v>0</v>
      </c>
      <c r="AH1278">
        <f>Model!AH85</f>
        <v>0</v>
      </c>
      <c r="AI1278">
        <f>Model!AI85</f>
        <v>0</v>
      </c>
      <c r="AJ1278">
        <f>Model!AJ85</f>
        <v>0</v>
      </c>
      <c r="AK1278">
        <f>Model!AK85</f>
        <v>0</v>
      </c>
      <c r="AL1278">
        <f>Model!AL85</f>
        <v>0</v>
      </c>
      <c r="AM1278">
        <f>Model!AM85</f>
        <v>0</v>
      </c>
      <c r="AN1278">
        <f>Model!AN85</f>
        <v>0</v>
      </c>
      <c r="AO1278">
        <f>Model!AO85</f>
        <v>0</v>
      </c>
      <c r="AP1278">
        <f>Model!AP85</f>
        <v>0</v>
      </c>
      <c r="AQ1278">
        <f>Model!AQ85</f>
        <v>0</v>
      </c>
      <c r="AR1278">
        <f>Model!AR85</f>
        <v>0</v>
      </c>
      <c r="AS1278">
        <f>Model!AS85</f>
        <v>0</v>
      </c>
      <c r="AT1278">
        <f>Model!AT85</f>
        <v>0</v>
      </c>
      <c r="AU1278">
        <f>Model!AU85</f>
        <v>0</v>
      </c>
      <c r="AV1278">
        <f>Model!AV85</f>
        <v>0</v>
      </c>
      <c r="AW1278">
        <f>Model!AW85</f>
        <v>0</v>
      </c>
      <c r="AX1278">
        <f>Model!AX85</f>
        <v>0</v>
      </c>
      <c r="AY1278">
        <f>Model!AY85</f>
        <v>0</v>
      </c>
      <c r="AZ1278">
        <f>Model!AZ85</f>
        <v>0</v>
      </c>
      <c r="BA1278">
        <f>Model!BA85</f>
        <v>0</v>
      </c>
      <c r="BB1278">
        <f>Model!BB85</f>
        <v>0</v>
      </c>
      <c r="BC1278">
        <f>Model!BC85</f>
        <v>0</v>
      </c>
      <c r="BD1278">
        <f>Model!BD85</f>
        <v>0</v>
      </c>
    </row>
    <row r="1279" spans="9:56" ht="11.25" customHeight="1">
      <c r="I1279" t="str">
        <f>Model!I86</f>
        <v>Beg Share Count</v>
      </c>
      <c r="J1279">
        <f>Model!J86</f>
        <v>0</v>
      </c>
      <c r="K1279">
        <f>Model!K86</f>
        <v>0</v>
      </c>
      <c r="L1279">
        <f>Model!L86</f>
        <v>0</v>
      </c>
      <c r="M1279">
        <f>Model!M86</f>
        <v>12.343999999999999</v>
      </c>
      <c r="N1279">
        <f>Model!N86</f>
        <v>13.074</v>
      </c>
      <c r="O1279">
        <f>Model!O86</f>
        <v>13.507999999999999</v>
      </c>
      <c r="P1279">
        <f>Model!P86</f>
        <v>14.151</v>
      </c>
      <c r="Q1279">
        <f>Model!Q86</f>
        <v>14.347</v>
      </c>
      <c r="R1279">
        <f>Model!R86</f>
        <v>14.553000000000001</v>
      </c>
      <c r="S1279">
        <f>Model!S86</f>
        <v>14.984999999999999</v>
      </c>
      <c r="T1279">
        <f>Model!T86</f>
        <v>15.510999999999999</v>
      </c>
      <c r="U1279">
        <f>Model!U86</f>
        <v>16.097000000000001</v>
      </c>
      <c r="V1279">
        <f>Model!V86</f>
        <v>31.263000000000002</v>
      </c>
      <c r="W1279">
        <f>Model!W86</f>
        <v>60.887</v>
      </c>
      <c r="X1279">
        <f>Model!X86</f>
        <v>61.267000000000003</v>
      </c>
      <c r="Y1279">
        <f>Model!Y86</f>
        <v>63.003</v>
      </c>
      <c r="Z1279">
        <f>Model!Z86</f>
        <v>63.7333</v>
      </c>
      <c r="AA1279">
        <f>Model!AA86</f>
        <v>64.575999999999993</v>
      </c>
      <c r="AB1279">
        <f>Model!AB86</f>
        <v>65.53</v>
      </c>
      <c r="AC1279">
        <f>Model!AC86</f>
        <v>68.846999999999994</v>
      </c>
      <c r="AD1279">
        <f>Model!AD86</f>
        <v>71.171000000000006</v>
      </c>
      <c r="AE1279">
        <f>Model!AE86</f>
        <v>77.055999999999997</v>
      </c>
      <c r="AF1279">
        <f>Model!AF86</f>
        <v>77.296000000000006</v>
      </c>
      <c r="AG1279">
        <f>Model!AG86</f>
        <v>77.210999999999999</v>
      </c>
      <c r="AH1279">
        <f>Model!AH86</f>
        <v>77.899000000000001</v>
      </c>
      <c r="AI1279">
        <f>Model!AI86</f>
        <v>78.748999999999995</v>
      </c>
      <c r="AJ1279">
        <f>Model!AJ86</f>
        <v>77.703999999999994</v>
      </c>
      <c r="AK1279">
        <f>Model!AK86</f>
        <v>78.165999999999997</v>
      </c>
      <c r="AL1279">
        <f>Model!AL86</f>
        <v>77.881</v>
      </c>
      <c r="AM1279">
        <f>Model!AM86</f>
        <v>79.28</v>
      </c>
      <c r="AN1279">
        <f>Model!AN86</f>
        <v>82.917000000000002</v>
      </c>
      <c r="AO1279">
        <f>Model!AO86</f>
        <v>84.364000000000004</v>
      </c>
      <c r="AP1279">
        <f>Model!AP86</f>
        <v>85.11</v>
      </c>
      <c r="AQ1279">
        <f>Model!AQ86</f>
        <v>84.86</v>
      </c>
      <c r="AR1279">
        <f>Model!AR86</f>
        <v>87.433000000000007</v>
      </c>
      <c r="AS1279">
        <f>Model!AS86</f>
        <v>89.063999999999993</v>
      </c>
      <c r="AT1279">
        <f>Model!AT86</f>
        <v>90.263999999999996</v>
      </c>
      <c r="AU1279">
        <f>Model!AU86</f>
        <v>91.463999999999999</v>
      </c>
      <c r="AV1279">
        <f>Model!AV86</f>
        <v>92.664000000000001</v>
      </c>
      <c r="AW1279">
        <f>Model!AW86</f>
        <v>93.864000000000004</v>
      </c>
      <c r="AX1279">
        <f>Model!AX86</f>
        <v>95.064000000000007</v>
      </c>
      <c r="AY1279">
        <f>Model!AY86</f>
        <v>96.26400000000001</v>
      </c>
      <c r="AZ1279">
        <f>Model!AZ86</f>
        <v>97.464000000000013</v>
      </c>
      <c r="BA1279">
        <f>Model!BA86</f>
        <v>98.664000000000016</v>
      </c>
      <c r="BB1279">
        <f>Model!BB86</f>
        <v>99.864000000000019</v>
      </c>
      <c r="BC1279">
        <f>Model!BC86</f>
        <v>101.06400000000002</v>
      </c>
      <c r="BD1279">
        <f>Model!BD86</f>
        <v>102.26400000000002</v>
      </c>
    </row>
    <row r="1280" spans="9:56" ht="11.25" customHeight="1">
      <c r="I1280" t="str">
        <f>Model!I87</f>
        <v>Dilution</v>
      </c>
      <c r="J1280">
        <f>Model!J87</f>
        <v>0</v>
      </c>
      <c r="K1280">
        <f>Model!K87</f>
        <v>0</v>
      </c>
      <c r="L1280">
        <f>Model!L87</f>
        <v>0</v>
      </c>
      <c r="M1280">
        <f>Model!M87</f>
        <v>0.73000000000000043</v>
      </c>
      <c r="N1280">
        <f>Model!N87</f>
        <v>0.43399999999999928</v>
      </c>
      <c r="O1280">
        <f>Model!O87</f>
        <v>0.64300000000000068</v>
      </c>
      <c r="P1280">
        <f>Model!P87</f>
        <v>0.19599999999999973</v>
      </c>
      <c r="Q1280">
        <f>Model!Q87</f>
        <v>0.20600000000000129</v>
      </c>
      <c r="R1280">
        <f>Model!R87</f>
        <v>0.43199999999999861</v>
      </c>
      <c r="S1280">
        <f>Model!S87</f>
        <v>0.5259999999999998</v>
      </c>
      <c r="T1280">
        <f>Model!T87</f>
        <v>0.58600000000000207</v>
      </c>
      <c r="U1280">
        <f>Model!U87</f>
        <v>15.166</v>
      </c>
      <c r="V1280">
        <f>Model!V87</f>
        <v>29.623999999999999</v>
      </c>
      <c r="W1280">
        <f>Model!W87</f>
        <v>0.39375500000000258</v>
      </c>
      <c r="X1280">
        <f>Model!X87</f>
        <v>1.7399409999999971</v>
      </c>
      <c r="Y1280">
        <f>Model!Y87</f>
        <v>22.6203</v>
      </c>
      <c r="Z1280">
        <f>Model!Z87</f>
        <v>0.84613899999999354</v>
      </c>
      <c r="AA1280">
        <f>Model!AA87</f>
        <v>0.9575240000000077</v>
      </c>
      <c r="AB1280">
        <f>Model!AB87</f>
        <v>3.3221989999999932</v>
      </c>
      <c r="AC1280">
        <f>Model!AC87</f>
        <v>2.3279520000000122</v>
      </c>
      <c r="AD1280">
        <f>Model!AD87</f>
        <v>5.8898919999999908</v>
      </c>
      <c r="AE1280">
        <f>Model!AE87</f>
        <v>0.2448920000000091</v>
      </c>
      <c r="AF1280">
        <f>Model!AF87</f>
        <v>-8.0108000000007965E-2</v>
      </c>
      <c r="AG1280">
        <f>Model!AG87</f>
        <v>0.69385100000000244</v>
      </c>
      <c r="AH1280">
        <f>Model!AH87</f>
        <v>0.85489199999999432</v>
      </c>
      <c r="AI1280">
        <f>Model!AI87</f>
        <v>-1.0413940000000017</v>
      </c>
      <c r="AJ1280">
        <f>Model!AJ87</f>
        <v>0.4620000000000033</v>
      </c>
      <c r="AK1280">
        <f>Model!AK87</f>
        <v>-0.28499999999999659</v>
      </c>
      <c r="AL1280">
        <f>Model!AL87</f>
        <v>1.3990000000000009</v>
      </c>
      <c r="AM1280">
        <f>Model!AM87</f>
        <v>3.6370000000000005</v>
      </c>
      <c r="AN1280">
        <f>Model!AN87</f>
        <v>1.4470000000000027</v>
      </c>
      <c r="AO1280">
        <f>Model!AO87</f>
        <v>0.74599999999999511</v>
      </c>
      <c r="AP1280">
        <f>Model!AP87</f>
        <v>-0.25</v>
      </c>
      <c r="AQ1280">
        <f>Model!AQ87</f>
        <v>2.7580000000000076</v>
      </c>
      <c r="AR1280">
        <f>Model!AR87</f>
        <v>1.7345454545454406</v>
      </c>
      <c r="AS1280">
        <f>Model!AS87</f>
        <v>1.2</v>
      </c>
      <c r="AT1280">
        <f>Model!AT87</f>
        <v>1.2</v>
      </c>
      <c r="AU1280">
        <f>Model!AU87</f>
        <v>1.2</v>
      </c>
      <c r="AV1280">
        <f>Model!AV87</f>
        <v>1.2</v>
      </c>
      <c r="AW1280">
        <f>Model!AW87</f>
        <v>1.2</v>
      </c>
      <c r="AX1280">
        <f>Model!AX87</f>
        <v>1.2</v>
      </c>
      <c r="AY1280">
        <f>Model!AY87</f>
        <v>1.2</v>
      </c>
      <c r="AZ1280">
        <f>Model!AZ87</f>
        <v>1.2</v>
      </c>
      <c r="BA1280">
        <f>Model!BA87</f>
        <v>1.2</v>
      </c>
      <c r="BB1280">
        <f>Model!BB87</f>
        <v>1.2</v>
      </c>
      <c r="BC1280">
        <f>Model!BC87</f>
        <v>1.2</v>
      </c>
      <c r="BD1280">
        <f>Model!BD87</f>
        <v>1.2</v>
      </c>
    </row>
    <row r="1281" spans="9:56" ht="11.25" customHeight="1">
      <c r="I1281" t="str">
        <f>Model!I88</f>
        <v>Shares Repurchased</v>
      </c>
      <c r="J1281">
        <f>Model!J88</f>
        <v>0</v>
      </c>
      <c r="K1281">
        <f>Model!K88</f>
        <v>0</v>
      </c>
      <c r="L1281">
        <f>Model!L88</f>
        <v>0</v>
      </c>
      <c r="M1281">
        <f>Model!M88</f>
        <v>0</v>
      </c>
      <c r="N1281">
        <f>Model!N88</f>
        <v>0</v>
      </c>
      <c r="O1281">
        <f>Model!O88</f>
        <v>0</v>
      </c>
      <c r="P1281">
        <f>Model!P88</f>
        <v>0</v>
      </c>
      <c r="Q1281">
        <f>Model!Q88</f>
        <v>0</v>
      </c>
      <c r="R1281">
        <f>Model!R88</f>
        <v>0</v>
      </c>
      <c r="S1281">
        <f>Model!S88</f>
        <v>0</v>
      </c>
      <c r="T1281">
        <f>Model!T88</f>
        <v>0</v>
      </c>
      <c r="U1281">
        <f>Model!U88</f>
        <v>0</v>
      </c>
      <c r="V1281">
        <f>Model!V88</f>
        <v>0</v>
      </c>
      <c r="W1281">
        <f>Model!W88</f>
        <v>-1.3755E-2</v>
      </c>
      <c r="X1281">
        <f>Model!X88</f>
        <v>-3.9410000000000001E-3</v>
      </c>
      <c r="Y1281">
        <f>Model!Y88</f>
        <v>-21.89</v>
      </c>
      <c r="Z1281">
        <f>Model!Z88</f>
        <v>-3.4390000000000002E-3</v>
      </c>
      <c r="AA1281">
        <f>Model!AA88</f>
        <v>-3.5239999999999998E-3</v>
      </c>
      <c r="AB1281">
        <f>Model!AB88</f>
        <v>-5.1989999999999996E-3</v>
      </c>
      <c r="AC1281">
        <f>Model!AC88</f>
        <v>-3.9519999999999998E-3</v>
      </c>
      <c r="AD1281">
        <f>Model!AD88</f>
        <v>-4.8919999999999996E-3</v>
      </c>
      <c r="AE1281">
        <f>Model!AE88</f>
        <v>-4.8919999999999996E-3</v>
      </c>
      <c r="AF1281">
        <f>Model!AF88</f>
        <v>-4.8919999999999996E-3</v>
      </c>
      <c r="AG1281">
        <f>Model!AG88</f>
        <v>-5.8510000000000003E-3</v>
      </c>
      <c r="AH1281">
        <f>Model!AH88</f>
        <v>-4.8919999999999996E-3</v>
      </c>
      <c r="AI1281">
        <f>Model!AI88</f>
        <v>-3.6059999999999998E-3</v>
      </c>
      <c r="AJ1281">
        <f>Model!AJ88</f>
        <v>0</v>
      </c>
      <c r="AK1281">
        <f>Model!AK88</f>
        <v>0</v>
      </c>
      <c r="AL1281">
        <f>Model!AL88</f>
        <v>0</v>
      </c>
      <c r="AM1281">
        <f>Model!AM88</f>
        <v>0</v>
      </c>
      <c r="AN1281">
        <f>Model!AN88</f>
        <v>0</v>
      </c>
      <c r="AO1281">
        <f>Model!AO88</f>
        <v>0</v>
      </c>
      <c r="AP1281">
        <f>Model!AP88</f>
        <v>0</v>
      </c>
      <c r="AQ1281">
        <f>Model!AQ88</f>
        <v>-0.185</v>
      </c>
      <c r="AR1281">
        <f>Model!AR88</f>
        <v>-0.10354545454545452</v>
      </c>
      <c r="AS1281">
        <f>Model!AS88</f>
        <v>0</v>
      </c>
      <c r="AT1281">
        <f>Model!AT88</f>
        <v>0</v>
      </c>
      <c r="AU1281">
        <f>Model!AU88</f>
        <v>0</v>
      </c>
      <c r="AV1281">
        <f>Model!AV88</f>
        <v>0</v>
      </c>
      <c r="AW1281">
        <f>Model!AW88</f>
        <v>0</v>
      </c>
      <c r="AX1281">
        <f>Model!AX88</f>
        <v>0</v>
      </c>
      <c r="AY1281">
        <f>Model!AY88</f>
        <v>0</v>
      </c>
      <c r="AZ1281">
        <f>Model!AZ88</f>
        <v>0</v>
      </c>
      <c r="BA1281">
        <f>Model!BA88</f>
        <v>0</v>
      </c>
      <c r="BB1281">
        <f>Model!BB88</f>
        <v>0</v>
      </c>
      <c r="BC1281">
        <f>Model!BC88</f>
        <v>0</v>
      </c>
      <c r="BD1281">
        <f>Model!BD88</f>
        <v>0</v>
      </c>
    </row>
    <row r="1282" spans="9:56" ht="11.25" customHeight="1">
      <c r="I1282">
        <f>Model!I89</f>
        <v>0</v>
      </c>
      <c r="J1282">
        <f>Model!J89</f>
        <v>0</v>
      </c>
      <c r="K1282">
        <f>Model!K89</f>
        <v>0</v>
      </c>
      <c r="L1282">
        <f>Model!L89</f>
        <v>0</v>
      </c>
      <c r="M1282">
        <f>Model!M89</f>
        <v>0</v>
      </c>
      <c r="N1282">
        <f>Model!N89</f>
        <v>0</v>
      </c>
      <c r="O1282">
        <f>Model!O89</f>
        <v>0</v>
      </c>
      <c r="P1282">
        <f>Model!P89</f>
        <v>0</v>
      </c>
      <c r="Q1282">
        <f>Model!Q89</f>
        <v>0</v>
      </c>
      <c r="R1282">
        <f>Model!R89</f>
        <v>0</v>
      </c>
      <c r="S1282">
        <f>Model!S89</f>
        <v>0</v>
      </c>
      <c r="T1282">
        <f>Model!T89</f>
        <v>0</v>
      </c>
      <c r="U1282">
        <f>Model!U89</f>
        <v>0</v>
      </c>
      <c r="V1282">
        <f>Model!V89</f>
        <v>0</v>
      </c>
      <c r="W1282">
        <f>Model!W89</f>
        <v>0</v>
      </c>
      <c r="X1282">
        <f>Model!X89</f>
        <v>0</v>
      </c>
      <c r="Y1282">
        <f>Model!Y89</f>
        <v>0</v>
      </c>
      <c r="Z1282">
        <f>Model!Z89</f>
        <v>0</v>
      </c>
      <c r="AA1282">
        <f>Model!AA89</f>
        <v>0</v>
      </c>
      <c r="AB1282">
        <f>Model!AB89</f>
        <v>0</v>
      </c>
      <c r="AC1282">
        <f>Model!AC89</f>
        <v>0</v>
      </c>
      <c r="AD1282">
        <f>Model!AD89</f>
        <v>0</v>
      </c>
      <c r="AE1282">
        <f>Model!AE89</f>
        <v>0</v>
      </c>
      <c r="AF1282">
        <f>Model!AF89</f>
        <v>0</v>
      </c>
      <c r="AG1282">
        <f>Model!AG89</f>
        <v>0</v>
      </c>
      <c r="AH1282">
        <f>Model!AH89</f>
        <v>0</v>
      </c>
      <c r="AI1282">
        <f>Model!AI89</f>
        <v>0</v>
      </c>
      <c r="AJ1282">
        <f>Model!AJ89</f>
        <v>0</v>
      </c>
      <c r="AK1282">
        <f>Model!AK89</f>
        <v>0</v>
      </c>
      <c r="AL1282">
        <f>Model!AL89</f>
        <v>0</v>
      </c>
      <c r="AM1282">
        <f>Model!AM89</f>
        <v>0</v>
      </c>
      <c r="AN1282">
        <f>Model!AN89</f>
        <v>0</v>
      </c>
      <c r="AO1282">
        <f>Model!AO89</f>
        <v>0</v>
      </c>
      <c r="AP1282">
        <f>Model!AP89</f>
        <v>0</v>
      </c>
      <c r="AQ1282">
        <f>Model!AQ89</f>
        <v>0</v>
      </c>
      <c r="AR1282">
        <f>Model!AR89</f>
        <v>0</v>
      </c>
      <c r="AS1282">
        <f>Model!AS89</f>
        <v>0</v>
      </c>
      <c r="AT1282">
        <f>Model!AT89</f>
        <v>0</v>
      </c>
      <c r="AU1282">
        <f>Model!AU89</f>
        <v>0</v>
      </c>
      <c r="AV1282">
        <f>Model!AV89</f>
        <v>0</v>
      </c>
      <c r="AW1282">
        <f>Model!AW89</f>
        <v>0</v>
      </c>
      <c r="AX1282">
        <f>Model!AX89</f>
        <v>0</v>
      </c>
      <c r="AY1282">
        <f>Model!AY89</f>
        <v>0</v>
      </c>
      <c r="AZ1282">
        <f>Model!AZ89</f>
        <v>0</v>
      </c>
      <c r="BA1282">
        <f>Model!BA89</f>
        <v>0</v>
      </c>
      <c r="BB1282">
        <f>Model!BB89</f>
        <v>0</v>
      </c>
      <c r="BC1282">
        <f>Model!BC89</f>
        <v>0</v>
      </c>
      <c r="BD1282">
        <f>Model!BD89</f>
        <v>0</v>
      </c>
    </row>
    <row r="1283" spans="9:56" ht="11.25" customHeight="1">
      <c r="I1283" t="str">
        <f>Model!I90</f>
        <v>Ending Share Count</v>
      </c>
      <c r="J1283">
        <f>Model!J90</f>
        <v>0</v>
      </c>
      <c r="K1283">
        <f>Model!K90</f>
        <v>0</v>
      </c>
      <c r="L1283">
        <f>Model!L90</f>
        <v>0</v>
      </c>
      <c r="M1283">
        <f>Model!M90</f>
        <v>13.074</v>
      </c>
      <c r="N1283">
        <f>Model!N90</f>
        <v>13.507999999999999</v>
      </c>
      <c r="O1283">
        <f>Model!O90</f>
        <v>14.151</v>
      </c>
      <c r="P1283">
        <f>Model!P90</f>
        <v>14.347</v>
      </c>
      <c r="Q1283">
        <f>Model!Q90</f>
        <v>14.553000000000001</v>
      </c>
      <c r="R1283">
        <f>Model!R90</f>
        <v>14.984999999999999</v>
      </c>
      <c r="S1283">
        <f>Model!S90</f>
        <v>15.510999999999999</v>
      </c>
      <c r="T1283">
        <f>Model!T90</f>
        <v>16.097000000000001</v>
      </c>
      <c r="U1283">
        <f>Model!U90</f>
        <v>31.263000000000002</v>
      </c>
      <c r="V1283">
        <f>Model!V90</f>
        <v>60.887</v>
      </c>
      <c r="W1283">
        <f>Model!W90</f>
        <v>61.267000000000003</v>
      </c>
      <c r="X1283">
        <f>Model!X90</f>
        <v>63.003</v>
      </c>
      <c r="Y1283">
        <f>Model!Y90</f>
        <v>63.7333</v>
      </c>
      <c r="Z1283">
        <f>Model!Z90</f>
        <v>64.575999999999993</v>
      </c>
      <c r="AA1283">
        <f>Model!AA90</f>
        <v>65.53</v>
      </c>
      <c r="AB1283">
        <f>Model!AB90</f>
        <v>68.846999999999994</v>
      </c>
      <c r="AC1283">
        <f>Model!AC90</f>
        <v>71.171000000000006</v>
      </c>
      <c r="AD1283">
        <f>Model!AD90</f>
        <v>77.055999999999997</v>
      </c>
      <c r="AE1283">
        <f>Model!AE90</f>
        <v>77.296000000000006</v>
      </c>
      <c r="AF1283">
        <f>Model!AF90</f>
        <v>77.210999999999999</v>
      </c>
      <c r="AG1283">
        <f>Model!AG90</f>
        <v>77.899000000000001</v>
      </c>
      <c r="AH1283">
        <f>Model!AH90</f>
        <v>78.748999999999995</v>
      </c>
      <c r="AI1283">
        <f>Model!AI90</f>
        <v>77.703999999999994</v>
      </c>
      <c r="AJ1283">
        <f>Model!AJ90</f>
        <v>78.165999999999997</v>
      </c>
      <c r="AK1283">
        <f>Model!AK90</f>
        <v>77.881</v>
      </c>
      <c r="AL1283">
        <f>Model!AL90</f>
        <v>79.28</v>
      </c>
      <c r="AM1283">
        <f>Model!AM90</f>
        <v>82.917000000000002</v>
      </c>
      <c r="AN1283">
        <f>Model!AN90</f>
        <v>84.364000000000004</v>
      </c>
      <c r="AO1283">
        <f>Model!AO90</f>
        <v>85.11</v>
      </c>
      <c r="AP1283">
        <f>Model!AP90</f>
        <v>84.86</v>
      </c>
      <c r="AQ1283">
        <f>Model!AQ90</f>
        <v>87.433000000000007</v>
      </c>
      <c r="AR1283">
        <f>Model!AR90</f>
        <v>89.063999999999993</v>
      </c>
      <c r="AS1283">
        <f>Model!AS90</f>
        <v>90.263999999999996</v>
      </c>
      <c r="AT1283">
        <f>Model!AT90</f>
        <v>91.463999999999999</v>
      </c>
      <c r="AU1283">
        <f>Model!AU90</f>
        <v>92.664000000000001</v>
      </c>
      <c r="AV1283">
        <f>Model!AV90</f>
        <v>93.864000000000004</v>
      </c>
      <c r="AW1283">
        <f>Model!AW90</f>
        <v>95.064000000000007</v>
      </c>
      <c r="AX1283">
        <f>Model!AX90</f>
        <v>96.26400000000001</v>
      </c>
      <c r="AY1283">
        <f>Model!AY90</f>
        <v>97.464000000000013</v>
      </c>
      <c r="AZ1283">
        <f>Model!AZ90</f>
        <v>98.664000000000016</v>
      </c>
      <c r="BA1283">
        <f>Model!BA90</f>
        <v>99.864000000000019</v>
      </c>
      <c r="BB1283">
        <f>Model!BB90</f>
        <v>101.06400000000002</v>
      </c>
      <c r="BC1283">
        <f>Model!BC90</f>
        <v>102.26400000000002</v>
      </c>
      <c r="BD1283">
        <f>Model!BD90</f>
        <v>103.46400000000003</v>
      </c>
    </row>
    <row r="1284" spans="9:56" ht="11.25" customHeight="1">
      <c r="I1284">
        <f>Model!I91</f>
        <v>0</v>
      </c>
      <c r="J1284">
        <f>Model!J91</f>
        <v>0</v>
      </c>
      <c r="K1284">
        <f>Model!K91</f>
        <v>0</v>
      </c>
      <c r="L1284">
        <f>Model!L91</f>
        <v>0</v>
      </c>
      <c r="M1284">
        <f>Model!M91</f>
        <v>0</v>
      </c>
      <c r="N1284">
        <f>Model!N91</f>
        <v>0</v>
      </c>
      <c r="O1284">
        <f>Model!O91</f>
        <v>0</v>
      </c>
      <c r="P1284">
        <f>Model!P91</f>
        <v>0</v>
      </c>
      <c r="Q1284">
        <f>Model!Q91</f>
        <v>0</v>
      </c>
      <c r="R1284">
        <f>Model!R91</f>
        <v>0</v>
      </c>
      <c r="S1284">
        <f>Model!S91</f>
        <v>0</v>
      </c>
      <c r="T1284">
        <f>Model!T91</f>
        <v>0</v>
      </c>
      <c r="U1284">
        <f>Model!U91</f>
        <v>0</v>
      </c>
      <c r="V1284">
        <f>Model!V91</f>
        <v>0</v>
      </c>
      <c r="W1284">
        <f>Model!W91</f>
        <v>0</v>
      </c>
      <c r="X1284">
        <f>Model!X91</f>
        <v>0</v>
      </c>
      <c r="Y1284">
        <f>Model!Y91</f>
        <v>0</v>
      </c>
      <c r="Z1284">
        <f>Model!Z91</f>
        <v>0</v>
      </c>
      <c r="AA1284">
        <f>Model!AA91</f>
        <v>0</v>
      </c>
      <c r="AB1284">
        <f>Model!AB91</f>
        <v>0</v>
      </c>
      <c r="AC1284">
        <f>Model!AC91</f>
        <v>0</v>
      </c>
      <c r="AD1284">
        <f>Model!AD91</f>
        <v>0</v>
      </c>
      <c r="AE1284">
        <f>Model!AE91</f>
        <v>0</v>
      </c>
      <c r="AF1284">
        <f>Model!AF91</f>
        <v>0</v>
      </c>
      <c r="AG1284">
        <f>Model!AG91</f>
        <v>0</v>
      </c>
      <c r="AH1284">
        <f>Model!AH91</f>
        <v>0</v>
      </c>
      <c r="AI1284">
        <f>Model!AI91</f>
        <v>0</v>
      </c>
      <c r="AJ1284">
        <f>Model!AJ91</f>
        <v>0</v>
      </c>
      <c r="AK1284">
        <f>Model!AK91</f>
        <v>0</v>
      </c>
      <c r="AL1284">
        <f>Model!AL91</f>
        <v>0</v>
      </c>
      <c r="AM1284">
        <f>Model!AM91</f>
        <v>0</v>
      </c>
      <c r="AN1284">
        <f>Model!AN91</f>
        <v>0</v>
      </c>
      <c r="AO1284">
        <f>Model!AO91</f>
        <v>0</v>
      </c>
      <c r="AP1284">
        <f>Model!AP91</f>
        <v>0</v>
      </c>
      <c r="AQ1284">
        <f>Model!AQ91</f>
        <v>0</v>
      </c>
      <c r="AR1284">
        <f>Model!AR91</f>
        <v>0</v>
      </c>
      <c r="AS1284">
        <f>Model!AS91</f>
        <v>0</v>
      </c>
      <c r="AT1284">
        <f>Model!AT91</f>
        <v>0</v>
      </c>
      <c r="AU1284">
        <f>Model!AU91</f>
        <v>0</v>
      </c>
      <c r="AV1284">
        <f>Model!AV91</f>
        <v>0</v>
      </c>
      <c r="AW1284">
        <f>Model!AW91</f>
        <v>0</v>
      </c>
      <c r="AX1284">
        <f>Model!AX91</f>
        <v>0</v>
      </c>
      <c r="AY1284">
        <f>Model!AY91</f>
        <v>0</v>
      </c>
      <c r="AZ1284">
        <f>Model!AZ91</f>
        <v>0</v>
      </c>
      <c r="BA1284">
        <f>Model!BA91</f>
        <v>0</v>
      </c>
      <c r="BB1284">
        <f>Model!BB91</f>
        <v>0</v>
      </c>
      <c r="BC1284">
        <f>Model!BC91</f>
        <v>0</v>
      </c>
      <c r="BD1284">
        <f>Model!BD91</f>
        <v>0</v>
      </c>
    </row>
    <row r="1285" spans="9:56" ht="11.25" customHeight="1">
      <c r="I1285" t="str">
        <f>Model!I92</f>
        <v>Repurchases ($)</v>
      </c>
      <c r="J1285">
        <f>Model!J92</f>
        <v>0</v>
      </c>
      <c r="K1285">
        <f>Model!K92</f>
        <v>0</v>
      </c>
      <c r="L1285">
        <f>Model!L92</f>
        <v>0</v>
      </c>
      <c r="M1285">
        <f>Model!M92</f>
        <v>0</v>
      </c>
      <c r="N1285">
        <f>Model!N92</f>
        <v>0</v>
      </c>
      <c r="O1285">
        <f>Model!O92</f>
        <v>0</v>
      </c>
      <c r="P1285">
        <f>Model!P92</f>
        <v>0</v>
      </c>
      <c r="Q1285">
        <f>Model!Q92</f>
        <v>0</v>
      </c>
      <c r="R1285">
        <f>Model!R92</f>
        <v>0</v>
      </c>
      <c r="S1285">
        <f>Model!S92</f>
        <v>0</v>
      </c>
      <c r="T1285">
        <f>Model!T92</f>
        <v>0</v>
      </c>
      <c r="U1285">
        <f>Model!U92</f>
        <v>0</v>
      </c>
      <c r="V1285">
        <f>Model!V92</f>
        <v>0</v>
      </c>
      <c r="W1285">
        <f>Model!W92</f>
        <v>0.26836005000000002</v>
      </c>
      <c r="X1285">
        <f>Model!X92</f>
        <v>7.3578470000000007E-2</v>
      </c>
      <c r="Y1285">
        <f>Model!Y92</f>
        <v>8.0730319999999994E-2</v>
      </c>
      <c r="Z1285">
        <f>Model!Z92</f>
        <v>0.10650583000000001</v>
      </c>
      <c r="AA1285">
        <f>Model!AA92</f>
        <v>0.17493135999999998</v>
      </c>
      <c r="AB1285">
        <f>Model!AB92</f>
        <v>0.32550938999999995</v>
      </c>
      <c r="AC1285">
        <f>Model!AC92</f>
        <v>0.36109424000000001</v>
      </c>
      <c r="AD1285">
        <f>Model!AD92</f>
        <v>0.28070296</v>
      </c>
      <c r="AE1285">
        <f>Model!AE92</f>
        <v>0.39282759999999994</v>
      </c>
      <c r="AF1285">
        <f>Model!AF92</f>
        <v>0.39282759999999994</v>
      </c>
      <c r="AG1285">
        <f>Model!AG92</f>
        <v>0.27786399000000001</v>
      </c>
      <c r="AH1285">
        <f>Model!AH92</f>
        <v>0.22713555999999999</v>
      </c>
      <c r="AI1285">
        <f>Model!AI92</f>
        <v>8.658006E-2</v>
      </c>
      <c r="AJ1285">
        <f>Model!AJ92</f>
        <v>0</v>
      </c>
      <c r="AK1285">
        <f>Model!AK92</f>
        <v>0</v>
      </c>
      <c r="AL1285">
        <f>Model!AL92</f>
        <v>0</v>
      </c>
      <c r="AM1285">
        <f>Model!AM92</f>
        <v>0</v>
      </c>
      <c r="AN1285">
        <f>Model!AN92</f>
        <v>0</v>
      </c>
      <c r="AO1285">
        <f>Model!AO92</f>
        <v>0</v>
      </c>
      <c r="AP1285">
        <f>Model!AP92</f>
        <v>0</v>
      </c>
      <c r="AQ1285">
        <f>Model!AQ92</f>
        <v>8</v>
      </c>
      <c r="AR1285">
        <f>Model!AR92</f>
        <v>4.5559999999999992</v>
      </c>
      <c r="AS1285">
        <f>Model!AS92</f>
        <v>0</v>
      </c>
      <c r="AT1285">
        <f>Model!AT92</f>
        <v>0</v>
      </c>
      <c r="AU1285">
        <f>Model!AU92</f>
        <v>0</v>
      </c>
      <c r="AV1285">
        <f>Model!AV92</f>
        <v>0</v>
      </c>
      <c r="AW1285">
        <f>Model!AW92</f>
        <v>0</v>
      </c>
      <c r="AX1285">
        <f>Model!AX92</f>
        <v>0</v>
      </c>
      <c r="AY1285">
        <f>Model!AY92</f>
        <v>0</v>
      </c>
      <c r="AZ1285">
        <f>Model!AZ92</f>
        <v>0</v>
      </c>
      <c r="BA1285">
        <f>Model!BA92</f>
        <v>0</v>
      </c>
      <c r="BB1285">
        <f>Model!BB92</f>
        <v>0</v>
      </c>
      <c r="BC1285">
        <f>Model!BC92</f>
        <v>0</v>
      </c>
      <c r="BD1285">
        <f>Model!BD92</f>
        <v>0</v>
      </c>
    </row>
    <row r="1286" spans="9:56" ht="11.25" customHeight="1">
      <c r="I1286" t="str">
        <f>Model!I93</f>
        <v>Shares Repurchased</v>
      </c>
      <c r="J1286">
        <f>Model!J93</f>
        <v>0</v>
      </c>
      <c r="K1286">
        <f>Model!K93</f>
        <v>0</v>
      </c>
      <c r="L1286">
        <f>Model!L93</f>
        <v>0</v>
      </c>
      <c r="M1286">
        <f>Model!M93</f>
        <v>0</v>
      </c>
      <c r="N1286">
        <f>Model!N93</f>
        <v>0</v>
      </c>
      <c r="O1286">
        <f>Model!O93</f>
        <v>0</v>
      </c>
      <c r="P1286">
        <f>Model!P93</f>
        <v>0</v>
      </c>
      <c r="Q1286">
        <f>Model!Q93</f>
        <v>0</v>
      </c>
      <c r="R1286">
        <f>Model!R93</f>
        <v>0</v>
      </c>
      <c r="S1286">
        <f>Model!S93</f>
        <v>0</v>
      </c>
      <c r="T1286">
        <f>Model!T93</f>
        <v>0</v>
      </c>
      <c r="U1286">
        <f>Model!U93</f>
        <v>0</v>
      </c>
      <c r="V1286">
        <f>Model!V93</f>
        <v>0</v>
      </c>
      <c r="W1286">
        <f>Model!W93</f>
        <v>1.3755E-2</v>
      </c>
      <c r="X1286">
        <f>Model!X93</f>
        <v>3.9410000000000001E-3</v>
      </c>
      <c r="Y1286">
        <f>Model!Y93</f>
        <v>3.6879999999999999E-3</v>
      </c>
      <c r="Z1286">
        <f>Model!Z93</f>
        <v>3.4390000000000002E-3</v>
      </c>
      <c r="AA1286">
        <f>Model!AA93</f>
        <v>3.5239999999999998E-3</v>
      </c>
      <c r="AB1286">
        <f>Model!AB93</f>
        <v>5.1989999999999996E-3</v>
      </c>
      <c r="AC1286">
        <f>Model!AC93</f>
        <v>3.9519999999999998E-3</v>
      </c>
      <c r="AD1286">
        <f>Model!AD93</f>
        <v>4.8919999999999996E-3</v>
      </c>
      <c r="AE1286">
        <f>Model!AE93</f>
        <v>4.8919999999999996E-3</v>
      </c>
      <c r="AF1286">
        <f>Model!AF93</f>
        <v>4.8919999999999996E-3</v>
      </c>
      <c r="AG1286">
        <f>Model!AG93</f>
        <v>5.8510000000000003E-3</v>
      </c>
      <c r="AH1286">
        <f>Model!AH93</f>
        <v>4.8919999999999996E-3</v>
      </c>
      <c r="AI1286">
        <f>Model!AI93</f>
        <v>3.6059999999999998E-3</v>
      </c>
      <c r="AJ1286">
        <f>Model!AJ93</f>
        <v>0</v>
      </c>
      <c r="AK1286">
        <f>Model!AK93</f>
        <v>0</v>
      </c>
      <c r="AL1286">
        <f>Model!AL93</f>
        <v>0</v>
      </c>
      <c r="AM1286">
        <f>Model!AM93</f>
        <v>0</v>
      </c>
      <c r="AN1286">
        <f>Model!AN93</f>
        <v>0</v>
      </c>
      <c r="AO1286">
        <f>Model!AO93</f>
        <v>0</v>
      </c>
      <c r="AP1286">
        <f>Model!AP93</f>
        <v>0</v>
      </c>
      <c r="AQ1286">
        <f>Model!AQ93</f>
        <v>0.185</v>
      </c>
      <c r="AR1286">
        <f>Model!AR93</f>
        <v>0.10354545454545452</v>
      </c>
      <c r="AS1286">
        <f>Model!AS93</f>
        <v>0</v>
      </c>
      <c r="AT1286">
        <f>Model!AT93</f>
        <v>0</v>
      </c>
      <c r="AU1286">
        <f>Model!AU93</f>
        <v>0</v>
      </c>
      <c r="AV1286">
        <f>Model!AV93</f>
        <v>0</v>
      </c>
      <c r="AW1286">
        <f>Model!AW93</f>
        <v>0</v>
      </c>
      <c r="AX1286">
        <f>Model!AX93</f>
        <v>0</v>
      </c>
      <c r="AY1286">
        <f>Model!AY93</f>
        <v>0</v>
      </c>
      <c r="AZ1286">
        <f>Model!AZ93</f>
        <v>0</v>
      </c>
      <c r="BA1286">
        <f>Model!BA93</f>
        <v>0</v>
      </c>
      <c r="BB1286">
        <f>Model!BB93</f>
        <v>0</v>
      </c>
      <c r="BC1286">
        <f>Model!BC93</f>
        <v>0</v>
      </c>
      <c r="BD1286">
        <f>Model!BD93</f>
        <v>0</v>
      </c>
    </row>
    <row r="1287" spans="9:56" ht="11.25" customHeight="1">
      <c r="I1287" t="str">
        <f>Model!I94</f>
        <v>Avg. Cost of Repurchase</v>
      </c>
      <c r="J1287">
        <f>Model!J94</f>
        <v>0</v>
      </c>
      <c r="K1287">
        <f>Model!K94</f>
        <v>0</v>
      </c>
      <c r="L1287">
        <f>Model!L94</f>
        <v>0</v>
      </c>
      <c r="M1287">
        <f>Model!M94</f>
        <v>0</v>
      </c>
      <c r="N1287">
        <f>Model!N94</f>
        <v>0</v>
      </c>
      <c r="O1287">
        <f>Model!O94</f>
        <v>0</v>
      </c>
      <c r="P1287">
        <f>Model!P94</f>
        <v>0</v>
      </c>
      <c r="Q1287">
        <f>Model!Q94</f>
        <v>0</v>
      </c>
      <c r="R1287">
        <f>Model!R94</f>
        <v>0</v>
      </c>
      <c r="S1287">
        <f>Model!S94</f>
        <v>0</v>
      </c>
      <c r="T1287">
        <f>Model!T94</f>
        <v>0</v>
      </c>
      <c r="U1287">
        <f>Model!U94</f>
        <v>0</v>
      </c>
      <c r="V1287">
        <f>Model!V94</f>
        <v>0</v>
      </c>
      <c r="W1287">
        <f>Model!W94</f>
        <v>19.510000000000002</v>
      </c>
      <c r="X1287">
        <f>Model!X94</f>
        <v>18.670000000000002</v>
      </c>
      <c r="Y1287">
        <f>Model!Y94</f>
        <v>21.89</v>
      </c>
      <c r="Z1287">
        <f>Model!Z94</f>
        <v>30.97</v>
      </c>
      <c r="AA1287">
        <f>Model!AA94</f>
        <v>49.64</v>
      </c>
      <c r="AB1287">
        <f>Model!AB94</f>
        <v>62.61</v>
      </c>
      <c r="AC1287">
        <f>Model!AC94</f>
        <v>91.37</v>
      </c>
      <c r="AD1287">
        <f>Model!AD94</f>
        <v>57.38</v>
      </c>
      <c r="AE1287">
        <f>Model!AE94</f>
        <v>80.3</v>
      </c>
      <c r="AF1287">
        <f>Model!AF94</f>
        <v>80.3</v>
      </c>
      <c r="AG1287">
        <f>Model!AG94</f>
        <v>47.49</v>
      </c>
      <c r="AH1287">
        <f>Model!AH94</f>
        <v>46.43</v>
      </c>
      <c r="AI1287">
        <f>Model!AI94</f>
        <v>24.01</v>
      </c>
      <c r="AJ1287">
        <f>Model!AJ94</f>
        <v>0</v>
      </c>
      <c r="AK1287">
        <f>Model!AK94</f>
        <v>0</v>
      </c>
      <c r="AL1287">
        <f>Model!AL94</f>
        <v>0</v>
      </c>
      <c r="AM1287">
        <f>Model!AM94</f>
        <v>0</v>
      </c>
      <c r="AN1287">
        <f>Model!AN94</f>
        <v>0</v>
      </c>
      <c r="AO1287">
        <f>Model!AO94</f>
        <v>0</v>
      </c>
      <c r="AP1287">
        <f>Model!AP94</f>
        <v>0</v>
      </c>
      <c r="AQ1287">
        <f>Model!AQ94</f>
        <v>43.243243243243242</v>
      </c>
      <c r="AR1287">
        <f>Model!AR94</f>
        <v>44</v>
      </c>
      <c r="AS1287">
        <f>Model!AS94</f>
        <v>0</v>
      </c>
      <c r="AT1287">
        <f>Model!AT94</f>
        <v>0</v>
      </c>
      <c r="AU1287">
        <f>Model!AU94</f>
        <v>0</v>
      </c>
      <c r="AV1287">
        <f>Model!AV94</f>
        <v>0</v>
      </c>
      <c r="AW1287">
        <f>Model!AW94</f>
        <v>0</v>
      </c>
      <c r="AX1287">
        <f>Model!AX94</f>
        <v>0</v>
      </c>
      <c r="AY1287">
        <f>Model!AY94</f>
        <v>0</v>
      </c>
      <c r="AZ1287">
        <f>Model!AZ94</f>
        <v>0</v>
      </c>
      <c r="BA1287">
        <f>Model!BA94</f>
        <v>0</v>
      </c>
      <c r="BB1287">
        <f>Model!BB94</f>
        <v>0</v>
      </c>
      <c r="BC1287">
        <f>Model!BC94</f>
        <v>0</v>
      </c>
      <c r="BD1287">
        <f>Model!BD94</f>
        <v>0</v>
      </c>
    </row>
    <row r="1288" spans="9:56" ht="11.25" customHeight="1">
      <c r="I1288">
        <f>Model!I95</f>
        <v>0</v>
      </c>
      <c r="J1288">
        <f>Model!J95</f>
        <v>0</v>
      </c>
      <c r="K1288">
        <f>Model!K95</f>
        <v>0</v>
      </c>
      <c r="L1288">
        <f>Model!L95</f>
        <v>0</v>
      </c>
      <c r="M1288">
        <f>Model!M95</f>
        <v>0</v>
      </c>
      <c r="N1288">
        <f>Model!N95</f>
        <v>0</v>
      </c>
      <c r="O1288">
        <f>Model!O95</f>
        <v>0</v>
      </c>
      <c r="P1288">
        <f>Model!P95</f>
        <v>0</v>
      </c>
      <c r="Q1288">
        <f>Model!Q95</f>
        <v>0</v>
      </c>
      <c r="R1288">
        <f>Model!R95</f>
        <v>0</v>
      </c>
      <c r="S1288">
        <f>Model!S95</f>
        <v>0</v>
      </c>
      <c r="T1288">
        <f>Model!T95</f>
        <v>0</v>
      </c>
      <c r="U1288">
        <f>Model!U95</f>
        <v>0</v>
      </c>
      <c r="V1288">
        <f>Model!V95</f>
        <v>0</v>
      </c>
      <c r="W1288">
        <f>Model!W95</f>
        <v>0</v>
      </c>
      <c r="X1288">
        <f>Model!X95</f>
        <v>0</v>
      </c>
      <c r="Y1288">
        <f>Model!Y95</f>
        <v>0</v>
      </c>
      <c r="Z1288">
        <f>Model!Z95</f>
        <v>0</v>
      </c>
      <c r="AA1288">
        <f>Model!AA95</f>
        <v>0</v>
      </c>
      <c r="AB1288">
        <f>Model!AB95</f>
        <v>0</v>
      </c>
      <c r="AC1288">
        <f>Model!AC95</f>
        <v>0</v>
      </c>
      <c r="AD1288">
        <f>Model!AD95</f>
        <v>0</v>
      </c>
      <c r="AE1288">
        <f>Model!AE95</f>
        <v>0</v>
      </c>
      <c r="AF1288">
        <f>Model!AF95</f>
        <v>0</v>
      </c>
      <c r="AG1288">
        <f>Model!AG95</f>
        <v>0</v>
      </c>
      <c r="AH1288">
        <f>Model!AH95</f>
        <v>0</v>
      </c>
      <c r="AI1288">
        <f>Model!AI95</f>
        <v>0</v>
      </c>
      <c r="AJ1288">
        <f>Model!AJ95</f>
        <v>0</v>
      </c>
      <c r="AK1288">
        <f>Model!AK95</f>
        <v>0</v>
      </c>
      <c r="AL1288">
        <f>Model!AL95</f>
        <v>0</v>
      </c>
      <c r="AM1288">
        <f>Model!AM95</f>
        <v>0</v>
      </c>
      <c r="AN1288">
        <f>Model!AN95</f>
        <v>0</v>
      </c>
      <c r="AO1288">
        <f>Model!AO95</f>
        <v>0</v>
      </c>
      <c r="AP1288">
        <f>Model!AP95</f>
        <v>0</v>
      </c>
      <c r="AQ1288">
        <f>Model!AQ95</f>
        <v>0</v>
      </c>
      <c r="AR1288">
        <f>Model!AR95</f>
        <v>0</v>
      </c>
      <c r="AS1288">
        <f>Model!AS95</f>
        <v>0</v>
      </c>
      <c r="AT1288">
        <f>Model!AT95</f>
        <v>0</v>
      </c>
      <c r="AU1288">
        <f>Model!AU95</f>
        <v>0</v>
      </c>
      <c r="AV1288">
        <f>Model!AV95</f>
        <v>0</v>
      </c>
      <c r="AW1288">
        <f>Model!AW95</f>
        <v>0</v>
      </c>
      <c r="AX1288">
        <f>Model!AX95</f>
        <v>0</v>
      </c>
      <c r="AY1288">
        <f>Model!AY95</f>
        <v>0</v>
      </c>
      <c r="AZ1288">
        <f>Model!AZ95</f>
        <v>0</v>
      </c>
      <c r="BA1288">
        <f>Model!BA95</f>
        <v>0</v>
      </c>
      <c r="BB1288">
        <f>Model!BB95</f>
        <v>0</v>
      </c>
      <c r="BC1288">
        <f>Model!BC95</f>
        <v>0</v>
      </c>
      <c r="BD1288">
        <f>Model!BD95</f>
        <v>0</v>
      </c>
    </row>
    <row r="1289" spans="9:56" ht="11.25" customHeight="1">
      <c r="I1289" t="str">
        <f>DCF!I10</f>
        <v>Discounted cash flow analysis</v>
      </c>
      <c r="J1289">
        <f>DCF!J10</f>
        <v>0</v>
      </c>
      <c r="K1289">
        <f>DCF!K10</f>
        <v>0</v>
      </c>
      <c r="L1289">
        <f>DCF!L10</f>
        <v>0</v>
      </c>
      <c r="M1289">
        <f>DCF!M10</f>
        <v>0</v>
      </c>
      <c r="N1289">
        <f>DCF!N10</f>
        <v>0</v>
      </c>
      <c r="O1289">
        <f>DCF!O10</f>
        <v>0</v>
      </c>
      <c r="P1289">
        <f>DCF!P10</f>
        <v>0</v>
      </c>
      <c r="Q1289">
        <f>DCF!Q10</f>
        <v>0</v>
      </c>
      <c r="R1289">
        <f>DCF!R10</f>
        <v>0</v>
      </c>
      <c r="S1289">
        <f>DCF!S10</f>
        <v>0</v>
      </c>
      <c r="T1289">
        <f>DCF!T10</f>
        <v>0</v>
      </c>
      <c r="U1289">
        <f>DCF!U10</f>
        <v>0</v>
      </c>
      <c r="V1289">
        <f>DCF!V10</f>
        <v>0</v>
      </c>
      <c r="W1289">
        <f>DCF!W10</f>
        <v>0</v>
      </c>
      <c r="X1289">
        <f>DCF!X10</f>
        <v>0</v>
      </c>
      <c r="Y1289">
        <f>DCF!Y10</f>
        <v>0</v>
      </c>
      <c r="Z1289">
        <f>DCF!Z10</f>
        <v>0</v>
      </c>
      <c r="AA1289">
        <f>DCF!AA10</f>
        <v>0</v>
      </c>
      <c r="AB1289">
        <f>DCF!AB10</f>
        <v>0</v>
      </c>
      <c r="AC1289">
        <f>DCF!AC10</f>
        <v>0</v>
      </c>
      <c r="AD1289">
        <f>DCF!AD10</f>
        <v>0</v>
      </c>
    </row>
    <row r="1290" spans="9:56" ht="11.25" customHeight="1">
      <c r="I1290" t="str">
        <f>DCF!I11</f>
        <v>Net revenue</v>
      </c>
      <c r="J1290">
        <f>DCF!J11</f>
        <v>0</v>
      </c>
      <c r="K1290">
        <f>DCF!K11</f>
        <v>0</v>
      </c>
      <c r="L1290">
        <f>DCF!L11</f>
        <v>0</v>
      </c>
      <c r="M1290">
        <f>DCF!M11</f>
        <v>25.808000000000003</v>
      </c>
      <c r="N1290">
        <f>DCF!N11</f>
        <v>47.731000000000002</v>
      </c>
      <c r="O1290">
        <f>DCF!O11</f>
        <v>83.284999999999997</v>
      </c>
      <c r="P1290">
        <f>DCF!P11</f>
        <v>137.566</v>
      </c>
      <c r="Q1290">
        <f>DCF!Q11</f>
        <v>232.98799999999997</v>
      </c>
      <c r="R1290">
        <f>DCF!R11</f>
        <v>377.53599999999994</v>
      </c>
      <c r="S1290">
        <f>DCF!S11</f>
        <v>518.70000000000005</v>
      </c>
      <c r="T1290">
        <f>DCF!T11</f>
        <v>713.06899999999996</v>
      </c>
      <c r="U1290">
        <f>DCF!U11</f>
        <v>846.81299999999999</v>
      </c>
      <c r="V1290">
        <f>DCF!V11</f>
        <v>960</v>
      </c>
      <c r="W1290">
        <f>DCF!W11</f>
        <v>1116.4000000000001</v>
      </c>
      <c r="X1290">
        <f>DCF!X11</f>
        <v>1260.5999999999999</v>
      </c>
      <c r="Y1290">
        <f>DCF!Y11</f>
        <v>1400.6</v>
      </c>
      <c r="Z1290">
        <f>DCF!Z11</f>
        <v>1537.6</v>
      </c>
      <c r="AA1290">
        <f>DCF!AA11</f>
        <v>1670.6</v>
      </c>
      <c r="AB1290">
        <f>DCF!AB11</f>
        <v>1799.6</v>
      </c>
      <c r="AC1290">
        <f>DCF!AC11</f>
        <v>1925.6</v>
      </c>
      <c r="AD1290">
        <f>DCF!AD11</f>
        <v>1973.7399999999998</v>
      </c>
    </row>
    <row r="1291" spans="9:56" ht="11.25" customHeight="1">
      <c r="I1291" t="str">
        <f>DCF!I12</f>
        <v>% change Y/Y</v>
      </c>
      <c r="J1291">
        <f>DCF!J12</f>
        <v>0</v>
      </c>
      <c r="K1291">
        <f>DCF!K12</f>
        <v>0</v>
      </c>
      <c r="L1291">
        <f>DCF!L12</f>
        <v>0</v>
      </c>
      <c r="M1291" t="str">
        <f>DCF!M12</f>
        <v>NA</v>
      </c>
      <c r="N1291">
        <f>DCF!N12</f>
        <v>0.84946528208307481</v>
      </c>
      <c r="O1291">
        <f>DCF!O12</f>
        <v>0.74488278058284951</v>
      </c>
      <c r="P1291">
        <f>DCF!P12</f>
        <v>0.65175001500870522</v>
      </c>
      <c r="Q1291">
        <f>DCF!Q12</f>
        <v>0.69364523210677032</v>
      </c>
      <c r="R1291">
        <f>DCF!R12</f>
        <v>0.62040963483097844</v>
      </c>
      <c r="S1291">
        <f>DCF!S12</f>
        <v>0.37390871334124465</v>
      </c>
      <c r="T1291">
        <f>DCF!T12</f>
        <v>0.37472334682860975</v>
      </c>
      <c r="U1291">
        <f>DCF!U12</f>
        <v>0.1875610915633692</v>
      </c>
      <c r="V1291">
        <f>DCF!V12</f>
        <v>0.13366233158914653</v>
      </c>
      <c r="W1291">
        <f>DCF!W12</f>
        <v>0.16291666666666682</v>
      </c>
      <c r="X1291">
        <f>DCF!X12</f>
        <v>0.1291651737728412</v>
      </c>
      <c r="Y1291">
        <f>DCF!Y12</f>
        <v>0.11105822624147232</v>
      </c>
      <c r="Z1291">
        <f>DCF!Z12</f>
        <v>9.7815222047693773E-2</v>
      </c>
      <c r="AA1291">
        <f>DCF!AA12</f>
        <v>8.6498439125910487E-2</v>
      </c>
      <c r="AB1291">
        <f>DCF!AB12</f>
        <v>7.7217766072069871E-2</v>
      </c>
      <c r="AC1291">
        <f>DCF!AC12</f>
        <v>7.0015559013113959E-2</v>
      </c>
      <c r="AD1291">
        <f>DCF!AD12</f>
        <v>2.4999999999999911E-2</v>
      </c>
    </row>
    <row r="1292" spans="9:56" ht="11.25" customHeight="1">
      <c r="I1292">
        <f>DCF!I13</f>
        <v>0</v>
      </c>
      <c r="J1292">
        <f>DCF!J13</f>
        <v>0</v>
      </c>
      <c r="K1292">
        <f>DCF!K13</f>
        <v>0</v>
      </c>
      <c r="L1292">
        <f>DCF!L13</f>
        <v>0</v>
      </c>
      <c r="M1292">
        <f>DCF!M13</f>
        <v>0</v>
      </c>
      <c r="N1292">
        <f>DCF!N13</f>
        <v>0</v>
      </c>
      <c r="O1292">
        <f>DCF!O13</f>
        <v>0</v>
      </c>
      <c r="P1292">
        <f>DCF!P13</f>
        <v>0</v>
      </c>
      <c r="Q1292">
        <f>DCF!Q13</f>
        <v>0</v>
      </c>
      <c r="R1292">
        <f>DCF!R13</f>
        <v>0</v>
      </c>
      <c r="S1292">
        <f>DCF!S13</f>
        <v>0</v>
      </c>
      <c r="T1292">
        <f>DCF!T13</f>
        <v>0</v>
      </c>
      <c r="U1292">
        <f>DCF!U13</f>
        <v>0</v>
      </c>
      <c r="V1292">
        <f>DCF!V13</f>
        <v>0</v>
      </c>
      <c r="W1292">
        <f>DCF!W13</f>
        <v>0</v>
      </c>
      <c r="X1292">
        <f>DCF!X13</f>
        <v>0</v>
      </c>
      <c r="Y1292">
        <f>DCF!Y13</f>
        <v>0</v>
      </c>
      <c r="Z1292">
        <f>DCF!Z13</f>
        <v>0</v>
      </c>
      <c r="AA1292">
        <f>DCF!AA13</f>
        <v>0</v>
      </c>
      <c r="AB1292">
        <f>DCF!AB13</f>
        <v>0</v>
      </c>
      <c r="AC1292">
        <f>DCF!AC13</f>
        <v>0</v>
      </c>
      <c r="AD1292">
        <f>DCF!AD13</f>
        <v>0</v>
      </c>
    </row>
    <row r="1293" spans="9:56" ht="11.25" customHeight="1">
      <c r="I1293" t="str">
        <f>DCF!I14</f>
        <v>Adjusted EBITDA</v>
      </c>
      <c r="J1293">
        <f>DCF!J14</f>
        <v>0</v>
      </c>
      <c r="K1293">
        <f>DCF!K14</f>
        <v>0</v>
      </c>
      <c r="L1293">
        <f>DCF!L14</f>
        <v>0</v>
      </c>
      <c r="M1293">
        <f>DCF!M14</f>
        <v>-0.57499999999999618</v>
      </c>
      <c r="N1293">
        <f>DCF!N14</f>
        <v>-4.4409999999999989</v>
      </c>
      <c r="O1293">
        <f>DCF!O14</f>
        <v>-1.1280000000000001</v>
      </c>
      <c r="P1293">
        <f>DCF!P14</f>
        <v>4.5969999999999676</v>
      </c>
      <c r="Q1293">
        <f>DCF!Q14</f>
        <v>29.428999999999988</v>
      </c>
      <c r="R1293">
        <f>DCF!R14</f>
        <v>70.921999999999997</v>
      </c>
      <c r="S1293">
        <f>DCF!S14</f>
        <v>38.111000000000004</v>
      </c>
      <c r="T1293">
        <f>DCF!T14</f>
        <v>120.08199999999995</v>
      </c>
      <c r="U1293">
        <f>DCF!U14</f>
        <v>156.607</v>
      </c>
      <c r="V1293">
        <f>DCF!V14</f>
        <v>186.58690435868911</v>
      </c>
      <c r="W1293">
        <f>DCF!W14</f>
        <v>234.7880648287065</v>
      </c>
      <c r="X1293">
        <f>DCF!X14</f>
        <v>283.31739995723177</v>
      </c>
      <c r="Y1293">
        <f>DCF!Y14</f>
        <v>340.4198054285194</v>
      </c>
      <c r="Z1293">
        <f>DCF!Z14</f>
        <v>402.08232792542259</v>
      </c>
      <c r="AA1293">
        <f>DCF!AA14</f>
        <v>465.55167312314603</v>
      </c>
      <c r="AB1293">
        <f>DCF!AB14</f>
        <v>531.00424102168972</v>
      </c>
      <c r="AC1293">
        <f>DCF!AC14</f>
        <v>599.90292594584912</v>
      </c>
      <c r="AD1293">
        <f>DCF!AD14</f>
        <v>614.90049909449533</v>
      </c>
    </row>
    <row r="1294" spans="9:56" ht="11.25" customHeight="1">
      <c r="I1294" t="str">
        <f>DCF!I15</f>
        <v>(-) Cash taxes</v>
      </c>
      <c r="J1294">
        <f>DCF!J15</f>
        <v>0</v>
      </c>
      <c r="K1294">
        <f>DCF!K15</f>
        <v>0</v>
      </c>
      <c r="L1294">
        <f>DCF!L15</f>
        <v>0</v>
      </c>
      <c r="M1294">
        <f>DCF!M15</f>
        <v>-8.0000000000000002E-3</v>
      </c>
      <c r="N1294">
        <f>DCF!N15</f>
        <v>-7.4999999999999997E-2</v>
      </c>
      <c r="O1294">
        <f>DCF!O15</f>
        <v>-9.1999999999999998E-2</v>
      </c>
      <c r="P1294">
        <f>DCF!P15</f>
        <v>-0.11</v>
      </c>
      <c r="Q1294">
        <f>DCF!Q15</f>
        <v>-0.29099999999999998</v>
      </c>
      <c r="R1294">
        <f>DCF!R15</f>
        <v>-1.972</v>
      </c>
      <c r="S1294">
        <f>DCF!S15</f>
        <v>-0.35199999999999998</v>
      </c>
      <c r="T1294">
        <f>DCF!T15</f>
        <v>0</v>
      </c>
      <c r="U1294">
        <f>DCF!U15</f>
        <v>-5.3396000000000043</v>
      </c>
      <c r="V1294">
        <f>DCF!V15</f>
        <v>-11.7637962326415</v>
      </c>
      <c r="W1294">
        <f>DCF!W15</f>
        <v>-30.932776528258003</v>
      </c>
      <c r="X1294">
        <f>DCF!X15</f>
        <v>-43.704141808020232</v>
      </c>
      <c r="Y1294">
        <f>DCF!Y15</f>
        <v>-60.928762860284976</v>
      </c>
      <c r="Z1294">
        <f>DCF!Z15</f>
        <v>-81.059481000701339</v>
      </c>
      <c r="AA1294">
        <f>DCF!AA15</f>
        <v>-101.81083715656558</v>
      </c>
      <c r="AB1294">
        <f>DCF!AB15</f>
        <v>-123.24080173921146</v>
      </c>
      <c r="AC1294">
        <f>DCF!AC15</f>
        <v>-145.93238563262116</v>
      </c>
      <c r="AD1294">
        <f>DCF!AD15</f>
        <v>0</v>
      </c>
    </row>
    <row r="1295" spans="9:56" ht="11.25" customHeight="1">
      <c r="I1295" t="str">
        <f>DCF!I16</f>
        <v>(+/-) Changes in working capital</v>
      </c>
      <c r="J1295">
        <f>DCF!J16</f>
        <v>0</v>
      </c>
      <c r="K1295">
        <f>DCF!K16</f>
        <v>0</v>
      </c>
      <c r="L1295">
        <f>DCF!L16</f>
        <v>0</v>
      </c>
      <c r="M1295">
        <f>DCF!M16</f>
        <v>-0.15199999999999991</v>
      </c>
      <c r="N1295">
        <f>DCF!N16</f>
        <v>-2.0810000000000004</v>
      </c>
      <c r="O1295">
        <f>DCF!O16</f>
        <v>1.8270000000000004</v>
      </c>
      <c r="P1295">
        <f>DCF!P16</f>
        <v>-4.7739999999999991</v>
      </c>
      <c r="Q1295">
        <f>DCF!Q16</f>
        <v>-9.7419999999999991</v>
      </c>
      <c r="R1295">
        <f>DCF!R16</f>
        <v>-15.964</v>
      </c>
      <c r="S1295">
        <f>DCF!S16</f>
        <v>-32.128999999999998</v>
      </c>
      <c r="T1295">
        <f>DCF!T16</f>
        <v>-10.273999999999997</v>
      </c>
      <c r="U1295">
        <f>DCF!U16</f>
        <v>19.559999999999995</v>
      </c>
      <c r="V1295">
        <f>DCF!V16</f>
        <v>-2.7442893768807046</v>
      </c>
      <c r="W1295">
        <f>DCF!W16</f>
        <v>-0.30202538990474181</v>
      </c>
      <c r="X1295">
        <f>DCF!X16</f>
        <v>1.2947334900096195</v>
      </c>
      <c r="Y1295">
        <f>DCF!Y16</f>
        <v>3.5807885082181912E-2</v>
      </c>
      <c r="Z1295">
        <f>DCF!Z16</f>
        <v>0.19320624623882665</v>
      </c>
      <c r="AA1295">
        <f>DCF!AA16</f>
        <v>0.53526846219218172</v>
      </c>
      <c r="AB1295">
        <f>DCF!AB16</f>
        <v>0.95719023522371316</v>
      </c>
      <c r="AC1295">
        <f>DCF!AC16</f>
        <v>1.1560625482428861</v>
      </c>
      <c r="AD1295">
        <f>DCF!AD16</f>
        <v>0</v>
      </c>
    </row>
    <row r="1296" spans="9:56" ht="11.25" customHeight="1">
      <c r="I1296" t="str">
        <f>DCF!I17</f>
        <v>(-) Capex</v>
      </c>
      <c r="J1296">
        <f>DCF!J17</f>
        <v>0</v>
      </c>
      <c r="K1296">
        <f>DCF!K17</f>
        <v>0</v>
      </c>
      <c r="L1296">
        <f>DCF!L17</f>
        <v>0</v>
      </c>
      <c r="M1296">
        <f>DCF!M17</f>
        <v>-0.622</v>
      </c>
      <c r="N1296">
        <f>DCF!N17</f>
        <v>-3.5710000000000002</v>
      </c>
      <c r="O1296">
        <f>DCF!O17</f>
        <v>-4.798</v>
      </c>
      <c r="P1296">
        <f>DCF!P17</f>
        <v>-7.524</v>
      </c>
      <c r="Q1296">
        <f>DCF!Q17</f>
        <v>-16.242999999999999</v>
      </c>
      <c r="R1296">
        <f>DCF!R17</f>
        <v>-29.053999999999995</v>
      </c>
      <c r="S1296">
        <f>DCF!S17</f>
        <v>-104.54899999999999</v>
      </c>
      <c r="T1296">
        <f>DCF!T17</f>
        <v>-22.994</v>
      </c>
      <c r="U1296">
        <f>DCF!U17</f>
        <v>-15.598000000000003</v>
      </c>
      <c r="V1296">
        <f>DCF!V17</f>
        <v>-24</v>
      </c>
      <c r="W1296">
        <f>DCF!W17</f>
        <v>-36.30290473341244</v>
      </c>
      <c r="X1296">
        <f>DCF!X17</f>
        <v>-41.119783277907715</v>
      </c>
      <c r="Y1296">
        <f>DCF!Y17</f>
        <v>-46.119783277907715</v>
      </c>
      <c r="Z1296">
        <f>DCF!Z17</f>
        <v>-51.119783277907715</v>
      </c>
      <c r="AA1296">
        <f>DCF!AA17</f>
        <v>-56.119783277907715</v>
      </c>
      <c r="AB1296">
        <f>DCF!AB17</f>
        <v>-61.119783277907715</v>
      </c>
      <c r="AC1296">
        <f>DCF!AC17</f>
        <v>-66.119783277907715</v>
      </c>
      <c r="AD1296">
        <f>DCF!AD17</f>
        <v>0</v>
      </c>
    </row>
    <row r="1297" spans="9:30" ht="11.25" customHeight="1">
      <c r="I1297" t="str">
        <f>DCF!I18</f>
        <v>(-) Stock-based compensation</v>
      </c>
      <c r="J1297">
        <f>DCF!J18</f>
        <v>0</v>
      </c>
      <c r="K1297">
        <f>DCF!K18</f>
        <v>0</v>
      </c>
      <c r="L1297">
        <f>DCF!L18</f>
        <v>0</v>
      </c>
      <c r="M1297">
        <f>DCF!M18</f>
        <v>-0.55700000000000005</v>
      </c>
      <c r="N1297">
        <f>DCF!N18</f>
        <v>-1.431</v>
      </c>
      <c r="O1297">
        <f>DCF!O18</f>
        <v>-4.8770000000000007</v>
      </c>
      <c r="P1297">
        <f>DCF!P18</f>
        <v>-14.879000000000001</v>
      </c>
      <c r="Q1297">
        <f>DCF!Q18</f>
        <v>-26.677</v>
      </c>
      <c r="R1297">
        <f>DCF!R18</f>
        <v>-42.273000000000003</v>
      </c>
      <c r="S1297">
        <f>DCF!S18</f>
        <v>-60.842000000000006</v>
      </c>
      <c r="T1297">
        <f>DCF!T18</f>
        <v>-86.26</v>
      </c>
      <c r="U1297">
        <f>DCF!U18</f>
        <v>-100.41500000000001</v>
      </c>
      <c r="V1297">
        <f>DCF!V18</f>
        <v>-114.26265000000001</v>
      </c>
      <c r="W1297">
        <f>DCF!W18</f>
        <v>-127.97416800000002</v>
      </c>
      <c r="X1297">
        <f>DCF!X18</f>
        <v>-140.77158480000003</v>
      </c>
      <c r="Y1297">
        <f>DCF!Y18</f>
        <v>-150.62559573600004</v>
      </c>
      <c r="Z1297">
        <f>DCF!Z18</f>
        <v>-158.15687552280005</v>
      </c>
      <c r="AA1297">
        <f>DCF!AA18</f>
        <v>-166.06471929894005</v>
      </c>
      <c r="AB1297">
        <f>DCF!AB18</f>
        <v>-174.36795526388707</v>
      </c>
      <c r="AC1297">
        <f>DCF!AC18</f>
        <v>-183.08635302708143</v>
      </c>
      <c r="AD1297">
        <f>DCF!AD18</f>
        <v>0</v>
      </c>
    </row>
    <row r="1298" spans="9:30" ht="11.25" customHeight="1">
      <c r="I1298" t="str">
        <f>DCF!I19</f>
        <v>Free cash flow</v>
      </c>
      <c r="J1298">
        <f>DCF!J19</f>
        <v>0</v>
      </c>
      <c r="K1298">
        <f>DCF!K19</f>
        <v>0</v>
      </c>
      <c r="L1298">
        <f>DCF!L19</f>
        <v>0</v>
      </c>
      <c r="M1298">
        <f>DCF!M19</f>
        <v>-1.9139999999999961</v>
      </c>
      <c r="N1298">
        <f>DCF!N19</f>
        <v>-11.599</v>
      </c>
      <c r="O1298">
        <f>DCF!O19</f>
        <v>-9.0680000000000014</v>
      </c>
      <c r="P1298">
        <f>DCF!P19</f>
        <v>-22.690000000000033</v>
      </c>
      <c r="Q1298">
        <f>DCF!Q19</f>
        <v>-23.524000000000012</v>
      </c>
      <c r="R1298">
        <f>DCF!R19</f>
        <v>-18.340999999999994</v>
      </c>
      <c r="S1298">
        <f>DCF!S19</f>
        <v>-159.761</v>
      </c>
      <c r="T1298">
        <f>DCF!T19</f>
        <v>0.5539999999999452</v>
      </c>
      <c r="U1298">
        <f>DCF!U19</f>
        <v>54.814399999999992</v>
      </c>
      <c r="V1298">
        <f>DCF!V19</f>
        <v>33.816168749166877</v>
      </c>
      <c r="W1298">
        <f>DCF!W19</f>
        <v>39.276190177131269</v>
      </c>
      <c r="X1298">
        <f>DCF!X19</f>
        <v>59.016623561313423</v>
      </c>
      <c r="Y1298">
        <f>DCF!Y19</f>
        <v>82.781471439408875</v>
      </c>
      <c r="Z1298">
        <f>DCF!Z19</f>
        <v>111.93939437025236</v>
      </c>
      <c r="AA1298">
        <f>DCF!AA19</f>
        <v>142.09160185192482</v>
      </c>
      <c r="AB1298">
        <f>DCF!AB19</f>
        <v>173.23289097590717</v>
      </c>
      <c r="AC1298">
        <f>DCF!AC19</f>
        <v>205.9204665564817</v>
      </c>
      <c r="AD1298">
        <f>DCF!AD19</f>
        <v>211.06847822039373</v>
      </c>
    </row>
    <row r="1299" spans="9:30" ht="11.25" customHeight="1">
      <c r="I1299" t="str">
        <f>DCF!I20</f>
        <v>% of revenue</v>
      </c>
      <c r="J1299">
        <f>DCF!J20</f>
        <v>0</v>
      </c>
      <c r="K1299">
        <f>DCF!K20</f>
        <v>0</v>
      </c>
      <c r="L1299">
        <f>DCF!L20</f>
        <v>0</v>
      </c>
      <c r="M1299">
        <f>DCF!M20</f>
        <v>-7.4163050216986826E-2</v>
      </c>
      <c r="N1299">
        <f>DCF!N20</f>
        <v>-0.24300768892334121</v>
      </c>
      <c r="O1299">
        <f>DCF!O20</f>
        <v>-0.10887914990694605</v>
      </c>
      <c r="P1299">
        <f>DCF!P20</f>
        <v>-0.1649390110928575</v>
      </c>
      <c r="Q1299">
        <f>DCF!Q20</f>
        <v>-0.10096657338575384</v>
      </c>
      <c r="R1299">
        <f>DCF!R20</f>
        <v>-4.8580797592812329E-2</v>
      </c>
      <c r="S1299">
        <f>DCF!S20</f>
        <v>-0.30800269905533062</v>
      </c>
      <c r="T1299">
        <f>DCF!T20</f>
        <v>7.7692341133879788E-4</v>
      </c>
      <c r="U1299">
        <f>DCF!U20</f>
        <v>6.4730229696520952E-2</v>
      </c>
      <c r="V1299">
        <f>DCF!V20</f>
        <v>3.5225175780382166E-2</v>
      </c>
      <c r="W1299">
        <f>DCF!W20</f>
        <v>3.5181109080196407E-2</v>
      </c>
      <c r="X1299">
        <f>DCF!X20</f>
        <v>4.6816296653429658E-2</v>
      </c>
      <c r="Y1299">
        <f>DCF!Y20</f>
        <v>5.9104292045843838E-2</v>
      </c>
      <c r="Z1299">
        <f>DCF!Z20</f>
        <v>7.2801375110726041E-2</v>
      </c>
      <c r="AA1299">
        <f>DCF!AA20</f>
        <v>8.5054233120989364E-2</v>
      </c>
      <c r="AB1299">
        <f>DCF!AB20</f>
        <v>9.6261886516952194E-2</v>
      </c>
      <c r="AC1299">
        <f>DCF!AC20</f>
        <v>0.10693833950793608</v>
      </c>
      <c r="AD1299">
        <f>DCF!AD20</f>
        <v>0.10693833950793608</v>
      </c>
    </row>
    <row r="1300" spans="9:30" ht="11.25" customHeight="1">
      <c r="I1300">
        <f>DCF!I21</f>
        <v>0</v>
      </c>
      <c r="J1300">
        <f>DCF!J21</f>
        <v>0</v>
      </c>
      <c r="K1300">
        <f>DCF!K21</f>
        <v>0</v>
      </c>
      <c r="L1300">
        <f>DCF!L21</f>
        <v>0</v>
      </c>
      <c r="M1300">
        <f>DCF!M21</f>
        <v>0</v>
      </c>
      <c r="N1300">
        <f>DCF!N21</f>
        <v>0</v>
      </c>
      <c r="O1300">
        <f>DCF!O21</f>
        <v>0</v>
      </c>
      <c r="P1300">
        <f>DCF!P21</f>
        <v>0</v>
      </c>
      <c r="Q1300">
        <f>DCF!Q21</f>
        <v>0</v>
      </c>
      <c r="R1300">
        <f>DCF!R21</f>
        <v>0</v>
      </c>
      <c r="S1300">
        <f>DCF!S21</f>
        <v>0</v>
      </c>
      <c r="T1300">
        <f>DCF!T21</f>
        <v>0</v>
      </c>
      <c r="U1300">
        <f>DCF!U21</f>
        <v>0</v>
      </c>
      <c r="V1300">
        <f>DCF!V21</f>
        <v>0</v>
      </c>
      <c r="W1300">
        <f>DCF!W21</f>
        <v>0</v>
      </c>
      <c r="X1300">
        <f>DCF!X21</f>
        <v>0</v>
      </c>
      <c r="Y1300">
        <f>DCF!Y21</f>
        <v>0</v>
      </c>
      <c r="Z1300">
        <f>DCF!Z21</f>
        <v>0</v>
      </c>
      <c r="AA1300">
        <f>DCF!AA21</f>
        <v>0</v>
      </c>
      <c r="AB1300">
        <f>DCF!AB21</f>
        <v>0</v>
      </c>
      <c r="AC1300">
        <f>DCF!AC21</f>
        <v>0</v>
      </c>
      <c r="AD1300">
        <f>DCF!AD21</f>
        <v>0</v>
      </c>
    </row>
    <row r="1301" spans="9:30" ht="11.25" customHeight="1">
      <c r="I1301" t="str">
        <f>DCF!I22</f>
        <v>EBITDA Margin</v>
      </c>
      <c r="J1301">
        <f>DCF!J22</f>
        <v>0</v>
      </c>
      <c r="K1301">
        <f>DCF!K22</f>
        <v>0</v>
      </c>
      <c r="L1301">
        <f>DCF!L22</f>
        <v>0</v>
      </c>
      <c r="M1301">
        <f>DCF!M22</f>
        <v>-2.2279913205207537E-2</v>
      </c>
      <c r="N1301">
        <f>DCF!N22</f>
        <v>-9.3042257652259514E-2</v>
      </c>
      <c r="O1301">
        <f>DCF!O22</f>
        <v>-1.354385543615297E-2</v>
      </c>
      <c r="P1301">
        <f>DCF!P22</f>
        <v>3.3416687262840875E-2</v>
      </c>
      <c r="Q1301">
        <f>DCF!Q22</f>
        <v>0.12631122632925298</v>
      </c>
      <c r="R1301">
        <f>DCF!R22</f>
        <v>0.18785493303949824</v>
      </c>
      <c r="S1301">
        <f>DCF!S22</f>
        <v>7.3474069789859264E-2</v>
      </c>
      <c r="T1301">
        <f>DCF!T22</f>
        <v>0.16840165537977383</v>
      </c>
      <c r="U1301">
        <f>DCF!U22</f>
        <v>0.18493693412831405</v>
      </c>
      <c r="V1301">
        <f>DCF!V22</f>
        <v>0.19436135870696783</v>
      </c>
      <c r="W1301">
        <f>DCF!W22</f>
        <v>0.2103081913549861</v>
      </c>
      <c r="X1301">
        <f>DCF!X22</f>
        <v>0.2247480564471139</v>
      </c>
      <c r="Y1301">
        <f>DCF!Y22</f>
        <v>0.24305283837535299</v>
      </c>
      <c r="Z1301">
        <f>DCF!Z22</f>
        <v>0.26149995312527485</v>
      </c>
      <c r="AA1301">
        <f>DCF!AA22</f>
        <v>0.27867333480375078</v>
      </c>
      <c r="AB1301">
        <f>DCF!AB22</f>
        <v>0.29506792677355509</v>
      </c>
      <c r="AC1301">
        <f>DCF!AC22</f>
        <v>0.31154077998849666</v>
      </c>
      <c r="AD1301">
        <f>DCF!AD22</f>
        <v>0.31154077998849666</v>
      </c>
    </row>
    <row r="1302" spans="9:30" ht="11.25" customHeight="1">
      <c r="I1302" t="str">
        <f>DCF!I23</f>
        <v>Incremental Margins</v>
      </c>
      <c r="J1302">
        <f>DCF!J23</f>
        <v>0</v>
      </c>
      <c r="K1302">
        <f>DCF!K23</f>
        <v>0</v>
      </c>
      <c r="L1302">
        <f>DCF!L23</f>
        <v>0</v>
      </c>
      <c r="M1302">
        <f>DCF!M23</f>
        <v>0</v>
      </c>
      <c r="N1302">
        <f>DCF!N23</f>
        <v>0</v>
      </c>
      <c r="O1302">
        <f>DCF!O23</f>
        <v>0</v>
      </c>
      <c r="P1302">
        <f>DCF!P23</f>
        <v>0</v>
      </c>
      <c r="Q1302">
        <f>DCF!Q23</f>
        <v>0</v>
      </c>
      <c r="R1302">
        <f>DCF!R23</f>
        <v>0.28705343553698437</v>
      </c>
      <c r="S1302">
        <f>DCF!S23</f>
        <v>-0.23243178147402999</v>
      </c>
      <c r="T1302">
        <f>DCF!T23</f>
        <v>0.42172877362130784</v>
      </c>
      <c r="U1302">
        <f>DCF!U23</f>
        <v>0.27309636320134018</v>
      </c>
      <c r="V1302">
        <f>DCF!V23</f>
        <v>0.26487056250884916</v>
      </c>
      <c r="W1302">
        <f>DCF!W23</f>
        <v>0.30819156310752788</v>
      </c>
      <c r="X1302">
        <f>DCF!X23</f>
        <v>0.33654185248630608</v>
      </c>
      <c r="Y1302">
        <f>DCF!Y23</f>
        <v>0.40787432479491159</v>
      </c>
      <c r="Z1302">
        <f>DCF!Z23</f>
        <v>0.45009140508688461</v>
      </c>
      <c r="AA1302">
        <f>DCF!AA23</f>
        <v>0.47721312178739428</v>
      </c>
      <c r="AB1302">
        <f>DCF!AB23</f>
        <v>0.50738424727553244</v>
      </c>
      <c r="AC1302">
        <f>DCF!AC23</f>
        <v>0.54681495971555072</v>
      </c>
      <c r="AD1302">
        <f>DCF!AD23</f>
        <v>0</v>
      </c>
    </row>
    <row r="1303" spans="9:30" ht="11.25" customHeight="1">
      <c r="I1303" t="str">
        <f>DCF!I24</f>
        <v>FCF / EBITDA</v>
      </c>
      <c r="J1303">
        <f>DCF!J24</f>
        <v>0</v>
      </c>
      <c r="K1303">
        <f>DCF!K24</f>
        <v>0</v>
      </c>
      <c r="L1303">
        <f>DCF!L24</f>
        <v>0</v>
      </c>
      <c r="M1303">
        <f>DCF!M24</f>
        <v>3.3286956521739284</v>
      </c>
      <c r="N1303">
        <f>DCF!N24</f>
        <v>2.6117991443368616</v>
      </c>
      <c r="O1303">
        <f>DCF!O24</f>
        <v>8.0390070921985828</v>
      </c>
      <c r="P1303">
        <f>DCF!P24</f>
        <v>-4.9358277137263853</v>
      </c>
      <c r="Q1303">
        <f>DCF!Q24</f>
        <v>-0.79934758231676306</v>
      </c>
      <c r="R1303">
        <f>DCF!R24</f>
        <v>-0.25860804827839029</v>
      </c>
      <c r="S1303">
        <f>DCF!S24</f>
        <v>-4.1919918133872107</v>
      </c>
      <c r="T1303">
        <f>DCF!T24</f>
        <v>4.6135140986987679E-3</v>
      </c>
      <c r="U1303">
        <f>DCF!U24</f>
        <v>0.35001245155069693</v>
      </c>
      <c r="V1303">
        <f>DCF!V24</f>
        <v>0.1812354884464972</v>
      </c>
      <c r="W1303">
        <f>DCF!W24</f>
        <v>0.16728358916278757</v>
      </c>
      <c r="X1303">
        <f>DCF!X24</f>
        <v>0.2083056796731238</v>
      </c>
      <c r="Y1303">
        <f>DCF!Y24</f>
        <v>0.2431746629289204</v>
      </c>
      <c r="Z1303">
        <f>DCF!Z24</f>
        <v>0.27839918990673634</v>
      </c>
      <c r="AA1303">
        <f>DCF!AA24</f>
        <v>0.30521123659314886</v>
      </c>
      <c r="AB1303">
        <f>DCF!AB24</f>
        <v>0.32623636045278065</v>
      </c>
      <c r="AC1303">
        <f>DCF!AC24</f>
        <v>0.34325631306400617</v>
      </c>
      <c r="AD1303">
        <f>DCF!AD24</f>
        <v>0.34325631306400617</v>
      </c>
    </row>
    <row r="1304" spans="9:30" ht="11.25" customHeight="1">
      <c r="I1304">
        <f>DCF!I25</f>
        <v>0</v>
      </c>
      <c r="J1304">
        <f>DCF!J25</f>
        <v>0</v>
      </c>
      <c r="K1304">
        <f>DCF!K25</f>
        <v>0</v>
      </c>
      <c r="L1304">
        <f>DCF!L25</f>
        <v>0</v>
      </c>
      <c r="M1304">
        <f>DCF!M25</f>
        <v>0</v>
      </c>
      <c r="N1304">
        <f>DCF!N25</f>
        <v>0</v>
      </c>
      <c r="O1304">
        <f>DCF!O25</f>
        <v>0</v>
      </c>
      <c r="P1304">
        <f>DCF!P25</f>
        <v>0</v>
      </c>
      <c r="Q1304">
        <f>DCF!Q25</f>
        <v>0</v>
      </c>
      <c r="R1304">
        <f>DCF!R25</f>
        <v>0</v>
      </c>
      <c r="S1304">
        <f>DCF!S25</f>
        <v>0</v>
      </c>
      <c r="T1304">
        <f>DCF!T25</f>
        <v>0</v>
      </c>
      <c r="U1304">
        <f>DCF!U25</f>
        <v>0</v>
      </c>
      <c r="V1304">
        <f>DCF!V25</f>
        <v>0</v>
      </c>
      <c r="W1304">
        <f>DCF!W25</f>
        <v>0</v>
      </c>
      <c r="X1304">
        <f>DCF!X25</f>
        <v>0</v>
      </c>
      <c r="Y1304">
        <f>DCF!Y25</f>
        <v>0</v>
      </c>
      <c r="Z1304">
        <f>DCF!Z25</f>
        <v>0</v>
      </c>
      <c r="AA1304">
        <f>DCF!AA25</f>
        <v>0</v>
      </c>
      <c r="AB1304">
        <f>DCF!AB25</f>
        <v>0</v>
      </c>
      <c r="AC1304">
        <f>DCF!AC25</f>
        <v>0</v>
      </c>
      <c r="AD1304">
        <f>DCF!AD25</f>
        <v>0</v>
      </c>
    </row>
    <row r="1305" spans="9:30" ht="11.25" customHeight="1">
      <c r="I1305" t="str">
        <f>DCF!I26</f>
        <v>NPV Calculations</v>
      </c>
      <c r="J1305">
        <f>DCF!J26</f>
        <v>0</v>
      </c>
      <c r="K1305">
        <f>DCF!K26</f>
        <v>0</v>
      </c>
      <c r="L1305">
        <f>DCF!L26</f>
        <v>0</v>
      </c>
      <c r="M1305">
        <f>DCF!M26</f>
        <v>0</v>
      </c>
      <c r="N1305">
        <f>DCF!N26</f>
        <v>0</v>
      </c>
      <c r="O1305">
        <f>DCF!O26</f>
        <v>0</v>
      </c>
      <c r="P1305">
        <f>DCF!P26</f>
        <v>0</v>
      </c>
      <c r="Q1305">
        <f>DCF!Q26</f>
        <v>0</v>
      </c>
      <c r="R1305">
        <f>DCF!R26</f>
        <v>0</v>
      </c>
      <c r="S1305">
        <f>DCF!S26</f>
        <v>42369</v>
      </c>
      <c r="T1305">
        <f>DCF!T26</f>
        <v>42735</v>
      </c>
      <c r="U1305">
        <f>DCF!U26</f>
        <v>43100</v>
      </c>
      <c r="V1305">
        <f>DCF!V26</f>
        <v>43465</v>
      </c>
      <c r="W1305">
        <f>DCF!W26</f>
        <v>43830</v>
      </c>
      <c r="X1305">
        <f>DCF!X26</f>
        <v>44196</v>
      </c>
      <c r="Y1305">
        <f>DCF!Y26</f>
        <v>44561</v>
      </c>
      <c r="Z1305">
        <f>DCF!Z26</f>
        <v>44926</v>
      </c>
      <c r="AA1305">
        <f>DCF!AA26</f>
        <v>45291</v>
      </c>
      <c r="AB1305">
        <f>DCF!AB26</f>
        <v>45657</v>
      </c>
      <c r="AC1305">
        <f>DCF!AC26</f>
        <v>46022</v>
      </c>
      <c r="AD1305">
        <f>DCF!AD26</f>
        <v>0</v>
      </c>
    </row>
    <row r="1306" spans="9:30" ht="11.25" customHeight="1">
      <c r="I1306" t="str">
        <f>DCF!I27</f>
        <v>Year for 1-year forward value</v>
      </c>
      <c r="J1306">
        <f>DCF!J27</f>
        <v>0</v>
      </c>
      <c r="K1306">
        <f>DCF!K27</f>
        <v>0</v>
      </c>
      <c r="L1306">
        <f>DCF!L27</f>
        <v>0</v>
      </c>
      <c r="M1306">
        <f>DCF!M27</f>
        <v>0</v>
      </c>
      <c r="N1306">
        <f>DCF!N27</f>
        <v>0</v>
      </c>
      <c r="O1306">
        <f>DCF!O27</f>
        <v>0</v>
      </c>
      <c r="P1306">
        <f>DCF!P27</f>
        <v>0</v>
      </c>
      <c r="Q1306">
        <f>DCF!Q27</f>
        <v>0</v>
      </c>
      <c r="R1306">
        <f>DCF!R27</f>
        <v>0</v>
      </c>
      <c r="S1306">
        <f>DCF!S27</f>
        <v>0</v>
      </c>
      <c r="T1306">
        <f>DCF!T27</f>
        <v>0</v>
      </c>
      <c r="U1306">
        <f>DCF!U27</f>
        <v>0</v>
      </c>
      <c r="V1306">
        <f>DCF!V27</f>
        <v>0</v>
      </c>
      <c r="W1306">
        <f>DCF!W27</f>
        <v>1</v>
      </c>
      <c r="X1306">
        <f>DCF!X27</f>
        <v>2</v>
      </c>
      <c r="Y1306">
        <f>DCF!Y27</f>
        <v>3</v>
      </c>
      <c r="Z1306">
        <f>DCF!Z27</f>
        <v>4</v>
      </c>
      <c r="AA1306">
        <f>DCF!AA27</f>
        <v>5</v>
      </c>
      <c r="AB1306">
        <f>DCF!AB27</f>
        <v>6</v>
      </c>
      <c r="AC1306">
        <f>DCF!AC27</f>
        <v>7</v>
      </c>
      <c r="AD1306">
        <f>DCF!AD27</f>
        <v>0</v>
      </c>
    </row>
    <row r="1307" spans="9:30" ht="11.25" customHeight="1">
      <c r="I1307" t="str">
        <f>DCF!I28</f>
        <v>Discounted cash flows</v>
      </c>
      <c r="J1307">
        <f>DCF!J28</f>
        <v>0</v>
      </c>
      <c r="K1307">
        <f>DCF!K28</f>
        <v>0</v>
      </c>
      <c r="L1307">
        <f>DCF!L28</f>
        <v>0</v>
      </c>
      <c r="M1307">
        <f>DCF!M28</f>
        <v>0</v>
      </c>
      <c r="N1307">
        <f>DCF!N28</f>
        <v>0</v>
      </c>
      <c r="O1307">
        <f>DCF!O28</f>
        <v>0</v>
      </c>
      <c r="P1307">
        <f>DCF!P28</f>
        <v>0</v>
      </c>
      <c r="Q1307">
        <f>DCF!Q28</f>
        <v>0</v>
      </c>
      <c r="R1307">
        <f>DCF!R28</f>
        <v>0</v>
      </c>
      <c r="S1307">
        <f>DCF!S28</f>
        <v>0</v>
      </c>
      <c r="T1307">
        <f>DCF!T28</f>
        <v>0</v>
      </c>
      <c r="U1307">
        <f>DCF!U28</f>
        <v>0</v>
      </c>
      <c r="V1307">
        <f>DCF!V28</f>
        <v>0</v>
      </c>
      <c r="W1307">
        <f>DCF!W28</f>
        <v>36.378632128126029</v>
      </c>
      <c r="X1307">
        <f>DCF!X28</f>
        <v>50.63005287989467</v>
      </c>
      <c r="Y1307">
        <f>DCF!Y28</f>
        <v>65.778531615138704</v>
      </c>
      <c r="Z1307">
        <f>DCF!Z28</f>
        <v>82.385540733870769</v>
      </c>
      <c r="AA1307">
        <f>DCF!AA28</f>
        <v>96.862007291261833</v>
      </c>
      <c r="AB1307">
        <f>DCF!AB28</f>
        <v>109.37861467354573</v>
      </c>
      <c r="AC1307">
        <f>DCF!AC28</f>
        <v>120.42553652771358</v>
      </c>
      <c r="AD1307">
        <f>DCF!AD28</f>
        <v>0</v>
      </c>
    </row>
    <row r="1308" spans="9:30" ht="11.25" customHeight="1">
      <c r="I1308">
        <f>DCF!I29</f>
        <v>0</v>
      </c>
      <c r="J1308">
        <f>DCF!J29</f>
        <v>0</v>
      </c>
      <c r="K1308">
        <f>DCF!K29</f>
        <v>0</v>
      </c>
      <c r="L1308">
        <f>DCF!L29</f>
        <v>0</v>
      </c>
      <c r="M1308">
        <f>DCF!M29</f>
        <v>0</v>
      </c>
      <c r="N1308">
        <f>DCF!N29</f>
        <v>0</v>
      </c>
      <c r="O1308">
        <f>DCF!O29</f>
        <v>0</v>
      </c>
      <c r="P1308">
        <f>DCF!P29</f>
        <v>0</v>
      </c>
      <c r="Q1308">
        <f>DCF!Q29</f>
        <v>0</v>
      </c>
      <c r="R1308">
        <f>DCF!R29</f>
        <v>0</v>
      </c>
      <c r="S1308">
        <f>DCF!S29</f>
        <v>0</v>
      </c>
      <c r="T1308">
        <f>DCF!T29</f>
        <v>0</v>
      </c>
      <c r="U1308">
        <f>DCF!U29</f>
        <v>0</v>
      </c>
      <c r="V1308">
        <f>DCF!V29</f>
        <v>0</v>
      </c>
      <c r="W1308">
        <f>DCF!W29</f>
        <v>0</v>
      </c>
      <c r="X1308">
        <f>DCF!X29</f>
        <v>0</v>
      </c>
      <c r="Y1308">
        <f>DCF!Y29</f>
        <v>0</v>
      </c>
      <c r="Z1308">
        <f>DCF!Z29</f>
        <v>0</v>
      </c>
      <c r="AA1308">
        <f>DCF!AA29</f>
        <v>0</v>
      </c>
      <c r="AB1308">
        <f>DCF!AB29</f>
        <v>0</v>
      </c>
      <c r="AC1308">
        <f>DCF!AC29</f>
        <v>0</v>
      </c>
      <c r="AD1308">
        <f>DCF!AD29</f>
        <v>0</v>
      </c>
    </row>
    <row r="1309" spans="9:30" ht="11.25" customHeight="1">
      <c r="I1309">
        <f>DCF!I30</f>
        <v>0</v>
      </c>
      <c r="J1309">
        <f>DCF!J30</f>
        <v>0</v>
      </c>
      <c r="K1309">
        <f>DCF!K30</f>
        <v>0</v>
      </c>
      <c r="L1309">
        <f>DCF!L30</f>
        <v>0</v>
      </c>
      <c r="M1309">
        <f>DCF!M30</f>
        <v>0</v>
      </c>
      <c r="N1309">
        <f>DCF!N30</f>
        <v>0</v>
      </c>
      <c r="O1309">
        <f>DCF!O30</f>
        <v>0</v>
      </c>
      <c r="P1309">
        <f>DCF!P30</f>
        <v>0</v>
      </c>
      <c r="Q1309">
        <f>DCF!Q30</f>
        <v>0</v>
      </c>
      <c r="R1309">
        <f>DCF!R30</f>
        <v>0</v>
      </c>
      <c r="S1309">
        <f>DCF!S30</f>
        <v>0</v>
      </c>
      <c r="T1309">
        <f>DCF!T30</f>
        <v>0</v>
      </c>
      <c r="U1309">
        <f>DCF!U30</f>
        <v>0</v>
      </c>
      <c r="V1309">
        <f>DCF!V30</f>
        <v>0</v>
      </c>
      <c r="W1309">
        <f>DCF!W30</f>
        <v>0</v>
      </c>
      <c r="X1309">
        <f>DCF!X30</f>
        <v>0</v>
      </c>
      <c r="Y1309">
        <f>DCF!Y30</f>
        <v>0</v>
      </c>
      <c r="Z1309">
        <f>DCF!Z30</f>
        <v>0</v>
      </c>
      <c r="AA1309">
        <f>DCF!AA30</f>
        <v>0</v>
      </c>
      <c r="AB1309">
        <f>DCF!AB30</f>
        <v>0</v>
      </c>
      <c r="AC1309">
        <f>DCF!AC30</f>
        <v>0</v>
      </c>
      <c r="AD1309">
        <f>DCF!AD30</f>
        <v>0</v>
      </c>
    </row>
    <row r="1310" spans="9:30" ht="11.25" customHeight="1">
      <c r="I1310" t="str">
        <f>DCF!I31</f>
        <v>Fair value (one year forward)</v>
      </c>
      <c r="J1310">
        <f>DCF!J31</f>
        <v>0</v>
      </c>
      <c r="K1310">
        <f>DCF!K31</f>
        <v>0</v>
      </c>
      <c r="L1310">
        <f>DCF!L31</f>
        <v>0</v>
      </c>
      <c r="M1310">
        <f>DCF!M31</f>
        <v>0</v>
      </c>
      <c r="N1310">
        <f>DCF!N31</f>
        <v>0</v>
      </c>
      <c r="O1310">
        <f>DCF!O31</f>
        <v>0</v>
      </c>
      <c r="P1310">
        <f>DCF!P31</f>
        <v>0</v>
      </c>
      <c r="Q1310">
        <f>DCF!Q31</f>
        <v>0</v>
      </c>
      <c r="R1310">
        <f>DCF!R31</f>
        <v>0</v>
      </c>
      <c r="S1310">
        <f>DCF!S31</f>
        <v>0</v>
      </c>
      <c r="T1310">
        <f>DCF!T31</f>
        <v>0</v>
      </c>
      <c r="U1310">
        <f>DCF!U31</f>
        <v>0</v>
      </c>
      <c r="V1310">
        <f>DCF!V31</f>
        <v>0</v>
      </c>
      <c r="W1310">
        <f>DCF!W31</f>
        <v>0</v>
      </c>
      <c r="X1310">
        <f>DCF!X31</f>
        <v>0</v>
      </c>
      <c r="Y1310">
        <f>DCF!Y31</f>
        <v>0</v>
      </c>
      <c r="Z1310">
        <f>DCF!Z31</f>
        <v>0</v>
      </c>
      <c r="AA1310">
        <f>DCF!AA31</f>
        <v>0</v>
      </c>
      <c r="AB1310">
        <f>DCF!AB31</f>
        <v>0</v>
      </c>
      <c r="AC1310">
        <f>DCF!AC31</f>
        <v>0</v>
      </c>
      <c r="AD1310">
        <f>DCF!AD31</f>
        <v>0</v>
      </c>
    </row>
    <row r="1311" spans="9:30" ht="11.25" customHeight="1">
      <c r="I1311" t="str">
        <f>DCF!I32</f>
        <v>PV of FCF</v>
      </c>
      <c r="J1311">
        <f>DCF!J32</f>
        <v>0</v>
      </c>
      <c r="K1311">
        <f>DCF!K32</f>
        <v>0</v>
      </c>
      <c r="L1311">
        <f>DCF!L32</f>
        <v>561.83891584955131</v>
      </c>
      <c r="M1311">
        <f>DCF!M32</f>
        <v>0</v>
      </c>
      <c r="N1311">
        <f>DCF!N32</f>
        <v>0</v>
      </c>
      <c r="O1311">
        <f>DCF!O32</f>
        <v>0</v>
      </c>
      <c r="P1311">
        <f>DCF!P32</f>
        <v>0</v>
      </c>
      <c r="Q1311">
        <f>DCF!Q32</f>
        <v>0</v>
      </c>
      <c r="R1311">
        <f>DCF!R32</f>
        <v>0</v>
      </c>
      <c r="S1311">
        <f>DCF!S32</f>
        <v>0</v>
      </c>
      <c r="T1311">
        <f>DCF!T32</f>
        <v>0</v>
      </c>
      <c r="U1311">
        <f>DCF!U32</f>
        <v>0</v>
      </c>
      <c r="V1311">
        <f>DCF!V32</f>
        <v>0</v>
      </c>
      <c r="W1311">
        <f>DCF!W32</f>
        <v>0</v>
      </c>
      <c r="X1311">
        <f>DCF!X32</f>
        <v>0</v>
      </c>
      <c r="Y1311">
        <f>DCF!Y32</f>
        <v>0</v>
      </c>
      <c r="Z1311">
        <f>DCF!Z32</f>
        <v>0</v>
      </c>
      <c r="AA1311">
        <f>DCF!AA32</f>
        <v>0</v>
      </c>
      <c r="AB1311">
        <f>DCF!AB32</f>
        <v>0</v>
      </c>
      <c r="AC1311">
        <f>DCF!AC32</f>
        <v>0</v>
      </c>
      <c r="AD1311">
        <f>DCF!AD32</f>
        <v>0</v>
      </c>
    </row>
    <row r="1312" spans="9:30" ht="11.25" customHeight="1">
      <c r="I1312" t="str">
        <f>DCF!I33</f>
        <v>NPV of terminal value</v>
      </c>
      <c r="J1312">
        <f>DCF!J33</f>
        <v>0</v>
      </c>
      <c r="K1312">
        <f>DCF!K33</f>
        <v>0</v>
      </c>
      <c r="L1312">
        <f>DCF!L33</f>
        <v>2258.6674280129264</v>
      </c>
      <c r="M1312">
        <f>DCF!M33</f>
        <v>0</v>
      </c>
      <c r="N1312">
        <f>DCF!N33</f>
        <v>0</v>
      </c>
      <c r="O1312">
        <f>DCF!O33</f>
        <v>0</v>
      </c>
      <c r="P1312">
        <f>DCF!P33</f>
        <v>0</v>
      </c>
      <c r="Q1312">
        <f>DCF!Q33</f>
        <v>0.80080210878726343</v>
      </c>
      <c r="R1312">
        <f>DCF!R33</f>
        <v>0</v>
      </c>
      <c r="S1312">
        <f>DCF!S33</f>
        <v>0</v>
      </c>
      <c r="T1312" t="str">
        <f>DCF!T33</f>
        <v>Equity Value: WACC vs. Perpetual Growth Rate</v>
      </c>
      <c r="U1312">
        <f>DCF!U33</f>
        <v>0</v>
      </c>
      <c r="V1312">
        <f>DCF!V33</f>
        <v>0</v>
      </c>
      <c r="W1312">
        <f>DCF!W33</f>
        <v>0</v>
      </c>
      <c r="X1312">
        <f>DCF!X33</f>
        <v>0</v>
      </c>
      <c r="Y1312">
        <f>DCF!Y33</f>
        <v>0</v>
      </c>
      <c r="Z1312">
        <f>DCF!Z33</f>
        <v>0</v>
      </c>
      <c r="AA1312">
        <f>DCF!AA33</f>
        <v>0</v>
      </c>
      <c r="AB1312">
        <f>DCF!AB33</f>
        <v>0</v>
      </c>
      <c r="AC1312">
        <f>DCF!AC33</f>
        <v>0</v>
      </c>
      <c r="AD1312">
        <f>DCF!AD33</f>
        <v>0</v>
      </c>
    </row>
    <row r="1313" spans="9:30" ht="11.25" customHeight="1">
      <c r="I1313" t="str">
        <f>DCF!I34</f>
        <v>Enterprise value</v>
      </c>
      <c r="J1313">
        <f>DCF!J34</f>
        <v>0</v>
      </c>
      <c r="K1313">
        <f>DCF!K34</f>
        <v>0</v>
      </c>
      <c r="L1313">
        <f>DCF!L34</f>
        <v>2820.5063438624775</v>
      </c>
      <c r="M1313">
        <f>DCF!M34</f>
        <v>0</v>
      </c>
      <c r="N1313">
        <f>DCF!N34</f>
        <v>0</v>
      </c>
      <c r="O1313">
        <f>DCF!O34</f>
        <v>0</v>
      </c>
      <c r="P1313">
        <f>DCF!P34</f>
        <v>0</v>
      </c>
      <c r="Q1313">
        <f>DCF!Q34</f>
        <v>0</v>
      </c>
      <c r="R1313">
        <f>DCF!R34</f>
        <v>0</v>
      </c>
      <c r="S1313">
        <f>DCF!S34</f>
        <v>0</v>
      </c>
      <c r="T1313">
        <f>DCF!T34</f>
        <v>2820.5063438624775</v>
      </c>
      <c r="U1313">
        <f>DCF!U34</f>
        <v>6.964999999999999E-2</v>
      </c>
      <c r="V1313">
        <f>DCF!V34</f>
        <v>7.4649999999999994E-2</v>
      </c>
      <c r="W1313">
        <f>DCF!W34</f>
        <v>7.9649999999999999E-2</v>
      </c>
      <c r="X1313">
        <f>DCF!X34</f>
        <v>8.4650000000000003E-2</v>
      </c>
      <c r="Y1313">
        <f>DCF!Y34</f>
        <v>8.9650000000000007E-2</v>
      </c>
      <c r="Z1313">
        <f>DCF!Z34</f>
        <v>9.4650000000000012E-2</v>
      </c>
      <c r="AA1313">
        <f>DCF!AA34</f>
        <v>9.9650000000000016E-2</v>
      </c>
      <c r="AB1313">
        <f>DCF!AB34</f>
        <v>0</v>
      </c>
      <c r="AC1313">
        <f>DCF!AC34</f>
        <v>0</v>
      </c>
      <c r="AD1313">
        <f>DCF!AD34</f>
        <v>0</v>
      </c>
    </row>
    <row r="1314" spans="9:30" ht="11.25" customHeight="1">
      <c r="I1314" t="str">
        <f>DCF!I35</f>
        <v>(-) Debt</v>
      </c>
      <c r="J1314">
        <f>DCF!J35</f>
        <v>0</v>
      </c>
      <c r="K1314">
        <f>DCF!K35</f>
        <v>0</v>
      </c>
      <c r="L1314">
        <f>DCF!L35</f>
        <v>30.736999999999998</v>
      </c>
      <c r="M1314">
        <f>DCF!M35</f>
        <v>0</v>
      </c>
      <c r="N1314">
        <f>DCF!N35</f>
        <v>0</v>
      </c>
      <c r="O1314">
        <f>DCF!O35</f>
        <v>0</v>
      </c>
      <c r="P1314">
        <f>DCF!P35</f>
        <v>0</v>
      </c>
      <c r="Q1314">
        <f>DCF!Q35</f>
        <v>0</v>
      </c>
      <c r="R1314">
        <f>DCF!R35</f>
        <v>0</v>
      </c>
      <c r="S1314">
        <f>DCF!S35</f>
        <v>0</v>
      </c>
      <c r="T1314">
        <f>DCF!T35</f>
        <v>0.02</v>
      </c>
      <c r="U1314">
        <f>DCF!U35</f>
        <v>4160.5336719973438</v>
      </c>
      <c r="V1314">
        <f>DCF!V35</f>
        <v>3841.9015186751913</v>
      </c>
      <c r="W1314">
        <f>DCF!W35</f>
        <v>3579.265519459248</v>
      </c>
      <c r="X1314">
        <f>DCF!X35</f>
        <v>3359.5361542316605</v>
      </c>
      <c r="Y1314">
        <f>DCF!Y35</f>
        <v>3173.3866495911871</v>
      </c>
      <c r="Z1314">
        <f>DCF!Z35</f>
        <v>3013.9926601982734</v>
      </c>
      <c r="AA1314">
        <f>DCF!AA35</f>
        <v>2876.246655952978</v>
      </c>
      <c r="AB1314">
        <f>DCF!AB35</f>
        <v>0</v>
      </c>
      <c r="AC1314">
        <f>DCF!AC35</f>
        <v>0</v>
      </c>
      <c r="AD1314">
        <f>DCF!AD35</f>
        <v>0</v>
      </c>
    </row>
    <row r="1315" spans="9:30" ht="11.25" customHeight="1">
      <c r="I1315" t="str">
        <f>DCF!I36</f>
        <v>(+) Cash</v>
      </c>
      <c r="J1315">
        <f>DCF!J36</f>
        <v>0</v>
      </c>
      <c r="K1315">
        <f>DCF!K36</f>
        <v>0</v>
      </c>
      <c r="L1315">
        <f>DCF!L36</f>
        <v>988.91721202096483</v>
      </c>
      <c r="M1315">
        <f>DCF!M36</f>
        <v>0</v>
      </c>
      <c r="N1315">
        <f>DCF!N36</f>
        <v>0</v>
      </c>
      <c r="O1315">
        <f>DCF!O36</f>
        <v>0</v>
      </c>
      <c r="P1315">
        <f>DCF!P36</f>
        <v>0</v>
      </c>
      <c r="Q1315">
        <f>DCF!Q36</f>
        <v>0</v>
      </c>
      <c r="R1315">
        <f>DCF!R36</f>
        <v>0</v>
      </c>
      <c r="S1315">
        <f>DCF!S36</f>
        <v>0</v>
      </c>
      <c r="T1315">
        <f>DCF!T36</f>
        <v>2.5000000000000001E-2</v>
      </c>
      <c r="U1315">
        <f>DCF!U36</f>
        <v>4470.6171515798551</v>
      </c>
      <c r="V1315">
        <f>DCF!V36</f>
        <v>4088.25451033033</v>
      </c>
      <c r="W1315">
        <f>DCF!W36</f>
        <v>3778.6865558834425</v>
      </c>
      <c r="X1315">
        <f>DCF!X36</f>
        <v>3523.5017823764438</v>
      </c>
      <c r="Y1315">
        <f>DCF!Y36</f>
        <v>3309.9888605948508</v>
      </c>
      <c r="Z1315">
        <f>DCF!Z36</f>
        <v>3129.0904268440072</v>
      </c>
      <c r="AA1315">
        <f>DCF!AA36</f>
        <v>2974.1792040043993</v>
      </c>
      <c r="AB1315">
        <f>DCF!AB36</f>
        <v>0</v>
      </c>
      <c r="AC1315">
        <f>DCF!AC36</f>
        <v>0</v>
      </c>
      <c r="AD1315">
        <f>DCF!AD36</f>
        <v>0</v>
      </c>
    </row>
    <row r="1316" spans="9:30" ht="11.25" customHeight="1">
      <c r="I1316" t="str">
        <f>DCF!I37</f>
        <v>Equity value</v>
      </c>
      <c r="J1316">
        <f>DCF!J37</f>
        <v>0</v>
      </c>
      <c r="K1316">
        <f>DCF!K37</f>
        <v>0</v>
      </c>
      <c r="L1316">
        <f>DCF!L37</f>
        <v>3778.6865558834425</v>
      </c>
      <c r="M1316">
        <f>DCF!M37</f>
        <v>0</v>
      </c>
      <c r="N1316">
        <f>DCF!N37</f>
        <v>0</v>
      </c>
      <c r="O1316">
        <f>DCF!O37</f>
        <v>0</v>
      </c>
      <c r="P1316">
        <f>DCF!P37</f>
        <v>0</v>
      </c>
      <c r="Q1316">
        <f>DCF!Q37</f>
        <v>0</v>
      </c>
      <c r="R1316">
        <f>DCF!R37</f>
        <v>0</v>
      </c>
      <c r="S1316">
        <f>DCF!S37</f>
        <v>0</v>
      </c>
      <c r="T1316">
        <f>DCF!T37</f>
        <v>3.0000000000000002E-2</v>
      </c>
      <c r="U1316">
        <f>DCF!U37</f>
        <v>4858.905796252533</v>
      </c>
      <c r="V1316">
        <f>DCF!V37</f>
        <v>4389.7817442374599</v>
      </c>
      <c r="W1316">
        <f>DCF!W37</f>
        <v>4018.2729571463469</v>
      </c>
      <c r="X1316">
        <f>DCF!X37</f>
        <v>3717.4702702000532</v>
      </c>
      <c r="Y1316">
        <f>DCF!Y37</f>
        <v>3469.491693728216</v>
      </c>
      <c r="Z1316">
        <f>DCF!Z37</f>
        <v>3261.9914056545886</v>
      </c>
      <c r="AA1316">
        <f>DCF!AA37</f>
        <v>3086.172419399888</v>
      </c>
      <c r="AB1316">
        <f>DCF!AB37</f>
        <v>0</v>
      </c>
      <c r="AC1316">
        <f>DCF!AC37</f>
        <v>0</v>
      </c>
      <c r="AD1316">
        <f>DCF!AD37</f>
        <v>0</v>
      </c>
    </row>
    <row r="1317" spans="9:30" ht="11.25" customHeight="1">
      <c r="I1317" t="str">
        <f>DCF!I38</f>
        <v>Fully Diluted Shares</v>
      </c>
      <c r="J1317">
        <f>DCF!J38</f>
        <v>0</v>
      </c>
      <c r="K1317">
        <f>DCF!K38</f>
        <v>0</v>
      </c>
      <c r="L1317">
        <f>DCF!L38</f>
        <v>93.86399999999999</v>
      </c>
      <c r="M1317">
        <f>DCF!M38</f>
        <v>0</v>
      </c>
      <c r="N1317">
        <f>DCF!N38</f>
        <v>0</v>
      </c>
      <c r="O1317">
        <f>DCF!O38</f>
        <v>0</v>
      </c>
      <c r="P1317">
        <f>DCF!P38</f>
        <v>0</v>
      </c>
      <c r="Q1317">
        <f>DCF!Q38</f>
        <v>0</v>
      </c>
      <c r="R1317">
        <f>DCF!R38</f>
        <v>0</v>
      </c>
      <c r="S1317">
        <f>DCF!S38</f>
        <v>0</v>
      </c>
      <c r="T1317">
        <f>DCF!T38</f>
        <v>0</v>
      </c>
      <c r="U1317">
        <f>DCF!U38</f>
        <v>0</v>
      </c>
      <c r="V1317">
        <f>DCF!V38</f>
        <v>0</v>
      </c>
      <c r="W1317">
        <f>DCF!W38</f>
        <v>0</v>
      </c>
      <c r="X1317">
        <f>DCF!X38</f>
        <v>0</v>
      </c>
      <c r="Y1317">
        <f>DCF!Y38</f>
        <v>0</v>
      </c>
      <c r="Z1317">
        <f>DCF!Z38</f>
        <v>0</v>
      </c>
      <c r="AA1317">
        <f>DCF!AA38</f>
        <v>0</v>
      </c>
      <c r="AB1317">
        <f>DCF!AB38</f>
        <v>0</v>
      </c>
      <c r="AC1317">
        <f>DCF!AC38</f>
        <v>0</v>
      </c>
      <c r="AD1317">
        <f>DCF!AD38</f>
        <v>0</v>
      </c>
    </row>
    <row r="1318" spans="9:30" ht="11.25" customHeight="1">
      <c r="I1318" t="str">
        <f>DCF!I39</f>
        <v>Equity value per share</v>
      </c>
      <c r="J1318">
        <f>DCF!J39</f>
        <v>0</v>
      </c>
      <c r="K1318">
        <f>DCF!K39</f>
        <v>0</v>
      </c>
      <c r="L1318">
        <f>DCF!L39</f>
        <v>40</v>
      </c>
      <c r="M1318">
        <f>DCF!M39</f>
        <v>0</v>
      </c>
      <c r="N1318">
        <f>DCF!N39</f>
        <v>0</v>
      </c>
      <c r="O1318">
        <f>DCF!O39</f>
        <v>0</v>
      </c>
      <c r="P1318">
        <f>DCF!P39</f>
        <v>0</v>
      </c>
      <c r="Q1318">
        <f>DCF!Q39</f>
        <v>0</v>
      </c>
      <c r="R1318">
        <f>DCF!R39</f>
        <v>0</v>
      </c>
      <c r="S1318">
        <f>DCF!S39</f>
        <v>0</v>
      </c>
      <c r="T1318" t="str">
        <f>DCF!T39</f>
        <v>Equity Value per Share: WACC vs. Perpetual Growth Rate</v>
      </c>
      <c r="U1318">
        <f>DCF!U39</f>
        <v>0</v>
      </c>
      <c r="V1318">
        <f>DCF!V39</f>
        <v>0</v>
      </c>
      <c r="W1318">
        <f>DCF!W39</f>
        <v>0</v>
      </c>
      <c r="X1318">
        <f>DCF!X39</f>
        <v>0</v>
      </c>
      <c r="Y1318">
        <f>DCF!Y39</f>
        <v>0</v>
      </c>
      <c r="Z1318">
        <f>DCF!Z39</f>
        <v>0</v>
      </c>
      <c r="AA1318">
        <f>DCF!AA39</f>
        <v>0</v>
      </c>
      <c r="AB1318">
        <f>DCF!AB39</f>
        <v>0</v>
      </c>
      <c r="AC1318">
        <f>DCF!AC39</f>
        <v>0</v>
      </c>
      <c r="AD1318">
        <f>DCF!AD39</f>
        <v>0</v>
      </c>
    </row>
    <row r="1319" spans="9:30" ht="11.25" customHeight="1">
      <c r="I1319" t="str">
        <f>DCF!I40</f>
        <v>Implied terminal EBITDA multiple</v>
      </c>
      <c r="J1319">
        <f>DCF!J40</f>
        <v>0</v>
      </c>
      <c r="K1319">
        <f>DCF!K40</f>
        <v>0</v>
      </c>
      <c r="L1319">
        <f>DCF!L40</f>
        <v>6.4</v>
      </c>
      <c r="M1319">
        <f>DCF!M40</f>
        <v>0</v>
      </c>
      <c r="N1319">
        <f>DCF!N40</f>
        <v>0</v>
      </c>
      <c r="O1319">
        <f>DCF!O40</f>
        <v>0</v>
      </c>
      <c r="P1319">
        <f>DCF!P40</f>
        <v>0</v>
      </c>
      <c r="Q1319">
        <f>DCF!Q40</f>
        <v>0</v>
      </c>
      <c r="R1319">
        <f>DCF!R40</f>
        <v>0</v>
      </c>
      <c r="S1319">
        <f>DCF!S40</f>
        <v>0</v>
      </c>
      <c r="T1319">
        <f>DCF!T40</f>
        <v>40</v>
      </c>
      <c r="U1319">
        <f>DCF!U40</f>
        <v>7.7937499999999979E-2</v>
      </c>
      <c r="V1319">
        <f>DCF!V40</f>
        <v>8.2937499999999983E-2</v>
      </c>
      <c r="W1319">
        <f>DCF!W40</f>
        <v>8.7937499999999988E-2</v>
      </c>
      <c r="X1319">
        <f>DCF!X40</f>
        <v>9.2937499999999992E-2</v>
      </c>
      <c r="Y1319">
        <f>DCF!Y40</f>
        <v>9.7937499999999997E-2</v>
      </c>
      <c r="Z1319">
        <f>DCF!Z40</f>
        <v>0.1029375</v>
      </c>
      <c r="AA1319">
        <f>DCF!AA40</f>
        <v>0.10793750000000001</v>
      </c>
      <c r="AB1319">
        <f>DCF!AB40</f>
        <v>0</v>
      </c>
      <c r="AC1319">
        <f>DCF!AC40</f>
        <v>0</v>
      </c>
      <c r="AD1319">
        <f>DCF!AD40</f>
        <v>0</v>
      </c>
    </row>
    <row r="1320" spans="9:30" ht="11.25" customHeight="1">
      <c r="I1320">
        <f>DCF!I41</f>
        <v>0</v>
      </c>
      <c r="J1320">
        <f>DCF!J41</f>
        <v>0</v>
      </c>
      <c r="K1320">
        <f>DCF!K41</f>
        <v>0</v>
      </c>
      <c r="L1320">
        <f>DCF!L41</f>
        <v>0</v>
      </c>
      <c r="M1320">
        <f>DCF!M41</f>
        <v>0</v>
      </c>
      <c r="N1320">
        <f>DCF!N41</f>
        <v>0</v>
      </c>
      <c r="O1320">
        <f>DCF!O41</f>
        <v>0</v>
      </c>
      <c r="P1320">
        <f>DCF!P41</f>
        <v>0</v>
      </c>
      <c r="Q1320">
        <f>DCF!Q41</f>
        <v>0</v>
      </c>
      <c r="R1320">
        <f>DCF!R41</f>
        <v>0</v>
      </c>
      <c r="S1320">
        <f>DCF!S41</f>
        <v>0</v>
      </c>
      <c r="T1320">
        <f>DCF!T41</f>
        <v>0.02</v>
      </c>
      <c r="U1320">
        <f>DCF!U41</f>
        <v>44.325126480837639</v>
      </c>
      <c r="V1320">
        <f>DCF!V41</f>
        <v>40.930511364050027</v>
      </c>
      <c r="W1320">
        <f>DCF!W41</f>
        <v>38.132463132396325</v>
      </c>
      <c r="X1320">
        <f>DCF!X41</f>
        <v>35.791529811553531</v>
      </c>
      <c r="Y1320">
        <f>DCF!Y41</f>
        <v>33.808346646117656</v>
      </c>
      <c r="Z1320">
        <f>DCF!Z41</f>
        <v>32.110209027936946</v>
      </c>
      <c r="AA1320">
        <f>DCF!AA41</f>
        <v>30.642702803555977</v>
      </c>
      <c r="AB1320">
        <f>DCF!AB41</f>
        <v>0</v>
      </c>
      <c r="AC1320">
        <f>DCF!AC41</f>
        <v>0</v>
      </c>
      <c r="AD1320">
        <f>DCF!AD41</f>
        <v>0</v>
      </c>
    </row>
    <row r="1321" spans="9:30" ht="11.25" customHeight="1">
      <c r="I1321" t="str">
        <f>DCF!I42</f>
        <v>Base Case DCF Valuation Assumptions</v>
      </c>
      <c r="J1321">
        <f>DCF!J42</f>
        <v>0</v>
      </c>
      <c r="K1321">
        <f>DCF!K42</f>
        <v>0</v>
      </c>
      <c r="L1321">
        <f>DCF!L42</f>
        <v>0</v>
      </c>
      <c r="M1321">
        <f>DCF!M42</f>
        <v>0</v>
      </c>
      <c r="N1321">
        <f>DCF!N42</f>
        <v>0</v>
      </c>
      <c r="O1321">
        <f>DCF!O42</f>
        <v>0</v>
      </c>
      <c r="P1321">
        <f>DCF!P42</f>
        <v>0</v>
      </c>
      <c r="Q1321">
        <f>DCF!Q42</f>
        <v>0</v>
      </c>
      <c r="R1321">
        <f>DCF!R42</f>
        <v>0</v>
      </c>
      <c r="S1321">
        <f>DCF!S42</f>
        <v>0</v>
      </c>
      <c r="T1321">
        <f>DCF!T42</f>
        <v>2.5000000000000001E-2</v>
      </c>
      <c r="U1321">
        <f>DCF!U42</f>
        <v>47.628666491731181</v>
      </c>
      <c r="V1321">
        <f>DCF!V42</f>
        <v>43.555085126676154</v>
      </c>
      <c r="W1321">
        <f>DCF!W42</f>
        <v>40.257037371979067</v>
      </c>
      <c r="X1321">
        <f>DCF!X42</f>
        <v>37.538372351236298</v>
      </c>
      <c r="Y1321">
        <f>DCF!Y42</f>
        <v>35.26366722699705</v>
      </c>
      <c r="Z1321">
        <f>DCF!Z42</f>
        <v>33.336427457214775</v>
      </c>
      <c r="AA1321">
        <f>DCF!AA42</f>
        <v>31.686047941749759</v>
      </c>
      <c r="AB1321">
        <f>DCF!AB42</f>
        <v>0</v>
      </c>
      <c r="AC1321">
        <f>DCF!AC42</f>
        <v>0</v>
      </c>
      <c r="AD1321">
        <f>DCF!AD42</f>
        <v>0</v>
      </c>
    </row>
    <row r="1322" spans="9:30" ht="11.25" customHeight="1">
      <c r="I1322">
        <f>DCF!I43</f>
        <v>0</v>
      </c>
      <c r="J1322">
        <f>DCF!J43</f>
        <v>0</v>
      </c>
      <c r="K1322">
        <f>DCF!K43</f>
        <v>0</v>
      </c>
      <c r="L1322">
        <f>DCF!L43</f>
        <v>0</v>
      </c>
      <c r="M1322">
        <f>DCF!M43</f>
        <v>0</v>
      </c>
      <c r="N1322">
        <f>DCF!N43</f>
        <v>0</v>
      </c>
      <c r="O1322">
        <f>DCF!O43</f>
        <v>0</v>
      </c>
      <c r="P1322">
        <f>DCF!P43</f>
        <v>0</v>
      </c>
      <c r="Q1322">
        <f>DCF!Q43</f>
        <v>0</v>
      </c>
      <c r="R1322">
        <f>DCF!R43</f>
        <v>0</v>
      </c>
      <c r="S1322">
        <f>DCF!S43</f>
        <v>0</v>
      </c>
      <c r="T1322">
        <f>DCF!T43</f>
        <v>0.03</v>
      </c>
      <c r="U1322">
        <f>DCF!U43</f>
        <v>51.765381789104808</v>
      </c>
      <c r="V1322">
        <f>DCF!V43</f>
        <v>46.767469362454833</v>
      </c>
      <c r="W1322">
        <f>DCF!W43</f>
        <v>42.809521831014521</v>
      </c>
      <c r="X1322">
        <f>DCF!X43</f>
        <v>39.60485670970823</v>
      </c>
      <c r="Y1322">
        <f>DCF!Y43</f>
        <v>36.962964435014662</v>
      </c>
      <c r="Z1322">
        <f>DCF!Z43</f>
        <v>34.752316177177498</v>
      </c>
      <c r="AA1322">
        <f>DCF!AA43</f>
        <v>32.879191376884521</v>
      </c>
      <c r="AB1322">
        <f>DCF!AB43</f>
        <v>0</v>
      </c>
      <c r="AC1322">
        <f>DCF!AC43</f>
        <v>0</v>
      </c>
      <c r="AD1322">
        <f>DCF!AD43</f>
        <v>0</v>
      </c>
    </row>
    <row r="1323" spans="9:30" ht="11.25" customHeight="1">
      <c r="I1323" t="str">
        <f>DCF!I44</f>
        <v>Cost of Equity</v>
      </c>
      <c r="J1323">
        <f>DCF!J44</f>
        <v>0</v>
      </c>
      <c r="K1323">
        <f>DCF!K44</f>
        <v>0</v>
      </c>
      <c r="L1323">
        <f>DCF!L44</f>
        <v>7.9649999999999999E-2</v>
      </c>
      <c r="M1323">
        <f>DCF!M44</f>
        <v>0</v>
      </c>
      <c r="N1323">
        <f>DCF!N44</f>
        <v>0</v>
      </c>
      <c r="O1323">
        <f>DCF!O44</f>
        <v>0</v>
      </c>
      <c r="P1323">
        <f>DCF!P44</f>
        <v>0</v>
      </c>
      <c r="Q1323">
        <f>DCF!Q44</f>
        <v>0</v>
      </c>
      <c r="R1323">
        <f>DCF!R44</f>
        <v>0</v>
      </c>
      <c r="S1323">
        <f>DCF!S44</f>
        <v>0</v>
      </c>
      <c r="T1323">
        <f>DCF!T44</f>
        <v>0</v>
      </c>
      <c r="U1323">
        <f>DCF!U44</f>
        <v>0</v>
      </c>
      <c r="V1323">
        <f>DCF!V44</f>
        <v>0</v>
      </c>
      <c r="W1323">
        <f>DCF!W44</f>
        <v>0</v>
      </c>
      <c r="X1323">
        <f>DCF!X44</f>
        <v>0</v>
      </c>
      <c r="Y1323">
        <f>DCF!Y44</f>
        <v>0</v>
      </c>
      <c r="Z1323">
        <f>DCF!Z44</f>
        <v>0</v>
      </c>
      <c r="AA1323">
        <f>DCF!AA44</f>
        <v>0</v>
      </c>
      <c r="AB1323">
        <f>DCF!AB44</f>
        <v>0</v>
      </c>
      <c r="AC1323">
        <f>DCF!AC44</f>
        <v>0</v>
      </c>
      <c r="AD1323">
        <f>DCF!AD44</f>
        <v>0</v>
      </c>
    </row>
    <row r="1324" spans="9:30" ht="11.25" customHeight="1">
      <c r="I1324" t="str">
        <f>DCF!I45</f>
        <v>Cost of Debt</v>
      </c>
      <c r="J1324">
        <f>DCF!J45</f>
        <v>0</v>
      </c>
      <c r="K1324">
        <f>DCF!K45</f>
        <v>0</v>
      </c>
      <c r="L1324">
        <f>DCF!L45</f>
        <v>0</v>
      </c>
      <c r="M1324">
        <f>DCF!M45</f>
        <v>0</v>
      </c>
      <c r="N1324">
        <f>DCF!N45</f>
        <v>0</v>
      </c>
      <c r="O1324">
        <f>DCF!O45</f>
        <v>0</v>
      </c>
      <c r="P1324">
        <f>DCF!P45</f>
        <v>0</v>
      </c>
      <c r="Q1324">
        <f>DCF!Q45</f>
        <v>0</v>
      </c>
      <c r="R1324">
        <f>DCF!R45</f>
        <v>0</v>
      </c>
      <c r="S1324">
        <f>DCF!S45</f>
        <v>0</v>
      </c>
      <c r="T1324">
        <f>DCF!T45</f>
        <v>0</v>
      </c>
      <c r="U1324">
        <f>DCF!U45</f>
        <v>0</v>
      </c>
      <c r="V1324">
        <f>DCF!V45</f>
        <v>0</v>
      </c>
      <c r="W1324">
        <f>DCF!W45</f>
        <v>0</v>
      </c>
      <c r="X1324">
        <f>DCF!X45</f>
        <v>0</v>
      </c>
      <c r="Y1324">
        <f>DCF!Y45</f>
        <v>0</v>
      </c>
      <c r="Z1324">
        <f>DCF!Z45</f>
        <v>0</v>
      </c>
      <c r="AA1324">
        <f>DCF!AA45</f>
        <v>0</v>
      </c>
      <c r="AB1324">
        <f>DCF!AB45</f>
        <v>0</v>
      </c>
      <c r="AC1324">
        <f>DCF!AC45</f>
        <v>0</v>
      </c>
      <c r="AD1324">
        <f>DCF!AD45</f>
        <v>0</v>
      </c>
    </row>
    <row r="1325" spans="9:30" ht="11.25" customHeight="1">
      <c r="I1325" t="str">
        <f>DCF!I46</f>
        <v>Marginal Tax-Rate</v>
      </c>
      <c r="J1325">
        <f>DCF!J46</f>
        <v>0</v>
      </c>
      <c r="K1325">
        <f>DCF!K46</f>
        <v>0</v>
      </c>
      <c r="L1325">
        <f>DCF!L46</f>
        <v>0.35</v>
      </c>
      <c r="M1325">
        <f>DCF!M46</f>
        <v>0</v>
      </c>
      <c r="N1325">
        <f>DCF!N46</f>
        <v>0</v>
      </c>
      <c r="O1325">
        <f>DCF!O46</f>
        <v>0</v>
      </c>
      <c r="P1325">
        <f>DCF!P46</f>
        <v>0</v>
      </c>
      <c r="Q1325">
        <f>DCF!Q46</f>
        <v>0</v>
      </c>
      <c r="R1325">
        <f>DCF!R46</f>
        <v>0</v>
      </c>
      <c r="S1325">
        <f>DCF!S46</f>
        <v>0</v>
      </c>
      <c r="T1325">
        <f>DCF!T46</f>
        <v>0</v>
      </c>
      <c r="U1325">
        <f>DCF!U46</f>
        <v>0</v>
      </c>
      <c r="V1325">
        <f>DCF!V46</f>
        <v>0</v>
      </c>
      <c r="W1325">
        <f>DCF!W46</f>
        <v>0</v>
      </c>
      <c r="X1325">
        <f>DCF!X46</f>
        <v>0</v>
      </c>
      <c r="Y1325">
        <f>DCF!Y46</f>
        <v>0</v>
      </c>
      <c r="Z1325">
        <f>DCF!Z46</f>
        <v>0</v>
      </c>
      <c r="AA1325">
        <f>DCF!AA46</f>
        <v>0</v>
      </c>
      <c r="AB1325">
        <f>DCF!AB46</f>
        <v>0</v>
      </c>
      <c r="AC1325">
        <f>DCF!AC46</f>
        <v>0</v>
      </c>
      <c r="AD1325">
        <f>DCF!AD46</f>
        <v>0</v>
      </c>
    </row>
    <row r="1326" spans="9:30" ht="11.25" customHeight="1">
      <c r="I1326" t="str">
        <f>DCF!I47</f>
        <v>Long-Term Debt / Total Cap.</v>
      </c>
      <c r="J1326">
        <f>DCF!J47</f>
        <v>0</v>
      </c>
      <c r="K1326">
        <f>DCF!K47</f>
        <v>0</v>
      </c>
      <c r="L1326">
        <f>DCF!L47</f>
        <v>0</v>
      </c>
      <c r="M1326">
        <f>DCF!M47</f>
        <v>0</v>
      </c>
      <c r="N1326">
        <f>DCF!N47</f>
        <v>0</v>
      </c>
      <c r="O1326">
        <f>DCF!O47</f>
        <v>0</v>
      </c>
      <c r="P1326">
        <f>DCF!P47</f>
        <v>0</v>
      </c>
      <c r="Q1326">
        <f>DCF!Q47</f>
        <v>0</v>
      </c>
      <c r="R1326">
        <f>DCF!R47</f>
        <v>0</v>
      </c>
      <c r="S1326">
        <f>DCF!S47</f>
        <v>0</v>
      </c>
      <c r="T1326">
        <f>DCF!T47</f>
        <v>0</v>
      </c>
      <c r="U1326">
        <f>DCF!U47</f>
        <v>0</v>
      </c>
      <c r="V1326">
        <f>DCF!V47</f>
        <v>0</v>
      </c>
      <c r="W1326">
        <f>DCF!W47</f>
        <v>0</v>
      </c>
      <c r="X1326">
        <f>DCF!X47</f>
        <v>0</v>
      </c>
      <c r="Y1326">
        <f>DCF!Y47</f>
        <v>0</v>
      </c>
      <c r="Z1326">
        <f>DCF!Z47</f>
        <v>0</v>
      </c>
      <c r="AA1326">
        <f>DCF!AA47</f>
        <v>0</v>
      </c>
      <c r="AB1326">
        <f>DCF!AB47</f>
        <v>0</v>
      </c>
      <c r="AC1326">
        <f>DCF!AC47</f>
        <v>0</v>
      </c>
      <c r="AD1326">
        <f>DCF!AD47</f>
        <v>0</v>
      </c>
    </row>
    <row r="1327" spans="9:30" ht="11.25" customHeight="1">
      <c r="I1327" t="str">
        <f>DCF!I48</f>
        <v>WACC</v>
      </c>
      <c r="J1327">
        <f>DCF!J48</f>
        <v>0</v>
      </c>
      <c r="K1327">
        <f>DCF!K48</f>
        <v>0</v>
      </c>
      <c r="L1327">
        <f>DCF!L48</f>
        <v>7.9649999999999999E-2</v>
      </c>
      <c r="M1327">
        <f>DCF!M48</f>
        <v>0</v>
      </c>
      <c r="N1327">
        <f>DCF!N48</f>
        <v>0</v>
      </c>
      <c r="O1327">
        <f>DCF!O48</f>
        <v>0</v>
      </c>
      <c r="P1327">
        <f>DCF!P48</f>
        <v>0</v>
      </c>
      <c r="Q1327">
        <f>DCF!Q48</f>
        <v>0</v>
      </c>
      <c r="R1327">
        <f>DCF!R48</f>
        <v>0</v>
      </c>
      <c r="S1327">
        <f>DCF!S48</f>
        <v>0</v>
      </c>
      <c r="T1327">
        <f>DCF!T48</f>
        <v>0</v>
      </c>
      <c r="U1327">
        <f>DCF!U48</f>
        <v>0</v>
      </c>
      <c r="V1327">
        <f>DCF!V48</f>
        <v>0</v>
      </c>
      <c r="W1327">
        <f>DCF!W48</f>
        <v>0</v>
      </c>
      <c r="X1327">
        <f>DCF!X48</f>
        <v>0</v>
      </c>
      <c r="Y1327">
        <f>DCF!Y48</f>
        <v>0</v>
      </c>
      <c r="Z1327">
        <f>DCF!Z48</f>
        <v>0</v>
      </c>
      <c r="AA1327">
        <f>DCF!AA48</f>
        <v>0</v>
      </c>
      <c r="AB1327">
        <f>DCF!AB48</f>
        <v>0</v>
      </c>
      <c r="AC1327">
        <f>DCF!AC48</f>
        <v>0</v>
      </c>
      <c r="AD1327">
        <f>DCF!AD48</f>
        <v>0</v>
      </c>
    </row>
    <row r="1328" spans="9:30" ht="11.25" customHeight="1">
      <c r="I1328" t="str">
        <f>DCF!I49</f>
        <v>Perpetual Growth Rate</v>
      </c>
      <c r="J1328">
        <f>DCF!J49</f>
        <v>0</v>
      </c>
      <c r="K1328">
        <f>DCF!K49</f>
        <v>0</v>
      </c>
      <c r="L1328">
        <f>DCF!L49</f>
        <v>2.5000000000000001E-2</v>
      </c>
      <c r="M1328">
        <f>DCF!M49</f>
        <v>0</v>
      </c>
      <c r="N1328">
        <f>DCF!N49</f>
        <v>0</v>
      </c>
      <c r="O1328">
        <f>DCF!O49</f>
        <v>0</v>
      </c>
      <c r="P1328">
        <f>DCF!P49</f>
        <v>0</v>
      </c>
      <c r="Q1328">
        <f>DCF!Q49</f>
        <v>0</v>
      </c>
      <c r="R1328">
        <f>DCF!R49</f>
        <v>0</v>
      </c>
      <c r="S1328">
        <f>DCF!S49</f>
        <v>0</v>
      </c>
      <c r="T1328">
        <f>DCF!T49</f>
        <v>0</v>
      </c>
      <c r="U1328">
        <f>DCF!U49</f>
        <v>0</v>
      </c>
      <c r="V1328">
        <f>DCF!V49</f>
        <v>0</v>
      </c>
      <c r="W1328">
        <f>DCF!W49</f>
        <v>0</v>
      </c>
      <c r="X1328">
        <f>DCF!X49</f>
        <v>0</v>
      </c>
      <c r="Y1328">
        <f>DCF!Y49</f>
        <v>0</v>
      </c>
      <c r="Z1328">
        <f>DCF!Z49</f>
        <v>0</v>
      </c>
      <c r="AA1328">
        <f>DCF!AA49</f>
        <v>0</v>
      </c>
      <c r="AB1328">
        <f>DCF!AB49</f>
        <v>0</v>
      </c>
      <c r="AC1328">
        <f>DCF!AC49</f>
        <v>0</v>
      </c>
      <c r="AD1328">
        <f>DCF!AD49</f>
        <v>0</v>
      </c>
    </row>
    <row r="1329" spans="9:30" ht="11.25" customHeight="1">
      <c r="I1329">
        <f>DCF!I50</f>
        <v>0</v>
      </c>
      <c r="J1329">
        <f>DCF!J50</f>
        <v>0</v>
      </c>
      <c r="K1329">
        <f>DCF!K50</f>
        <v>0</v>
      </c>
      <c r="L1329">
        <f>DCF!L50</f>
        <v>0</v>
      </c>
      <c r="M1329">
        <f>DCF!M50</f>
        <v>0</v>
      </c>
      <c r="N1329">
        <f>DCF!N50</f>
        <v>0</v>
      </c>
      <c r="O1329">
        <f>DCF!O50</f>
        <v>0</v>
      </c>
      <c r="P1329">
        <f>DCF!P50</f>
        <v>0</v>
      </c>
      <c r="Q1329">
        <f>DCF!Q50</f>
        <v>0</v>
      </c>
      <c r="R1329">
        <f>DCF!R50</f>
        <v>0</v>
      </c>
      <c r="S1329">
        <f>DCF!S50</f>
        <v>0</v>
      </c>
      <c r="T1329">
        <f>DCF!T50</f>
        <v>0</v>
      </c>
      <c r="U1329">
        <f>DCF!U50</f>
        <v>0</v>
      </c>
      <c r="V1329">
        <f>DCF!V50</f>
        <v>0</v>
      </c>
      <c r="W1329">
        <f>DCF!W50</f>
        <v>0</v>
      </c>
      <c r="X1329">
        <f>DCF!X50</f>
        <v>0</v>
      </c>
      <c r="Y1329">
        <f>DCF!Y50</f>
        <v>0</v>
      </c>
      <c r="Z1329">
        <f>DCF!Z50</f>
        <v>0</v>
      </c>
      <c r="AA1329">
        <f>DCF!AA50</f>
        <v>0</v>
      </c>
      <c r="AB1329">
        <f>DCF!AB50</f>
        <v>0</v>
      </c>
      <c r="AC1329">
        <f>DCF!AC50</f>
        <v>0</v>
      </c>
      <c r="AD1329">
        <f>DCF!AD50</f>
        <v>0</v>
      </c>
    </row>
    <row r="1330" spans="9:30" ht="11.25" customHeight="1">
      <c r="I1330" t="str">
        <f>DCF!I51</f>
        <v>CAPM</v>
      </c>
      <c r="J1330">
        <f>DCF!J51</f>
        <v>0</v>
      </c>
      <c r="K1330">
        <f>DCF!K51</f>
        <v>0</v>
      </c>
      <c r="L1330">
        <f>DCF!L51</f>
        <v>0</v>
      </c>
      <c r="M1330">
        <f>DCF!M51</f>
        <v>0</v>
      </c>
      <c r="N1330">
        <f>DCF!N51</f>
        <v>0</v>
      </c>
      <c r="O1330">
        <f>DCF!O51</f>
        <v>0</v>
      </c>
      <c r="P1330">
        <f>DCF!P51</f>
        <v>0</v>
      </c>
      <c r="Q1330">
        <f>DCF!Q51</f>
        <v>0</v>
      </c>
      <c r="R1330">
        <f>DCF!R51</f>
        <v>0</v>
      </c>
      <c r="S1330">
        <f>DCF!S51</f>
        <v>0</v>
      </c>
      <c r="T1330">
        <f>DCF!T51</f>
        <v>0</v>
      </c>
      <c r="U1330">
        <f>DCF!U51</f>
        <v>0</v>
      </c>
      <c r="V1330">
        <f>DCF!V51</f>
        <v>0</v>
      </c>
      <c r="W1330">
        <f>DCF!W51</f>
        <v>0</v>
      </c>
      <c r="X1330">
        <f>DCF!X51</f>
        <v>0</v>
      </c>
      <c r="Y1330">
        <f>DCF!Y51</f>
        <v>0</v>
      </c>
      <c r="Z1330">
        <f>DCF!Z51</f>
        <v>0</v>
      </c>
      <c r="AA1330">
        <f>DCF!AA51</f>
        <v>0</v>
      </c>
      <c r="AB1330">
        <f>DCF!AB51</f>
        <v>0</v>
      </c>
      <c r="AC1330">
        <f>DCF!AC51</f>
        <v>0</v>
      </c>
      <c r="AD1330">
        <f>DCF!AD51</f>
        <v>0</v>
      </c>
    </row>
    <row r="1331" spans="9:30" ht="11.25" customHeight="1">
      <c r="I1331" t="str">
        <f>DCF!I52</f>
        <v>Beta</v>
      </c>
      <c r="J1331">
        <f>DCF!J52</f>
        <v>0</v>
      </c>
      <c r="K1331">
        <f>DCF!K52</f>
        <v>0</v>
      </c>
      <c r="L1331">
        <f>DCF!L52</f>
        <v>1.25</v>
      </c>
      <c r="M1331">
        <f>DCF!M52</f>
        <v>0</v>
      </c>
      <c r="N1331">
        <f>DCF!N52</f>
        <v>0</v>
      </c>
      <c r="O1331">
        <f>DCF!O52</f>
        <v>0</v>
      </c>
      <c r="P1331">
        <f>DCF!P52</f>
        <v>0</v>
      </c>
      <c r="Q1331">
        <f>DCF!Q52</f>
        <v>0</v>
      </c>
      <c r="R1331">
        <f>DCF!R52</f>
        <v>0</v>
      </c>
      <c r="S1331">
        <f>DCF!S52</f>
        <v>0</v>
      </c>
      <c r="T1331">
        <f>DCF!T52</f>
        <v>0</v>
      </c>
      <c r="U1331">
        <f>DCF!U52</f>
        <v>0</v>
      </c>
      <c r="V1331">
        <f>DCF!V52</f>
        <v>0</v>
      </c>
      <c r="W1331">
        <f>DCF!W52</f>
        <v>0</v>
      </c>
      <c r="X1331">
        <f>DCF!X52</f>
        <v>0</v>
      </c>
      <c r="Y1331">
        <f>DCF!Y52</f>
        <v>0</v>
      </c>
      <c r="Z1331">
        <f>DCF!Z52</f>
        <v>0</v>
      </c>
      <c r="AA1331">
        <f>DCF!AA52</f>
        <v>0</v>
      </c>
      <c r="AB1331">
        <f>DCF!AB52</f>
        <v>0</v>
      </c>
      <c r="AC1331">
        <f>DCF!AC52</f>
        <v>0</v>
      </c>
      <c r="AD1331">
        <f>DCF!AD52</f>
        <v>0</v>
      </c>
    </row>
    <row r="1332" spans="9:30" ht="11.25" customHeight="1">
      <c r="I1332" t="str">
        <f>DCF!I53</f>
        <v>Risk free rate</v>
      </c>
      <c r="J1332">
        <f>DCF!J53</f>
        <v>0</v>
      </c>
      <c r="K1332">
        <f>DCF!K53</f>
        <v>0</v>
      </c>
      <c r="L1332">
        <f>DCF!L53</f>
        <v>2.4899999999999999E-2</v>
      </c>
      <c r="M1332">
        <f>DCF!M53</f>
        <v>0</v>
      </c>
      <c r="N1332">
        <f>DCF!N53</f>
        <v>0</v>
      </c>
      <c r="O1332">
        <f>DCF!O53</f>
        <v>0</v>
      </c>
      <c r="P1332">
        <f>DCF!P53</f>
        <v>0</v>
      </c>
      <c r="Q1332">
        <f>DCF!Q53</f>
        <v>0</v>
      </c>
      <c r="R1332">
        <f>DCF!R53</f>
        <v>0</v>
      </c>
      <c r="S1332">
        <f>DCF!S53</f>
        <v>0</v>
      </c>
      <c r="T1332">
        <f>DCF!T53</f>
        <v>0</v>
      </c>
      <c r="U1332">
        <f>DCF!U53</f>
        <v>0</v>
      </c>
      <c r="V1332">
        <f>DCF!V53</f>
        <v>0</v>
      </c>
      <c r="W1332">
        <f>DCF!W53</f>
        <v>0</v>
      </c>
      <c r="X1332">
        <f>DCF!X53</f>
        <v>0</v>
      </c>
      <c r="Y1332">
        <f>DCF!Y53</f>
        <v>0</v>
      </c>
      <c r="Z1332">
        <f>DCF!Z53</f>
        <v>0</v>
      </c>
      <c r="AA1332">
        <f>DCF!AA53</f>
        <v>0</v>
      </c>
      <c r="AB1332">
        <f>DCF!AB53</f>
        <v>0</v>
      </c>
      <c r="AC1332">
        <f>DCF!AC53</f>
        <v>0</v>
      </c>
      <c r="AD1332">
        <f>DCF!AD53</f>
        <v>0</v>
      </c>
    </row>
    <row r="1333" spans="9:30" ht="11.25" customHeight="1">
      <c r="I1333" t="str">
        <f>DCF!I54</f>
        <v>Market Risk Premium</v>
      </c>
      <c r="J1333">
        <f>DCF!J54</f>
        <v>0</v>
      </c>
      <c r="K1333">
        <f>DCF!K54</f>
        <v>0</v>
      </c>
      <c r="L1333">
        <f>DCF!L54</f>
        <v>4.3799999999999999E-2</v>
      </c>
      <c r="M1333">
        <f>DCF!M54</f>
        <v>0</v>
      </c>
      <c r="N1333">
        <f>DCF!N54</f>
        <v>0</v>
      </c>
      <c r="O1333">
        <f>DCF!O54</f>
        <v>0</v>
      </c>
      <c r="P1333">
        <f>DCF!P54</f>
        <v>0</v>
      </c>
      <c r="Q1333">
        <f>DCF!Q54</f>
        <v>0</v>
      </c>
      <c r="R1333">
        <f>DCF!R54</f>
        <v>0</v>
      </c>
      <c r="S1333">
        <f>DCF!S54</f>
        <v>0</v>
      </c>
      <c r="T1333">
        <f>DCF!T54</f>
        <v>0</v>
      </c>
      <c r="U1333">
        <f>DCF!U54</f>
        <v>0</v>
      </c>
      <c r="V1333">
        <f>DCF!V54</f>
        <v>0</v>
      </c>
      <c r="W1333">
        <f>DCF!W54</f>
        <v>0</v>
      </c>
      <c r="X1333">
        <f>DCF!X54</f>
        <v>0</v>
      </c>
      <c r="Y1333">
        <f>DCF!Y54</f>
        <v>0</v>
      </c>
      <c r="Z1333">
        <f>DCF!Z54</f>
        <v>0</v>
      </c>
      <c r="AA1333">
        <f>DCF!AA54</f>
        <v>0</v>
      </c>
      <c r="AB1333">
        <f>DCF!AB54</f>
        <v>0</v>
      </c>
      <c r="AC1333">
        <f>DCF!AC54</f>
        <v>0</v>
      </c>
      <c r="AD1333">
        <f>DCF!AD54</f>
        <v>0</v>
      </c>
    </row>
    <row r="1334" spans="9:30" ht="11.25" customHeight="1">
      <c r="I1334" t="str">
        <f>DCF!I55</f>
        <v>Cost of Equity</v>
      </c>
      <c r="J1334">
        <f>DCF!J55</f>
        <v>0</v>
      </c>
      <c r="K1334">
        <f>DCF!K55</f>
        <v>0</v>
      </c>
      <c r="L1334">
        <f>DCF!L55</f>
        <v>7.9649999999999999E-2</v>
      </c>
      <c r="M1334">
        <f>DCF!M55</f>
        <v>0</v>
      </c>
      <c r="N1334">
        <f>DCF!N55</f>
        <v>0</v>
      </c>
      <c r="O1334">
        <f>DCF!O55</f>
        <v>0</v>
      </c>
      <c r="P1334">
        <f>DCF!P55</f>
        <v>0</v>
      </c>
      <c r="Q1334">
        <f>DCF!Q55</f>
        <v>0</v>
      </c>
      <c r="R1334">
        <f>DCF!R55</f>
        <v>0</v>
      </c>
      <c r="S1334">
        <f>DCF!S55</f>
        <v>0</v>
      </c>
      <c r="T1334">
        <f>DCF!T55</f>
        <v>0</v>
      </c>
      <c r="U1334">
        <f>DCF!U55</f>
        <v>0</v>
      </c>
      <c r="V1334">
        <f>DCF!V55</f>
        <v>0</v>
      </c>
      <c r="W1334">
        <f>DCF!W55</f>
        <v>0</v>
      </c>
      <c r="X1334">
        <f>DCF!X55</f>
        <v>0</v>
      </c>
      <c r="Y1334">
        <f>DCF!Y55</f>
        <v>0</v>
      </c>
      <c r="Z1334">
        <f>DCF!Z55</f>
        <v>0</v>
      </c>
      <c r="AA1334">
        <f>DCF!AA55</f>
        <v>0</v>
      </c>
      <c r="AB1334">
        <f>DCF!AB55</f>
        <v>0</v>
      </c>
      <c r="AC1334">
        <f>DCF!AC55</f>
        <v>0</v>
      </c>
      <c r="AD1334">
        <f>DCF!AD55</f>
        <v>0</v>
      </c>
    </row>
  </sheetData>
  <pageMargins left="0.25" right="0.25" top="0.25" bottom="0.25" header="0.25" footer="0.25"/>
  <pageSetup scale="26" fitToHeight="8"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2914" bestFit="1" customWidth="1"/>
    <col min="2" max="2" width="19.85546875" style="2936" customWidth="1"/>
    <col min="3" max="3" width="12" style="2914" bestFit="1" customWidth="1"/>
    <col min="4" max="256" width="9.140625" style="2914"/>
    <col min="257" max="257" width="29.5703125" style="2914" bestFit="1" customWidth="1"/>
    <col min="258" max="258" width="19.85546875" style="2914" customWidth="1"/>
    <col min="259" max="259" width="12" style="2914" bestFit="1" customWidth="1"/>
    <col min="260" max="512" width="9.140625" style="2914"/>
    <col min="513" max="513" width="29.5703125" style="2914" bestFit="1" customWidth="1"/>
    <col min="514" max="514" width="19.85546875" style="2914" customWidth="1"/>
    <col min="515" max="515" width="12" style="2914" bestFit="1" customWidth="1"/>
    <col min="516" max="768" width="9.140625" style="2914"/>
    <col min="769" max="769" width="29.5703125" style="2914" bestFit="1" customWidth="1"/>
    <col min="770" max="770" width="19.85546875" style="2914" customWidth="1"/>
    <col min="771" max="771" width="12" style="2914" bestFit="1" customWidth="1"/>
    <col min="772" max="1024" width="9.140625" style="2914"/>
    <col min="1025" max="1025" width="29.5703125" style="2914" bestFit="1" customWidth="1"/>
    <col min="1026" max="1026" width="19.85546875" style="2914" customWidth="1"/>
    <col min="1027" max="1027" width="12" style="2914" bestFit="1" customWidth="1"/>
    <col min="1028" max="1280" width="9.140625" style="2914"/>
    <col min="1281" max="1281" width="29.5703125" style="2914" bestFit="1" customWidth="1"/>
    <col min="1282" max="1282" width="19.85546875" style="2914" customWidth="1"/>
    <col min="1283" max="1283" width="12" style="2914" bestFit="1" customWidth="1"/>
    <col min="1284" max="1536" width="9.140625" style="2914"/>
    <col min="1537" max="1537" width="29.5703125" style="2914" bestFit="1" customWidth="1"/>
    <col min="1538" max="1538" width="19.85546875" style="2914" customWidth="1"/>
    <col min="1539" max="1539" width="12" style="2914" bestFit="1" customWidth="1"/>
    <col min="1540" max="1792" width="9.140625" style="2914"/>
    <col min="1793" max="1793" width="29.5703125" style="2914" bestFit="1" customWidth="1"/>
    <col min="1794" max="1794" width="19.85546875" style="2914" customWidth="1"/>
    <col min="1795" max="1795" width="12" style="2914" bestFit="1" customWidth="1"/>
    <col min="1796" max="2048" width="9.140625" style="2914"/>
    <col min="2049" max="2049" width="29.5703125" style="2914" bestFit="1" customWidth="1"/>
    <col min="2050" max="2050" width="19.85546875" style="2914" customWidth="1"/>
    <col min="2051" max="2051" width="12" style="2914" bestFit="1" customWidth="1"/>
    <col min="2052" max="2304" width="9.140625" style="2914"/>
    <col min="2305" max="2305" width="29.5703125" style="2914" bestFit="1" customWidth="1"/>
    <col min="2306" max="2306" width="19.85546875" style="2914" customWidth="1"/>
    <col min="2307" max="2307" width="12" style="2914" bestFit="1" customWidth="1"/>
    <col min="2308" max="2560" width="9.140625" style="2914"/>
    <col min="2561" max="2561" width="29.5703125" style="2914" bestFit="1" customWidth="1"/>
    <col min="2562" max="2562" width="19.85546875" style="2914" customWidth="1"/>
    <col min="2563" max="2563" width="12" style="2914" bestFit="1" customWidth="1"/>
    <col min="2564" max="2816" width="9.140625" style="2914"/>
    <col min="2817" max="2817" width="29.5703125" style="2914" bestFit="1" customWidth="1"/>
    <col min="2818" max="2818" width="19.85546875" style="2914" customWidth="1"/>
    <col min="2819" max="2819" width="12" style="2914" bestFit="1" customWidth="1"/>
    <col min="2820" max="3072" width="9.140625" style="2914"/>
    <col min="3073" max="3073" width="29.5703125" style="2914" bestFit="1" customWidth="1"/>
    <col min="3074" max="3074" width="19.85546875" style="2914" customWidth="1"/>
    <col min="3075" max="3075" width="12" style="2914" bestFit="1" customWidth="1"/>
    <col min="3076" max="3328" width="9.140625" style="2914"/>
    <col min="3329" max="3329" width="29.5703125" style="2914" bestFit="1" customWidth="1"/>
    <col min="3330" max="3330" width="19.85546875" style="2914" customWidth="1"/>
    <col min="3331" max="3331" width="12" style="2914" bestFit="1" customWidth="1"/>
    <col min="3332" max="3584" width="9.140625" style="2914"/>
    <col min="3585" max="3585" width="29.5703125" style="2914" bestFit="1" customWidth="1"/>
    <col min="3586" max="3586" width="19.85546875" style="2914" customWidth="1"/>
    <col min="3587" max="3587" width="12" style="2914" bestFit="1" customWidth="1"/>
    <col min="3588" max="3840" width="9.140625" style="2914"/>
    <col min="3841" max="3841" width="29.5703125" style="2914" bestFit="1" customWidth="1"/>
    <col min="3842" max="3842" width="19.85546875" style="2914" customWidth="1"/>
    <col min="3843" max="3843" width="12" style="2914" bestFit="1" customWidth="1"/>
    <col min="3844" max="4096" width="9.140625" style="2914"/>
    <col min="4097" max="4097" width="29.5703125" style="2914" bestFit="1" customWidth="1"/>
    <col min="4098" max="4098" width="19.85546875" style="2914" customWidth="1"/>
    <col min="4099" max="4099" width="12" style="2914" bestFit="1" customWidth="1"/>
    <col min="4100" max="4352" width="9.140625" style="2914"/>
    <col min="4353" max="4353" width="29.5703125" style="2914" bestFit="1" customWidth="1"/>
    <col min="4354" max="4354" width="19.85546875" style="2914" customWidth="1"/>
    <col min="4355" max="4355" width="12" style="2914" bestFit="1" customWidth="1"/>
    <col min="4356" max="4608" width="9.140625" style="2914"/>
    <col min="4609" max="4609" width="29.5703125" style="2914" bestFit="1" customWidth="1"/>
    <col min="4610" max="4610" width="19.85546875" style="2914" customWidth="1"/>
    <col min="4611" max="4611" width="12" style="2914" bestFit="1" customWidth="1"/>
    <col min="4612" max="4864" width="9.140625" style="2914"/>
    <col min="4865" max="4865" width="29.5703125" style="2914" bestFit="1" customWidth="1"/>
    <col min="4866" max="4866" width="19.85546875" style="2914" customWidth="1"/>
    <col min="4867" max="4867" width="12" style="2914" bestFit="1" customWidth="1"/>
    <col min="4868" max="5120" width="9.140625" style="2914"/>
    <col min="5121" max="5121" width="29.5703125" style="2914" bestFit="1" customWidth="1"/>
    <col min="5122" max="5122" width="19.85546875" style="2914" customWidth="1"/>
    <col min="5123" max="5123" width="12" style="2914" bestFit="1" customWidth="1"/>
    <col min="5124" max="5376" width="9.140625" style="2914"/>
    <col min="5377" max="5377" width="29.5703125" style="2914" bestFit="1" customWidth="1"/>
    <col min="5378" max="5378" width="19.85546875" style="2914" customWidth="1"/>
    <col min="5379" max="5379" width="12" style="2914" bestFit="1" customWidth="1"/>
    <col min="5380" max="5632" width="9.140625" style="2914"/>
    <col min="5633" max="5633" width="29.5703125" style="2914" bestFit="1" customWidth="1"/>
    <col min="5634" max="5634" width="19.85546875" style="2914" customWidth="1"/>
    <col min="5635" max="5635" width="12" style="2914" bestFit="1" customWidth="1"/>
    <col min="5636" max="5888" width="9.140625" style="2914"/>
    <col min="5889" max="5889" width="29.5703125" style="2914" bestFit="1" customWidth="1"/>
    <col min="5890" max="5890" width="19.85546875" style="2914" customWidth="1"/>
    <col min="5891" max="5891" width="12" style="2914" bestFit="1" customWidth="1"/>
    <col min="5892" max="6144" width="9.140625" style="2914"/>
    <col min="6145" max="6145" width="29.5703125" style="2914" bestFit="1" customWidth="1"/>
    <col min="6146" max="6146" width="19.85546875" style="2914" customWidth="1"/>
    <col min="6147" max="6147" width="12" style="2914" bestFit="1" customWidth="1"/>
    <col min="6148" max="6400" width="9.140625" style="2914"/>
    <col min="6401" max="6401" width="29.5703125" style="2914" bestFit="1" customWidth="1"/>
    <col min="6402" max="6402" width="19.85546875" style="2914" customWidth="1"/>
    <col min="6403" max="6403" width="12" style="2914" bestFit="1" customWidth="1"/>
    <col min="6404" max="6656" width="9.140625" style="2914"/>
    <col min="6657" max="6657" width="29.5703125" style="2914" bestFit="1" customWidth="1"/>
    <col min="6658" max="6658" width="19.85546875" style="2914" customWidth="1"/>
    <col min="6659" max="6659" width="12" style="2914" bestFit="1" customWidth="1"/>
    <col min="6660" max="6912" width="9.140625" style="2914"/>
    <col min="6913" max="6913" width="29.5703125" style="2914" bestFit="1" customWidth="1"/>
    <col min="6914" max="6914" width="19.85546875" style="2914" customWidth="1"/>
    <col min="6915" max="6915" width="12" style="2914" bestFit="1" customWidth="1"/>
    <col min="6916" max="7168" width="9.140625" style="2914"/>
    <col min="7169" max="7169" width="29.5703125" style="2914" bestFit="1" customWidth="1"/>
    <col min="7170" max="7170" width="19.85546875" style="2914" customWidth="1"/>
    <col min="7171" max="7171" width="12" style="2914" bestFit="1" customWidth="1"/>
    <col min="7172" max="7424" width="9.140625" style="2914"/>
    <col min="7425" max="7425" width="29.5703125" style="2914" bestFit="1" customWidth="1"/>
    <col min="7426" max="7426" width="19.85546875" style="2914" customWidth="1"/>
    <col min="7427" max="7427" width="12" style="2914" bestFit="1" customWidth="1"/>
    <col min="7428" max="7680" width="9.140625" style="2914"/>
    <col min="7681" max="7681" width="29.5703125" style="2914" bestFit="1" customWidth="1"/>
    <col min="7682" max="7682" width="19.85546875" style="2914" customWidth="1"/>
    <col min="7683" max="7683" width="12" style="2914" bestFit="1" customWidth="1"/>
    <col min="7684" max="7936" width="9.140625" style="2914"/>
    <col min="7937" max="7937" width="29.5703125" style="2914" bestFit="1" customWidth="1"/>
    <col min="7938" max="7938" width="19.85546875" style="2914" customWidth="1"/>
    <col min="7939" max="7939" width="12" style="2914" bestFit="1" customWidth="1"/>
    <col min="7940" max="8192" width="9.140625" style="2914"/>
    <col min="8193" max="8193" width="29.5703125" style="2914" bestFit="1" customWidth="1"/>
    <col min="8194" max="8194" width="19.85546875" style="2914" customWidth="1"/>
    <col min="8195" max="8195" width="12" style="2914" bestFit="1" customWidth="1"/>
    <col min="8196" max="8448" width="9.140625" style="2914"/>
    <col min="8449" max="8449" width="29.5703125" style="2914" bestFit="1" customWidth="1"/>
    <col min="8450" max="8450" width="19.85546875" style="2914" customWidth="1"/>
    <col min="8451" max="8451" width="12" style="2914" bestFit="1" customWidth="1"/>
    <col min="8452" max="8704" width="9.140625" style="2914"/>
    <col min="8705" max="8705" width="29.5703125" style="2914" bestFit="1" customWidth="1"/>
    <col min="8706" max="8706" width="19.85546875" style="2914" customWidth="1"/>
    <col min="8707" max="8707" width="12" style="2914" bestFit="1" customWidth="1"/>
    <col min="8708" max="8960" width="9.140625" style="2914"/>
    <col min="8961" max="8961" width="29.5703125" style="2914" bestFit="1" customWidth="1"/>
    <col min="8962" max="8962" width="19.85546875" style="2914" customWidth="1"/>
    <col min="8963" max="8963" width="12" style="2914" bestFit="1" customWidth="1"/>
    <col min="8964" max="9216" width="9.140625" style="2914"/>
    <col min="9217" max="9217" width="29.5703125" style="2914" bestFit="1" customWidth="1"/>
    <col min="9218" max="9218" width="19.85546875" style="2914" customWidth="1"/>
    <col min="9219" max="9219" width="12" style="2914" bestFit="1" customWidth="1"/>
    <col min="9220" max="9472" width="9.140625" style="2914"/>
    <col min="9473" max="9473" width="29.5703125" style="2914" bestFit="1" customWidth="1"/>
    <col min="9474" max="9474" width="19.85546875" style="2914" customWidth="1"/>
    <col min="9475" max="9475" width="12" style="2914" bestFit="1" customWidth="1"/>
    <col min="9476" max="9728" width="9.140625" style="2914"/>
    <col min="9729" max="9729" width="29.5703125" style="2914" bestFit="1" customWidth="1"/>
    <col min="9730" max="9730" width="19.85546875" style="2914" customWidth="1"/>
    <col min="9731" max="9731" width="12" style="2914" bestFit="1" customWidth="1"/>
    <col min="9732" max="9984" width="9.140625" style="2914"/>
    <col min="9985" max="9985" width="29.5703125" style="2914" bestFit="1" customWidth="1"/>
    <col min="9986" max="9986" width="19.85546875" style="2914" customWidth="1"/>
    <col min="9987" max="9987" width="12" style="2914" bestFit="1" customWidth="1"/>
    <col min="9988" max="10240" width="9.140625" style="2914"/>
    <col min="10241" max="10241" width="29.5703125" style="2914" bestFit="1" customWidth="1"/>
    <col min="10242" max="10242" width="19.85546875" style="2914" customWidth="1"/>
    <col min="10243" max="10243" width="12" style="2914" bestFit="1" customWidth="1"/>
    <col min="10244" max="10496" width="9.140625" style="2914"/>
    <col min="10497" max="10497" width="29.5703125" style="2914" bestFit="1" customWidth="1"/>
    <col min="10498" max="10498" width="19.85546875" style="2914" customWidth="1"/>
    <col min="10499" max="10499" width="12" style="2914" bestFit="1" customWidth="1"/>
    <col min="10500" max="10752" width="9.140625" style="2914"/>
    <col min="10753" max="10753" width="29.5703125" style="2914" bestFit="1" customWidth="1"/>
    <col min="10754" max="10754" width="19.85546875" style="2914" customWidth="1"/>
    <col min="10755" max="10755" width="12" style="2914" bestFit="1" customWidth="1"/>
    <col min="10756" max="11008" width="9.140625" style="2914"/>
    <col min="11009" max="11009" width="29.5703125" style="2914" bestFit="1" customWidth="1"/>
    <col min="11010" max="11010" width="19.85546875" style="2914" customWidth="1"/>
    <col min="11011" max="11011" width="12" style="2914" bestFit="1" customWidth="1"/>
    <col min="11012" max="11264" width="9.140625" style="2914"/>
    <col min="11265" max="11265" width="29.5703125" style="2914" bestFit="1" customWidth="1"/>
    <col min="11266" max="11266" width="19.85546875" style="2914" customWidth="1"/>
    <col min="11267" max="11267" width="12" style="2914" bestFit="1" customWidth="1"/>
    <col min="11268" max="11520" width="9.140625" style="2914"/>
    <col min="11521" max="11521" width="29.5703125" style="2914" bestFit="1" customWidth="1"/>
    <col min="11522" max="11522" width="19.85546875" style="2914" customWidth="1"/>
    <col min="11523" max="11523" width="12" style="2914" bestFit="1" customWidth="1"/>
    <col min="11524" max="11776" width="9.140625" style="2914"/>
    <col min="11777" max="11777" width="29.5703125" style="2914" bestFit="1" customWidth="1"/>
    <col min="11778" max="11778" width="19.85546875" style="2914" customWidth="1"/>
    <col min="11779" max="11779" width="12" style="2914" bestFit="1" customWidth="1"/>
    <col min="11780" max="12032" width="9.140625" style="2914"/>
    <col min="12033" max="12033" width="29.5703125" style="2914" bestFit="1" customWidth="1"/>
    <col min="12034" max="12034" width="19.85546875" style="2914" customWidth="1"/>
    <col min="12035" max="12035" width="12" style="2914" bestFit="1" customWidth="1"/>
    <col min="12036" max="12288" width="9.140625" style="2914"/>
    <col min="12289" max="12289" width="29.5703125" style="2914" bestFit="1" customWidth="1"/>
    <col min="12290" max="12290" width="19.85546875" style="2914" customWidth="1"/>
    <col min="12291" max="12291" width="12" style="2914" bestFit="1" customWidth="1"/>
    <col min="12292" max="12544" width="9.140625" style="2914"/>
    <col min="12545" max="12545" width="29.5703125" style="2914" bestFit="1" customWidth="1"/>
    <col min="12546" max="12546" width="19.85546875" style="2914" customWidth="1"/>
    <col min="12547" max="12547" width="12" style="2914" bestFit="1" customWidth="1"/>
    <col min="12548" max="12800" width="9.140625" style="2914"/>
    <col min="12801" max="12801" width="29.5703125" style="2914" bestFit="1" customWidth="1"/>
    <col min="12802" max="12802" width="19.85546875" style="2914" customWidth="1"/>
    <col min="12803" max="12803" width="12" style="2914" bestFit="1" customWidth="1"/>
    <col min="12804" max="13056" width="9.140625" style="2914"/>
    <col min="13057" max="13057" width="29.5703125" style="2914" bestFit="1" customWidth="1"/>
    <col min="13058" max="13058" width="19.85546875" style="2914" customWidth="1"/>
    <col min="13059" max="13059" width="12" style="2914" bestFit="1" customWidth="1"/>
    <col min="13060" max="13312" width="9.140625" style="2914"/>
    <col min="13313" max="13313" width="29.5703125" style="2914" bestFit="1" customWidth="1"/>
    <col min="13314" max="13314" width="19.85546875" style="2914" customWidth="1"/>
    <col min="13315" max="13315" width="12" style="2914" bestFit="1" customWidth="1"/>
    <col min="13316" max="13568" width="9.140625" style="2914"/>
    <col min="13569" max="13569" width="29.5703125" style="2914" bestFit="1" customWidth="1"/>
    <col min="13570" max="13570" width="19.85546875" style="2914" customWidth="1"/>
    <col min="13571" max="13571" width="12" style="2914" bestFit="1" customWidth="1"/>
    <col min="13572" max="13824" width="9.140625" style="2914"/>
    <col min="13825" max="13825" width="29.5703125" style="2914" bestFit="1" customWidth="1"/>
    <col min="13826" max="13826" width="19.85546875" style="2914" customWidth="1"/>
    <col min="13827" max="13827" width="12" style="2914" bestFit="1" customWidth="1"/>
    <col min="13828" max="14080" width="9.140625" style="2914"/>
    <col min="14081" max="14081" width="29.5703125" style="2914" bestFit="1" customWidth="1"/>
    <col min="14082" max="14082" width="19.85546875" style="2914" customWidth="1"/>
    <col min="14083" max="14083" width="12" style="2914" bestFit="1" customWidth="1"/>
    <col min="14084" max="14336" width="9.140625" style="2914"/>
    <col min="14337" max="14337" width="29.5703125" style="2914" bestFit="1" customWidth="1"/>
    <col min="14338" max="14338" width="19.85546875" style="2914" customWidth="1"/>
    <col min="14339" max="14339" width="12" style="2914" bestFit="1" customWidth="1"/>
    <col min="14340" max="14592" width="9.140625" style="2914"/>
    <col min="14593" max="14593" width="29.5703125" style="2914" bestFit="1" customWidth="1"/>
    <col min="14594" max="14594" width="19.85546875" style="2914" customWidth="1"/>
    <col min="14595" max="14595" width="12" style="2914" bestFit="1" customWidth="1"/>
    <col min="14596" max="14848" width="9.140625" style="2914"/>
    <col min="14849" max="14849" width="29.5703125" style="2914" bestFit="1" customWidth="1"/>
    <col min="14850" max="14850" width="19.85546875" style="2914" customWidth="1"/>
    <col min="14851" max="14851" width="12" style="2914" bestFit="1" customWidth="1"/>
    <col min="14852" max="15104" width="9.140625" style="2914"/>
    <col min="15105" max="15105" width="29.5703125" style="2914" bestFit="1" customWidth="1"/>
    <col min="15106" max="15106" width="19.85546875" style="2914" customWidth="1"/>
    <col min="15107" max="15107" width="12" style="2914" bestFit="1" customWidth="1"/>
    <col min="15108" max="15360" width="9.140625" style="2914"/>
    <col min="15361" max="15361" width="29.5703125" style="2914" bestFit="1" customWidth="1"/>
    <col min="15362" max="15362" width="19.85546875" style="2914" customWidth="1"/>
    <col min="15363" max="15363" width="12" style="2914" bestFit="1" customWidth="1"/>
    <col min="15364" max="15616" width="9.140625" style="2914"/>
    <col min="15617" max="15617" width="29.5703125" style="2914" bestFit="1" customWidth="1"/>
    <col min="15618" max="15618" width="19.85546875" style="2914" customWidth="1"/>
    <col min="15619" max="15619" width="12" style="2914" bestFit="1" customWidth="1"/>
    <col min="15620" max="15872" width="9.140625" style="2914"/>
    <col min="15873" max="15873" width="29.5703125" style="2914" bestFit="1" customWidth="1"/>
    <col min="15874" max="15874" width="19.85546875" style="2914" customWidth="1"/>
    <col min="15875" max="15875" width="12" style="2914" bestFit="1" customWidth="1"/>
    <col min="15876" max="16128" width="9.140625" style="2914"/>
    <col min="16129" max="16129" width="29.5703125" style="2914" bestFit="1" customWidth="1"/>
    <col min="16130" max="16130" width="19.85546875" style="2914" customWidth="1"/>
    <col min="16131" max="16131" width="12" style="2914" bestFit="1" customWidth="1"/>
    <col min="16132" max="16384" width="9.140625" style="2914"/>
  </cols>
  <sheetData>
    <row r="1" spans="1:2">
      <c r="A1" s="2914" t="s">
        <v>1007</v>
      </c>
      <c r="B1" s="2935">
        <v>6.1</v>
      </c>
    </row>
    <row r="2" spans="1:2">
      <c r="A2" s="2914" t="s">
        <v>1008</v>
      </c>
      <c r="B2" s="2939">
        <v>43139.513067129628</v>
      </c>
    </row>
    <row r="3" spans="1:2">
      <c r="A3" s="2914" t="s">
        <v>1009</v>
      </c>
      <c r="B3" s="2936" t="s">
        <v>714</v>
      </c>
    </row>
    <row r="4" spans="1:2">
      <c r="A4" s="2914" t="s">
        <v>1010</v>
      </c>
      <c r="B4" s="2936" t="s">
        <v>1011</v>
      </c>
    </row>
    <row r="5" spans="1:2">
      <c r="A5" s="2914" t="s">
        <v>1012</v>
      </c>
      <c r="B5" s="2936" t="s">
        <v>1013</v>
      </c>
    </row>
    <row r="6" spans="1:2">
      <c r="A6" s="2914" t="s">
        <v>1014</v>
      </c>
    </row>
    <row r="7" spans="1:2">
      <c r="A7" s="2914" t="s">
        <v>1015</v>
      </c>
      <c r="B7" s="2936" t="s">
        <v>1059</v>
      </c>
    </row>
    <row r="8" spans="1:2">
      <c r="A8" s="2914" t="s">
        <v>1016</v>
      </c>
      <c r="B8" s="2936" t="s">
        <v>1017</v>
      </c>
    </row>
    <row r="9" spans="1:2">
      <c r="A9" s="2914" t="s">
        <v>1018</v>
      </c>
      <c r="B9" s="2936" t="s">
        <v>1055</v>
      </c>
    </row>
    <row r="10" spans="1:2">
      <c r="A10" s="2914" t="s">
        <v>1019</v>
      </c>
    </row>
    <row r="11" spans="1:2">
      <c r="A11" s="2914" t="s">
        <v>1020</v>
      </c>
    </row>
    <row r="12" spans="1:2">
      <c r="A12" s="2914" t="s">
        <v>1021</v>
      </c>
    </row>
    <row r="13" spans="1:2">
      <c r="A13" s="2914" t="s">
        <v>1022</v>
      </c>
    </row>
    <row r="14" spans="1:2">
      <c r="A14" s="2914" t="s">
        <v>1023</v>
      </c>
    </row>
    <row r="15" spans="1:2">
      <c r="A15" s="2914" t="s">
        <v>1024</v>
      </c>
    </row>
    <row r="16" spans="1:2">
      <c r="A16" s="2914" t="s">
        <v>1025</v>
      </c>
    </row>
    <row r="17" spans="1:4">
      <c r="A17" s="2914" t="s">
        <v>1026</v>
      </c>
      <c r="B17" s="2936" t="s">
        <v>1056</v>
      </c>
    </row>
    <row r="18" spans="1:4">
      <c r="A18" s="2914" t="s">
        <v>1027</v>
      </c>
      <c r="B18" s="2936" t="s">
        <v>715</v>
      </c>
    </row>
    <row r="19" spans="1:4">
      <c r="A19" s="2914" t="s">
        <v>1028</v>
      </c>
      <c r="B19" s="2936" t="s">
        <v>273</v>
      </c>
    </row>
    <row r="20" spans="1:4">
      <c r="A20" s="2914" t="s">
        <v>1029</v>
      </c>
      <c r="B20" s="2937">
        <v>985817105</v>
      </c>
    </row>
    <row r="21" spans="1:4">
      <c r="A21" s="2914" t="s">
        <v>1030</v>
      </c>
      <c r="B21" s="2936" t="s">
        <v>273</v>
      </c>
    </row>
    <row r="22" spans="1:4">
      <c r="A22" s="2914" t="s">
        <v>1031</v>
      </c>
      <c r="B22" s="2937" t="s">
        <v>493</v>
      </c>
    </row>
    <row r="23" spans="1:4">
      <c r="A23" s="2914" t="s">
        <v>281</v>
      </c>
      <c r="B23" s="2935">
        <v>41</v>
      </c>
    </row>
    <row r="24" spans="1:4">
      <c r="A24" s="2914" t="s">
        <v>280</v>
      </c>
      <c r="B24" s="2936" t="s">
        <v>228</v>
      </c>
      <c r="D24" s="2914" t="s">
        <v>548</v>
      </c>
    </row>
    <row r="25" spans="1:4">
      <c r="A25" s="2914" t="s">
        <v>1032</v>
      </c>
      <c r="B25" s="2936" t="s">
        <v>1060</v>
      </c>
    </row>
    <row r="26" spans="1:4">
      <c r="A26" s="2914" t="s">
        <v>1033</v>
      </c>
      <c r="B26" s="2936">
        <v>0</v>
      </c>
    </row>
    <row r="27" spans="1:4">
      <c r="A27" s="2914" t="s">
        <v>1034</v>
      </c>
      <c r="B27" s="2936" t="s">
        <v>1035</v>
      </c>
    </row>
    <row r="28" spans="1:4">
      <c r="A28" s="2914" t="s">
        <v>1036</v>
      </c>
      <c r="B28" s="2936" t="s">
        <v>1037</v>
      </c>
    </row>
    <row r="29" spans="1:4">
      <c r="A29" s="2914" t="s">
        <v>1038</v>
      </c>
    </row>
    <row r="30" spans="1:4">
      <c r="A30" s="2914" t="s">
        <v>1039</v>
      </c>
    </row>
    <row r="31" spans="1:4">
      <c r="A31" s="2914" t="s">
        <v>1040</v>
      </c>
    </row>
    <row r="32" spans="1:4">
      <c r="A32" s="2914" t="s">
        <v>1041</v>
      </c>
      <c r="B32" s="2935"/>
    </row>
    <row r="33" spans="1:2">
      <c r="A33" s="2914" t="s">
        <v>1042</v>
      </c>
      <c r="B33" s="2935"/>
    </row>
    <row r="34" spans="1:2">
      <c r="A34" s="2914" t="s">
        <v>1043</v>
      </c>
      <c r="B34" s="2935"/>
    </row>
    <row r="35" spans="1:2">
      <c r="A35" s="2914" t="s">
        <v>1044</v>
      </c>
      <c r="B35" s="2936">
        <v>1000000</v>
      </c>
    </row>
    <row r="36" spans="1:2">
      <c r="A36" s="2914" t="s">
        <v>1045</v>
      </c>
      <c r="B36" s="2936" t="s">
        <v>1057</v>
      </c>
    </row>
    <row r="37" spans="1:2">
      <c r="A37" s="2914" t="s">
        <v>1046</v>
      </c>
      <c r="B37" s="2936" t="s">
        <v>1047</v>
      </c>
    </row>
    <row r="38" spans="1:2">
      <c r="A38" s="2914" t="s">
        <v>1048</v>
      </c>
      <c r="B38" s="2936" t="s">
        <v>1049</v>
      </c>
    </row>
    <row r="39" spans="1:2">
      <c r="A39" s="2914" t="s">
        <v>1050</v>
      </c>
      <c r="B39" s="2936" t="s">
        <v>1058</v>
      </c>
    </row>
    <row r="40" spans="1:2">
      <c r="A40" s="2914" t="s">
        <v>1051</v>
      </c>
      <c r="B40" s="2936">
        <v>1500005604</v>
      </c>
    </row>
    <row r="41" spans="1:2">
      <c r="A41" s="2914" t="s">
        <v>1052</v>
      </c>
      <c r="B41" s="2936">
        <v>1</v>
      </c>
    </row>
    <row r="42" spans="1:2">
      <c r="A42" s="2938" t="s">
        <v>1053</v>
      </c>
    </row>
    <row r="43" spans="1:2">
      <c r="A43" s="2914" t="s">
        <v>1054</v>
      </c>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cols>
    <col min="1" max="1" width="28.5703125" style="2914" bestFit="1" customWidth="1"/>
    <col min="2" max="256" width="9.140625" style="2914"/>
    <col min="257" max="257" width="28.5703125" style="2914" bestFit="1" customWidth="1"/>
    <col min="258" max="512" width="9.140625" style="2914"/>
    <col min="513" max="513" width="28.5703125" style="2914" bestFit="1" customWidth="1"/>
    <col min="514" max="768" width="9.140625" style="2914"/>
    <col min="769" max="769" width="28.5703125" style="2914" bestFit="1" customWidth="1"/>
    <col min="770" max="1024" width="9.140625" style="2914"/>
    <col min="1025" max="1025" width="28.5703125" style="2914" bestFit="1" customWidth="1"/>
    <col min="1026" max="1280" width="9.140625" style="2914"/>
    <col min="1281" max="1281" width="28.5703125" style="2914" bestFit="1" customWidth="1"/>
    <col min="1282" max="1536" width="9.140625" style="2914"/>
    <col min="1537" max="1537" width="28.5703125" style="2914" bestFit="1" customWidth="1"/>
    <col min="1538" max="1792" width="9.140625" style="2914"/>
    <col min="1793" max="1793" width="28.5703125" style="2914" bestFit="1" customWidth="1"/>
    <col min="1794" max="2048" width="9.140625" style="2914"/>
    <col min="2049" max="2049" width="28.5703125" style="2914" bestFit="1" customWidth="1"/>
    <col min="2050" max="2304" width="9.140625" style="2914"/>
    <col min="2305" max="2305" width="28.5703125" style="2914" bestFit="1" customWidth="1"/>
    <col min="2306" max="2560" width="9.140625" style="2914"/>
    <col min="2561" max="2561" width="28.5703125" style="2914" bestFit="1" customWidth="1"/>
    <col min="2562" max="2816" width="9.140625" style="2914"/>
    <col min="2817" max="2817" width="28.5703125" style="2914" bestFit="1" customWidth="1"/>
    <col min="2818" max="3072" width="9.140625" style="2914"/>
    <col min="3073" max="3073" width="28.5703125" style="2914" bestFit="1" customWidth="1"/>
    <col min="3074" max="3328" width="9.140625" style="2914"/>
    <col min="3329" max="3329" width="28.5703125" style="2914" bestFit="1" customWidth="1"/>
    <col min="3330" max="3584" width="9.140625" style="2914"/>
    <col min="3585" max="3585" width="28.5703125" style="2914" bestFit="1" customWidth="1"/>
    <col min="3586" max="3840" width="9.140625" style="2914"/>
    <col min="3841" max="3841" width="28.5703125" style="2914" bestFit="1" customWidth="1"/>
    <col min="3842" max="4096" width="9.140625" style="2914"/>
    <col min="4097" max="4097" width="28.5703125" style="2914" bestFit="1" customWidth="1"/>
    <col min="4098" max="4352" width="9.140625" style="2914"/>
    <col min="4353" max="4353" width="28.5703125" style="2914" bestFit="1" customWidth="1"/>
    <col min="4354" max="4608" width="9.140625" style="2914"/>
    <col min="4609" max="4609" width="28.5703125" style="2914" bestFit="1" customWidth="1"/>
    <col min="4610" max="4864" width="9.140625" style="2914"/>
    <col min="4865" max="4865" width="28.5703125" style="2914" bestFit="1" customWidth="1"/>
    <col min="4866" max="5120" width="9.140625" style="2914"/>
    <col min="5121" max="5121" width="28.5703125" style="2914" bestFit="1" customWidth="1"/>
    <col min="5122" max="5376" width="9.140625" style="2914"/>
    <col min="5377" max="5377" width="28.5703125" style="2914" bestFit="1" customWidth="1"/>
    <col min="5378" max="5632" width="9.140625" style="2914"/>
    <col min="5633" max="5633" width="28.5703125" style="2914" bestFit="1" customWidth="1"/>
    <col min="5634" max="5888" width="9.140625" style="2914"/>
    <col min="5889" max="5889" width="28.5703125" style="2914" bestFit="1" customWidth="1"/>
    <col min="5890" max="6144" width="9.140625" style="2914"/>
    <col min="6145" max="6145" width="28.5703125" style="2914" bestFit="1" customWidth="1"/>
    <col min="6146" max="6400" width="9.140625" style="2914"/>
    <col min="6401" max="6401" width="28.5703125" style="2914" bestFit="1" customWidth="1"/>
    <col min="6402" max="6656" width="9.140625" style="2914"/>
    <col min="6657" max="6657" width="28.5703125" style="2914" bestFit="1" customWidth="1"/>
    <col min="6658" max="6912" width="9.140625" style="2914"/>
    <col min="6913" max="6913" width="28.5703125" style="2914" bestFit="1" customWidth="1"/>
    <col min="6914" max="7168" width="9.140625" style="2914"/>
    <col min="7169" max="7169" width="28.5703125" style="2914" bestFit="1" customWidth="1"/>
    <col min="7170" max="7424" width="9.140625" style="2914"/>
    <col min="7425" max="7425" width="28.5703125" style="2914" bestFit="1" customWidth="1"/>
    <col min="7426" max="7680" width="9.140625" style="2914"/>
    <col min="7681" max="7681" width="28.5703125" style="2914" bestFit="1" customWidth="1"/>
    <col min="7682" max="7936" width="9.140625" style="2914"/>
    <col min="7937" max="7937" width="28.5703125" style="2914" bestFit="1" customWidth="1"/>
    <col min="7938" max="8192" width="9.140625" style="2914"/>
    <col min="8193" max="8193" width="28.5703125" style="2914" bestFit="1" customWidth="1"/>
    <col min="8194" max="8448" width="9.140625" style="2914"/>
    <col min="8449" max="8449" width="28.5703125" style="2914" bestFit="1" customWidth="1"/>
    <col min="8450" max="8704" width="9.140625" style="2914"/>
    <col min="8705" max="8705" width="28.5703125" style="2914" bestFit="1" customWidth="1"/>
    <col min="8706" max="8960" width="9.140625" style="2914"/>
    <col min="8961" max="8961" width="28.5703125" style="2914" bestFit="1" customWidth="1"/>
    <col min="8962" max="9216" width="9.140625" style="2914"/>
    <col min="9217" max="9217" width="28.5703125" style="2914" bestFit="1" customWidth="1"/>
    <col min="9218" max="9472" width="9.140625" style="2914"/>
    <col min="9473" max="9473" width="28.5703125" style="2914" bestFit="1" customWidth="1"/>
    <col min="9474" max="9728" width="9.140625" style="2914"/>
    <col min="9729" max="9729" width="28.5703125" style="2914" bestFit="1" customWidth="1"/>
    <col min="9730" max="9984" width="9.140625" style="2914"/>
    <col min="9985" max="9985" width="28.5703125" style="2914" bestFit="1" customWidth="1"/>
    <col min="9986" max="10240" width="9.140625" style="2914"/>
    <col min="10241" max="10241" width="28.5703125" style="2914" bestFit="1" customWidth="1"/>
    <col min="10242" max="10496" width="9.140625" style="2914"/>
    <col min="10497" max="10497" width="28.5703125" style="2914" bestFit="1" customWidth="1"/>
    <col min="10498" max="10752" width="9.140625" style="2914"/>
    <col min="10753" max="10753" width="28.5703125" style="2914" bestFit="1" customWidth="1"/>
    <col min="10754" max="11008" width="9.140625" style="2914"/>
    <col min="11009" max="11009" width="28.5703125" style="2914" bestFit="1" customWidth="1"/>
    <col min="11010" max="11264" width="9.140625" style="2914"/>
    <col min="11265" max="11265" width="28.5703125" style="2914" bestFit="1" customWidth="1"/>
    <col min="11266" max="11520" width="9.140625" style="2914"/>
    <col min="11521" max="11521" width="28.5703125" style="2914" bestFit="1" customWidth="1"/>
    <col min="11522" max="11776" width="9.140625" style="2914"/>
    <col min="11777" max="11777" width="28.5703125" style="2914" bestFit="1" customWidth="1"/>
    <col min="11778" max="12032" width="9.140625" style="2914"/>
    <col min="12033" max="12033" width="28.5703125" style="2914" bestFit="1" customWidth="1"/>
    <col min="12034" max="12288" width="9.140625" style="2914"/>
    <col min="12289" max="12289" width="28.5703125" style="2914" bestFit="1" customWidth="1"/>
    <col min="12290" max="12544" width="9.140625" style="2914"/>
    <col min="12545" max="12545" width="28.5703125" style="2914" bestFit="1" customWidth="1"/>
    <col min="12546" max="12800" width="9.140625" style="2914"/>
    <col min="12801" max="12801" width="28.5703125" style="2914" bestFit="1" customWidth="1"/>
    <col min="12802" max="13056" width="9.140625" style="2914"/>
    <col min="13057" max="13057" width="28.5703125" style="2914" bestFit="1" customWidth="1"/>
    <col min="13058" max="13312" width="9.140625" style="2914"/>
    <col min="13313" max="13313" width="28.5703125" style="2914" bestFit="1" customWidth="1"/>
    <col min="13314" max="13568" width="9.140625" style="2914"/>
    <col min="13569" max="13569" width="28.5703125" style="2914" bestFit="1" customWidth="1"/>
    <col min="13570" max="13824" width="9.140625" style="2914"/>
    <col min="13825" max="13825" width="28.5703125" style="2914" bestFit="1" customWidth="1"/>
    <col min="13826" max="14080" width="9.140625" style="2914"/>
    <col min="14081" max="14081" width="28.5703125" style="2914" bestFit="1" customWidth="1"/>
    <col min="14082" max="14336" width="9.140625" style="2914"/>
    <col min="14337" max="14337" width="28.5703125" style="2914" bestFit="1" customWidth="1"/>
    <col min="14338" max="14592" width="9.140625" style="2914"/>
    <col min="14593" max="14593" width="28.5703125" style="2914" bestFit="1" customWidth="1"/>
    <col min="14594" max="14848" width="9.140625" style="2914"/>
    <col min="14849" max="14849" width="28.5703125" style="2914" bestFit="1" customWidth="1"/>
    <col min="14850" max="15104" width="9.140625" style="2914"/>
    <col min="15105" max="15105" width="28.5703125" style="2914" bestFit="1" customWidth="1"/>
    <col min="15106" max="15360" width="9.140625" style="2914"/>
    <col min="15361" max="15361" width="28.5703125" style="2914" bestFit="1" customWidth="1"/>
    <col min="15362" max="15616" width="9.140625" style="2914"/>
    <col min="15617" max="15617" width="28.5703125" style="2914" bestFit="1" customWidth="1"/>
    <col min="15618" max="15872" width="9.140625" style="2914"/>
    <col min="15873" max="15873" width="28.5703125" style="2914" bestFit="1" customWidth="1"/>
    <col min="15874" max="16128" width="9.140625" style="2914"/>
    <col min="16129" max="16129" width="28.5703125" style="2914" bestFit="1" customWidth="1"/>
    <col min="16130" max="16384" width="9.140625" style="2914"/>
  </cols>
  <sheetData>
    <row r="1" spans="1:1">
      <c r="A1" s="2940" t="s">
        <v>1061</v>
      </c>
    </row>
    <row r="2" spans="1:1">
      <c r="A2" s="2940" t="s">
        <v>1066</v>
      </c>
    </row>
    <row r="3" spans="1:1">
      <c r="A3" s="2940" t="s">
        <v>1067</v>
      </c>
    </row>
    <row r="4" spans="1:1">
      <c r="A4" s="2940" t="s">
        <v>1068</v>
      </c>
    </row>
    <row r="5" spans="1:1">
      <c r="A5" s="2940" t="s">
        <v>1069</v>
      </c>
    </row>
    <row r="6" spans="1:1">
      <c r="A6" s="2940" t="s">
        <v>1062</v>
      </c>
    </row>
    <row r="7" spans="1:1">
      <c r="A7" s="2940" t="s">
        <v>1070</v>
      </c>
    </row>
    <row r="8" spans="1:1">
      <c r="A8" s="2940" t="s">
        <v>1071</v>
      </c>
    </row>
    <row r="9" spans="1:1">
      <c r="A9" s="2940" t="s">
        <v>1072</v>
      </c>
    </row>
    <row r="10" spans="1:1">
      <c r="A10" s="2940" t="s">
        <v>1063</v>
      </c>
    </row>
    <row r="11" spans="1:1">
      <c r="A11" s="2940" t="s">
        <v>1073</v>
      </c>
    </row>
    <row r="12" spans="1:1">
      <c r="A12" s="2940" t="s">
        <v>1064</v>
      </c>
    </row>
    <row r="13" spans="1:1">
      <c r="A13" s="2940" t="s">
        <v>1065</v>
      </c>
    </row>
  </sheetData>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2"/>
  <sheetViews>
    <sheetView workbookViewId="0"/>
  </sheetViews>
  <sheetFormatPr defaultRowHeight="12.75"/>
  <sheetData>
    <row r="1" spans="1:52">
      <c r="A1" t="s">
        <v>286</v>
      </c>
    </row>
    <row r="2" spans="1:52">
      <c r="A2" s="44" t="s">
        <v>230</v>
      </c>
      <c r="B2" s="44" t="s">
        <v>228</v>
      </c>
      <c r="C2" s="44" t="s">
        <v>15</v>
      </c>
      <c r="D2" s="44" t="s">
        <v>140</v>
      </c>
      <c r="E2" s="44" t="s">
        <v>26</v>
      </c>
      <c r="F2" s="44" t="s">
        <v>228</v>
      </c>
      <c r="G2" s="44" t="s">
        <v>11</v>
      </c>
      <c r="H2" s="44" t="s">
        <v>140</v>
      </c>
      <c r="I2" s="44" t="s">
        <v>10</v>
      </c>
      <c r="J2" s="44" t="s">
        <v>140</v>
      </c>
      <c r="K2" s="44" t="s">
        <v>233</v>
      </c>
      <c r="L2" s="44" t="s">
        <v>140</v>
      </c>
      <c r="M2" s="44" t="s">
        <v>232</v>
      </c>
      <c r="N2" s="44" t="s">
        <v>227</v>
      </c>
      <c r="O2" s="44" t="s">
        <v>8</v>
      </c>
      <c r="P2" s="44" t="s">
        <v>9</v>
      </c>
      <c r="Q2" s="44" t="s">
        <v>16</v>
      </c>
      <c r="R2" s="44" t="s">
        <v>17</v>
      </c>
      <c r="S2" s="44" t="s">
        <v>20</v>
      </c>
      <c r="T2" s="44" t="s">
        <v>21</v>
      </c>
      <c r="U2" s="44" t="s">
        <v>5</v>
      </c>
      <c r="V2" s="44" t="s">
        <v>228</v>
      </c>
      <c r="W2" s="44" t="s">
        <v>18</v>
      </c>
      <c r="X2" s="44" t="s">
        <v>19</v>
      </c>
      <c r="Y2" s="44" t="s">
        <v>25</v>
      </c>
      <c r="Z2" s="44" t="s">
        <v>140</v>
      </c>
      <c r="AA2" s="44" t="s">
        <v>22</v>
      </c>
      <c r="AB2" s="44" t="s">
        <v>228</v>
      </c>
      <c r="AC2" s="44" t="s">
        <v>24</v>
      </c>
      <c r="AD2" s="44" t="s">
        <v>228</v>
      </c>
      <c r="AE2" s="44" t="s">
        <v>231</v>
      </c>
      <c r="AF2" s="44" t="s">
        <v>78</v>
      </c>
      <c r="AG2" s="44" t="s">
        <v>7</v>
      </c>
      <c r="AH2" s="44" t="s">
        <v>229</v>
      </c>
      <c r="AI2" s="44" t="s">
        <v>6</v>
      </c>
      <c r="AJ2" s="44" t="s">
        <v>32</v>
      </c>
      <c r="AK2" s="44" t="s">
        <v>283</v>
      </c>
      <c r="AL2" s="44" t="s">
        <v>493</v>
      </c>
      <c r="AM2" s="44" t="s">
        <v>284</v>
      </c>
      <c r="AN2" s="44" t="s">
        <v>713</v>
      </c>
      <c r="AO2" s="44" t="s">
        <v>29</v>
      </c>
      <c r="AP2" s="44" t="s">
        <v>31</v>
      </c>
      <c r="AQ2" s="44" t="s">
        <v>30</v>
      </c>
      <c r="AR2" s="44" t="s">
        <v>228</v>
      </c>
      <c r="AS2" s="44" t="s">
        <v>23</v>
      </c>
      <c r="AT2" s="44" t="s">
        <v>140</v>
      </c>
      <c r="AU2" s="44" t="s">
        <v>285</v>
      </c>
      <c r="AV2" s="44" t="s">
        <v>228</v>
      </c>
      <c r="AW2" s="44" t="s">
        <v>27</v>
      </c>
      <c r="AX2" s="44" t="s">
        <v>28</v>
      </c>
      <c r="AY2" s="44" t="s">
        <v>12</v>
      </c>
      <c r="AZ2" s="44" t="s">
        <v>140</v>
      </c>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61072a11-3d0c-4767-999a-099da6f86631</GUID>
    <SOURCETYPE>Chart</SOURCETYPE>
    <SOURCE_OBJECTNAME>MWA_Risk_Reward</SOURCE_OBJECTNAME>
    <SOURCE_SHEETCODE>MWRSSData</SOURCE_SHEETCODE>
    <SOURCE_SHEETNAME>MWA RR</SOURCE_SHEETNAME>
    <OBJECTTYPE>Native</OBJECTTYPE>
    <SOURCEAPPLICATION>EXCEL_SOURCE</SOURCEAPPLICATION>
    <UPDATEDAT>4/29/2015 9:50:29 PM</UPDATEDAT>
    <SOURCE_ISOUTOFDATE>False</SOURCE_ISOUTOFDATE>
    <SOURCE_WORKBOOKNAME>YELP_model.xls</SOURCE_WORKBOOKNAME>
    <SOURCE_WORKBOOKPATH>\\MSAD\ROOT\NA\NY\LIB\ER\TECH\INTERNET\MODELS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/MSResearch/Content/ExternalAssets/2015-04/Images/5Femw9fklk6cBA4Slhep7g--.png</TARGET_BINARYFULLNAME>
    <TARGET_STORYFULLNAME>/MSResearch/Content/ExternalAssets/2015-04/Sections/20150429_095026_MWA_Risk_Reward.xml</TARGET_STORYFULLNAME>
    <TARGET_UUID>45db0a6a-eedb-11e4-aeba-9bba02fefb2a</TARGET_UUID>
  </Link>
  <Link>
    <GUID>39895618-1a30-42af-9e58-c8f59846bb0e</GUID>
    <SOURCE_ALTADDRESS>$I$7:$BF$82</SOURCE_ALTADDRESS>
    <SOURCETYPE>Table</SOURCETYPE>
    <SOURCE_OBJECTNAME>Linking_Range_95</SOURCE_OBJECTNAME>
    <OBJECTTYPE>Native</OBJECTTYPE>
    <SOURCE_SHEETCODE>Sheet5</SOURCE_SHEETCODE>
    <SOURCE_SHEETNAME>Model</SOURCE_SHEETNAME>
    <SOURCEAPPLICATION>EXCEL_SOURCE</SOURCEAPPLICATION>
    <UPDATEDAT>4/29/2015 10:08:18 PM</UPDATEDAT>
    <SOURCE_ISOUTOFDATE>False</SOURCE_ISOUTOFDATE>
    <SOURCE_WORKBOOKNAME>YELP_model.xls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/MSResearch/Content/ExternalAssets/2015-04/Images/1J1xfEi8WkanqTi1sbbMJg--.png</TARGET_BINARYFULLNAME>
    <TARGET_STORYFULLNAME>/MSResearch/Content/ExternalAssets/2015-04/Sections/20150429_100814_Linking_Range_95.xml</TARGET_STORYFULLNAME>
    <TARGET_UUID>c2ad1572-eedd-11e4-aeba-9bba02fefb2a</TARGET_UUID>
  </Link>
  <Link>
    <GUID>e1e502be-80ab-47fc-8bde-c3f77aaf13c2</GUID>
    <SOURCE_ALTADDRESS>$I$7:$BD$82</SOURCE_ALTADDRESS>
    <SOURCETYPE>Table</SOURCETYPE>
    <SOURCE_OBJECTNAME>Linking_Range_65</SOURCE_OBJECTNAME>
    <OBJECTTYPE>Native</OBJECTTYPE>
    <SOURCE_SHEETCODE>Sheet5</SOURCE_SHEETCODE>
    <SOURCE_SHEETNAME>Model</SOURCE_SHEETNAME>
    <SOURCEAPPLICATION>EXCEL_SOURCE</SOURCEAPPLICATION>
    <UPDATEDAT>4/29/2015 10:27:26 PM</UPDATEDAT>
    <SOURCE_ISOUTOFDATE>False</SOURCE_ISOUTOFDATE>
    <SOURCE_WORKBOOKNAME>YELP_model.xls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/MSResearch/Content/ExternalAssets/2015-04/Images/yOiC2cQtoUmM4sUlrjaZDA--.png</TARGET_BINARYFULLNAME>
    <TARGET_STORYFULLNAME>/MSResearch/Content/ExternalAssets/2015-04/Sections/20150429_102724_Linking_Range_65.xml</TARGET_STORYFULLNAME>
    <TARGET_UUID>6fa4dbd2-eee0-11e4-aeba-9bba02fefb2a</TARGET_UUID>
  </Link>
  <Link>
    <GUID>fd1d53c5-871a-449a-9529-6571308a80a0</GUID>
    <SOURCE_ALTADDRESS>$I$134:$BD$181</SOURCE_ALTADDRESS>
    <SOURCETYPE>Table</SOURCETYPE>
    <SOURCE_OBJECTNAME>Linking_Range_72</SOURCE_OBJECTNAME>
    <OBJECTTYPE>Native</OBJECTTYPE>
    <SOURCE_SHEETCODE>Sheet5</SOURCE_SHEETCODE>
    <SOURCE_SHEETNAME>Model</SOURCE_SHEETNAME>
    <SOURCEAPPLICATION>EXCEL_SOURCE</SOURCEAPPLICATION>
    <UPDATEDAT>4/29/2015 10:27:55 PM</UPDATEDAT>
    <SOURCE_ISOUTOFDATE>False</SOURCE_ISOUTOFDATE>
    <SOURCE_WORKBOOKNAME>YELP_model.xls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/MSResearch/Content/ExternalAssets/2015-04/Images/tLo4s-J6xUKqvgE0u1G8aw--.png</TARGET_BINARYFULLNAME>
    <TARGET_STORYFULLNAME>/MSResearch/Content/ExternalAssets/2015-04/Sections/20150429_102751_Linking_Range_72.xml</TARGET_STORYFULLNAME>
    <TARGET_UUID>80363a54-eee0-11e4-aeba-9bba02fefb2a</TARGET_UUID>
  </Link>
  <Link>
    <GUID>96f91cae-42c9-470e-83f0-a59971857fa3</GUID>
    <SOURCE_ALTADDRESS>$I$184:$BD$243</SOURCE_ALTADDRESS>
    <SOURCETYPE>Table</SOURCETYPE>
    <SOURCE_OBJECTNAME>Linking_Range_73</SOURCE_OBJECTNAME>
    <OBJECTTYPE>Native</OBJECTTYPE>
    <SOURCE_SHEETCODE>Sheet5</SOURCE_SHEETCODE>
    <SOURCE_SHEETNAME>Model</SOURCE_SHEETNAME>
    <SOURCEAPPLICATION>EXCEL_SOURCE</SOURCEAPPLICATION>
    <UPDATEDAT>4/29/2015 10:28:23 PM</UPDATEDAT>
    <SOURCE_ISOUTOFDATE>False</SOURCE_ISOUTOFDATE>
    <SOURCE_WORKBOOKNAME>YELP_model.xls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/MSResearch/Content/ExternalAssets/2015-04/Images/RRG-H_xxhUWb53C7_sV8Iw--.png</TARGET_BINARYFULLNAME>
    <TARGET_STORYFULLNAME>/MSResearch/Content/ExternalAssets/2015-04/Sections/20150429_102821_Linking_Range_73.xml</TARGET_STORYFULLNAME>
    <TARGET_UUID>91963bfa-eee0-11e4-aeba-9bba02fefb2a</TARGET_UUID>
  </Link>
  <Link>
    <GUID>4fd7f53a-d21d-4478-8bad-377c47af4ba4</GUID>
    <SOURCE_ALTADDRESS>$I$7:$AD$50</SOURCE_ALTADDRESS>
    <SOURCETYPE>Table</SOURCETYPE>
    <SOURCE_OBJECTNAME>Linking_Range_82</SOURCE_OBJECTNAME>
    <OBJECTTYPE>Native</OBJECTTYPE>
    <SOURCE_SHEETCODE>Sheet6</SOURCE_SHEETCODE>
    <SOURCE_SHEETNAME>DCF</SOURCE_SHEETNAME>
    <SOURCEAPPLICATION>EXCEL_SOURCE</SOURCEAPPLICATION>
    <UPDATEDAT>4/29/2015 10:29:08 PM</UPDATEDAT>
    <SOURCE_ISOUTOFDATE>False</SOURCE_ISOUTOFDATE>
    <SOURCE_WORKBOOKNAME>YELP_model.xls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/MSResearch/Content/ExternalAssets/2015-04/Images/nFSpxgM4A0_xPuvnKS-PRA--.png</TARGET_BINARYFULLNAME>
    <TARGET_STORYFULLNAME>/MSResearch/Content/ExternalAssets/2015-04/Sections/20150429_102905_Linking_Range_82.xml</TARGET_STORYFULLNAME>
    <TARGET_UUID>ac625194-eee0-11e4-aeba-9bba02fefb2a</TARGET_UUID>
  </Link>
  <Link>
    <GUID>2803c10f-f0a8-4fbb-b804-9876c27d565b</GUID>
    <SOURCE_ALTADDRESS>$B$4:$S$75</SOURCE_ALTADDRESS>
    <SOURCETYPE>Table</SOURCETYPE>
    <SOURCE_OBJECTNAME>Linking_Range_93</SOURCE_OBJECTNAME>
    <OBJECTTYPE>Native</OBJECTTYPE>
    <SOURCE_SHEETCODE>Sheet12</SOURCE_SHEETCODE>
    <SOURCE_SHEETNAME>Act vs. Ests</SOURCE_SHEETNAME>
    <SOURCEAPPLICATION>EXCEL_SOURCE</SOURCEAPPLICATION>
    <UPDATEDAT>4/29/2015 10:29:46 PM</UPDATEDAT>
    <SOURCE_ISOUTOFDATE>False</SOURCE_ISOUTOFDATE>
    <SOURCE_WORKBOOKNAME>YELP_model.xls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/MSResearch/Content/ExternalAssets/2015-04/Images/yr7Wn5nH60eTRPsqzbrPQw--.png</TARGET_BINARYFULLNAME>
    <TARGET_STORYFULLNAME>/MSResearch/Content/ExternalAssets/2015-04/Sections/20150429_094229_Linking_Range_93.xml</TARGET_STORYFULLNAME>
    <TARGET_UUID>2974261e-eeda-11e4-aeba-9bba02fefb2a</TARGET_UUID>
    <LINKSTATUS>Unknown</LINKSTATUS>
  </Link>
  <Link>
    <GUID>3bc9d1b3-c93d-46d9-98a0-70be71889a25</GUID>
    <SOURCE_ALTADDRESS>$V$5:$AD$63</SOURCE_ALTADDRESS>
    <SOURCETYPE>Table</SOURCETYPE>
    <SOURCE_OBJECTNAME>Linking_Range_94</SOURCE_OBJECTNAME>
    <OBJECTTYPE>Native</OBJECTTYPE>
    <SOURCE_SHEETCODE>Sheet12</SOURCE_SHEETCODE>
    <SOURCE_SHEETNAME>Act vs. Ests</SOURCE_SHEETNAME>
    <SOURCEAPPLICATION>EXCEL_SOURCE</SOURCEAPPLICATION>
    <UPDATEDAT>4/29/2015 10:29:49 PM</UPDATEDAT>
    <SOURCE_ISOUTOFDATE>False</SOURCE_ISOUTOFDATE>
    <SOURCE_WORKBOOKNAME>YELP_model.xls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/MSResearch/Content/ExternalAssets/2015-04/Images/4Tx66e8UeEyySQgxaPprxQ--.png</TARGET_BINARYFULLNAME>
    <TARGET_STORYFULLNAME>/MSResearch/Content/ExternalAssets/2015-04/Sections/20150429_094449_Linking_Range_94.xml</TARGET_STORYFULLNAME>
    <TARGET_UUID>7cb6b59e-eeda-11e4-aeba-9bba02fefb2a</TARGET_UUID>
    <LINKSTATUS>Unknown</LINKSTATUS>
  </Link>
  <Link>
    <GUID>8577a6ee-3c82-4e6d-a2c5-381b68bd822a</GUID>
    <SOURCETYPE>Chart</SOURCETYPE>
    <SOURCE_OBJECTNAME>charttpl33</SOURCE_OBJECTNAME>
    <SOURCE_SHEETCODE>Sheet14</SOURCE_SHEETCODE>
    <SOURCE_SHEETNAME>Charts</SOURCE_SHEETNAME>
    <OBJECTTYPE>Native</OBJECTTYPE>
    <SOURCEAPPLICATION>EXCEL_SOURCE</SOURCEAPPLICATION>
    <UPDATEDAT>4/29/2015 10:30:57 PM</UPDATEDAT>
    <SOURCE_ISOUTOFDATE>False</SOURCE_ISOUTOFDATE>
    <SOURCE_WORKBOOKNAME>YELP_model.xls</SOURCE_WORKBOOKNAME>
    <SOURCE_WORKBOOKPATH>\\MSAD\ROOT\NA\NY\LIB\ER\TECH\INTERNET\MODELS</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/MSResearch/Content/ExternalAssets/2015-04/Images/oZqNcjnHTk2-Z9FMPAFOQQ--.png</TARGET_BINARYFULLNAME>
    <TARGET_STORYFULLNAME>/MSResearch/Content/ExternalAssets/2015-04/Sections/20150429_091135_charttpl33.xml</TARGET_STORYFULLNAME>
    <TARGET_UUID>d8744a04-eed5-11e4-aeba-9bba02fefb2a</TARGET_UUID>
    <LINKSTATUS>Unknown</LINKSTATUS>
  </Link>
  <Link>
    <GUID>6989560a-a730-411f-9217-6517d4087f2d</GUID>
    <SOURCETYPE>Chart</SOURCETYPE>
    <SOURCE_OBJECTNAME>charttpl</SOURCE_OBJECTNAME>
    <SOURCE_SHEETCODE>Sheet14</SOURCE_SHEETCODE>
    <SOURCE_SHEETNAME>Charts</SOURCE_SHEETNAME>
    <OBJECTTYPE>Native</OBJECTTYPE>
    <SOURCEAPPLICATION>EXCEL_SOURCE</SOURCEAPPLICATION>
    <UPDATEDAT>4/29/2015 10:39:41 PM</UPDATEDAT>
    <SOURCE_ISOUTOFDATE>False</SOURCE_ISOUTOFDATE>
    <SOURCE_WORKBOOKNAME>YELP_model.xls</SOURCE_WORKBOOKNAME>
    <SOURCE_WORKBOOKPATH>\\MSAD\ROOT\NA\NY\LIB\ER\TECH\INTERNET\MODELS</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/MSResearch/Content/ExternalAssets/2015-04/Images/Bys9wTNSmEaM9Pag9va-aA--.png</TARGET_BINARYFULLNAME>
    <TARGET_STORYFULLNAME>/MSResearch/Content/ExternalAssets/2015-04/Sections/20150429_091106_charttpl.xml</TARGET_STORYFULLNAME>
    <TARGET_UUID>c72e9326-eed5-11e4-aeba-9bba02fefb2a</TARGET_UUID>
    <LINKSTATUS>Unknown</LINKSTATUS>
    <HIDEGRIDLINES>False</HIDEGRIDLINES>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56012008-D213-47CB-8184-27B77BC078F7}">
  <ds:schemaRefs>
    <ds:schemaRef ds:uri="thomsonreuters.linking.metadata"/>
  </ds:schemaRefs>
</ds:datastoreItem>
</file>

<file path=customXml/itemProps2.xml><?xml version="1.0" encoding="utf-8"?>
<ds:datastoreItem xmlns:ds="http://schemas.openxmlformats.org/officeDocument/2006/customXml" ds:itemID="{6BA57404-DCFF-4627-85DC-E546EB844118}">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194</vt:i4>
      </vt:variant>
    </vt:vector>
  </HeadingPairs>
  <TitlesOfParts>
    <vt:vector size="206" baseType="lpstr">
      <vt:lpstr>ImportantDisclosures</vt:lpstr>
      <vt:lpstr>Valuation</vt:lpstr>
      <vt:lpstr>MS v Con</vt:lpstr>
      <vt:lpstr>Model</vt:lpstr>
      <vt:lpstr>Revenue drivers</vt:lpstr>
      <vt:lpstr>Expense drivers</vt:lpstr>
      <vt:lpstr>DCF_bear</vt:lpstr>
      <vt:lpstr>DCF</vt:lpstr>
      <vt:lpstr>DCF_bull</vt:lpstr>
      <vt:lpstr>Outlinks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current_price</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DCF_bull!fair_value</vt:lpstr>
      <vt:lpstr>fair_value</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Linking_13</vt:lpstr>
      <vt:lpstr>Linking_17</vt:lpstr>
      <vt:lpstr>Linking_18</vt:lpstr>
      <vt:lpstr>Linking_19</vt:lpstr>
      <vt:lpstr>Linking_21</vt:lpstr>
      <vt:lpstr>Linking_22</vt:lpstr>
      <vt:lpstr>Linking_23</vt:lpstr>
      <vt:lpstr>Linking_24</vt:lpstr>
      <vt:lpstr>Linking_25</vt:lpstr>
      <vt:lpstr>Linking_27</vt:lpstr>
      <vt:lpstr>Linking_30</vt:lpstr>
      <vt:lpstr>Linking_31</vt:lpstr>
      <vt:lpstr>Linking_32</vt:lpstr>
      <vt:lpstr>Linking_34</vt:lpstr>
      <vt:lpstr>Linking_35</vt:lpstr>
      <vt:lpstr>Linking_37</vt:lpstr>
      <vt:lpstr>Linking_38</vt:lpstr>
      <vt:lpstr>Linking_39</vt:lpstr>
      <vt:lpstr>Linking_40</vt:lpstr>
      <vt:lpstr>Linking_41</vt:lpstr>
      <vt:lpstr>Linking_5</vt:lpstr>
      <vt:lpstr>Linking_52</vt:lpstr>
      <vt:lpstr>Linking_6</vt:lpstr>
      <vt:lpstr>Linking_7</vt:lpstr>
      <vt:lpstr>Linking_8</vt:lpstr>
      <vt:lpstr>Linking_9</vt:lpstr>
      <vt:lpstr>DCF_bear!Linking_Range_10</vt:lpstr>
      <vt:lpstr>DCF_bull!Linking_Range_10</vt:lpstr>
      <vt:lpstr>Linking_Range_10</vt:lpstr>
      <vt:lpstr>DCF_bear!Linking_Range_11</vt:lpstr>
      <vt:lpstr>DCF_bull!Linking_Range_11</vt:lpstr>
      <vt:lpstr>Linking_Range_11</vt:lpstr>
      <vt:lpstr>Outlinks!Linking_Range_12</vt:lpstr>
      <vt:lpstr>Linking_Range_12</vt:lpstr>
      <vt:lpstr>Linking_Range_14</vt:lpstr>
      <vt:lpstr>Linking_Range_15</vt:lpstr>
      <vt:lpstr>Linking_Range_16</vt:lpstr>
      <vt:lpstr>Linking_Range_17</vt:lpstr>
      <vt:lpstr>Outlinks!Linking_Range_18</vt:lpstr>
      <vt:lpstr>Linking_Range_18</vt:lpstr>
      <vt:lpstr>Linking_Range_20</vt:lpstr>
      <vt:lpstr>Linking_Range_21</vt:lpstr>
      <vt:lpstr>Linking_Range_22</vt:lpstr>
      <vt:lpstr>Linking_Range_23</vt:lpstr>
      <vt:lpstr>DCF_bear!Linking_Range_25</vt:lpstr>
      <vt:lpstr>DCF_bull!Linking_Range_25</vt:lpstr>
      <vt:lpstr>Linking_Range_25</vt:lpstr>
      <vt:lpstr>Outlinks!Linking_Range_26</vt:lpstr>
      <vt:lpstr>Linking_Range_26</vt:lpstr>
      <vt:lpstr>Linking_Range_30</vt:lpstr>
      <vt:lpstr>DCF_bear!Linking_Range_32</vt:lpstr>
      <vt:lpstr>DCF_bull!Linking_Range_32</vt:lpstr>
      <vt:lpstr>Linking_Range_32</vt:lpstr>
      <vt:lpstr>Linking_Range_34</vt:lpstr>
      <vt:lpstr>Linking_Range_35</vt:lpstr>
      <vt:lpstr>Linking_Range_36</vt:lpstr>
      <vt:lpstr>Outlinks!Linking_Range_37</vt:lpstr>
      <vt:lpstr>Linking_Range_37</vt:lpstr>
      <vt:lpstr>Linking_Range_38</vt:lpstr>
      <vt:lpstr>Linking_Range_39</vt:lpstr>
      <vt:lpstr>Linking_Range_40</vt:lpstr>
      <vt:lpstr>Linking_Range_41</vt:lpstr>
      <vt:lpstr>DCF_bear!Linking_Range_42</vt:lpstr>
      <vt:lpstr>DCF_bull!Linking_Range_42</vt:lpstr>
      <vt:lpstr>Linking_Range_42</vt:lpstr>
      <vt:lpstr>Linking_Range_43</vt:lpstr>
      <vt:lpstr>Outlinks!Linking_Range_47</vt:lpstr>
      <vt:lpstr>Linking_Range_47</vt:lpstr>
      <vt:lpstr>Outlinks!Linking_Range_48</vt:lpstr>
      <vt:lpstr>Linking_Range_48</vt:lpstr>
      <vt:lpstr>Linking_Range_49</vt:lpstr>
      <vt:lpstr>Outlinks!Linking_Range_50</vt:lpstr>
      <vt:lpstr>Linking_Range_50</vt:lpstr>
      <vt:lpstr>Outlinks!Linking_Range_52</vt:lpstr>
      <vt:lpstr>Linking_Range_52</vt:lpstr>
      <vt:lpstr>Linking_Range_55</vt:lpstr>
      <vt:lpstr>Linking_Range_63</vt:lpstr>
      <vt:lpstr>Linking_Range_64</vt:lpstr>
      <vt:lpstr>Linking_Range_65</vt:lpstr>
      <vt:lpstr>Linking_Range_66</vt:lpstr>
      <vt:lpstr>Linking_Range_67</vt:lpstr>
      <vt:lpstr>Linking_Range_68</vt:lpstr>
      <vt:lpstr>Linking_Range_69</vt:lpstr>
      <vt:lpstr>Outlinks!Linking_Range_7</vt:lpstr>
      <vt:lpstr>Linking_Range_7</vt:lpstr>
      <vt:lpstr>Linking_Range_72</vt:lpstr>
      <vt:lpstr>Linking_Range_73</vt:lpstr>
      <vt:lpstr>DCF_bear!Linking_Range_74</vt:lpstr>
      <vt:lpstr>DCF_bull!Linking_Range_74</vt:lpstr>
      <vt:lpstr>Linking_Range_74</vt:lpstr>
      <vt:lpstr>Linking_Range_75</vt:lpstr>
      <vt:lpstr>Linking_Range_76</vt:lpstr>
      <vt:lpstr>DCF_bear!Linking_Range_77</vt:lpstr>
      <vt:lpstr>DCF_bull!Linking_Range_77</vt:lpstr>
      <vt:lpstr>Linking_Range_77</vt:lpstr>
      <vt:lpstr>Linking_Range_8</vt:lpstr>
      <vt:lpstr>DCF_bear!Linking_Range_81</vt:lpstr>
      <vt:lpstr>DCF_bull!Linking_Range_81</vt:lpstr>
      <vt:lpstr>Linking_Range_81</vt:lpstr>
      <vt:lpstr>DCF_bear!Linking_Range_82</vt:lpstr>
      <vt:lpstr>DCF_bull!Linking_Range_82</vt:lpstr>
      <vt:lpstr>Linking_Range_82</vt:lpstr>
      <vt:lpstr>Linking_Range_83</vt:lpstr>
      <vt:lpstr>Linking_Range_84</vt:lpstr>
      <vt:lpstr>Linking_Range_85</vt:lpstr>
      <vt:lpstr>Linking_Range_86</vt:lpstr>
      <vt:lpstr>Linking_Range_87</vt:lpstr>
      <vt:lpstr>Linking_Range_88</vt:lpstr>
      <vt:lpstr>Linking_Range_9</vt:lpstr>
      <vt:lpstr>Linking_Range_92</vt:lpstr>
      <vt:lpstr>Linking_Range_95</vt:lpstr>
      <vt:lpstr>IndexInformation!MacroVersion</vt:lpstr>
      <vt:lpstr>DCF_bull!model_case</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DCF!Print_Area</vt:lpstr>
      <vt:lpstr>DCF_bear!Print_Area</vt:lpstr>
      <vt:lpstr>DCF_bull!Print_Area</vt:lpstr>
      <vt:lpstr>'Expense drivers'!Print_Area</vt:lpstr>
      <vt:lpstr>'Revenue drivers'!Print_Area</vt:lpstr>
      <vt:lpstr>Valuation!Print_Area</vt:lpstr>
      <vt:lpstr>'Expense drivers'!Print_Titles</vt:lpstr>
      <vt:lpstr>Model!Print_Titles</vt:lpstr>
      <vt:lpstr>Outlinks!Print_Titles</vt:lpstr>
      <vt:lpstr>'Revenue drivers'!Print_Titles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2012-01-02T19:54:50Z</dcterms:created>
  <dc:creator>Alberto Perez</dc:creator>
  <cp:lastModifiedBy>Hoffman, Brandon (Research)</cp:lastModifiedBy>
  <cp:lastPrinted>2018-02-08T03:06:23Z</cp:lastPrinted>
  <dcterms:modified xsi:type="dcterms:W3CDTF">2018-02-08T17:19:00Z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2</vt:lpwstr>
  </property>
  <property fmtid="{D5CDD505-2E9C-101B-9397-08002B2CF9AE}" name="LinkingAutoNameNumberLinking_Range_" pid="3">
    <vt:lpwstr>95</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749585</vt:lpwstr>
  </property>
  <property fmtid="{D5CDD505-2E9C-101B-9397-08002B2CF9AE}" name="ERModPubCompanyName" pid="7">
    <vt:lpwstr>Yelp Inc</vt:lpwstr>
  </property>
  <property fmtid="{D5CDD505-2E9C-101B-9397-08002B2CF9AE}" name="MSDH34TAG" pid="8">
    <vt:lpwstr>.TEZUF76X5TAHATHESADREYAK-00-INB160+*94600-06=2e5e3d5a/-0cf4/-11e8/-8049/-1b1ec112dbd5,MD=20180208123232/-0500,ZZ=000Z-7aaa.</vt:lpwstr>
  </property>
</Properties>
</file>